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EstaPastaDeTrabalho"/>
  <mc:AlternateContent xmlns:mc="http://schemas.openxmlformats.org/markup-compatibility/2006">
    <mc:Choice Requires="x15">
      <x15ac:absPath xmlns:x15ac="http://schemas.microsoft.com/office/spreadsheetml/2010/11/ac" url="A:\ORÇAMENTOS PAULO JU\081 Camara Tamarana - ok\081 ORÇAMENTO\4.REVISAO R02\"/>
    </mc:Choice>
  </mc:AlternateContent>
  <xr:revisionPtr revIDLastSave="0" documentId="13_ncr:1_{C98AC6A0-4A43-4814-9726-758ACC2803F2}" xr6:coauthVersionLast="47" xr6:coauthVersionMax="47" xr10:uidLastSave="{00000000-0000-0000-0000-000000000000}"/>
  <bookViews>
    <workbookView xWindow="-120" yWindow="-120" windowWidth="29040" windowHeight="15840" tabRatio="867" firstSheet="2" activeTab="10" xr2:uid="{00000000-000D-0000-FFFF-FFFF00000000}"/>
  </bookViews>
  <sheets>
    <sheet name="Capa" sheetId="46" state="hidden" r:id="rId1"/>
    <sheet name="INDICE" sheetId="37" state="hidden" r:id="rId2"/>
    <sheet name="DADOS" sheetId="15" r:id="rId3"/>
    <sheet name="RRTS" sheetId="48" state="hidden" r:id="rId4"/>
    <sheet name="BDI" sheetId="21" r:id="rId5"/>
    <sheet name="BDI equip" sheetId="34" state="hidden" r:id="rId6"/>
    <sheet name="RESUMO" sheetId="19" state="hidden" r:id="rId7"/>
    <sheet name="CRONOGRAMA" sheetId="35" state="hidden" r:id="rId8"/>
    <sheet name="RESUMO_FASES" sheetId="56" r:id="rId9"/>
    <sheet name="CRONO_FASES" sheetId="57" r:id="rId10"/>
    <sheet name="ORC" sheetId="55" r:id="rId11"/>
    <sheet name="COMPOSICOES COMPLEMENTARES" sheetId="52" state="hidden" r:id="rId12"/>
    <sheet name="ENCARGOS SOCIAIS" sheetId="22" state="hidden" r:id="rId13"/>
    <sheet name="SERVIÇOS" sheetId="27" state="hidden" r:id="rId14"/>
    <sheet name="INSUMOS" sheetId="28" state="hidden" r:id="rId15"/>
    <sheet name="CURVA ABC" sheetId="40" r:id="rId16"/>
    <sheet name="CPU" sheetId="47" r:id="rId17"/>
    <sheet name="COTAÇÕES" sheetId="53" r:id="rId18"/>
  </sheets>
  <externalReferences>
    <externalReference r:id="rId19"/>
    <externalReference r:id="rId20"/>
    <externalReference r:id="rId21"/>
  </externalReferences>
  <definedNames>
    <definedName name="__xlnm.Print_Area_1" localSheetId="5">#REF!</definedName>
    <definedName name="__xlnm.Print_Area_1" localSheetId="0">#REF!</definedName>
    <definedName name="__xlnm.Print_Area_1" localSheetId="9">#REF!</definedName>
    <definedName name="__xlnm.Print_Area_1" localSheetId="7">#REF!</definedName>
    <definedName name="__xlnm.Print_Area_1" localSheetId="10">#REF!</definedName>
    <definedName name="__xlnm.Print_Area_1" localSheetId="8">#REF!</definedName>
    <definedName name="__xlnm.Print_Area_1">#REF!</definedName>
    <definedName name="__xlnm.Print_Area_2" localSheetId="4">#REF!</definedName>
    <definedName name="__xlnm.Print_Area_2" localSheetId="5">#REF!</definedName>
    <definedName name="__xlnm.Print_Area_2" localSheetId="0">#REF!</definedName>
    <definedName name="__xlnm.Print_Area_2" localSheetId="9">#REF!</definedName>
    <definedName name="__xlnm.Print_Area_2" localSheetId="10">#REF!</definedName>
    <definedName name="__xlnm.Print_Area_2" localSheetId="8">#REF!</definedName>
    <definedName name="__xlnm.Print_Area_2">#REF!</definedName>
    <definedName name="__xlnm.Print_Area_3" localSheetId="4">#REF!</definedName>
    <definedName name="__xlnm.Print_Area_3" localSheetId="5">#REF!</definedName>
    <definedName name="__xlnm.Print_Area_3" localSheetId="0">#REF!</definedName>
    <definedName name="__xlnm.Print_Area_3" localSheetId="9">#REF!</definedName>
    <definedName name="__xlnm.Print_Area_3" localSheetId="10">#REF!</definedName>
    <definedName name="__xlnm.Print_Area_3" localSheetId="8">#REF!</definedName>
    <definedName name="__xlnm.Print_Area_3">#REF!</definedName>
    <definedName name="__xlnm.Print_Area_3_1" localSheetId="4">#REF!</definedName>
    <definedName name="__xlnm.Print_Area_3_1" localSheetId="5">#REF!</definedName>
    <definedName name="__xlnm.Print_Area_3_1" localSheetId="0">#REF!</definedName>
    <definedName name="__xlnm.Print_Area_3_1" localSheetId="9">#REF!</definedName>
    <definedName name="__xlnm.Print_Area_3_1" localSheetId="10">#REF!</definedName>
    <definedName name="__xlnm.Print_Area_3_1" localSheetId="8">#REF!</definedName>
    <definedName name="__xlnm.Print_Area_3_1">#REF!</definedName>
    <definedName name="__xlnm.Print_Titles_1" localSheetId="5">#REF!</definedName>
    <definedName name="__xlnm.Print_Titles_1" localSheetId="0">#REF!</definedName>
    <definedName name="__xlnm.Print_Titles_1" localSheetId="9">#REF!</definedName>
    <definedName name="__xlnm.Print_Titles_1" localSheetId="10">#REF!</definedName>
    <definedName name="__xlnm.Print_Titles_1" localSheetId="8">#REF!</definedName>
    <definedName name="__xlnm.Print_Titles_1">#REF!</definedName>
    <definedName name="__xlnm.Print_Titles_2" localSheetId="4">#REF!</definedName>
    <definedName name="__xlnm.Print_Titles_2" localSheetId="5">#REF!</definedName>
    <definedName name="__xlnm.Print_Titles_2" localSheetId="0">#REF!</definedName>
    <definedName name="__xlnm.Print_Titles_2" localSheetId="9">#REF!</definedName>
    <definedName name="__xlnm.Print_Titles_2" localSheetId="10">#REF!</definedName>
    <definedName name="__xlnm.Print_Titles_2" localSheetId="8">#REF!</definedName>
    <definedName name="__xlnm.Print_Titles_2">#REF!</definedName>
    <definedName name="__xlnm.Print_Titles_3" localSheetId="4">#REF!</definedName>
    <definedName name="__xlnm.Print_Titles_3" localSheetId="5">#REF!</definedName>
    <definedName name="__xlnm.Print_Titles_3" localSheetId="0">#REF!</definedName>
    <definedName name="__xlnm.Print_Titles_3" localSheetId="9">#REF!</definedName>
    <definedName name="__xlnm.Print_Titles_3" localSheetId="10">#REF!</definedName>
    <definedName name="__xlnm.Print_Titles_3" localSheetId="8">#REF!</definedName>
    <definedName name="__xlnm.Print_Titles_3">#REF!</definedName>
    <definedName name="_xlnm._FilterDatabase" localSheetId="11" hidden="1">'COMPOSICOES COMPLEMENTARES'!$C$10:$N$481</definedName>
    <definedName name="_xlnm._FilterDatabase" localSheetId="17" hidden="1">COTAÇÕES!$A$3:$N$834</definedName>
    <definedName name="_xlnm._FilterDatabase" localSheetId="16" hidden="1">CPU!$A$11:$O$961</definedName>
    <definedName name="_xlnm._FilterDatabase" localSheetId="9" hidden="1">CRONO_FASES!$B$13:$BF$59</definedName>
    <definedName name="_xlnm._FilterDatabase" localSheetId="7" hidden="1">CRONOGRAMA!$A$14:$BH$139</definedName>
    <definedName name="_xlnm._FilterDatabase" localSheetId="15" hidden="1">'CURVA ABC'!$E$11:$AQ$307</definedName>
    <definedName name="_xlnm._FilterDatabase" localSheetId="14" hidden="1">INSUMOS!$B$4:$E$5207</definedName>
    <definedName name="_xlnm._FilterDatabase" localSheetId="10" hidden="1">ORC!$A$11:$U$476</definedName>
    <definedName name="_xlnm._FilterDatabase" localSheetId="13" hidden="1">SERVIÇOS!$B$4:$H$7423</definedName>
    <definedName name="_R10P" localSheetId="4">#REF!</definedName>
    <definedName name="_R10P" localSheetId="5">#REF!</definedName>
    <definedName name="_R10P" localSheetId="0">#REF!</definedName>
    <definedName name="_R10P" localSheetId="9">#REF!</definedName>
    <definedName name="_R10P" localSheetId="10">#REF!</definedName>
    <definedName name="_R10P" localSheetId="8">#REF!</definedName>
    <definedName name="_R10P">#REF!</definedName>
    <definedName name="_R10R" localSheetId="4">#REF!</definedName>
    <definedName name="_R10R" localSheetId="5">#REF!</definedName>
    <definedName name="_R10R" localSheetId="0">#REF!</definedName>
    <definedName name="_R10R" localSheetId="9">#REF!</definedName>
    <definedName name="_R10R" localSheetId="10">#REF!</definedName>
    <definedName name="_R10R" localSheetId="8">#REF!</definedName>
    <definedName name="_R10R">#REF!</definedName>
    <definedName name="_R11P" localSheetId="4">#REF!</definedName>
    <definedName name="_R11P" localSheetId="5">#REF!</definedName>
    <definedName name="_R11P" localSheetId="0">#REF!</definedName>
    <definedName name="_R11P" localSheetId="9">#REF!</definedName>
    <definedName name="_R11P" localSheetId="10">#REF!</definedName>
    <definedName name="_R11P" localSheetId="8">#REF!</definedName>
    <definedName name="_R11P">#REF!</definedName>
    <definedName name="_R11R" localSheetId="4">#REF!</definedName>
    <definedName name="_R11R" localSheetId="5">#REF!</definedName>
    <definedName name="_R11R" localSheetId="0">#REF!</definedName>
    <definedName name="_R11R" localSheetId="9">#REF!</definedName>
    <definedName name="_R11R" localSheetId="10">#REF!</definedName>
    <definedName name="_R11R" localSheetId="8">#REF!</definedName>
    <definedName name="_R11R">#REF!</definedName>
    <definedName name="_R12P" localSheetId="4">#REF!</definedName>
    <definedName name="_R12P" localSheetId="5">#REF!</definedName>
    <definedName name="_R12P" localSheetId="0">#REF!</definedName>
    <definedName name="_R12P" localSheetId="9">#REF!</definedName>
    <definedName name="_R12P" localSheetId="10">#REF!</definedName>
    <definedName name="_R12P" localSheetId="8">#REF!</definedName>
    <definedName name="_R12P">#REF!</definedName>
    <definedName name="_R12R" localSheetId="4">#REF!</definedName>
    <definedName name="_R12R" localSheetId="5">#REF!</definedName>
    <definedName name="_R12R" localSheetId="0">#REF!</definedName>
    <definedName name="_R12R" localSheetId="9">#REF!</definedName>
    <definedName name="_R12R" localSheetId="10">#REF!</definedName>
    <definedName name="_R12R" localSheetId="8">#REF!</definedName>
    <definedName name="_R12R">#REF!</definedName>
    <definedName name="_R13P" localSheetId="4">#REF!</definedName>
    <definedName name="_R13P" localSheetId="5">#REF!</definedName>
    <definedName name="_R13P" localSheetId="0">#REF!</definedName>
    <definedName name="_R13P" localSheetId="9">#REF!</definedName>
    <definedName name="_R13P" localSheetId="10">#REF!</definedName>
    <definedName name="_R13P" localSheetId="8">#REF!</definedName>
    <definedName name="_R13P">#REF!</definedName>
    <definedName name="_R13R" localSheetId="4">#REF!</definedName>
    <definedName name="_R13R" localSheetId="5">#REF!</definedName>
    <definedName name="_R13R" localSheetId="0">#REF!</definedName>
    <definedName name="_R13R" localSheetId="9">#REF!</definedName>
    <definedName name="_R13R" localSheetId="10">#REF!</definedName>
    <definedName name="_R13R" localSheetId="8">#REF!</definedName>
    <definedName name="_R13R">#REF!</definedName>
    <definedName name="_R14P" localSheetId="4">#REF!</definedName>
    <definedName name="_R14P" localSheetId="5">#REF!</definedName>
    <definedName name="_R14P" localSheetId="0">#REF!</definedName>
    <definedName name="_R14P" localSheetId="9">#REF!</definedName>
    <definedName name="_R14P" localSheetId="10">#REF!</definedName>
    <definedName name="_R14P" localSheetId="8">#REF!</definedName>
    <definedName name="_R14P">#REF!</definedName>
    <definedName name="_R14R" localSheetId="4">#REF!</definedName>
    <definedName name="_R14R" localSheetId="5">#REF!</definedName>
    <definedName name="_R14R" localSheetId="0">#REF!</definedName>
    <definedName name="_R14R" localSheetId="9">#REF!</definedName>
    <definedName name="_R14R" localSheetId="10">#REF!</definedName>
    <definedName name="_R14R" localSheetId="8">#REF!</definedName>
    <definedName name="_R14R">#REF!</definedName>
    <definedName name="_R15P" localSheetId="4">#REF!</definedName>
    <definedName name="_R15P" localSheetId="5">#REF!</definedName>
    <definedName name="_R15P" localSheetId="0">#REF!</definedName>
    <definedName name="_R15P" localSheetId="9">#REF!</definedName>
    <definedName name="_R15P" localSheetId="10">#REF!</definedName>
    <definedName name="_R15P" localSheetId="8">#REF!</definedName>
    <definedName name="_R15P">#REF!</definedName>
    <definedName name="_R15R" localSheetId="4">#REF!</definedName>
    <definedName name="_R15R" localSheetId="5">#REF!</definedName>
    <definedName name="_R15R" localSheetId="0">#REF!</definedName>
    <definedName name="_R15R" localSheetId="9">#REF!</definedName>
    <definedName name="_R15R" localSheetId="10">#REF!</definedName>
    <definedName name="_R15R" localSheetId="8">#REF!</definedName>
    <definedName name="_R15R">#REF!</definedName>
    <definedName name="_R16P" localSheetId="4">#REF!</definedName>
    <definedName name="_R16P" localSheetId="5">#REF!</definedName>
    <definedName name="_R16P" localSheetId="0">#REF!</definedName>
    <definedName name="_R16P" localSheetId="9">#REF!</definedName>
    <definedName name="_R16P" localSheetId="10">#REF!</definedName>
    <definedName name="_R16P" localSheetId="8">#REF!</definedName>
    <definedName name="_R16P">#REF!</definedName>
    <definedName name="_R16R" localSheetId="4">#REF!</definedName>
    <definedName name="_R16R" localSheetId="5">#REF!</definedName>
    <definedName name="_R16R" localSheetId="0">#REF!</definedName>
    <definedName name="_R16R" localSheetId="9">#REF!</definedName>
    <definedName name="_R16R" localSheetId="10">#REF!</definedName>
    <definedName name="_R16R" localSheetId="8">#REF!</definedName>
    <definedName name="_R16R">#REF!</definedName>
    <definedName name="_R17P" localSheetId="4">#REF!</definedName>
    <definedName name="_R17P" localSheetId="5">#REF!</definedName>
    <definedName name="_R17P" localSheetId="0">#REF!</definedName>
    <definedName name="_R17P" localSheetId="9">#REF!</definedName>
    <definedName name="_R17P" localSheetId="10">#REF!</definedName>
    <definedName name="_R17P" localSheetId="8">#REF!</definedName>
    <definedName name="_R17P">#REF!</definedName>
    <definedName name="_R17R" localSheetId="4">#REF!</definedName>
    <definedName name="_R17R" localSheetId="5">#REF!</definedName>
    <definedName name="_R17R" localSheetId="0">#REF!</definedName>
    <definedName name="_R17R" localSheetId="9">#REF!</definedName>
    <definedName name="_R17R" localSheetId="10">#REF!</definedName>
    <definedName name="_R17R" localSheetId="8">#REF!</definedName>
    <definedName name="_R17R">#REF!</definedName>
    <definedName name="_R18P" localSheetId="4">#REF!</definedName>
    <definedName name="_R18P" localSheetId="5">#REF!</definedName>
    <definedName name="_R18P" localSheetId="0">#REF!</definedName>
    <definedName name="_R18P" localSheetId="9">#REF!</definedName>
    <definedName name="_R18P" localSheetId="10">#REF!</definedName>
    <definedName name="_R18P" localSheetId="8">#REF!</definedName>
    <definedName name="_R18P">#REF!</definedName>
    <definedName name="_R18R" localSheetId="4">#REF!</definedName>
    <definedName name="_R18R" localSheetId="5">#REF!</definedName>
    <definedName name="_R18R" localSheetId="0">#REF!</definedName>
    <definedName name="_R18R" localSheetId="9">#REF!</definedName>
    <definedName name="_R18R" localSheetId="10">#REF!</definedName>
    <definedName name="_R18R" localSheetId="8">#REF!</definedName>
    <definedName name="_R18R">#REF!</definedName>
    <definedName name="_R19P" localSheetId="4">#REF!</definedName>
    <definedName name="_R19P" localSheetId="5">#REF!</definedName>
    <definedName name="_R19P" localSheetId="0">#REF!</definedName>
    <definedName name="_R19P" localSheetId="9">#REF!</definedName>
    <definedName name="_R19P" localSheetId="10">#REF!</definedName>
    <definedName name="_R19P" localSheetId="8">#REF!</definedName>
    <definedName name="_R19P">#REF!</definedName>
    <definedName name="_R19R" localSheetId="4">#REF!</definedName>
    <definedName name="_R19R" localSheetId="5">#REF!</definedName>
    <definedName name="_R19R" localSheetId="0">#REF!</definedName>
    <definedName name="_R19R" localSheetId="9">#REF!</definedName>
    <definedName name="_R19R" localSheetId="10">#REF!</definedName>
    <definedName name="_R19R" localSheetId="8">#REF!</definedName>
    <definedName name="_R19R">#REF!</definedName>
    <definedName name="_R1P" localSheetId="4">#REF!</definedName>
    <definedName name="_R1P" localSheetId="5">#REF!</definedName>
    <definedName name="_R1P" localSheetId="0">#REF!</definedName>
    <definedName name="_R1P" localSheetId="9">#REF!</definedName>
    <definedName name="_R1P" localSheetId="10">#REF!</definedName>
    <definedName name="_R1P" localSheetId="8">#REF!</definedName>
    <definedName name="_R1P">#REF!</definedName>
    <definedName name="_R1R" localSheetId="4">#REF!</definedName>
    <definedName name="_R1R" localSheetId="5">#REF!</definedName>
    <definedName name="_R1R" localSheetId="0">#REF!</definedName>
    <definedName name="_R1R" localSheetId="9">#REF!</definedName>
    <definedName name="_R1R" localSheetId="10">#REF!</definedName>
    <definedName name="_R1R" localSheetId="8">#REF!</definedName>
    <definedName name="_R1R">#REF!</definedName>
    <definedName name="_R20P" localSheetId="4">#REF!</definedName>
    <definedName name="_R20P" localSheetId="5">#REF!</definedName>
    <definedName name="_R20P" localSheetId="0">#REF!</definedName>
    <definedName name="_R20P" localSheetId="9">#REF!</definedName>
    <definedName name="_R20P" localSheetId="10">#REF!</definedName>
    <definedName name="_R20P" localSheetId="8">#REF!</definedName>
    <definedName name="_R20P">#REF!</definedName>
    <definedName name="_R20R" localSheetId="4">#REF!</definedName>
    <definedName name="_R20R" localSheetId="5">#REF!</definedName>
    <definedName name="_R20R" localSheetId="0">#REF!</definedName>
    <definedName name="_R20R" localSheetId="9">#REF!</definedName>
    <definedName name="_R20R" localSheetId="10">#REF!</definedName>
    <definedName name="_R20R" localSheetId="8">#REF!</definedName>
    <definedName name="_R20R">#REF!</definedName>
    <definedName name="_R21P" localSheetId="4">#REF!</definedName>
    <definedName name="_R21P" localSheetId="5">#REF!</definedName>
    <definedName name="_R21P" localSheetId="0">#REF!</definedName>
    <definedName name="_R21P" localSheetId="9">#REF!</definedName>
    <definedName name="_R21P" localSheetId="10">#REF!</definedName>
    <definedName name="_R21P" localSheetId="8">#REF!</definedName>
    <definedName name="_R21P">#REF!</definedName>
    <definedName name="_R21R" localSheetId="4">#REF!</definedName>
    <definedName name="_R21R" localSheetId="5">#REF!</definedName>
    <definedName name="_R21R" localSheetId="0">#REF!</definedName>
    <definedName name="_R21R" localSheetId="9">#REF!</definedName>
    <definedName name="_R21R" localSheetId="10">#REF!</definedName>
    <definedName name="_R21R" localSheetId="8">#REF!</definedName>
    <definedName name="_R21R">#REF!</definedName>
    <definedName name="_R22P" localSheetId="4">#REF!</definedName>
    <definedName name="_R22P" localSheetId="5">#REF!</definedName>
    <definedName name="_R22P" localSheetId="0">#REF!</definedName>
    <definedName name="_R22P" localSheetId="9">#REF!</definedName>
    <definedName name="_R22P" localSheetId="10">#REF!</definedName>
    <definedName name="_R22P" localSheetId="8">#REF!</definedName>
    <definedName name="_R22P">#REF!</definedName>
    <definedName name="_R22R" localSheetId="4">#REF!</definedName>
    <definedName name="_R22R" localSheetId="5">#REF!</definedName>
    <definedName name="_R22R" localSheetId="0">#REF!</definedName>
    <definedName name="_R22R" localSheetId="9">#REF!</definedName>
    <definedName name="_R22R" localSheetId="10">#REF!</definedName>
    <definedName name="_R22R" localSheetId="8">#REF!</definedName>
    <definedName name="_R22R">#REF!</definedName>
    <definedName name="_R23P" localSheetId="4">#REF!</definedName>
    <definedName name="_R23P" localSheetId="5">#REF!</definedName>
    <definedName name="_R23P" localSheetId="0">#REF!</definedName>
    <definedName name="_R23P" localSheetId="9">#REF!</definedName>
    <definedName name="_R23P" localSheetId="10">#REF!</definedName>
    <definedName name="_R23P" localSheetId="8">#REF!</definedName>
    <definedName name="_R23P">#REF!</definedName>
    <definedName name="_R23R" localSheetId="4">#REF!</definedName>
    <definedName name="_R23R" localSheetId="5">#REF!</definedName>
    <definedName name="_R23R" localSheetId="0">#REF!</definedName>
    <definedName name="_R23R" localSheetId="9">#REF!</definedName>
    <definedName name="_R23R" localSheetId="10">#REF!</definedName>
    <definedName name="_R23R" localSheetId="8">#REF!</definedName>
    <definedName name="_R23R">#REF!</definedName>
    <definedName name="_R24P" localSheetId="4">#REF!</definedName>
    <definedName name="_R24P" localSheetId="5">#REF!</definedName>
    <definedName name="_R24P" localSheetId="0">#REF!</definedName>
    <definedName name="_R24P" localSheetId="9">#REF!</definedName>
    <definedName name="_R24P" localSheetId="10">#REF!</definedName>
    <definedName name="_R24P" localSheetId="8">#REF!</definedName>
    <definedName name="_R24P">#REF!</definedName>
    <definedName name="_R24R" localSheetId="4">#REF!</definedName>
    <definedName name="_R24R" localSheetId="5">#REF!</definedName>
    <definedName name="_R24R" localSheetId="0">#REF!</definedName>
    <definedName name="_R24R" localSheetId="9">#REF!</definedName>
    <definedName name="_R24R" localSheetId="10">#REF!</definedName>
    <definedName name="_R24R" localSheetId="8">#REF!</definedName>
    <definedName name="_R24R">#REF!</definedName>
    <definedName name="_R2P" localSheetId="4">#REF!</definedName>
    <definedName name="_R2P" localSheetId="5">#REF!</definedName>
    <definedName name="_R2P" localSheetId="0">#REF!</definedName>
    <definedName name="_R2P" localSheetId="9">#REF!</definedName>
    <definedName name="_R2P" localSheetId="10">#REF!</definedName>
    <definedName name="_R2P" localSheetId="8">#REF!</definedName>
    <definedName name="_R2P">#REF!</definedName>
    <definedName name="_R2R" localSheetId="4">#REF!</definedName>
    <definedName name="_R2R" localSheetId="5">#REF!</definedName>
    <definedName name="_R2R" localSheetId="0">#REF!</definedName>
    <definedName name="_R2R" localSheetId="9">#REF!</definedName>
    <definedName name="_R2R" localSheetId="10">#REF!</definedName>
    <definedName name="_R2R" localSheetId="8">#REF!</definedName>
    <definedName name="_R2R">#REF!</definedName>
    <definedName name="_R3P" localSheetId="4">#REF!</definedName>
    <definedName name="_R3P" localSheetId="5">#REF!</definedName>
    <definedName name="_R3P" localSheetId="0">#REF!</definedName>
    <definedName name="_R3P" localSheetId="9">#REF!</definedName>
    <definedName name="_R3P" localSheetId="10">#REF!</definedName>
    <definedName name="_R3P" localSheetId="8">#REF!</definedName>
    <definedName name="_R3P">#REF!</definedName>
    <definedName name="_R3R" localSheetId="4">#REF!</definedName>
    <definedName name="_R3R" localSheetId="5">#REF!</definedName>
    <definedName name="_R3R" localSheetId="0">#REF!</definedName>
    <definedName name="_R3R" localSheetId="9">#REF!</definedName>
    <definedName name="_R3R" localSheetId="10">#REF!</definedName>
    <definedName name="_R3R" localSheetId="8">#REF!</definedName>
    <definedName name="_R3R">#REF!</definedName>
    <definedName name="_R4P" localSheetId="4">#REF!</definedName>
    <definedName name="_R4P" localSheetId="5">#REF!</definedName>
    <definedName name="_R4P" localSheetId="0">#REF!</definedName>
    <definedName name="_R4P" localSheetId="9">#REF!</definedName>
    <definedName name="_R4P" localSheetId="10">#REF!</definedName>
    <definedName name="_R4P" localSheetId="8">#REF!</definedName>
    <definedName name="_R4P">#REF!</definedName>
    <definedName name="_R4R" localSheetId="4">#REF!</definedName>
    <definedName name="_R4R" localSheetId="5">#REF!</definedName>
    <definedName name="_R4R" localSheetId="0">#REF!</definedName>
    <definedName name="_R4R" localSheetId="9">#REF!</definedName>
    <definedName name="_R4R" localSheetId="10">#REF!</definedName>
    <definedName name="_R4R" localSheetId="8">#REF!</definedName>
    <definedName name="_R4R">#REF!</definedName>
    <definedName name="_R5P" localSheetId="4">#REF!</definedName>
    <definedName name="_R5P" localSheetId="5">#REF!</definedName>
    <definedName name="_R5P" localSheetId="0">#REF!</definedName>
    <definedName name="_R5P" localSheetId="9">#REF!</definedName>
    <definedName name="_R5P" localSheetId="10">#REF!</definedName>
    <definedName name="_R5P" localSheetId="8">#REF!</definedName>
    <definedName name="_R5P">#REF!</definedName>
    <definedName name="_R5R" localSheetId="4">#REF!</definedName>
    <definedName name="_R5R" localSheetId="5">#REF!</definedName>
    <definedName name="_R5R" localSheetId="0">#REF!</definedName>
    <definedName name="_R5R" localSheetId="9">#REF!</definedName>
    <definedName name="_R5R" localSheetId="10">#REF!</definedName>
    <definedName name="_R5R" localSheetId="8">#REF!</definedName>
    <definedName name="_R5R">#REF!</definedName>
    <definedName name="_R6P" localSheetId="4">#REF!</definedName>
    <definedName name="_R6P" localSheetId="5">#REF!</definedName>
    <definedName name="_R6P" localSheetId="0">#REF!</definedName>
    <definedName name="_R6P" localSheetId="9">#REF!</definedName>
    <definedName name="_R6P" localSheetId="10">#REF!</definedName>
    <definedName name="_R6P" localSheetId="8">#REF!</definedName>
    <definedName name="_R6P">#REF!</definedName>
    <definedName name="_R6R" localSheetId="4">#REF!</definedName>
    <definedName name="_R6R" localSheetId="5">#REF!</definedName>
    <definedName name="_R6R" localSheetId="0">#REF!</definedName>
    <definedName name="_R6R" localSheetId="9">#REF!</definedName>
    <definedName name="_R6R" localSheetId="10">#REF!</definedName>
    <definedName name="_R6R" localSheetId="8">#REF!</definedName>
    <definedName name="_R6R">#REF!</definedName>
    <definedName name="_R7P" localSheetId="4">#REF!</definedName>
    <definedName name="_R7P" localSheetId="5">#REF!</definedName>
    <definedName name="_R7P" localSheetId="0">#REF!</definedName>
    <definedName name="_R7P" localSheetId="9">#REF!</definedName>
    <definedName name="_R7P" localSheetId="10">#REF!</definedName>
    <definedName name="_R7P" localSheetId="8">#REF!</definedName>
    <definedName name="_R7P">#REF!</definedName>
    <definedName name="_R7R" localSheetId="4">#REF!</definedName>
    <definedName name="_R7R" localSheetId="5">#REF!</definedName>
    <definedName name="_R7R" localSheetId="0">#REF!</definedName>
    <definedName name="_R7R" localSheetId="9">#REF!</definedName>
    <definedName name="_R7R" localSheetId="10">#REF!</definedName>
    <definedName name="_R7R" localSheetId="8">#REF!</definedName>
    <definedName name="_R7R">#REF!</definedName>
    <definedName name="_R8P" localSheetId="4">#REF!</definedName>
    <definedName name="_R8P" localSheetId="5">#REF!</definedName>
    <definedName name="_R8P" localSheetId="0">#REF!</definedName>
    <definedName name="_R8P" localSheetId="9">#REF!</definedName>
    <definedName name="_R8P" localSheetId="10">#REF!</definedName>
    <definedName name="_R8P" localSheetId="8">#REF!</definedName>
    <definedName name="_R8P">#REF!</definedName>
    <definedName name="_R8R" localSheetId="4">#REF!</definedName>
    <definedName name="_R8R" localSheetId="5">#REF!</definedName>
    <definedName name="_R8R" localSheetId="0">#REF!</definedName>
    <definedName name="_R8R" localSheetId="9">#REF!</definedName>
    <definedName name="_R8R" localSheetId="10">#REF!</definedName>
    <definedName name="_R8R" localSheetId="8">#REF!</definedName>
    <definedName name="_R8R">#REF!</definedName>
    <definedName name="_R9P" localSheetId="4">#REF!</definedName>
    <definedName name="_R9P" localSheetId="5">#REF!</definedName>
    <definedName name="_R9P" localSheetId="0">#REF!</definedName>
    <definedName name="_R9P" localSheetId="9">#REF!</definedName>
    <definedName name="_R9P" localSheetId="10">#REF!</definedName>
    <definedName name="_R9P" localSheetId="8">#REF!</definedName>
    <definedName name="_R9P">#REF!</definedName>
    <definedName name="_R9R" localSheetId="4">#REF!</definedName>
    <definedName name="_R9R" localSheetId="5">#REF!</definedName>
    <definedName name="_R9R" localSheetId="0">#REF!</definedName>
    <definedName name="_R9R" localSheetId="9">#REF!</definedName>
    <definedName name="_R9R" localSheetId="10">#REF!</definedName>
    <definedName name="_R9R" localSheetId="8">#REF!</definedName>
    <definedName name="_R9R">#REF!</definedName>
    <definedName name="_RP1" localSheetId="4">#REF!</definedName>
    <definedName name="_RP1" localSheetId="5">#REF!</definedName>
    <definedName name="_RP1" localSheetId="0">#REF!</definedName>
    <definedName name="_RP1" localSheetId="9">#REF!</definedName>
    <definedName name="_RP1" localSheetId="10">#REF!</definedName>
    <definedName name="_RP1" localSheetId="8">#REF!</definedName>
    <definedName name="_RP1">#REF!</definedName>
    <definedName name="_RP10" localSheetId="4">#REF!</definedName>
    <definedName name="_RP10" localSheetId="5">#REF!</definedName>
    <definedName name="_RP10" localSheetId="0">#REF!</definedName>
    <definedName name="_RP10" localSheetId="9">#REF!</definedName>
    <definedName name="_RP10" localSheetId="10">#REF!</definedName>
    <definedName name="_RP10" localSheetId="8">#REF!</definedName>
    <definedName name="_RP10">#REF!</definedName>
    <definedName name="_RP11" localSheetId="4">#REF!</definedName>
    <definedName name="_RP11" localSheetId="5">#REF!</definedName>
    <definedName name="_RP11" localSheetId="0">#REF!</definedName>
    <definedName name="_RP11" localSheetId="9">#REF!</definedName>
    <definedName name="_RP11" localSheetId="10">#REF!</definedName>
    <definedName name="_RP11" localSheetId="8">#REF!</definedName>
    <definedName name="_RP11">#REF!</definedName>
    <definedName name="_RP12" localSheetId="4">#REF!</definedName>
    <definedName name="_RP12" localSheetId="5">#REF!</definedName>
    <definedName name="_RP12" localSheetId="0">#REF!</definedName>
    <definedName name="_RP12" localSheetId="9">#REF!</definedName>
    <definedName name="_RP12" localSheetId="10">#REF!</definedName>
    <definedName name="_RP12" localSheetId="8">#REF!</definedName>
    <definedName name="_RP12">#REF!</definedName>
    <definedName name="_RP13" localSheetId="4">#REF!</definedName>
    <definedName name="_RP13" localSheetId="5">#REF!</definedName>
    <definedName name="_RP13" localSheetId="0">#REF!</definedName>
    <definedName name="_RP13" localSheetId="9">#REF!</definedName>
    <definedName name="_RP13" localSheetId="10">#REF!</definedName>
    <definedName name="_RP13" localSheetId="8">#REF!</definedName>
    <definedName name="_RP13">#REF!</definedName>
    <definedName name="_RP14" localSheetId="4">#REF!</definedName>
    <definedName name="_RP14" localSheetId="5">#REF!</definedName>
    <definedName name="_RP14" localSheetId="0">#REF!</definedName>
    <definedName name="_RP14" localSheetId="9">#REF!</definedName>
    <definedName name="_RP14" localSheetId="10">#REF!</definedName>
    <definedName name="_RP14" localSheetId="8">#REF!</definedName>
    <definedName name="_RP14">#REF!</definedName>
    <definedName name="_RP15" localSheetId="4">#REF!</definedName>
    <definedName name="_RP15" localSheetId="5">#REF!</definedName>
    <definedName name="_RP15" localSheetId="0">#REF!</definedName>
    <definedName name="_RP15" localSheetId="9">#REF!</definedName>
    <definedName name="_RP15" localSheetId="10">#REF!</definedName>
    <definedName name="_RP15" localSheetId="8">#REF!</definedName>
    <definedName name="_RP15">#REF!</definedName>
    <definedName name="_RP16" localSheetId="4">#REF!</definedName>
    <definedName name="_RP16" localSheetId="5">#REF!</definedName>
    <definedName name="_RP16" localSheetId="0">#REF!</definedName>
    <definedName name="_RP16" localSheetId="9">#REF!</definedName>
    <definedName name="_RP16" localSheetId="10">#REF!</definedName>
    <definedName name="_RP16" localSheetId="8">#REF!</definedName>
    <definedName name="_RP16">#REF!</definedName>
    <definedName name="_RP17" localSheetId="4">#REF!</definedName>
    <definedName name="_RP17" localSheetId="5">#REF!</definedName>
    <definedName name="_RP17" localSheetId="0">#REF!</definedName>
    <definedName name="_RP17" localSheetId="9">#REF!</definedName>
    <definedName name="_RP17" localSheetId="10">#REF!</definedName>
    <definedName name="_RP17" localSheetId="8">#REF!</definedName>
    <definedName name="_RP17">#REF!</definedName>
    <definedName name="_RP18" localSheetId="4">#REF!</definedName>
    <definedName name="_RP18" localSheetId="5">#REF!</definedName>
    <definedName name="_RP18" localSheetId="0">#REF!</definedName>
    <definedName name="_RP18" localSheetId="9">#REF!</definedName>
    <definedName name="_RP18" localSheetId="10">#REF!</definedName>
    <definedName name="_RP18" localSheetId="8">#REF!</definedName>
    <definedName name="_RP18">#REF!</definedName>
    <definedName name="_RP19" localSheetId="4">#REF!</definedName>
    <definedName name="_RP19" localSheetId="5">#REF!</definedName>
    <definedName name="_RP19" localSheetId="0">#REF!</definedName>
    <definedName name="_RP19" localSheetId="9">#REF!</definedName>
    <definedName name="_RP19" localSheetId="10">#REF!</definedName>
    <definedName name="_RP19" localSheetId="8">#REF!</definedName>
    <definedName name="_RP19">#REF!</definedName>
    <definedName name="_RP2" localSheetId="4">#REF!</definedName>
    <definedName name="_RP2" localSheetId="5">#REF!</definedName>
    <definedName name="_RP2" localSheetId="0">#REF!</definedName>
    <definedName name="_RP2" localSheetId="9">#REF!</definedName>
    <definedName name="_RP2" localSheetId="10">#REF!</definedName>
    <definedName name="_RP2" localSheetId="8">#REF!</definedName>
    <definedName name="_RP2">#REF!</definedName>
    <definedName name="_RP20" localSheetId="4">#REF!</definedName>
    <definedName name="_RP20" localSheetId="5">#REF!</definedName>
    <definedName name="_RP20" localSheetId="0">#REF!</definedName>
    <definedName name="_RP20" localSheetId="9">#REF!</definedName>
    <definedName name="_RP20" localSheetId="10">#REF!</definedName>
    <definedName name="_RP20" localSheetId="8">#REF!</definedName>
    <definedName name="_RP20">#REF!</definedName>
    <definedName name="_RP21" localSheetId="4">#REF!</definedName>
    <definedName name="_RP21" localSheetId="5">#REF!</definedName>
    <definedName name="_RP21" localSheetId="0">#REF!</definedName>
    <definedName name="_RP21" localSheetId="9">#REF!</definedName>
    <definedName name="_RP21" localSheetId="10">#REF!</definedName>
    <definedName name="_RP21" localSheetId="8">#REF!</definedName>
    <definedName name="_RP21">#REF!</definedName>
    <definedName name="_RP22" localSheetId="4">#REF!</definedName>
    <definedName name="_RP22" localSheetId="5">#REF!</definedName>
    <definedName name="_RP22" localSheetId="0">#REF!</definedName>
    <definedName name="_RP22" localSheetId="9">#REF!</definedName>
    <definedName name="_RP22" localSheetId="10">#REF!</definedName>
    <definedName name="_RP22" localSheetId="8">#REF!</definedName>
    <definedName name="_RP22">#REF!</definedName>
    <definedName name="_RP23" localSheetId="4">#REF!</definedName>
    <definedName name="_RP23" localSheetId="5">#REF!</definedName>
    <definedName name="_RP23" localSheetId="0">#REF!</definedName>
    <definedName name="_RP23" localSheetId="9">#REF!</definedName>
    <definedName name="_RP23" localSheetId="10">#REF!</definedName>
    <definedName name="_RP23" localSheetId="8">#REF!</definedName>
    <definedName name="_RP23">#REF!</definedName>
    <definedName name="_RP24" localSheetId="4">#REF!</definedName>
    <definedName name="_RP24" localSheetId="5">#REF!</definedName>
    <definedName name="_RP24" localSheetId="0">#REF!</definedName>
    <definedName name="_RP24" localSheetId="9">#REF!</definedName>
    <definedName name="_RP24" localSheetId="10">#REF!</definedName>
    <definedName name="_RP24" localSheetId="8">#REF!</definedName>
    <definedName name="_RP24">#REF!</definedName>
    <definedName name="_RP3" localSheetId="4">#REF!</definedName>
    <definedName name="_RP3" localSheetId="5">#REF!</definedName>
    <definedName name="_RP3" localSheetId="0">#REF!</definedName>
    <definedName name="_RP3" localSheetId="9">#REF!</definedName>
    <definedName name="_RP3" localSheetId="10">#REF!</definedName>
    <definedName name="_RP3" localSheetId="8">#REF!</definedName>
    <definedName name="_RP3">#REF!</definedName>
    <definedName name="_RP4" localSheetId="4">#REF!</definedName>
    <definedName name="_RP4" localSheetId="5">#REF!</definedName>
    <definedName name="_RP4" localSheetId="0">#REF!</definedName>
    <definedName name="_RP4" localSheetId="9">#REF!</definedName>
    <definedName name="_RP4" localSheetId="10">#REF!</definedName>
    <definedName name="_RP4" localSheetId="8">#REF!</definedName>
    <definedName name="_RP4">#REF!</definedName>
    <definedName name="_RP5" localSheetId="4">#REF!</definedName>
    <definedName name="_RP5" localSheetId="5">#REF!</definedName>
    <definedName name="_RP5" localSheetId="0">#REF!</definedName>
    <definedName name="_RP5" localSheetId="9">#REF!</definedName>
    <definedName name="_RP5" localSheetId="10">#REF!</definedName>
    <definedName name="_RP5" localSheetId="8">#REF!</definedName>
    <definedName name="_RP5">#REF!</definedName>
    <definedName name="_RP6" localSheetId="4">#REF!</definedName>
    <definedName name="_RP6" localSheetId="5">#REF!</definedName>
    <definedName name="_RP6" localSheetId="0">#REF!</definedName>
    <definedName name="_RP6" localSheetId="9">#REF!</definedName>
    <definedName name="_RP6" localSheetId="10">#REF!</definedName>
    <definedName name="_RP6" localSheetId="8">#REF!</definedName>
    <definedName name="_RP6">#REF!</definedName>
    <definedName name="_RP7" localSheetId="4">#REF!</definedName>
    <definedName name="_RP7" localSheetId="5">#REF!</definedName>
    <definedName name="_RP7" localSheetId="0">#REF!</definedName>
    <definedName name="_RP7" localSheetId="9">#REF!</definedName>
    <definedName name="_RP7" localSheetId="10">#REF!</definedName>
    <definedName name="_RP7" localSheetId="8">#REF!</definedName>
    <definedName name="_RP7">#REF!</definedName>
    <definedName name="_RP8" localSheetId="4">#REF!</definedName>
    <definedName name="_RP8" localSheetId="5">#REF!</definedName>
    <definedName name="_RP8" localSheetId="0">#REF!</definedName>
    <definedName name="_RP8" localSheetId="9">#REF!</definedName>
    <definedName name="_RP8" localSheetId="10">#REF!</definedName>
    <definedName name="_RP8" localSheetId="8">#REF!</definedName>
    <definedName name="_RP8">#REF!</definedName>
    <definedName name="_RP9" localSheetId="4">#REF!</definedName>
    <definedName name="_RP9" localSheetId="5">#REF!</definedName>
    <definedName name="_RP9" localSheetId="0">#REF!</definedName>
    <definedName name="_RP9" localSheetId="9">#REF!</definedName>
    <definedName name="_RP9" localSheetId="10">#REF!</definedName>
    <definedName name="_RP9" localSheetId="8">#REF!</definedName>
    <definedName name="_RP9">#REF!</definedName>
    <definedName name="_RR1" localSheetId="4">#REF!</definedName>
    <definedName name="_RR1" localSheetId="5">#REF!</definedName>
    <definedName name="_RR1" localSheetId="0">#REF!</definedName>
    <definedName name="_RR1" localSheetId="9">#REF!</definedName>
    <definedName name="_RR1" localSheetId="10">#REF!</definedName>
    <definedName name="_RR1" localSheetId="8">#REF!</definedName>
    <definedName name="_RR1">#REF!</definedName>
    <definedName name="_RR10" localSheetId="4">#REF!</definedName>
    <definedName name="_RR10" localSheetId="5">#REF!</definedName>
    <definedName name="_RR10" localSheetId="0">#REF!</definedName>
    <definedName name="_RR10" localSheetId="9">#REF!</definedName>
    <definedName name="_RR10" localSheetId="10">#REF!</definedName>
    <definedName name="_RR10" localSheetId="8">#REF!</definedName>
    <definedName name="_RR10">#REF!</definedName>
    <definedName name="_RR12" localSheetId="4">#REF!</definedName>
    <definedName name="_RR12" localSheetId="5">#REF!</definedName>
    <definedName name="_RR12" localSheetId="0">#REF!</definedName>
    <definedName name="_RR12" localSheetId="9">#REF!</definedName>
    <definedName name="_RR12" localSheetId="10">#REF!</definedName>
    <definedName name="_RR12" localSheetId="8">#REF!</definedName>
    <definedName name="_RR12">#REF!</definedName>
    <definedName name="_RR13" localSheetId="4">#REF!</definedName>
    <definedName name="_RR13" localSheetId="5">#REF!</definedName>
    <definedName name="_RR13" localSheetId="0">#REF!</definedName>
    <definedName name="_RR13" localSheetId="9">#REF!</definedName>
    <definedName name="_RR13" localSheetId="10">#REF!</definedName>
    <definedName name="_RR13" localSheetId="8">#REF!</definedName>
    <definedName name="_RR13">#REF!</definedName>
    <definedName name="_RR14" localSheetId="4">#REF!</definedName>
    <definedName name="_RR14" localSheetId="5">#REF!</definedName>
    <definedName name="_RR14" localSheetId="0">#REF!</definedName>
    <definedName name="_RR14" localSheetId="9">#REF!</definedName>
    <definedName name="_RR14" localSheetId="10">#REF!</definedName>
    <definedName name="_RR14" localSheetId="8">#REF!</definedName>
    <definedName name="_RR14">#REF!</definedName>
    <definedName name="_RR15" localSheetId="4">#REF!</definedName>
    <definedName name="_RR15" localSheetId="5">#REF!</definedName>
    <definedName name="_RR15" localSheetId="0">#REF!</definedName>
    <definedName name="_RR15" localSheetId="9">#REF!</definedName>
    <definedName name="_RR15" localSheetId="10">#REF!</definedName>
    <definedName name="_RR15" localSheetId="8">#REF!</definedName>
    <definedName name="_RR15">#REF!</definedName>
    <definedName name="_RR16" localSheetId="4">#REF!</definedName>
    <definedName name="_RR16" localSheetId="5">#REF!</definedName>
    <definedName name="_RR16" localSheetId="0">#REF!</definedName>
    <definedName name="_RR16" localSheetId="9">#REF!</definedName>
    <definedName name="_RR16" localSheetId="10">#REF!</definedName>
    <definedName name="_RR16" localSheetId="8">#REF!</definedName>
    <definedName name="_RR16">#REF!</definedName>
    <definedName name="_RR17" localSheetId="4">#REF!</definedName>
    <definedName name="_RR17" localSheetId="5">#REF!</definedName>
    <definedName name="_RR17" localSheetId="0">#REF!</definedName>
    <definedName name="_RR17" localSheetId="9">#REF!</definedName>
    <definedName name="_RR17" localSheetId="10">#REF!</definedName>
    <definedName name="_RR17" localSheetId="8">#REF!</definedName>
    <definedName name="_RR17">#REF!</definedName>
    <definedName name="_RR18" localSheetId="4">#REF!</definedName>
    <definedName name="_RR18" localSheetId="5">#REF!</definedName>
    <definedName name="_RR18" localSheetId="0">#REF!</definedName>
    <definedName name="_RR18" localSheetId="9">#REF!</definedName>
    <definedName name="_RR18" localSheetId="10">#REF!</definedName>
    <definedName name="_RR18" localSheetId="8">#REF!</definedName>
    <definedName name="_RR18">#REF!</definedName>
    <definedName name="_RR19" localSheetId="4">#REF!</definedName>
    <definedName name="_RR19" localSheetId="5">#REF!</definedName>
    <definedName name="_RR19" localSheetId="0">#REF!</definedName>
    <definedName name="_RR19" localSheetId="9">#REF!</definedName>
    <definedName name="_RR19" localSheetId="10">#REF!</definedName>
    <definedName name="_RR19" localSheetId="8">#REF!</definedName>
    <definedName name="_RR19">#REF!</definedName>
    <definedName name="_RR2" localSheetId="4">#REF!</definedName>
    <definedName name="_RR2" localSheetId="5">#REF!</definedName>
    <definedName name="_RR2" localSheetId="0">#REF!</definedName>
    <definedName name="_RR2" localSheetId="9">#REF!</definedName>
    <definedName name="_RR2" localSheetId="10">#REF!</definedName>
    <definedName name="_RR2" localSheetId="8">#REF!</definedName>
    <definedName name="_RR2">#REF!</definedName>
    <definedName name="_RR20" localSheetId="4">#REF!</definedName>
    <definedName name="_RR20" localSheetId="5">#REF!</definedName>
    <definedName name="_RR20" localSheetId="0">#REF!</definedName>
    <definedName name="_RR20" localSheetId="9">#REF!</definedName>
    <definedName name="_RR20" localSheetId="10">#REF!</definedName>
    <definedName name="_RR20" localSheetId="8">#REF!</definedName>
    <definedName name="_RR20">#REF!</definedName>
    <definedName name="_RR21" localSheetId="4">#REF!</definedName>
    <definedName name="_RR21" localSheetId="5">#REF!</definedName>
    <definedName name="_RR21" localSheetId="0">#REF!</definedName>
    <definedName name="_RR21" localSheetId="9">#REF!</definedName>
    <definedName name="_RR21" localSheetId="10">#REF!</definedName>
    <definedName name="_RR21" localSheetId="8">#REF!</definedName>
    <definedName name="_RR21">#REF!</definedName>
    <definedName name="_RR22" localSheetId="4">#REF!</definedName>
    <definedName name="_RR22" localSheetId="5">#REF!</definedName>
    <definedName name="_RR22" localSheetId="0">#REF!</definedName>
    <definedName name="_RR22" localSheetId="9">#REF!</definedName>
    <definedName name="_RR22" localSheetId="10">#REF!</definedName>
    <definedName name="_RR22" localSheetId="8">#REF!</definedName>
    <definedName name="_RR22">#REF!</definedName>
    <definedName name="_RR23" localSheetId="4">#REF!</definedName>
    <definedName name="_RR23" localSheetId="5">#REF!</definedName>
    <definedName name="_RR23" localSheetId="0">#REF!</definedName>
    <definedName name="_RR23" localSheetId="9">#REF!</definedName>
    <definedName name="_RR23" localSheetId="10">#REF!</definedName>
    <definedName name="_RR23" localSheetId="8">#REF!</definedName>
    <definedName name="_RR23">#REF!</definedName>
    <definedName name="_RR24" localSheetId="4">#REF!</definedName>
    <definedName name="_RR24" localSheetId="5">#REF!</definedName>
    <definedName name="_RR24" localSheetId="0">#REF!</definedName>
    <definedName name="_RR24" localSheetId="9">#REF!</definedName>
    <definedName name="_RR24" localSheetId="10">#REF!</definedName>
    <definedName name="_RR24" localSheetId="8">#REF!</definedName>
    <definedName name="_RR24">#REF!</definedName>
    <definedName name="_RR3" localSheetId="4">#REF!</definedName>
    <definedName name="_RR3" localSheetId="5">#REF!</definedName>
    <definedName name="_RR3" localSheetId="0">#REF!</definedName>
    <definedName name="_RR3" localSheetId="9">#REF!</definedName>
    <definedName name="_RR3" localSheetId="10">#REF!</definedName>
    <definedName name="_RR3" localSheetId="8">#REF!</definedName>
    <definedName name="_RR3">#REF!</definedName>
    <definedName name="_RR4" localSheetId="4">#REF!</definedName>
    <definedName name="_RR4" localSheetId="5">#REF!</definedName>
    <definedName name="_RR4" localSheetId="0">#REF!</definedName>
    <definedName name="_RR4" localSheetId="9">#REF!</definedName>
    <definedName name="_RR4" localSheetId="10">#REF!</definedName>
    <definedName name="_RR4" localSheetId="8">#REF!</definedName>
    <definedName name="_RR4">#REF!</definedName>
    <definedName name="_RR5" localSheetId="4">#REF!</definedName>
    <definedName name="_RR5" localSheetId="5">#REF!</definedName>
    <definedName name="_RR5" localSheetId="0">#REF!</definedName>
    <definedName name="_RR5" localSheetId="9">#REF!</definedName>
    <definedName name="_RR5" localSheetId="10">#REF!</definedName>
    <definedName name="_RR5" localSheetId="8">#REF!</definedName>
    <definedName name="_RR5">#REF!</definedName>
    <definedName name="_RR6" localSheetId="4">#REF!</definedName>
    <definedName name="_RR6" localSheetId="5">#REF!</definedName>
    <definedName name="_RR6" localSheetId="0">#REF!</definedName>
    <definedName name="_RR6" localSheetId="9">#REF!</definedName>
    <definedName name="_RR6" localSheetId="10">#REF!</definedName>
    <definedName name="_RR6" localSheetId="8">#REF!</definedName>
    <definedName name="_RR6">#REF!</definedName>
    <definedName name="_RR7" localSheetId="4">#REF!</definedName>
    <definedName name="_RR7" localSheetId="5">#REF!</definedName>
    <definedName name="_RR7" localSheetId="0">#REF!</definedName>
    <definedName name="_RR7" localSheetId="9">#REF!</definedName>
    <definedName name="_RR7" localSheetId="10">#REF!</definedName>
    <definedName name="_RR7" localSheetId="8">#REF!</definedName>
    <definedName name="_RR7">#REF!</definedName>
    <definedName name="_RR8" localSheetId="4">#REF!</definedName>
    <definedName name="_RR8" localSheetId="5">#REF!</definedName>
    <definedName name="_RR8" localSheetId="0">#REF!</definedName>
    <definedName name="_RR8" localSheetId="9">#REF!</definedName>
    <definedName name="_RR8" localSheetId="10">#REF!</definedName>
    <definedName name="_RR8" localSheetId="8">#REF!</definedName>
    <definedName name="_RR8">#REF!</definedName>
    <definedName name="_RR9" localSheetId="4">#REF!</definedName>
    <definedName name="_RR9" localSheetId="5">#REF!</definedName>
    <definedName name="_RR9" localSheetId="0">#REF!</definedName>
    <definedName name="_RR9" localSheetId="9">#REF!</definedName>
    <definedName name="_RR9" localSheetId="10">#REF!</definedName>
    <definedName name="_RR9" localSheetId="8">#REF!</definedName>
    <definedName name="_RR9">#REF!</definedName>
    <definedName name="_tt1">"$#REF!.$A$1:$B$3278"</definedName>
    <definedName name="A1P1" localSheetId="4">#REF!</definedName>
    <definedName name="A1P1" localSheetId="5">#REF!</definedName>
    <definedName name="A1P1" localSheetId="0">#REF!</definedName>
    <definedName name="A1P1" localSheetId="9">#REF!</definedName>
    <definedName name="A1P1" localSheetId="10">#REF!</definedName>
    <definedName name="A1P1" localSheetId="8">#REF!</definedName>
    <definedName name="A1P1">#REF!</definedName>
    <definedName name="A1P10" localSheetId="4">#REF!</definedName>
    <definedName name="A1P10" localSheetId="5">#REF!</definedName>
    <definedName name="A1P10" localSheetId="0">#REF!</definedName>
    <definedName name="A1P10" localSheetId="9">#REF!</definedName>
    <definedName name="A1P10" localSheetId="10">#REF!</definedName>
    <definedName name="A1P10" localSheetId="8">#REF!</definedName>
    <definedName name="A1P10">#REF!</definedName>
    <definedName name="A1P11" localSheetId="4">#REF!</definedName>
    <definedName name="A1P11" localSheetId="5">#REF!</definedName>
    <definedName name="A1P11" localSheetId="0">#REF!</definedName>
    <definedName name="A1P11" localSheetId="9">#REF!</definedName>
    <definedName name="A1P11" localSheetId="10">#REF!</definedName>
    <definedName name="A1P11" localSheetId="8">#REF!</definedName>
    <definedName name="A1P11">#REF!</definedName>
    <definedName name="A1P12" localSheetId="4">#REF!</definedName>
    <definedName name="A1P12" localSheetId="5">#REF!</definedName>
    <definedName name="A1P12" localSheetId="0">#REF!</definedName>
    <definedName name="A1P12" localSheetId="9">#REF!</definedName>
    <definedName name="A1P12" localSheetId="10">#REF!</definedName>
    <definedName name="A1P12" localSheetId="8">#REF!</definedName>
    <definedName name="A1P12">#REF!</definedName>
    <definedName name="A1P13" localSheetId="4">#REF!</definedName>
    <definedName name="A1P13" localSheetId="5">#REF!</definedName>
    <definedName name="A1P13" localSheetId="0">#REF!</definedName>
    <definedName name="A1P13" localSheetId="9">#REF!</definedName>
    <definedName name="A1P13" localSheetId="10">#REF!</definedName>
    <definedName name="A1P13" localSheetId="8">#REF!</definedName>
    <definedName name="A1P13">#REF!</definedName>
    <definedName name="A1P14" localSheetId="4">#REF!</definedName>
    <definedName name="A1P14" localSheetId="5">#REF!</definedName>
    <definedName name="A1P14" localSheetId="0">#REF!</definedName>
    <definedName name="A1P14" localSheetId="9">#REF!</definedName>
    <definedName name="A1P14" localSheetId="10">#REF!</definedName>
    <definedName name="A1P14" localSheetId="8">#REF!</definedName>
    <definedName name="A1P14">#REF!</definedName>
    <definedName name="A1P15" localSheetId="4">#REF!</definedName>
    <definedName name="A1P15" localSheetId="5">#REF!</definedName>
    <definedName name="A1P15" localSheetId="0">#REF!</definedName>
    <definedName name="A1P15" localSheetId="9">#REF!</definedName>
    <definedName name="A1P15" localSheetId="10">#REF!</definedName>
    <definedName name="A1P15" localSheetId="8">#REF!</definedName>
    <definedName name="A1P15">#REF!</definedName>
    <definedName name="A1P16" localSheetId="4">#REF!</definedName>
    <definedName name="A1P16" localSheetId="5">#REF!</definedName>
    <definedName name="A1P16" localSheetId="0">#REF!</definedName>
    <definedName name="A1P16" localSheetId="9">#REF!</definedName>
    <definedName name="A1P16" localSheetId="10">#REF!</definedName>
    <definedName name="A1P16" localSheetId="8">#REF!</definedName>
    <definedName name="A1P16">#REF!</definedName>
    <definedName name="A1P17" localSheetId="4">#REF!</definedName>
    <definedName name="A1P17" localSheetId="5">#REF!</definedName>
    <definedName name="A1P17" localSheetId="0">#REF!</definedName>
    <definedName name="A1P17" localSheetId="9">#REF!</definedName>
    <definedName name="A1P17" localSheetId="10">#REF!</definedName>
    <definedName name="A1P17" localSheetId="8">#REF!</definedName>
    <definedName name="A1P17">#REF!</definedName>
    <definedName name="A1P18" localSheetId="4">#REF!</definedName>
    <definedName name="A1P18" localSheetId="5">#REF!</definedName>
    <definedName name="A1P18" localSheetId="0">#REF!</definedName>
    <definedName name="A1P18" localSheetId="9">#REF!</definedName>
    <definedName name="A1P18" localSheetId="10">#REF!</definedName>
    <definedName name="A1P18" localSheetId="8">#REF!</definedName>
    <definedName name="A1P18">#REF!</definedName>
    <definedName name="A1P19" localSheetId="4">#REF!</definedName>
    <definedName name="A1P19" localSheetId="5">#REF!</definedName>
    <definedName name="A1P19" localSheetId="0">#REF!</definedName>
    <definedName name="A1P19" localSheetId="9">#REF!</definedName>
    <definedName name="A1P19" localSheetId="10">#REF!</definedName>
    <definedName name="A1P19" localSheetId="8">#REF!</definedName>
    <definedName name="A1P19">#REF!</definedName>
    <definedName name="A1P2" localSheetId="4">#REF!</definedName>
    <definedName name="A1P2" localSheetId="5">#REF!</definedName>
    <definedName name="A1P2" localSheetId="0">#REF!</definedName>
    <definedName name="A1P2" localSheetId="9">#REF!</definedName>
    <definedName name="A1P2" localSheetId="10">#REF!</definedName>
    <definedName name="A1P2" localSheetId="8">#REF!</definedName>
    <definedName name="A1P2">#REF!</definedName>
    <definedName name="A1P20" localSheetId="4">#REF!</definedName>
    <definedName name="A1P20" localSheetId="5">#REF!</definedName>
    <definedName name="A1P20" localSheetId="0">#REF!</definedName>
    <definedName name="A1P20" localSheetId="9">#REF!</definedName>
    <definedName name="A1P20" localSheetId="10">#REF!</definedName>
    <definedName name="A1P20" localSheetId="8">#REF!</definedName>
    <definedName name="A1P20">#REF!</definedName>
    <definedName name="A1P21" localSheetId="4">#REF!</definedName>
    <definedName name="A1P21" localSheetId="5">#REF!</definedName>
    <definedName name="A1P21" localSheetId="0">#REF!</definedName>
    <definedName name="A1P21" localSheetId="9">#REF!</definedName>
    <definedName name="A1P21" localSheetId="10">#REF!</definedName>
    <definedName name="A1P21" localSheetId="8">#REF!</definedName>
    <definedName name="A1P21">#REF!</definedName>
    <definedName name="A1P22" localSheetId="4">#REF!</definedName>
    <definedName name="A1P22" localSheetId="5">#REF!</definedName>
    <definedName name="A1P22" localSheetId="0">#REF!</definedName>
    <definedName name="A1P22" localSheetId="9">#REF!</definedName>
    <definedName name="A1P22" localSheetId="10">#REF!</definedName>
    <definedName name="A1P22" localSheetId="8">#REF!</definedName>
    <definedName name="A1P22">#REF!</definedName>
    <definedName name="A1P23" localSheetId="4">#REF!</definedName>
    <definedName name="A1P23" localSheetId="5">#REF!</definedName>
    <definedName name="A1P23" localSheetId="0">#REF!</definedName>
    <definedName name="A1P23" localSheetId="9">#REF!</definedName>
    <definedName name="A1P23" localSheetId="10">#REF!</definedName>
    <definedName name="A1P23" localSheetId="8">#REF!</definedName>
    <definedName name="A1P23">#REF!</definedName>
    <definedName name="A1P24" localSheetId="4">#REF!</definedName>
    <definedName name="A1P24" localSheetId="5">#REF!</definedName>
    <definedName name="A1P24" localSheetId="0">#REF!</definedName>
    <definedName name="A1P24" localSheetId="9">#REF!</definedName>
    <definedName name="A1P24" localSheetId="10">#REF!</definedName>
    <definedName name="A1P24" localSheetId="8">#REF!</definedName>
    <definedName name="A1P24">#REF!</definedName>
    <definedName name="A1P3" localSheetId="4">#REF!</definedName>
    <definedName name="A1P3" localSheetId="5">#REF!</definedName>
    <definedName name="A1P3" localSheetId="0">#REF!</definedName>
    <definedName name="A1P3" localSheetId="9">#REF!</definedName>
    <definedName name="A1P3" localSheetId="10">#REF!</definedName>
    <definedName name="A1P3" localSheetId="8">#REF!</definedName>
    <definedName name="A1P3">#REF!</definedName>
    <definedName name="A1P4" localSheetId="4">#REF!</definedName>
    <definedName name="A1P4" localSheetId="5">#REF!</definedName>
    <definedName name="A1P4" localSheetId="0">#REF!</definedName>
    <definedName name="A1P4" localSheetId="9">#REF!</definedName>
    <definedName name="A1P4" localSheetId="10">#REF!</definedName>
    <definedName name="A1P4" localSheetId="8">#REF!</definedName>
    <definedName name="A1P4">#REF!</definedName>
    <definedName name="A1P5" localSheetId="4">#REF!</definedName>
    <definedName name="A1P5" localSheetId="5">#REF!</definedName>
    <definedName name="A1P5" localSheetId="0">#REF!</definedName>
    <definedName name="A1P5" localSheetId="9">#REF!</definedName>
    <definedName name="A1P5" localSheetId="10">#REF!</definedName>
    <definedName name="A1P5" localSheetId="8">#REF!</definedName>
    <definedName name="A1P5">#REF!</definedName>
    <definedName name="A1P6" localSheetId="4">#REF!</definedName>
    <definedName name="A1P6" localSheetId="5">#REF!</definedName>
    <definedName name="A1P6" localSheetId="0">#REF!</definedName>
    <definedName name="A1P6" localSheetId="9">#REF!</definedName>
    <definedName name="A1P6" localSheetId="10">#REF!</definedName>
    <definedName name="A1P6" localSheetId="8">#REF!</definedName>
    <definedName name="A1P6">#REF!</definedName>
    <definedName name="A1P7" localSheetId="4">#REF!</definedName>
    <definedName name="A1P7" localSheetId="5">#REF!</definedName>
    <definedName name="A1P7" localSheetId="0">#REF!</definedName>
    <definedName name="A1P7" localSheetId="9">#REF!</definedName>
    <definedName name="A1P7" localSheetId="10">#REF!</definedName>
    <definedName name="A1P7" localSheetId="8">#REF!</definedName>
    <definedName name="A1P7">#REF!</definedName>
    <definedName name="A1P8" localSheetId="4">#REF!</definedName>
    <definedName name="A1P8" localSheetId="5">#REF!</definedName>
    <definedName name="A1P8" localSheetId="0">#REF!</definedName>
    <definedName name="A1P8" localSheetId="9">#REF!</definedName>
    <definedName name="A1P8" localSheetId="10">#REF!</definedName>
    <definedName name="A1P8" localSheetId="8">#REF!</definedName>
    <definedName name="A1P8">#REF!</definedName>
    <definedName name="A1P9" localSheetId="4">#REF!</definedName>
    <definedName name="A1P9" localSheetId="5">#REF!</definedName>
    <definedName name="A1P9" localSheetId="0">#REF!</definedName>
    <definedName name="A1P9" localSheetId="9">#REF!</definedName>
    <definedName name="A1P9" localSheetId="10">#REF!</definedName>
    <definedName name="A1P9" localSheetId="8">#REF!</definedName>
    <definedName name="A1P9">#REF!</definedName>
    <definedName name="A1R1" localSheetId="4">#REF!</definedName>
    <definedName name="A1R1" localSheetId="5">#REF!</definedName>
    <definedName name="A1R1" localSheetId="0">#REF!</definedName>
    <definedName name="A1R1" localSheetId="9">#REF!</definedName>
    <definedName name="A1R1" localSheetId="10">#REF!</definedName>
    <definedName name="A1R1" localSheetId="8">#REF!</definedName>
    <definedName name="A1R1">#REF!</definedName>
    <definedName name="A1R10" localSheetId="4">#REF!</definedName>
    <definedName name="A1R10" localSheetId="5">#REF!</definedName>
    <definedName name="A1R10" localSheetId="0">#REF!</definedName>
    <definedName name="A1R10" localSheetId="9">#REF!</definedName>
    <definedName name="A1R10" localSheetId="10">#REF!</definedName>
    <definedName name="A1R10" localSheetId="8">#REF!</definedName>
    <definedName name="A1R10">#REF!</definedName>
    <definedName name="A1R11" localSheetId="4">#REF!</definedName>
    <definedName name="A1R11" localSheetId="5">#REF!</definedName>
    <definedName name="A1R11" localSheetId="0">#REF!</definedName>
    <definedName name="A1R11" localSheetId="9">#REF!</definedName>
    <definedName name="A1R11" localSheetId="10">#REF!</definedName>
    <definedName name="A1R11" localSheetId="8">#REF!</definedName>
    <definedName name="A1R11">#REF!</definedName>
    <definedName name="A1R12" localSheetId="4">#REF!</definedName>
    <definedName name="A1R12" localSheetId="5">#REF!</definedName>
    <definedName name="A1R12" localSheetId="0">#REF!</definedName>
    <definedName name="A1R12" localSheetId="9">#REF!</definedName>
    <definedName name="A1R12" localSheetId="10">#REF!</definedName>
    <definedName name="A1R12" localSheetId="8">#REF!</definedName>
    <definedName name="A1R12">#REF!</definedName>
    <definedName name="A1R13" localSheetId="4">#REF!</definedName>
    <definedName name="A1R13" localSheetId="5">#REF!</definedName>
    <definedName name="A1R13" localSheetId="0">#REF!</definedName>
    <definedName name="A1R13" localSheetId="9">#REF!</definedName>
    <definedName name="A1R13" localSheetId="10">#REF!</definedName>
    <definedName name="A1R13" localSheetId="8">#REF!</definedName>
    <definedName name="A1R13">#REF!</definedName>
    <definedName name="A1R14" localSheetId="4">#REF!</definedName>
    <definedName name="A1R14" localSheetId="5">#REF!</definedName>
    <definedName name="A1R14" localSheetId="0">#REF!</definedName>
    <definedName name="A1R14" localSheetId="9">#REF!</definedName>
    <definedName name="A1R14" localSheetId="10">#REF!</definedName>
    <definedName name="A1R14" localSheetId="8">#REF!</definedName>
    <definedName name="A1R14">#REF!</definedName>
    <definedName name="A1R15" localSheetId="4">#REF!</definedName>
    <definedName name="A1R15" localSheetId="5">#REF!</definedName>
    <definedName name="A1R15" localSheetId="0">#REF!</definedName>
    <definedName name="A1R15" localSheetId="9">#REF!</definedName>
    <definedName name="A1R15" localSheetId="10">#REF!</definedName>
    <definedName name="A1R15" localSheetId="8">#REF!</definedName>
    <definedName name="A1R15">#REF!</definedName>
    <definedName name="A1R16" localSheetId="4">#REF!</definedName>
    <definedName name="A1R16" localSheetId="5">#REF!</definedName>
    <definedName name="A1R16" localSheetId="0">#REF!</definedName>
    <definedName name="A1R16" localSheetId="9">#REF!</definedName>
    <definedName name="A1R16" localSheetId="10">#REF!</definedName>
    <definedName name="A1R16" localSheetId="8">#REF!</definedName>
    <definedName name="A1R16">#REF!</definedName>
    <definedName name="A1R17" localSheetId="4">#REF!</definedName>
    <definedName name="A1R17" localSheetId="5">#REF!</definedName>
    <definedName name="A1R17" localSheetId="0">#REF!</definedName>
    <definedName name="A1R17" localSheetId="9">#REF!</definedName>
    <definedName name="A1R17" localSheetId="10">#REF!</definedName>
    <definedName name="A1R17" localSheetId="8">#REF!</definedName>
    <definedName name="A1R17">#REF!</definedName>
    <definedName name="A1R18" localSheetId="4">#REF!</definedName>
    <definedName name="A1R18" localSheetId="5">#REF!</definedName>
    <definedName name="A1R18" localSheetId="0">#REF!</definedName>
    <definedName name="A1R18" localSheetId="9">#REF!</definedName>
    <definedName name="A1R18" localSheetId="10">#REF!</definedName>
    <definedName name="A1R18" localSheetId="8">#REF!</definedName>
    <definedName name="A1R18">#REF!</definedName>
    <definedName name="A1R19" localSheetId="4">#REF!</definedName>
    <definedName name="A1R19" localSheetId="5">#REF!</definedName>
    <definedName name="A1R19" localSheetId="0">#REF!</definedName>
    <definedName name="A1R19" localSheetId="9">#REF!</definedName>
    <definedName name="A1R19" localSheetId="10">#REF!</definedName>
    <definedName name="A1R19" localSheetId="8">#REF!</definedName>
    <definedName name="A1R19">#REF!</definedName>
    <definedName name="A1R2" localSheetId="4">#REF!</definedName>
    <definedName name="A1R2" localSheetId="5">#REF!</definedName>
    <definedName name="A1R2" localSheetId="0">#REF!</definedName>
    <definedName name="A1R2" localSheetId="9">#REF!</definedName>
    <definedName name="A1R2" localSheetId="10">#REF!</definedName>
    <definedName name="A1R2" localSheetId="8">#REF!</definedName>
    <definedName name="A1R2">#REF!</definedName>
    <definedName name="A1R20" localSheetId="4">#REF!</definedName>
    <definedName name="A1R20" localSheetId="5">#REF!</definedName>
    <definedName name="A1R20" localSheetId="0">#REF!</definedName>
    <definedName name="A1R20" localSheetId="9">#REF!</definedName>
    <definedName name="A1R20" localSheetId="10">#REF!</definedName>
    <definedName name="A1R20" localSheetId="8">#REF!</definedName>
    <definedName name="A1R20">#REF!</definedName>
    <definedName name="A1R21" localSheetId="4">#REF!</definedName>
    <definedName name="A1R21" localSheetId="5">#REF!</definedName>
    <definedName name="A1R21" localSheetId="0">#REF!</definedName>
    <definedName name="A1R21" localSheetId="9">#REF!</definedName>
    <definedName name="A1R21" localSheetId="10">#REF!</definedName>
    <definedName name="A1R21" localSheetId="8">#REF!</definedName>
    <definedName name="A1R21">#REF!</definedName>
    <definedName name="A1R22" localSheetId="4">#REF!</definedName>
    <definedName name="A1R22" localSheetId="5">#REF!</definedName>
    <definedName name="A1R22" localSheetId="0">#REF!</definedName>
    <definedName name="A1R22" localSheetId="9">#REF!</definedName>
    <definedName name="A1R22" localSheetId="10">#REF!</definedName>
    <definedName name="A1R22" localSheetId="8">#REF!</definedName>
    <definedName name="A1R22">#REF!</definedName>
    <definedName name="A1R23" localSheetId="4">#REF!</definedName>
    <definedName name="A1R23" localSheetId="5">#REF!</definedName>
    <definedName name="A1R23" localSheetId="0">#REF!</definedName>
    <definedName name="A1R23" localSheetId="9">#REF!</definedName>
    <definedName name="A1R23" localSheetId="10">#REF!</definedName>
    <definedName name="A1R23" localSheetId="8">#REF!</definedName>
    <definedName name="A1R23">#REF!</definedName>
    <definedName name="A1R24" localSheetId="4">#REF!</definedName>
    <definedName name="A1R24" localSheetId="5">#REF!</definedName>
    <definedName name="A1R24" localSheetId="0">#REF!</definedName>
    <definedName name="A1R24" localSheetId="9">#REF!</definedName>
    <definedName name="A1R24" localSheetId="10">#REF!</definedName>
    <definedName name="A1R24" localSheetId="8">#REF!</definedName>
    <definedName name="A1R24">#REF!</definedName>
    <definedName name="A1R3" localSheetId="4">#REF!</definedName>
    <definedName name="A1R3" localSheetId="5">#REF!</definedName>
    <definedName name="A1R3" localSheetId="0">#REF!</definedName>
    <definedName name="A1R3" localSheetId="9">#REF!</definedName>
    <definedName name="A1R3" localSheetId="10">#REF!</definedName>
    <definedName name="A1R3" localSheetId="8">#REF!</definedName>
    <definedName name="A1R3">#REF!</definedName>
    <definedName name="A1R4" localSheetId="4">#REF!</definedName>
    <definedName name="A1R4" localSheetId="5">#REF!</definedName>
    <definedName name="A1R4" localSheetId="0">#REF!</definedName>
    <definedName name="A1R4" localSheetId="9">#REF!</definedName>
    <definedName name="A1R4" localSheetId="10">#REF!</definedName>
    <definedName name="A1R4" localSheetId="8">#REF!</definedName>
    <definedName name="A1R4">#REF!</definedName>
    <definedName name="A1R5" localSheetId="4">#REF!</definedName>
    <definedName name="A1R5" localSheetId="5">#REF!</definedName>
    <definedName name="A1R5" localSheetId="0">#REF!</definedName>
    <definedName name="A1R5" localSheetId="9">#REF!</definedName>
    <definedName name="A1R5" localSheetId="10">#REF!</definedName>
    <definedName name="A1R5" localSheetId="8">#REF!</definedName>
    <definedName name="A1R5">#REF!</definedName>
    <definedName name="A1R6" localSheetId="4">#REF!</definedName>
    <definedName name="A1R6" localSheetId="5">#REF!</definedName>
    <definedName name="A1R6" localSheetId="0">#REF!</definedName>
    <definedName name="A1R6" localSheetId="9">#REF!</definedName>
    <definedName name="A1R6" localSheetId="10">#REF!</definedName>
    <definedName name="A1R6" localSheetId="8">#REF!</definedName>
    <definedName name="A1R6">#REF!</definedName>
    <definedName name="A1R7" localSheetId="4">#REF!</definedName>
    <definedName name="A1R7" localSheetId="5">#REF!</definedName>
    <definedName name="A1R7" localSheetId="0">#REF!</definedName>
    <definedName name="A1R7" localSheetId="9">#REF!</definedName>
    <definedName name="A1R7" localSheetId="10">#REF!</definedName>
    <definedName name="A1R7" localSheetId="8">#REF!</definedName>
    <definedName name="A1R7">#REF!</definedName>
    <definedName name="A1R8" localSheetId="4">#REF!</definedName>
    <definedName name="A1R8" localSheetId="5">#REF!</definedName>
    <definedName name="A1R8" localSheetId="0">#REF!</definedName>
    <definedName name="A1R8" localSheetId="9">#REF!</definedName>
    <definedName name="A1R8" localSheetId="10">#REF!</definedName>
    <definedName name="A1R8" localSheetId="8">#REF!</definedName>
    <definedName name="A1R8">#REF!</definedName>
    <definedName name="A1R9" localSheetId="4">#REF!</definedName>
    <definedName name="A1R9" localSheetId="5">#REF!</definedName>
    <definedName name="A1R9" localSheetId="0">#REF!</definedName>
    <definedName name="A1R9" localSheetId="9">#REF!</definedName>
    <definedName name="A1R9" localSheetId="10">#REF!</definedName>
    <definedName name="A1R9" localSheetId="8">#REF!</definedName>
    <definedName name="A1R9">#REF!</definedName>
    <definedName name="A2P1" localSheetId="4">#REF!</definedName>
    <definedName name="A2P1" localSheetId="5">#REF!</definedName>
    <definedName name="A2P1" localSheetId="0">#REF!</definedName>
    <definedName name="A2P1" localSheetId="9">#REF!</definedName>
    <definedName name="A2P1" localSheetId="10">#REF!</definedName>
    <definedName name="A2P1" localSheetId="8">#REF!</definedName>
    <definedName name="A2P1">#REF!</definedName>
    <definedName name="A2P10" localSheetId="4">#REF!</definedName>
    <definedName name="A2P10" localSheetId="5">#REF!</definedName>
    <definedName name="A2P10" localSheetId="0">#REF!</definedName>
    <definedName name="A2P10" localSheetId="9">#REF!</definedName>
    <definedName name="A2P10" localSheetId="10">#REF!</definedName>
    <definedName name="A2P10" localSheetId="8">#REF!</definedName>
    <definedName name="A2P10">#REF!</definedName>
    <definedName name="A2P11" localSheetId="4">#REF!</definedName>
    <definedName name="A2P11" localSheetId="5">#REF!</definedName>
    <definedName name="A2P11" localSheetId="0">#REF!</definedName>
    <definedName name="A2P11" localSheetId="9">#REF!</definedName>
    <definedName name="A2P11" localSheetId="10">#REF!</definedName>
    <definedName name="A2P11" localSheetId="8">#REF!</definedName>
    <definedName name="A2P11">#REF!</definedName>
    <definedName name="A2P12" localSheetId="4">#REF!</definedName>
    <definedName name="A2P12" localSheetId="5">#REF!</definedName>
    <definedName name="A2P12" localSheetId="0">#REF!</definedName>
    <definedName name="A2P12" localSheetId="9">#REF!</definedName>
    <definedName name="A2P12" localSheetId="10">#REF!</definedName>
    <definedName name="A2P12" localSheetId="8">#REF!</definedName>
    <definedName name="A2P12">#REF!</definedName>
    <definedName name="A2P13" localSheetId="4">#REF!</definedName>
    <definedName name="A2P13" localSheetId="5">#REF!</definedName>
    <definedName name="A2P13" localSheetId="0">#REF!</definedName>
    <definedName name="A2P13" localSheetId="9">#REF!</definedName>
    <definedName name="A2P13" localSheetId="10">#REF!</definedName>
    <definedName name="A2P13" localSheetId="8">#REF!</definedName>
    <definedName name="A2P13">#REF!</definedName>
    <definedName name="A2P14" localSheetId="4">#REF!</definedName>
    <definedName name="A2P14" localSheetId="5">#REF!</definedName>
    <definedName name="A2P14" localSheetId="0">#REF!</definedName>
    <definedName name="A2P14" localSheetId="9">#REF!</definedName>
    <definedName name="A2P14" localSheetId="10">#REF!</definedName>
    <definedName name="A2P14" localSheetId="8">#REF!</definedName>
    <definedName name="A2P14">#REF!</definedName>
    <definedName name="A2P15" localSheetId="4">#REF!</definedName>
    <definedName name="A2P15" localSheetId="5">#REF!</definedName>
    <definedName name="A2P15" localSheetId="0">#REF!</definedName>
    <definedName name="A2P15" localSheetId="9">#REF!</definedName>
    <definedName name="A2P15" localSheetId="10">#REF!</definedName>
    <definedName name="A2P15" localSheetId="8">#REF!</definedName>
    <definedName name="A2P15">#REF!</definedName>
    <definedName name="A2P16" localSheetId="4">#REF!</definedName>
    <definedName name="A2P16" localSheetId="5">#REF!</definedName>
    <definedName name="A2P16" localSheetId="0">#REF!</definedName>
    <definedName name="A2P16" localSheetId="9">#REF!</definedName>
    <definedName name="A2P16" localSheetId="10">#REF!</definedName>
    <definedName name="A2P16" localSheetId="8">#REF!</definedName>
    <definedName name="A2P16">#REF!</definedName>
    <definedName name="A2P17" localSheetId="4">#REF!</definedName>
    <definedName name="A2P17" localSheetId="5">#REF!</definedName>
    <definedName name="A2P17" localSheetId="0">#REF!</definedName>
    <definedName name="A2P17" localSheetId="9">#REF!</definedName>
    <definedName name="A2P17" localSheetId="10">#REF!</definedName>
    <definedName name="A2P17" localSheetId="8">#REF!</definedName>
    <definedName name="A2P17">#REF!</definedName>
    <definedName name="A2P18" localSheetId="4">#REF!</definedName>
    <definedName name="A2P18" localSheetId="5">#REF!</definedName>
    <definedName name="A2P18" localSheetId="0">#REF!</definedName>
    <definedName name="A2P18" localSheetId="9">#REF!</definedName>
    <definedName name="A2P18" localSheetId="10">#REF!</definedName>
    <definedName name="A2P18" localSheetId="8">#REF!</definedName>
    <definedName name="A2P18">#REF!</definedName>
    <definedName name="A2P19" localSheetId="4">#REF!</definedName>
    <definedName name="A2P19" localSheetId="5">#REF!</definedName>
    <definedName name="A2P19" localSheetId="0">#REF!</definedName>
    <definedName name="A2P19" localSheetId="9">#REF!</definedName>
    <definedName name="A2P19" localSheetId="10">#REF!</definedName>
    <definedName name="A2P19" localSheetId="8">#REF!</definedName>
    <definedName name="A2P19">#REF!</definedName>
    <definedName name="A2P2" localSheetId="4">#REF!</definedName>
    <definedName name="A2P2" localSheetId="5">#REF!</definedName>
    <definedName name="A2P2" localSheetId="0">#REF!</definedName>
    <definedName name="A2P2" localSheetId="9">#REF!</definedName>
    <definedName name="A2P2" localSheetId="10">#REF!</definedName>
    <definedName name="A2P2" localSheetId="8">#REF!</definedName>
    <definedName name="A2P2">#REF!</definedName>
    <definedName name="A2P20" localSheetId="4">#REF!</definedName>
    <definedName name="A2P20" localSheetId="5">#REF!</definedName>
    <definedName name="A2P20" localSheetId="0">#REF!</definedName>
    <definedName name="A2P20" localSheetId="9">#REF!</definedName>
    <definedName name="A2P20" localSheetId="10">#REF!</definedName>
    <definedName name="A2P20" localSheetId="8">#REF!</definedName>
    <definedName name="A2P20">#REF!</definedName>
    <definedName name="A2P21" localSheetId="4">#REF!</definedName>
    <definedName name="A2P21" localSheetId="5">#REF!</definedName>
    <definedName name="A2P21" localSheetId="0">#REF!</definedName>
    <definedName name="A2P21" localSheetId="9">#REF!</definedName>
    <definedName name="A2P21" localSheetId="10">#REF!</definedName>
    <definedName name="A2P21" localSheetId="8">#REF!</definedName>
    <definedName name="A2P21">#REF!</definedName>
    <definedName name="A2P22" localSheetId="4">#REF!</definedName>
    <definedName name="A2P22" localSheetId="5">#REF!</definedName>
    <definedName name="A2P22" localSheetId="0">#REF!</definedName>
    <definedName name="A2P22" localSheetId="9">#REF!</definedName>
    <definedName name="A2P22" localSheetId="10">#REF!</definedName>
    <definedName name="A2P22" localSheetId="8">#REF!</definedName>
    <definedName name="A2P22">#REF!</definedName>
    <definedName name="A2P23" localSheetId="4">#REF!</definedName>
    <definedName name="A2P23" localSheetId="5">#REF!</definedName>
    <definedName name="A2P23" localSheetId="0">#REF!</definedName>
    <definedName name="A2P23" localSheetId="9">#REF!</definedName>
    <definedName name="A2P23" localSheetId="10">#REF!</definedName>
    <definedName name="A2P23" localSheetId="8">#REF!</definedName>
    <definedName name="A2P23">#REF!</definedName>
    <definedName name="A2P24" localSheetId="4">#REF!</definedName>
    <definedName name="A2P24" localSheetId="5">#REF!</definedName>
    <definedName name="A2P24" localSheetId="0">#REF!</definedName>
    <definedName name="A2P24" localSheetId="9">#REF!</definedName>
    <definedName name="A2P24" localSheetId="10">#REF!</definedName>
    <definedName name="A2P24" localSheetId="8">#REF!</definedName>
    <definedName name="A2P24">#REF!</definedName>
    <definedName name="A2P3" localSheetId="4">#REF!</definedName>
    <definedName name="A2P3" localSheetId="5">#REF!</definedName>
    <definedName name="A2P3" localSheetId="0">#REF!</definedName>
    <definedName name="A2P3" localSheetId="9">#REF!</definedName>
    <definedName name="A2P3" localSheetId="10">#REF!</definedName>
    <definedName name="A2P3" localSheetId="8">#REF!</definedName>
    <definedName name="A2P3">#REF!</definedName>
    <definedName name="A2P4" localSheetId="4">#REF!</definedName>
    <definedName name="A2P4" localSheetId="5">#REF!</definedName>
    <definedName name="A2P4" localSheetId="0">#REF!</definedName>
    <definedName name="A2P4" localSheetId="9">#REF!</definedName>
    <definedName name="A2P4" localSheetId="10">#REF!</definedName>
    <definedName name="A2P4" localSheetId="8">#REF!</definedName>
    <definedName name="A2P4">#REF!</definedName>
    <definedName name="A2P5" localSheetId="4">#REF!</definedName>
    <definedName name="A2P5" localSheetId="5">#REF!</definedName>
    <definedName name="A2P5" localSheetId="0">#REF!</definedName>
    <definedName name="A2P5" localSheetId="9">#REF!</definedName>
    <definedName name="A2P5" localSheetId="10">#REF!</definedName>
    <definedName name="A2P5" localSheetId="8">#REF!</definedName>
    <definedName name="A2P5">#REF!</definedName>
    <definedName name="A2P6" localSheetId="4">#REF!</definedName>
    <definedName name="A2P6" localSheetId="5">#REF!</definedName>
    <definedName name="A2P6" localSheetId="0">#REF!</definedName>
    <definedName name="A2P6" localSheetId="9">#REF!</definedName>
    <definedName name="A2P6" localSheetId="10">#REF!</definedName>
    <definedName name="A2P6" localSheetId="8">#REF!</definedName>
    <definedName name="A2P6">#REF!</definedName>
    <definedName name="A2P7" localSheetId="4">#REF!</definedName>
    <definedName name="A2P7" localSheetId="5">#REF!</definedName>
    <definedName name="A2P7" localSheetId="0">#REF!</definedName>
    <definedName name="A2P7" localSheetId="9">#REF!</definedName>
    <definedName name="A2P7" localSheetId="10">#REF!</definedName>
    <definedName name="A2P7" localSheetId="8">#REF!</definedName>
    <definedName name="A2P7">#REF!</definedName>
    <definedName name="A2P8" localSheetId="4">#REF!</definedName>
    <definedName name="A2P8" localSheetId="5">#REF!</definedName>
    <definedName name="A2P8" localSheetId="0">#REF!</definedName>
    <definedName name="A2P8" localSheetId="9">#REF!</definedName>
    <definedName name="A2P8" localSheetId="10">#REF!</definedName>
    <definedName name="A2P8" localSheetId="8">#REF!</definedName>
    <definedName name="A2P8">#REF!</definedName>
    <definedName name="A2P9" localSheetId="4">#REF!</definedName>
    <definedName name="A2P9" localSheetId="5">#REF!</definedName>
    <definedName name="A2P9" localSheetId="0">#REF!</definedName>
    <definedName name="A2P9" localSheetId="9">#REF!</definedName>
    <definedName name="A2P9" localSheetId="10">#REF!</definedName>
    <definedName name="A2P9" localSheetId="8">#REF!</definedName>
    <definedName name="A2P9">#REF!</definedName>
    <definedName name="A2R1" localSheetId="4">#REF!</definedName>
    <definedName name="A2R1" localSheetId="5">#REF!</definedName>
    <definedName name="A2R1" localSheetId="0">#REF!</definedName>
    <definedName name="A2R1" localSheetId="9">#REF!</definedName>
    <definedName name="A2R1" localSheetId="10">#REF!</definedName>
    <definedName name="A2R1" localSheetId="8">#REF!</definedName>
    <definedName name="A2R1">#REF!</definedName>
    <definedName name="A2R10" localSheetId="4">#REF!</definedName>
    <definedName name="A2R10" localSheetId="5">#REF!</definedName>
    <definedName name="A2R10" localSheetId="0">#REF!</definedName>
    <definedName name="A2R10" localSheetId="9">#REF!</definedName>
    <definedName name="A2R10" localSheetId="10">#REF!</definedName>
    <definedName name="A2R10" localSheetId="8">#REF!</definedName>
    <definedName name="A2R10">#REF!</definedName>
    <definedName name="A2R11" localSheetId="4">#REF!</definedName>
    <definedName name="A2R11" localSheetId="5">#REF!</definedName>
    <definedName name="A2R11" localSheetId="0">#REF!</definedName>
    <definedName name="A2R11" localSheetId="9">#REF!</definedName>
    <definedName name="A2R11" localSheetId="10">#REF!</definedName>
    <definedName name="A2R11" localSheetId="8">#REF!</definedName>
    <definedName name="A2R11">#REF!</definedName>
    <definedName name="A2R12" localSheetId="4">#REF!</definedName>
    <definedName name="A2R12" localSheetId="5">#REF!</definedName>
    <definedName name="A2R12" localSheetId="0">#REF!</definedName>
    <definedName name="A2R12" localSheetId="9">#REF!</definedName>
    <definedName name="A2R12" localSheetId="10">#REF!</definedName>
    <definedName name="A2R12" localSheetId="8">#REF!</definedName>
    <definedName name="A2R12">#REF!</definedName>
    <definedName name="A2R13" localSheetId="4">#REF!</definedName>
    <definedName name="A2R13" localSheetId="5">#REF!</definedName>
    <definedName name="A2R13" localSheetId="0">#REF!</definedName>
    <definedName name="A2R13" localSheetId="9">#REF!</definedName>
    <definedName name="A2R13" localSheetId="10">#REF!</definedName>
    <definedName name="A2R13" localSheetId="8">#REF!</definedName>
    <definedName name="A2R13">#REF!</definedName>
    <definedName name="A2R14" localSheetId="4">#REF!</definedName>
    <definedName name="A2R14" localSheetId="5">#REF!</definedName>
    <definedName name="A2R14" localSheetId="0">#REF!</definedName>
    <definedName name="A2R14" localSheetId="9">#REF!</definedName>
    <definedName name="A2R14" localSheetId="10">#REF!</definedName>
    <definedName name="A2R14" localSheetId="8">#REF!</definedName>
    <definedName name="A2R14">#REF!</definedName>
    <definedName name="A2R15" localSheetId="4">#REF!</definedName>
    <definedName name="A2R15" localSheetId="5">#REF!</definedName>
    <definedName name="A2R15" localSheetId="0">#REF!</definedName>
    <definedName name="A2R15" localSheetId="9">#REF!</definedName>
    <definedName name="A2R15" localSheetId="10">#REF!</definedName>
    <definedName name="A2R15" localSheetId="8">#REF!</definedName>
    <definedName name="A2R15">#REF!</definedName>
    <definedName name="A2R16" localSheetId="4">#REF!</definedName>
    <definedName name="A2R16" localSheetId="5">#REF!</definedName>
    <definedName name="A2R16" localSheetId="0">#REF!</definedName>
    <definedName name="A2R16" localSheetId="9">#REF!</definedName>
    <definedName name="A2R16" localSheetId="10">#REF!</definedName>
    <definedName name="A2R16" localSheetId="8">#REF!</definedName>
    <definedName name="A2R16">#REF!</definedName>
    <definedName name="A2R17" localSheetId="4">#REF!</definedName>
    <definedName name="A2R17" localSheetId="5">#REF!</definedName>
    <definedName name="A2R17" localSheetId="0">#REF!</definedName>
    <definedName name="A2R17" localSheetId="9">#REF!</definedName>
    <definedName name="A2R17" localSheetId="10">#REF!</definedName>
    <definedName name="A2R17" localSheetId="8">#REF!</definedName>
    <definedName name="A2R17">#REF!</definedName>
    <definedName name="A2R18" localSheetId="4">#REF!</definedName>
    <definedName name="A2R18" localSheetId="5">#REF!</definedName>
    <definedName name="A2R18" localSheetId="0">#REF!</definedName>
    <definedName name="A2R18" localSheetId="9">#REF!</definedName>
    <definedName name="A2R18" localSheetId="10">#REF!</definedName>
    <definedName name="A2R18" localSheetId="8">#REF!</definedName>
    <definedName name="A2R18">#REF!</definedName>
    <definedName name="A2R19" localSheetId="4">#REF!</definedName>
    <definedName name="A2R19" localSheetId="5">#REF!</definedName>
    <definedName name="A2R19" localSheetId="0">#REF!</definedName>
    <definedName name="A2R19" localSheetId="9">#REF!</definedName>
    <definedName name="A2R19" localSheetId="10">#REF!</definedName>
    <definedName name="A2R19" localSheetId="8">#REF!</definedName>
    <definedName name="A2R19">#REF!</definedName>
    <definedName name="A2R2" localSheetId="4">#REF!</definedName>
    <definedName name="A2R2" localSheetId="5">#REF!</definedName>
    <definedName name="A2R2" localSheetId="0">#REF!</definedName>
    <definedName name="A2R2" localSheetId="9">#REF!</definedName>
    <definedName name="A2R2" localSheetId="10">#REF!</definedName>
    <definedName name="A2R2" localSheetId="8">#REF!</definedName>
    <definedName name="A2R2">#REF!</definedName>
    <definedName name="A2R20" localSheetId="4">#REF!</definedName>
    <definedName name="A2R20" localSheetId="5">#REF!</definedName>
    <definedName name="A2R20" localSheetId="0">#REF!</definedName>
    <definedName name="A2R20" localSheetId="9">#REF!</definedName>
    <definedName name="A2R20" localSheetId="10">#REF!</definedName>
    <definedName name="A2R20" localSheetId="8">#REF!</definedName>
    <definedName name="A2R20">#REF!</definedName>
    <definedName name="A2R21" localSheetId="4">#REF!</definedName>
    <definedName name="A2R21" localSheetId="5">#REF!</definedName>
    <definedName name="A2R21" localSheetId="0">#REF!</definedName>
    <definedName name="A2R21" localSheetId="9">#REF!</definedName>
    <definedName name="A2R21" localSheetId="10">#REF!</definedName>
    <definedName name="A2R21" localSheetId="8">#REF!</definedName>
    <definedName name="A2R21">#REF!</definedName>
    <definedName name="A2R22" localSheetId="4">#REF!</definedName>
    <definedName name="A2R22" localSheetId="5">#REF!</definedName>
    <definedName name="A2R22" localSheetId="0">#REF!</definedName>
    <definedName name="A2R22" localSheetId="9">#REF!</definedName>
    <definedName name="A2R22" localSheetId="10">#REF!</definedName>
    <definedName name="A2R22" localSheetId="8">#REF!</definedName>
    <definedName name="A2R22">#REF!</definedName>
    <definedName name="A2R23" localSheetId="4">#REF!</definedName>
    <definedName name="A2R23" localSheetId="5">#REF!</definedName>
    <definedName name="A2R23" localSheetId="0">#REF!</definedName>
    <definedName name="A2R23" localSheetId="9">#REF!</definedName>
    <definedName name="A2R23" localSheetId="10">#REF!</definedName>
    <definedName name="A2R23" localSheetId="8">#REF!</definedName>
    <definedName name="A2R23">#REF!</definedName>
    <definedName name="A2R24" localSheetId="4">#REF!</definedName>
    <definedName name="A2R24" localSheetId="5">#REF!</definedName>
    <definedName name="A2R24" localSheetId="0">#REF!</definedName>
    <definedName name="A2R24" localSheetId="9">#REF!</definedName>
    <definedName name="A2R24" localSheetId="10">#REF!</definedName>
    <definedName name="A2R24" localSheetId="8">#REF!</definedName>
    <definedName name="A2R24">#REF!</definedName>
    <definedName name="A2R3" localSheetId="4">#REF!</definedName>
    <definedName name="A2R3" localSheetId="5">#REF!</definedName>
    <definedName name="A2R3" localSheetId="0">#REF!</definedName>
    <definedName name="A2R3" localSheetId="9">#REF!</definedName>
    <definedName name="A2R3" localSheetId="10">#REF!</definedName>
    <definedName name="A2R3" localSheetId="8">#REF!</definedName>
    <definedName name="A2R3">#REF!</definedName>
    <definedName name="A2R4" localSheetId="4">#REF!</definedName>
    <definedName name="A2R4" localSheetId="5">#REF!</definedName>
    <definedName name="A2R4" localSheetId="0">#REF!</definedName>
    <definedName name="A2R4" localSheetId="9">#REF!</definedName>
    <definedName name="A2R4" localSheetId="10">#REF!</definedName>
    <definedName name="A2R4" localSheetId="8">#REF!</definedName>
    <definedName name="A2R4">#REF!</definedName>
    <definedName name="A2R5" localSheetId="4">#REF!</definedName>
    <definedName name="A2R5" localSheetId="5">#REF!</definedName>
    <definedName name="A2R5" localSheetId="0">#REF!</definedName>
    <definedName name="A2R5" localSheetId="9">#REF!</definedName>
    <definedName name="A2R5" localSheetId="10">#REF!</definedName>
    <definedName name="A2R5" localSheetId="8">#REF!</definedName>
    <definedName name="A2R5">#REF!</definedName>
    <definedName name="A2R6" localSheetId="4">#REF!</definedName>
    <definedName name="A2R6" localSheetId="5">#REF!</definedName>
    <definedName name="A2R6" localSheetId="0">#REF!</definedName>
    <definedName name="A2R6" localSheetId="9">#REF!</definedName>
    <definedName name="A2R6" localSheetId="10">#REF!</definedName>
    <definedName name="A2R6" localSheetId="8">#REF!</definedName>
    <definedName name="A2R6">#REF!</definedName>
    <definedName name="A2R7" localSheetId="4">#REF!</definedName>
    <definedName name="A2R7" localSheetId="5">#REF!</definedName>
    <definedName name="A2R7" localSheetId="0">#REF!</definedName>
    <definedName name="A2R7" localSheetId="9">#REF!</definedName>
    <definedName name="A2R7" localSheetId="10">#REF!</definedName>
    <definedName name="A2R7" localSheetId="8">#REF!</definedName>
    <definedName name="A2R7">#REF!</definedName>
    <definedName name="A2R8" localSheetId="4">#REF!</definedName>
    <definedName name="A2R8" localSheetId="5">#REF!</definedName>
    <definedName name="A2R8" localSheetId="0">#REF!</definedName>
    <definedName name="A2R8" localSheetId="9">#REF!</definedName>
    <definedName name="A2R8" localSheetId="10">#REF!</definedName>
    <definedName name="A2R8" localSheetId="8">#REF!</definedName>
    <definedName name="A2R8">#REF!</definedName>
    <definedName name="A2R9" localSheetId="4">#REF!</definedName>
    <definedName name="A2R9" localSheetId="5">#REF!</definedName>
    <definedName name="A2R9" localSheetId="0">#REF!</definedName>
    <definedName name="A2R9" localSheetId="9">#REF!</definedName>
    <definedName name="A2R9" localSheetId="10">#REF!</definedName>
    <definedName name="A2R9" localSheetId="8">#REF!</definedName>
    <definedName name="A2R9">#REF!</definedName>
    <definedName name="A3P1" localSheetId="4">#REF!</definedName>
    <definedName name="A3P1" localSheetId="5">#REF!</definedName>
    <definedName name="A3P1" localSheetId="0">#REF!</definedName>
    <definedName name="A3P1" localSheetId="9">#REF!</definedName>
    <definedName name="A3P1" localSheetId="10">#REF!</definedName>
    <definedName name="A3P1" localSheetId="8">#REF!</definedName>
    <definedName name="A3P1">#REF!</definedName>
    <definedName name="A3P10" localSheetId="4">#REF!</definedName>
    <definedName name="A3P10" localSheetId="5">#REF!</definedName>
    <definedName name="A3P10" localSheetId="0">#REF!</definedName>
    <definedName name="A3P10" localSheetId="9">#REF!</definedName>
    <definedName name="A3P10" localSheetId="10">#REF!</definedName>
    <definedName name="A3P10" localSheetId="8">#REF!</definedName>
    <definedName name="A3P10">#REF!</definedName>
    <definedName name="A3P11" localSheetId="4">#REF!</definedName>
    <definedName name="A3P11" localSheetId="5">#REF!</definedName>
    <definedName name="A3P11" localSheetId="0">#REF!</definedName>
    <definedName name="A3P11" localSheetId="9">#REF!</definedName>
    <definedName name="A3P11" localSheetId="10">#REF!</definedName>
    <definedName name="A3P11" localSheetId="8">#REF!</definedName>
    <definedName name="A3P11">#REF!</definedName>
    <definedName name="A3P12" localSheetId="4">#REF!</definedName>
    <definedName name="A3P12" localSheetId="5">#REF!</definedName>
    <definedName name="A3P12" localSheetId="0">#REF!</definedName>
    <definedName name="A3P12" localSheetId="9">#REF!</definedName>
    <definedName name="A3P12" localSheetId="10">#REF!</definedName>
    <definedName name="A3P12" localSheetId="8">#REF!</definedName>
    <definedName name="A3P12">#REF!</definedName>
    <definedName name="A3P13" localSheetId="4">#REF!</definedName>
    <definedName name="A3P13" localSheetId="5">#REF!</definedName>
    <definedName name="A3P13" localSheetId="0">#REF!</definedName>
    <definedName name="A3P13" localSheetId="9">#REF!</definedName>
    <definedName name="A3P13" localSheetId="10">#REF!</definedName>
    <definedName name="A3P13" localSheetId="8">#REF!</definedName>
    <definedName name="A3P13">#REF!</definedName>
    <definedName name="A3P14" localSheetId="4">#REF!</definedName>
    <definedName name="A3P14" localSheetId="5">#REF!</definedName>
    <definedName name="A3P14" localSheetId="0">#REF!</definedName>
    <definedName name="A3P14" localSheetId="9">#REF!</definedName>
    <definedName name="A3P14" localSheetId="10">#REF!</definedName>
    <definedName name="A3P14" localSheetId="8">#REF!</definedName>
    <definedName name="A3P14">#REF!</definedName>
    <definedName name="A3P15" localSheetId="4">#REF!</definedName>
    <definedName name="A3P15" localSheetId="5">#REF!</definedName>
    <definedName name="A3P15" localSheetId="0">#REF!</definedName>
    <definedName name="A3P15" localSheetId="9">#REF!</definedName>
    <definedName name="A3P15" localSheetId="10">#REF!</definedName>
    <definedName name="A3P15" localSheetId="8">#REF!</definedName>
    <definedName name="A3P15">#REF!</definedName>
    <definedName name="A3P16" localSheetId="4">#REF!</definedName>
    <definedName name="A3P16" localSheetId="5">#REF!</definedName>
    <definedName name="A3P16" localSheetId="0">#REF!</definedName>
    <definedName name="A3P16" localSheetId="9">#REF!</definedName>
    <definedName name="A3P16" localSheetId="10">#REF!</definedName>
    <definedName name="A3P16" localSheetId="8">#REF!</definedName>
    <definedName name="A3P16">#REF!</definedName>
    <definedName name="A3P17" localSheetId="4">#REF!</definedName>
    <definedName name="A3P17" localSheetId="5">#REF!</definedName>
    <definedName name="A3P17" localSheetId="0">#REF!</definedName>
    <definedName name="A3P17" localSheetId="9">#REF!</definedName>
    <definedName name="A3P17" localSheetId="10">#REF!</definedName>
    <definedName name="A3P17" localSheetId="8">#REF!</definedName>
    <definedName name="A3P17">#REF!</definedName>
    <definedName name="A3P18" localSheetId="4">#REF!</definedName>
    <definedName name="A3P18" localSheetId="5">#REF!</definedName>
    <definedName name="A3P18" localSheetId="0">#REF!</definedName>
    <definedName name="A3P18" localSheetId="9">#REF!</definedName>
    <definedName name="A3P18" localSheetId="10">#REF!</definedName>
    <definedName name="A3P18" localSheetId="8">#REF!</definedName>
    <definedName name="A3P18">#REF!</definedName>
    <definedName name="A3P19" localSheetId="4">#REF!</definedName>
    <definedName name="A3P19" localSheetId="5">#REF!</definedName>
    <definedName name="A3P19" localSheetId="0">#REF!</definedName>
    <definedName name="A3P19" localSheetId="9">#REF!</definedName>
    <definedName name="A3P19" localSheetId="10">#REF!</definedName>
    <definedName name="A3P19" localSheetId="8">#REF!</definedName>
    <definedName name="A3P19">#REF!</definedName>
    <definedName name="A3P2" localSheetId="4">#REF!</definedName>
    <definedName name="A3P2" localSheetId="5">#REF!</definedName>
    <definedName name="A3P2" localSheetId="0">#REF!</definedName>
    <definedName name="A3P2" localSheetId="9">#REF!</definedName>
    <definedName name="A3P2" localSheetId="10">#REF!</definedName>
    <definedName name="A3P2" localSheetId="8">#REF!</definedName>
    <definedName name="A3P2">#REF!</definedName>
    <definedName name="A3P20" localSheetId="4">#REF!</definedName>
    <definedName name="A3P20" localSheetId="5">#REF!</definedName>
    <definedName name="A3P20" localSheetId="0">#REF!</definedName>
    <definedName name="A3P20" localSheetId="9">#REF!</definedName>
    <definedName name="A3P20" localSheetId="10">#REF!</definedName>
    <definedName name="A3P20" localSheetId="8">#REF!</definedName>
    <definedName name="A3P20">#REF!</definedName>
    <definedName name="A3P21" localSheetId="4">#REF!</definedName>
    <definedName name="A3P21" localSheetId="5">#REF!</definedName>
    <definedName name="A3P21" localSheetId="0">#REF!</definedName>
    <definedName name="A3P21" localSheetId="9">#REF!</definedName>
    <definedName name="A3P21" localSheetId="10">#REF!</definedName>
    <definedName name="A3P21" localSheetId="8">#REF!</definedName>
    <definedName name="A3P21">#REF!</definedName>
    <definedName name="A3P22" localSheetId="4">#REF!</definedName>
    <definedName name="A3P22" localSheetId="5">#REF!</definedName>
    <definedName name="A3P22" localSheetId="0">#REF!</definedName>
    <definedName name="A3P22" localSheetId="9">#REF!</definedName>
    <definedName name="A3P22" localSheetId="10">#REF!</definedName>
    <definedName name="A3P22" localSheetId="8">#REF!</definedName>
    <definedName name="A3P22">#REF!</definedName>
    <definedName name="A3P23" localSheetId="4">#REF!</definedName>
    <definedName name="A3P23" localSheetId="5">#REF!</definedName>
    <definedName name="A3P23" localSheetId="0">#REF!</definedName>
    <definedName name="A3P23" localSheetId="9">#REF!</definedName>
    <definedName name="A3P23" localSheetId="10">#REF!</definedName>
    <definedName name="A3P23" localSheetId="8">#REF!</definedName>
    <definedName name="A3P23">#REF!</definedName>
    <definedName name="A3P24" localSheetId="4">#REF!</definedName>
    <definedName name="A3P24" localSheetId="5">#REF!</definedName>
    <definedName name="A3P24" localSheetId="0">#REF!</definedName>
    <definedName name="A3P24" localSheetId="9">#REF!</definedName>
    <definedName name="A3P24" localSheetId="10">#REF!</definedName>
    <definedName name="A3P24" localSheetId="8">#REF!</definedName>
    <definedName name="A3P24">#REF!</definedName>
    <definedName name="A3P3" localSheetId="4">#REF!</definedName>
    <definedName name="A3P3" localSheetId="5">#REF!</definedName>
    <definedName name="A3P3" localSheetId="0">#REF!</definedName>
    <definedName name="A3P3" localSheetId="9">#REF!</definedName>
    <definedName name="A3P3" localSheetId="10">#REF!</definedName>
    <definedName name="A3P3" localSheetId="8">#REF!</definedName>
    <definedName name="A3P3">#REF!</definedName>
    <definedName name="A3P4" localSheetId="4">#REF!</definedName>
    <definedName name="A3P4" localSheetId="5">#REF!</definedName>
    <definedName name="A3P4" localSheetId="0">#REF!</definedName>
    <definedName name="A3P4" localSheetId="9">#REF!</definedName>
    <definedName name="A3P4" localSheetId="10">#REF!</definedName>
    <definedName name="A3P4" localSheetId="8">#REF!</definedName>
    <definedName name="A3P4">#REF!</definedName>
    <definedName name="A3P5" localSheetId="4">#REF!</definedName>
    <definedName name="A3P5" localSheetId="5">#REF!</definedName>
    <definedName name="A3P5" localSheetId="0">#REF!</definedName>
    <definedName name="A3P5" localSheetId="9">#REF!</definedName>
    <definedName name="A3P5" localSheetId="10">#REF!</definedName>
    <definedName name="A3P5" localSheetId="8">#REF!</definedName>
    <definedName name="A3P5">#REF!</definedName>
    <definedName name="A3P6" localSheetId="4">#REF!</definedName>
    <definedName name="A3P6" localSheetId="5">#REF!</definedName>
    <definedName name="A3P6" localSheetId="0">#REF!</definedName>
    <definedName name="A3P6" localSheetId="9">#REF!</definedName>
    <definedName name="A3P6" localSheetId="10">#REF!</definedName>
    <definedName name="A3P6" localSheetId="8">#REF!</definedName>
    <definedName name="A3P6">#REF!</definedName>
    <definedName name="A3P7" localSheetId="4">#REF!</definedName>
    <definedName name="A3P7" localSheetId="5">#REF!</definedName>
    <definedName name="A3P7" localSheetId="0">#REF!</definedName>
    <definedName name="A3P7" localSheetId="9">#REF!</definedName>
    <definedName name="A3P7" localSheetId="10">#REF!</definedName>
    <definedName name="A3P7" localSheetId="8">#REF!</definedName>
    <definedName name="A3P7">#REF!</definedName>
    <definedName name="A3P8" localSheetId="4">#REF!</definedName>
    <definedName name="A3P8" localSheetId="5">#REF!</definedName>
    <definedName name="A3P8" localSheetId="0">#REF!</definedName>
    <definedName name="A3P8" localSheetId="9">#REF!</definedName>
    <definedName name="A3P8" localSheetId="10">#REF!</definedName>
    <definedName name="A3P8" localSheetId="8">#REF!</definedName>
    <definedName name="A3P8">#REF!</definedName>
    <definedName name="A3P9" localSheetId="4">#REF!</definedName>
    <definedName name="A3P9" localSheetId="5">#REF!</definedName>
    <definedName name="A3P9" localSheetId="0">#REF!</definedName>
    <definedName name="A3P9" localSheetId="9">#REF!</definedName>
    <definedName name="A3P9" localSheetId="10">#REF!</definedName>
    <definedName name="A3P9" localSheetId="8">#REF!</definedName>
    <definedName name="A3P9">#REF!</definedName>
    <definedName name="A3R1" localSheetId="4">#REF!</definedName>
    <definedName name="A3R1" localSheetId="5">#REF!</definedName>
    <definedName name="A3R1" localSheetId="0">#REF!</definedName>
    <definedName name="A3R1" localSheetId="9">#REF!</definedName>
    <definedName name="A3R1" localSheetId="10">#REF!</definedName>
    <definedName name="A3R1" localSheetId="8">#REF!</definedName>
    <definedName name="A3R1">#REF!</definedName>
    <definedName name="A3R10" localSheetId="4">#REF!</definedName>
    <definedName name="A3R10" localSheetId="5">#REF!</definedName>
    <definedName name="A3R10" localSheetId="0">#REF!</definedName>
    <definedName name="A3R10" localSheetId="9">#REF!</definedName>
    <definedName name="A3R10" localSheetId="10">#REF!</definedName>
    <definedName name="A3R10" localSheetId="8">#REF!</definedName>
    <definedName name="A3R10">#REF!</definedName>
    <definedName name="A3R11" localSheetId="4">#REF!</definedName>
    <definedName name="A3R11" localSheetId="5">#REF!</definedName>
    <definedName name="A3R11" localSheetId="0">#REF!</definedName>
    <definedName name="A3R11" localSheetId="9">#REF!</definedName>
    <definedName name="A3R11" localSheetId="10">#REF!</definedName>
    <definedName name="A3R11" localSheetId="8">#REF!</definedName>
    <definedName name="A3R11">#REF!</definedName>
    <definedName name="A3R12" localSheetId="4">#REF!</definedName>
    <definedName name="A3R12" localSheetId="5">#REF!</definedName>
    <definedName name="A3R12" localSheetId="0">#REF!</definedName>
    <definedName name="A3R12" localSheetId="9">#REF!</definedName>
    <definedName name="A3R12" localSheetId="10">#REF!</definedName>
    <definedName name="A3R12" localSheetId="8">#REF!</definedName>
    <definedName name="A3R12">#REF!</definedName>
    <definedName name="A3R13" localSheetId="4">#REF!</definedName>
    <definedName name="A3R13" localSheetId="5">#REF!</definedName>
    <definedName name="A3R13" localSheetId="0">#REF!</definedName>
    <definedName name="A3R13" localSheetId="9">#REF!</definedName>
    <definedName name="A3R13" localSheetId="10">#REF!</definedName>
    <definedName name="A3R13" localSheetId="8">#REF!</definedName>
    <definedName name="A3R13">#REF!</definedName>
    <definedName name="A3R14" localSheetId="4">#REF!</definedName>
    <definedName name="A3R14" localSheetId="5">#REF!</definedName>
    <definedName name="A3R14" localSheetId="0">#REF!</definedName>
    <definedName name="A3R14" localSheetId="9">#REF!</definedName>
    <definedName name="A3R14" localSheetId="10">#REF!</definedName>
    <definedName name="A3R14" localSheetId="8">#REF!</definedName>
    <definedName name="A3R14">#REF!</definedName>
    <definedName name="A3R15" localSheetId="4">#REF!</definedName>
    <definedName name="A3R15" localSheetId="5">#REF!</definedName>
    <definedName name="A3R15" localSheetId="0">#REF!</definedName>
    <definedName name="A3R15" localSheetId="9">#REF!</definedName>
    <definedName name="A3R15" localSheetId="10">#REF!</definedName>
    <definedName name="A3R15" localSheetId="8">#REF!</definedName>
    <definedName name="A3R15">#REF!</definedName>
    <definedName name="A3R16" localSheetId="4">#REF!</definedName>
    <definedName name="A3R16" localSheetId="5">#REF!</definedName>
    <definedName name="A3R16" localSheetId="0">#REF!</definedName>
    <definedName name="A3R16" localSheetId="9">#REF!</definedName>
    <definedName name="A3R16" localSheetId="10">#REF!</definedName>
    <definedName name="A3R16" localSheetId="8">#REF!</definedName>
    <definedName name="A3R16">#REF!</definedName>
    <definedName name="A3R17" localSheetId="4">#REF!</definedName>
    <definedName name="A3R17" localSheetId="5">#REF!</definedName>
    <definedName name="A3R17" localSheetId="0">#REF!</definedName>
    <definedName name="A3R17" localSheetId="9">#REF!</definedName>
    <definedName name="A3R17" localSheetId="10">#REF!</definedName>
    <definedName name="A3R17" localSheetId="8">#REF!</definedName>
    <definedName name="A3R17">#REF!</definedName>
    <definedName name="A3R18" localSheetId="4">#REF!</definedName>
    <definedName name="A3R18" localSheetId="5">#REF!</definedName>
    <definedName name="A3R18" localSheetId="0">#REF!</definedName>
    <definedName name="A3R18" localSheetId="9">#REF!</definedName>
    <definedName name="A3R18" localSheetId="10">#REF!</definedName>
    <definedName name="A3R18" localSheetId="8">#REF!</definedName>
    <definedName name="A3R18">#REF!</definedName>
    <definedName name="A3R19" localSheetId="4">#REF!</definedName>
    <definedName name="A3R19" localSheetId="5">#REF!</definedName>
    <definedName name="A3R19" localSheetId="0">#REF!</definedName>
    <definedName name="A3R19" localSheetId="9">#REF!</definedName>
    <definedName name="A3R19" localSheetId="10">#REF!</definedName>
    <definedName name="A3R19" localSheetId="8">#REF!</definedName>
    <definedName name="A3R19">#REF!</definedName>
    <definedName name="A3R2" localSheetId="4">#REF!</definedName>
    <definedName name="A3R2" localSheetId="5">#REF!</definedName>
    <definedName name="A3R2" localSheetId="0">#REF!</definedName>
    <definedName name="A3R2" localSheetId="9">#REF!</definedName>
    <definedName name="A3R2" localSheetId="10">#REF!</definedName>
    <definedName name="A3R2" localSheetId="8">#REF!</definedName>
    <definedName name="A3R2">#REF!</definedName>
    <definedName name="A3R20" localSheetId="4">#REF!</definedName>
    <definedName name="A3R20" localSheetId="5">#REF!</definedName>
    <definedName name="A3R20" localSheetId="0">#REF!</definedName>
    <definedName name="A3R20" localSheetId="9">#REF!</definedName>
    <definedName name="A3R20" localSheetId="10">#REF!</definedName>
    <definedName name="A3R20" localSheetId="8">#REF!</definedName>
    <definedName name="A3R20">#REF!</definedName>
    <definedName name="A3R21" localSheetId="4">#REF!</definedName>
    <definedName name="A3R21" localSheetId="5">#REF!</definedName>
    <definedName name="A3R21" localSheetId="0">#REF!</definedName>
    <definedName name="A3R21" localSheetId="9">#REF!</definedName>
    <definedName name="A3R21" localSheetId="10">#REF!</definedName>
    <definedName name="A3R21" localSheetId="8">#REF!</definedName>
    <definedName name="A3R21">#REF!</definedName>
    <definedName name="A3R22" localSheetId="4">#REF!</definedName>
    <definedName name="A3R22" localSheetId="5">#REF!</definedName>
    <definedName name="A3R22" localSheetId="0">#REF!</definedName>
    <definedName name="A3R22" localSheetId="9">#REF!</definedName>
    <definedName name="A3R22" localSheetId="10">#REF!</definedName>
    <definedName name="A3R22" localSheetId="8">#REF!</definedName>
    <definedName name="A3R22">#REF!</definedName>
    <definedName name="A3R23" localSheetId="4">#REF!</definedName>
    <definedName name="A3R23" localSheetId="5">#REF!</definedName>
    <definedName name="A3R23" localSheetId="0">#REF!</definedName>
    <definedName name="A3R23" localSheetId="9">#REF!</definedName>
    <definedName name="A3R23" localSheetId="10">#REF!</definedName>
    <definedName name="A3R23" localSheetId="8">#REF!</definedName>
    <definedName name="A3R23">#REF!</definedName>
    <definedName name="A3R24" localSheetId="4">#REF!</definedName>
    <definedName name="A3R24" localSheetId="5">#REF!</definedName>
    <definedName name="A3R24" localSheetId="0">#REF!</definedName>
    <definedName name="A3R24" localSheetId="9">#REF!</definedName>
    <definedName name="A3R24" localSheetId="10">#REF!</definedName>
    <definedName name="A3R24" localSheetId="8">#REF!</definedName>
    <definedName name="A3R24">#REF!</definedName>
    <definedName name="A3R3" localSheetId="4">#REF!</definedName>
    <definedName name="A3R3" localSheetId="5">#REF!</definedName>
    <definedName name="A3R3" localSheetId="0">#REF!</definedName>
    <definedName name="A3R3" localSheetId="9">#REF!</definedName>
    <definedName name="A3R3" localSheetId="10">#REF!</definedName>
    <definedName name="A3R3" localSheetId="8">#REF!</definedName>
    <definedName name="A3R3">#REF!</definedName>
    <definedName name="A3R4" localSheetId="4">#REF!</definedName>
    <definedName name="A3R4" localSheetId="5">#REF!</definedName>
    <definedName name="A3R4" localSheetId="0">#REF!</definedName>
    <definedName name="A3R4" localSheetId="9">#REF!</definedName>
    <definedName name="A3R4" localSheetId="10">#REF!</definedName>
    <definedName name="A3R4" localSheetId="8">#REF!</definedName>
    <definedName name="A3R4">#REF!</definedName>
    <definedName name="A3R5" localSheetId="4">#REF!</definedName>
    <definedName name="A3R5" localSheetId="5">#REF!</definedName>
    <definedName name="A3R5" localSheetId="0">#REF!</definedName>
    <definedName name="A3R5" localSheetId="9">#REF!</definedName>
    <definedName name="A3R5" localSheetId="10">#REF!</definedName>
    <definedName name="A3R5" localSheetId="8">#REF!</definedName>
    <definedName name="A3R5">#REF!</definedName>
    <definedName name="A3R6" localSheetId="4">#REF!</definedName>
    <definedName name="A3R6" localSheetId="5">#REF!</definedName>
    <definedName name="A3R6" localSheetId="0">#REF!</definedName>
    <definedName name="A3R6" localSheetId="9">#REF!</definedName>
    <definedName name="A3R6" localSheetId="10">#REF!</definedName>
    <definedName name="A3R6" localSheetId="8">#REF!</definedName>
    <definedName name="A3R6">#REF!</definedName>
    <definedName name="A3R7" localSheetId="4">#REF!</definedName>
    <definedName name="A3R7" localSheetId="5">#REF!</definedName>
    <definedName name="A3R7" localSheetId="0">#REF!</definedName>
    <definedName name="A3R7" localSheetId="9">#REF!</definedName>
    <definedName name="A3R7" localSheetId="10">#REF!</definedName>
    <definedName name="A3R7" localSheetId="8">#REF!</definedName>
    <definedName name="A3R7">#REF!</definedName>
    <definedName name="A3R8" localSheetId="4">#REF!</definedName>
    <definedName name="A3R8" localSheetId="5">#REF!</definedName>
    <definedName name="A3R8" localSheetId="0">#REF!</definedName>
    <definedName name="A3R8" localSheetId="9">#REF!</definedName>
    <definedName name="A3R8" localSheetId="10">#REF!</definedName>
    <definedName name="A3R8" localSheetId="8">#REF!</definedName>
    <definedName name="A3R8">#REF!</definedName>
    <definedName name="A3R9" localSheetId="4">#REF!</definedName>
    <definedName name="A3R9" localSheetId="5">#REF!</definedName>
    <definedName name="A3R9" localSheetId="0">#REF!</definedName>
    <definedName name="A3R9" localSheetId="9">#REF!</definedName>
    <definedName name="A3R9" localSheetId="10">#REF!</definedName>
    <definedName name="A3R9" localSheetId="8">#REF!</definedName>
    <definedName name="A3R9">#REF!</definedName>
    <definedName name="A4P1" localSheetId="4">#REF!</definedName>
    <definedName name="A4P1" localSheetId="5">#REF!</definedName>
    <definedName name="A4P1" localSheetId="0">#REF!</definedName>
    <definedName name="A4P1" localSheetId="9">#REF!</definedName>
    <definedName name="A4P1" localSheetId="10">#REF!</definedName>
    <definedName name="A4P1" localSheetId="8">#REF!</definedName>
    <definedName name="A4P1">#REF!</definedName>
    <definedName name="A4P10" localSheetId="4">#REF!</definedName>
    <definedName name="A4P10" localSheetId="5">#REF!</definedName>
    <definedName name="A4P10" localSheetId="0">#REF!</definedName>
    <definedName name="A4P10" localSheetId="9">#REF!</definedName>
    <definedName name="A4P10" localSheetId="10">#REF!</definedName>
    <definedName name="A4P10" localSheetId="8">#REF!</definedName>
    <definedName name="A4P10">#REF!</definedName>
    <definedName name="A4P11" localSheetId="4">#REF!</definedName>
    <definedName name="A4P11" localSheetId="5">#REF!</definedName>
    <definedName name="A4P11" localSheetId="0">#REF!</definedName>
    <definedName name="A4P11" localSheetId="9">#REF!</definedName>
    <definedName name="A4P11" localSheetId="10">#REF!</definedName>
    <definedName name="A4P11" localSheetId="8">#REF!</definedName>
    <definedName name="A4P11">#REF!</definedName>
    <definedName name="A4P12" localSheetId="4">#REF!</definedName>
    <definedName name="A4P12" localSheetId="5">#REF!</definedName>
    <definedName name="A4P12" localSheetId="0">#REF!</definedName>
    <definedName name="A4P12" localSheetId="9">#REF!</definedName>
    <definedName name="A4P12" localSheetId="10">#REF!</definedName>
    <definedName name="A4P12" localSheetId="8">#REF!</definedName>
    <definedName name="A4P12">#REF!</definedName>
    <definedName name="A4P13" localSheetId="4">#REF!</definedName>
    <definedName name="A4P13" localSheetId="5">#REF!</definedName>
    <definedName name="A4P13" localSheetId="0">#REF!</definedName>
    <definedName name="A4P13" localSheetId="9">#REF!</definedName>
    <definedName name="A4P13" localSheetId="10">#REF!</definedName>
    <definedName name="A4P13" localSheetId="8">#REF!</definedName>
    <definedName name="A4P13">#REF!</definedName>
    <definedName name="A4P14" localSheetId="4">#REF!</definedName>
    <definedName name="A4P14" localSheetId="5">#REF!</definedName>
    <definedName name="A4P14" localSheetId="0">#REF!</definedName>
    <definedName name="A4P14" localSheetId="9">#REF!</definedName>
    <definedName name="A4P14" localSheetId="10">#REF!</definedName>
    <definedName name="A4P14" localSheetId="8">#REF!</definedName>
    <definedName name="A4P14">#REF!</definedName>
    <definedName name="A4P15" localSheetId="4">#REF!</definedName>
    <definedName name="A4P15" localSheetId="5">#REF!</definedName>
    <definedName name="A4P15" localSheetId="0">#REF!</definedName>
    <definedName name="A4P15" localSheetId="9">#REF!</definedName>
    <definedName name="A4P15" localSheetId="10">#REF!</definedName>
    <definedName name="A4P15" localSheetId="8">#REF!</definedName>
    <definedName name="A4P15">#REF!</definedName>
    <definedName name="A4P16" localSheetId="4">#REF!</definedName>
    <definedName name="A4P16" localSheetId="5">#REF!</definedName>
    <definedName name="A4P16" localSheetId="0">#REF!</definedName>
    <definedName name="A4P16" localSheetId="9">#REF!</definedName>
    <definedName name="A4P16" localSheetId="10">#REF!</definedName>
    <definedName name="A4P16" localSheetId="8">#REF!</definedName>
    <definedName name="A4P16">#REF!</definedName>
    <definedName name="A4P17" localSheetId="4">#REF!</definedName>
    <definedName name="A4P17" localSheetId="5">#REF!</definedName>
    <definedName name="A4P17" localSheetId="0">#REF!</definedName>
    <definedName name="A4P17" localSheetId="9">#REF!</definedName>
    <definedName name="A4P17" localSheetId="10">#REF!</definedName>
    <definedName name="A4P17" localSheetId="8">#REF!</definedName>
    <definedName name="A4P17">#REF!</definedName>
    <definedName name="A4P18" localSheetId="4">#REF!</definedName>
    <definedName name="A4P18" localSheetId="5">#REF!</definedName>
    <definedName name="A4P18" localSheetId="0">#REF!</definedName>
    <definedName name="A4P18" localSheetId="9">#REF!</definedName>
    <definedName name="A4P18" localSheetId="10">#REF!</definedName>
    <definedName name="A4P18" localSheetId="8">#REF!</definedName>
    <definedName name="A4P18">#REF!</definedName>
    <definedName name="A4P19" localSheetId="4">#REF!</definedName>
    <definedName name="A4P19" localSheetId="5">#REF!</definedName>
    <definedName name="A4P19" localSheetId="0">#REF!</definedName>
    <definedName name="A4P19" localSheetId="9">#REF!</definedName>
    <definedName name="A4P19" localSheetId="10">#REF!</definedName>
    <definedName name="A4P19" localSheetId="8">#REF!</definedName>
    <definedName name="A4P19">#REF!</definedName>
    <definedName name="A4P2" localSheetId="4">#REF!</definedName>
    <definedName name="A4P2" localSheetId="5">#REF!</definedName>
    <definedName name="A4P2" localSheetId="0">#REF!</definedName>
    <definedName name="A4P2" localSheetId="9">#REF!</definedName>
    <definedName name="A4P2" localSheetId="10">#REF!</definedName>
    <definedName name="A4P2" localSheetId="8">#REF!</definedName>
    <definedName name="A4P2">#REF!</definedName>
    <definedName name="A4P20" localSheetId="4">#REF!</definedName>
    <definedName name="A4P20" localSheetId="5">#REF!</definedName>
    <definedName name="A4P20" localSheetId="0">#REF!</definedName>
    <definedName name="A4P20" localSheetId="9">#REF!</definedName>
    <definedName name="A4P20" localSheetId="10">#REF!</definedName>
    <definedName name="A4P20" localSheetId="8">#REF!</definedName>
    <definedName name="A4P20">#REF!</definedName>
    <definedName name="A4P21" localSheetId="4">#REF!</definedName>
    <definedName name="A4P21" localSheetId="5">#REF!</definedName>
    <definedName name="A4P21" localSheetId="0">#REF!</definedName>
    <definedName name="A4P21" localSheetId="9">#REF!</definedName>
    <definedName name="A4P21" localSheetId="10">#REF!</definedName>
    <definedName name="A4P21" localSheetId="8">#REF!</definedName>
    <definedName name="A4P21">#REF!</definedName>
    <definedName name="A4P22" localSheetId="4">#REF!</definedName>
    <definedName name="A4P22" localSheetId="5">#REF!</definedName>
    <definedName name="A4P22" localSheetId="0">#REF!</definedName>
    <definedName name="A4P22" localSheetId="9">#REF!</definedName>
    <definedName name="A4P22" localSheetId="10">#REF!</definedName>
    <definedName name="A4P22" localSheetId="8">#REF!</definedName>
    <definedName name="A4P22">#REF!</definedName>
    <definedName name="A4P23" localSheetId="4">#REF!</definedName>
    <definedName name="A4P23" localSheetId="5">#REF!</definedName>
    <definedName name="A4P23" localSheetId="0">#REF!</definedName>
    <definedName name="A4P23" localSheetId="9">#REF!</definedName>
    <definedName name="A4P23" localSheetId="10">#REF!</definedName>
    <definedName name="A4P23" localSheetId="8">#REF!</definedName>
    <definedName name="A4P23">#REF!</definedName>
    <definedName name="A4P24" localSheetId="4">#REF!</definedName>
    <definedName name="A4P24" localSheetId="5">#REF!</definedName>
    <definedName name="A4P24" localSheetId="0">#REF!</definedName>
    <definedName name="A4P24" localSheetId="9">#REF!</definedName>
    <definedName name="A4P24" localSheetId="10">#REF!</definedName>
    <definedName name="A4P24" localSheetId="8">#REF!</definedName>
    <definedName name="A4P24">#REF!</definedName>
    <definedName name="A4P3" localSheetId="4">#REF!</definedName>
    <definedName name="A4P3" localSheetId="5">#REF!</definedName>
    <definedName name="A4P3" localSheetId="0">#REF!</definedName>
    <definedName name="A4P3" localSheetId="9">#REF!</definedName>
    <definedName name="A4P3" localSheetId="10">#REF!</definedName>
    <definedName name="A4P3" localSheetId="8">#REF!</definedName>
    <definedName name="A4P3">#REF!</definedName>
    <definedName name="A4P4" localSheetId="4">#REF!</definedName>
    <definedName name="A4P4" localSheetId="5">#REF!</definedName>
    <definedName name="A4P4" localSheetId="0">#REF!</definedName>
    <definedName name="A4P4" localSheetId="9">#REF!</definedName>
    <definedName name="A4P4" localSheetId="10">#REF!</definedName>
    <definedName name="A4P4" localSheetId="8">#REF!</definedName>
    <definedName name="A4P4">#REF!</definedName>
    <definedName name="A4P5" localSheetId="4">#REF!</definedName>
    <definedName name="A4P5" localSheetId="5">#REF!</definedName>
    <definedName name="A4P5" localSheetId="0">#REF!</definedName>
    <definedName name="A4P5" localSheetId="9">#REF!</definedName>
    <definedName name="A4P5" localSheetId="10">#REF!</definedName>
    <definedName name="A4P5" localSheetId="8">#REF!</definedName>
    <definedName name="A4P5">#REF!</definedName>
    <definedName name="A4P6" localSheetId="4">#REF!</definedName>
    <definedName name="A4P6" localSheetId="5">#REF!</definedName>
    <definedName name="A4P6" localSheetId="0">#REF!</definedName>
    <definedName name="A4P6" localSheetId="9">#REF!</definedName>
    <definedName name="A4P6" localSheetId="10">#REF!</definedName>
    <definedName name="A4P6" localSheetId="8">#REF!</definedName>
    <definedName name="A4P6">#REF!</definedName>
    <definedName name="A4P7" localSheetId="4">#REF!</definedName>
    <definedName name="A4P7" localSheetId="5">#REF!</definedName>
    <definedName name="A4P7" localSheetId="0">#REF!</definedName>
    <definedName name="A4P7" localSheetId="9">#REF!</definedName>
    <definedName name="A4P7" localSheetId="10">#REF!</definedName>
    <definedName name="A4P7" localSheetId="8">#REF!</definedName>
    <definedName name="A4P7">#REF!</definedName>
    <definedName name="A4P8" localSheetId="4">#REF!</definedName>
    <definedName name="A4P8" localSheetId="5">#REF!</definedName>
    <definedName name="A4P8" localSheetId="0">#REF!</definedName>
    <definedName name="A4P8" localSheetId="9">#REF!</definedName>
    <definedName name="A4P8" localSheetId="10">#REF!</definedName>
    <definedName name="A4P8" localSheetId="8">#REF!</definedName>
    <definedName name="A4P8">#REF!</definedName>
    <definedName name="A4P9" localSheetId="4">#REF!</definedName>
    <definedName name="A4P9" localSheetId="5">#REF!</definedName>
    <definedName name="A4P9" localSheetId="0">#REF!</definedName>
    <definedName name="A4P9" localSheetId="9">#REF!</definedName>
    <definedName name="A4P9" localSheetId="10">#REF!</definedName>
    <definedName name="A4P9" localSheetId="8">#REF!</definedName>
    <definedName name="A4P9">#REF!</definedName>
    <definedName name="A4R1" localSheetId="4">#REF!</definedName>
    <definedName name="A4R1" localSheetId="5">#REF!</definedName>
    <definedName name="A4R1" localSheetId="0">#REF!</definedName>
    <definedName name="A4R1" localSheetId="9">#REF!</definedName>
    <definedName name="A4R1" localSheetId="10">#REF!</definedName>
    <definedName name="A4R1" localSheetId="8">#REF!</definedName>
    <definedName name="A4R1">#REF!</definedName>
    <definedName name="A4R10" localSheetId="4">#REF!</definedName>
    <definedName name="A4R10" localSheetId="5">#REF!</definedName>
    <definedName name="A4R10" localSheetId="0">#REF!</definedName>
    <definedName name="A4R10" localSheetId="9">#REF!</definedName>
    <definedName name="A4R10" localSheetId="10">#REF!</definedName>
    <definedName name="A4R10" localSheetId="8">#REF!</definedName>
    <definedName name="A4R10">#REF!</definedName>
    <definedName name="A4R11" localSheetId="4">#REF!</definedName>
    <definedName name="A4R11" localSheetId="5">#REF!</definedName>
    <definedName name="A4R11" localSheetId="0">#REF!</definedName>
    <definedName name="A4R11" localSheetId="9">#REF!</definedName>
    <definedName name="A4R11" localSheetId="10">#REF!</definedName>
    <definedName name="A4R11" localSheetId="8">#REF!</definedName>
    <definedName name="A4R11">#REF!</definedName>
    <definedName name="A4R12" localSheetId="4">#REF!</definedName>
    <definedName name="A4R12" localSheetId="5">#REF!</definedName>
    <definedName name="A4R12" localSheetId="0">#REF!</definedName>
    <definedName name="A4R12" localSheetId="9">#REF!</definedName>
    <definedName name="A4R12" localSheetId="10">#REF!</definedName>
    <definedName name="A4R12" localSheetId="8">#REF!</definedName>
    <definedName name="A4R12">#REF!</definedName>
    <definedName name="A4R13" localSheetId="4">#REF!</definedName>
    <definedName name="A4R13" localSheetId="5">#REF!</definedName>
    <definedName name="A4R13" localSheetId="0">#REF!</definedName>
    <definedName name="A4R13" localSheetId="9">#REF!</definedName>
    <definedName name="A4R13" localSheetId="10">#REF!</definedName>
    <definedName name="A4R13" localSheetId="8">#REF!</definedName>
    <definedName name="A4R13">#REF!</definedName>
    <definedName name="A4R14" localSheetId="4">#REF!</definedName>
    <definedName name="A4R14" localSheetId="5">#REF!</definedName>
    <definedName name="A4R14" localSheetId="0">#REF!</definedName>
    <definedName name="A4R14" localSheetId="9">#REF!</definedName>
    <definedName name="A4R14" localSheetId="10">#REF!</definedName>
    <definedName name="A4R14" localSheetId="8">#REF!</definedName>
    <definedName name="A4R14">#REF!</definedName>
    <definedName name="A4R15" localSheetId="4">#REF!</definedName>
    <definedName name="A4R15" localSheetId="5">#REF!</definedName>
    <definedName name="A4R15" localSheetId="0">#REF!</definedName>
    <definedName name="A4R15" localSheetId="9">#REF!</definedName>
    <definedName name="A4R15" localSheetId="10">#REF!</definedName>
    <definedName name="A4R15" localSheetId="8">#REF!</definedName>
    <definedName name="A4R15">#REF!</definedName>
    <definedName name="A4R16" localSheetId="4">#REF!</definedName>
    <definedName name="A4R16" localSheetId="5">#REF!</definedName>
    <definedName name="A4R16" localSheetId="0">#REF!</definedName>
    <definedName name="A4R16" localSheetId="9">#REF!</definedName>
    <definedName name="A4R16" localSheetId="10">#REF!</definedName>
    <definedName name="A4R16" localSheetId="8">#REF!</definedName>
    <definedName name="A4R16">#REF!</definedName>
    <definedName name="A4R17" localSheetId="4">#REF!</definedName>
    <definedName name="A4R17" localSheetId="5">#REF!</definedName>
    <definedName name="A4R17" localSheetId="0">#REF!</definedName>
    <definedName name="A4R17" localSheetId="9">#REF!</definedName>
    <definedName name="A4R17" localSheetId="10">#REF!</definedName>
    <definedName name="A4R17" localSheetId="8">#REF!</definedName>
    <definedName name="A4R17">#REF!</definedName>
    <definedName name="A4R18" localSheetId="4">#REF!</definedName>
    <definedName name="A4R18" localSheetId="5">#REF!</definedName>
    <definedName name="A4R18" localSheetId="0">#REF!</definedName>
    <definedName name="A4R18" localSheetId="9">#REF!</definedName>
    <definedName name="A4R18" localSheetId="10">#REF!</definedName>
    <definedName name="A4R18" localSheetId="8">#REF!</definedName>
    <definedName name="A4R18">#REF!</definedName>
    <definedName name="A4R19" localSheetId="4">#REF!</definedName>
    <definedName name="A4R19" localSheetId="5">#REF!</definedName>
    <definedName name="A4R19" localSheetId="0">#REF!</definedName>
    <definedName name="A4R19" localSheetId="9">#REF!</definedName>
    <definedName name="A4R19" localSheetId="10">#REF!</definedName>
    <definedName name="A4R19" localSheetId="8">#REF!</definedName>
    <definedName name="A4R19">#REF!</definedName>
    <definedName name="A4R2" localSheetId="4">#REF!</definedName>
    <definedName name="A4R2" localSheetId="5">#REF!</definedName>
    <definedName name="A4R2" localSheetId="0">#REF!</definedName>
    <definedName name="A4R2" localSheetId="9">#REF!</definedName>
    <definedName name="A4R2" localSheetId="10">#REF!</definedName>
    <definedName name="A4R2" localSheetId="8">#REF!</definedName>
    <definedName name="A4R2">#REF!</definedName>
    <definedName name="A4R20" localSheetId="4">#REF!</definedName>
    <definedName name="A4R20" localSheetId="5">#REF!</definedName>
    <definedName name="A4R20" localSheetId="0">#REF!</definedName>
    <definedName name="A4R20" localSheetId="9">#REF!</definedName>
    <definedName name="A4R20" localSheetId="10">#REF!</definedName>
    <definedName name="A4R20" localSheetId="8">#REF!</definedName>
    <definedName name="A4R20">#REF!</definedName>
    <definedName name="A4R21" localSheetId="4">#REF!</definedName>
    <definedName name="A4R21" localSheetId="5">#REF!</definedName>
    <definedName name="A4R21" localSheetId="0">#REF!</definedName>
    <definedName name="A4R21" localSheetId="9">#REF!</definedName>
    <definedName name="A4R21" localSheetId="10">#REF!</definedName>
    <definedName name="A4R21" localSheetId="8">#REF!</definedName>
    <definedName name="A4R21">#REF!</definedName>
    <definedName name="A4R22" localSheetId="4">#REF!</definedName>
    <definedName name="A4R22" localSheetId="5">#REF!</definedName>
    <definedName name="A4R22" localSheetId="0">#REF!</definedName>
    <definedName name="A4R22" localSheetId="9">#REF!</definedName>
    <definedName name="A4R22" localSheetId="10">#REF!</definedName>
    <definedName name="A4R22" localSheetId="8">#REF!</definedName>
    <definedName name="A4R22">#REF!</definedName>
    <definedName name="A4R23" localSheetId="4">#REF!</definedName>
    <definedName name="A4R23" localSheetId="5">#REF!</definedName>
    <definedName name="A4R23" localSheetId="0">#REF!</definedName>
    <definedName name="A4R23" localSheetId="9">#REF!</definedName>
    <definedName name="A4R23" localSheetId="10">#REF!</definedName>
    <definedName name="A4R23" localSheetId="8">#REF!</definedName>
    <definedName name="A4R23">#REF!</definedName>
    <definedName name="A4R24" localSheetId="4">#REF!</definedName>
    <definedName name="A4R24" localSheetId="5">#REF!</definedName>
    <definedName name="A4R24" localSheetId="0">#REF!</definedName>
    <definedName name="A4R24" localSheetId="9">#REF!</definedName>
    <definedName name="A4R24" localSheetId="10">#REF!</definedName>
    <definedName name="A4R24" localSheetId="8">#REF!</definedName>
    <definedName name="A4R24">#REF!</definedName>
    <definedName name="A4R3" localSheetId="4">#REF!</definedName>
    <definedName name="A4R3" localSheetId="5">#REF!</definedName>
    <definedName name="A4R3" localSheetId="0">#REF!</definedName>
    <definedName name="A4R3" localSheetId="9">#REF!</definedName>
    <definedName name="A4R3" localSheetId="10">#REF!</definedName>
    <definedName name="A4R3" localSheetId="8">#REF!</definedName>
    <definedName name="A4R3">#REF!</definedName>
    <definedName name="A4R4" localSheetId="4">#REF!</definedName>
    <definedName name="A4R4" localSheetId="5">#REF!</definedName>
    <definedName name="A4R4" localSheetId="0">#REF!</definedName>
    <definedName name="A4R4" localSheetId="9">#REF!</definedName>
    <definedName name="A4R4" localSheetId="10">#REF!</definedName>
    <definedName name="A4R4" localSheetId="8">#REF!</definedName>
    <definedName name="A4R4">#REF!</definedName>
    <definedName name="A4R5" localSheetId="4">#REF!</definedName>
    <definedName name="A4R5" localSheetId="5">#REF!</definedName>
    <definedName name="A4R5" localSheetId="0">#REF!</definedName>
    <definedName name="A4R5" localSheetId="9">#REF!</definedName>
    <definedName name="A4R5" localSheetId="10">#REF!</definedName>
    <definedName name="A4R5" localSheetId="8">#REF!</definedName>
    <definedName name="A4R5">#REF!</definedName>
    <definedName name="A4R6" localSheetId="4">#REF!</definedName>
    <definedName name="A4R6" localSheetId="5">#REF!</definedName>
    <definedName name="A4R6" localSheetId="0">#REF!</definedName>
    <definedName name="A4R6" localSheetId="9">#REF!</definedName>
    <definedName name="A4R6" localSheetId="10">#REF!</definedName>
    <definedName name="A4R6" localSheetId="8">#REF!</definedName>
    <definedName name="A4R6">#REF!</definedName>
    <definedName name="A4R7" localSheetId="4">#REF!</definedName>
    <definedName name="A4R7" localSheetId="5">#REF!</definedName>
    <definedName name="A4R7" localSheetId="0">#REF!</definedName>
    <definedName name="A4R7" localSheetId="9">#REF!</definedName>
    <definedName name="A4R7" localSheetId="10">#REF!</definedName>
    <definedName name="A4R7" localSheetId="8">#REF!</definedName>
    <definedName name="A4R7">#REF!</definedName>
    <definedName name="A4R8" localSheetId="4">#REF!</definedName>
    <definedName name="A4R8" localSheetId="5">#REF!</definedName>
    <definedName name="A4R8" localSheetId="0">#REF!</definedName>
    <definedName name="A4R8" localSheetId="9">#REF!</definedName>
    <definedName name="A4R8" localSheetId="10">#REF!</definedName>
    <definedName name="A4R8" localSheetId="8">#REF!</definedName>
    <definedName name="A4R8">#REF!</definedName>
    <definedName name="A4R9" localSheetId="4">#REF!</definedName>
    <definedName name="A4R9" localSheetId="5">#REF!</definedName>
    <definedName name="A4R9" localSheetId="0">#REF!</definedName>
    <definedName name="A4R9" localSheetId="9">#REF!</definedName>
    <definedName name="A4R9" localSheetId="10">#REF!</definedName>
    <definedName name="A4R9" localSheetId="8">#REF!</definedName>
    <definedName name="A4R9">#REF!</definedName>
    <definedName name="A5P1" localSheetId="4">#REF!</definedName>
    <definedName name="A5P1" localSheetId="5">#REF!</definedName>
    <definedName name="A5P1" localSheetId="0">#REF!</definedName>
    <definedName name="A5P1" localSheetId="9">#REF!</definedName>
    <definedName name="A5P1" localSheetId="10">#REF!</definedName>
    <definedName name="A5P1" localSheetId="8">#REF!</definedName>
    <definedName name="A5P1">#REF!</definedName>
    <definedName name="A5P10" localSheetId="4">#REF!</definedName>
    <definedName name="A5P10" localSheetId="5">#REF!</definedName>
    <definedName name="A5P10" localSheetId="0">#REF!</definedName>
    <definedName name="A5P10" localSheetId="9">#REF!</definedName>
    <definedName name="A5P10" localSheetId="10">#REF!</definedName>
    <definedName name="A5P10" localSheetId="8">#REF!</definedName>
    <definedName name="A5P10">#REF!</definedName>
    <definedName name="A5P11" localSheetId="4">#REF!</definedName>
    <definedName name="A5P11" localSheetId="5">#REF!</definedName>
    <definedName name="A5P11" localSheetId="0">#REF!</definedName>
    <definedName name="A5P11" localSheetId="9">#REF!</definedName>
    <definedName name="A5P11" localSheetId="10">#REF!</definedName>
    <definedName name="A5P11" localSheetId="8">#REF!</definedName>
    <definedName name="A5P11">#REF!</definedName>
    <definedName name="A5P12" localSheetId="4">#REF!</definedName>
    <definedName name="A5P12" localSheetId="5">#REF!</definedName>
    <definedName name="A5P12" localSheetId="0">#REF!</definedName>
    <definedName name="A5P12" localSheetId="9">#REF!</definedName>
    <definedName name="A5P12" localSheetId="10">#REF!</definedName>
    <definedName name="A5P12" localSheetId="8">#REF!</definedName>
    <definedName name="A5P12">#REF!</definedName>
    <definedName name="A5P13" localSheetId="4">#REF!</definedName>
    <definedName name="A5P13" localSheetId="5">#REF!</definedName>
    <definedName name="A5P13" localSheetId="0">#REF!</definedName>
    <definedName name="A5P13" localSheetId="9">#REF!</definedName>
    <definedName name="A5P13" localSheetId="10">#REF!</definedName>
    <definedName name="A5P13" localSheetId="8">#REF!</definedName>
    <definedName name="A5P13">#REF!</definedName>
    <definedName name="A5P14" localSheetId="4">#REF!</definedName>
    <definedName name="A5P14" localSheetId="5">#REF!</definedName>
    <definedName name="A5P14" localSheetId="0">#REF!</definedName>
    <definedName name="A5P14" localSheetId="9">#REF!</definedName>
    <definedName name="A5P14" localSheetId="10">#REF!</definedName>
    <definedName name="A5P14" localSheetId="8">#REF!</definedName>
    <definedName name="A5P14">#REF!</definedName>
    <definedName name="A5P15" localSheetId="4">#REF!</definedName>
    <definedName name="A5P15" localSheetId="5">#REF!</definedName>
    <definedName name="A5P15" localSheetId="0">#REF!</definedName>
    <definedName name="A5P15" localSheetId="9">#REF!</definedName>
    <definedName name="A5P15" localSheetId="10">#REF!</definedName>
    <definedName name="A5P15" localSheetId="8">#REF!</definedName>
    <definedName name="A5P15">#REF!</definedName>
    <definedName name="A5P16" localSheetId="4">#REF!</definedName>
    <definedName name="A5P16" localSheetId="5">#REF!</definedName>
    <definedName name="A5P16" localSheetId="0">#REF!</definedName>
    <definedName name="A5P16" localSheetId="9">#REF!</definedName>
    <definedName name="A5P16" localSheetId="10">#REF!</definedName>
    <definedName name="A5P16" localSheetId="8">#REF!</definedName>
    <definedName name="A5P16">#REF!</definedName>
    <definedName name="A5P17" localSheetId="4">#REF!</definedName>
    <definedName name="A5P17" localSheetId="5">#REF!</definedName>
    <definedName name="A5P17" localSheetId="0">#REF!</definedName>
    <definedName name="A5P17" localSheetId="9">#REF!</definedName>
    <definedName name="A5P17" localSheetId="10">#REF!</definedName>
    <definedName name="A5P17" localSheetId="8">#REF!</definedName>
    <definedName name="A5P17">#REF!</definedName>
    <definedName name="A5P18" localSheetId="4">#REF!</definedName>
    <definedName name="A5P18" localSheetId="5">#REF!</definedName>
    <definedName name="A5P18" localSheetId="0">#REF!</definedName>
    <definedName name="A5P18" localSheetId="9">#REF!</definedName>
    <definedName name="A5P18" localSheetId="10">#REF!</definedName>
    <definedName name="A5P18" localSheetId="8">#REF!</definedName>
    <definedName name="A5P18">#REF!</definedName>
    <definedName name="A5P19" localSheetId="4">#REF!</definedName>
    <definedName name="A5P19" localSheetId="5">#REF!</definedName>
    <definedName name="A5P19" localSheetId="0">#REF!</definedName>
    <definedName name="A5P19" localSheetId="9">#REF!</definedName>
    <definedName name="A5P19" localSheetId="10">#REF!</definedName>
    <definedName name="A5P19" localSheetId="8">#REF!</definedName>
    <definedName name="A5P19">#REF!</definedName>
    <definedName name="A5P2" localSheetId="4">#REF!</definedName>
    <definedName name="A5P2" localSheetId="5">#REF!</definedName>
    <definedName name="A5P2" localSheetId="0">#REF!</definedName>
    <definedName name="A5P2" localSheetId="9">#REF!</definedName>
    <definedName name="A5P2" localSheetId="10">#REF!</definedName>
    <definedName name="A5P2" localSheetId="8">#REF!</definedName>
    <definedName name="A5P2">#REF!</definedName>
    <definedName name="A5P20" localSheetId="4">#REF!</definedName>
    <definedName name="A5P20" localSheetId="5">#REF!</definedName>
    <definedName name="A5P20" localSheetId="0">#REF!</definedName>
    <definedName name="A5P20" localSheetId="9">#REF!</definedName>
    <definedName name="A5P20" localSheetId="10">#REF!</definedName>
    <definedName name="A5P20" localSheetId="8">#REF!</definedName>
    <definedName name="A5P20">#REF!</definedName>
    <definedName name="A5P21" localSheetId="4">#REF!</definedName>
    <definedName name="A5P21" localSheetId="5">#REF!</definedName>
    <definedName name="A5P21" localSheetId="0">#REF!</definedName>
    <definedName name="A5P21" localSheetId="9">#REF!</definedName>
    <definedName name="A5P21" localSheetId="10">#REF!</definedName>
    <definedName name="A5P21" localSheetId="8">#REF!</definedName>
    <definedName name="A5P21">#REF!</definedName>
    <definedName name="A5P22" localSheetId="4">#REF!</definedName>
    <definedName name="A5P22" localSheetId="5">#REF!</definedName>
    <definedName name="A5P22" localSheetId="0">#REF!</definedName>
    <definedName name="A5P22" localSheetId="9">#REF!</definedName>
    <definedName name="A5P22" localSheetId="10">#REF!</definedName>
    <definedName name="A5P22" localSheetId="8">#REF!</definedName>
    <definedName name="A5P22">#REF!</definedName>
    <definedName name="A5P23" localSheetId="4">#REF!</definedName>
    <definedName name="A5P23" localSheetId="5">#REF!</definedName>
    <definedName name="A5P23" localSheetId="0">#REF!</definedName>
    <definedName name="A5P23" localSheetId="9">#REF!</definedName>
    <definedName name="A5P23" localSheetId="10">#REF!</definedName>
    <definedName name="A5P23" localSheetId="8">#REF!</definedName>
    <definedName name="A5P23">#REF!</definedName>
    <definedName name="A5P24" localSheetId="4">#REF!</definedName>
    <definedName name="A5P24" localSheetId="5">#REF!</definedName>
    <definedName name="A5P24" localSheetId="0">#REF!</definedName>
    <definedName name="A5P24" localSheetId="9">#REF!</definedName>
    <definedName name="A5P24" localSheetId="10">#REF!</definedName>
    <definedName name="A5P24" localSheetId="8">#REF!</definedName>
    <definedName name="A5P24">#REF!</definedName>
    <definedName name="A5P3" localSheetId="4">#REF!</definedName>
    <definedName name="A5P3" localSheetId="5">#REF!</definedName>
    <definedName name="A5P3" localSheetId="0">#REF!</definedName>
    <definedName name="A5P3" localSheetId="9">#REF!</definedName>
    <definedName name="A5P3" localSheetId="10">#REF!</definedName>
    <definedName name="A5P3" localSheetId="8">#REF!</definedName>
    <definedName name="A5P3">#REF!</definedName>
    <definedName name="A5P4" localSheetId="4">#REF!</definedName>
    <definedName name="A5P4" localSheetId="5">#REF!</definedName>
    <definedName name="A5P4" localSheetId="0">#REF!</definedName>
    <definedName name="A5P4" localSheetId="9">#REF!</definedName>
    <definedName name="A5P4" localSheetId="10">#REF!</definedName>
    <definedName name="A5P4" localSheetId="8">#REF!</definedName>
    <definedName name="A5P4">#REF!</definedName>
    <definedName name="A5P5" localSheetId="4">#REF!</definedName>
    <definedName name="A5P5" localSheetId="5">#REF!</definedName>
    <definedName name="A5P5" localSheetId="0">#REF!</definedName>
    <definedName name="A5P5" localSheetId="9">#REF!</definedName>
    <definedName name="A5P5" localSheetId="10">#REF!</definedName>
    <definedName name="A5P5" localSheetId="8">#REF!</definedName>
    <definedName name="A5P5">#REF!</definedName>
    <definedName name="A5P6" localSheetId="4">#REF!</definedName>
    <definedName name="A5P6" localSheetId="5">#REF!</definedName>
    <definedName name="A5P6" localSheetId="0">#REF!</definedName>
    <definedName name="A5P6" localSheetId="9">#REF!</definedName>
    <definedName name="A5P6" localSheetId="10">#REF!</definedName>
    <definedName name="A5P6" localSheetId="8">#REF!</definedName>
    <definedName name="A5P6">#REF!</definedName>
    <definedName name="A5P7" localSheetId="4">#REF!</definedName>
    <definedName name="A5P7" localSheetId="5">#REF!</definedName>
    <definedName name="A5P7" localSheetId="0">#REF!</definedName>
    <definedName name="A5P7" localSheetId="9">#REF!</definedName>
    <definedName name="A5P7" localSheetId="10">#REF!</definedName>
    <definedName name="A5P7" localSheetId="8">#REF!</definedName>
    <definedName name="A5P7">#REF!</definedName>
    <definedName name="A5P8" localSheetId="4">#REF!</definedName>
    <definedName name="A5P8" localSheetId="5">#REF!</definedName>
    <definedName name="A5P8" localSheetId="0">#REF!</definedName>
    <definedName name="A5P8" localSheetId="9">#REF!</definedName>
    <definedName name="A5P8" localSheetId="10">#REF!</definedName>
    <definedName name="A5P8" localSheetId="8">#REF!</definedName>
    <definedName name="A5P8">#REF!</definedName>
    <definedName name="A5P9" localSheetId="4">#REF!</definedName>
    <definedName name="A5P9" localSheetId="5">#REF!</definedName>
    <definedName name="A5P9" localSheetId="0">#REF!</definedName>
    <definedName name="A5P9" localSheetId="9">#REF!</definedName>
    <definedName name="A5P9" localSheetId="10">#REF!</definedName>
    <definedName name="A5P9" localSheetId="8">#REF!</definedName>
    <definedName name="A5P9">#REF!</definedName>
    <definedName name="A5R1" localSheetId="4">#REF!</definedName>
    <definedName name="A5R1" localSheetId="5">#REF!</definedName>
    <definedName name="A5R1" localSheetId="0">#REF!</definedName>
    <definedName name="A5R1" localSheetId="9">#REF!</definedName>
    <definedName name="A5R1" localSheetId="10">#REF!</definedName>
    <definedName name="A5R1" localSheetId="8">#REF!</definedName>
    <definedName name="A5R1">#REF!</definedName>
    <definedName name="A5R10" localSheetId="4">#REF!</definedName>
    <definedName name="A5R10" localSheetId="5">#REF!</definedName>
    <definedName name="A5R10" localSheetId="0">#REF!</definedName>
    <definedName name="A5R10" localSheetId="9">#REF!</definedName>
    <definedName name="A5R10" localSheetId="10">#REF!</definedName>
    <definedName name="A5R10" localSheetId="8">#REF!</definedName>
    <definedName name="A5R10">#REF!</definedName>
    <definedName name="A5R11" localSheetId="4">#REF!</definedName>
    <definedName name="A5R11" localSheetId="5">#REF!</definedName>
    <definedName name="A5R11" localSheetId="0">#REF!</definedName>
    <definedName name="A5R11" localSheetId="9">#REF!</definedName>
    <definedName name="A5R11" localSheetId="10">#REF!</definedName>
    <definedName name="A5R11" localSheetId="8">#REF!</definedName>
    <definedName name="A5R11">#REF!</definedName>
    <definedName name="A5R12" localSheetId="4">#REF!</definedName>
    <definedName name="A5R12" localSheetId="5">#REF!</definedName>
    <definedName name="A5R12" localSheetId="0">#REF!</definedName>
    <definedName name="A5R12" localSheetId="9">#REF!</definedName>
    <definedName name="A5R12" localSheetId="10">#REF!</definedName>
    <definedName name="A5R12" localSheetId="8">#REF!</definedName>
    <definedName name="A5R12">#REF!</definedName>
    <definedName name="A5R13" localSheetId="4">#REF!</definedName>
    <definedName name="A5R13" localSheetId="5">#REF!</definedName>
    <definedName name="A5R13" localSheetId="0">#REF!</definedName>
    <definedName name="A5R13" localSheetId="9">#REF!</definedName>
    <definedName name="A5R13" localSheetId="10">#REF!</definedName>
    <definedName name="A5R13" localSheetId="8">#REF!</definedName>
    <definedName name="A5R13">#REF!</definedName>
    <definedName name="A5R14" localSheetId="4">#REF!</definedName>
    <definedName name="A5R14" localSheetId="5">#REF!</definedName>
    <definedName name="A5R14" localSheetId="0">#REF!</definedName>
    <definedName name="A5R14" localSheetId="9">#REF!</definedName>
    <definedName name="A5R14" localSheetId="10">#REF!</definedName>
    <definedName name="A5R14" localSheetId="8">#REF!</definedName>
    <definedName name="A5R14">#REF!</definedName>
    <definedName name="A5R15" localSheetId="4">#REF!</definedName>
    <definedName name="A5R15" localSheetId="5">#REF!</definedName>
    <definedName name="A5R15" localSheetId="0">#REF!</definedName>
    <definedName name="A5R15" localSheetId="9">#REF!</definedName>
    <definedName name="A5R15" localSheetId="10">#REF!</definedName>
    <definedName name="A5R15" localSheetId="8">#REF!</definedName>
    <definedName name="A5R15">#REF!</definedName>
    <definedName name="A5R16" localSheetId="4">#REF!</definedName>
    <definedName name="A5R16" localSheetId="5">#REF!</definedName>
    <definedName name="A5R16" localSheetId="0">#REF!</definedName>
    <definedName name="A5R16" localSheetId="9">#REF!</definedName>
    <definedName name="A5R16" localSheetId="10">#REF!</definedName>
    <definedName name="A5R16" localSheetId="8">#REF!</definedName>
    <definedName name="A5R16">#REF!</definedName>
    <definedName name="A5R17" localSheetId="4">#REF!</definedName>
    <definedName name="A5R17" localSheetId="5">#REF!</definedName>
    <definedName name="A5R17" localSheetId="0">#REF!</definedName>
    <definedName name="A5R17" localSheetId="9">#REF!</definedName>
    <definedName name="A5R17" localSheetId="10">#REF!</definedName>
    <definedName name="A5R17" localSheetId="8">#REF!</definedName>
    <definedName name="A5R17">#REF!</definedName>
    <definedName name="A5R18" localSheetId="4">#REF!</definedName>
    <definedName name="A5R18" localSheetId="5">#REF!</definedName>
    <definedName name="A5R18" localSheetId="0">#REF!</definedName>
    <definedName name="A5R18" localSheetId="9">#REF!</definedName>
    <definedName name="A5R18" localSheetId="10">#REF!</definedName>
    <definedName name="A5R18" localSheetId="8">#REF!</definedName>
    <definedName name="A5R18">#REF!</definedName>
    <definedName name="A5R19" localSheetId="4">#REF!</definedName>
    <definedName name="A5R19" localSheetId="5">#REF!</definedName>
    <definedName name="A5R19" localSheetId="0">#REF!</definedName>
    <definedName name="A5R19" localSheetId="9">#REF!</definedName>
    <definedName name="A5R19" localSheetId="10">#REF!</definedName>
    <definedName name="A5R19" localSheetId="8">#REF!</definedName>
    <definedName name="A5R19">#REF!</definedName>
    <definedName name="A5R2" localSheetId="4">#REF!</definedName>
    <definedName name="A5R2" localSheetId="5">#REF!</definedName>
    <definedName name="A5R2" localSheetId="0">#REF!</definedName>
    <definedName name="A5R2" localSheetId="9">#REF!</definedName>
    <definedName name="A5R2" localSheetId="10">#REF!</definedName>
    <definedName name="A5R2" localSheetId="8">#REF!</definedName>
    <definedName name="A5R2">#REF!</definedName>
    <definedName name="A5R20" localSheetId="4">#REF!</definedName>
    <definedName name="A5R20" localSheetId="5">#REF!</definedName>
    <definedName name="A5R20" localSheetId="0">#REF!</definedName>
    <definedName name="A5R20" localSheetId="9">#REF!</definedName>
    <definedName name="A5R20" localSheetId="10">#REF!</definedName>
    <definedName name="A5R20" localSheetId="8">#REF!</definedName>
    <definedName name="A5R20">#REF!</definedName>
    <definedName name="A5R21" localSheetId="4">#REF!</definedName>
    <definedName name="A5R21" localSheetId="5">#REF!</definedName>
    <definedName name="A5R21" localSheetId="0">#REF!</definedName>
    <definedName name="A5R21" localSheetId="9">#REF!</definedName>
    <definedName name="A5R21" localSheetId="10">#REF!</definedName>
    <definedName name="A5R21" localSheetId="8">#REF!</definedName>
    <definedName name="A5R21">#REF!</definedName>
    <definedName name="A5R22" localSheetId="4">#REF!</definedName>
    <definedName name="A5R22" localSheetId="5">#REF!</definedName>
    <definedName name="A5R22" localSheetId="0">#REF!</definedName>
    <definedName name="A5R22" localSheetId="9">#REF!</definedName>
    <definedName name="A5R22" localSheetId="10">#REF!</definedName>
    <definedName name="A5R22" localSheetId="8">#REF!</definedName>
    <definedName name="A5R22">#REF!</definedName>
    <definedName name="A5R23" localSheetId="4">#REF!</definedName>
    <definedName name="A5R23" localSheetId="5">#REF!</definedName>
    <definedName name="A5R23" localSheetId="0">#REF!</definedName>
    <definedName name="A5R23" localSheetId="9">#REF!</definedName>
    <definedName name="A5R23" localSheetId="10">#REF!</definedName>
    <definedName name="A5R23" localSheetId="8">#REF!</definedName>
    <definedName name="A5R23">#REF!</definedName>
    <definedName name="A5R24" localSheetId="4">#REF!</definedName>
    <definedName name="A5R24" localSheetId="5">#REF!</definedName>
    <definedName name="A5R24" localSheetId="0">#REF!</definedName>
    <definedName name="A5R24" localSheetId="9">#REF!</definedName>
    <definedName name="A5R24" localSheetId="10">#REF!</definedName>
    <definedName name="A5R24" localSheetId="8">#REF!</definedName>
    <definedName name="A5R24">#REF!</definedName>
    <definedName name="A5R3" localSheetId="4">#REF!</definedName>
    <definedName name="A5R3" localSheetId="5">#REF!</definedName>
    <definedName name="A5R3" localSheetId="0">#REF!</definedName>
    <definedName name="A5R3" localSheetId="9">#REF!</definedName>
    <definedName name="A5R3" localSheetId="10">#REF!</definedName>
    <definedName name="A5R3" localSheetId="8">#REF!</definedName>
    <definedName name="A5R3">#REF!</definedName>
    <definedName name="A5R4" localSheetId="4">#REF!</definedName>
    <definedName name="A5R4" localSheetId="5">#REF!</definedName>
    <definedName name="A5R4" localSheetId="0">#REF!</definedName>
    <definedName name="A5R4" localSheetId="9">#REF!</definedName>
    <definedName name="A5R4" localSheetId="10">#REF!</definedName>
    <definedName name="A5R4" localSheetId="8">#REF!</definedName>
    <definedName name="A5R4">#REF!</definedName>
    <definedName name="A5R5" localSheetId="4">#REF!</definedName>
    <definedName name="A5R5" localSheetId="5">#REF!</definedName>
    <definedName name="A5R5" localSheetId="0">#REF!</definedName>
    <definedName name="A5R5" localSheetId="9">#REF!</definedName>
    <definedName name="A5R5" localSheetId="10">#REF!</definedName>
    <definedName name="A5R5" localSheetId="8">#REF!</definedName>
    <definedName name="A5R5">#REF!</definedName>
    <definedName name="A5R6" localSheetId="4">#REF!</definedName>
    <definedName name="A5R6" localSheetId="5">#REF!</definedName>
    <definedName name="A5R6" localSheetId="0">#REF!</definedName>
    <definedName name="A5R6" localSheetId="9">#REF!</definedName>
    <definedName name="A5R6" localSheetId="10">#REF!</definedName>
    <definedName name="A5R6" localSheetId="8">#REF!</definedName>
    <definedName name="A5R6">#REF!</definedName>
    <definedName name="A5R7" localSheetId="4">#REF!</definedName>
    <definedName name="A5R7" localSheetId="5">#REF!</definedName>
    <definedName name="A5R7" localSheetId="0">#REF!</definedName>
    <definedName name="A5R7" localSheetId="9">#REF!</definedName>
    <definedName name="A5R7" localSheetId="10">#REF!</definedName>
    <definedName name="A5R7" localSheetId="8">#REF!</definedName>
    <definedName name="A5R7">#REF!</definedName>
    <definedName name="A5R8" localSheetId="4">#REF!</definedName>
    <definedName name="A5R8" localSheetId="5">#REF!</definedName>
    <definedName name="A5R8" localSheetId="0">#REF!</definedName>
    <definedName name="A5R8" localSheetId="9">#REF!</definedName>
    <definedName name="A5R8" localSheetId="10">#REF!</definedName>
    <definedName name="A5R8" localSheetId="8">#REF!</definedName>
    <definedName name="A5R8">#REF!</definedName>
    <definedName name="A5R9" localSheetId="4">#REF!</definedName>
    <definedName name="A5R9" localSheetId="5">#REF!</definedName>
    <definedName name="A5R9" localSheetId="0">#REF!</definedName>
    <definedName name="A5R9" localSheetId="9">#REF!</definedName>
    <definedName name="A5R9" localSheetId="10">#REF!</definedName>
    <definedName name="A5R9" localSheetId="8">#REF!</definedName>
    <definedName name="A5R9">#REF!</definedName>
    <definedName name="add_1" localSheetId="4">#REF!</definedName>
    <definedName name="add_1" localSheetId="5">#REF!</definedName>
    <definedName name="add_1" localSheetId="0">#REF!</definedName>
    <definedName name="add_1" localSheetId="9">#REF!</definedName>
    <definedName name="add_1" localSheetId="10">#REF!</definedName>
    <definedName name="add_1" localSheetId="8">#REF!</definedName>
    <definedName name="add_1">#REF!</definedName>
    <definedName name="add_2" localSheetId="4">#REF!</definedName>
    <definedName name="add_2" localSheetId="5">#REF!</definedName>
    <definedName name="add_2" localSheetId="0">#REF!</definedName>
    <definedName name="add_2" localSheetId="9">#REF!</definedName>
    <definedName name="add_2" localSheetId="10">#REF!</definedName>
    <definedName name="add_2" localSheetId="8">#REF!</definedName>
    <definedName name="add_2">#REF!</definedName>
    <definedName name="add_3" localSheetId="4">#REF!</definedName>
    <definedName name="add_3" localSheetId="5">#REF!</definedName>
    <definedName name="add_3" localSheetId="0">#REF!</definedName>
    <definedName name="add_3" localSheetId="9">#REF!</definedName>
    <definedName name="add_3" localSheetId="10">#REF!</definedName>
    <definedName name="add_3" localSheetId="8">#REF!</definedName>
    <definedName name="add_3">#REF!</definedName>
    <definedName name="add_4" localSheetId="4">#REF!</definedName>
    <definedName name="add_4" localSheetId="5">#REF!</definedName>
    <definedName name="add_4" localSheetId="0">#REF!</definedName>
    <definedName name="add_4" localSheetId="9">#REF!</definedName>
    <definedName name="add_4" localSheetId="10">#REF!</definedName>
    <definedName name="add_4" localSheetId="8">#REF!</definedName>
    <definedName name="add_4">#REF!</definedName>
    <definedName name="add_5" localSheetId="4">#REF!</definedName>
    <definedName name="add_5" localSheetId="5">#REF!</definedName>
    <definedName name="add_5" localSheetId="0">#REF!</definedName>
    <definedName name="add_5" localSheetId="9">#REF!</definedName>
    <definedName name="add_5" localSheetId="10">#REF!</definedName>
    <definedName name="add_5" localSheetId="8">#REF!</definedName>
    <definedName name="add_5">#REF!</definedName>
    <definedName name="add_total" localSheetId="4">#REF!</definedName>
    <definedName name="add_total" localSheetId="5">#REF!</definedName>
    <definedName name="add_total" localSheetId="0">#REF!</definedName>
    <definedName name="add_total" localSheetId="9">#REF!</definedName>
    <definedName name="add_total" localSheetId="10">#REF!</definedName>
    <definedName name="add_total" localSheetId="8">#REF!</definedName>
    <definedName name="add_total">#REF!</definedName>
    <definedName name="_xlnm.Print_Area" localSheetId="4">BDI!$A$1:$I$41</definedName>
    <definedName name="_xlnm.Print_Area" localSheetId="5">'BDI equip'!$A$1:$I$38</definedName>
    <definedName name="_xlnm.Print_Area" localSheetId="0">Capa!$B$1:$L$45</definedName>
    <definedName name="_xlnm.Print_Area" localSheetId="17">COTAÇÕES!$C$1:$L$846</definedName>
    <definedName name="_xlnm.Print_Area" localSheetId="16">CPU!$C$1:$O$969</definedName>
    <definedName name="_xlnm.Print_Area" localSheetId="9">CRONO_FASES!$B$1:$BC$64</definedName>
    <definedName name="_xlnm.Print_Area" localSheetId="7">CRONOGRAMA!$B$1:$BD$139</definedName>
    <definedName name="_xlnm.Print_Area" localSheetId="15">'CURVA ABC'!$F$1:$R$312</definedName>
    <definedName name="_xlnm.Print_Area" localSheetId="2">DADOS!$A$1:$P$80</definedName>
    <definedName name="_xlnm.Print_Area" localSheetId="12">'ENCARGOS SOCIAIS'!$A$1:$H$51</definedName>
    <definedName name="_xlnm.Print_Area" localSheetId="1">INDICE!$A$2:$G$24</definedName>
    <definedName name="_xlnm.Print_Area" localSheetId="10">ORC!$E$1:$N$481</definedName>
    <definedName name="_xlnm.Print_Area" localSheetId="6">RESUMO!$A$1:$I$94</definedName>
    <definedName name="_xlnm.Print_Area" localSheetId="8">RESUMO_FASES!$A$1:$I$45</definedName>
    <definedName name="_xlnm.Print_Area" localSheetId="3">RRTS!$A$1:$F$23</definedName>
    <definedName name="AUDITORIO" localSheetId="4">#REF!</definedName>
    <definedName name="AUDITORIO" localSheetId="5">#REF!</definedName>
    <definedName name="AUDITORIO" localSheetId="0">#REF!</definedName>
    <definedName name="AUDITORIO" localSheetId="9">#REF!</definedName>
    <definedName name="AUDITORIO" localSheetId="10">#REF!</definedName>
    <definedName name="AUDITORIO" localSheetId="8">#REF!</definedName>
    <definedName name="AUDITORIO">#REF!</definedName>
    <definedName name="BBB" localSheetId="5">#REF!</definedName>
    <definedName name="BBB" localSheetId="0">#REF!</definedName>
    <definedName name="BBB" localSheetId="9">#REF!</definedName>
    <definedName name="BBB" localSheetId="10">#REF!</definedName>
    <definedName name="BBB" localSheetId="8">#REF!</definedName>
    <definedName name="BBB">#REF!</definedName>
    <definedName name="BD" localSheetId="4">#REF!</definedName>
    <definedName name="BD" localSheetId="5">#REF!</definedName>
    <definedName name="BD" localSheetId="0">#REF!</definedName>
    <definedName name="BD" localSheetId="9">#REF!</definedName>
    <definedName name="BD" localSheetId="10">#REF!</definedName>
    <definedName name="BD" localSheetId="8">#REF!</definedName>
    <definedName name="BD">#REF!</definedName>
    <definedName name="BDI" localSheetId="4">#REF!</definedName>
    <definedName name="BDI" localSheetId="5">#REF!</definedName>
    <definedName name="BDI" localSheetId="0">#REF!</definedName>
    <definedName name="BDI" localSheetId="9">#REF!</definedName>
    <definedName name="BDI" localSheetId="10">#REF!</definedName>
    <definedName name="BDI" localSheetId="8">#REF!</definedName>
    <definedName name="BDI">#REF!</definedName>
    <definedName name="BDI_LIC" localSheetId="4">#REF!</definedName>
    <definedName name="BDI_LIC" localSheetId="5">#REF!</definedName>
    <definedName name="BDI_LIC" localSheetId="0">#REF!</definedName>
    <definedName name="BDI_LIC" localSheetId="9">#REF!</definedName>
    <definedName name="BDI_LIC" localSheetId="10">#REF!</definedName>
    <definedName name="BDI_LIC" localSheetId="8">#REF!</definedName>
    <definedName name="BDI_LIC">#REF!</definedName>
    <definedName name="cfs" localSheetId="4">#REF!</definedName>
    <definedName name="cfs" localSheetId="5">#REF!</definedName>
    <definedName name="cfs" localSheetId="0">#REF!</definedName>
    <definedName name="cfs" localSheetId="9">#REF!</definedName>
    <definedName name="cfs" localSheetId="10">#REF!</definedName>
    <definedName name="cfs" localSheetId="8">#REF!</definedName>
    <definedName name="cfs">#REF!</definedName>
    <definedName name="crono" localSheetId="4">#REF!</definedName>
    <definedName name="crono" localSheetId="5">#REF!</definedName>
    <definedName name="crono" localSheetId="0">#REF!</definedName>
    <definedName name="crono" localSheetId="9">#REF!</definedName>
    <definedName name="crono" localSheetId="10">#REF!</definedName>
    <definedName name="crono" localSheetId="8">#REF!</definedName>
    <definedName name="crono">#REF!</definedName>
    <definedName name="CRONO_ADD" localSheetId="4">#REF!</definedName>
    <definedName name="CRONO_ADD" localSheetId="5">#REF!</definedName>
    <definedName name="CRONO_ADD" localSheetId="0">#REF!</definedName>
    <definedName name="CRONO_ADD" localSheetId="9">#REF!</definedName>
    <definedName name="CRONO_ADD" localSheetId="10">#REF!</definedName>
    <definedName name="CRONO_ADD" localSheetId="8">#REF!</definedName>
    <definedName name="CRONO_ADD">#REF!</definedName>
    <definedName name="CRONO_RES" localSheetId="4">#REF!</definedName>
    <definedName name="CRONO_RES" localSheetId="5">#REF!</definedName>
    <definedName name="CRONO_RES" localSheetId="0">#REF!</definedName>
    <definedName name="CRONO_RES" localSheetId="9">#REF!</definedName>
    <definedName name="CRONO_RES" localSheetId="10">#REF!</definedName>
    <definedName name="CRONO_RES" localSheetId="8">#REF!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5">'[1] '!#REF!</definedName>
    <definedName name="ini" localSheetId="0">'[1] '!#REF!</definedName>
    <definedName name="ini" localSheetId="9">'[1] '!#REF!</definedName>
    <definedName name="ini" localSheetId="7">'[1] '!#REF!</definedName>
    <definedName name="ini" localSheetId="10">'[1] '!#REF!</definedName>
    <definedName name="ini" localSheetId="8">'[1] '!#REF!</definedName>
    <definedName name="ini">'[1] '!#REF!</definedName>
    <definedName name="k">"$#REF!.$A$1:$B$2408"</definedName>
    <definedName name="matriz" localSheetId="5">'[1] '!#REF!</definedName>
    <definedName name="matriz" localSheetId="0">'[1] '!#REF!</definedName>
    <definedName name="matriz" localSheetId="9">'[1] '!#REF!</definedName>
    <definedName name="matriz" localSheetId="7">'[1] '!#REF!</definedName>
    <definedName name="matriz" localSheetId="10">'[1] '!#REF!</definedName>
    <definedName name="matriz" localSheetId="8">'[1] '!#REF!</definedName>
    <definedName name="matriz">'[1] '!#REF!</definedName>
    <definedName name="MINUS" localSheetId="4">#REF!</definedName>
    <definedName name="MINUS" localSheetId="5">#REF!</definedName>
    <definedName name="MINUS" localSheetId="0">#REF!</definedName>
    <definedName name="MINUS" localSheetId="9">#REF!</definedName>
    <definedName name="MINUS" localSheetId="10">#REF!</definedName>
    <definedName name="MINUS" localSheetId="8">#REF!</definedName>
    <definedName name="MINUS">#REF!</definedName>
    <definedName name="OBRA" localSheetId="4">'[2]FOLHA FECHAMENTO'!$O$9:$O$13</definedName>
    <definedName name="OBRA" localSheetId="5">'[2]FOLHA FECHAMENTO'!$O$9:$O$13</definedName>
    <definedName name="OBRA" localSheetId="0">#REF!</definedName>
    <definedName name="OBRA" localSheetId="9">'[3]FOLHA FECHAMENTO DIF'!#REF!</definedName>
    <definedName name="OBRA" localSheetId="7">'[3]FOLHA FECHAMENTO DIF'!#REF!</definedName>
    <definedName name="OBRA" localSheetId="10">#REF!</definedName>
    <definedName name="OBRA" localSheetId="8">#REF!</definedName>
    <definedName name="OBRA">#REF!</definedName>
    <definedName name="Plan1">"$#REF!.$A$1:$B$2408"</definedName>
    <definedName name="PLUS" localSheetId="4">#REF!</definedName>
    <definedName name="PLUS" localSheetId="5">#REF!</definedName>
    <definedName name="PLUS" localSheetId="0">#REF!</definedName>
    <definedName name="PLUS" localSheetId="9">#REF!</definedName>
    <definedName name="PLUS" localSheetId="10">#REF!</definedName>
    <definedName name="PLUS" localSheetId="8">#REF!</definedName>
    <definedName name="PLUS">#REF!</definedName>
    <definedName name="po" localSheetId="4">#REF!</definedName>
    <definedName name="po" localSheetId="5">#REF!</definedName>
    <definedName name="po" localSheetId="0">#REF!</definedName>
    <definedName name="po" localSheetId="9">#REF!</definedName>
    <definedName name="po" localSheetId="10">#REF!</definedName>
    <definedName name="po" localSheetId="8">#REF!</definedName>
    <definedName name="po">#REF!</definedName>
    <definedName name="REF">'[1] '!$F$464:$F$489</definedName>
    <definedName name="rere" localSheetId="4">#REF!</definedName>
    <definedName name="rere" localSheetId="5">#REF!</definedName>
    <definedName name="rere" localSheetId="0">#REF!</definedName>
    <definedName name="rere" localSheetId="9">#REF!</definedName>
    <definedName name="rere" localSheetId="10">#REF!</definedName>
    <definedName name="rere" localSheetId="8">#REF!</definedName>
    <definedName name="rere">#REF!</definedName>
    <definedName name="RODAPÉ" localSheetId="5">[1]Relatório!#REF!</definedName>
    <definedName name="RODAPÉ" localSheetId="0">[1]Relatório!#REF!</definedName>
    <definedName name="RODAPÉ" localSheetId="9">[1]Relatório!#REF!</definedName>
    <definedName name="RODAPÉ" localSheetId="7">[1]Relatório!#REF!</definedName>
    <definedName name="RODAPÉ" localSheetId="10">[1]Relatório!#REF!</definedName>
    <definedName name="RODAPÉ" localSheetId="8">[1]Relatório!#REF!</definedName>
    <definedName name="RODAPÉ">[1]Relatório!#REF!</definedName>
    <definedName name="rt" localSheetId="4">#REF!</definedName>
    <definedName name="rt" localSheetId="5">#REF!</definedName>
    <definedName name="rt" localSheetId="0">#REF!</definedName>
    <definedName name="rt" localSheetId="9">#REF!</definedName>
    <definedName name="rt" localSheetId="10">#REF!</definedName>
    <definedName name="rt" localSheetId="8">#REF!</definedName>
    <definedName name="rt">#REF!</definedName>
    <definedName name="S10P1" localSheetId="4">#REF!</definedName>
    <definedName name="S10P1" localSheetId="5">#REF!</definedName>
    <definedName name="S10P1" localSheetId="0">#REF!</definedName>
    <definedName name="S10P1" localSheetId="9">#REF!</definedName>
    <definedName name="S10P1" localSheetId="10">#REF!</definedName>
    <definedName name="S10P1" localSheetId="8">#REF!</definedName>
    <definedName name="S10P1">#REF!</definedName>
    <definedName name="S10P10" localSheetId="4">#REF!</definedName>
    <definedName name="S10P10" localSheetId="5">#REF!</definedName>
    <definedName name="S10P10" localSheetId="0">#REF!</definedName>
    <definedName name="S10P10" localSheetId="9">#REF!</definedName>
    <definedName name="S10P10" localSheetId="10">#REF!</definedName>
    <definedName name="S10P10" localSheetId="8">#REF!</definedName>
    <definedName name="S10P10">#REF!</definedName>
    <definedName name="S10P11" localSheetId="4">#REF!</definedName>
    <definedName name="S10P11" localSheetId="5">#REF!</definedName>
    <definedName name="S10P11" localSheetId="0">#REF!</definedName>
    <definedName name="S10P11" localSheetId="9">#REF!</definedName>
    <definedName name="S10P11" localSheetId="10">#REF!</definedName>
    <definedName name="S10P11" localSheetId="8">#REF!</definedName>
    <definedName name="S10P11">#REF!</definedName>
    <definedName name="S10P12" localSheetId="4">#REF!</definedName>
    <definedName name="S10P12" localSheetId="5">#REF!</definedName>
    <definedName name="S10P12" localSheetId="0">#REF!</definedName>
    <definedName name="S10P12" localSheetId="9">#REF!</definedName>
    <definedName name="S10P12" localSheetId="10">#REF!</definedName>
    <definedName name="S10P12" localSheetId="8">#REF!</definedName>
    <definedName name="S10P12">#REF!</definedName>
    <definedName name="S10P13" localSheetId="4">#REF!</definedName>
    <definedName name="S10P13" localSheetId="5">#REF!</definedName>
    <definedName name="S10P13" localSheetId="0">#REF!</definedName>
    <definedName name="S10P13" localSheetId="9">#REF!</definedName>
    <definedName name="S10P13" localSheetId="10">#REF!</definedName>
    <definedName name="S10P13" localSheetId="8">#REF!</definedName>
    <definedName name="S10P13">#REF!</definedName>
    <definedName name="S10P14" localSheetId="4">#REF!</definedName>
    <definedName name="S10P14" localSheetId="5">#REF!</definedName>
    <definedName name="S10P14" localSheetId="0">#REF!</definedName>
    <definedName name="S10P14" localSheetId="9">#REF!</definedName>
    <definedName name="S10P14" localSheetId="10">#REF!</definedName>
    <definedName name="S10P14" localSheetId="8">#REF!</definedName>
    <definedName name="S10P14">#REF!</definedName>
    <definedName name="S10P15" localSheetId="4">#REF!</definedName>
    <definedName name="S10P15" localSheetId="5">#REF!</definedName>
    <definedName name="S10P15" localSheetId="0">#REF!</definedName>
    <definedName name="S10P15" localSheetId="9">#REF!</definedName>
    <definedName name="S10P15" localSheetId="10">#REF!</definedName>
    <definedName name="S10P15" localSheetId="8">#REF!</definedName>
    <definedName name="S10P15">#REF!</definedName>
    <definedName name="S10P16" localSheetId="4">#REF!</definedName>
    <definedName name="S10P16" localSheetId="5">#REF!</definedName>
    <definedName name="S10P16" localSheetId="0">#REF!</definedName>
    <definedName name="S10P16" localSheetId="9">#REF!</definedName>
    <definedName name="S10P16" localSheetId="10">#REF!</definedName>
    <definedName name="S10P16" localSheetId="8">#REF!</definedName>
    <definedName name="S10P16">#REF!</definedName>
    <definedName name="S10P17" localSheetId="4">#REF!</definedName>
    <definedName name="S10P17" localSheetId="5">#REF!</definedName>
    <definedName name="S10P17" localSheetId="0">#REF!</definedName>
    <definedName name="S10P17" localSheetId="9">#REF!</definedName>
    <definedName name="S10P17" localSheetId="10">#REF!</definedName>
    <definedName name="S10P17" localSheetId="8">#REF!</definedName>
    <definedName name="S10P17">#REF!</definedName>
    <definedName name="S10P18" localSheetId="4">#REF!</definedName>
    <definedName name="S10P18" localSheetId="5">#REF!</definedName>
    <definedName name="S10P18" localSheetId="0">#REF!</definedName>
    <definedName name="S10P18" localSheetId="9">#REF!</definedName>
    <definedName name="S10P18" localSheetId="10">#REF!</definedName>
    <definedName name="S10P18" localSheetId="8">#REF!</definedName>
    <definedName name="S10P18">#REF!</definedName>
    <definedName name="S10P19" localSheetId="4">#REF!</definedName>
    <definedName name="S10P19" localSheetId="5">#REF!</definedName>
    <definedName name="S10P19" localSheetId="0">#REF!</definedName>
    <definedName name="S10P19" localSheetId="9">#REF!</definedName>
    <definedName name="S10P19" localSheetId="10">#REF!</definedName>
    <definedName name="S10P19" localSheetId="8">#REF!</definedName>
    <definedName name="S10P19">#REF!</definedName>
    <definedName name="S10P2" localSheetId="4">#REF!</definedName>
    <definedName name="S10P2" localSheetId="5">#REF!</definedName>
    <definedName name="S10P2" localSheetId="0">#REF!</definedName>
    <definedName name="S10P2" localSheetId="9">#REF!</definedName>
    <definedName name="S10P2" localSheetId="10">#REF!</definedName>
    <definedName name="S10P2" localSheetId="8">#REF!</definedName>
    <definedName name="S10P2">#REF!</definedName>
    <definedName name="S10P20" localSheetId="4">#REF!</definedName>
    <definedName name="S10P20" localSheetId="5">#REF!</definedName>
    <definedName name="S10P20" localSheetId="0">#REF!</definedName>
    <definedName name="S10P20" localSheetId="9">#REF!</definedName>
    <definedName name="S10P20" localSheetId="10">#REF!</definedName>
    <definedName name="S10P20" localSheetId="8">#REF!</definedName>
    <definedName name="S10P20">#REF!</definedName>
    <definedName name="S10P21" localSheetId="4">#REF!</definedName>
    <definedName name="S10P21" localSheetId="5">#REF!</definedName>
    <definedName name="S10P21" localSheetId="0">#REF!</definedName>
    <definedName name="S10P21" localSheetId="9">#REF!</definedName>
    <definedName name="S10P21" localSheetId="10">#REF!</definedName>
    <definedName name="S10P21" localSheetId="8">#REF!</definedName>
    <definedName name="S10P21">#REF!</definedName>
    <definedName name="S10P22" localSheetId="4">#REF!</definedName>
    <definedName name="S10P22" localSheetId="5">#REF!</definedName>
    <definedName name="S10P22" localSheetId="0">#REF!</definedName>
    <definedName name="S10P22" localSheetId="9">#REF!</definedName>
    <definedName name="S10P22" localSheetId="10">#REF!</definedName>
    <definedName name="S10P22" localSheetId="8">#REF!</definedName>
    <definedName name="S10P22">#REF!</definedName>
    <definedName name="S10P23" localSheetId="4">#REF!</definedName>
    <definedName name="S10P23" localSheetId="5">#REF!</definedName>
    <definedName name="S10P23" localSheetId="0">#REF!</definedName>
    <definedName name="S10P23" localSheetId="9">#REF!</definedName>
    <definedName name="S10P23" localSheetId="10">#REF!</definedName>
    <definedName name="S10P23" localSheetId="8">#REF!</definedName>
    <definedName name="S10P23">#REF!</definedName>
    <definedName name="S10P24" localSheetId="4">#REF!</definedName>
    <definedName name="S10P24" localSheetId="5">#REF!</definedName>
    <definedName name="S10P24" localSheetId="0">#REF!</definedName>
    <definedName name="S10P24" localSheetId="9">#REF!</definedName>
    <definedName name="S10P24" localSheetId="10">#REF!</definedName>
    <definedName name="S10P24" localSheetId="8">#REF!</definedName>
    <definedName name="S10P24">#REF!</definedName>
    <definedName name="S10P3" localSheetId="4">#REF!</definedName>
    <definedName name="S10P3" localSheetId="5">#REF!</definedName>
    <definedName name="S10P3" localSheetId="0">#REF!</definedName>
    <definedName name="S10P3" localSheetId="9">#REF!</definedName>
    <definedName name="S10P3" localSheetId="10">#REF!</definedName>
    <definedName name="S10P3" localSheetId="8">#REF!</definedName>
    <definedName name="S10P3">#REF!</definedName>
    <definedName name="S10P4" localSheetId="4">#REF!</definedName>
    <definedName name="S10P4" localSheetId="5">#REF!</definedName>
    <definedName name="S10P4" localSheetId="0">#REF!</definedName>
    <definedName name="S10P4" localSheetId="9">#REF!</definedName>
    <definedName name="S10P4" localSheetId="10">#REF!</definedName>
    <definedName name="S10P4" localSheetId="8">#REF!</definedName>
    <definedName name="S10P4">#REF!</definedName>
    <definedName name="S10P5" localSheetId="4">#REF!</definedName>
    <definedName name="S10P5" localSheetId="5">#REF!</definedName>
    <definedName name="S10P5" localSheetId="0">#REF!</definedName>
    <definedName name="S10P5" localSheetId="9">#REF!</definedName>
    <definedName name="S10P5" localSheetId="10">#REF!</definedName>
    <definedName name="S10P5" localSheetId="8">#REF!</definedName>
    <definedName name="S10P5">#REF!</definedName>
    <definedName name="S10P6" localSheetId="4">#REF!</definedName>
    <definedName name="S10P6" localSheetId="5">#REF!</definedName>
    <definedName name="S10P6" localSheetId="0">#REF!</definedName>
    <definedName name="S10P6" localSheetId="9">#REF!</definedName>
    <definedName name="S10P6" localSheetId="10">#REF!</definedName>
    <definedName name="S10P6" localSheetId="8">#REF!</definedName>
    <definedName name="S10P6">#REF!</definedName>
    <definedName name="S10P7" localSheetId="4">#REF!</definedName>
    <definedName name="S10P7" localSheetId="5">#REF!</definedName>
    <definedName name="S10P7" localSheetId="0">#REF!</definedName>
    <definedName name="S10P7" localSheetId="9">#REF!</definedName>
    <definedName name="S10P7" localSheetId="10">#REF!</definedName>
    <definedName name="S10P7" localSheetId="8">#REF!</definedName>
    <definedName name="S10P7">#REF!</definedName>
    <definedName name="S10P8" localSheetId="4">#REF!</definedName>
    <definedName name="S10P8" localSheetId="5">#REF!</definedName>
    <definedName name="S10P8" localSheetId="0">#REF!</definedName>
    <definedName name="S10P8" localSheetId="9">#REF!</definedName>
    <definedName name="S10P8" localSheetId="10">#REF!</definedName>
    <definedName name="S10P8" localSheetId="8">#REF!</definedName>
    <definedName name="S10P8">#REF!</definedName>
    <definedName name="S10P9" localSheetId="4">#REF!</definedName>
    <definedName name="S10P9" localSheetId="5">#REF!</definedName>
    <definedName name="S10P9" localSheetId="0">#REF!</definedName>
    <definedName name="S10P9" localSheetId="9">#REF!</definedName>
    <definedName name="S10P9" localSheetId="10">#REF!</definedName>
    <definedName name="S10P9" localSheetId="8">#REF!</definedName>
    <definedName name="S10P9">#REF!</definedName>
    <definedName name="S10R1" localSheetId="4">#REF!</definedName>
    <definedName name="S10R1" localSheetId="5">#REF!</definedName>
    <definedName name="S10R1" localSheetId="0">#REF!</definedName>
    <definedName name="S10R1" localSheetId="9">#REF!</definedName>
    <definedName name="S10R1" localSheetId="10">#REF!</definedName>
    <definedName name="S10R1" localSheetId="8">#REF!</definedName>
    <definedName name="S10R1">#REF!</definedName>
    <definedName name="S10R10" localSheetId="4">#REF!</definedName>
    <definedName name="S10R10" localSheetId="5">#REF!</definedName>
    <definedName name="S10R10" localSheetId="0">#REF!</definedName>
    <definedName name="S10R10" localSheetId="9">#REF!</definedName>
    <definedName name="S10R10" localSheetId="10">#REF!</definedName>
    <definedName name="S10R10" localSheetId="8">#REF!</definedName>
    <definedName name="S10R10">#REF!</definedName>
    <definedName name="S10R11" localSheetId="4">#REF!</definedName>
    <definedName name="S10R11" localSheetId="5">#REF!</definedName>
    <definedName name="S10R11" localSheetId="0">#REF!</definedName>
    <definedName name="S10R11" localSheetId="9">#REF!</definedName>
    <definedName name="S10R11" localSheetId="10">#REF!</definedName>
    <definedName name="S10R11" localSheetId="8">#REF!</definedName>
    <definedName name="S10R11">#REF!</definedName>
    <definedName name="S10R12" localSheetId="4">#REF!</definedName>
    <definedName name="S10R12" localSheetId="5">#REF!</definedName>
    <definedName name="S10R12" localSheetId="0">#REF!</definedName>
    <definedName name="S10R12" localSheetId="9">#REF!</definedName>
    <definedName name="S10R12" localSheetId="10">#REF!</definedName>
    <definedName name="S10R12" localSheetId="8">#REF!</definedName>
    <definedName name="S10R12">#REF!</definedName>
    <definedName name="S10R13" localSheetId="4">#REF!</definedName>
    <definedName name="S10R13" localSheetId="5">#REF!</definedName>
    <definedName name="S10R13" localSheetId="0">#REF!</definedName>
    <definedName name="S10R13" localSheetId="9">#REF!</definedName>
    <definedName name="S10R13" localSheetId="10">#REF!</definedName>
    <definedName name="S10R13" localSheetId="8">#REF!</definedName>
    <definedName name="S10R13">#REF!</definedName>
    <definedName name="S10R14" localSheetId="4">#REF!</definedName>
    <definedName name="S10R14" localSheetId="5">#REF!</definedName>
    <definedName name="S10R14" localSheetId="0">#REF!</definedName>
    <definedName name="S10R14" localSheetId="9">#REF!</definedName>
    <definedName name="S10R14" localSheetId="10">#REF!</definedName>
    <definedName name="S10R14" localSheetId="8">#REF!</definedName>
    <definedName name="S10R14">#REF!</definedName>
    <definedName name="S10R15" localSheetId="4">#REF!</definedName>
    <definedName name="S10R15" localSheetId="5">#REF!</definedName>
    <definedName name="S10R15" localSheetId="0">#REF!</definedName>
    <definedName name="S10R15" localSheetId="9">#REF!</definedName>
    <definedName name="S10R15" localSheetId="10">#REF!</definedName>
    <definedName name="S10R15" localSheetId="8">#REF!</definedName>
    <definedName name="S10R15">#REF!</definedName>
    <definedName name="S10R16" localSheetId="4">#REF!</definedName>
    <definedName name="S10R16" localSheetId="5">#REF!</definedName>
    <definedName name="S10R16" localSheetId="0">#REF!</definedName>
    <definedName name="S10R16" localSheetId="9">#REF!</definedName>
    <definedName name="S10R16" localSheetId="10">#REF!</definedName>
    <definedName name="S10R16" localSheetId="8">#REF!</definedName>
    <definedName name="S10R16">#REF!</definedName>
    <definedName name="S10R17" localSheetId="4">#REF!</definedName>
    <definedName name="S10R17" localSheetId="5">#REF!</definedName>
    <definedName name="S10R17" localSheetId="0">#REF!</definedName>
    <definedName name="S10R17" localSheetId="9">#REF!</definedName>
    <definedName name="S10R17" localSheetId="10">#REF!</definedName>
    <definedName name="S10R17" localSheetId="8">#REF!</definedName>
    <definedName name="S10R17">#REF!</definedName>
    <definedName name="S10R18" localSheetId="4">#REF!</definedName>
    <definedName name="S10R18" localSheetId="5">#REF!</definedName>
    <definedName name="S10R18" localSheetId="0">#REF!</definedName>
    <definedName name="S10R18" localSheetId="9">#REF!</definedName>
    <definedName name="S10R18" localSheetId="10">#REF!</definedName>
    <definedName name="S10R18" localSheetId="8">#REF!</definedName>
    <definedName name="S10R18">#REF!</definedName>
    <definedName name="S10R19" localSheetId="4">#REF!</definedName>
    <definedName name="S10R19" localSheetId="5">#REF!</definedName>
    <definedName name="S10R19" localSheetId="0">#REF!</definedName>
    <definedName name="S10R19" localSheetId="9">#REF!</definedName>
    <definedName name="S10R19" localSheetId="10">#REF!</definedName>
    <definedName name="S10R19" localSheetId="8">#REF!</definedName>
    <definedName name="S10R19">#REF!</definedName>
    <definedName name="S10R2" localSheetId="4">#REF!</definedName>
    <definedName name="S10R2" localSheetId="5">#REF!</definedName>
    <definedName name="S10R2" localSheetId="0">#REF!</definedName>
    <definedName name="S10R2" localSheetId="9">#REF!</definedName>
    <definedName name="S10R2" localSheetId="10">#REF!</definedName>
    <definedName name="S10R2" localSheetId="8">#REF!</definedName>
    <definedName name="S10R2">#REF!</definedName>
    <definedName name="S10R20" localSheetId="4">#REF!</definedName>
    <definedName name="S10R20" localSheetId="5">#REF!</definedName>
    <definedName name="S10R20" localSheetId="0">#REF!</definedName>
    <definedName name="S10R20" localSheetId="9">#REF!</definedName>
    <definedName name="S10R20" localSheetId="10">#REF!</definedName>
    <definedName name="S10R20" localSheetId="8">#REF!</definedName>
    <definedName name="S10R20">#REF!</definedName>
    <definedName name="S10R21" localSheetId="4">#REF!</definedName>
    <definedName name="S10R21" localSheetId="5">#REF!</definedName>
    <definedName name="S10R21" localSheetId="0">#REF!</definedName>
    <definedName name="S10R21" localSheetId="9">#REF!</definedName>
    <definedName name="S10R21" localSheetId="10">#REF!</definedName>
    <definedName name="S10R21" localSheetId="8">#REF!</definedName>
    <definedName name="S10R21">#REF!</definedName>
    <definedName name="S10R22" localSheetId="4">#REF!</definedName>
    <definedName name="S10R22" localSheetId="5">#REF!</definedName>
    <definedName name="S10R22" localSheetId="0">#REF!</definedName>
    <definedName name="S10R22" localSheetId="9">#REF!</definedName>
    <definedName name="S10R22" localSheetId="10">#REF!</definedName>
    <definedName name="S10R22" localSheetId="8">#REF!</definedName>
    <definedName name="S10R22">#REF!</definedName>
    <definedName name="S10R23" localSheetId="4">#REF!</definedName>
    <definedName name="S10R23" localSheetId="5">#REF!</definedName>
    <definedName name="S10R23" localSheetId="0">#REF!</definedName>
    <definedName name="S10R23" localSheetId="9">#REF!</definedName>
    <definedName name="S10R23" localSheetId="10">#REF!</definedName>
    <definedName name="S10R23" localSheetId="8">#REF!</definedName>
    <definedName name="S10R23">#REF!</definedName>
    <definedName name="S10R24" localSheetId="4">#REF!</definedName>
    <definedName name="S10R24" localSheetId="5">#REF!</definedName>
    <definedName name="S10R24" localSheetId="0">#REF!</definedName>
    <definedName name="S10R24" localSheetId="9">#REF!</definedName>
    <definedName name="S10R24" localSheetId="10">#REF!</definedName>
    <definedName name="S10R24" localSheetId="8">#REF!</definedName>
    <definedName name="S10R24">#REF!</definedName>
    <definedName name="S10R3" localSheetId="4">#REF!</definedName>
    <definedName name="S10R3" localSheetId="5">#REF!</definedName>
    <definedName name="S10R3" localSheetId="0">#REF!</definedName>
    <definedName name="S10R3" localSheetId="9">#REF!</definedName>
    <definedName name="S10R3" localSheetId="10">#REF!</definedName>
    <definedName name="S10R3" localSheetId="8">#REF!</definedName>
    <definedName name="S10R3">#REF!</definedName>
    <definedName name="S10R4" localSheetId="4">#REF!</definedName>
    <definedName name="S10R4" localSheetId="5">#REF!</definedName>
    <definedName name="S10R4" localSheetId="0">#REF!</definedName>
    <definedName name="S10R4" localSheetId="9">#REF!</definedName>
    <definedName name="S10R4" localSheetId="10">#REF!</definedName>
    <definedName name="S10R4" localSheetId="8">#REF!</definedName>
    <definedName name="S10R4">#REF!</definedName>
    <definedName name="S10R5" localSheetId="4">#REF!</definedName>
    <definedName name="S10R5" localSheetId="5">#REF!</definedName>
    <definedName name="S10R5" localSheetId="0">#REF!</definedName>
    <definedName name="S10R5" localSheetId="9">#REF!</definedName>
    <definedName name="S10R5" localSheetId="10">#REF!</definedName>
    <definedName name="S10R5" localSheetId="8">#REF!</definedName>
    <definedName name="S10R5">#REF!</definedName>
    <definedName name="S10R6" localSheetId="4">#REF!</definedName>
    <definedName name="S10R6" localSheetId="5">#REF!</definedName>
    <definedName name="S10R6" localSheetId="0">#REF!</definedName>
    <definedName name="S10R6" localSheetId="9">#REF!</definedName>
    <definedName name="S10R6" localSheetId="10">#REF!</definedName>
    <definedName name="S10R6" localSheetId="8">#REF!</definedName>
    <definedName name="S10R6">#REF!</definedName>
    <definedName name="S10R7" localSheetId="4">#REF!</definedName>
    <definedName name="S10R7" localSheetId="5">#REF!</definedName>
    <definedName name="S10R7" localSheetId="0">#REF!</definedName>
    <definedName name="S10R7" localSheetId="9">#REF!</definedName>
    <definedName name="S10R7" localSheetId="10">#REF!</definedName>
    <definedName name="S10R7" localSheetId="8">#REF!</definedName>
    <definedName name="S10R7">#REF!</definedName>
    <definedName name="S10R8" localSheetId="4">#REF!</definedName>
    <definedName name="S10R8" localSheetId="5">#REF!</definedName>
    <definedName name="S10R8" localSheetId="0">#REF!</definedName>
    <definedName name="S10R8" localSheetId="9">#REF!</definedName>
    <definedName name="S10R8" localSheetId="10">#REF!</definedName>
    <definedName name="S10R8" localSheetId="8">#REF!</definedName>
    <definedName name="S10R8">#REF!</definedName>
    <definedName name="S10R9" localSheetId="4">#REF!</definedName>
    <definedName name="S10R9" localSheetId="5">#REF!</definedName>
    <definedName name="S10R9" localSheetId="0">#REF!</definedName>
    <definedName name="S10R9" localSheetId="9">#REF!</definedName>
    <definedName name="S10R9" localSheetId="10">#REF!</definedName>
    <definedName name="S10R9" localSheetId="8">#REF!</definedName>
    <definedName name="S10R9">#REF!</definedName>
    <definedName name="S11P1" localSheetId="4">#REF!</definedName>
    <definedName name="S11P1" localSheetId="5">#REF!</definedName>
    <definedName name="S11P1" localSheetId="0">#REF!</definedName>
    <definedName name="S11P1" localSheetId="9">#REF!</definedName>
    <definedName name="S11P1" localSheetId="10">#REF!</definedName>
    <definedName name="S11P1" localSheetId="8">#REF!</definedName>
    <definedName name="S11P1">#REF!</definedName>
    <definedName name="S11P10" localSheetId="4">#REF!</definedName>
    <definedName name="S11P10" localSheetId="5">#REF!</definedName>
    <definedName name="S11P10" localSheetId="0">#REF!</definedName>
    <definedName name="S11P10" localSheetId="9">#REF!</definedName>
    <definedName name="S11P10" localSheetId="10">#REF!</definedName>
    <definedName name="S11P10" localSheetId="8">#REF!</definedName>
    <definedName name="S11P10">#REF!</definedName>
    <definedName name="S11P11" localSheetId="4">#REF!</definedName>
    <definedName name="S11P11" localSheetId="5">#REF!</definedName>
    <definedName name="S11P11" localSheetId="0">#REF!</definedName>
    <definedName name="S11P11" localSheetId="9">#REF!</definedName>
    <definedName name="S11P11" localSheetId="10">#REF!</definedName>
    <definedName name="S11P11" localSheetId="8">#REF!</definedName>
    <definedName name="S11P11">#REF!</definedName>
    <definedName name="S11P12" localSheetId="4">#REF!</definedName>
    <definedName name="S11P12" localSheetId="5">#REF!</definedName>
    <definedName name="S11P12" localSheetId="0">#REF!</definedName>
    <definedName name="S11P12" localSheetId="9">#REF!</definedName>
    <definedName name="S11P12" localSheetId="10">#REF!</definedName>
    <definedName name="S11P12" localSheetId="8">#REF!</definedName>
    <definedName name="S11P12">#REF!</definedName>
    <definedName name="S11P13" localSheetId="4">#REF!</definedName>
    <definedName name="S11P13" localSheetId="5">#REF!</definedName>
    <definedName name="S11P13" localSheetId="0">#REF!</definedName>
    <definedName name="S11P13" localSheetId="9">#REF!</definedName>
    <definedName name="S11P13" localSheetId="10">#REF!</definedName>
    <definedName name="S11P13" localSheetId="8">#REF!</definedName>
    <definedName name="S11P13">#REF!</definedName>
    <definedName name="S11P14" localSheetId="4">#REF!</definedName>
    <definedName name="S11P14" localSheetId="5">#REF!</definedName>
    <definedName name="S11P14" localSheetId="0">#REF!</definedName>
    <definedName name="S11P14" localSheetId="9">#REF!</definedName>
    <definedName name="S11P14" localSheetId="10">#REF!</definedName>
    <definedName name="S11P14" localSheetId="8">#REF!</definedName>
    <definedName name="S11P14">#REF!</definedName>
    <definedName name="S11P15" localSheetId="4">#REF!</definedName>
    <definedName name="S11P15" localSheetId="5">#REF!</definedName>
    <definedName name="S11P15" localSheetId="0">#REF!</definedName>
    <definedName name="S11P15" localSheetId="9">#REF!</definedName>
    <definedName name="S11P15" localSheetId="10">#REF!</definedName>
    <definedName name="S11P15" localSheetId="8">#REF!</definedName>
    <definedName name="S11P15">#REF!</definedName>
    <definedName name="S11P16" localSheetId="4">#REF!</definedName>
    <definedName name="S11P16" localSheetId="5">#REF!</definedName>
    <definedName name="S11P16" localSheetId="0">#REF!</definedName>
    <definedName name="S11P16" localSheetId="9">#REF!</definedName>
    <definedName name="S11P16" localSheetId="10">#REF!</definedName>
    <definedName name="S11P16" localSheetId="8">#REF!</definedName>
    <definedName name="S11P16">#REF!</definedName>
    <definedName name="S11P17" localSheetId="4">#REF!</definedName>
    <definedName name="S11P17" localSheetId="5">#REF!</definedName>
    <definedName name="S11P17" localSheetId="0">#REF!</definedName>
    <definedName name="S11P17" localSheetId="9">#REF!</definedName>
    <definedName name="S11P17" localSheetId="10">#REF!</definedName>
    <definedName name="S11P17" localSheetId="8">#REF!</definedName>
    <definedName name="S11P17">#REF!</definedName>
    <definedName name="S11P18" localSheetId="4">#REF!</definedName>
    <definedName name="S11P18" localSheetId="5">#REF!</definedName>
    <definedName name="S11P18" localSheetId="0">#REF!</definedName>
    <definedName name="S11P18" localSheetId="9">#REF!</definedName>
    <definedName name="S11P18" localSheetId="10">#REF!</definedName>
    <definedName name="S11P18" localSheetId="8">#REF!</definedName>
    <definedName name="S11P18">#REF!</definedName>
    <definedName name="S11P19" localSheetId="4">#REF!</definedName>
    <definedName name="S11P19" localSheetId="5">#REF!</definedName>
    <definedName name="S11P19" localSheetId="0">#REF!</definedName>
    <definedName name="S11P19" localSheetId="9">#REF!</definedName>
    <definedName name="S11P19" localSheetId="10">#REF!</definedName>
    <definedName name="S11P19" localSheetId="8">#REF!</definedName>
    <definedName name="S11P19">#REF!</definedName>
    <definedName name="S11P2" localSheetId="4">#REF!</definedName>
    <definedName name="S11P2" localSheetId="5">#REF!</definedName>
    <definedName name="S11P2" localSheetId="0">#REF!</definedName>
    <definedName name="S11P2" localSheetId="9">#REF!</definedName>
    <definedName name="S11P2" localSheetId="10">#REF!</definedName>
    <definedName name="S11P2" localSheetId="8">#REF!</definedName>
    <definedName name="S11P2">#REF!</definedName>
    <definedName name="S11P20" localSheetId="4">#REF!</definedName>
    <definedName name="S11P20" localSheetId="5">#REF!</definedName>
    <definedName name="S11P20" localSheetId="0">#REF!</definedName>
    <definedName name="S11P20" localSheetId="9">#REF!</definedName>
    <definedName name="S11P20" localSheetId="10">#REF!</definedName>
    <definedName name="S11P20" localSheetId="8">#REF!</definedName>
    <definedName name="S11P20">#REF!</definedName>
    <definedName name="S11P21" localSheetId="4">#REF!</definedName>
    <definedName name="S11P21" localSheetId="5">#REF!</definedName>
    <definedName name="S11P21" localSheetId="0">#REF!</definedName>
    <definedName name="S11P21" localSheetId="9">#REF!</definedName>
    <definedName name="S11P21" localSheetId="10">#REF!</definedName>
    <definedName name="S11P21" localSheetId="8">#REF!</definedName>
    <definedName name="S11P21">#REF!</definedName>
    <definedName name="S11P22" localSheetId="4">#REF!</definedName>
    <definedName name="S11P22" localSheetId="5">#REF!</definedName>
    <definedName name="S11P22" localSheetId="0">#REF!</definedName>
    <definedName name="S11P22" localSheetId="9">#REF!</definedName>
    <definedName name="S11P22" localSheetId="10">#REF!</definedName>
    <definedName name="S11P22" localSheetId="8">#REF!</definedName>
    <definedName name="S11P22">#REF!</definedName>
    <definedName name="S11P23" localSheetId="4">#REF!</definedName>
    <definedName name="S11P23" localSheetId="5">#REF!</definedName>
    <definedName name="S11P23" localSheetId="0">#REF!</definedName>
    <definedName name="S11P23" localSheetId="9">#REF!</definedName>
    <definedName name="S11P23" localSheetId="10">#REF!</definedName>
    <definedName name="S11P23" localSheetId="8">#REF!</definedName>
    <definedName name="S11P23">#REF!</definedName>
    <definedName name="S11P24" localSheetId="4">#REF!</definedName>
    <definedName name="S11P24" localSheetId="5">#REF!</definedName>
    <definedName name="S11P24" localSheetId="0">#REF!</definedName>
    <definedName name="S11P24" localSheetId="9">#REF!</definedName>
    <definedName name="S11P24" localSheetId="10">#REF!</definedName>
    <definedName name="S11P24" localSheetId="8">#REF!</definedName>
    <definedName name="S11P24">#REF!</definedName>
    <definedName name="S11P3" localSheetId="4">#REF!</definedName>
    <definedName name="S11P3" localSheetId="5">#REF!</definedName>
    <definedName name="S11P3" localSheetId="0">#REF!</definedName>
    <definedName name="S11P3" localSheetId="9">#REF!</definedName>
    <definedName name="S11P3" localSheetId="10">#REF!</definedName>
    <definedName name="S11P3" localSheetId="8">#REF!</definedName>
    <definedName name="S11P3">#REF!</definedName>
    <definedName name="S11P4" localSheetId="4">#REF!</definedName>
    <definedName name="S11P4" localSheetId="5">#REF!</definedName>
    <definedName name="S11P4" localSheetId="0">#REF!</definedName>
    <definedName name="S11P4" localSheetId="9">#REF!</definedName>
    <definedName name="S11P4" localSheetId="10">#REF!</definedName>
    <definedName name="S11P4" localSheetId="8">#REF!</definedName>
    <definedName name="S11P4">#REF!</definedName>
    <definedName name="S11P5" localSheetId="4">#REF!</definedName>
    <definedName name="S11P5" localSheetId="5">#REF!</definedName>
    <definedName name="S11P5" localSheetId="0">#REF!</definedName>
    <definedName name="S11P5" localSheetId="9">#REF!</definedName>
    <definedName name="S11P5" localSheetId="10">#REF!</definedName>
    <definedName name="S11P5" localSheetId="8">#REF!</definedName>
    <definedName name="S11P5">#REF!</definedName>
    <definedName name="S11P6" localSheetId="4">#REF!</definedName>
    <definedName name="S11P6" localSheetId="5">#REF!</definedName>
    <definedName name="S11P6" localSheetId="0">#REF!</definedName>
    <definedName name="S11P6" localSheetId="9">#REF!</definedName>
    <definedName name="S11P6" localSheetId="10">#REF!</definedName>
    <definedName name="S11P6" localSheetId="8">#REF!</definedName>
    <definedName name="S11P6">#REF!</definedName>
    <definedName name="S11P7" localSheetId="4">#REF!</definedName>
    <definedName name="S11P7" localSheetId="5">#REF!</definedName>
    <definedName name="S11P7" localSheetId="0">#REF!</definedName>
    <definedName name="S11P7" localSheetId="9">#REF!</definedName>
    <definedName name="S11P7" localSheetId="10">#REF!</definedName>
    <definedName name="S11P7" localSheetId="8">#REF!</definedName>
    <definedName name="S11P7">#REF!</definedName>
    <definedName name="S11P8" localSheetId="4">#REF!</definedName>
    <definedName name="S11P8" localSheetId="5">#REF!</definedName>
    <definedName name="S11P8" localSheetId="0">#REF!</definedName>
    <definedName name="S11P8" localSheetId="9">#REF!</definedName>
    <definedName name="S11P8" localSheetId="10">#REF!</definedName>
    <definedName name="S11P8" localSheetId="8">#REF!</definedName>
    <definedName name="S11P8">#REF!</definedName>
    <definedName name="S11P9" localSheetId="4">#REF!</definedName>
    <definedName name="S11P9" localSheetId="5">#REF!</definedName>
    <definedName name="S11P9" localSheetId="0">#REF!</definedName>
    <definedName name="S11P9" localSheetId="9">#REF!</definedName>
    <definedName name="S11P9" localSheetId="10">#REF!</definedName>
    <definedName name="S11P9" localSheetId="8">#REF!</definedName>
    <definedName name="S11P9">#REF!</definedName>
    <definedName name="S11R1" localSheetId="4">#REF!</definedName>
    <definedName name="S11R1" localSheetId="5">#REF!</definedName>
    <definedName name="S11R1" localSheetId="0">#REF!</definedName>
    <definedName name="S11R1" localSheetId="9">#REF!</definedName>
    <definedName name="S11R1" localSheetId="10">#REF!</definedName>
    <definedName name="S11R1" localSheetId="8">#REF!</definedName>
    <definedName name="S11R1">#REF!</definedName>
    <definedName name="S11R10" localSheetId="4">#REF!</definedName>
    <definedName name="S11R10" localSheetId="5">#REF!</definedName>
    <definedName name="S11R10" localSheetId="0">#REF!</definedName>
    <definedName name="S11R10" localSheetId="9">#REF!</definedName>
    <definedName name="S11R10" localSheetId="10">#REF!</definedName>
    <definedName name="S11R10" localSheetId="8">#REF!</definedName>
    <definedName name="S11R10">#REF!</definedName>
    <definedName name="S11R11" localSheetId="4">#REF!</definedName>
    <definedName name="S11R11" localSheetId="5">#REF!</definedName>
    <definedName name="S11R11" localSheetId="0">#REF!</definedName>
    <definedName name="S11R11" localSheetId="9">#REF!</definedName>
    <definedName name="S11R11" localSheetId="10">#REF!</definedName>
    <definedName name="S11R11" localSheetId="8">#REF!</definedName>
    <definedName name="S11R11">#REF!</definedName>
    <definedName name="S11R12" localSheetId="4">#REF!</definedName>
    <definedName name="S11R12" localSheetId="5">#REF!</definedName>
    <definedName name="S11R12" localSheetId="0">#REF!</definedName>
    <definedName name="S11R12" localSheetId="9">#REF!</definedName>
    <definedName name="S11R12" localSheetId="10">#REF!</definedName>
    <definedName name="S11R12" localSheetId="8">#REF!</definedName>
    <definedName name="S11R12">#REF!</definedName>
    <definedName name="S11R13" localSheetId="4">#REF!</definedName>
    <definedName name="S11R13" localSheetId="5">#REF!</definedName>
    <definedName name="S11R13" localSheetId="0">#REF!</definedName>
    <definedName name="S11R13" localSheetId="9">#REF!</definedName>
    <definedName name="S11R13" localSheetId="10">#REF!</definedName>
    <definedName name="S11R13" localSheetId="8">#REF!</definedName>
    <definedName name="S11R13">#REF!</definedName>
    <definedName name="S11R14" localSheetId="4">#REF!</definedName>
    <definedName name="S11R14" localSheetId="5">#REF!</definedName>
    <definedName name="S11R14" localSheetId="0">#REF!</definedName>
    <definedName name="S11R14" localSheetId="9">#REF!</definedName>
    <definedName name="S11R14" localSheetId="10">#REF!</definedName>
    <definedName name="S11R14" localSheetId="8">#REF!</definedName>
    <definedName name="S11R14">#REF!</definedName>
    <definedName name="S11R15" localSheetId="4">#REF!</definedName>
    <definedName name="S11R15" localSheetId="5">#REF!</definedName>
    <definedName name="S11R15" localSheetId="0">#REF!</definedName>
    <definedName name="S11R15" localSheetId="9">#REF!</definedName>
    <definedName name="S11R15" localSheetId="10">#REF!</definedName>
    <definedName name="S11R15" localSheetId="8">#REF!</definedName>
    <definedName name="S11R15">#REF!</definedName>
    <definedName name="S11R16" localSheetId="4">#REF!</definedName>
    <definedName name="S11R16" localSheetId="5">#REF!</definedName>
    <definedName name="S11R16" localSheetId="0">#REF!</definedName>
    <definedName name="S11R16" localSheetId="9">#REF!</definedName>
    <definedName name="S11R16" localSheetId="10">#REF!</definedName>
    <definedName name="S11R16" localSheetId="8">#REF!</definedName>
    <definedName name="S11R16">#REF!</definedName>
    <definedName name="S11R17" localSheetId="4">#REF!</definedName>
    <definedName name="S11R17" localSheetId="5">#REF!</definedName>
    <definedName name="S11R17" localSheetId="0">#REF!</definedName>
    <definedName name="S11R17" localSheetId="9">#REF!</definedName>
    <definedName name="S11R17" localSheetId="10">#REF!</definedName>
    <definedName name="S11R17" localSheetId="8">#REF!</definedName>
    <definedName name="S11R17">#REF!</definedName>
    <definedName name="S11R18" localSheetId="4">#REF!</definedName>
    <definedName name="S11R18" localSheetId="5">#REF!</definedName>
    <definedName name="S11R18" localSheetId="0">#REF!</definedName>
    <definedName name="S11R18" localSheetId="9">#REF!</definedName>
    <definedName name="S11R18" localSheetId="10">#REF!</definedName>
    <definedName name="S11R18" localSheetId="8">#REF!</definedName>
    <definedName name="S11R18">#REF!</definedName>
    <definedName name="S11R19" localSheetId="4">#REF!</definedName>
    <definedName name="S11R19" localSheetId="5">#REF!</definedName>
    <definedName name="S11R19" localSheetId="0">#REF!</definedName>
    <definedName name="S11R19" localSheetId="9">#REF!</definedName>
    <definedName name="S11R19" localSheetId="10">#REF!</definedName>
    <definedName name="S11R19" localSheetId="8">#REF!</definedName>
    <definedName name="S11R19">#REF!</definedName>
    <definedName name="S11R2" localSheetId="4">#REF!</definedName>
    <definedName name="S11R2" localSheetId="5">#REF!</definedName>
    <definedName name="S11R2" localSheetId="0">#REF!</definedName>
    <definedName name="S11R2" localSheetId="9">#REF!</definedName>
    <definedName name="S11R2" localSheetId="10">#REF!</definedName>
    <definedName name="S11R2" localSheetId="8">#REF!</definedName>
    <definedName name="S11R2">#REF!</definedName>
    <definedName name="S11R20" localSheetId="4">#REF!</definedName>
    <definedName name="S11R20" localSheetId="5">#REF!</definedName>
    <definedName name="S11R20" localSheetId="0">#REF!</definedName>
    <definedName name="S11R20" localSheetId="9">#REF!</definedName>
    <definedName name="S11R20" localSheetId="10">#REF!</definedName>
    <definedName name="S11R20" localSheetId="8">#REF!</definedName>
    <definedName name="S11R20">#REF!</definedName>
    <definedName name="S11R21" localSheetId="4">#REF!</definedName>
    <definedName name="S11R21" localSheetId="5">#REF!</definedName>
    <definedName name="S11R21" localSheetId="0">#REF!</definedName>
    <definedName name="S11R21" localSheetId="9">#REF!</definedName>
    <definedName name="S11R21" localSheetId="10">#REF!</definedName>
    <definedName name="S11R21" localSheetId="8">#REF!</definedName>
    <definedName name="S11R21">#REF!</definedName>
    <definedName name="S11R22" localSheetId="4">#REF!</definedName>
    <definedName name="S11R22" localSheetId="5">#REF!</definedName>
    <definedName name="S11R22" localSheetId="0">#REF!</definedName>
    <definedName name="S11R22" localSheetId="9">#REF!</definedName>
    <definedName name="S11R22" localSheetId="10">#REF!</definedName>
    <definedName name="S11R22" localSheetId="8">#REF!</definedName>
    <definedName name="S11R22">#REF!</definedName>
    <definedName name="S11R23" localSheetId="4">#REF!</definedName>
    <definedName name="S11R23" localSheetId="5">#REF!</definedName>
    <definedName name="S11R23" localSheetId="0">#REF!</definedName>
    <definedName name="S11R23" localSheetId="9">#REF!</definedName>
    <definedName name="S11R23" localSheetId="10">#REF!</definedName>
    <definedName name="S11R23" localSheetId="8">#REF!</definedName>
    <definedName name="S11R23">#REF!</definedName>
    <definedName name="S11R24" localSheetId="4">#REF!</definedName>
    <definedName name="S11R24" localSheetId="5">#REF!</definedName>
    <definedName name="S11R24" localSheetId="0">#REF!</definedName>
    <definedName name="S11R24" localSheetId="9">#REF!</definedName>
    <definedName name="S11R24" localSheetId="10">#REF!</definedName>
    <definedName name="S11R24" localSheetId="8">#REF!</definedName>
    <definedName name="S11R24">#REF!</definedName>
    <definedName name="S11R3" localSheetId="4">#REF!</definedName>
    <definedName name="S11R3" localSheetId="5">#REF!</definedName>
    <definedName name="S11R3" localSheetId="0">#REF!</definedName>
    <definedName name="S11R3" localSheetId="9">#REF!</definedName>
    <definedName name="S11R3" localSheetId="10">#REF!</definedName>
    <definedName name="S11R3" localSheetId="8">#REF!</definedName>
    <definedName name="S11R3">#REF!</definedName>
    <definedName name="S11R4" localSheetId="4">#REF!</definedName>
    <definedName name="S11R4" localSheetId="5">#REF!</definedName>
    <definedName name="S11R4" localSheetId="0">#REF!</definedName>
    <definedName name="S11R4" localSheetId="9">#REF!</definedName>
    <definedName name="S11R4" localSheetId="10">#REF!</definedName>
    <definedName name="S11R4" localSheetId="8">#REF!</definedName>
    <definedName name="S11R4">#REF!</definedName>
    <definedName name="S11R5" localSheetId="4">#REF!</definedName>
    <definedName name="S11R5" localSheetId="5">#REF!</definedName>
    <definedName name="S11R5" localSheetId="0">#REF!</definedName>
    <definedName name="S11R5" localSheetId="9">#REF!</definedName>
    <definedName name="S11R5" localSheetId="10">#REF!</definedName>
    <definedName name="S11R5" localSheetId="8">#REF!</definedName>
    <definedName name="S11R5">#REF!</definedName>
    <definedName name="S11R6" localSheetId="4">#REF!</definedName>
    <definedName name="S11R6" localSheetId="5">#REF!</definedName>
    <definedName name="S11R6" localSheetId="0">#REF!</definedName>
    <definedName name="S11R6" localSheetId="9">#REF!</definedName>
    <definedName name="S11R6" localSheetId="10">#REF!</definedName>
    <definedName name="S11R6" localSheetId="8">#REF!</definedName>
    <definedName name="S11R6">#REF!</definedName>
    <definedName name="S11R7" localSheetId="4">#REF!</definedName>
    <definedName name="S11R7" localSheetId="5">#REF!</definedName>
    <definedName name="S11R7" localSheetId="0">#REF!</definedName>
    <definedName name="S11R7" localSheetId="9">#REF!</definedName>
    <definedName name="S11R7" localSheetId="10">#REF!</definedName>
    <definedName name="S11R7" localSheetId="8">#REF!</definedName>
    <definedName name="S11R7">#REF!</definedName>
    <definedName name="S11R8" localSheetId="4">#REF!</definedName>
    <definedName name="S11R8" localSheetId="5">#REF!</definedName>
    <definedName name="S11R8" localSheetId="0">#REF!</definedName>
    <definedName name="S11R8" localSheetId="9">#REF!</definedName>
    <definedName name="S11R8" localSheetId="10">#REF!</definedName>
    <definedName name="S11R8" localSheetId="8">#REF!</definedName>
    <definedName name="S11R8">#REF!</definedName>
    <definedName name="S11R9" localSheetId="4">#REF!</definedName>
    <definedName name="S11R9" localSheetId="5">#REF!</definedName>
    <definedName name="S11R9" localSheetId="0">#REF!</definedName>
    <definedName name="S11R9" localSheetId="9">#REF!</definedName>
    <definedName name="S11R9" localSheetId="10">#REF!</definedName>
    <definedName name="S11R9" localSheetId="8">#REF!</definedName>
    <definedName name="S11R9">#REF!</definedName>
    <definedName name="S12P1" localSheetId="4">#REF!</definedName>
    <definedName name="S12P1" localSheetId="5">#REF!</definedName>
    <definedName name="S12P1" localSheetId="0">#REF!</definedName>
    <definedName name="S12P1" localSheetId="9">#REF!</definedName>
    <definedName name="S12P1" localSheetId="10">#REF!</definedName>
    <definedName name="S12P1" localSheetId="8">#REF!</definedName>
    <definedName name="S12P1">#REF!</definedName>
    <definedName name="S12P10" localSheetId="4">#REF!</definedName>
    <definedName name="S12P10" localSheetId="5">#REF!</definedName>
    <definedName name="S12P10" localSheetId="0">#REF!</definedName>
    <definedName name="S12P10" localSheetId="9">#REF!</definedName>
    <definedName name="S12P10" localSheetId="10">#REF!</definedName>
    <definedName name="S12P10" localSheetId="8">#REF!</definedName>
    <definedName name="S12P10">#REF!</definedName>
    <definedName name="S12P11" localSheetId="4">#REF!</definedName>
    <definedName name="S12P11" localSheetId="5">#REF!</definedName>
    <definedName name="S12P11" localSheetId="0">#REF!</definedName>
    <definedName name="S12P11" localSheetId="9">#REF!</definedName>
    <definedName name="S12P11" localSheetId="10">#REF!</definedName>
    <definedName name="S12P11" localSheetId="8">#REF!</definedName>
    <definedName name="S12P11">#REF!</definedName>
    <definedName name="S12P12" localSheetId="4">#REF!</definedName>
    <definedName name="S12P12" localSheetId="5">#REF!</definedName>
    <definedName name="S12P12" localSheetId="0">#REF!</definedName>
    <definedName name="S12P12" localSheetId="9">#REF!</definedName>
    <definedName name="S12P12" localSheetId="10">#REF!</definedName>
    <definedName name="S12P12" localSheetId="8">#REF!</definedName>
    <definedName name="S12P12">#REF!</definedName>
    <definedName name="S12P13" localSheetId="4">#REF!</definedName>
    <definedName name="S12P13" localSheetId="5">#REF!</definedName>
    <definedName name="S12P13" localSheetId="0">#REF!</definedName>
    <definedName name="S12P13" localSheetId="9">#REF!</definedName>
    <definedName name="S12P13" localSheetId="10">#REF!</definedName>
    <definedName name="S12P13" localSheetId="8">#REF!</definedName>
    <definedName name="S12P13">#REF!</definedName>
    <definedName name="S12P14" localSheetId="4">#REF!</definedName>
    <definedName name="S12P14" localSheetId="5">#REF!</definedName>
    <definedName name="S12P14" localSheetId="0">#REF!</definedName>
    <definedName name="S12P14" localSheetId="9">#REF!</definedName>
    <definedName name="S12P14" localSheetId="10">#REF!</definedName>
    <definedName name="S12P14" localSheetId="8">#REF!</definedName>
    <definedName name="S12P14">#REF!</definedName>
    <definedName name="S12P15" localSheetId="4">#REF!</definedName>
    <definedName name="S12P15" localSheetId="5">#REF!</definedName>
    <definedName name="S12P15" localSheetId="0">#REF!</definedName>
    <definedName name="S12P15" localSheetId="9">#REF!</definedName>
    <definedName name="S12P15" localSheetId="10">#REF!</definedName>
    <definedName name="S12P15" localSheetId="8">#REF!</definedName>
    <definedName name="S12P15">#REF!</definedName>
    <definedName name="S12P16" localSheetId="4">#REF!</definedName>
    <definedName name="S12P16" localSheetId="5">#REF!</definedName>
    <definedName name="S12P16" localSheetId="0">#REF!</definedName>
    <definedName name="S12P16" localSheetId="9">#REF!</definedName>
    <definedName name="S12P16" localSheetId="10">#REF!</definedName>
    <definedName name="S12P16" localSheetId="8">#REF!</definedName>
    <definedName name="S12P16">#REF!</definedName>
    <definedName name="S12P17" localSheetId="4">#REF!</definedName>
    <definedName name="S12P17" localSheetId="5">#REF!</definedName>
    <definedName name="S12P17" localSheetId="0">#REF!</definedName>
    <definedName name="S12P17" localSheetId="9">#REF!</definedName>
    <definedName name="S12P17" localSheetId="10">#REF!</definedName>
    <definedName name="S12P17" localSheetId="8">#REF!</definedName>
    <definedName name="S12P17">#REF!</definedName>
    <definedName name="S12P18" localSheetId="4">#REF!</definedName>
    <definedName name="S12P18" localSheetId="5">#REF!</definedName>
    <definedName name="S12P18" localSheetId="0">#REF!</definedName>
    <definedName name="S12P18" localSheetId="9">#REF!</definedName>
    <definedName name="S12P18" localSheetId="10">#REF!</definedName>
    <definedName name="S12P18" localSheetId="8">#REF!</definedName>
    <definedName name="S12P18">#REF!</definedName>
    <definedName name="S12P19" localSheetId="4">#REF!</definedName>
    <definedName name="S12P19" localSheetId="5">#REF!</definedName>
    <definedName name="S12P19" localSheetId="0">#REF!</definedName>
    <definedName name="S12P19" localSheetId="9">#REF!</definedName>
    <definedName name="S12P19" localSheetId="10">#REF!</definedName>
    <definedName name="S12P19" localSheetId="8">#REF!</definedName>
    <definedName name="S12P19">#REF!</definedName>
    <definedName name="S12P2" localSheetId="4">#REF!</definedName>
    <definedName name="S12P2" localSheetId="5">#REF!</definedName>
    <definedName name="S12P2" localSheetId="0">#REF!</definedName>
    <definedName name="S12P2" localSheetId="9">#REF!</definedName>
    <definedName name="S12P2" localSheetId="10">#REF!</definedName>
    <definedName name="S12P2" localSheetId="8">#REF!</definedName>
    <definedName name="S12P2">#REF!</definedName>
    <definedName name="S12P20" localSheetId="4">#REF!</definedName>
    <definedName name="S12P20" localSheetId="5">#REF!</definedName>
    <definedName name="S12P20" localSheetId="0">#REF!</definedName>
    <definedName name="S12P20" localSheetId="9">#REF!</definedName>
    <definedName name="S12P20" localSheetId="10">#REF!</definedName>
    <definedName name="S12P20" localSheetId="8">#REF!</definedName>
    <definedName name="S12P20">#REF!</definedName>
    <definedName name="S12P21" localSheetId="4">#REF!</definedName>
    <definedName name="S12P21" localSheetId="5">#REF!</definedName>
    <definedName name="S12P21" localSheetId="0">#REF!</definedName>
    <definedName name="S12P21" localSheetId="9">#REF!</definedName>
    <definedName name="S12P21" localSheetId="10">#REF!</definedName>
    <definedName name="S12P21" localSheetId="8">#REF!</definedName>
    <definedName name="S12P21">#REF!</definedName>
    <definedName name="S12P22" localSheetId="4">#REF!</definedName>
    <definedName name="S12P22" localSheetId="5">#REF!</definedName>
    <definedName name="S12P22" localSheetId="0">#REF!</definedName>
    <definedName name="S12P22" localSheetId="9">#REF!</definedName>
    <definedName name="S12P22" localSheetId="10">#REF!</definedName>
    <definedName name="S12P22" localSheetId="8">#REF!</definedName>
    <definedName name="S12P22">#REF!</definedName>
    <definedName name="S12P23" localSheetId="4">#REF!</definedName>
    <definedName name="S12P23" localSheetId="5">#REF!</definedName>
    <definedName name="S12P23" localSheetId="0">#REF!</definedName>
    <definedName name="S12P23" localSheetId="9">#REF!</definedName>
    <definedName name="S12P23" localSheetId="10">#REF!</definedName>
    <definedName name="S12P23" localSheetId="8">#REF!</definedName>
    <definedName name="S12P23">#REF!</definedName>
    <definedName name="S12P24" localSheetId="4">#REF!</definedName>
    <definedName name="S12P24" localSheetId="5">#REF!</definedName>
    <definedName name="S12P24" localSheetId="0">#REF!</definedName>
    <definedName name="S12P24" localSheetId="9">#REF!</definedName>
    <definedName name="S12P24" localSheetId="10">#REF!</definedName>
    <definedName name="S12P24" localSheetId="8">#REF!</definedName>
    <definedName name="S12P24">#REF!</definedName>
    <definedName name="S12P3" localSheetId="4">#REF!</definedName>
    <definedName name="S12P3" localSheetId="5">#REF!</definedName>
    <definedName name="S12P3" localSheetId="0">#REF!</definedName>
    <definedName name="S12P3" localSheetId="9">#REF!</definedName>
    <definedName name="S12P3" localSheetId="10">#REF!</definedName>
    <definedName name="S12P3" localSheetId="8">#REF!</definedName>
    <definedName name="S12P3">#REF!</definedName>
    <definedName name="S12P4" localSheetId="4">#REF!</definedName>
    <definedName name="S12P4" localSheetId="5">#REF!</definedName>
    <definedName name="S12P4" localSheetId="0">#REF!</definedName>
    <definedName name="S12P4" localSheetId="9">#REF!</definedName>
    <definedName name="S12P4" localSheetId="10">#REF!</definedName>
    <definedName name="S12P4" localSheetId="8">#REF!</definedName>
    <definedName name="S12P4">#REF!</definedName>
    <definedName name="S12P5" localSheetId="4">#REF!</definedName>
    <definedName name="S12P5" localSheetId="5">#REF!</definedName>
    <definedName name="S12P5" localSheetId="0">#REF!</definedName>
    <definedName name="S12P5" localSheetId="9">#REF!</definedName>
    <definedName name="S12P5" localSheetId="10">#REF!</definedName>
    <definedName name="S12P5" localSheetId="8">#REF!</definedName>
    <definedName name="S12P5">#REF!</definedName>
    <definedName name="S12P6" localSheetId="4">#REF!</definedName>
    <definedName name="S12P6" localSheetId="5">#REF!</definedName>
    <definedName name="S12P6" localSheetId="0">#REF!</definedName>
    <definedName name="S12P6" localSheetId="9">#REF!</definedName>
    <definedName name="S12P6" localSheetId="10">#REF!</definedName>
    <definedName name="S12P6" localSheetId="8">#REF!</definedName>
    <definedName name="S12P6">#REF!</definedName>
    <definedName name="S12P7" localSheetId="4">#REF!</definedName>
    <definedName name="S12P7" localSheetId="5">#REF!</definedName>
    <definedName name="S12P7" localSheetId="0">#REF!</definedName>
    <definedName name="S12P7" localSheetId="9">#REF!</definedName>
    <definedName name="S12P7" localSheetId="10">#REF!</definedName>
    <definedName name="S12P7" localSheetId="8">#REF!</definedName>
    <definedName name="S12P7">#REF!</definedName>
    <definedName name="S12P8" localSheetId="4">#REF!</definedName>
    <definedName name="S12P8" localSheetId="5">#REF!</definedName>
    <definedName name="S12P8" localSheetId="0">#REF!</definedName>
    <definedName name="S12P8" localSheetId="9">#REF!</definedName>
    <definedName name="S12P8" localSheetId="10">#REF!</definedName>
    <definedName name="S12P8" localSheetId="8">#REF!</definedName>
    <definedName name="S12P8">#REF!</definedName>
    <definedName name="S12P9" localSheetId="4">#REF!</definedName>
    <definedName name="S12P9" localSheetId="5">#REF!</definedName>
    <definedName name="S12P9" localSheetId="0">#REF!</definedName>
    <definedName name="S12P9" localSheetId="9">#REF!</definedName>
    <definedName name="S12P9" localSheetId="10">#REF!</definedName>
    <definedName name="S12P9" localSheetId="8">#REF!</definedName>
    <definedName name="S12P9">#REF!</definedName>
    <definedName name="S12R1" localSheetId="4">#REF!</definedName>
    <definedName name="S12R1" localSheetId="5">#REF!</definedName>
    <definedName name="S12R1" localSheetId="0">#REF!</definedName>
    <definedName name="S12R1" localSheetId="9">#REF!</definedName>
    <definedName name="S12R1" localSheetId="10">#REF!</definedName>
    <definedName name="S12R1" localSheetId="8">#REF!</definedName>
    <definedName name="S12R1">#REF!</definedName>
    <definedName name="S12R10" localSheetId="4">#REF!</definedName>
    <definedName name="S12R10" localSheetId="5">#REF!</definedName>
    <definedName name="S12R10" localSheetId="0">#REF!</definedName>
    <definedName name="S12R10" localSheetId="9">#REF!</definedName>
    <definedName name="S12R10" localSheetId="10">#REF!</definedName>
    <definedName name="S12R10" localSheetId="8">#REF!</definedName>
    <definedName name="S12R10">#REF!</definedName>
    <definedName name="S12R11" localSheetId="4">#REF!</definedName>
    <definedName name="S12R11" localSheetId="5">#REF!</definedName>
    <definedName name="S12R11" localSheetId="0">#REF!</definedName>
    <definedName name="S12R11" localSheetId="9">#REF!</definedName>
    <definedName name="S12R11" localSheetId="10">#REF!</definedName>
    <definedName name="S12R11" localSheetId="8">#REF!</definedName>
    <definedName name="S12R11">#REF!</definedName>
    <definedName name="S12R12" localSheetId="4">#REF!</definedName>
    <definedName name="S12R12" localSheetId="5">#REF!</definedName>
    <definedName name="S12R12" localSheetId="0">#REF!</definedName>
    <definedName name="S12R12" localSheetId="9">#REF!</definedName>
    <definedName name="S12R12" localSheetId="10">#REF!</definedName>
    <definedName name="S12R12" localSheetId="8">#REF!</definedName>
    <definedName name="S12R12">#REF!</definedName>
    <definedName name="S12R13" localSheetId="4">#REF!</definedName>
    <definedName name="S12R13" localSheetId="5">#REF!</definedName>
    <definedName name="S12R13" localSheetId="0">#REF!</definedName>
    <definedName name="S12R13" localSheetId="9">#REF!</definedName>
    <definedName name="S12R13" localSheetId="10">#REF!</definedName>
    <definedName name="S12R13" localSheetId="8">#REF!</definedName>
    <definedName name="S12R13">#REF!</definedName>
    <definedName name="S12R14" localSheetId="4">#REF!</definedName>
    <definedName name="S12R14" localSheetId="5">#REF!</definedName>
    <definedName name="S12R14" localSheetId="0">#REF!</definedName>
    <definedName name="S12R14" localSheetId="9">#REF!</definedName>
    <definedName name="S12R14" localSheetId="10">#REF!</definedName>
    <definedName name="S12R14" localSheetId="8">#REF!</definedName>
    <definedName name="S12R14">#REF!</definedName>
    <definedName name="S12R15" localSheetId="4">#REF!</definedName>
    <definedName name="S12R15" localSheetId="5">#REF!</definedName>
    <definedName name="S12R15" localSheetId="0">#REF!</definedName>
    <definedName name="S12R15" localSheetId="9">#REF!</definedName>
    <definedName name="S12R15" localSheetId="10">#REF!</definedName>
    <definedName name="S12R15" localSheetId="8">#REF!</definedName>
    <definedName name="S12R15">#REF!</definedName>
    <definedName name="S12R16" localSheetId="4">#REF!</definedName>
    <definedName name="S12R16" localSheetId="5">#REF!</definedName>
    <definedName name="S12R16" localSheetId="0">#REF!</definedName>
    <definedName name="S12R16" localSheetId="9">#REF!</definedName>
    <definedName name="S12R16" localSheetId="10">#REF!</definedName>
    <definedName name="S12R16" localSheetId="8">#REF!</definedName>
    <definedName name="S12R16">#REF!</definedName>
    <definedName name="S12R17" localSheetId="4">#REF!</definedName>
    <definedName name="S12R17" localSheetId="5">#REF!</definedName>
    <definedName name="S12R17" localSheetId="0">#REF!</definedName>
    <definedName name="S12R17" localSheetId="9">#REF!</definedName>
    <definedName name="S12R17" localSheetId="10">#REF!</definedName>
    <definedName name="S12R17" localSheetId="8">#REF!</definedName>
    <definedName name="S12R17">#REF!</definedName>
    <definedName name="S12R18" localSheetId="4">#REF!</definedName>
    <definedName name="S12R18" localSheetId="5">#REF!</definedName>
    <definedName name="S12R18" localSheetId="0">#REF!</definedName>
    <definedName name="S12R18" localSheetId="9">#REF!</definedName>
    <definedName name="S12R18" localSheetId="10">#REF!</definedName>
    <definedName name="S12R18" localSheetId="8">#REF!</definedName>
    <definedName name="S12R18">#REF!</definedName>
    <definedName name="S12R19" localSheetId="4">#REF!</definedName>
    <definedName name="S12R19" localSheetId="5">#REF!</definedName>
    <definedName name="S12R19" localSheetId="0">#REF!</definedName>
    <definedName name="S12R19" localSheetId="9">#REF!</definedName>
    <definedName name="S12R19" localSheetId="10">#REF!</definedName>
    <definedName name="S12R19" localSheetId="8">#REF!</definedName>
    <definedName name="S12R19">#REF!</definedName>
    <definedName name="S12R2" localSheetId="4">#REF!</definedName>
    <definedName name="S12R2" localSheetId="5">#REF!</definedName>
    <definedName name="S12R2" localSheetId="0">#REF!</definedName>
    <definedName name="S12R2" localSheetId="9">#REF!</definedName>
    <definedName name="S12R2" localSheetId="10">#REF!</definedName>
    <definedName name="S12R2" localSheetId="8">#REF!</definedName>
    <definedName name="S12R2">#REF!</definedName>
    <definedName name="S12R20" localSheetId="4">#REF!</definedName>
    <definedName name="S12R20" localSheetId="5">#REF!</definedName>
    <definedName name="S12R20" localSheetId="0">#REF!</definedName>
    <definedName name="S12R20" localSheetId="9">#REF!</definedName>
    <definedName name="S12R20" localSheetId="10">#REF!</definedName>
    <definedName name="S12R20" localSheetId="8">#REF!</definedName>
    <definedName name="S12R20">#REF!</definedName>
    <definedName name="S12R21" localSheetId="4">#REF!</definedName>
    <definedName name="S12R21" localSheetId="5">#REF!</definedName>
    <definedName name="S12R21" localSheetId="0">#REF!</definedName>
    <definedName name="S12R21" localSheetId="9">#REF!</definedName>
    <definedName name="S12R21" localSheetId="10">#REF!</definedName>
    <definedName name="S12R21" localSheetId="8">#REF!</definedName>
    <definedName name="S12R21">#REF!</definedName>
    <definedName name="S12R22" localSheetId="4">#REF!</definedName>
    <definedName name="S12R22" localSheetId="5">#REF!</definedName>
    <definedName name="S12R22" localSheetId="0">#REF!</definedName>
    <definedName name="S12R22" localSheetId="9">#REF!</definedName>
    <definedName name="S12R22" localSheetId="10">#REF!</definedName>
    <definedName name="S12R22" localSheetId="8">#REF!</definedName>
    <definedName name="S12R22">#REF!</definedName>
    <definedName name="S12R23" localSheetId="4">#REF!</definedName>
    <definedName name="S12R23" localSheetId="5">#REF!</definedName>
    <definedName name="S12R23" localSheetId="0">#REF!</definedName>
    <definedName name="S12R23" localSheetId="9">#REF!</definedName>
    <definedName name="S12R23" localSheetId="10">#REF!</definedName>
    <definedName name="S12R23" localSheetId="8">#REF!</definedName>
    <definedName name="S12R23">#REF!</definedName>
    <definedName name="S12R24" localSheetId="4">#REF!</definedName>
    <definedName name="S12R24" localSheetId="5">#REF!</definedName>
    <definedName name="S12R24" localSheetId="0">#REF!</definedName>
    <definedName name="S12R24" localSheetId="9">#REF!</definedName>
    <definedName name="S12R24" localSheetId="10">#REF!</definedName>
    <definedName name="S12R24" localSheetId="8">#REF!</definedName>
    <definedName name="S12R24">#REF!</definedName>
    <definedName name="S12R3" localSheetId="4">#REF!</definedName>
    <definedName name="S12R3" localSheetId="5">#REF!</definedName>
    <definedName name="S12R3" localSheetId="0">#REF!</definedName>
    <definedName name="S12R3" localSheetId="9">#REF!</definedName>
    <definedName name="S12R3" localSheetId="10">#REF!</definedName>
    <definedName name="S12R3" localSheetId="8">#REF!</definedName>
    <definedName name="S12R3">#REF!</definedName>
    <definedName name="S12R4" localSheetId="4">#REF!</definedName>
    <definedName name="S12R4" localSheetId="5">#REF!</definedName>
    <definedName name="S12R4" localSheetId="0">#REF!</definedName>
    <definedName name="S12R4" localSheetId="9">#REF!</definedName>
    <definedName name="S12R4" localSheetId="10">#REF!</definedName>
    <definedName name="S12R4" localSheetId="8">#REF!</definedName>
    <definedName name="S12R4">#REF!</definedName>
    <definedName name="S12R5" localSheetId="4">#REF!</definedName>
    <definedName name="S12R5" localSheetId="5">#REF!</definedName>
    <definedName name="S12R5" localSheetId="0">#REF!</definedName>
    <definedName name="S12R5" localSheetId="9">#REF!</definedName>
    <definedName name="S12R5" localSheetId="10">#REF!</definedName>
    <definedName name="S12R5" localSheetId="8">#REF!</definedName>
    <definedName name="S12R5">#REF!</definedName>
    <definedName name="S12R6" localSheetId="4">#REF!</definedName>
    <definedName name="S12R6" localSheetId="5">#REF!</definedName>
    <definedName name="S12R6" localSheetId="0">#REF!</definedName>
    <definedName name="S12R6" localSheetId="9">#REF!</definedName>
    <definedName name="S12R6" localSheetId="10">#REF!</definedName>
    <definedName name="S12R6" localSheetId="8">#REF!</definedName>
    <definedName name="S12R6">#REF!</definedName>
    <definedName name="S12R7" localSheetId="4">#REF!</definedName>
    <definedName name="S12R7" localSheetId="5">#REF!</definedName>
    <definedName name="S12R7" localSheetId="0">#REF!</definedName>
    <definedName name="S12R7" localSheetId="9">#REF!</definedName>
    <definedName name="S12R7" localSheetId="10">#REF!</definedName>
    <definedName name="S12R7" localSheetId="8">#REF!</definedName>
    <definedName name="S12R7">#REF!</definedName>
    <definedName name="S12R8" localSheetId="4">#REF!</definedName>
    <definedName name="S12R8" localSheetId="5">#REF!</definedName>
    <definedName name="S12R8" localSheetId="0">#REF!</definedName>
    <definedName name="S12R8" localSheetId="9">#REF!</definedName>
    <definedName name="S12R8" localSheetId="10">#REF!</definedName>
    <definedName name="S12R8" localSheetId="8">#REF!</definedName>
    <definedName name="S12R8">#REF!</definedName>
    <definedName name="S12R9" localSheetId="4">#REF!</definedName>
    <definedName name="S12R9" localSheetId="5">#REF!</definedName>
    <definedName name="S12R9" localSheetId="0">#REF!</definedName>
    <definedName name="S12R9" localSheetId="9">#REF!</definedName>
    <definedName name="S12R9" localSheetId="10">#REF!</definedName>
    <definedName name="S12R9" localSheetId="8">#REF!</definedName>
    <definedName name="S12R9">#REF!</definedName>
    <definedName name="S13P1" localSheetId="4">#REF!</definedName>
    <definedName name="S13P1" localSheetId="5">#REF!</definedName>
    <definedName name="S13P1" localSheetId="0">#REF!</definedName>
    <definedName name="S13P1" localSheetId="9">#REF!</definedName>
    <definedName name="S13P1" localSheetId="10">#REF!</definedName>
    <definedName name="S13P1" localSheetId="8">#REF!</definedName>
    <definedName name="S13P1">#REF!</definedName>
    <definedName name="S13P10" localSheetId="4">#REF!</definedName>
    <definedName name="S13P10" localSheetId="5">#REF!</definedName>
    <definedName name="S13P10" localSheetId="0">#REF!</definedName>
    <definedName name="S13P10" localSheetId="9">#REF!</definedName>
    <definedName name="S13P10" localSheetId="10">#REF!</definedName>
    <definedName name="S13P10" localSheetId="8">#REF!</definedName>
    <definedName name="S13P10">#REF!</definedName>
    <definedName name="S13P11" localSheetId="4">#REF!</definedName>
    <definedName name="S13P11" localSheetId="5">#REF!</definedName>
    <definedName name="S13P11" localSheetId="0">#REF!</definedName>
    <definedName name="S13P11" localSheetId="9">#REF!</definedName>
    <definedName name="S13P11" localSheetId="10">#REF!</definedName>
    <definedName name="S13P11" localSheetId="8">#REF!</definedName>
    <definedName name="S13P11">#REF!</definedName>
    <definedName name="S13P12" localSheetId="4">#REF!</definedName>
    <definedName name="S13P12" localSheetId="5">#REF!</definedName>
    <definedName name="S13P12" localSheetId="0">#REF!</definedName>
    <definedName name="S13P12" localSheetId="9">#REF!</definedName>
    <definedName name="S13P12" localSheetId="10">#REF!</definedName>
    <definedName name="S13P12" localSheetId="8">#REF!</definedName>
    <definedName name="S13P12">#REF!</definedName>
    <definedName name="S13P13" localSheetId="4">#REF!</definedName>
    <definedName name="S13P13" localSheetId="5">#REF!</definedName>
    <definedName name="S13P13" localSheetId="0">#REF!</definedName>
    <definedName name="S13P13" localSheetId="9">#REF!</definedName>
    <definedName name="S13P13" localSheetId="10">#REF!</definedName>
    <definedName name="S13P13" localSheetId="8">#REF!</definedName>
    <definedName name="S13P13">#REF!</definedName>
    <definedName name="S13P14" localSheetId="4">#REF!</definedName>
    <definedName name="S13P14" localSheetId="5">#REF!</definedName>
    <definedName name="S13P14" localSheetId="0">#REF!</definedName>
    <definedName name="S13P14" localSheetId="9">#REF!</definedName>
    <definedName name="S13P14" localSheetId="10">#REF!</definedName>
    <definedName name="S13P14" localSheetId="8">#REF!</definedName>
    <definedName name="S13P14">#REF!</definedName>
    <definedName name="S13P15" localSheetId="4">#REF!</definedName>
    <definedName name="S13P15" localSheetId="5">#REF!</definedName>
    <definedName name="S13P15" localSheetId="0">#REF!</definedName>
    <definedName name="S13P15" localSheetId="9">#REF!</definedName>
    <definedName name="S13P15" localSheetId="10">#REF!</definedName>
    <definedName name="S13P15" localSheetId="8">#REF!</definedName>
    <definedName name="S13P15">#REF!</definedName>
    <definedName name="S13P16" localSheetId="4">#REF!</definedName>
    <definedName name="S13P16" localSheetId="5">#REF!</definedName>
    <definedName name="S13P16" localSheetId="0">#REF!</definedName>
    <definedName name="S13P16" localSheetId="9">#REF!</definedName>
    <definedName name="S13P16" localSheetId="10">#REF!</definedName>
    <definedName name="S13P16" localSheetId="8">#REF!</definedName>
    <definedName name="S13P16">#REF!</definedName>
    <definedName name="S13P17" localSheetId="4">#REF!</definedName>
    <definedName name="S13P17" localSheetId="5">#REF!</definedName>
    <definedName name="S13P17" localSheetId="0">#REF!</definedName>
    <definedName name="S13P17" localSheetId="9">#REF!</definedName>
    <definedName name="S13P17" localSheetId="10">#REF!</definedName>
    <definedName name="S13P17" localSheetId="8">#REF!</definedName>
    <definedName name="S13P17">#REF!</definedName>
    <definedName name="S13P18" localSheetId="4">#REF!</definedName>
    <definedName name="S13P18" localSheetId="5">#REF!</definedName>
    <definedName name="S13P18" localSheetId="0">#REF!</definedName>
    <definedName name="S13P18" localSheetId="9">#REF!</definedName>
    <definedName name="S13P18" localSheetId="10">#REF!</definedName>
    <definedName name="S13P18" localSheetId="8">#REF!</definedName>
    <definedName name="S13P18">#REF!</definedName>
    <definedName name="S13P19" localSheetId="4">#REF!</definedName>
    <definedName name="S13P19" localSheetId="5">#REF!</definedName>
    <definedName name="S13P19" localSheetId="0">#REF!</definedName>
    <definedName name="S13P19" localSheetId="9">#REF!</definedName>
    <definedName name="S13P19" localSheetId="10">#REF!</definedName>
    <definedName name="S13P19" localSheetId="8">#REF!</definedName>
    <definedName name="S13P19">#REF!</definedName>
    <definedName name="S13P2" localSheetId="4">#REF!</definedName>
    <definedName name="S13P2" localSheetId="5">#REF!</definedName>
    <definedName name="S13P2" localSheetId="0">#REF!</definedName>
    <definedName name="S13P2" localSheetId="9">#REF!</definedName>
    <definedName name="S13P2" localSheetId="10">#REF!</definedName>
    <definedName name="S13P2" localSheetId="8">#REF!</definedName>
    <definedName name="S13P2">#REF!</definedName>
    <definedName name="S13P20" localSheetId="4">#REF!</definedName>
    <definedName name="S13P20" localSheetId="5">#REF!</definedName>
    <definedName name="S13P20" localSheetId="0">#REF!</definedName>
    <definedName name="S13P20" localSheetId="9">#REF!</definedName>
    <definedName name="S13P20" localSheetId="10">#REF!</definedName>
    <definedName name="S13P20" localSheetId="8">#REF!</definedName>
    <definedName name="S13P20">#REF!</definedName>
    <definedName name="S13P21" localSheetId="4">#REF!</definedName>
    <definedName name="S13P21" localSheetId="5">#REF!</definedName>
    <definedName name="S13P21" localSheetId="0">#REF!</definedName>
    <definedName name="S13P21" localSheetId="9">#REF!</definedName>
    <definedName name="S13P21" localSheetId="10">#REF!</definedName>
    <definedName name="S13P21" localSheetId="8">#REF!</definedName>
    <definedName name="S13P21">#REF!</definedName>
    <definedName name="S13P22" localSheetId="4">#REF!</definedName>
    <definedName name="S13P22" localSheetId="5">#REF!</definedName>
    <definedName name="S13P22" localSheetId="0">#REF!</definedName>
    <definedName name="S13P22" localSheetId="9">#REF!</definedName>
    <definedName name="S13P22" localSheetId="10">#REF!</definedName>
    <definedName name="S13P22" localSheetId="8">#REF!</definedName>
    <definedName name="S13P22">#REF!</definedName>
    <definedName name="S13P23" localSheetId="4">#REF!</definedName>
    <definedName name="S13P23" localSheetId="5">#REF!</definedName>
    <definedName name="S13P23" localSheetId="0">#REF!</definedName>
    <definedName name="S13P23" localSheetId="9">#REF!</definedName>
    <definedName name="S13P23" localSheetId="10">#REF!</definedName>
    <definedName name="S13P23" localSheetId="8">#REF!</definedName>
    <definedName name="S13P23">#REF!</definedName>
    <definedName name="S13P24" localSheetId="4">#REF!</definedName>
    <definedName name="S13P24" localSheetId="5">#REF!</definedName>
    <definedName name="S13P24" localSheetId="0">#REF!</definedName>
    <definedName name="S13P24" localSheetId="9">#REF!</definedName>
    <definedName name="S13P24" localSheetId="10">#REF!</definedName>
    <definedName name="S13P24" localSheetId="8">#REF!</definedName>
    <definedName name="S13P24">#REF!</definedName>
    <definedName name="S13P3" localSheetId="4">#REF!</definedName>
    <definedName name="S13P3" localSheetId="5">#REF!</definedName>
    <definedName name="S13P3" localSheetId="0">#REF!</definedName>
    <definedName name="S13P3" localSheetId="9">#REF!</definedName>
    <definedName name="S13P3" localSheetId="10">#REF!</definedName>
    <definedName name="S13P3" localSheetId="8">#REF!</definedName>
    <definedName name="S13P3">#REF!</definedName>
    <definedName name="S13P4" localSheetId="4">#REF!</definedName>
    <definedName name="S13P4" localSheetId="5">#REF!</definedName>
    <definedName name="S13P4" localSheetId="0">#REF!</definedName>
    <definedName name="S13P4" localSheetId="9">#REF!</definedName>
    <definedName name="S13P4" localSheetId="10">#REF!</definedName>
    <definedName name="S13P4" localSheetId="8">#REF!</definedName>
    <definedName name="S13P4">#REF!</definedName>
    <definedName name="S13P5" localSheetId="4">#REF!</definedName>
    <definedName name="S13P5" localSheetId="5">#REF!</definedName>
    <definedName name="S13P5" localSheetId="0">#REF!</definedName>
    <definedName name="S13P5" localSheetId="9">#REF!</definedName>
    <definedName name="S13P5" localSheetId="10">#REF!</definedName>
    <definedName name="S13P5" localSheetId="8">#REF!</definedName>
    <definedName name="S13P5">#REF!</definedName>
    <definedName name="S13P6" localSheetId="4">#REF!</definedName>
    <definedName name="S13P6" localSheetId="5">#REF!</definedName>
    <definedName name="S13P6" localSheetId="0">#REF!</definedName>
    <definedName name="S13P6" localSheetId="9">#REF!</definedName>
    <definedName name="S13P6" localSheetId="10">#REF!</definedName>
    <definedName name="S13P6" localSheetId="8">#REF!</definedName>
    <definedName name="S13P6">#REF!</definedName>
    <definedName name="S13P7" localSheetId="4">#REF!</definedName>
    <definedName name="S13P7" localSheetId="5">#REF!</definedName>
    <definedName name="S13P7" localSheetId="0">#REF!</definedName>
    <definedName name="S13P7" localSheetId="9">#REF!</definedName>
    <definedName name="S13P7" localSheetId="10">#REF!</definedName>
    <definedName name="S13P7" localSheetId="8">#REF!</definedName>
    <definedName name="S13P7">#REF!</definedName>
    <definedName name="S13P8" localSheetId="4">#REF!</definedName>
    <definedName name="S13P8" localSheetId="5">#REF!</definedName>
    <definedName name="S13P8" localSheetId="0">#REF!</definedName>
    <definedName name="S13P8" localSheetId="9">#REF!</definedName>
    <definedName name="S13P8" localSheetId="10">#REF!</definedName>
    <definedName name="S13P8" localSheetId="8">#REF!</definedName>
    <definedName name="S13P8">#REF!</definedName>
    <definedName name="S13P9" localSheetId="4">#REF!</definedName>
    <definedName name="S13P9" localSheetId="5">#REF!</definedName>
    <definedName name="S13P9" localSheetId="0">#REF!</definedName>
    <definedName name="S13P9" localSheetId="9">#REF!</definedName>
    <definedName name="S13P9" localSheetId="10">#REF!</definedName>
    <definedName name="S13P9" localSheetId="8">#REF!</definedName>
    <definedName name="S13P9">#REF!</definedName>
    <definedName name="S13R1" localSheetId="4">#REF!</definedName>
    <definedName name="S13R1" localSheetId="5">#REF!</definedName>
    <definedName name="S13R1" localSheetId="0">#REF!</definedName>
    <definedName name="S13R1" localSheetId="9">#REF!</definedName>
    <definedName name="S13R1" localSheetId="10">#REF!</definedName>
    <definedName name="S13R1" localSheetId="8">#REF!</definedName>
    <definedName name="S13R1">#REF!</definedName>
    <definedName name="S13R10" localSheetId="4">#REF!</definedName>
    <definedName name="S13R10" localSheetId="5">#REF!</definedName>
    <definedName name="S13R10" localSheetId="0">#REF!</definedName>
    <definedName name="S13R10" localSheetId="9">#REF!</definedName>
    <definedName name="S13R10" localSheetId="10">#REF!</definedName>
    <definedName name="S13R10" localSheetId="8">#REF!</definedName>
    <definedName name="S13R10">#REF!</definedName>
    <definedName name="S13R11" localSheetId="4">#REF!</definedName>
    <definedName name="S13R11" localSheetId="5">#REF!</definedName>
    <definedName name="S13R11" localSheetId="0">#REF!</definedName>
    <definedName name="S13R11" localSheetId="9">#REF!</definedName>
    <definedName name="S13R11" localSheetId="10">#REF!</definedName>
    <definedName name="S13R11" localSheetId="8">#REF!</definedName>
    <definedName name="S13R11">#REF!</definedName>
    <definedName name="S13R12" localSheetId="4">#REF!</definedName>
    <definedName name="S13R12" localSheetId="5">#REF!</definedName>
    <definedName name="S13R12" localSheetId="0">#REF!</definedName>
    <definedName name="S13R12" localSheetId="9">#REF!</definedName>
    <definedName name="S13R12" localSheetId="10">#REF!</definedName>
    <definedName name="S13R12" localSheetId="8">#REF!</definedName>
    <definedName name="S13R12">#REF!</definedName>
    <definedName name="S13R13" localSheetId="4">#REF!</definedName>
    <definedName name="S13R13" localSheetId="5">#REF!</definedName>
    <definedName name="S13R13" localSheetId="0">#REF!</definedName>
    <definedName name="S13R13" localSheetId="9">#REF!</definedName>
    <definedName name="S13R13" localSheetId="10">#REF!</definedName>
    <definedName name="S13R13" localSheetId="8">#REF!</definedName>
    <definedName name="S13R13">#REF!</definedName>
    <definedName name="S13R14" localSheetId="4">#REF!</definedName>
    <definedName name="S13R14" localSheetId="5">#REF!</definedName>
    <definedName name="S13R14" localSheetId="0">#REF!</definedName>
    <definedName name="S13R14" localSheetId="9">#REF!</definedName>
    <definedName name="S13R14" localSheetId="10">#REF!</definedName>
    <definedName name="S13R14" localSheetId="8">#REF!</definedName>
    <definedName name="S13R14">#REF!</definedName>
    <definedName name="S13R15" localSheetId="4">#REF!</definedName>
    <definedName name="S13R15" localSheetId="5">#REF!</definedName>
    <definedName name="S13R15" localSheetId="0">#REF!</definedName>
    <definedName name="S13R15" localSheetId="9">#REF!</definedName>
    <definedName name="S13R15" localSheetId="10">#REF!</definedName>
    <definedName name="S13R15" localSheetId="8">#REF!</definedName>
    <definedName name="S13R15">#REF!</definedName>
    <definedName name="S13R16" localSheetId="4">#REF!</definedName>
    <definedName name="S13R16" localSheetId="5">#REF!</definedName>
    <definedName name="S13R16" localSheetId="0">#REF!</definedName>
    <definedName name="S13R16" localSheetId="9">#REF!</definedName>
    <definedName name="S13R16" localSheetId="10">#REF!</definedName>
    <definedName name="S13R16" localSheetId="8">#REF!</definedName>
    <definedName name="S13R16">#REF!</definedName>
    <definedName name="S13R17" localSheetId="4">#REF!</definedName>
    <definedName name="S13R17" localSheetId="5">#REF!</definedName>
    <definedName name="S13R17" localSheetId="0">#REF!</definedName>
    <definedName name="S13R17" localSheetId="9">#REF!</definedName>
    <definedName name="S13R17" localSheetId="10">#REF!</definedName>
    <definedName name="S13R17" localSheetId="8">#REF!</definedName>
    <definedName name="S13R17">#REF!</definedName>
    <definedName name="S13R18" localSheetId="4">#REF!</definedName>
    <definedName name="S13R18" localSheetId="5">#REF!</definedName>
    <definedName name="S13R18" localSheetId="0">#REF!</definedName>
    <definedName name="S13R18" localSheetId="9">#REF!</definedName>
    <definedName name="S13R18" localSheetId="10">#REF!</definedName>
    <definedName name="S13R18" localSheetId="8">#REF!</definedName>
    <definedName name="S13R18">#REF!</definedName>
    <definedName name="S13R19" localSheetId="4">#REF!</definedName>
    <definedName name="S13R19" localSheetId="5">#REF!</definedName>
    <definedName name="S13R19" localSheetId="0">#REF!</definedName>
    <definedName name="S13R19" localSheetId="9">#REF!</definedName>
    <definedName name="S13R19" localSheetId="10">#REF!</definedName>
    <definedName name="S13R19" localSheetId="8">#REF!</definedName>
    <definedName name="S13R19">#REF!</definedName>
    <definedName name="S13R2" localSheetId="4">#REF!</definedName>
    <definedName name="S13R2" localSheetId="5">#REF!</definedName>
    <definedName name="S13R2" localSheetId="0">#REF!</definedName>
    <definedName name="S13R2" localSheetId="9">#REF!</definedName>
    <definedName name="S13R2" localSheetId="10">#REF!</definedName>
    <definedName name="S13R2" localSheetId="8">#REF!</definedName>
    <definedName name="S13R2">#REF!</definedName>
    <definedName name="S13R20" localSheetId="4">#REF!</definedName>
    <definedName name="S13R20" localSheetId="5">#REF!</definedName>
    <definedName name="S13R20" localSheetId="0">#REF!</definedName>
    <definedName name="S13R20" localSheetId="9">#REF!</definedName>
    <definedName name="S13R20" localSheetId="10">#REF!</definedName>
    <definedName name="S13R20" localSheetId="8">#REF!</definedName>
    <definedName name="S13R20">#REF!</definedName>
    <definedName name="S13R21" localSheetId="4">#REF!</definedName>
    <definedName name="S13R21" localSheetId="5">#REF!</definedName>
    <definedName name="S13R21" localSheetId="0">#REF!</definedName>
    <definedName name="S13R21" localSheetId="9">#REF!</definedName>
    <definedName name="S13R21" localSheetId="10">#REF!</definedName>
    <definedName name="S13R21" localSheetId="8">#REF!</definedName>
    <definedName name="S13R21">#REF!</definedName>
    <definedName name="S13R22" localSheetId="4">#REF!</definedName>
    <definedName name="S13R22" localSheetId="5">#REF!</definedName>
    <definedName name="S13R22" localSheetId="0">#REF!</definedName>
    <definedName name="S13R22" localSheetId="9">#REF!</definedName>
    <definedName name="S13R22" localSheetId="10">#REF!</definedName>
    <definedName name="S13R22" localSheetId="8">#REF!</definedName>
    <definedName name="S13R22">#REF!</definedName>
    <definedName name="S13R23" localSheetId="4">#REF!</definedName>
    <definedName name="S13R23" localSheetId="5">#REF!</definedName>
    <definedName name="S13R23" localSheetId="0">#REF!</definedName>
    <definedName name="S13R23" localSheetId="9">#REF!</definedName>
    <definedName name="S13R23" localSheetId="10">#REF!</definedName>
    <definedName name="S13R23" localSheetId="8">#REF!</definedName>
    <definedName name="S13R23">#REF!</definedName>
    <definedName name="S13R24" localSheetId="4">#REF!</definedName>
    <definedName name="S13R24" localSheetId="5">#REF!</definedName>
    <definedName name="S13R24" localSheetId="0">#REF!</definedName>
    <definedName name="S13R24" localSheetId="9">#REF!</definedName>
    <definedName name="S13R24" localSheetId="10">#REF!</definedName>
    <definedName name="S13R24" localSheetId="8">#REF!</definedName>
    <definedName name="S13R24">#REF!</definedName>
    <definedName name="S13R3" localSheetId="4">#REF!</definedName>
    <definedName name="S13R3" localSheetId="5">#REF!</definedName>
    <definedName name="S13R3" localSheetId="0">#REF!</definedName>
    <definedName name="S13R3" localSheetId="9">#REF!</definedName>
    <definedName name="S13R3" localSheetId="10">#REF!</definedName>
    <definedName name="S13R3" localSheetId="8">#REF!</definedName>
    <definedName name="S13R3">#REF!</definedName>
    <definedName name="S13R4" localSheetId="4">#REF!</definedName>
    <definedName name="S13R4" localSheetId="5">#REF!</definedName>
    <definedName name="S13R4" localSheetId="0">#REF!</definedName>
    <definedName name="S13R4" localSheetId="9">#REF!</definedName>
    <definedName name="S13R4" localSheetId="10">#REF!</definedName>
    <definedName name="S13R4" localSheetId="8">#REF!</definedName>
    <definedName name="S13R4">#REF!</definedName>
    <definedName name="S13R5" localSheetId="4">#REF!</definedName>
    <definedName name="S13R5" localSheetId="5">#REF!</definedName>
    <definedName name="S13R5" localSheetId="0">#REF!</definedName>
    <definedName name="S13R5" localSheetId="9">#REF!</definedName>
    <definedName name="S13R5" localSheetId="10">#REF!</definedName>
    <definedName name="S13R5" localSheetId="8">#REF!</definedName>
    <definedName name="S13R5">#REF!</definedName>
    <definedName name="S13R6" localSheetId="4">#REF!</definedName>
    <definedName name="S13R6" localSheetId="5">#REF!</definedName>
    <definedName name="S13R6" localSheetId="0">#REF!</definedName>
    <definedName name="S13R6" localSheetId="9">#REF!</definedName>
    <definedName name="S13R6" localSheetId="10">#REF!</definedName>
    <definedName name="S13R6" localSheetId="8">#REF!</definedName>
    <definedName name="S13R6">#REF!</definedName>
    <definedName name="S13R7" localSheetId="4">#REF!</definedName>
    <definedName name="S13R7" localSheetId="5">#REF!</definedName>
    <definedName name="S13R7" localSheetId="0">#REF!</definedName>
    <definedName name="S13R7" localSheetId="9">#REF!</definedName>
    <definedName name="S13R7" localSheetId="10">#REF!</definedName>
    <definedName name="S13R7" localSheetId="8">#REF!</definedName>
    <definedName name="S13R7">#REF!</definedName>
    <definedName name="S13R8" localSheetId="4">#REF!</definedName>
    <definedName name="S13R8" localSheetId="5">#REF!</definedName>
    <definedName name="S13R8" localSheetId="0">#REF!</definedName>
    <definedName name="S13R8" localSheetId="9">#REF!</definedName>
    <definedName name="S13R8" localSheetId="10">#REF!</definedName>
    <definedName name="S13R8" localSheetId="8">#REF!</definedName>
    <definedName name="S13R8">#REF!</definedName>
    <definedName name="S13R9" localSheetId="4">#REF!</definedName>
    <definedName name="S13R9" localSheetId="5">#REF!</definedName>
    <definedName name="S13R9" localSheetId="0">#REF!</definedName>
    <definedName name="S13R9" localSheetId="9">#REF!</definedName>
    <definedName name="S13R9" localSheetId="10">#REF!</definedName>
    <definedName name="S13R9" localSheetId="8">#REF!</definedName>
    <definedName name="S13R9">#REF!</definedName>
    <definedName name="S14P1" localSheetId="4">#REF!</definedName>
    <definedName name="S14P1" localSheetId="5">#REF!</definedName>
    <definedName name="S14P1" localSheetId="0">#REF!</definedName>
    <definedName name="S14P1" localSheetId="9">#REF!</definedName>
    <definedName name="S14P1" localSheetId="10">#REF!</definedName>
    <definedName name="S14P1" localSheetId="8">#REF!</definedName>
    <definedName name="S14P1">#REF!</definedName>
    <definedName name="S14P10" localSheetId="4">#REF!</definedName>
    <definedName name="S14P10" localSheetId="5">#REF!</definedName>
    <definedName name="S14P10" localSheetId="0">#REF!</definedName>
    <definedName name="S14P10" localSheetId="9">#REF!</definedName>
    <definedName name="S14P10" localSheetId="10">#REF!</definedName>
    <definedName name="S14P10" localSheetId="8">#REF!</definedName>
    <definedName name="S14P10">#REF!</definedName>
    <definedName name="S14P11" localSheetId="4">#REF!</definedName>
    <definedName name="S14P11" localSheetId="5">#REF!</definedName>
    <definedName name="S14P11" localSheetId="0">#REF!</definedName>
    <definedName name="S14P11" localSheetId="9">#REF!</definedName>
    <definedName name="S14P11" localSheetId="10">#REF!</definedName>
    <definedName name="S14P11" localSheetId="8">#REF!</definedName>
    <definedName name="S14P11">#REF!</definedName>
    <definedName name="S14P12" localSheetId="4">#REF!</definedName>
    <definedName name="S14P12" localSheetId="5">#REF!</definedName>
    <definedName name="S14P12" localSheetId="0">#REF!</definedName>
    <definedName name="S14P12" localSheetId="9">#REF!</definedName>
    <definedName name="S14P12" localSheetId="10">#REF!</definedName>
    <definedName name="S14P12" localSheetId="8">#REF!</definedName>
    <definedName name="S14P12">#REF!</definedName>
    <definedName name="S14P13" localSheetId="4">#REF!</definedName>
    <definedName name="S14P13" localSheetId="5">#REF!</definedName>
    <definedName name="S14P13" localSheetId="0">#REF!</definedName>
    <definedName name="S14P13" localSheetId="9">#REF!</definedName>
    <definedName name="S14P13" localSheetId="10">#REF!</definedName>
    <definedName name="S14P13" localSheetId="8">#REF!</definedName>
    <definedName name="S14P13">#REF!</definedName>
    <definedName name="S14P14" localSheetId="4">#REF!</definedName>
    <definedName name="S14P14" localSheetId="5">#REF!</definedName>
    <definedName name="S14P14" localSheetId="0">#REF!</definedName>
    <definedName name="S14P14" localSheetId="9">#REF!</definedName>
    <definedName name="S14P14" localSheetId="10">#REF!</definedName>
    <definedName name="S14P14" localSheetId="8">#REF!</definedName>
    <definedName name="S14P14">#REF!</definedName>
    <definedName name="S14P15" localSheetId="4">#REF!</definedName>
    <definedName name="S14P15" localSheetId="5">#REF!</definedName>
    <definedName name="S14P15" localSheetId="0">#REF!</definedName>
    <definedName name="S14P15" localSheetId="9">#REF!</definedName>
    <definedName name="S14P15" localSheetId="10">#REF!</definedName>
    <definedName name="S14P15" localSheetId="8">#REF!</definedName>
    <definedName name="S14P15">#REF!</definedName>
    <definedName name="S14P16" localSheetId="4">#REF!</definedName>
    <definedName name="S14P16" localSheetId="5">#REF!</definedName>
    <definedName name="S14P16" localSheetId="0">#REF!</definedName>
    <definedName name="S14P16" localSheetId="9">#REF!</definedName>
    <definedName name="S14P16" localSheetId="10">#REF!</definedName>
    <definedName name="S14P16" localSheetId="8">#REF!</definedName>
    <definedName name="S14P16">#REF!</definedName>
    <definedName name="S14P17" localSheetId="4">#REF!</definedName>
    <definedName name="S14P17" localSheetId="5">#REF!</definedName>
    <definedName name="S14P17" localSheetId="0">#REF!</definedName>
    <definedName name="S14P17" localSheetId="9">#REF!</definedName>
    <definedName name="S14P17" localSheetId="10">#REF!</definedName>
    <definedName name="S14P17" localSheetId="8">#REF!</definedName>
    <definedName name="S14P17">#REF!</definedName>
    <definedName name="S14P18" localSheetId="4">#REF!</definedName>
    <definedName name="S14P18" localSheetId="5">#REF!</definedName>
    <definedName name="S14P18" localSheetId="0">#REF!</definedName>
    <definedName name="S14P18" localSheetId="9">#REF!</definedName>
    <definedName name="S14P18" localSheetId="10">#REF!</definedName>
    <definedName name="S14P18" localSheetId="8">#REF!</definedName>
    <definedName name="S14P18">#REF!</definedName>
    <definedName name="S14P19" localSheetId="4">#REF!</definedName>
    <definedName name="S14P19" localSheetId="5">#REF!</definedName>
    <definedName name="S14P19" localSheetId="0">#REF!</definedName>
    <definedName name="S14P19" localSheetId="9">#REF!</definedName>
    <definedName name="S14P19" localSheetId="10">#REF!</definedName>
    <definedName name="S14P19" localSheetId="8">#REF!</definedName>
    <definedName name="S14P19">#REF!</definedName>
    <definedName name="S14P2" localSheetId="4">#REF!</definedName>
    <definedName name="S14P2" localSheetId="5">#REF!</definedName>
    <definedName name="S14P2" localSheetId="0">#REF!</definedName>
    <definedName name="S14P2" localSheetId="9">#REF!</definedName>
    <definedName name="S14P2" localSheetId="10">#REF!</definedName>
    <definedName name="S14P2" localSheetId="8">#REF!</definedName>
    <definedName name="S14P2">#REF!</definedName>
    <definedName name="S14P20" localSheetId="4">#REF!</definedName>
    <definedName name="S14P20" localSheetId="5">#REF!</definedName>
    <definedName name="S14P20" localSheetId="0">#REF!</definedName>
    <definedName name="S14P20" localSheetId="9">#REF!</definedName>
    <definedName name="S14P20" localSheetId="10">#REF!</definedName>
    <definedName name="S14P20" localSheetId="8">#REF!</definedName>
    <definedName name="S14P20">#REF!</definedName>
    <definedName name="S14P21" localSheetId="4">#REF!</definedName>
    <definedName name="S14P21" localSheetId="5">#REF!</definedName>
    <definedName name="S14P21" localSheetId="0">#REF!</definedName>
    <definedName name="S14P21" localSheetId="9">#REF!</definedName>
    <definedName name="S14P21" localSheetId="10">#REF!</definedName>
    <definedName name="S14P21" localSheetId="8">#REF!</definedName>
    <definedName name="S14P21">#REF!</definedName>
    <definedName name="S14P22" localSheetId="4">#REF!</definedName>
    <definedName name="S14P22" localSheetId="5">#REF!</definedName>
    <definedName name="S14P22" localSheetId="0">#REF!</definedName>
    <definedName name="S14P22" localSheetId="9">#REF!</definedName>
    <definedName name="S14P22" localSheetId="10">#REF!</definedName>
    <definedName name="S14P22" localSheetId="8">#REF!</definedName>
    <definedName name="S14P22">#REF!</definedName>
    <definedName name="S14P23" localSheetId="4">#REF!</definedName>
    <definedName name="S14P23" localSheetId="5">#REF!</definedName>
    <definedName name="S14P23" localSheetId="0">#REF!</definedName>
    <definedName name="S14P23" localSheetId="9">#REF!</definedName>
    <definedName name="S14P23" localSheetId="10">#REF!</definedName>
    <definedName name="S14P23" localSheetId="8">#REF!</definedName>
    <definedName name="S14P23">#REF!</definedName>
    <definedName name="S14P24" localSheetId="4">#REF!</definedName>
    <definedName name="S14P24" localSheetId="5">#REF!</definedName>
    <definedName name="S14P24" localSheetId="0">#REF!</definedName>
    <definedName name="S14P24" localSheetId="9">#REF!</definedName>
    <definedName name="S14P24" localSheetId="10">#REF!</definedName>
    <definedName name="S14P24" localSheetId="8">#REF!</definedName>
    <definedName name="S14P24">#REF!</definedName>
    <definedName name="S14P3" localSheetId="4">#REF!</definedName>
    <definedName name="S14P3" localSheetId="5">#REF!</definedName>
    <definedName name="S14P3" localSheetId="0">#REF!</definedName>
    <definedName name="S14P3" localSheetId="9">#REF!</definedName>
    <definedName name="S14P3" localSheetId="10">#REF!</definedName>
    <definedName name="S14P3" localSheetId="8">#REF!</definedName>
    <definedName name="S14P3">#REF!</definedName>
    <definedName name="S14P4" localSheetId="4">#REF!</definedName>
    <definedName name="S14P4" localSheetId="5">#REF!</definedName>
    <definedName name="S14P4" localSheetId="0">#REF!</definedName>
    <definedName name="S14P4" localSheetId="9">#REF!</definedName>
    <definedName name="S14P4" localSheetId="10">#REF!</definedName>
    <definedName name="S14P4" localSheetId="8">#REF!</definedName>
    <definedName name="S14P4">#REF!</definedName>
    <definedName name="S14P5" localSheetId="4">#REF!</definedName>
    <definedName name="S14P5" localSheetId="5">#REF!</definedName>
    <definedName name="S14P5" localSheetId="0">#REF!</definedName>
    <definedName name="S14P5" localSheetId="9">#REF!</definedName>
    <definedName name="S14P5" localSheetId="10">#REF!</definedName>
    <definedName name="S14P5" localSheetId="8">#REF!</definedName>
    <definedName name="S14P5">#REF!</definedName>
    <definedName name="S14P6" localSheetId="4">#REF!</definedName>
    <definedName name="S14P6" localSheetId="5">#REF!</definedName>
    <definedName name="S14P6" localSheetId="0">#REF!</definedName>
    <definedName name="S14P6" localSheetId="9">#REF!</definedName>
    <definedName name="S14P6" localSheetId="10">#REF!</definedName>
    <definedName name="S14P6" localSheetId="8">#REF!</definedName>
    <definedName name="S14P6">#REF!</definedName>
    <definedName name="S14P7" localSheetId="4">#REF!</definedName>
    <definedName name="S14P7" localSheetId="5">#REF!</definedName>
    <definedName name="S14P7" localSheetId="0">#REF!</definedName>
    <definedName name="S14P7" localSheetId="9">#REF!</definedName>
    <definedName name="S14P7" localSheetId="10">#REF!</definedName>
    <definedName name="S14P7" localSheetId="8">#REF!</definedName>
    <definedName name="S14P7">#REF!</definedName>
    <definedName name="S14P8" localSheetId="4">#REF!</definedName>
    <definedName name="S14P8" localSheetId="5">#REF!</definedName>
    <definedName name="S14P8" localSheetId="0">#REF!</definedName>
    <definedName name="S14P8" localSheetId="9">#REF!</definedName>
    <definedName name="S14P8" localSheetId="10">#REF!</definedName>
    <definedName name="S14P8" localSheetId="8">#REF!</definedName>
    <definedName name="S14P8">#REF!</definedName>
    <definedName name="S14P9" localSheetId="4">#REF!</definedName>
    <definedName name="S14P9" localSheetId="5">#REF!</definedName>
    <definedName name="S14P9" localSheetId="0">#REF!</definedName>
    <definedName name="S14P9" localSheetId="9">#REF!</definedName>
    <definedName name="S14P9" localSheetId="10">#REF!</definedName>
    <definedName name="S14P9" localSheetId="8">#REF!</definedName>
    <definedName name="S14P9">#REF!</definedName>
    <definedName name="S14R1" localSheetId="4">#REF!</definedName>
    <definedName name="S14R1" localSheetId="5">#REF!</definedName>
    <definedName name="S14R1" localSheetId="0">#REF!</definedName>
    <definedName name="S14R1" localSheetId="9">#REF!</definedName>
    <definedName name="S14R1" localSheetId="10">#REF!</definedName>
    <definedName name="S14R1" localSheetId="8">#REF!</definedName>
    <definedName name="S14R1">#REF!</definedName>
    <definedName name="S14R10" localSheetId="4">#REF!</definedName>
    <definedName name="S14R10" localSheetId="5">#REF!</definedName>
    <definedName name="S14R10" localSheetId="0">#REF!</definedName>
    <definedName name="S14R10" localSheetId="9">#REF!</definedName>
    <definedName name="S14R10" localSheetId="10">#REF!</definedName>
    <definedName name="S14R10" localSheetId="8">#REF!</definedName>
    <definedName name="S14R10">#REF!</definedName>
    <definedName name="S14R11" localSheetId="4">#REF!</definedName>
    <definedName name="S14R11" localSheetId="5">#REF!</definedName>
    <definedName name="S14R11" localSheetId="0">#REF!</definedName>
    <definedName name="S14R11" localSheetId="9">#REF!</definedName>
    <definedName name="S14R11" localSheetId="10">#REF!</definedName>
    <definedName name="S14R11" localSheetId="8">#REF!</definedName>
    <definedName name="S14R11">#REF!</definedName>
    <definedName name="S14R12" localSheetId="4">#REF!</definedName>
    <definedName name="S14R12" localSheetId="5">#REF!</definedName>
    <definedName name="S14R12" localSheetId="0">#REF!</definedName>
    <definedName name="S14R12" localSheetId="9">#REF!</definedName>
    <definedName name="S14R12" localSheetId="10">#REF!</definedName>
    <definedName name="S14R12" localSheetId="8">#REF!</definedName>
    <definedName name="S14R12">#REF!</definedName>
    <definedName name="S14R13" localSheetId="4">#REF!</definedName>
    <definedName name="S14R13" localSheetId="5">#REF!</definedName>
    <definedName name="S14R13" localSheetId="0">#REF!</definedName>
    <definedName name="S14R13" localSheetId="9">#REF!</definedName>
    <definedName name="S14R13" localSheetId="10">#REF!</definedName>
    <definedName name="S14R13" localSheetId="8">#REF!</definedName>
    <definedName name="S14R13">#REF!</definedName>
    <definedName name="S14R14" localSheetId="4">#REF!</definedName>
    <definedName name="S14R14" localSheetId="5">#REF!</definedName>
    <definedName name="S14R14" localSheetId="0">#REF!</definedName>
    <definedName name="S14R14" localSheetId="9">#REF!</definedName>
    <definedName name="S14R14" localSheetId="10">#REF!</definedName>
    <definedName name="S14R14" localSheetId="8">#REF!</definedName>
    <definedName name="S14R14">#REF!</definedName>
    <definedName name="S14R15" localSheetId="4">#REF!</definedName>
    <definedName name="S14R15" localSheetId="5">#REF!</definedName>
    <definedName name="S14R15" localSheetId="0">#REF!</definedName>
    <definedName name="S14R15" localSheetId="9">#REF!</definedName>
    <definedName name="S14R15" localSheetId="10">#REF!</definedName>
    <definedName name="S14R15" localSheetId="8">#REF!</definedName>
    <definedName name="S14R15">#REF!</definedName>
    <definedName name="S14R16" localSheetId="4">#REF!</definedName>
    <definedName name="S14R16" localSheetId="5">#REF!</definedName>
    <definedName name="S14R16" localSheetId="0">#REF!</definedName>
    <definedName name="S14R16" localSheetId="9">#REF!</definedName>
    <definedName name="S14R16" localSheetId="10">#REF!</definedName>
    <definedName name="S14R16" localSheetId="8">#REF!</definedName>
    <definedName name="S14R16">#REF!</definedName>
    <definedName name="S14R17" localSheetId="4">#REF!</definedName>
    <definedName name="S14R17" localSheetId="5">#REF!</definedName>
    <definedName name="S14R17" localSheetId="0">#REF!</definedName>
    <definedName name="S14R17" localSheetId="9">#REF!</definedName>
    <definedName name="S14R17" localSheetId="10">#REF!</definedName>
    <definedName name="S14R17" localSheetId="8">#REF!</definedName>
    <definedName name="S14R17">#REF!</definedName>
    <definedName name="S14R18" localSheetId="4">#REF!</definedName>
    <definedName name="S14R18" localSheetId="5">#REF!</definedName>
    <definedName name="S14R18" localSheetId="0">#REF!</definedName>
    <definedName name="S14R18" localSheetId="9">#REF!</definedName>
    <definedName name="S14R18" localSheetId="10">#REF!</definedName>
    <definedName name="S14R18" localSheetId="8">#REF!</definedName>
    <definedName name="S14R18">#REF!</definedName>
    <definedName name="S14R19" localSheetId="4">#REF!</definedName>
    <definedName name="S14R19" localSheetId="5">#REF!</definedName>
    <definedName name="S14R19" localSheetId="0">#REF!</definedName>
    <definedName name="S14R19" localSheetId="9">#REF!</definedName>
    <definedName name="S14R19" localSheetId="10">#REF!</definedName>
    <definedName name="S14R19" localSheetId="8">#REF!</definedName>
    <definedName name="S14R19">#REF!</definedName>
    <definedName name="S14R2" localSheetId="4">#REF!</definedName>
    <definedName name="S14R2" localSheetId="5">#REF!</definedName>
    <definedName name="S14R2" localSheetId="0">#REF!</definedName>
    <definedName name="S14R2" localSheetId="9">#REF!</definedName>
    <definedName name="S14R2" localSheetId="10">#REF!</definedName>
    <definedName name="S14R2" localSheetId="8">#REF!</definedName>
    <definedName name="S14R2">#REF!</definedName>
    <definedName name="S14R20" localSheetId="4">#REF!</definedName>
    <definedName name="S14R20" localSheetId="5">#REF!</definedName>
    <definedName name="S14R20" localSheetId="0">#REF!</definedName>
    <definedName name="S14R20" localSheetId="9">#REF!</definedName>
    <definedName name="S14R20" localSheetId="10">#REF!</definedName>
    <definedName name="S14R20" localSheetId="8">#REF!</definedName>
    <definedName name="S14R20">#REF!</definedName>
    <definedName name="S14R21" localSheetId="4">#REF!</definedName>
    <definedName name="S14R21" localSheetId="5">#REF!</definedName>
    <definedName name="S14R21" localSheetId="0">#REF!</definedName>
    <definedName name="S14R21" localSheetId="9">#REF!</definedName>
    <definedName name="S14R21" localSheetId="10">#REF!</definedName>
    <definedName name="S14R21" localSheetId="8">#REF!</definedName>
    <definedName name="S14R21">#REF!</definedName>
    <definedName name="S14R22" localSheetId="4">#REF!</definedName>
    <definedName name="S14R22" localSheetId="5">#REF!</definedName>
    <definedName name="S14R22" localSheetId="0">#REF!</definedName>
    <definedName name="S14R22" localSheetId="9">#REF!</definedName>
    <definedName name="S14R22" localSheetId="10">#REF!</definedName>
    <definedName name="S14R22" localSheetId="8">#REF!</definedName>
    <definedName name="S14R22">#REF!</definedName>
    <definedName name="S14R23" localSheetId="4">#REF!</definedName>
    <definedName name="S14R23" localSheetId="5">#REF!</definedName>
    <definedName name="S14R23" localSheetId="0">#REF!</definedName>
    <definedName name="S14R23" localSheetId="9">#REF!</definedName>
    <definedName name="S14R23" localSheetId="10">#REF!</definedName>
    <definedName name="S14R23" localSheetId="8">#REF!</definedName>
    <definedName name="S14R23">#REF!</definedName>
    <definedName name="S14R24" localSheetId="4">#REF!</definedName>
    <definedName name="S14R24" localSheetId="5">#REF!</definedName>
    <definedName name="S14R24" localSheetId="0">#REF!</definedName>
    <definedName name="S14R24" localSheetId="9">#REF!</definedName>
    <definedName name="S14R24" localSheetId="10">#REF!</definedName>
    <definedName name="S14R24" localSheetId="8">#REF!</definedName>
    <definedName name="S14R24">#REF!</definedName>
    <definedName name="S14R3" localSheetId="4">#REF!</definedName>
    <definedName name="S14R3" localSheetId="5">#REF!</definedName>
    <definedName name="S14R3" localSheetId="0">#REF!</definedName>
    <definedName name="S14R3" localSheetId="9">#REF!</definedName>
    <definedName name="S14R3" localSheetId="10">#REF!</definedName>
    <definedName name="S14R3" localSheetId="8">#REF!</definedName>
    <definedName name="S14R3">#REF!</definedName>
    <definedName name="S14R4" localSheetId="4">#REF!</definedName>
    <definedName name="S14R4" localSheetId="5">#REF!</definedName>
    <definedName name="S14R4" localSheetId="0">#REF!</definedName>
    <definedName name="S14R4" localSheetId="9">#REF!</definedName>
    <definedName name="S14R4" localSheetId="10">#REF!</definedName>
    <definedName name="S14R4" localSheetId="8">#REF!</definedName>
    <definedName name="S14R4">#REF!</definedName>
    <definedName name="S14R5" localSheetId="4">#REF!</definedName>
    <definedName name="S14R5" localSheetId="5">#REF!</definedName>
    <definedName name="S14R5" localSheetId="0">#REF!</definedName>
    <definedName name="S14R5" localSheetId="9">#REF!</definedName>
    <definedName name="S14R5" localSheetId="10">#REF!</definedName>
    <definedName name="S14R5" localSheetId="8">#REF!</definedName>
    <definedName name="S14R5">#REF!</definedName>
    <definedName name="S14R6" localSheetId="4">#REF!</definedName>
    <definedName name="S14R6" localSheetId="5">#REF!</definedName>
    <definedName name="S14R6" localSheetId="0">#REF!</definedName>
    <definedName name="S14R6" localSheetId="9">#REF!</definedName>
    <definedName name="S14R6" localSheetId="10">#REF!</definedName>
    <definedName name="S14R6" localSheetId="8">#REF!</definedName>
    <definedName name="S14R6">#REF!</definedName>
    <definedName name="S14R7" localSheetId="4">#REF!</definedName>
    <definedName name="S14R7" localSheetId="5">#REF!</definedName>
    <definedName name="S14R7" localSheetId="0">#REF!</definedName>
    <definedName name="S14R7" localSheetId="9">#REF!</definedName>
    <definedName name="S14R7" localSheetId="10">#REF!</definedName>
    <definedName name="S14R7" localSheetId="8">#REF!</definedName>
    <definedName name="S14R7">#REF!</definedName>
    <definedName name="S14R8" localSheetId="4">#REF!</definedName>
    <definedName name="S14R8" localSheetId="5">#REF!</definedName>
    <definedName name="S14R8" localSheetId="0">#REF!</definedName>
    <definedName name="S14R8" localSheetId="9">#REF!</definedName>
    <definedName name="S14R8" localSheetId="10">#REF!</definedName>
    <definedName name="S14R8" localSheetId="8">#REF!</definedName>
    <definedName name="S14R8">#REF!</definedName>
    <definedName name="S14R9" localSheetId="4">#REF!</definedName>
    <definedName name="S14R9" localSheetId="5">#REF!</definedName>
    <definedName name="S14R9" localSheetId="0">#REF!</definedName>
    <definedName name="S14R9" localSheetId="9">#REF!</definedName>
    <definedName name="S14R9" localSheetId="10">#REF!</definedName>
    <definedName name="S14R9" localSheetId="8">#REF!</definedName>
    <definedName name="S14R9">#REF!</definedName>
    <definedName name="S15P1" localSheetId="4">#REF!</definedName>
    <definedName name="S15P1" localSheetId="5">#REF!</definedName>
    <definedName name="S15P1" localSheetId="0">#REF!</definedName>
    <definedName name="S15P1" localSheetId="9">#REF!</definedName>
    <definedName name="S15P1" localSheetId="10">#REF!</definedName>
    <definedName name="S15P1" localSheetId="8">#REF!</definedName>
    <definedName name="S15P1">#REF!</definedName>
    <definedName name="S15P10" localSheetId="4">#REF!</definedName>
    <definedName name="S15P10" localSheetId="5">#REF!</definedName>
    <definedName name="S15P10" localSheetId="0">#REF!</definedName>
    <definedName name="S15P10" localSheetId="9">#REF!</definedName>
    <definedName name="S15P10" localSheetId="10">#REF!</definedName>
    <definedName name="S15P10" localSheetId="8">#REF!</definedName>
    <definedName name="S15P10">#REF!</definedName>
    <definedName name="S15P11" localSheetId="4">#REF!</definedName>
    <definedName name="S15P11" localSheetId="5">#REF!</definedName>
    <definedName name="S15P11" localSheetId="0">#REF!</definedName>
    <definedName name="S15P11" localSheetId="9">#REF!</definedName>
    <definedName name="S15P11" localSheetId="10">#REF!</definedName>
    <definedName name="S15P11" localSheetId="8">#REF!</definedName>
    <definedName name="S15P11">#REF!</definedName>
    <definedName name="S15P12" localSheetId="4">#REF!</definedName>
    <definedName name="S15P12" localSheetId="5">#REF!</definedName>
    <definedName name="S15P12" localSheetId="0">#REF!</definedName>
    <definedName name="S15P12" localSheetId="9">#REF!</definedName>
    <definedName name="S15P12" localSheetId="10">#REF!</definedName>
    <definedName name="S15P12" localSheetId="8">#REF!</definedName>
    <definedName name="S15P12">#REF!</definedName>
    <definedName name="S15P13" localSheetId="4">#REF!</definedName>
    <definedName name="S15P13" localSheetId="5">#REF!</definedName>
    <definedName name="S15P13" localSheetId="0">#REF!</definedName>
    <definedName name="S15P13" localSheetId="9">#REF!</definedName>
    <definedName name="S15P13" localSheetId="10">#REF!</definedName>
    <definedName name="S15P13" localSheetId="8">#REF!</definedName>
    <definedName name="S15P13">#REF!</definedName>
    <definedName name="S15P14" localSheetId="4">#REF!</definedName>
    <definedName name="S15P14" localSheetId="5">#REF!</definedName>
    <definedName name="S15P14" localSheetId="0">#REF!</definedName>
    <definedName name="S15P14" localSheetId="9">#REF!</definedName>
    <definedName name="S15P14" localSheetId="10">#REF!</definedName>
    <definedName name="S15P14" localSheetId="8">#REF!</definedName>
    <definedName name="S15P14">#REF!</definedName>
    <definedName name="S15P15" localSheetId="4">#REF!</definedName>
    <definedName name="S15P15" localSheetId="5">#REF!</definedName>
    <definedName name="S15P15" localSheetId="0">#REF!</definedName>
    <definedName name="S15P15" localSheetId="9">#REF!</definedName>
    <definedName name="S15P15" localSheetId="10">#REF!</definedName>
    <definedName name="S15P15" localSheetId="8">#REF!</definedName>
    <definedName name="S15P15">#REF!</definedName>
    <definedName name="S15P16" localSheetId="4">#REF!</definedName>
    <definedName name="S15P16" localSheetId="5">#REF!</definedName>
    <definedName name="S15P16" localSheetId="0">#REF!</definedName>
    <definedName name="S15P16" localSheetId="9">#REF!</definedName>
    <definedName name="S15P16" localSheetId="10">#REF!</definedName>
    <definedName name="S15P16" localSheetId="8">#REF!</definedName>
    <definedName name="S15P16">#REF!</definedName>
    <definedName name="S15P17" localSheetId="4">#REF!</definedName>
    <definedName name="S15P17" localSheetId="5">#REF!</definedName>
    <definedName name="S15P17" localSheetId="0">#REF!</definedName>
    <definedName name="S15P17" localSheetId="9">#REF!</definedName>
    <definedName name="S15P17" localSheetId="10">#REF!</definedName>
    <definedName name="S15P17" localSheetId="8">#REF!</definedName>
    <definedName name="S15P17">#REF!</definedName>
    <definedName name="S15P18" localSheetId="4">#REF!</definedName>
    <definedName name="S15P18" localSheetId="5">#REF!</definedName>
    <definedName name="S15P18" localSheetId="0">#REF!</definedName>
    <definedName name="S15P18" localSheetId="9">#REF!</definedName>
    <definedName name="S15P18" localSheetId="10">#REF!</definedName>
    <definedName name="S15P18" localSheetId="8">#REF!</definedName>
    <definedName name="S15P18">#REF!</definedName>
    <definedName name="S15P19" localSheetId="4">#REF!</definedName>
    <definedName name="S15P19" localSheetId="5">#REF!</definedName>
    <definedName name="S15P19" localSheetId="0">#REF!</definedName>
    <definedName name="S15P19" localSheetId="9">#REF!</definedName>
    <definedName name="S15P19" localSheetId="10">#REF!</definedName>
    <definedName name="S15P19" localSheetId="8">#REF!</definedName>
    <definedName name="S15P19">#REF!</definedName>
    <definedName name="S15P2" localSheetId="4">#REF!</definedName>
    <definedName name="S15P2" localSheetId="5">#REF!</definedName>
    <definedName name="S15P2" localSheetId="0">#REF!</definedName>
    <definedName name="S15P2" localSheetId="9">#REF!</definedName>
    <definedName name="S15P2" localSheetId="10">#REF!</definedName>
    <definedName name="S15P2" localSheetId="8">#REF!</definedName>
    <definedName name="S15P2">#REF!</definedName>
    <definedName name="S15P20" localSheetId="4">#REF!</definedName>
    <definedName name="S15P20" localSheetId="5">#REF!</definedName>
    <definedName name="S15P20" localSheetId="0">#REF!</definedName>
    <definedName name="S15P20" localSheetId="9">#REF!</definedName>
    <definedName name="S15P20" localSheetId="10">#REF!</definedName>
    <definedName name="S15P20" localSheetId="8">#REF!</definedName>
    <definedName name="S15P20">#REF!</definedName>
    <definedName name="S15P21" localSheetId="4">#REF!</definedName>
    <definedName name="S15P21" localSheetId="5">#REF!</definedName>
    <definedName name="S15P21" localSheetId="0">#REF!</definedName>
    <definedName name="S15P21" localSheetId="9">#REF!</definedName>
    <definedName name="S15P21" localSheetId="10">#REF!</definedName>
    <definedName name="S15P21" localSheetId="8">#REF!</definedName>
    <definedName name="S15P21">#REF!</definedName>
    <definedName name="S15P22" localSheetId="4">#REF!</definedName>
    <definedName name="S15P22" localSheetId="5">#REF!</definedName>
    <definedName name="S15P22" localSheetId="0">#REF!</definedName>
    <definedName name="S15P22" localSheetId="9">#REF!</definedName>
    <definedName name="S15P22" localSheetId="10">#REF!</definedName>
    <definedName name="S15P22" localSheetId="8">#REF!</definedName>
    <definedName name="S15P22">#REF!</definedName>
    <definedName name="S15P23" localSheetId="4">#REF!</definedName>
    <definedName name="S15P23" localSheetId="5">#REF!</definedName>
    <definedName name="S15P23" localSheetId="0">#REF!</definedName>
    <definedName name="S15P23" localSheetId="9">#REF!</definedName>
    <definedName name="S15P23" localSheetId="10">#REF!</definedName>
    <definedName name="S15P23" localSheetId="8">#REF!</definedName>
    <definedName name="S15P23">#REF!</definedName>
    <definedName name="S15P24" localSheetId="4">#REF!</definedName>
    <definedName name="S15P24" localSheetId="5">#REF!</definedName>
    <definedName name="S15P24" localSheetId="0">#REF!</definedName>
    <definedName name="S15P24" localSheetId="9">#REF!</definedName>
    <definedName name="S15P24" localSheetId="10">#REF!</definedName>
    <definedName name="S15P24" localSheetId="8">#REF!</definedName>
    <definedName name="S15P24">#REF!</definedName>
    <definedName name="S15P3" localSheetId="4">#REF!</definedName>
    <definedName name="S15P3" localSheetId="5">#REF!</definedName>
    <definedName name="S15P3" localSheetId="0">#REF!</definedName>
    <definedName name="S15P3" localSheetId="9">#REF!</definedName>
    <definedName name="S15P3" localSheetId="10">#REF!</definedName>
    <definedName name="S15P3" localSheetId="8">#REF!</definedName>
    <definedName name="S15P3">#REF!</definedName>
    <definedName name="S15P4" localSheetId="4">#REF!</definedName>
    <definedName name="S15P4" localSheetId="5">#REF!</definedName>
    <definedName name="S15P4" localSheetId="0">#REF!</definedName>
    <definedName name="S15P4" localSheetId="9">#REF!</definedName>
    <definedName name="S15P4" localSheetId="10">#REF!</definedName>
    <definedName name="S15P4" localSheetId="8">#REF!</definedName>
    <definedName name="S15P4">#REF!</definedName>
    <definedName name="S15P5" localSheetId="4">#REF!</definedName>
    <definedName name="S15P5" localSheetId="5">#REF!</definedName>
    <definedName name="S15P5" localSheetId="0">#REF!</definedName>
    <definedName name="S15P5" localSheetId="9">#REF!</definedName>
    <definedName name="S15P5" localSheetId="10">#REF!</definedName>
    <definedName name="S15P5" localSheetId="8">#REF!</definedName>
    <definedName name="S15P5">#REF!</definedName>
    <definedName name="S15P6" localSheetId="4">#REF!</definedName>
    <definedName name="S15P6" localSheetId="5">#REF!</definedName>
    <definedName name="S15P6" localSheetId="0">#REF!</definedName>
    <definedName name="S15P6" localSheetId="9">#REF!</definedName>
    <definedName name="S15P6" localSheetId="10">#REF!</definedName>
    <definedName name="S15P6" localSheetId="8">#REF!</definedName>
    <definedName name="S15P6">#REF!</definedName>
    <definedName name="S15P7" localSheetId="4">#REF!</definedName>
    <definedName name="S15P7" localSheetId="5">#REF!</definedName>
    <definedName name="S15P7" localSheetId="0">#REF!</definedName>
    <definedName name="S15P7" localSheetId="9">#REF!</definedName>
    <definedName name="S15P7" localSheetId="10">#REF!</definedName>
    <definedName name="S15P7" localSheetId="8">#REF!</definedName>
    <definedName name="S15P7">#REF!</definedName>
    <definedName name="S15P8" localSheetId="4">#REF!</definedName>
    <definedName name="S15P8" localSheetId="5">#REF!</definedName>
    <definedName name="S15P8" localSheetId="0">#REF!</definedName>
    <definedName name="S15P8" localSheetId="9">#REF!</definedName>
    <definedName name="S15P8" localSheetId="10">#REF!</definedName>
    <definedName name="S15P8" localSheetId="8">#REF!</definedName>
    <definedName name="S15P8">#REF!</definedName>
    <definedName name="S15P9" localSheetId="4">#REF!</definedName>
    <definedName name="S15P9" localSheetId="5">#REF!</definedName>
    <definedName name="S15P9" localSheetId="0">#REF!</definedName>
    <definedName name="S15P9" localSheetId="9">#REF!</definedName>
    <definedName name="S15P9" localSheetId="10">#REF!</definedName>
    <definedName name="S15P9" localSheetId="8">#REF!</definedName>
    <definedName name="S15P9">#REF!</definedName>
    <definedName name="S15R1" localSheetId="4">#REF!</definedName>
    <definedName name="S15R1" localSheetId="5">#REF!</definedName>
    <definedName name="S15R1" localSheetId="0">#REF!</definedName>
    <definedName name="S15R1" localSheetId="9">#REF!</definedName>
    <definedName name="S15R1" localSheetId="10">#REF!</definedName>
    <definedName name="S15R1" localSheetId="8">#REF!</definedName>
    <definedName name="S15R1">#REF!</definedName>
    <definedName name="S15R10" localSheetId="4">#REF!</definedName>
    <definedName name="S15R10" localSheetId="5">#REF!</definedName>
    <definedName name="S15R10" localSheetId="0">#REF!</definedName>
    <definedName name="S15R10" localSheetId="9">#REF!</definedName>
    <definedName name="S15R10" localSheetId="10">#REF!</definedName>
    <definedName name="S15R10" localSheetId="8">#REF!</definedName>
    <definedName name="S15R10">#REF!</definedName>
    <definedName name="S15R11" localSheetId="4">#REF!</definedName>
    <definedName name="S15R11" localSheetId="5">#REF!</definedName>
    <definedName name="S15R11" localSheetId="0">#REF!</definedName>
    <definedName name="S15R11" localSheetId="9">#REF!</definedName>
    <definedName name="S15R11" localSheetId="10">#REF!</definedName>
    <definedName name="S15R11" localSheetId="8">#REF!</definedName>
    <definedName name="S15R11">#REF!</definedName>
    <definedName name="S15R12" localSheetId="4">#REF!</definedName>
    <definedName name="S15R12" localSheetId="5">#REF!</definedName>
    <definedName name="S15R12" localSheetId="0">#REF!</definedName>
    <definedName name="S15R12" localSheetId="9">#REF!</definedName>
    <definedName name="S15R12" localSheetId="10">#REF!</definedName>
    <definedName name="S15R12" localSheetId="8">#REF!</definedName>
    <definedName name="S15R12">#REF!</definedName>
    <definedName name="S15R13" localSheetId="4">#REF!</definedName>
    <definedName name="S15R13" localSheetId="5">#REF!</definedName>
    <definedName name="S15R13" localSheetId="0">#REF!</definedName>
    <definedName name="S15R13" localSheetId="9">#REF!</definedName>
    <definedName name="S15R13" localSheetId="10">#REF!</definedName>
    <definedName name="S15R13" localSheetId="8">#REF!</definedName>
    <definedName name="S15R13">#REF!</definedName>
    <definedName name="S15R14" localSheetId="4">#REF!</definedName>
    <definedName name="S15R14" localSheetId="5">#REF!</definedName>
    <definedName name="S15R14" localSheetId="0">#REF!</definedName>
    <definedName name="S15R14" localSheetId="9">#REF!</definedName>
    <definedName name="S15R14" localSheetId="10">#REF!</definedName>
    <definedName name="S15R14" localSheetId="8">#REF!</definedName>
    <definedName name="S15R14">#REF!</definedName>
    <definedName name="S15R15" localSheetId="4">#REF!</definedName>
    <definedName name="S15R15" localSheetId="5">#REF!</definedName>
    <definedName name="S15R15" localSheetId="0">#REF!</definedName>
    <definedName name="S15R15" localSheetId="9">#REF!</definedName>
    <definedName name="S15R15" localSheetId="10">#REF!</definedName>
    <definedName name="S15R15" localSheetId="8">#REF!</definedName>
    <definedName name="S15R15">#REF!</definedName>
    <definedName name="S15R16" localSheetId="4">#REF!</definedName>
    <definedName name="S15R16" localSheetId="5">#REF!</definedName>
    <definedName name="S15R16" localSheetId="0">#REF!</definedName>
    <definedName name="S15R16" localSheetId="9">#REF!</definedName>
    <definedName name="S15R16" localSheetId="10">#REF!</definedName>
    <definedName name="S15R16" localSheetId="8">#REF!</definedName>
    <definedName name="S15R16">#REF!</definedName>
    <definedName name="S15R17" localSheetId="4">#REF!</definedName>
    <definedName name="S15R17" localSheetId="5">#REF!</definedName>
    <definedName name="S15R17" localSheetId="0">#REF!</definedName>
    <definedName name="S15R17" localSheetId="9">#REF!</definedName>
    <definedName name="S15R17" localSheetId="10">#REF!</definedName>
    <definedName name="S15R17" localSheetId="8">#REF!</definedName>
    <definedName name="S15R17">#REF!</definedName>
    <definedName name="S15R18" localSheetId="4">#REF!</definedName>
    <definedName name="S15R18" localSheetId="5">#REF!</definedName>
    <definedName name="S15R18" localSheetId="0">#REF!</definedName>
    <definedName name="S15R18" localSheetId="9">#REF!</definedName>
    <definedName name="S15R18" localSheetId="10">#REF!</definedName>
    <definedName name="S15R18" localSheetId="8">#REF!</definedName>
    <definedName name="S15R18">#REF!</definedName>
    <definedName name="S15R19" localSheetId="4">#REF!</definedName>
    <definedName name="S15R19" localSheetId="5">#REF!</definedName>
    <definedName name="S15R19" localSheetId="0">#REF!</definedName>
    <definedName name="S15R19" localSheetId="9">#REF!</definedName>
    <definedName name="S15R19" localSheetId="10">#REF!</definedName>
    <definedName name="S15R19" localSheetId="8">#REF!</definedName>
    <definedName name="S15R19">#REF!</definedName>
    <definedName name="S15R2" localSheetId="4">#REF!</definedName>
    <definedName name="S15R2" localSheetId="5">#REF!</definedName>
    <definedName name="S15R2" localSheetId="0">#REF!</definedName>
    <definedName name="S15R2" localSheetId="9">#REF!</definedName>
    <definedName name="S15R2" localSheetId="10">#REF!</definedName>
    <definedName name="S15R2" localSheetId="8">#REF!</definedName>
    <definedName name="S15R2">#REF!</definedName>
    <definedName name="S15R20" localSheetId="4">#REF!</definedName>
    <definedName name="S15R20" localSheetId="5">#REF!</definedName>
    <definedName name="S15R20" localSheetId="0">#REF!</definedName>
    <definedName name="S15R20" localSheetId="9">#REF!</definedName>
    <definedName name="S15R20" localSheetId="10">#REF!</definedName>
    <definedName name="S15R20" localSheetId="8">#REF!</definedName>
    <definedName name="S15R20">#REF!</definedName>
    <definedName name="S15R21" localSheetId="4">#REF!</definedName>
    <definedName name="S15R21" localSheetId="5">#REF!</definedName>
    <definedName name="S15R21" localSheetId="0">#REF!</definedName>
    <definedName name="S15R21" localSheetId="9">#REF!</definedName>
    <definedName name="S15R21" localSheetId="10">#REF!</definedName>
    <definedName name="S15R21" localSheetId="8">#REF!</definedName>
    <definedName name="S15R21">#REF!</definedName>
    <definedName name="S15R22" localSheetId="4">#REF!</definedName>
    <definedName name="S15R22" localSheetId="5">#REF!</definedName>
    <definedName name="S15R22" localSheetId="0">#REF!</definedName>
    <definedName name="S15R22" localSheetId="9">#REF!</definedName>
    <definedName name="S15R22" localSheetId="10">#REF!</definedName>
    <definedName name="S15R22" localSheetId="8">#REF!</definedName>
    <definedName name="S15R22">#REF!</definedName>
    <definedName name="S15R23" localSheetId="4">#REF!</definedName>
    <definedName name="S15R23" localSheetId="5">#REF!</definedName>
    <definedName name="S15R23" localSheetId="0">#REF!</definedName>
    <definedName name="S15R23" localSheetId="9">#REF!</definedName>
    <definedName name="S15R23" localSheetId="10">#REF!</definedName>
    <definedName name="S15R23" localSheetId="8">#REF!</definedName>
    <definedName name="S15R23">#REF!</definedName>
    <definedName name="S15R24" localSheetId="4">#REF!</definedName>
    <definedName name="S15R24" localSheetId="5">#REF!</definedName>
    <definedName name="S15R24" localSheetId="0">#REF!</definedName>
    <definedName name="S15R24" localSheetId="9">#REF!</definedName>
    <definedName name="S15R24" localSheetId="10">#REF!</definedName>
    <definedName name="S15R24" localSheetId="8">#REF!</definedName>
    <definedName name="S15R24">#REF!</definedName>
    <definedName name="S15R3" localSheetId="4">#REF!</definedName>
    <definedName name="S15R3" localSheetId="5">#REF!</definedName>
    <definedName name="S15R3" localSheetId="0">#REF!</definedName>
    <definedName name="S15R3" localSheetId="9">#REF!</definedName>
    <definedName name="S15R3" localSheetId="10">#REF!</definedName>
    <definedName name="S15R3" localSheetId="8">#REF!</definedName>
    <definedName name="S15R3">#REF!</definedName>
    <definedName name="S15R4" localSheetId="4">#REF!</definedName>
    <definedName name="S15R4" localSheetId="5">#REF!</definedName>
    <definedName name="S15R4" localSheetId="0">#REF!</definedName>
    <definedName name="S15R4" localSheetId="9">#REF!</definedName>
    <definedName name="S15R4" localSheetId="10">#REF!</definedName>
    <definedName name="S15R4" localSheetId="8">#REF!</definedName>
    <definedName name="S15R4">#REF!</definedName>
    <definedName name="S15R5" localSheetId="4">#REF!</definedName>
    <definedName name="S15R5" localSheetId="5">#REF!</definedName>
    <definedName name="S15R5" localSheetId="0">#REF!</definedName>
    <definedName name="S15R5" localSheetId="9">#REF!</definedName>
    <definedName name="S15R5" localSheetId="10">#REF!</definedName>
    <definedName name="S15R5" localSheetId="8">#REF!</definedName>
    <definedName name="S15R5">#REF!</definedName>
    <definedName name="S15R6" localSheetId="4">#REF!</definedName>
    <definedName name="S15R6" localSheetId="5">#REF!</definedName>
    <definedName name="S15R6" localSheetId="0">#REF!</definedName>
    <definedName name="S15R6" localSheetId="9">#REF!</definedName>
    <definedName name="S15R6" localSheetId="10">#REF!</definedName>
    <definedName name="S15R6" localSheetId="8">#REF!</definedName>
    <definedName name="S15R6">#REF!</definedName>
    <definedName name="S15R7" localSheetId="4">#REF!</definedName>
    <definedName name="S15R7" localSheetId="5">#REF!</definedName>
    <definedName name="S15R7" localSheetId="0">#REF!</definedName>
    <definedName name="S15R7" localSheetId="9">#REF!</definedName>
    <definedName name="S15R7" localSheetId="10">#REF!</definedName>
    <definedName name="S15R7" localSheetId="8">#REF!</definedName>
    <definedName name="S15R7">#REF!</definedName>
    <definedName name="S15R8" localSheetId="4">#REF!</definedName>
    <definedName name="S15R8" localSheetId="5">#REF!</definedName>
    <definedName name="S15R8" localSheetId="0">#REF!</definedName>
    <definedName name="S15R8" localSheetId="9">#REF!</definedName>
    <definedName name="S15R8" localSheetId="10">#REF!</definedName>
    <definedName name="S15R8" localSheetId="8">#REF!</definedName>
    <definedName name="S15R8">#REF!</definedName>
    <definedName name="S15R9" localSheetId="4">#REF!</definedName>
    <definedName name="S15R9" localSheetId="5">#REF!</definedName>
    <definedName name="S15R9" localSheetId="0">#REF!</definedName>
    <definedName name="S15R9" localSheetId="9">#REF!</definedName>
    <definedName name="S15R9" localSheetId="10">#REF!</definedName>
    <definedName name="S15R9" localSheetId="8">#REF!</definedName>
    <definedName name="S15R9">#REF!</definedName>
    <definedName name="S16P1" localSheetId="4">#REF!</definedName>
    <definedName name="S16P1" localSheetId="5">#REF!</definedName>
    <definedName name="S16P1" localSheetId="0">#REF!</definedName>
    <definedName name="S16P1" localSheetId="9">#REF!</definedName>
    <definedName name="S16P1" localSheetId="10">#REF!</definedName>
    <definedName name="S16P1" localSheetId="8">#REF!</definedName>
    <definedName name="S16P1">#REF!</definedName>
    <definedName name="S16P10" localSheetId="4">#REF!</definedName>
    <definedName name="S16P10" localSheetId="5">#REF!</definedName>
    <definedName name="S16P10" localSheetId="0">#REF!</definedName>
    <definedName name="S16P10" localSheetId="9">#REF!</definedName>
    <definedName name="S16P10" localSheetId="10">#REF!</definedName>
    <definedName name="S16P10" localSheetId="8">#REF!</definedName>
    <definedName name="S16P10">#REF!</definedName>
    <definedName name="S16P11" localSheetId="4">#REF!</definedName>
    <definedName name="S16P11" localSheetId="5">#REF!</definedName>
    <definedName name="S16P11" localSheetId="0">#REF!</definedName>
    <definedName name="S16P11" localSheetId="9">#REF!</definedName>
    <definedName name="S16P11" localSheetId="10">#REF!</definedName>
    <definedName name="S16P11" localSheetId="8">#REF!</definedName>
    <definedName name="S16P11">#REF!</definedName>
    <definedName name="S16P12" localSheetId="4">#REF!</definedName>
    <definedName name="S16P12" localSheetId="5">#REF!</definedName>
    <definedName name="S16P12" localSheetId="0">#REF!</definedName>
    <definedName name="S16P12" localSheetId="9">#REF!</definedName>
    <definedName name="S16P12" localSheetId="10">#REF!</definedName>
    <definedName name="S16P12" localSheetId="8">#REF!</definedName>
    <definedName name="S16P12">#REF!</definedName>
    <definedName name="S16P13" localSheetId="4">#REF!</definedName>
    <definedName name="S16P13" localSheetId="5">#REF!</definedName>
    <definedName name="S16P13" localSheetId="0">#REF!</definedName>
    <definedName name="S16P13" localSheetId="9">#REF!</definedName>
    <definedName name="S16P13" localSheetId="10">#REF!</definedName>
    <definedName name="S16P13" localSheetId="8">#REF!</definedName>
    <definedName name="S16P13">#REF!</definedName>
    <definedName name="S16P14" localSheetId="4">#REF!</definedName>
    <definedName name="S16P14" localSheetId="5">#REF!</definedName>
    <definedName name="S16P14" localSheetId="0">#REF!</definedName>
    <definedName name="S16P14" localSheetId="9">#REF!</definedName>
    <definedName name="S16P14" localSheetId="10">#REF!</definedName>
    <definedName name="S16P14" localSheetId="8">#REF!</definedName>
    <definedName name="S16P14">#REF!</definedName>
    <definedName name="S16P15" localSheetId="4">#REF!</definedName>
    <definedName name="S16P15" localSheetId="5">#REF!</definedName>
    <definedName name="S16P15" localSheetId="0">#REF!</definedName>
    <definedName name="S16P15" localSheetId="9">#REF!</definedName>
    <definedName name="S16P15" localSheetId="10">#REF!</definedName>
    <definedName name="S16P15" localSheetId="8">#REF!</definedName>
    <definedName name="S16P15">#REF!</definedName>
    <definedName name="S16P16" localSheetId="4">#REF!</definedName>
    <definedName name="S16P16" localSheetId="5">#REF!</definedName>
    <definedName name="S16P16" localSheetId="0">#REF!</definedName>
    <definedName name="S16P16" localSheetId="9">#REF!</definedName>
    <definedName name="S16P16" localSheetId="10">#REF!</definedName>
    <definedName name="S16P16" localSheetId="8">#REF!</definedName>
    <definedName name="S16P16">#REF!</definedName>
    <definedName name="S16P17" localSheetId="4">#REF!</definedName>
    <definedName name="S16P17" localSheetId="5">#REF!</definedName>
    <definedName name="S16P17" localSheetId="0">#REF!</definedName>
    <definedName name="S16P17" localSheetId="9">#REF!</definedName>
    <definedName name="S16P17" localSheetId="10">#REF!</definedName>
    <definedName name="S16P17" localSheetId="8">#REF!</definedName>
    <definedName name="S16P17">#REF!</definedName>
    <definedName name="S16P18" localSheetId="4">#REF!</definedName>
    <definedName name="S16P18" localSheetId="5">#REF!</definedName>
    <definedName name="S16P18" localSheetId="0">#REF!</definedName>
    <definedName name="S16P18" localSheetId="9">#REF!</definedName>
    <definedName name="S16P18" localSheetId="10">#REF!</definedName>
    <definedName name="S16P18" localSheetId="8">#REF!</definedName>
    <definedName name="S16P18">#REF!</definedName>
    <definedName name="S16P19" localSheetId="4">#REF!</definedName>
    <definedName name="S16P19" localSheetId="5">#REF!</definedName>
    <definedName name="S16P19" localSheetId="0">#REF!</definedName>
    <definedName name="S16P19" localSheetId="9">#REF!</definedName>
    <definedName name="S16P19" localSheetId="10">#REF!</definedName>
    <definedName name="S16P19" localSheetId="8">#REF!</definedName>
    <definedName name="S16P19">#REF!</definedName>
    <definedName name="S16P2" localSheetId="4">#REF!</definedName>
    <definedName name="S16P2" localSheetId="5">#REF!</definedName>
    <definedName name="S16P2" localSheetId="0">#REF!</definedName>
    <definedName name="S16P2" localSheetId="9">#REF!</definedName>
    <definedName name="S16P2" localSheetId="10">#REF!</definedName>
    <definedName name="S16P2" localSheetId="8">#REF!</definedName>
    <definedName name="S16P2">#REF!</definedName>
    <definedName name="S16P20" localSheetId="4">#REF!</definedName>
    <definedName name="S16P20" localSheetId="5">#REF!</definedName>
    <definedName name="S16P20" localSheetId="0">#REF!</definedName>
    <definedName name="S16P20" localSheetId="9">#REF!</definedName>
    <definedName name="S16P20" localSheetId="10">#REF!</definedName>
    <definedName name="S16P20" localSheetId="8">#REF!</definedName>
    <definedName name="S16P20">#REF!</definedName>
    <definedName name="S16P21" localSheetId="4">#REF!</definedName>
    <definedName name="S16P21" localSheetId="5">#REF!</definedName>
    <definedName name="S16P21" localSheetId="0">#REF!</definedName>
    <definedName name="S16P21" localSheetId="9">#REF!</definedName>
    <definedName name="S16P21" localSheetId="10">#REF!</definedName>
    <definedName name="S16P21" localSheetId="8">#REF!</definedName>
    <definedName name="S16P21">#REF!</definedName>
    <definedName name="S16P22" localSheetId="4">#REF!</definedName>
    <definedName name="S16P22" localSheetId="5">#REF!</definedName>
    <definedName name="S16P22" localSheetId="0">#REF!</definedName>
    <definedName name="S16P22" localSheetId="9">#REF!</definedName>
    <definedName name="S16P22" localSheetId="10">#REF!</definedName>
    <definedName name="S16P22" localSheetId="8">#REF!</definedName>
    <definedName name="S16P22">#REF!</definedName>
    <definedName name="S16P23" localSheetId="4">#REF!</definedName>
    <definedName name="S16P23" localSheetId="5">#REF!</definedName>
    <definedName name="S16P23" localSheetId="0">#REF!</definedName>
    <definedName name="S16P23" localSheetId="9">#REF!</definedName>
    <definedName name="S16P23" localSheetId="10">#REF!</definedName>
    <definedName name="S16P23" localSheetId="8">#REF!</definedName>
    <definedName name="S16P23">#REF!</definedName>
    <definedName name="S16P24" localSheetId="4">#REF!</definedName>
    <definedName name="S16P24" localSheetId="5">#REF!</definedName>
    <definedName name="S16P24" localSheetId="0">#REF!</definedName>
    <definedName name="S16P24" localSheetId="9">#REF!</definedName>
    <definedName name="S16P24" localSheetId="10">#REF!</definedName>
    <definedName name="S16P24" localSheetId="8">#REF!</definedName>
    <definedName name="S16P24">#REF!</definedName>
    <definedName name="S16P3" localSheetId="4">#REF!</definedName>
    <definedName name="S16P3" localSheetId="5">#REF!</definedName>
    <definedName name="S16P3" localSheetId="0">#REF!</definedName>
    <definedName name="S16P3" localSheetId="9">#REF!</definedName>
    <definedName name="S16P3" localSheetId="10">#REF!</definedName>
    <definedName name="S16P3" localSheetId="8">#REF!</definedName>
    <definedName name="S16P3">#REF!</definedName>
    <definedName name="S16P4" localSheetId="4">#REF!</definedName>
    <definedName name="S16P4" localSheetId="5">#REF!</definedName>
    <definedName name="S16P4" localSheetId="0">#REF!</definedName>
    <definedName name="S16P4" localSheetId="9">#REF!</definedName>
    <definedName name="S16P4" localSheetId="10">#REF!</definedName>
    <definedName name="S16P4" localSheetId="8">#REF!</definedName>
    <definedName name="S16P4">#REF!</definedName>
    <definedName name="S16P5" localSheetId="4">#REF!</definedName>
    <definedName name="S16P5" localSheetId="5">#REF!</definedName>
    <definedName name="S16P5" localSheetId="0">#REF!</definedName>
    <definedName name="S16P5" localSheetId="9">#REF!</definedName>
    <definedName name="S16P5" localSheetId="10">#REF!</definedName>
    <definedName name="S16P5" localSheetId="8">#REF!</definedName>
    <definedName name="S16P5">#REF!</definedName>
    <definedName name="S16P6" localSheetId="4">#REF!</definedName>
    <definedName name="S16P6" localSheetId="5">#REF!</definedName>
    <definedName name="S16P6" localSheetId="0">#REF!</definedName>
    <definedName name="S16P6" localSheetId="9">#REF!</definedName>
    <definedName name="S16P6" localSheetId="10">#REF!</definedName>
    <definedName name="S16P6" localSheetId="8">#REF!</definedName>
    <definedName name="S16P6">#REF!</definedName>
    <definedName name="S16P7" localSheetId="4">#REF!</definedName>
    <definedName name="S16P7" localSheetId="5">#REF!</definedName>
    <definedName name="S16P7" localSheetId="0">#REF!</definedName>
    <definedName name="S16P7" localSheetId="9">#REF!</definedName>
    <definedName name="S16P7" localSheetId="10">#REF!</definedName>
    <definedName name="S16P7" localSheetId="8">#REF!</definedName>
    <definedName name="S16P7">#REF!</definedName>
    <definedName name="S16P8" localSheetId="4">#REF!</definedName>
    <definedName name="S16P8" localSheetId="5">#REF!</definedName>
    <definedName name="S16P8" localSheetId="0">#REF!</definedName>
    <definedName name="S16P8" localSheetId="9">#REF!</definedName>
    <definedName name="S16P8" localSheetId="10">#REF!</definedName>
    <definedName name="S16P8" localSheetId="8">#REF!</definedName>
    <definedName name="S16P8">#REF!</definedName>
    <definedName name="S16P9" localSheetId="4">#REF!</definedName>
    <definedName name="S16P9" localSheetId="5">#REF!</definedName>
    <definedName name="S16P9" localSheetId="0">#REF!</definedName>
    <definedName name="S16P9" localSheetId="9">#REF!</definedName>
    <definedName name="S16P9" localSheetId="10">#REF!</definedName>
    <definedName name="S16P9" localSheetId="8">#REF!</definedName>
    <definedName name="S16P9">#REF!</definedName>
    <definedName name="S16R1" localSheetId="4">#REF!</definedName>
    <definedName name="S16R1" localSheetId="5">#REF!</definedName>
    <definedName name="S16R1" localSheetId="0">#REF!</definedName>
    <definedName name="S16R1" localSheetId="9">#REF!</definedName>
    <definedName name="S16R1" localSheetId="10">#REF!</definedName>
    <definedName name="S16R1" localSheetId="8">#REF!</definedName>
    <definedName name="S16R1">#REF!</definedName>
    <definedName name="S16R10" localSheetId="4">#REF!</definedName>
    <definedName name="S16R10" localSheetId="5">#REF!</definedName>
    <definedName name="S16R10" localSheetId="0">#REF!</definedName>
    <definedName name="S16R10" localSheetId="9">#REF!</definedName>
    <definedName name="S16R10" localSheetId="10">#REF!</definedName>
    <definedName name="S16R10" localSheetId="8">#REF!</definedName>
    <definedName name="S16R10">#REF!</definedName>
    <definedName name="S16R11" localSheetId="4">#REF!</definedName>
    <definedName name="S16R11" localSheetId="5">#REF!</definedName>
    <definedName name="S16R11" localSheetId="0">#REF!</definedName>
    <definedName name="S16R11" localSheetId="9">#REF!</definedName>
    <definedName name="S16R11" localSheetId="10">#REF!</definedName>
    <definedName name="S16R11" localSheetId="8">#REF!</definedName>
    <definedName name="S16R11">#REF!</definedName>
    <definedName name="S16R12" localSheetId="4">#REF!</definedName>
    <definedName name="S16R12" localSheetId="5">#REF!</definedName>
    <definedName name="S16R12" localSheetId="0">#REF!</definedName>
    <definedName name="S16R12" localSheetId="9">#REF!</definedName>
    <definedName name="S16R12" localSheetId="10">#REF!</definedName>
    <definedName name="S16R12" localSheetId="8">#REF!</definedName>
    <definedName name="S16R12">#REF!</definedName>
    <definedName name="S16R13" localSheetId="4">#REF!</definedName>
    <definedName name="S16R13" localSheetId="5">#REF!</definedName>
    <definedName name="S16R13" localSheetId="0">#REF!</definedName>
    <definedName name="S16R13" localSheetId="9">#REF!</definedName>
    <definedName name="S16R13" localSheetId="10">#REF!</definedName>
    <definedName name="S16R13" localSheetId="8">#REF!</definedName>
    <definedName name="S16R13">#REF!</definedName>
    <definedName name="S16R14" localSheetId="4">#REF!</definedName>
    <definedName name="S16R14" localSheetId="5">#REF!</definedName>
    <definedName name="S16R14" localSheetId="0">#REF!</definedName>
    <definedName name="S16R14" localSheetId="9">#REF!</definedName>
    <definedName name="S16R14" localSheetId="10">#REF!</definedName>
    <definedName name="S16R14" localSheetId="8">#REF!</definedName>
    <definedName name="S16R14">#REF!</definedName>
    <definedName name="S16R15" localSheetId="4">#REF!</definedName>
    <definedName name="S16R15" localSheetId="5">#REF!</definedName>
    <definedName name="S16R15" localSheetId="0">#REF!</definedName>
    <definedName name="S16R15" localSheetId="9">#REF!</definedName>
    <definedName name="S16R15" localSheetId="10">#REF!</definedName>
    <definedName name="S16R15" localSheetId="8">#REF!</definedName>
    <definedName name="S16R15">#REF!</definedName>
    <definedName name="S16R16" localSheetId="4">#REF!</definedName>
    <definedName name="S16R16" localSheetId="5">#REF!</definedName>
    <definedName name="S16R16" localSheetId="0">#REF!</definedName>
    <definedName name="S16R16" localSheetId="9">#REF!</definedName>
    <definedName name="S16R16" localSheetId="10">#REF!</definedName>
    <definedName name="S16R16" localSheetId="8">#REF!</definedName>
    <definedName name="S16R16">#REF!</definedName>
    <definedName name="S16R17" localSheetId="4">#REF!</definedName>
    <definedName name="S16R17" localSheetId="5">#REF!</definedName>
    <definedName name="S16R17" localSheetId="0">#REF!</definedName>
    <definedName name="S16R17" localSheetId="9">#REF!</definedName>
    <definedName name="S16R17" localSheetId="10">#REF!</definedName>
    <definedName name="S16R17" localSheetId="8">#REF!</definedName>
    <definedName name="S16R17">#REF!</definedName>
    <definedName name="S16R18" localSheetId="4">#REF!</definedName>
    <definedName name="S16R18" localSheetId="5">#REF!</definedName>
    <definedName name="S16R18" localSheetId="0">#REF!</definedName>
    <definedName name="S16R18" localSheetId="9">#REF!</definedName>
    <definedName name="S16R18" localSheetId="10">#REF!</definedName>
    <definedName name="S16R18" localSheetId="8">#REF!</definedName>
    <definedName name="S16R18">#REF!</definedName>
    <definedName name="S16R19" localSheetId="4">#REF!</definedName>
    <definedName name="S16R19" localSheetId="5">#REF!</definedName>
    <definedName name="S16R19" localSheetId="0">#REF!</definedName>
    <definedName name="S16R19" localSheetId="9">#REF!</definedName>
    <definedName name="S16R19" localSheetId="10">#REF!</definedName>
    <definedName name="S16R19" localSheetId="8">#REF!</definedName>
    <definedName name="S16R19">#REF!</definedName>
    <definedName name="S16R2" localSheetId="4">#REF!</definedName>
    <definedName name="S16R2" localSheetId="5">#REF!</definedName>
    <definedName name="S16R2" localSheetId="0">#REF!</definedName>
    <definedName name="S16R2" localSheetId="9">#REF!</definedName>
    <definedName name="S16R2" localSheetId="10">#REF!</definedName>
    <definedName name="S16R2" localSheetId="8">#REF!</definedName>
    <definedName name="S16R2">#REF!</definedName>
    <definedName name="S16R20" localSheetId="4">#REF!</definedName>
    <definedName name="S16R20" localSheetId="5">#REF!</definedName>
    <definedName name="S16R20" localSheetId="0">#REF!</definedName>
    <definedName name="S16R20" localSheetId="9">#REF!</definedName>
    <definedName name="S16R20" localSheetId="10">#REF!</definedName>
    <definedName name="S16R20" localSheetId="8">#REF!</definedName>
    <definedName name="S16R20">#REF!</definedName>
    <definedName name="S16R21" localSheetId="4">#REF!</definedName>
    <definedName name="S16R21" localSheetId="5">#REF!</definedName>
    <definedName name="S16R21" localSheetId="0">#REF!</definedName>
    <definedName name="S16R21" localSheetId="9">#REF!</definedName>
    <definedName name="S16R21" localSheetId="10">#REF!</definedName>
    <definedName name="S16R21" localSheetId="8">#REF!</definedName>
    <definedName name="S16R21">#REF!</definedName>
    <definedName name="S16R22" localSheetId="4">#REF!</definedName>
    <definedName name="S16R22" localSheetId="5">#REF!</definedName>
    <definedName name="S16R22" localSheetId="0">#REF!</definedName>
    <definedName name="S16R22" localSheetId="9">#REF!</definedName>
    <definedName name="S16R22" localSheetId="10">#REF!</definedName>
    <definedName name="S16R22" localSheetId="8">#REF!</definedName>
    <definedName name="S16R22">#REF!</definedName>
    <definedName name="S16R23" localSheetId="4">#REF!</definedName>
    <definedName name="S16R23" localSheetId="5">#REF!</definedName>
    <definedName name="S16R23" localSheetId="0">#REF!</definedName>
    <definedName name="S16R23" localSheetId="9">#REF!</definedName>
    <definedName name="S16R23" localSheetId="10">#REF!</definedName>
    <definedName name="S16R23" localSheetId="8">#REF!</definedName>
    <definedName name="S16R23">#REF!</definedName>
    <definedName name="S16R24" localSheetId="4">#REF!</definedName>
    <definedName name="S16R24" localSheetId="5">#REF!</definedName>
    <definedName name="S16R24" localSheetId="0">#REF!</definedName>
    <definedName name="S16R24" localSheetId="9">#REF!</definedName>
    <definedName name="S16R24" localSheetId="10">#REF!</definedName>
    <definedName name="S16R24" localSheetId="8">#REF!</definedName>
    <definedName name="S16R24">#REF!</definedName>
    <definedName name="S16R3" localSheetId="4">#REF!</definedName>
    <definedName name="S16R3" localSheetId="5">#REF!</definedName>
    <definedName name="S16R3" localSheetId="0">#REF!</definedName>
    <definedName name="S16R3" localSheetId="9">#REF!</definedName>
    <definedName name="S16R3" localSheetId="10">#REF!</definedName>
    <definedName name="S16R3" localSheetId="8">#REF!</definedName>
    <definedName name="S16R3">#REF!</definedName>
    <definedName name="S16R4" localSheetId="4">#REF!</definedName>
    <definedName name="S16R4" localSheetId="5">#REF!</definedName>
    <definedName name="S16R4" localSheetId="0">#REF!</definedName>
    <definedName name="S16R4" localSheetId="9">#REF!</definedName>
    <definedName name="S16R4" localSheetId="10">#REF!</definedName>
    <definedName name="S16R4" localSheetId="8">#REF!</definedName>
    <definedName name="S16R4">#REF!</definedName>
    <definedName name="S16R5" localSheetId="4">#REF!</definedName>
    <definedName name="S16R5" localSheetId="5">#REF!</definedName>
    <definedName name="S16R5" localSheetId="0">#REF!</definedName>
    <definedName name="S16R5" localSheetId="9">#REF!</definedName>
    <definedName name="S16R5" localSheetId="10">#REF!</definedName>
    <definedName name="S16R5" localSheetId="8">#REF!</definedName>
    <definedName name="S16R5">#REF!</definedName>
    <definedName name="S16R6" localSheetId="4">#REF!</definedName>
    <definedName name="S16R6" localSheetId="5">#REF!</definedName>
    <definedName name="S16R6" localSheetId="0">#REF!</definedName>
    <definedName name="S16R6" localSheetId="9">#REF!</definedName>
    <definedName name="S16R6" localSheetId="10">#REF!</definedName>
    <definedName name="S16R6" localSheetId="8">#REF!</definedName>
    <definedName name="S16R6">#REF!</definedName>
    <definedName name="S16R7" localSheetId="4">#REF!</definedName>
    <definedName name="S16R7" localSheetId="5">#REF!</definedName>
    <definedName name="S16R7" localSheetId="0">#REF!</definedName>
    <definedName name="S16R7" localSheetId="9">#REF!</definedName>
    <definedName name="S16R7" localSheetId="10">#REF!</definedName>
    <definedName name="S16R7" localSheetId="8">#REF!</definedName>
    <definedName name="S16R7">#REF!</definedName>
    <definedName name="S16R8" localSheetId="4">#REF!</definedName>
    <definedName name="S16R8" localSheetId="5">#REF!</definedName>
    <definedName name="S16R8" localSheetId="0">#REF!</definedName>
    <definedName name="S16R8" localSheetId="9">#REF!</definedName>
    <definedName name="S16R8" localSheetId="10">#REF!</definedName>
    <definedName name="S16R8" localSheetId="8">#REF!</definedName>
    <definedName name="S16R8">#REF!</definedName>
    <definedName name="S16R9" localSheetId="4">#REF!</definedName>
    <definedName name="S16R9" localSheetId="5">#REF!</definedName>
    <definedName name="S16R9" localSheetId="0">#REF!</definedName>
    <definedName name="S16R9" localSheetId="9">#REF!</definedName>
    <definedName name="S16R9" localSheetId="10">#REF!</definedName>
    <definedName name="S16R9" localSheetId="8">#REF!</definedName>
    <definedName name="S16R9">#REF!</definedName>
    <definedName name="S17P1" localSheetId="4">#REF!</definedName>
    <definedName name="S17P1" localSheetId="5">#REF!</definedName>
    <definedName name="S17P1" localSheetId="0">#REF!</definedName>
    <definedName name="S17P1" localSheetId="9">#REF!</definedName>
    <definedName name="S17P1" localSheetId="10">#REF!</definedName>
    <definedName name="S17P1" localSheetId="8">#REF!</definedName>
    <definedName name="S17P1">#REF!</definedName>
    <definedName name="S17P10" localSheetId="4">#REF!</definedName>
    <definedName name="S17P10" localSheetId="5">#REF!</definedName>
    <definedName name="S17P10" localSheetId="0">#REF!</definedName>
    <definedName name="S17P10" localSheetId="9">#REF!</definedName>
    <definedName name="S17P10" localSheetId="10">#REF!</definedName>
    <definedName name="S17P10" localSheetId="8">#REF!</definedName>
    <definedName name="S17P10">#REF!</definedName>
    <definedName name="S17P11" localSheetId="4">#REF!</definedName>
    <definedName name="S17P11" localSheetId="5">#REF!</definedName>
    <definedName name="S17P11" localSheetId="0">#REF!</definedName>
    <definedName name="S17P11" localSheetId="9">#REF!</definedName>
    <definedName name="S17P11" localSheetId="10">#REF!</definedName>
    <definedName name="S17P11" localSheetId="8">#REF!</definedName>
    <definedName name="S17P11">#REF!</definedName>
    <definedName name="S17P12" localSheetId="4">#REF!</definedName>
    <definedName name="S17P12" localSheetId="5">#REF!</definedName>
    <definedName name="S17P12" localSheetId="0">#REF!</definedName>
    <definedName name="S17P12" localSheetId="9">#REF!</definedName>
    <definedName name="S17P12" localSheetId="10">#REF!</definedName>
    <definedName name="S17P12" localSheetId="8">#REF!</definedName>
    <definedName name="S17P12">#REF!</definedName>
    <definedName name="S17P13" localSheetId="4">#REF!</definedName>
    <definedName name="S17P13" localSheetId="5">#REF!</definedName>
    <definedName name="S17P13" localSheetId="0">#REF!</definedName>
    <definedName name="S17P13" localSheetId="9">#REF!</definedName>
    <definedName name="S17P13" localSheetId="10">#REF!</definedName>
    <definedName name="S17P13" localSheetId="8">#REF!</definedName>
    <definedName name="S17P13">#REF!</definedName>
    <definedName name="S17P14" localSheetId="4">#REF!</definedName>
    <definedName name="S17P14" localSheetId="5">#REF!</definedName>
    <definedName name="S17P14" localSheetId="0">#REF!</definedName>
    <definedName name="S17P14" localSheetId="9">#REF!</definedName>
    <definedName name="S17P14" localSheetId="10">#REF!</definedName>
    <definedName name="S17P14" localSheetId="8">#REF!</definedName>
    <definedName name="S17P14">#REF!</definedName>
    <definedName name="S17P15" localSheetId="4">#REF!</definedName>
    <definedName name="S17P15" localSheetId="5">#REF!</definedName>
    <definedName name="S17P15" localSheetId="0">#REF!</definedName>
    <definedName name="S17P15" localSheetId="9">#REF!</definedName>
    <definedName name="S17P15" localSheetId="10">#REF!</definedName>
    <definedName name="S17P15" localSheetId="8">#REF!</definedName>
    <definedName name="S17P15">#REF!</definedName>
    <definedName name="S17P16" localSheetId="4">#REF!</definedName>
    <definedName name="S17P16" localSheetId="5">#REF!</definedName>
    <definedName name="S17P16" localSheetId="0">#REF!</definedName>
    <definedName name="S17P16" localSheetId="9">#REF!</definedName>
    <definedName name="S17P16" localSheetId="10">#REF!</definedName>
    <definedName name="S17P16" localSheetId="8">#REF!</definedName>
    <definedName name="S17P16">#REF!</definedName>
    <definedName name="S17P17" localSheetId="4">#REF!</definedName>
    <definedName name="S17P17" localSheetId="5">#REF!</definedName>
    <definedName name="S17P17" localSheetId="0">#REF!</definedName>
    <definedName name="S17P17" localSheetId="9">#REF!</definedName>
    <definedName name="S17P17" localSheetId="10">#REF!</definedName>
    <definedName name="S17P17" localSheetId="8">#REF!</definedName>
    <definedName name="S17P17">#REF!</definedName>
    <definedName name="S17P18" localSheetId="4">#REF!</definedName>
    <definedName name="S17P18" localSheetId="5">#REF!</definedName>
    <definedName name="S17P18" localSheetId="0">#REF!</definedName>
    <definedName name="S17P18" localSheetId="9">#REF!</definedName>
    <definedName name="S17P18" localSheetId="10">#REF!</definedName>
    <definedName name="S17P18" localSheetId="8">#REF!</definedName>
    <definedName name="S17P18">#REF!</definedName>
    <definedName name="S17P19" localSheetId="4">#REF!</definedName>
    <definedName name="S17P19" localSheetId="5">#REF!</definedName>
    <definedName name="S17P19" localSheetId="0">#REF!</definedName>
    <definedName name="S17P19" localSheetId="9">#REF!</definedName>
    <definedName name="S17P19" localSheetId="10">#REF!</definedName>
    <definedName name="S17P19" localSheetId="8">#REF!</definedName>
    <definedName name="S17P19">#REF!</definedName>
    <definedName name="S17P2" localSheetId="4">#REF!</definedName>
    <definedName name="S17P2" localSheetId="5">#REF!</definedName>
    <definedName name="S17P2" localSheetId="0">#REF!</definedName>
    <definedName name="S17P2" localSheetId="9">#REF!</definedName>
    <definedName name="S17P2" localSheetId="10">#REF!</definedName>
    <definedName name="S17P2" localSheetId="8">#REF!</definedName>
    <definedName name="S17P2">#REF!</definedName>
    <definedName name="S17P20" localSheetId="4">#REF!</definedName>
    <definedName name="S17P20" localSheetId="5">#REF!</definedName>
    <definedName name="S17P20" localSheetId="0">#REF!</definedName>
    <definedName name="S17P20" localSheetId="9">#REF!</definedName>
    <definedName name="S17P20" localSheetId="10">#REF!</definedName>
    <definedName name="S17P20" localSheetId="8">#REF!</definedName>
    <definedName name="S17P20">#REF!</definedName>
    <definedName name="S17P21" localSheetId="4">#REF!</definedName>
    <definedName name="S17P21" localSheetId="5">#REF!</definedName>
    <definedName name="S17P21" localSheetId="0">#REF!</definedName>
    <definedName name="S17P21" localSheetId="9">#REF!</definedName>
    <definedName name="S17P21" localSheetId="10">#REF!</definedName>
    <definedName name="S17P21" localSheetId="8">#REF!</definedName>
    <definedName name="S17P21">#REF!</definedName>
    <definedName name="S17P22" localSheetId="4">#REF!</definedName>
    <definedName name="S17P22" localSheetId="5">#REF!</definedName>
    <definedName name="S17P22" localSheetId="0">#REF!</definedName>
    <definedName name="S17P22" localSheetId="9">#REF!</definedName>
    <definedName name="S17P22" localSheetId="10">#REF!</definedName>
    <definedName name="S17P22" localSheetId="8">#REF!</definedName>
    <definedName name="S17P22">#REF!</definedName>
    <definedName name="S17P23" localSheetId="4">#REF!</definedName>
    <definedName name="S17P23" localSheetId="5">#REF!</definedName>
    <definedName name="S17P23" localSheetId="0">#REF!</definedName>
    <definedName name="S17P23" localSheetId="9">#REF!</definedName>
    <definedName name="S17P23" localSheetId="10">#REF!</definedName>
    <definedName name="S17P23" localSheetId="8">#REF!</definedName>
    <definedName name="S17P23">#REF!</definedName>
    <definedName name="S17P24" localSheetId="4">#REF!</definedName>
    <definedName name="S17P24" localSheetId="5">#REF!</definedName>
    <definedName name="S17P24" localSheetId="0">#REF!</definedName>
    <definedName name="S17P24" localSheetId="9">#REF!</definedName>
    <definedName name="S17P24" localSheetId="10">#REF!</definedName>
    <definedName name="S17P24" localSheetId="8">#REF!</definedName>
    <definedName name="S17P24">#REF!</definedName>
    <definedName name="S17P3" localSheetId="4">#REF!</definedName>
    <definedName name="S17P3" localSheetId="5">#REF!</definedName>
    <definedName name="S17P3" localSheetId="0">#REF!</definedName>
    <definedName name="S17P3" localSheetId="9">#REF!</definedName>
    <definedName name="S17P3" localSheetId="10">#REF!</definedName>
    <definedName name="S17P3" localSheetId="8">#REF!</definedName>
    <definedName name="S17P3">#REF!</definedName>
    <definedName name="S17P4" localSheetId="4">#REF!</definedName>
    <definedName name="S17P4" localSheetId="5">#REF!</definedName>
    <definedName name="S17P4" localSheetId="0">#REF!</definedName>
    <definedName name="S17P4" localSheetId="9">#REF!</definedName>
    <definedName name="S17P4" localSheetId="10">#REF!</definedName>
    <definedName name="S17P4" localSheetId="8">#REF!</definedName>
    <definedName name="S17P4">#REF!</definedName>
    <definedName name="S17P5" localSheetId="4">#REF!</definedName>
    <definedName name="S17P5" localSheetId="5">#REF!</definedName>
    <definedName name="S17P5" localSheetId="0">#REF!</definedName>
    <definedName name="S17P5" localSheetId="9">#REF!</definedName>
    <definedName name="S17P5" localSheetId="10">#REF!</definedName>
    <definedName name="S17P5" localSheetId="8">#REF!</definedName>
    <definedName name="S17P5">#REF!</definedName>
    <definedName name="S17P6" localSheetId="4">#REF!</definedName>
    <definedName name="S17P6" localSheetId="5">#REF!</definedName>
    <definedName name="S17P6" localSheetId="0">#REF!</definedName>
    <definedName name="S17P6" localSheetId="9">#REF!</definedName>
    <definedName name="S17P6" localSheetId="10">#REF!</definedName>
    <definedName name="S17P6" localSheetId="8">#REF!</definedName>
    <definedName name="S17P6">#REF!</definedName>
    <definedName name="S17P7" localSheetId="4">#REF!</definedName>
    <definedName name="S17P7" localSheetId="5">#REF!</definedName>
    <definedName name="S17P7" localSheetId="0">#REF!</definedName>
    <definedName name="S17P7" localSheetId="9">#REF!</definedName>
    <definedName name="S17P7" localSheetId="10">#REF!</definedName>
    <definedName name="S17P7" localSheetId="8">#REF!</definedName>
    <definedName name="S17P7">#REF!</definedName>
    <definedName name="S17P8" localSheetId="4">#REF!</definedName>
    <definedName name="S17P8" localSheetId="5">#REF!</definedName>
    <definedName name="S17P8" localSheetId="0">#REF!</definedName>
    <definedName name="S17P8" localSheetId="9">#REF!</definedName>
    <definedName name="S17P8" localSheetId="10">#REF!</definedName>
    <definedName name="S17P8" localSheetId="8">#REF!</definedName>
    <definedName name="S17P8">#REF!</definedName>
    <definedName name="S17P9" localSheetId="4">#REF!</definedName>
    <definedName name="S17P9" localSheetId="5">#REF!</definedName>
    <definedName name="S17P9" localSheetId="0">#REF!</definedName>
    <definedName name="S17P9" localSheetId="9">#REF!</definedName>
    <definedName name="S17P9" localSheetId="10">#REF!</definedName>
    <definedName name="S17P9" localSheetId="8">#REF!</definedName>
    <definedName name="S17P9">#REF!</definedName>
    <definedName name="S17R1" localSheetId="4">#REF!</definedName>
    <definedName name="S17R1" localSheetId="5">#REF!</definedName>
    <definedName name="S17R1" localSheetId="0">#REF!</definedName>
    <definedName name="S17R1" localSheetId="9">#REF!</definedName>
    <definedName name="S17R1" localSheetId="10">#REF!</definedName>
    <definedName name="S17R1" localSheetId="8">#REF!</definedName>
    <definedName name="S17R1">#REF!</definedName>
    <definedName name="S17R10" localSheetId="4">#REF!</definedName>
    <definedName name="S17R10" localSheetId="5">#REF!</definedName>
    <definedName name="S17R10" localSheetId="0">#REF!</definedName>
    <definedName name="S17R10" localSheetId="9">#REF!</definedName>
    <definedName name="S17R10" localSheetId="10">#REF!</definedName>
    <definedName name="S17R10" localSheetId="8">#REF!</definedName>
    <definedName name="S17R10">#REF!</definedName>
    <definedName name="S17R11" localSheetId="4">#REF!</definedName>
    <definedName name="S17R11" localSheetId="5">#REF!</definedName>
    <definedName name="S17R11" localSheetId="0">#REF!</definedName>
    <definedName name="S17R11" localSheetId="9">#REF!</definedName>
    <definedName name="S17R11" localSheetId="10">#REF!</definedName>
    <definedName name="S17R11" localSheetId="8">#REF!</definedName>
    <definedName name="S17R11">#REF!</definedName>
    <definedName name="S17R12" localSheetId="4">#REF!</definedName>
    <definedName name="S17R12" localSheetId="5">#REF!</definedName>
    <definedName name="S17R12" localSheetId="0">#REF!</definedName>
    <definedName name="S17R12" localSheetId="9">#REF!</definedName>
    <definedName name="S17R12" localSheetId="10">#REF!</definedName>
    <definedName name="S17R12" localSheetId="8">#REF!</definedName>
    <definedName name="S17R12">#REF!</definedName>
    <definedName name="S17R13" localSheetId="4">#REF!</definedName>
    <definedName name="S17R13" localSheetId="5">#REF!</definedName>
    <definedName name="S17R13" localSheetId="0">#REF!</definedName>
    <definedName name="S17R13" localSheetId="9">#REF!</definedName>
    <definedName name="S17R13" localSheetId="10">#REF!</definedName>
    <definedName name="S17R13" localSheetId="8">#REF!</definedName>
    <definedName name="S17R13">#REF!</definedName>
    <definedName name="S17R14" localSheetId="4">#REF!</definedName>
    <definedName name="S17R14" localSheetId="5">#REF!</definedName>
    <definedName name="S17R14" localSheetId="0">#REF!</definedName>
    <definedName name="S17R14" localSheetId="9">#REF!</definedName>
    <definedName name="S17R14" localSheetId="10">#REF!</definedName>
    <definedName name="S17R14" localSheetId="8">#REF!</definedName>
    <definedName name="S17R14">#REF!</definedName>
    <definedName name="S17R15" localSheetId="4">#REF!</definedName>
    <definedName name="S17R15" localSheetId="5">#REF!</definedName>
    <definedName name="S17R15" localSheetId="0">#REF!</definedName>
    <definedName name="S17R15" localSheetId="9">#REF!</definedName>
    <definedName name="S17R15" localSheetId="10">#REF!</definedName>
    <definedName name="S17R15" localSheetId="8">#REF!</definedName>
    <definedName name="S17R15">#REF!</definedName>
    <definedName name="S17R16" localSheetId="4">#REF!</definedName>
    <definedName name="S17R16" localSheetId="5">#REF!</definedName>
    <definedName name="S17R16" localSheetId="0">#REF!</definedName>
    <definedName name="S17R16" localSheetId="9">#REF!</definedName>
    <definedName name="S17R16" localSheetId="10">#REF!</definedName>
    <definedName name="S17R16" localSheetId="8">#REF!</definedName>
    <definedName name="S17R16">#REF!</definedName>
    <definedName name="S17R17" localSheetId="4">#REF!</definedName>
    <definedName name="S17R17" localSheetId="5">#REF!</definedName>
    <definedName name="S17R17" localSheetId="0">#REF!</definedName>
    <definedName name="S17R17" localSheetId="9">#REF!</definedName>
    <definedName name="S17R17" localSheetId="10">#REF!</definedName>
    <definedName name="S17R17" localSheetId="8">#REF!</definedName>
    <definedName name="S17R17">#REF!</definedName>
    <definedName name="S17R18" localSheetId="4">#REF!</definedName>
    <definedName name="S17R18" localSheetId="5">#REF!</definedName>
    <definedName name="S17R18" localSheetId="0">#REF!</definedName>
    <definedName name="S17R18" localSheetId="9">#REF!</definedName>
    <definedName name="S17R18" localSheetId="10">#REF!</definedName>
    <definedName name="S17R18" localSheetId="8">#REF!</definedName>
    <definedName name="S17R18">#REF!</definedName>
    <definedName name="S17R19" localSheetId="4">#REF!</definedName>
    <definedName name="S17R19" localSheetId="5">#REF!</definedName>
    <definedName name="S17R19" localSheetId="0">#REF!</definedName>
    <definedName name="S17R19" localSheetId="9">#REF!</definedName>
    <definedName name="S17R19" localSheetId="10">#REF!</definedName>
    <definedName name="S17R19" localSheetId="8">#REF!</definedName>
    <definedName name="S17R19">#REF!</definedName>
    <definedName name="S17R2" localSheetId="4">#REF!</definedName>
    <definedName name="S17R2" localSheetId="5">#REF!</definedName>
    <definedName name="S17R2" localSheetId="0">#REF!</definedName>
    <definedName name="S17R2" localSheetId="9">#REF!</definedName>
    <definedName name="S17R2" localSheetId="10">#REF!</definedName>
    <definedName name="S17R2" localSheetId="8">#REF!</definedName>
    <definedName name="S17R2">#REF!</definedName>
    <definedName name="S17R20" localSheetId="4">#REF!</definedName>
    <definedName name="S17R20" localSheetId="5">#REF!</definedName>
    <definedName name="S17R20" localSheetId="0">#REF!</definedName>
    <definedName name="S17R20" localSheetId="9">#REF!</definedName>
    <definedName name="S17R20" localSheetId="10">#REF!</definedName>
    <definedName name="S17R20" localSheetId="8">#REF!</definedName>
    <definedName name="S17R20">#REF!</definedName>
    <definedName name="S17R21" localSheetId="4">#REF!</definedName>
    <definedName name="S17R21" localSheetId="5">#REF!</definedName>
    <definedName name="S17R21" localSheetId="0">#REF!</definedName>
    <definedName name="S17R21" localSheetId="9">#REF!</definedName>
    <definedName name="S17R21" localSheetId="10">#REF!</definedName>
    <definedName name="S17R21" localSheetId="8">#REF!</definedName>
    <definedName name="S17R21">#REF!</definedName>
    <definedName name="S17R22" localSheetId="4">#REF!</definedName>
    <definedName name="S17R22" localSheetId="5">#REF!</definedName>
    <definedName name="S17R22" localSheetId="0">#REF!</definedName>
    <definedName name="S17R22" localSheetId="9">#REF!</definedName>
    <definedName name="S17R22" localSheetId="10">#REF!</definedName>
    <definedName name="S17R22" localSheetId="8">#REF!</definedName>
    <definedName name="S17R22">#REF!</definedName>
    <definedName name="S17R23" localSheetId="4">#REF!</definedName>
    <definedName name="S17R23" localSheetId="5">#REF!</definedName>
    <definedName name="S17R23" localSheetId="0">#REF!</definedName>
    <definedName name="S17R23" localSheetId="9">#REF!</definedName>
    <definedName name="S17R23" localSheetId="10">#REF!</definedName>
    <definedName name="S17R23" localSheetId="8">#REF!</definedName>
    <definedName name="S17R23">#REF!</definedName>
    <definedName name="S17R24" localSheetId="4">#REF!</definedName>
    <definedName name="S17R24" localSheetId="5">#REF!</definedName>
    <definedName name="S17R24" localSheetId="0">#REF!</definedName>
    <definedName name="S17R24" localSheetId="9">#REF!</definedName>
    <definedName name="S17R24" localSheetId="10">#REF!</definedName>
    <definedName name="S17R24" localSheetId="8">#REF!</definedName>
    <definedName name="S17R24">#REF!</definedName>
    <definedName name="S17R3" localSheetId="4">#REF!</definedName>
    <definedName name="S17R3" localSheetId="5">#REF!</definedName>
    <definedName name="S17R3" localSheetId="0">#REF!</definedName>
    <definedName name="S17R3" localSheetId="9">#REF!</definedName>
    <definedName name="S17R3" localSheetId="10">#REF!</definedName>
    <definedName name="S17R3" localSheetId="8">#REF!</definedName>
    <definedName name="S17R3">#REF!</definedName>
    <definedName name="S17R4" localSheetId="4">#REF!</definedName>
    <definedName name="S17R4" localSheetId="5">#REF!</definedName>
    <definedName name="S17R4" localSheetId="0">#REF!</definedName>
    <definedName name="S17R4" localSheetId="9">#REF!</definedName>
    <definedName name="S17R4" localSheetId="10">#REF!</definedName>
    <definedName name="S17R4" localSheetId="8">#REF!</definedName>
    <definedName name="S17R4">#REF!</definedName>
    <definedName name="S17R5" localSheetId="4">#REF!</definedName>
    <definedName name="S17R5" localSheetId="5">#REF!</definedName>
    <definedName name="S17R5" localSheetId="0">#REF!</definedName>
    <definedName name="S17R5" localSheetId="9">#REF!</definedName>
    <definedName name="S17R5" localSheetId="10">#REF!</definedName>
    <definedName name="S17R5" localSheetId="8">#REF!</definedName>
    <definedName name="S17R5">#REF!</definedName>
    <definedName name="S17R6" localSheetId="4">#REF!</definedName>
    <definedName name="S17R6" localSheetId="5">#REF!</definedName>
    <definedName name="S17R6" localSheetId="0">#REF!</definedName>
    <definedName name="S17R6" localSheetId="9">#REF!</definedName>
    <definedName name="S17R6" localSheetId="10">#REF!</definedName>
    <definedName name="S17R6" localSheetId="8">#REF!</definedName>
    <definedName name="S17R6">#REF!</definedName>
    <definedName name="S17R7" localSheetId="4">#REF!</definedName>
    <definedName name="S17R7" localSheetId="5">#REF!</definedName>
    <definedName name="S17R7" localSheetId="0">#REF!</definedName>
    <definedName name="S17R7" localSheetId="9">#REF!</definedName>
    <definedName name="S17R7" localSheetId="10">#REF!</definedName>
    <definedName name="S17R7" localSheetId="8">#REF!</definedName>
    <definedName name="S17R7">#REF!</definedName>
    <definedName name="S17R8" localSheetId="4">#REF!</definedName>
    <definedName name="S17R8" localSheetId="5">#REF!</definedName>
    <definedName name="S17R8" localSheetId="0">#REF!</definedName>
    <definedName name="S17R8" localSheetId="9">#REF!</definedName>
    <definedName name="S17R8" localSheetId="10">#REF!</definedName>
    <definedName name="S17R8" localSheetId="8">#REF!</definedName>
    <definedName name="S17R8">#REF!</definedName>
    <definedName name="S17R9" localSheetId="4">#REF!</definedName>
    <definedName name="S17R9" localSheetId="5">#REF!</definedName>
    <definedName name="S17R9" localSheetId="0">#REF!</definedName>
    <definedName name="S17R9" localSheetId="9">#REF!</definedName>
    <definedName name="S17R9" localSheetId="10">#REF!</definedName>
    <definedName name="S17R9" localSheetId="8">#REF!</definedName>
    <definedName name="S17R9">#REF!</definedName>
    <definedName name="S18P1" localSheetId="4">#REF!</definedName>
    <definedName name="S18P1" localSheetId="5">#REF!</definedName>
    <definedName name="S18P1" localSheetId="0">#REF!</definedName>
    <definedName name="S18P1" localSheetId="9">#REF!</definedName>
    <definedName name="S18P1" localSheetId="10">#REF!</definedName>
    <definedName name="S18P1" localSheetId="8">#REF!</definedName>
    <definedName name="S18P1">#REF!</definedName>
    <definedName name="S18P10" localSheetId="4">#REF!</definedName>
    <definedName name="S18P10" localSheetId="5">#REF!</definedName>
    <definedName name="S18P10" localSheetId="0">#REF!</definedName>
    <definedName name="S18P10" localSheetId="9">#REF!</definedName>
    <definedName name="S18P10" localSheetId="10">#REF!</definedName>
    <definedName name="S18P10" localSheetId="8">#REF!</definedName>
    <definedName name="S18P10">#REF!</definedName>
    <definedName name="S18P11" localSheetId="4">#REF!</definedName>
    <definedName name="S18P11" localSheetId="5">#REF!</definedName>
    <definedName name="S18P11" localSheetId="0">#REF!</definedName>
    <definedName name="S18P11" localSheetId="9">#REF!</definedName>
    <definedName name="S18P11" localSheetId="10">#REF!</definedName>
    <definedName name="S18P11" localSheetId="8">#REF!</definedName>
    <definedName name="S18P11">#REF!</definedName>
    <definedName name="S18P12" localSheetId="4">#REF!</definedName>
    <definedName name="S18P12" localSheetId="5">#REF!</definedName>
    <definedName name="S18P12" localSheetId="0">#REF!</definedName>
    <definedName name="S18P12" localSheetId="9">#REF!</definedName>
    <definedName name="S18P12" localSheetId="10">#REF!</definedName>
    <definedName name="S18P12" localSheetId="8">#REF!</definedName>
    <definedName name="S18P12">#REF!</definedName>
    <definedName name="S18P13" localSheetId="4">#REF!</definedName>
    <definedName name="S18P13" localSheetId="5">#REF!</definedName>
    <definedName name="S18P13" localSheetId="0">#REF!</definedName>
    <definedName name="S18P13" localSheetId="9">#REF!</definedName>
    <definedName name="S18P13" localSheetId="10">#REF!</definedName>
    <definedName name="S18P13" localSheetId="8">#REF!</definedName>
    <definedName name="S18P13">#REF!</definedName>
    <definedName name="S18P14" localSheetId="4">#REF!</definedName>
    <definedName name="S18P14" localSheetId="5">#REF!</definedName>
    <definedName name="S18P14" localSheetId="0">#REF!</definedName>
    <definedName name="S18P14" localSheetId="9">#REF!</definedName>
    <definedName name="S18P14" localSheetId="10">#REF!</definedName>
    <definedName name="S18P14" localSheetId="8">#REF!</definedName>
    <definedName name="S18P14">#REF!</definedName>
    <definedName name="S18P15" localSheetId="4">#REF!</definedName>
    <definedName name="S18P15" localSheetId="5">#REF!</definedName>
    <definedName name="S18P15" localSheetId="0">#REF!</definedName>
    <definedName name="S18P15" localSheetId="9">#REF!</definedName>
    <definedName name="S18P15" localSheetId="10">#REF!</definedName>
    <definedName name="S18P15" localSheetId="8">#REF!</definedName>
    <definedName name="S18P15">#REF!</definedName>
    <definedName name="S18P16" localSheetId="4">#REF!</definedName>
    <definedName name="S18P16" localSheetId="5">#REF!</definedName>
    <definedName name="S18P16" localSheetId="0">#REF!</definedName>
    <definedName name="S18P16" localSheetId="9">#REF!</definedName>
    <definedName name="S18P16" localSheetId="10">#REF!</definedName>
    <definedName name="S18P16" localSheetId="8">#REF!</definedName>
    <definedName name="S18P16">#REF!</definedName>
    <definedName name="S18P17" localSheetId="4">#REF!</definedName>
    <definedName name="S18P17" localSheetId="5">#REF!</definedName>
    <definedName name="S18P17" localSheetId="0">#REF!</definedName>
    <definedName name="S18P17" localSheetId="9">#REF!</definedName>
    <definedName name="S18P17" localSheetId="10">#REF!</definedName>
    <definedName name="S18P17" localSheetId="8">#REF!</definedName>
    <definedName name="S18P17">#REF!</definedName>
    <definedName name="S18P18" localSheetId="4">#REF!</definedName>
    <definedName name="S18P18" localSheetId="5">#REF!</definedName>
    <definedName name="S18P18" localSheetId="0">#REF!</definedName>
    <definedName name="S18P18" localSheetId="9">#REF!</definedName>
    <definedName name="S18P18" localSheetId="10">#REF!</definedName>
    <definedName name="S18P18" localSheetId="8">#REF!</definedName>
    <definedName name="S18P18">#REF!</definedName>
    <definedName name="S18P19" localSheetId="4">#REF!</definedName>
    <definedName name="S18P19" localSheetId="5">#REF!</definedName>
    <definedName name="S18P19" localSheetId="0">#REF!</definedName>
    <definedName name="S18P19" localSheetId="9">#REF!</definedName>
    <definedName name="S18P19" localSheetId="10">#REF!</definedName>
    <definedName name="S18P19" localSheetId="8">#REF!</definedName>
    <definedName name="S18P19">#REF!</definedName>
    <definedName name="S18P2" localSheetId="4">#REF!</definedName>
    <definedName name="S18P2" localSheetId="5">#REF!</definedName>
    <definedName name="S18P2" localSheetId="0">#REF!</definedName>
    <definedName name="S18P2" localSheetId="9">#REF!</definedName>
    <definedName name="S18P2" localSheetId="10">#REF!</definedName>
    <definedName name="S18P2" localSheetId="8">#REF!</definedName>
    <definedName name="S18P2">#REF!</definedName>
    <definedName name="S18P20" localSheetId="4">#REF!</definedName>
    <definedName name="S18P20" localSheetId="5">#REF!</definedName>
    <definedName name="S18P20" localSheetId="0">#REF!</definedName>
    <definedName name="S18P20" localSheetId="9">#REF!</definedName>
    <definedName name="S18P20" localSheetId="10">#REF!</definedName>
    <definedName name="S18P20" localSheetId="8">#REF!</definedName>
    <definedName name="S18P20">#REF!</definedName>
    <definedName name="S18P21" localSheetId="4">#REF!</definedName>
    <definedName name="S18P21" localSheetId="5">#REF!</definedName>
    <definedName name="S18P21" localSheetId="0">#REF!</definedName>
    <definedName name="S18P21" localSheetId="9">#REF!</definedName>
    <definedName name="S18P21" localSheetId="10">#REF!</definedName>
    <definedName name="S18P21" localSheetId="8">#REF!</definedName>
    <definedName name="S18P21">#REF!</definedName>
    <definedName name="S18P22" localSheetId="4">#REF!</definedName>
    <definedName name="S18P22" localSheetId="5">#REF!</definedName>
    <definedName name="S18P22" localSheetId="0">#REF!</definedName>
    <definedName name="S18P22" localSheetId="9">#REF!</definedName>
    <definedName name="S18P22" localSheetId="10">#REF!</definedName>
    <definedName name="S18P22" localSheetId="8">#REF!</definedName>
    <definedName name="S18P22">#REF!</definedName>
    <definedName name="S18P23" localSheetId="4">#REF!</definedName>
    <definedName name="S18P23" localSheetId="5">#REF!</definedName>
    <definedName name="S18P23" localSheetId="0">#REF!</definedName>
    <definedName name="S18P23" localSheetId="9">#REF!</definedName>
    <definedName name="S18P23" localSheetId="10">#REF!</definedName>
    <definedName name="S18P23" localSheetId="8">#REF!</definedName>
    <definedName name="S18P23">#REF!</definedName>
    <definedName name="S18P24" localSheetId="4">#REF!</definedName>
    <definedName name="S18P24" localSheetId="5">#REF!</definedName>
    <definedName name="S18P24" localSheetId="0">#REF!</definedName>
    <definedName name="S18P24" localSheetId="9">#REF!</definedName>
    <definedName name="S18P24" localSheetId="10">#REF!</definedName>
    <definedName name="S18P24" localSheetId="8">#REF!</definedName>
    <definedName name="S18P24">#REF!</definedName>
    <definedName name="S18P3" localSheetId="4">#REF!</definedName>
    <definedName name="S18P3" localSheetId="5">#REF!</definedName>
    <definedName name="S18P3" localSheetId="0">#REF!</definedName>
    <definedName name="S18P3" localSheetId="9">#REF!</definedName>
    <definedName name="S18P3" localSheetId="10">#REF!</definedName>
    <definedName name="S18P3" localSheetId="8">#REF!</definedName>
    <definedName name="S18P3">#REF!</definedName>
    <definedName name="S18P4" localSheetId="4">#REF!</definedName>
    <definedName name="S18P4" localSheetId="5">#REF!</definedName>
    <definedName name="S18P4" localSheetId="0">#REF!</definedName>
    <definedName name="S18P4" localSheetId="9">#REF!</definedName>
    <definedName name="S18P4" localSheetId="10">#REF!</definedName>
    <definedName name="S18P4" localSheetId="8">#REF!</definedName>
    <definedName name="S18P4">#REF!</definedName>
    <definedName name="S18P5" localSheetId="4">#REF!</definedName>
    <definedName name="S18P5" localSheetId="5">#REF!</definedName>
    <definedName name="S18P5" localSheetId="0">#REF!</definedName>
    <definedName name="S18P5" localSheetId="9">#REF!</definedName>
    <definedName name="S18P5" localSheetId="10">#REF!</definedName>
    <definedName name="S18P5" localSheetId="8">#REF!</definedName>
    <definedName name="S18P5">#REF!</definedName>
    <definedName name="S18P6" localSheetId="4">#REF!</definedName>
    <definedName name="S18P6" localSheetId="5">#REF!</definedName>
    <definedName name="S18P6" localSheetId="0">#REF!</definedName>
    <definedName name="S18P6" localSheetId="9">#REF!</definedName>
    <definedName name="S18P6" localSheetId="10">#REF!</definedName>
    <definedName name="S18P6" localSheetId="8">#REF!</definedName>
    <definedName name="S18P6">#REF!</definedName>
    <definedName name="S18P7" localSheetId="4">#REF!</definedName>
    <definedName name="S18P7" localSheetId="5">#REF!</definedName>
    <definedName name="S18P7" localSheetId="0">#REF!</definedName>
    <definedName name="S18P7" localSheetId="9">#REF!</definedName>
    <definedName name="S18P7" localSheetId="10">#REF!</definedName>
    <definedName name="S18P7" localSheetId="8">#REF!</definedName>
    <definedName name="S18P7">#REF!</definedName>
    <definedName name="S18P8" localSheetId="4">#REF!</definedName>
    <definedName name="S18P8" localSheetId="5">#REF!</definedName>
    <definedName name="S18P8" localSheetId="0">#REF!</definedName>
    <definedName name="S18P8" localSheetId="9">#REF!</definedName>
    <definedName name="S18P8" localSheetId="10">#REF!</definedName>
    <definedName name="S18P8" localSheetId="8">#REF!</definedName>
    <definedName name="S18P8">#REF!</definedName>
    <definedName name="S18P9" localSheetId="4">#REF!</definedName>
    <definedName name="S18P9" localSheetId="5">#REF!</definedName>
    <definedName name="S18P9" localSheetId="0">#REF!</definedName>
    <definedName name="S18P9" localSheetId="9">#REF!</definedName>
    <definedName name="S18P9" localSheetId="10">#REF!</definedName>
    <definedName name="S18P9" localSheetId="8">#REF!</definedName>
    <definedName name="S18P9">#REF!</definedName>
    <definedName name="S18R1" localSheetId="4">#REF!</definedName>
    <definedName name="S18R1" localSheetId="5">#REF!</definedName>
    <definedName name="S18R1" localSheetId="0">#REF!</definedName>
    <definedName name="S18R1" localSheetId="9">#REF!</definedName>
    <definedName name="S18R1" localSheetId="10">#REF!</definedName>
    <definedName name="S18R1" localSheetId="8">#REF!</definedName>
    <definedName name="S18R1">#REF!</definedName>
    <definedName name="S18R10" localSheetId="4">#REF!</definedName>
    <definedName name="S18R10" localSheetId="5">#REF!</definedName>
    <definedName name="S18R10" localSheetId="0">#REF!</definedName>
    <definedName name="S18R10" localSheetId="9">#REF!</definedName>
    <definedName name="S18R10" localSheetId="10">#REF!</definedName>
    <definedName name="S18R10" localSheetId="8">#REF!</definedName>
    <definedName name="S18R10">#REF!</definedName>
    <definedName name="S18R11" localSheetId="4">#REF!</definedName>
    <definedName name="S18R11" localSheetId="5">#REF!</definedName>
    <definedName name="S18R11" localSheetId="0">#REF!</definedName>
    <definedName name="S18R11" localSheetId="9">#REF!</definedName>
    <definedName name="S18R11" localSheetId="10">#REF!</definedName>
    <definedName name="S18R11" localSheetId="8">#REF!</definedName>
    <definedName name="S18R11">#REF!</definedName>
    <definedName name="S18R12" localSheetId="4">#REF!</definedName>
    <definedName name="S18R12" localSheetId="5">#REF!</definedName>
    <definedName name="S18R12" localSheetId="0">#REF!</definedName>
    <definedName name="S18R12" localSheetId="9">#REF!</definedName>
    <definedName name="S18R12" localSheetId="10">#REF!</definedName>
    <definedName name="S18R12" localSheetId="8">#REF!</definedName>
    <definedName name="S18R12">#REF!</definedName>
    <definedName name="S18R13" localSheetId="4">#REF!</definedName>
    <definedName name="S18R13" localSheetId="5">#REF!</definedName>
    <definedName name="S18R13" localSheetId="0">#REF!</definedName>
    <definedName name="S18R13" localSheetId="9">#REF!</definedName>
    <definedName name="S18R13" localSheetId="10">#REF!</definedName>
    <definedName name="S18R13" localSheetId="8">#REF!</definedName>
    <definedName name="S18R13">#REF!</definedName>
    <definedName name="S18R14" localSheetId="4">#REF!</definedName>
    <definedName name="S18R14" localSheetId="5">#REF!</definedName>
    <definedName name="S18R14" localSheetId="0">#REF!</definedName>
    <definedName name="S18R14" localSheetId="9">#REF!</definedName>
    <definedName name="S18R14" localSheetId="10">#REF!</definedName>
    <definedName name="S18R14" localSheetId="8">#REF!</definedName>
    <definedName name="S18R14">#REF!</definedName>
    <definedName name="S18R15" localSheetId="4">#REF!</definedName>
    <definedName name="S18R15" localSheetId="5">#REF!</definedName>
    <definedName name="S18R15" localSheetId="0">#REF!</definedName>
    <definedName name="S18R15" localSheetId="9">#REF!</definedName>
    <definedName name="S18R15" localSheetId="10">#REF!</definedName>
    <definedName name="S18R15" localSheetId="8">#REF!</definedName>
    <definedName name="S18R15">#REF!</definedName>
    <definedName name="S18R16" localSheetId="4">#REF!</definedName>
    <definedName name="S18R16" localSheetId="5">#REF!</definedName>
    <definedName name="S18R16" localSheetId="0">#REF!</definedName>
    <definedName name="S18R16" localSheetId="9">#REF!</definedName>
    <definedName name="S18R16" localSheetId="10">#REF!</definedName>
    <definedName name="S18R16" localSheetId="8">#REF!</definedName>
    <definedName name="S18R16">#REF!</definedName>
    <definedName name="S18R17" localSheetId="4">#REF!</definedName>
    <definedName name="S18R17" localSheetId="5">#REF!</definedName>
    <definedName name="S18R17" localSheetId="0">#REF!</definedName>
    <definedName name="S18R17" localSheetId="9">#REF!</definedName>
    <definedName name="S18R17" localSheetId="10">#REF!</definedName>
    <definedName name="S18R17" localSheetId="8">#REF!</definedName>
    <definedName name="S18R17">#REF!</definedName>
    <definedName name="S18R18" localSheetId="4">#REF!</definedName>
    <definedName name="S18R18" localSheetId="5">#REF!</definedName>
    <definedName name="S18R18" localSheetId="0">#REF!</definedName>
    <definedName name="S18R18" localSheetId="9">#REF!</definedName>
    <definedName name="S18R18" localSheetId="10">#REF!</definedName>
    <definedName name="S18R18" localSheetId="8">#REF!</definedName>
    <definedName name="S18R18">#REF!</definedName>
    <definedName name="S18R19" localSheetId="4">#REF!</definedName>
    <definedName name="S18R19" localSheetId="5">#REF!</definedName>
    <definedName name="S18R19" localSheetId="0">#REF!</definedName>
    <definedName name="S18R19" localSheetId="9">#REF!</definedName>
    <definedName name="S18R19" localSheetId="10">#REF!</definedName>
    <definedName name="S18R19" localSheetId="8">#REF!</definedName>
    <definedName name="S18R19">#REF!</definedName>
    <definedName name="S18R2" localSheetId="4">#REF!</definedName>
    <definedName name="S18R2" localSheetId="5">#REF!</definedName>
    <definedName name="S18R2" localSheetId="0">#REF!</definedName>
    <definedName name="S18R2" localSheetId="9">#REF!</definedName>
    <definedName name="S18R2" localSheetId="10">#REF!</definedName>
    <definedName name="S18R2" localSheetId="8">#REF!</definedName>
    <definedName name="S18R2">#REF!</definedName>
    <definedName name="S18R20" localSheetId="4">#REF!</definedName>
    <definedName name="S18R20" localSheetId="5">#REF!</definedName>
    <definedName name="S18R20" localSheetId="0">#REF!</definedName>
    <definedName name="S18R20" localSheetId="9">#REF!</definedName>
    <definedName name="S18R20" localSheetId="10">#REF!</definedName>
    <definedName name="S18R20" localSheetId="8">#REF!</definedName>
    <definedName name="S18R20">#REF!</definedName>
    <definedName name="S18R21" localSheetId="4">#REF!</definedName>
    <definedName name="S18R21" localSheetId="5">#REF!</definedName>
    <definedName name="S18R21" localSheetId="0">#REF!</definedName>
    <definedName name="S18R21" localSheetId="9">#REF!</definedName>
    <definedName name="S18R21" localSheetId="10">#REF!</definedName>
    <definedName name="S18R21" localSheetId="8">#REF!</definedName>
    <definedName name="S18R21">#REF!</definedName>
    <definedName name="S18R22" localSheetId="4">#REF!</definedName>
    <definedName name="S18R22" localSheetId="5">#REF!</definedName>
    <definedName name="S18R22" localSheetId="0">#REF!</definedName>
    <definedName name="S18R22" localSheetId="9">#REF!</definedName>
    <definedName name="S18R22" localSheetId="10">#REF!</definedName>
    <definedName name="S18R22" localSheetId="8">#REF!</definedName>
    <definedName name="S18R22">#REF!</definedName>
    <definedName name="S18R23" localSheetId="4">#REF!</definedName>
    <definedName name="S18R23" localSheetId="5">#REF!</definedName>
    <definedName name="S18R23" localSheetId="0">#REF!</definedName>
    <definedName name="S18R23" localSheetId="9">#REF!</definedName>
    <definedName name="S18R23" localSheetId="10">#REF!</definedName>
    <definedName name="S18R23" localSheetId="8">#REF!</definedName>
    <definedName name="S18R23">#REF!</definedName>
    <definedName name="S18R24" localSheetId="4">#REF!</definedName>
    <definedName name="S18R24" localSheetId="5">#REF!</definedName>
    <definedName name="S18R24" localSheetId="0">#REF!</definedName>
    <definedName name="S18R24" localSheetId="9">#REF!</definedName>
    <definedName name="S18R24" localSheetId="10">#REF!</definedName>
    <definedName name="S18R24" localSheetId="8">#REF!</definedName>
    <definedName name="S18R24">#REF!</definedName>
    <definedName name="S18R3" localSheetId="4">#REF!</definedName>
    <definedName name="S18R3" localSheetId="5">#REF!</definedName>
    <definedName name="S18R3" localSheetId="0">#REF!</definedName>
    <definedName name="S18R3" localSheetId="9">#REF!</definedName>
    <definedName name="S18R3" localSheetId="10">#REF!</definedName>
    <definedName name="S18R3" localSheetId="8">#REF!</definedName>
    <definedName name="S18R3">#REF!</definedName>
    <definedName name="S18R4" localSheetId="4">#REF!</definedName>
    <definedName name="S18R4" localSheetId="5">#REF!</definedName>
    <definedName name="S18R4" localSheetId="0">#REF!</definedName>
    <definedName name="S18R4" localSheetId="9">#REF!</definedName>
    <definedName name="S18R4" localSheetId="10">#REF!</definedName>
    <definedName name="S18R4" localSheetId="8">#REF!</definedName>
    <definedName name="S18R4">#REF!</definedName>
    <definedName name="S18R5" localSheetId="4">#REF!</definedName>
    <definedName name="S18R5" localSheetId="5">#REF!</definedName>
    <definedName name="S18R5" localSheetId="0">#REF!</definedName>
    <definedName name="S18R5" localSheetId="9">#REF!</definedName>
    <definedName name="S18R5" localSheetId="10">#REF!</definedName>
    <definedName name="S18R5" localSheetId="8">#REF!</definedName>
    <definedName name="S18R5">#REF!</definedName>
    <definedName name="S18R6" localSheetId="4">#REF!</definedName>
    <definedName name="S18R6" localSheetId="5">#REF!</definedName>
    <definedName name="S18R6" localSheetId="0">#REF!</definedName>
    <definedName name="S18R6" localSheetId="9">#REF!</definedName>
    <definedName name="S18R6" localSheetId="10">#REF!</definedName>
    <definedName name="S18R6" localSheetId="8">#REF!</definedName>
    <definedName name="S18R6">#REF!</definedName>
    <definedName name="S18R7" localSheetId="4">#REF!</definedName>
    <definedName name="S18R7" localSheetId="5">#REF!</definedName>
    <definedName name="S18R7" localSheetId="0">#REF!</definedName>
    <definedName name="S18R7" localSheetId="9">#REF!</definedName>
    <definedName name="S18R7" localSheetId="10">#REF!</definedName>
    <definedName name="S18R7" localSheetId="8">#REF!</definedName>
    <definedName name="S18R7">#REF!</definedName>
    <definedName name="S18R8" localSheetId="4">#REF!</definedName>
    <definedName name="S18R8" localSheetId="5">#REF!</definedName>
    <definedName name="S18R8" localSheetId="0">#REF!</definedName>
    <definedName name="S18R8" localSheetId="9">#REF!</definedName>
    <definedName name="S18R8" localSheetId="10">#REF!</definedName>
    <definedName name="S18R8" localSheetId="8">#REF!</definedName>
    <definedName name="S18R8">#REF!</definedName>
    <definedName name="S18R9" localSheetId="4">#REF!</definedName>
    <definedName name="S18R9" localSheetId="5">#REF!</definedName>
    <definedName name="S18R9" localSheetId="0">#REF!</definedName>
    <definedName name="S18R9" localSheetId="9">#REF!</definedName>
    <definedName name="S18R9" localSheetId="10">#REF!</definedName>
    <definedName name="S18R9" localSheetId="8">#REF!</definedName>
    <definedName name="S18R9">#REF!</definedName>
    <definedName name="S19P1" localSheetId="4">#REF!</definedName>
    <definedName name="S19P1" localSheetId="5">#REF!</definedName>
    <definedName name="S19P1" localSheetId="0">#REF!</definedName>
    <definedName name="S19P1" localSheetId="9">#REF!</definedName>
    <definedName name="S19P1" localSheetId="10">#REF!</definedName>
    <definedName name="S19P1" localSheetId="8">#REF!</definedName>
    <definedName name="S19P1">#REF!</definedName>
    <definedName name="S19P10" localSheetId="4">#REF!</definedName>
    <definedName name="S19P10" localSheetId="5">#REF!</definedName>
    <definedName name="S19P10" localSheetId="0">#REF!</definedName>
    <definedName name="S19P10" localSheetId="9">#REF!</definedName>
    <definedName name="S19P10" localSheetId="10">#REF!</definedName>
    <definedName name="S19P10" localSheetId="8">#REF!</definedName>
    <definedName name="S19P10">#REF!</definedName>
    <definedName name="S19P11" localSheetId="4">#REF!</definedName>
    <definedName name="S19P11" localSheetId="5">#REF!</definedName>
    <definedName name="S19P11" localSheetId="0">#REF!</definedName>
    <definedName name="S19P11" localSheetId="9">#REF!</definedName>
    <definedName name="S19P11" localSheetId="10">#REF!</definedName>
    <definedName name="S19P11" localSheetId="8">#REF!</definedName>
    <definedName name="S19P11">#REF!</definedName>
    <definedName name="S19P12" localSheetId="4">#REF!</definedName>
    <definedName name="S19P12" localSheetId="5">#REF!</definedName>
    <definedName name="S19P12" localSheetId="0">#REF!</definedName>
    <definedName name="S19P12" localSheetId="9">#REF!</definedName>
    <definedName name="S19P12" localSheetId="10">#REF!</definedName>
    <definedName name="S19P12" localSheetId="8">#REF!</definedName>
    <definedName name="S19P12">#REF!</definedName>
    <definedName name="S19P13" localSheetId="4">#REF!</definedName>
    <definedName name="S19P13" localSheetId="5">#REF!</definedName>
    <definedName name="S19P13" localSheetId="0">#REF!</definedName>
    <definedName name="S19P13" localSheetId="9">#REF!</definedName>
    <definedName name="S19P13" localSheetId="10">#REF!</definedName>
    <definedName name="S19P13" localSheetId="8">#REF!</definedName>
    <definedName name="S19P13">#REF!</definedName>
    <definedName name="S19P14" localSheetId="4">#REF!</definedName>
    <definedName name="S19P14" localSheetId="5">#REF!</definedName>
    <definedName name="S19P14" localSheetId="0">#REF!</definedName>
    <definedName name="S19P14" localSheetId="9">#REF!</definedName>
    <definedName name="S19P14" localSheetId="10">#REF!</definedName>
    <definedName name="S19P14" localSheetId="8">#REF!</definedName>
    <definedName name="S19P14">#REF!</definedName>
    <definedName name="S19P15" localSheetId="4">#REF!</definedName>
    <definedName name="S19P15" localSheetId="5">#REF!</definedName>
    <definedName name="S19P15" localSheetId="0">#REF!</definedName>
    <definedName name="S19P15" localSheetId="9">#REF!</definedName>
    <definedName name="S19P15" localSheetId="10">#REF!</definedName>
    <definedName name="S19P15" localSheetId="8">#REF!</definedName>
    <definedName name="S19P15">#REF!</definedName>
    <definedName name="S19P16" localSheetId="4">#REF!</definedName>
    <definedName name="S19P16" localSheetId="5">#REF!</definedName>
    <definedName name="S19P16" localSheetId="0">#REF!</definedName>
    <definedName name="S19P16" localSheetId="9">#REF!</definedName>
    <definedName name="S19P16" localSheetId="10">#REF!</definedName>
    <definedName name="S19P16" localSheetId="8">#REF!</definedName>
    <definedName name="S19P16">#REF!</definedName>
    <definedName name="S19P17" localSheetId="4">#REF!</definedName>
    <definedName name="S19P17" localSheetId="5">#REF!</definedName>
    <definedName name="S19P17" localSheetId="0">#REF!</definedName>
    <definedName name="S19P17" localSheetId="9">#REF!</definedName>
    <definedName name="S19P17" localSheetId="10">#REF!</definedName>
    <definedName name="S19P17" localSheetId="8">#REF!</definedName>
    <definedName name="S19P17">#REF!</definedName>
    <definedName name="S19P18" localSheetId="4">#REF!</definedName>
    <definedName name="S19P18" localSheetId="5">#REF!</definedName>
    <definedName name="S19P18" localSheetId="0">#REF!</definedName>
    <definedName name="S19P18" localSheetId="9">#REF!</definedName>
    <definedName name="S19P18" localSheetId="10">#REF!</definedName>
    <definedName name="S19P18" localSheetId="8">#REF!</definedName>
    <definedName name="S19P18">#REF!</definedName>
    <definedName name="S19P19" localSheetId="4">#REF!</definedName>
    <definedName name="S19P19" localSheetId="5">#REF!</definedName>
    <definedName name="S19P19" localSheetId="0">#REF!</definedName>
    <definedName name="S19P19" localSheetId="9">#REF!</definedName>
    <definedName name="S19P19" localSheetId="10">#REF!</definedName>
    <definedName name="S19P19" localSheetId="8">#REF!</definedName>
    <definedName name="S19P19">#REF!</definedName>
    <definedName name="S19P2" localSheetId="4">#REF!</definedName>
    <definedName name="S19P2" localSheetId="5">#REF!</definedName>
    <definedName name="S19P2" localSheetId="0">#REF!</definedName>
    <definedName name="S19P2" localSheetId="9">#REF!</definedName>
    <definedName name="S19P2" localSheetId="10">#REF!</definedName>
    <definedName name="S19P2" localSheetId="8">#REF!</definedName>
    <definedName name="S19P2">#REF!</definedName>
    <definedName name="S19P20" localSheetId="4">#REF!</definedName>
    <definedName name="S19P20" localSheetId="5">#REF!</definedName>
    <definedName name="S19P20" localSheetId="0">#REF!</definedName>
    <definedName name="S19P20" localSheetId="9">#REF!</definedName>
    <definedName name="S19P20" localSheetId="10">#REF!</definedName>
    <definedName name="S19P20" localSheetId="8">#REF!</definedName>
    <definedName name="S19P20">#REF!</definedName>
    <definedName name="S19P21" localSheetId="4">#REF!</definedName>
    <definedName name="S19P21" localSheetId="5">#REF!</definedName>
    <definedName name="S19P21" localSheetId="0">#REF!</definedName>
    <definedName name="S19P21" localSheetId="9">#REF!</definedName>
    <definedName name="S19P21" localSheetId="10">#REF!</definedName>
    <definedName name="S19P21" localSheetId="8">#REF!</definedName>
    <definedName name="S19P21">#REF!</definedName>
    <definedName name="S19P22" localSheetId="4">#REF!</definedName>
    <definedName name="S19P22" localSheetId="5">#REF!</definedName>
    <definedName name="S19P22" localSheetId="0">#REF!</definedName>
    <definedName name="S19P22" localSheetId="9">#REF!</definedName>
    <definedName name="S19P22" localSheetId="10">#REF!</definedName>
    <definedName name="S19P22" localSheetId="8">#REF!</definedName>
    <definedName name="S19P22">#REF!</definedName>
    <definedName name="S19P23" localSheetId="4">#REF!</definedName>
    <definedName name="S19P23" localSheetId="5">#REF!</definedName>
    <definedName name="S19P23" localSheetId="0">#REF!</definedName>
    <definedName name="S19P23" localSheetId="9">#REF!</definedName>
    <definedName name="S19P23" localSheetId="10">#REF!</definedName>
    <definedName name="S19P23" localSheetId="8">#REF!</definedName>
    <definedName name="S19P23">#REF!</definedName>
    <definedName name="S19P24" localSheetId="4">#REF!</definedName>
    <definedName name="S19P24" localSheetId="5">#REF!</definedName>
    <definedName name="S19P24" localSheetId="0">#REF!</definedName>
    <definedName name="S19P24" localSheetId="9">#REF!</definedName>
    <definedName name="S19P24" localSheetId="10">#REF!</definedName>
    <definedName name="S19P24" localSheetId="8">#REF!</definedName>
    <definedName name="S19P24">#REF!</definedName>
    <definedName name="S19P3" localSheetId="4">#REF!</definedName>
    <definedName name="S19P3" localSheetId="5">#REF!</definedName>
    <definedName name="S19P3" localSheetId="0">#REF!</definedName>
    <definedName name="S19P3" localSheetId="9">#REF!</definedName>
    <definedName name="S19P3" localSheetId="10">#REF!</definedName>
    <definedName name="S19P3" localSheetId="8">#REF!</definedName>
    <definedName name="S19P3">#REF!</definedName>
    <definedName name="S19P4" localSheetId="4">#REF!</definedName>
    <definedName name="S19P4" localSheetId="5">#REF!</definedName>
    <definedName name="S19P4" localSheetId="0">#REF!</definedName>
    <definedName name="S19P4" localSheetId="9">#REF!</definedName>
    <definedName name="S19P4" localSheetId="10">#REF!</definedName>
    <definedName name="S19P4" localSheetId="8">#REF!</definedName>
    <definedName name="S19P4">#REF!</definedName>
    <definedName name="S19P5" localSheetId="4">#REF!</definedName>
    <definedName name="S19P5" localSheetId="5">#REF!</definedName>
    <definedName name="S19P5" localSheetId="0">#REF!</definedName>
    <definedName name="S19P5" localSheetId="9">#REF!</definedName>
    <definedName name="S19P5" localSheetId="10">#REF!</definedName>
    <definedName name="S19P5" localSheetId="8">#REF!</definedName>
    <definedName name="S19P5">#REF!</definedName>
    <definedName name="S19P6" localSheetId="4">#REF!</definedName>
    <definedName name="S19P6" localSheetId="5">#REF!</definedName>
    <definedName name="S19P6" localSheetId="0">#REF!</definedName>
    <definedName name="S19P6" localSheetId="9">#REF!</definedName>
    <definedName name="S19P6" localSheetId="10">#REF!</definedName>
    <definedName name="S19P6" localSheetId="8">#REF!</definedName>
    <definedName name="S19P6">#REF!</definedName>
    <definedName name="S19P7" localSheetId="4">#REF!</definedName>
    <definedName name="S19P7" localSheetId="5">#REF!</definedName>
    <definedName name="S19P7" localSheetId="0">#REF!</definedName>
    <definedName name="S19P7" localSheetId="9">#REF!</definedName>
    <definedName name="S19P7" localSheetId="10">#REF!</definedName>
    <definedName name="S19P7" localSheetId="8">#REF!</definedName>
    <definedName name="S19P7">#REF!</definedName>
    <definedName name="S19P8" localSheetId="4">#REF!</definedName>
    <definedName name="S19P8" localSheetId="5">#REF!</definedName>
    <definedName name="S19P8" localSheetId="0">#REF!</definedName>
    <definedName name="S19P8" localSheetId="9">#REF!</definedName>
    <definedName name="S19P8" localSheetId="10">#REF!</definedName>
    <definedName name="S19P8" localSheetId="8">#REF!</definedName>
    <definedName name="S19P8">#REF!</definedName>
    <definedName name="S19P9" localSheetId="4">#REF!</definedName>
    <definedName name="S19P9" localSheetId="5">#REF!</definedName>
    <definedName name="S19P9" localSheetId="0">#REF!</definedName>
    <definedName name="S19P9" localSheetId="9">#REF!</definedName>
    <definedName name="S19P9" localSheetId="10">#REF!</definedName>
    <definedName name="S19P9" localSheetId="8">#REF!</definedName>
    <definedName name="S19P9">#REF!</definedName>
    <definedName name="S19R1" localSheetId="4">#REF!</definedName>
    <definedName name="S19R1" localSheetId="5">#REF!</definedName>
    <definedName name="S19R1" localSheetId="0">#REF!</definedName>
    <definedName name="S19R1" localSheetId="9">#REF!</definedName>
    <definedName name="S19R1" localSheetId="10">#REF!</definedName>
    <definedName name="S19R1" localSheetId="8">#REF!</definedName>
    <definedName name="S19R1">#REF!</definedName>
    <definedName name="S19R10" localSheetId="4">#REF!</definedName>
    <definedName name="S19R10" localSheetId="5">#REF!</definedName>
    <definedName name="S19R10" localSheetId="0">#REF!</definedName>
    <definedName name="S19R10" localSheetId="9">#REF!</definedName>
    <definedName name="S19R10" localSheetId="10">#REF!</definedName>
    <definedName name="S19R10" localSheetId="8">#REF!</definedName>
    <definedName name="S19R10">#REF!</definedName>
    <definedName name="S19R11" localSheetId="4">#REF!</definedName>
    <definedName name="S19R11" localSheetId="5">#REF!</definedName>
    <definedName name="S19R11" localSheetId="0">#REF!</definedName>
    <definedName name="S19R11" localSheetId="9">#REF!</definedName>
    <definedName name="S19R11" localSheetId="10">#REF!</definedName>
    <definedName name="S19R11" localSheetId="8">#REF!</definedName>
    <definedName name="S19R11">#REF!</definedName>
    <definedName name="S19R12" localSheetId="4">#REF!</definedName>
    <definedName name="S19R12" localSheetId="5">#REF!</definedName>
    <definedName name="S19R12" localSheetId="0">#REF!</definedName>
    <definedName name="S19R12" localSheetId="9">#REF!</definedName>
    <definedName name="S19R12" localSheetId="10">#REF!</definedName>
    <definedName name="S19R12" localSheetId="8">#REF!</definedName>
    <definedName name="S19R12">#REF!</definedName>
    <definedName name="S19R13" localSheetId="4">#REF!</definedName>
    <definedName name="S19R13" localSheetId="5">#REF!</definedName>
    <definedName name="S19R13" localSheetId="0">#REF!</definedName>
    <definedName name="S19R13" localSheetId="9">#REF!</definedName>
    <definedName name="S19R13" localSheetId="10">#REF!</definedName>
    <definedName name="S19R13" localSheetId="8">#REF!</definedName>
    <definedName name="S19R13">#REF!</definedName>
    <definedName name="S19R14" localSheetId="4">#REF!</definedName>
    <definedName name="S19R14" localSheetId="5">#REF!</definedName>
    <definedName name="S19R14" localSheetId="0">#REF!</definedName>
    <definedName name="S19R14" localSheetId="9">#REF!</definedName>
    <definedName name="S19R14" localSheetId="10">#REF!</definedName>
    <definedName name="S19R14" localSheetId="8">#REF!</definedName>
    <definedName name="S19R14">#REF!</definedName>
    <definedName name="S19R15" localSheetId="4">#REF!</definedName>
    <definedName name="S19R15" localSheetId="5">#REF!</definedName>
    <definedName name="S19R15" localSheetId="0">#REF!</definedName>
    <definedName name="S19R15" localSheetId="9">#REF!</definedName>
    <definedName name="S19R15" localSheetId="10">#REF!</definedName>
    <definedName name="S19R15" localSheetId="8">#REF!</definedName>
    <definedName name="S19R15">#REF!</definedName>
    <definedName name="S19R16" localSheetId="4">#REF!</definedName>
    <definedName name="S19R16" localSheetId="5">#REF!</definedName>
    <definedName name="S19R16" localSheetId="0">#REF!</definedName>
    <definedName name="S19R16" localSheetId="9">#REF!</definedName>
    <definedName name="S19R16" localSheetId="10">#REF!</definedName>
    <definedName name="S19R16" localSheetId="8">#REF!</definedName>
    <definedName name="S19R16">#REF!</definedName>
    <definedName name="S19R17" localSheetId="4">#REF!</definedName>
    <definedName name="S19R17" localSheetId="5">#REF!</definedName>
    <definedName name="S19R17" localSheetId="0">#REF!</definedName>
    <definedName name="S19R17" localSheetId="9">#REF!</definedName>
    <definedName name="S19R17" localSheetId="10">#REF!</definedName>
    <definedName name="S19R17" localSheetId="8">#REF!</definedName>
    <definedName name="S19R17">#REF!</definedName>
    <definedName name="S19R18" localSheetId="4">#REF!</definedName>
    <definedName name="S19R18" localSheetId="5">#REF!</definedName>
    <definedName name="S19R18" localSheetId="0">#REF!</definedName>
    <definedName name="S19R18" localSheetId="9">#REF!</definedName>
    <definedName name="S19R18" localSheetId="10">#REF!</definedName>
    <definedName name="S19R18" localSheetId="8">#REF!</definedName>
    <definedName name="S19R18">#REF!</definedName>
    <definedName name="S19R19" localSheetId="4">#REF!</definedName>
    <definedName name="S19R19" localSheetId="5">#REF!</definedName>
    <definedName name="S19R19" localSheetId="0">#REF!</definedName>
    <definedName name="S19R19" localSheetId="9">#REF!</definedName>
    <definedName name="S19R19" localSheetId="10">#REF!</definedName>
    <definedName name="S19R19" localSheetId="8">#REF!</definedName>
    <definedName name="S19R19">#REF!</definedName>
    <definedName name="S19R2" localSheetId="4">#REF!</definedName>
    <definedName name="S19R2" localSheetId="5">#REF!</definedName>
    <definedName name="S19R2" localSheetId="0">#REF!</definedName>
    <definedName name="S19R2" localSheetId="9">#REF!</definedName>
    <definedName name="S19R2" localSheetId="10">#REF!</definedName>
    <definedName name="S19R2" localSheetId="8">#REF!</definedName>
    <definedName name="S19R2">#REF!</definedName>
    <definedName name="S19R20" localSheetId="4">#REF!</definedName>
    <definedName name="S19R20" localSheetId="5">#REF!</definedName>
    <definedName name="S19R20" localSheetId="0">#REF!</definedName>
    <definedName name="S19R20" localSheetId="9">#REF!</definedName>
    <definedName name="S19R20" localSheetId="10">#REF!</definedName>
    <definedName name="S19R20" localSheetId="8">#REF!</definedName>
    <definedName name="S19R20">#REF!</definedName>
    <definedName name="S19R21" localSheetId="4">#REF!</definedName>
    <definedName name="S19R21" localSheetId="5">#REF!</definedName>
    <definedName name="S19R21" localSheetId="0">#REF!</definedName>
    <definedName name="S19R21" localSheetId="9">#REF!</definedName>
    <definedName name="S19R21" localSheetId="10">#REF!</definedName>
    <definedName name="S19R21" localSheetId="8">#REF!</definedName>
    <definedName name="S19R21">#REF!</definedName>
    <definedName name="S19R22" localSheetId="4">#REF!</definedName>
    <definedName name="S19R22" localSheetId="5">#REF!</definedName>
    <definedName name="S19R22" localSheetId="0">#REF!</definedName>
    <definedName name="S19R22" localSheetId="9">#REF!</definedName>
    <definedName name="S19R22" localSheetId="10">#REF!</definedName>
    <definedName name="S19R22" localSheetId="8">#REF!</definedName>
    <definedName name="S19R22">#REF!</definedName>
    <definedName name="S19R23" localSheetId="4">#REF!</definedName>
    <definedName name="S19R23" localSheetId="5">#REF!</definedName>
    <definedName name="S19R23" localSheetId="0">#REF!</definedName>
    <definedName name="S19R23" localSheetId="9">#REF!</definedName>
    <definedName name="S19R23" localSheetId="10">#REF!</definedName>
    <definedName name="S19R23" localSheetId="8">#REF!</definedName>
    <definedName name="S19R23">#REF!</definedName>
    <definedName name="S19R24" localSheetId="4">#REF!</definedName>
    <definedName name="S19R24" localSheetId="5">#REF!</definedName>
    <definedName name="S19R24" localSheetId="0">#REF!</definedName>
    <definedName name="S19R24" localSheetId="9">#REF!</definedName>
    <definedName name="S19R24" localSheetId="10">#REF!</definedName>
    <definedName name="S19R24" localSheetId="8">#REF!</definedName>
    <definedName name="S19R24">#REF!</definedName>
    <definedName name="S19R3" localSheetId="4">#REF!</definedName>
    <definedName name="S19R3" localSheetId="5">#REF!</definedName>
    <definedName name="S19R3" localSheetId="0">#REF!</definedName>
    <definedName name="S19R3" localSheetId="9">#REF!</definedName>
    <definedName name="S19R3" localSheetId="10">#REF!</definedName>
    <definedName name="S19R3" localSheetId="8">#REF!</definedName>
    <definedName name="S19R3">#REF!</definedName>
    <definedName name="S19R4" localSheetId="4">#REF!</definedName>
    <definedName name="S19R4" localSheetId="5">#REF!</definedName>
    <definedName name="S19R4" localSheetId="0">#REF!</definedName>
    <definedName name="S19R4" localSheetId="9">#REF!</definedName>
    <definedName name="S19R4" localSheetId="10">#REF!</definedName>
    <definedName name="S19R4" localSheetId="8">#REF!</definedName>
    <definedName name="S19R4">#REF!</definedName>
    <definedName name="S19R5" localSheetId="4">#REF!</definedName>
    <definedName name="S19R5" localSheetId="5">#REF!</definedName>
    <definedName name="S19R5" localSheetId="0">#REF!</definedName>
    <definedName name="S19R5" localSheetId="9">#REF!</definedName>
    <definedName name="S19R5" localSheetId="10">#REF!</definedName>
    <definedName name="S19R5" localSheetId="8">#REF!</definedName>
    <definedName name="S19R5">#REF!</definedName>
    <definedName name="S19R6" localSheetId="4">#REF!</definedName>
    <definedName name="S19R6" localSheetId="5">#REF!</definedName>
    <definedName name="S19R6" localSheetId="0">#REF!</definedName>
    <definedName name="S19R6" localSheetId="9">#REF!</definedName>
    <definedName name="S19R6" localSheetId="10">#REF!</definedName>
    <definedName name="S19R6" localSheetId="8">#REF!</definedName>
    <definedName name="S19R6">#REF!</definedName>
    <definedName name="S19R7" localSheetId="4">#REF!</definedName>
    <definedName name="S19R7" localSheetId="5">#REF!</definedName>
    <definedName name="S19R7" localSheetId="0">#REF!</definedName>
    <definedName name="S19R7" localSheetId="9">#REF!</definedName>
    <definedName name="S19R7" localSheetId="10">#REF!</definedName>
    <definedName name="S19R7" localSheetId="8">#REF!</definedName>
    <definedName name="S19R7">#REF!</definedName>
    <definedName name="S19R8" localSheetId="4">#REF!</definedName>
    <definedName name="S19R8" localSheetId="5">#REF!</definedName>
    <definedName name="S19R8" localSheetId="0">#REF!</definedName>
    <definedName name="S19R8" localSheetId="9">#REF!</definedName>
    <definedName name="S19R8" localSheetId="10">#REF!</definedName>
    <definedName name="S19R8" localSheetId="8">#REF!</definedName>
    <definedName name="S19R8">#REF!</definedName>
    <definedName name="S19R9" localSheetId="4">#REF!</definedName>
    <definedName name="S19R9" localSheetId="5">#REF!</definedName>
    <definedName name="S19R9" localSheetId="0">#REF!</definedName>
    <definedName name="S19R9" localSheetId="9">#REF!</definedName>
    <definedName name="S19R9" localSheetId="10">#REF!</definedName>
    <definedName name="S19R9" localSheetId="8">#REF!</definedName>
    <definedName name="S19R9">#REF!</definedName>
    <definedName name="S1P1" localSheetId="4">#REF!</definedName>
    <definedName name="S1P1" localSheetId="5">#REF!</definedName>
    <definedName name="S1P1" localSheetId="0">#REF!</definedName>
    <definedName name="S1P1" localSheetId="9">#REF!</definedName>
    <definedName name="S1P1" localSheetId="10">#REF!</definedName>
    <definedName name="S1P1" localSheetId="8">#REF!</definedName>
    <definedName name="S1P1">#REF!</definedName>
    <definedName name="S1P10" localSheetId="4">#REF!</definedName>
    <definedName name="S1P10" localSheetId="5">#REF!</definedName>
    <definedName name="S1P10" localSheetId="0">#REF!</definedName>
    <definedName name="S1P10" localSheetId="9">#REF!</definedName>
    <definedName name="S1P10" localSheetId="10">#REF!</definedName>
    <definedName name="S1P10" localSheetId="8">#REF!</definedName>
    <definedName name="S1P10">#REF!</definedName>
    <definedName name="S1P11" localSheetId="4">#REF!</definedName>
    <definedName name="S1P11" localSheetId="5">#REF!</definedName>
    <definedName name="S1P11" localSheetId="0">#REF!</definedName>
    <definedName name="S1P11" localSheetId="9">#REF!</definedName>
    <definedName name="S1P11" localSheetId="10">#REF!</definedName>
    <definedName name="S1P11" localSheetId="8">#REF!</definedName>
    <definedName name="S1P11">#REF!</definedName>
    <definedName name="S1P12" localSheetId="4">#REF!</definedName>
    <definedName name="S1P12" localSheetId="5">#REF!</definedName>
    <definedName name="S1P12" localSheetId="0">#REF!</definedName>
    <definedName name="S1P12" localSheetId="9">#REF!</definedName>
    <definedName name="S1P12" localSheetId="10">#REF!</definedName>
    <definedName name="S1P12" localSheetId="8">#REF!</definedName>
    <definedName name="S1P12">#REF!</definedName>
    <definedName name="S1P13" localSheetId="4">#REF!</definedName>
    <definedName name="S1P13" localSheetId="5">#REF!</definedName>
    <definedName name="S1P13" localSheetId="0">#REF!</definedName>
    <definedName name="S1P13" localSheetId="9">#REF!</definedName>
    <definedName name="S1P13" localSheetId="10">#REF!</definedName>
    <definedName name="S1P13" localSheetId="8">#REF!</definedName>
    <definedName name="S1P13">#REF!</definedName>
    <definedName name="S1P14" localSheetId="4">#REF!</definedName>
    <definedName name="S1P14" localSheetId="5">#REF!</definedName>
    <definedName name="S1P14" localSheetId="0">#REF!</definedName>
    <definedName name="S1P14" localSheetId="9">#REF!</definedName>
    <definedName name="S1P14" localSheetId="10">#REF!</definedName>
    <definedName name="S1P14" localSheetId="8">#REF!</definedName>
    <definedName name="S1P14">#REF!</definedName>
    <definedName name="S1P15" localSheetId="4">#REF!</definedName>
    <definedName name="S1P15" localSheetId="5">#REF!</definedName>
    <definedName name="S1P15" localSheetId="0">#REF!</definedName>
    <definedName name="S1P15" localSheetId="9">#REF!</definedName>
    <definedName name="S1P15" localSheetId="10">#REF!</definedName>
    <definedName name="S1P15" localSheetId="8">#REF!</definedName>
    <definedName name="S1P15">#REF!</definedName>
    <definedName name="S1P16" localSheetId="4">#REF!</definedName>
    <definedName name="S1P16" localSheetId="5">#REF!</definedName>
    <definedName name="S1P16" localSheetId="0">#REF!</definedName>
    <definedName name="S1P16" localSheetId="9">#REF!</definedName>
    <definedName name="S1P16" localSheetId="10">#REF!</definedName>
    <definedName name="S1P16" localSheetId="8">#REF!</definedName>
    <definedName name="S1P16">#REF!</definedName>
    <definedName name="S1P17" localSheetId="4">#REF!</definedName>
    <definedName name="S1P17" localSheetId="5">#REF!</definedName>
    <definedName name="S1P17" localSheetId="0">#REF!</definedName>
    <definedName name="S1P17" localSheetId="9">#REF!</definedName>
    <definedName name="S1P17" localSheetId="10">#REF!</definedName>
    <definedName name="S1P17" localSheetId="8">#REF!</definedName>
    <definedName name="S1P17">#REF!</definedName>
    <definedName name="S1P18" localSheetId="4">#REF!</definedName>
    <definedName name="S1P18" localSheetId="5">#REF!</definedName>
    <definedName name="S1P18" localSheetId="0">#REF!</definedName>
    <definedName name="S1P18" localSheetId="9">#REF!</definedName>
    <definedName name="S1P18" localSheetId="10">#REF!</definedName>
    <definedName name="S1P18" localSheetId="8">#REF!</definedName>
    <definedName name="S1P18">#REF!</definedName>
    <definedName name="S1P19" localSheetId="4">#REF!</definedName>
    <definedName name="S1P19" localSheetId="5">#REF!</definedName>
    <definedName name="S1P19" localSheetId="0">#REF!</definedName>
    <definedName name="S1P19" localSheetId="9">#REF!</definedName>
    <definedName name="S1P19" localSheetId="10">#REF!</definedName>
    <definedName name="S1P19" localSheetId="8">#REF!</definedName>
    <definedName name="S1P19">#REF!</definedName>
    <definedName name="S1P2" localSheetId="4">#REF!</definedName>
    <definedName name="S1P2" localSheetId="5">#REF!</definedName>
    <definedName name="S1P2" localSheetId="0">#REF!</definedName>
    <definedName name="S1P2" localSheetId="9">#REF!</definedName>
    <definedName name="S1P2" localSheetId="10">#REF!</definedName>
    <definedName name="S1P2" localSheetId="8">#REF!</definedName>
    <definedName name="S1P2">#REF!</definedName>
    <definedName name="S1P20" localSheetId="4">#REF!</definedName>
    <definedName name="S1P20" localSheetId="5">#REF!</definedName>
    <definedName name="S1P20" localSheetId="0">#REF!</definedName>
    <definedName name="S1P20" localSheetId="9">#REF!</definedName>
    <definedName name="S1P20" localSheetId="10">#REF!</definedName>
    <definedName name="S1P20" localSheetId="8">#REF!</definedName>
    <definedName name="S1P20">#REF!</definedName>
    <definedName name="S1P21" localSheetId="4">#REF!</definedName>
    <definedName name="S1P21" localSheetId="5">#REF!</definedName>
    <definedName name="S1P21" localSheetId="0">#REF!</definedName>
    <definedName name="S1P21" localSheetId="9">#REF!</definedName>
    <definedName name="S1P21" localSheetId="10">#REF!</definedName>
    <definedName name="S1P21" localSheetId="8">#REF!</definedName>
    <definedName name="S1P21">#REF!</definedName>
    <definedName name="S1P22" localSheetId="4">#REF!</definedName>
    <definedName name="S1P22" localSheetId="5">#REF!</definedName>
    <definedName name="S1P22" localSheetId="0">#REF!</definedName>
    <definedName name="S1P22" localSheetId="9">#REF!</definedName>
    <definedName name="S1P22" localSheetId="10">#REF!</definedName>
    <definedName name="S1P22" localSheetId="8">#REF!</definedName>
    <definedName name="S1P22">#REF!</definedName>
    <definedName name="S1P23" localSheetId="4">#REF!</definedName>
    <definedName name="S1P23" localSheetId="5">#REF!</definedName>
    <definedName name="S1P23" localSheetId="0">#REF!</definedName>
    <definedName name="S1P23" localSheetId="9">#REF!</definedName>
    <definedName name="S1P23" localSheetId="10">#REF!</definedName>
    <definedName name="S1P23" localSheetId="8">#REF!</definedName>
    <definedName name="S1P23">#REF!</definedName>
    <definedName name="S1P24" localSheetId="4">#REF!</definedName>
    <definedName name="S1P24" localSheetId="5">#REF!</definedName>
    <definedName name="S1P24" localSheetId="0">#REF!</definedName>
    <definedName name="S1P24" localSheetId="9">#REF!</definedName>
    <definedName name="S1P24" localSheetId="10">#REF!</definedName>
    <definedName name="S1P24" localSheetId="8">#REF!</definedName>
    <definedName name="S1P24">#REF!</definedName>
    <definedName name="S1P3" localSheetId="4">#REF!</definedName>
    <definedName name="S1P3" localSheetId="5">#REF!</definedName>
    <definedName name="S1P3" localSheetId="0">#REF!</definedName>
    <definedName name="S1P3" localSheetId="9">#REF!</definedName>
    <definedName name="S1P3" localSheetId="10">#REF!</definedName>
    <definedName name="S1P3" localSheetId="8">#REF!</definedName>
    <definedName name="S1P3">#REF!</definedName>
    <definedName name="S1P4" localSheetId="4">#REF!</definedName>
    <definedName name="S1P4" localSheetId="5">#REF!</definedName>
    <definedName name="S1P4" localSheetId="0">#REF!</definedName>
    <definedName name="S1P4" localSheetId="9">#REF!</definedName>
    <definedName name="S1P4" localSheetId="10">#REF!</definedName>
    <definedName name="S1P4" localSheetId="8">#REF!</definedName>
    <definedName name="S1P4">#REF!</definedName>
    <definedName name="S1P5" localSheetId="4">#REF!</definedName>
    <definedName name="S1P5" localSheetId="5">#REF!</definedName>
    <definedName name="S1P5" localSheetId="0">#REF!</definedName>
    <definedName name="S1P5" localSheetId="9">#REF!</definedName>
    <definedName name="S1P5" localSheetId="10">#REF!</definedName>
    <definedName name="S1P5" localSheetId="8">#REF!</definedName>
    <definedName name="S1P5">#REF!</definedName>
    <definedName name="S1P6" localSheetId="4">#REF!</definedName>
    <definedName name="S1P6" localSheetId="5">#REF!</definedName>
    <definedName name="S1P6" localSheetId="0">#REF!</definedName>
    <definedName name="S1P6" localSheetId="9">#REF!</definedName>
    <definedName name="S1P6" localSheetId="10">#REF!</definedName>
    <definedName name="S1P6" localSheetId="8">#REF!</definedName>
    <definedName name="S1P6">#REF!</definedName>
    <definedName name="S1P7" localSheetId="4">#REF!</definedName>
    <definedName name="S1P7" localSheetId="5">#REF!</definedName>
    <definedName name="S1P7" localSheetId="0">#REF!</definedName>
    <definedName name="S1P7" localSheetId="9">#REF!</definedName>
    <definedName name="S1P7" localSheetId="10">#REF!</definedName>
    <definedName name="S1P7" localSheetId="8">#REF!</definedName>
    <definedName name="S1P7">#REF!</definedName>
    <definedName name="S1P8" localSheetId="4">#REF!</definedName>
    <definedName name="S1P8" localSheetId="5">#REF!</definedName>
    <definedName name="S1P8" localSheetId="0">#REF!</definedName>
    <definedName name="S1P8" localSheetId="9">#REF!</definedName>
    <definedName name="S1P8" localSheetId="10">#REF!</definedName>
    <definedName name="S1P8" localSheetId="8">#REF!</definedName>
    <definedName name="S1P8">#REF!</definedName>
    <definedName name="S1P9" localSheetId="4">#REF!</definedName>
    <definedName name="S1P9" localSheetId="5">#REF!</definedName>
    <definedName name="S1P9" localSheetId="0">#REF!</definedName>
    <definedName name="S1P9" localSheetId="9">#REF!</definedName>
    <definedName name="S1P9" localSheetId="10">#REF!</definedName>
    <definedName name="S1P9" localSheetId="8">#REF!</definedName>
    <definedName name="S1P9">#REF!</definedName>
    <definedName name="S1R1" localSheetId="4">#REF!</definedName>
    <definedName name="S1R1" localSheetId="5">#REF!</definedName>
    <definedName name="S1R1" localSheetId="0">#REF!</definedName>
    <definedName name="S1R1" localSheetId="9">#REF!</definedName>
    <definedName name="S1R1" localSheetId="10">#REF!</definedName>
    <definedName name="S1R1" localSheetId="8">#REF!</definedName>
    <definedName name="S1R1">#REF!</definedName>
    <definedName name="S1R10" localSheetId="4">#REF!</definedName>
    <definedName name="S1R10" localSheetId="5">#REF!</definedName>
    <definedName name="S1R10" localSheetId="0">#REF!</definedName>
    <definedName name="S1R10" localSheetId="9">#REF!</definedName>
    <definedName name="S1R10" localSheetId="10">#REF!</definedName>
    <definedName name="S1R10" localSheetId="8">#REF!</definedName>
    <definedName name="S1R10">#REF!</definedName>
    <definedName name="S1R11" localSheetId="4">#REF!</definedName>
    <definedName name="S1R11" localSheetId="5">#REF!</definedName>
    <definedName name="S1R11" localSheetId="0">#REF!</definedName>
    <definedName name="S1R11" localSheetId="9">#REF!</definedName>
    <definedName name="S1R11" localSheetId="10">#REF!</definedName>
    <definedName name="S1R11" localSheetId="8">#REF!</definedName>
    <definedName name="S1R11">#REF!</definedName>
    <definedName name="S1R12" localSheetId="4">#REF!</definedName>
    <definedName name="S1R12" localSheetId="5">#REF!</definedName>
    <definedName name="S1R12" localSheetId="0">#REF!</definedName>
    <definedName name="S1R12" localSheetId="9">#REF!</definedName>
    <definedName name="S1R12" localSheetId="10">#REF!</definedName>
    <definedName name="S1R12" localSheetId="8">#REF!</definedName>
    <definedName name="S1R12">#REF!</definedName>
    <definedName name="S1R13" localSheetId="4">#REF!</definedName>
    <definedName name="S1R13" localSheetId="5">#REF!</definedName>
    <definedName name="S1R13" localSheetId="0">#REF!</definedName>
    <definedName name="S1R13" localSheetId="9">#REF!</definedName>
    <definedName name="S1R13" localSheetId="10">#REF!</definedName>
    <definedName name="S1R13" localSheetId="8">#REF!</definedName>
    <definedName name="S1R13">#REF!</definedName>
    <definedName name="S1R14" localSheetId="4">#REF!</definedName>
    <definedName name="S1R14" localSheetId="5">#REF!</definedName>
    <definedName name="S1R14" localSheetId="0">#REF!</definedName>
    <definedName name="S1R14" localSheetId="9">#REF!</definedName>
    <definedName name="S1R14" localSheetId="10">#REF!</definedName>
    <definedName name="S1R14" localSheetId="8">#REF!</definedName>
    <definedName name="S1R14">#REF!</definedName>
    <definedName name="S1R15" localSheetId="4">#REF!</definedName>
    <definedName name="S1R15" localSheetId="5">#REF!</definedName>
    <definedName name="S1R15" localSheetId="0">#REF!</definedName>
    <definedName name="S1R15" localSheetId="9">#REF!</definedName>
    <definedName name="S1R15" localSheetId="10">#REF!</definedName>
    <definedName name="S1R15" localSheetId="8">#REF!</definedName>
    <definedName name="S1R15">#REF!</definedName>
    <definedName name="S1R16" localSheetId="4">#REF!</definedName>
    <definedName name="S1R16" localSheetId="5">#REF!</definedName>
    <definedName name="S1R16" localSheetId="0">#REF!</definedName>
    <definedName name="S1R16" localSheetId="9">#REF!</definedName>
    <definedName name="S1R16" localSheetId="10">#REF!</definedName>
    <definedName name="S1R16" localSheetId="8">#REF!</definedName>
    <definedName name="S1R16">#REF!</definedName>
    <definedName name="S1R17" localSheetId="4">#REF!</definedName>
    <definedName name="S1R17" localSheetId="5">#REF!</definedName>
    <definedName name="S1R17" localSheetId="0">#REF!</definedName>
    <definedName name="S1R17" localSheetId="9">#REF!</definedName>
    <definedName name="S1R17" localSheetId="10">#REF!</definedName>
    <definedName name="S1R17" localSheetId="8">#REF!</definedName>
    <definedName name="S1R17">#REF!</definedName>
    <definedName name="S1R18" localSheetId="4">#REF!</definedName>
    <definedName name="S1R18" localSheetId="5">#REF!</definedName>
    <definedName name="S1R18" localSheetId="0">#REF!</definedName>
    <definedName name="S1R18" localSheetId="9">#REF!</definedName>
    <definedName name="S1R18" localSheetId="10">#REF!</definedName>
    <definedName name="S1R18" localSheetId="8">#REF!</definedName>
    <definedName name="S1R18">#REF!</definedName>
    <definedName name="S1R19" localSheetId="4">#REF!</definedName>
    <definedName name="S1R19" localSheetId="5">#REF!</definedName>
    <definedName name="S1R19" localSheetId="0">#REF!</definedName>
    <definedName name="S1R19" localSheetId="9">#REF!</definedName>
    <definedName name="S1R19" localSheetId="10">#REF!</definedName>
    <definedName name="S1R19" localSheetId="8">#REF!</definedName>
    <definedName name="S1R19">#REF!</definedName>
    <definedName name="S1R2" localSheetId="4">#REF!</definedName>
    <definedName name="S1R2" localSheetId="5">#REF!</definedName>
    <definedName name="S1R2" localSheetId="0">#REF!</definedName>
    <definedName name="S1R2" localSheetId="9">#REF!</definedName>
    <definedName name="S1R2" localSheetId="10">#REF!</definedName>
    <definedName name="S1R2" localSheetId="8">#REF!</definedName>
    <definedName name="S1R2">#REF!</definedName>
    <definedName name="S1R20" localSheetId="4">#REF!</definedName>
    <definedName name="S1R20" localSheetId="5">#REF!</definedName>
    <definedName name="S1R20" localSheetId="0">#REF!</definedName>
    <definedName name="S1R20" localSheetId="9">#REF!</definedName>
    <definedName name="S1R20" localSheetId="10">#REF!</definedName>
    <definedName name="S1R20" localSheetId="8">#REF!</definedName>
    <definedName name="S1R20">#REF!</definedName>
    <definedName name="S1R21" localSheetId="4">#REF!</definedName>
    <definedName name="S1R21" localSheetId="5">#REF!</definedName>
    <definedName name="S1R21" localSheetId="0">#REF!</definedName>
    <definedName name="S1R21" localSheetId="9">#REF!</definedName>
    <definedName name="S1R21" localSheetId="10">#REF!</definedName>
    <definedName name="S1R21" localSheetId="8">#REF!</definedName>
    <definedName name="S1R21">#REF!</definedName>
    <definedName name="S1R22" localSheetId="4">#REF!</definedName>
    <definedName name="S1R22" localSheetId="5">#REF!</definedName>
    <definedName name="S1R22" localSheetId="0">#REF!</definedName>
    <definedName name="S1R22" localSheetId="9">#REF!</definedName>
    <definedName name="S1R22" localSheetId="10">#REF!</definedName>
    <definedName name="S1R22" localSheetId="8">#REF!</definedName>
    <definedName name="S1R22">#REF!</definedName>
    <definedName name="S1R23" localSheetId="4">#REF!</definedName>
    <definedName name="S1R23" localSheetId="5">#REF!</definedName>
    <definedName name="S1R23" localSheetId="0">#REF!</definedName>
    <definedName name="S1R23" localSheetId="9">#REF!</definedName>
    <definedName name="S1R23" localSheetId="10">#REF!</definedName>
    <definedName name="S1R23" localSheetId="8">#REF!</definedName>
    <definedName name="S1R23">#REF!</definedName>
    <definedName name="S1R24" localSheetId="4">#REF!</definedName>
    <definedName name="S1R24" localSheetId="5">#REF!</definedName>
    <definedName name="S1R24" localSheetId="0">#REF!</definedName>
    <definedName name="S1R24" localSheetId="9">#REF!</definedName>
    <definedName name="S1R24" localSheetId="10">#REF!</definedName>
    <definedName name="S1R24" localSheetId="8">#REF!</definedName>
    <definedName name="S1R24">#REF!</definedName>
    <definedName name="S1R3" localSheetId="4">#REF!</definedName>
    <definedName name="S1R3" localSheetId="5">#REF!</definedName>
    <definedName name="S1R3" localSheetId="0">#REF!</definedName>
    <definedName name="S1R3" localSheetId="9">#REF!</definedName>
    <definedName name="S1R3" localSheetId="10">#REF!</definedName>
    <definedName name="S1R3" localSheetId="8">#REF!</definedName>
    <definedName name="S1R3">#REF!</definedName>
    <definedName name="S1R4" localSheetId="4">#REF!</definedName>
    <definedName name="S1R4" localSheetId="5">#REF!</definedName>
    <definedName name="S1R4" localSheetId="0">#REF!</definedName>
    <definedName name="S1R4" localSheetId="9">#REF!</definedName>
    <definedName name="S1R4" localSheetId="10">#REF!</definedName>
    <definedName name="S1R4" localSheetId="8">#REF!</definedName>
    <definedName name="S1R4">#REF!</definedName>
    <definedName name="S1R5" localSheetId="4">#REF!</definedName>
    <definedName name="S1R5" localSheetId="5">#REF!</definedName>
    <definedName name="S1R5" localSheetId="0">#REF!</definedName>
    <definedName name="S1R5" localSheetId="9">#REF!</definedName>
    <definedName name="S1R5" localSheetId="10">#REF!</definedName>
    <definedName name="S1R5" localSheetId="8">#REF!</definedName>
    <definedName name="S1R5">#REF!</definedName>
    <definedName name="S1R6" localSheetId="4">#REF!</definedName>
    <definedName name="S1R6" localSheetId="5">#REF!</definedName>
    <definedName name="S1R6" localSheetId="0">#REF!</definedName>
    <definedName name="S1R6" localSheetId="9">#REF!</definedName>
    <definedName name="S1R6" localSheetId="10">#REF!</definedName>
    <definedName name="S1R6" localSheetId="8">#REF!</definedName>
    <definedName name="S1R6">#REF!</definedName>
    <definedName name="S1R7" localSheetId="4">#REF!</definedName>
    <definedName name="S1R7" localSheetId="5">#REF!</definedName>
    <definedName name="S1R7" localSheetId="0">#REF!</definedName>
    <definedName name="S1R7" localSheetId="9">#REF!</definedName>
    <definedName name="S1R7" localSheetId="10">#REF!</definedName>
    <definedName name="S1R7" localSheetId="8">#REF!</definedName>
    <definedName name="S1R7">#REF!</definedName>
    <definedName name="S1R8" localSheetId="4">#REF!</definedName>
    <definedName name="S1R8" localSheetId="5">#REF!</definedName>
    <definedName name="S1R8" localSheetId="0">#REF!</definedName>
    <definedName name="S1R8" localSheetId="9">#REF!</definedName>
    <definedName name="S1R8" localSheetId="10">#REF!</definedName>
    <definedName name="S1R8" localSheetId="8">#REF!</definedName>
    <definedName name="S1R8">#REF!</definedName>
    <definedName name="S1R9" localSheetId="4">#REF!</definedName>
    <definedName name="S1R9" localSheetId="5">#REF!</definedName>
    <definedName name="S1R9" localSheetId="0">#REF!</definedName>
    <definedName name="S1R9" localSheetId="9">#REF!</definedName>
    <definedName name="S1R9" localSheetId="10">#REF!</definedName>
    <definedName name="S1R9" localSheetId="8">#REF!</definedName>
    <definedName name="S1R9">#REF!</definedName>
    <definedName name="S20P1" localSheetId="4">#REF!</definedName>
    <definedName name="S20P1" localSheetId="5">#REF!</definedName>
    <definedName name="S20P1" localSheetId="0">#REF!</definedName>
    <definedName name="S20P1" localSheetId="9">#REF!</definedName>
    <definedName name="S20P1" localSheetId="10">#REF!</definedName>
    <definedName name="S20P1" localSheetId="8">#REF!</definedName>
    <definedName name="S20P1">#REF!</definedName>
    <definedName name="S20P10" localSheetId="4">#REF!</definedName>
    <definedName name="S20P10" localSheetId="5">#REF!</definedName>
    <definedName name="S20P10" localSheetId="0">#REF!</definedName>
    <definedName name="S20P10" localSheetId="9">#REF!</definedName>
    <definedName name="S20P10" localSheetId="10">#REF!</definedName>
    <definedName name="S20P10" localSheetId="8">#REF!</definedName>
    <definedName name="S20P10">#REF!</definedName>
    <definedName name="S20P11" localSheetId="4">#REF!</definedName>
    <definedName name="S20P11" localSheetId="5">#REF!</definedName>
    <definedName name="S20P11" localSheetId="0">#REF!</definedName>
    <definedName name="S20P11" localSheetId="9">#REF!</definedName>
    <definedName name="S20P11" localSheetId="10">#REF!</definedName>
    <definedName name="S20P11" localSheetId="8">#REF!</definedName>
    <definedName name="S20P11">#REF!</definedName>
    <definedName name="S20P12" localSheetId="4">#REF!</definedName>
    <definedName name="S20P12" localSheetId="5">#REF!</definedName>
    <definedName name="S20P12" localSheetId="0">#REF!</definedName>
    <definedName name="S20P12" localSheetId="9">#REF!</definedName>
    <definedName name="S20P12" localSheetId="10">#REF!</definedName>
    <definedName name="S20P12" localSheetId="8">#REF!</definedName>
    <definedName name="S20P12">#REF!</definedName>
    <definedName name="S20P13" localSheetId="4">#REF!</definedName>
    <definedName name="S20P13" localSheetId="5">#REF!</definedName>
    <definedName name="S20P13" localSheetId="0">#REF!</definedName>
    <definedName name="S20P13" localSheetId="9">#REF!</definedName>
    <definedName name="S20P13" localSheetId="10">#REF!</definedName>
    <definedName name="S20P13" localSheetId="8">#REF!</definedName>
    <definedName name="S20P13">#REF!</definedName>
    <definedName name="S20P14" localSheetId="4">#REF!</definedName>
    <definedName name="S20P14" localSheetId="5">#REF!</definedName>
    <definedName name="S20P14" localSheetId="0">#REF!</definedName>
    <definedName name="S20P14" localSheetId="9">#REF!</definedName>
    <definedName name="S20P14" localSheetId="10">#REF!</definedName>
    <definedName name="S20P14" localSheetId="8">#REF!</definedName>
    <definedName name="S20P14">#REF!</definedName>
    <definedName name="S20P15" localSheetId="4">#REF!</definedName>
    <definedName name="S20P15" localSheetId="5">#REF!</definedName>
    <definedName name="S20P15" localSheetId="0">#REF!</definedName>
    <definedName name="S20P15" localSheetId="9">#REF!</definedName>
    <definedName name="S20P15" localSheetId="10">#REF!</definedName>
    <definedName name="S20P15" localSheetId="8">#REF!</definedName>
    <definedName name="S20P15">#REF!</definedName>
    <definedName name="S20P16" localSheetId="4">#REF!</definedName>
    <definedName name="S20P16" localSheetId="5">#REF!</definedName>
    <definedName name="S20P16" localSheetId="0">#REF!</definedName>
    <definedName name="S20P16" localSheetId="9">#REF!</definedName>
    <definedName name="S20P16" localSheetId="10">#REF!</definedName>
    <definedName name="S20P16" localSheetId="8">#REF!</definedName>
    <definedName name="S20P16">#REF!</definedName>
    <definedName name="S20P17" localSheetId="4">#REF!</definedName>
    <definedName name="S20P17" localSheetId="5">#REF!</definedName>
    <definedName name="S20P17" localSheetId="0">#REF!</definedName>
    <definedName name="S20P17" localSheetId="9">#REF!</definedName>
    <definedName name="S20P17" localSheetId="10">#REF!</definedName>
    <definedName name="S20P17" localSheetId="8">#REF!</definedName>
    <definedName name="S20P17">#REF!</definedName>
    <definedName name="S20P18" localSheetId="4">#REF!</definedName>
    <definedName name="S20P18" localSheetId="5">#REF!</definedName>
    <definedName name="S20P18" localSheetId="0">#REF!</definedName>
    <definedName name="S20P18" localSheetId="9">#REF!</definedName>
    <definedName name="S20P18" localSheetId="10">#REF!</definedName>
    <definedName name="S20P18" localSheetId="8">#REF!</definedName>
    <definedName name="S20P18">#REF!</definedName>
    <definedName name="S20P19" localSheetId="4">#REF!</definedName>
    <definedName name="S20P19" localSheetId="5">#REF!</definedName>
    <definedName name="S20P19" localSheetId="0">#REF!</definedName>
    <definedName name="S20P19" localSheetId="9">#REF!</definedName>
    <definedName name="S20P19" localSheetId="10">#REF!</definedName>
    <definedName name="S20P19" localSheetId="8">#REF!</definedName>
    <definedName name="S20P19">#REF!</definedName>
    <definedName name="S20P2" localSheetId="4">#REF!</definedName>
    <definedName name="S20P2" localSheetId="5">#REF!</definedName>
    <definedName name="S20P2" localSheetId="0">#REF!</definedName>
    <definedName name="S20P2" localSheetId="9">#REF!</definedName>
    <definedName name="S20P2" localSheetId="10">#REF!</definedName>
    <definedName name="S20P2" localSheetId="8">#REF!</definedName>
    <definedName name="S20P2">#REF!</definedName>
    <definedName name="S20P20" localSheetId="4">#REF!</definedName>
    <definedName name="S20P20" localSheetId="5">#REF!</definedName>
    <definedName name="S20P20" localSheetId="0">#REF!</definedName>
    <definedName name="S20P20" localSheetId="9">#REF!</definedName>
    <definedName name="S20P20" localSheetId="10">#REF!</definedName>
    <definedName name="S20P20" localSheetId="8">#REF!</definedName>
    <definedName name="S20P20">#REF!</definedName>
    <definedName name="S20P21" localSheetId="4">#REF!</definedName>
    <definedName name="S20P21" localSheetId="5">#REF!</definedName>
    <definedName name="S20P21" localSheetId="0">#REF!</definedName>
    <definedName name="S20P21" localSheetId="9">#REF!</definedName>
    <definedName name="S20P21" localSheetId="10">#REF!</definedName>
    <definedName name="S20P21" localSheetId="8">#REF!</definedName>
    <definedName name="S20P21">#REF!</definedName>
    <definedName name="S20P22" localSheetId="4">#REF!</definedName>
    <definedName name="S20P22" localSheetId="5">#REF!</definedName>
    <definedName name="S20P22" localSheetId="0">#REF!</definedName>
    <definedName name="S20P22" localSheetId="9">#REF!</definedName>
    <definedName name="S20P22" localSheetId="10">#REF!</definedName>
    <definedName name="S20P22" localSheetId="8">#REF!</definedName>
    <definedName name="S20P22">#REF!</definedName>
    <definedName name="S20P23" localSheetId="4">#REF!</definedName>
    <definedName name="S20P23" localSheetId="5">#REF!</definedName>
    <definedName name="S20P23" localSheetId="0">#REF!</definedName>
    <definedName name="S20P23" localSheetId="9">#REF!</definedName>
    <definedName name="S20P23" localSheetId="10">#REF!</definedName>
    <definedName name="S20P23" localSheetId="8">#REF!</definedName>
    <definedName name="S20P23">#REF!</definedName>
    <definedName name="S20P24" localSheetId="4">#REF!</definedName>
    <definedName name="S20P24" localSheetId="5">#REF!</definedName>
    <definedName name="S20P24" localSheetId="0">#REF!</definedName>
    <definedName name="S20P24" localSheetId="9">#REF!</definedName>
    <definedName name="S20P24" localSheetId="10">#REF!</definedName>
    <definedName name="S20P24" localSheetId="8">#REF!</definedName>
    <definedName name="S20P24">#REF!</definedName>
    <definedName name="S20P3" localSheetId="4">#REF!</definedName>
    <definedName name="S20P3" localSheetId="5">#REF!</definedName>
    <definedName name="S20P3" localSheetId="0">#REF!</definedName>
    <definedName name="S20P3" localSheetId="9">#REF!</definedName>
    <definedName name="S20P3" localSheetId="10">#REF!</definedName>
    <definedName name="S20P3" localSheetId="8">#REF!</definedName>
    <definedName name="S20P3">#REF!</definedName>
    <definedName name="S20P4" localSheetId="4">#REF!</definedName>
    <definedName name="S20P4" localSheetId="5">#REF!</definedName>
    <definedName name="S20P4" localSheetId="0">#REF!</definedName>
    <definedName name="S20P4" localSheetId="9">#REF!</definedName>
    <definedName name="S20P4" localSheetId="10">#REF!</definedName>
    <definedName name="S20P4" localSheetId="8">#REF!</definedName>
    <definedName name="S20P4">#REF!</definedName>
    <definedName name="S20P5" localSheetId="4">#REF!</definedName>
    <definedName name="S20P5" localSheetId="5">#REF!</definedName>
    <definedName name="S20P5" localSheetId="0">#REF!</definedName>
    <definedName name="S20P5" localSheetId="9">#REF!</definedName>
    <definedName name="S20P5" localSheetId="10">#REF!</definedName>
    <definedName name="S20P5" localSheetId="8">#REF!</definedName>
    <definedName name="S20P5">#REF!</definedName>
    <definedName name="S20P6" localSheetId="4">#REF!</definedName>
    <definedName name="S20P6" localSheetId="5">#REF!</definedName>
    <definedName name="S20P6" localSheetId="0">#REF!</definedName>
    <definedName name="S20P6" localSheetId="9">#REF!</definedName>
    <definedName name="S20P6" localSheetId="10">#REF!</definedName>
    <definedName name="S20P6" localSheetId="8">#REF!</definedName>
    <definedName name="S20P6">#REF!</definedName>
    <definedName name="S20P7" localSheetId="4">#REF!</definedName>
    <definedName name="S20P7" localSheetId="5">#REF!</definedName>
    <definedName name="S20P7" localSheetId="0">#REF!</definedName>
    <definedName name="S20P7" localSheetId="9">#REF!</definedName>
    <definedName name="S20P7" localSheetId="10">#REF!</definedName>
    <definedName name="S20P7" localSheetId="8">#REF!</definedName>
    <definedName name="S20P7">#REF!</definedName>
    <definedName name="S20P8" localSheetId="4">#REF!</definedName>
    <definedName name="S20P8" localSheetId="5">#REF!</definedName>
    <definedName name="S20P8" localSheetId="0">#REF!</definedName>
    <definedName name="S20P8" localSheetId="9">#REF!</definedName>
    <definedName name="S20P8" localSheetId="10">#REF!</definedName>
    <definedName name="S20P8" localSheetId="8">#REF!</definedName>
    <definedName name="S20P8">#REF!</definedName>
    <definedName name="S20P9" localSheetId="4">#REF!</definedName>
    <definedName name="S20P9" localSheetId="5">#REF!</definedName>
    <definedName name="S20P9" localSheetId="0">#REF!</definedName>
    <definedName name="S20P9" localSheetId="9">#REF!</definedName>
    <definedName name="S20P9" localSheetId="10">#REF!</definedName>
    <definedName name="S20P9" localSheetId="8">#REF!</definedName>
    <definedName name="S20P9">#REF!</definedName>
    <definedName name="S20R1" localSheetId="4">#REF!</definedName>
    <definedName name="S20R1" localSheetId="5">#REF!</definedName>
    <definedName name="S20R1" localSheetId="0">#REF!</definedName>
    <definedName name="S20R1" localSheetId="9">#REF!</definedName>
    <definedName name="S20R1" localSheetId="10">#REF!</definedName>
    <definedName name="S20R1" localSheetId="8">#REF!</definedName>
    <definedName name="S20R1">#REF!</definedName>
    <definedName name="S20R10" localSheetId="4">#REF!</definedName>
    <definedName name="S20R10" localSheetId="5">#REF!</definedName>
    <definedName name="S20R10" localSheetId="0">#REF!</definedName>
    <definedName name="S20R10" localSheetId="9">#REF!</definedName>
    <definedName name="S20R10" localSheetId="10">#REF!</definedName>
    <definedName name="S20R10" localSheetId="8">#REF!</definedName>
    <definedName name="S20R10">#REF!</definedName>
    <definedName name="S20R11" localSheetId="4">#REF!</definedName>
    <definedName name="S20R11" localSheetId="5">#REF!</definedName>
    <definedName name="S20R11" localSheetId="0">#REF!</definedName>
    <definedName name="S20R11" localSheetId="9">#REF!</definedName>
    <definedName name="S20R11" localSheetId="10">#REF!</definedName>
    <definedName name="S20R11" localSheetId="8">#REF!</definedName>
    <definedName name="S20R11">#REF!</definedName>
    <definedName name="S20R12" localSheetId="4">#REF!</definedName>
    <definedName name="S20R12" localSheetId="5">#REF!</definedName>
    <definedName name="S20R12" localSheetId="0">#REF!</definedName>
    <definedName name="S20R12" localSheetId="9">#REF!</definedName>
    <definedName name="S20R12" localSheetId="10">#REF!</definedName>
    <definedName name="S20R12" localSheetId="8">#REF!</definedName>
    <definedName name="S20R12">#REF!</definedName>
    <definedName name="S20R13" localSheetId="4">#REF!</definedName>
    <definedName name="S20R13" localSheetId="5">#REF!</definedName>
    <definedName name="S20R13" localSheetId="0">#REF!</definedName>
    <definedName name="S20R13" localSheetId="9">#REF!</definedName>
    <definedName name="S20R13" localSheetId="10">#REF!</definedName>
    <definedName name="S20R13" localSheetId="8">#REF!</definedName>
    <definedName name="S20R13">#REF!</definedName>
    <definedName name="S20R14" localSheetId="4">#REF!</definedName>
    <definedName name="S20R14" localSheetId="5">#REF!</definedName>
    <definedName name="S20R14" localSheetId="0">#REF!</definedName>
    <definedName name="S20R14" localSheetId="9">#REF!</definedName>
    <definedName name="S20R14" localSheetId="10">#REF!</definedName>
    <definedName name="S20R14" localSheetId="8">#REF!</definedName>
    <definedName name="S20R14">#REF!</definedName>
    <definedName name="S20R15" localSheetId="4">#REF!</definedName>
    <definedName name="S20R15" localSheetId="5">#REF!</definedName>
    <definedName name="S20R15" localSheetId="0">#REF!</definedName>
    <definedName name="S20R15" localSheetId="9">#REF!</definedName>
    <definedName name="S20R15" localSheetId="10">#REF!</definedName>
    <definedName name="S20R15" localSheetId="8">#REF!</definedName>
    <definedName name="S20R15">#REF!</definedName>
    <definedName name="S20R16" localSheetId="4">#REF!</definedName>
    <definedName name="S20R16" localSheetId="5">#REF!</definedName>
    <definedName name="S20R16" localSheetId="0">#REF!</definedName>
    <definedName name="S20R16" localSheetId="9">#REF!</definedName>
    <definedName name="S20R16" localSheetId="10">#REF!</definedName>
    <definedName name="S20R16" localSheetId="8">#REF!</definedName>
    <definedName name="S20R16">#REF!</definedName>
    <definedName name="S20R17" localSheetId="4">#REF!</definedName>
    <definedName name="S20R17" localSheetId="5">#REF!</definedName>
    <definedName name="S20R17" localSheetId="0">#REF!</definedName>
    <definedName name="S20R17" localSheetId="9">#REF!</definedName>
    <definedName name="S20R17" localSheetId="10">#REF!</definedName>
    <definedName name="S20R17" localSheetId="8">#REF!</definedName>
    <definedName name="S20R17">#REF!</definedName>
    <definedName name="S20R18" localSheetId="4">#REF!</definedName>
    <definedName name="S20R18" localSheetId="5">#REF!</definedName>
    <definedName name="S20R18" localSheetId="0">#REF!</definedName>
    <definedName name="S20R18" localSheetId="9">#REF!</definedName>
    <definedName name="S20R18" localSheetId="10">#REF!</definedName>
    <definedName name="S20R18" localSheetId="8">#REF!</definedName>
    <definedName name="S20R18">#REF!</definedName>
    <definedName name="S20R19" localSheetId="4">#REF!</definedName>
    <definedName name="S20R19" localSheetId="5">#REF!</definedName>
    <definedName name="S20R19" localSheetId="0">#REF!</definedName>
    <definedName name="S20R19" localSheetId="9">#REF!</definedName>
    <definedName name="S20R19" localSheetId="10">#REF!</definedName>
    <definedName name="S20R19" localSheetId="8">#REF!</definedName>
    <definedName name="S20R19">#REF!</definedName>
    <definedName name="S20R2" localSheetId="4">#REF!</definedName>
    <definedName name="S20R2" localSheetId="5">#REF!</definedName>
    <definedName name="S20R2" localSheetId="0">#REF!</definedName>
    <definedName name="S20R2" localSheetId="9">#REF!</definedName>
    <definedName name="S20R2" localSheetId="10">#REF!</definedName>
    <definedName name="S20R2" localSheetId="8">#REF!</definedName>
    <definedName name="S20R2">#REF!</definedName>
    <definedName name="S20R20" localSheetId="4">#REF!</definedName>
    <definedName name="S20R20" localSheetId="5">#REF!</definedName>
    <definedName name="S20R20" localSheetId="0">#REF!</definedName>
    <definedName name="S20R20" localSheetId="9">#REF!</definedName>
    <definedName name="S20R20" localSheetId="10">#REF!</definedName>
    <definedName name="S20R20" localSheetId="8">#REF!</definedName>
    <definedName name="S20R20">#REF!</definedName>
    <definedName name="S20R21" localSheetId="4">#REF!</definedName>
    <definedName name="S20R21" localSheetId="5">#REF!</definedName>
    <definedName name="S20R21" localSheetId="0">#REF!</definedName>
    <definedName name="S20R21" localSheetId="9">#REF!</definedName>
    <definedName name="S20R21" localSheetId="10">#REF!</definedName>
    <definedName name="S20R21" localSheetId="8">#REF!</definedName>
    <definedName name="S20R21">#REF!</definedName>
    <definedName name="S20R22" localSheetId="4">#REF!</definedName>
    <definedName name="S20R22" localSheetId="5">#REF!</definedName>
    <definedName name="S20R22" localSheetId="0">#REF!</definedName>
    <definedName name="S20R22" localSheetId="9">#REF!</definedName>
    <definedName name="S20R22" localSheetId="10">#REF!</definedName>
    <definedName name="S20R22" localSheetId="8">#REF!</definedName>
    <definedName name="S20R22">#REF!</definedName>
    <definedName name="S20R23" localSheetId="4">#REF!</definedName>
    <definedName name="S20R23" localSheetId="5">#REF!</definedName>
    <definedName name="S20R23" localSheetId="0">#REF!</definedName>
    <definedName name="S20R23" localSheetId="9">#REF!</definedName>
    <definedName name="S20R23" localSheetId="10">#REF!</definedName>
    <definedName name="S20R23" localSheetId="8">#REF!</definedName>
    <definedName name="S20R23">#REF!</definedName>
    <definedName name="S20R24" localSheetId="4">#REF!</definedName>
    <definedName name="S20R24" localSheetId="5">#REF!</definedName>
    <definedName name="S20R24" localSheetId="0">#REF!</definedName>
    <definedName name="S20R24" localSheetId="9">#REF!</definedName>
    <definedName name="S20R24" localSheetId="10">#REF!</definedName>
    <definedName name="S20R24" localSheetId="8">#REF!</definedName>
    <definedName name="S20R24">#REF!</definedName>
    <definedName name="S20R3" localSheetId="4">#REF!</definedName>
    <definedName name="S20R3" localSheetId="5">#REF!</definedName>
    <definedName name="S20R3" localSheetId="0">#REF!</definedName>
    <definedName name="S20R3" localSheetId="9">#REF!</definedName>
    <definedName name="S20R3" localSheetId="10">#REF!</definedName>
    <definedName name="S20R3" localSheetId="8">#REF!</definedName>
    <definedName name="S20R3">#REF!</definedName>
    <definedName name="S20R4" localSheetId="4">#REF!</definedName>
    <definedName name="S20R4" localSheetId="5">#REF!</definedName>
    <definedName name="S20R4" localSheetId="0">#REF!</definedName>
    <definedName name="S20R4" localSheetId="9">#REF!</definedName>
    <definedName name="S20R4" localSheetId="10">#REF!</definedName>
    <definedName name="S20R4" localSheetId="8">#REF!</definedName>
    <definedName name="S20R4">#REF!</definedName>
    <definedName name="S20R5" localSheetId="4">#REF!</definedName>
    <definedName name="S20R5" localSheetId="5">#REF!</definedName>
    <definedName name="S20R5" localSheetId="0">#REF!</definedName>
    <definedName name="S20R5" localSheetId="9">#REF!</definedName>
    <definedName name="S20R5" localSheetId="10">#REF!</definedName>
    <definedName name="S20R5" localSheetId="8">#REF!</definedName>
    <definedName name="S20R5">#REF!</definedName>
    <definedName name="S20R6" localSheetId="4">#REF!</definedName>
    <definedName name="S20R6" localSheetId="5">#REF!</definedName>
    <definedName name="S20R6" localSheetId="0">#REF!</definedName>
    <definedName name="S20R6" localSheetId="9">#REF!</definedName>
    <definedName name="S20R6" localSheetId="10">#REF!</definedName>
    <definedName name="S20R6" localSheetId="8">#REF!</definedName>
    <definedName name="S20R6">#REF!</definedName>
    <definedName name="S20R7" localSheetId="4">#REF!</definedName>
    <definedName name="S20R7" localSheetId="5">#REF!</definedName>
    <definedName name="S20R7" localSheetId="0">#REF!</definedName>
    <definedName name="S20R7" localSheetId="9">#REF!</definedName>
    <definedName name="S20R7" localSheetId="10">#REF!</definedName>
    <definedName name="S20R7" localSheetId="8">#REF!</definedName>
    <definedName name="S20R7">#REF!</definedName>
    <definedName name="S20R8" localSheetId="4">#REF!</definedName>
    <definedName name="S20R8" localSheetId="5">#REF!</definedName>
    <definedName name="S20R8" localSheetId="0">#REF!</definedName>
    <definedName name="S20R8" localSheetId="9">#REF!</definedName>
    <definedName name="S20R8" localSheetId="10">#REF!</definedName>
    <definedName name="S20R8" localSheetId="8">#REF!</definedName>
    <definedName name="S20R8">#REF!</definedName>
    <definedName name="S20R9" localSheetId="4">#REF!</definedName>
    <definedName name="S20R9" localSheetId="5">#REF!</definedName>
    <definedName name="S20R9" localSheetId="0">#REF!</definedName>
    <definedName name="S20R9" localSheetId="9">#REF!</definedName>
    <definedName name="S20R9" localSheetId="10">#REF!</definedName>
    <definedName name="S20R9" localSheetId="8">#REF!</definedName>
    <definedName name="S20R9">#REF!</definedName>
    <definedName name="S21P1" localSheetId="4">#REF!</definedName>
    <definedName name="S21P1" localSheetId="5">#REF!</definedName>
    <definedName name="S21P1" localSheetId="0">#REF!</definedName>
    <definedName name="S21P1" localSheetId="9">#REF!</definedName>
    <definedName name="S21P1" localSheetId="10">#REF!</definedName>
    <definedName name="S21P1" localSheetId="8">#REF!</definedName>
    <definedName name="S21P1">#REF!</definedName>
    <definedName name="S21P10" localSheetId="4">#REF!</definedName>
    <definedName name="S21P10" localSheetId="5">#REF!</definedName>
    <definedName name="S21P10" localSheetId="0">#REF!</definedName>
    <definedName name="S21P10" localSheetId="9">#REF!</definedName>
    <definedName name="S21P10" localSheetId="10">#REF!</definedName>
    <definedName name="S21P10" localSheetId="8">#REF!</definedName>
    <definedName name="S21P10">#REF!</definedName>
    <definedName name="S21P11" localSheetId="4">#REF!</definedName>
    <definedName name="S21P11" localSheetId="5">#REF!</definedName>
    <definedName name="S21P11" localSheetId="0">#REF!</definedName>
    <definedName name="S21P11" localSheetId="9">#REF!</definedName>
    <definedName name="S21P11" localSheetId="10">#REF!</definedName>
    <definedName name="S21P11" localSheetId="8">#REF!</definedName>
    <definedName name="S21P11">#REF!</definedName>
    <definedName name="S21P12" localSheetId="4">#REF!</definedName>
    <definedName name="S21P12" localSheetId="5">#REF!</definedName>
    <definedName name="S21P12" localSheetId="0">#REF!</definedName>
    <definedName name="S21P12" localSheetId="9">#REF!</definedName>
    <definedName name="S21P12" localSheetId="10">#REF!</definedName>
    <definedName name="S21P12" localSheetId="8">#REF!</definedName>
    <definedName name="S21P12">#REF!</definedName>
    <definedName name="S21P13" localSheetId="4">#REF!</definedName>
    <definedName name="S21P13" localSheetId="5">#REF!</definedName>
    <definedName name="S21P13" localSheetId="0">#REF!</definedName>
    <definedName name="S21P13" localSheetId="9">#REF!</definedName>
    <definedName name="S21P13" localSheetId="10">#REF!</definedName>
    <definedName name="S21P13" localSheetId="8">#REF!</definedName>
    <definedName name="S21P13">#REF!</definedName>
    <definedName name="S21P14" localSheetId="4">#REF!</definedName>
    <definedName name="S21P14" localSheetId="5">#REF!</definedName>
    <definedName name="S21P14" localSheetId="0">#REF!</definedName>
    <definedName name="S21P14" localSheetId="9">#REF!</definedName>
    <definedName name="S21P14" localSheetId="10">#REF!</definedName>
    <definedName name="S21P14" localSheetId="8">#REF!</definedName>
    <definedName name="S21P14">#REF!</definedName>
    <definedName name="S21P15" localSheetId="4">#REF!</definedName>
    <definedName name="S21P15" localSheetId="5">#REF!</definedName>
    <definedName name="S21P15" localSheetId="0">#REF!</definedName>
    <definedName name="S21P15" localSheetId="9">#REF!</definedName>
    <definedName name="S21P15" localSheetId="10">#REF!</definedName>
    <definedName name="S21P15" localSheetId="8">#REF!</definedName>
    <definedName name="S21P15">#REF!</definedName>
    <definedName name="S21P16" localSheetId="4">#REF!</definedName>
    <definedName name="S21P16" localSheetId="5">#REF!</definedName>
    <definedName name="S21P16" localSheetId="0">#REF!</definedName>
    <definedName name="S21P16" localSheetId="9">#REF!</definedName>
    <definedName name="S21P16" localSheetId="10">#REF!</definedName>
    <definedName name="S21P16" localSheetId="8">#REF!</definedName>
    <definedName name="S21P16">#REF!</definedName>
    <definedName name="S21P17" localSheetId="4">#REF!</definedName>
    <definedName name="S21P17" localSheetId="5">#REF!</definedName>
    <definedName name="S21P17" localSheetId="0">#REF!</definedName>
    <definedName name="S21P17" localSheetId="9">#REF!</definedName>
    <definedName name="S21P17" localSheetId="10">#REF!</definedName>
    <definedName name="S21P17" localSheetId="8">#REF!</definedName>
    <definedName name="S21P17">#REF!</definedName>
    <definedName name="S21P18" localSheetId="4">#REF!</definedName>
    <definedName name="S21P18" localSheetId="5">#REF!</definedName>
    <definedName name="S21P18" localSheetId="0">#REF!</definedName>
    <definedName name="S21P18" localSheetId="9">#REF!</definedName>
    <definedName name="S21P18" localSheetId="10">#REF!</definedName>
    <definedName name="S21P18" localSheetId="8">#REF!</definedName>
    <definedName name="S21P18">#REF!</definedName>
    <definedName name="S21P19" localSheetId="4">#REF!</definedName>
    <definedName name="S21P19" localSheetId="5">#REF!</definedName>
    <definedName name="S21P19" localSheetId="0">#REF!</definedName>
    <definedName name="S21P19" localSheetId="9">#REF!</definedName>
    <definedName name="S21P19" localSheetId="10">#REF!</definedName>
    <definedName name="S21P19" localSheetId="8">#REF!</definedName>
    <definedName name="S21P19">#REF!</definedName>
    <definedName name="S21P2" localSheetId="4">#REF!</definedName>
    <definedName name="S21P2" localSheetId="5">#REF!</definedName>
    <definedName name="S21P2" localSheetId="0">#REF!</definedName>
    <definedName name="S21P2" localSheetId="9">#REF!</definedName>
    <definedName name="S21P2" localSheetId="10">#REF!</definedName>
    <definedName name="S21P2" localSheetId="8">#REF!</definedName>
    <definedName name="S21P2">#REF!</definedName>
    <definedName name="S21P20" localSheetId="4">#REF!</definedName>
    <definedName name="S21P20" localSheetId="5">#REF!</definedName>
    <definedName name="S21P20" localSheetId="0">#REF!</definedName>
    <definedName name="S21P20" localSheetId="9">#REF!</definedName>
    <definedName name="S21P20" localSheetId="10">#REF!</definedName>
    <definedName name="S21P20" localSheetId="8">#REF!</definedName>
    <definedName name="S21P20">#REF!</definedName>
    <definedName name="S21P21" localSheetId="4">#REF!</definedName>
    <definedName name="S21P21" localSheetId="5">#REF!</definedName>
    <definedName name="S21P21" localSheetId="0">#REF!</definedName>
    <definedName name="S21P21" localSheetId="9">#REF!</definedName>
    <definedName name="S21P21" localSheetId="10">#REF!</definedName>
    <definedName name="S21P21" localSheetId="8">#REF!</definedName>
    <definedName name="S21P21">#REF!</definedName>
    <definedName name="S21P22" localSheetId="4">#REF!</definedName>
    <definedName name="S21P22" localSheetId="5">#REF!</definedName>
    <definedName name="S21P22" localSheetId="0">#REF!</definedName>
    <definedName name="S21P22" localSheetId="9">#REF!</definedName>
    <definedName name="S21P22" localSheetId="10">#REF!</definedName>
    <definedName name="S21P22" localSheetId="8">#REF!</definedName>
    <definedName name="S21P22">#REF!</definedName>
    <definedName name="S21P23" localSheetId="4">#REF!</definedName>
    <definedName name="S21P23" localSheetId="5">#REF!</definedName>
    <definedName name="S21P23" localSheetId="0">#REF!</definedName>
    <definedName name="S21P23" localSheetId="9">#REF!</definedName>
    <definedName name="S21P23" localSheetId="10">#REF!</definedName>
    <definedName name="S21P23" localSheetId="8">#REF!</definedName>
    <definedName name="S21P23">#REF!</definedName>
    <definedName name="S21P24" localSheetId="4">#REF!</definedName>
    <definedName name="S21P24" localSheetId="5">#REF!</definedName>
    <definedName name="S21P24" localSheetId="0">#REF!</definedName>
    <definedName name="S21P24" localSheetId="9">#REF!</definedName>
    <definedName name="S21P24" localSheetId="10">#REF!</definedName>
    <definedName name="S21P24" localSheetId="8">#REF!</definedName>
    <definedName name="S21P24">#REF!</definedName>
    <definedName name="S21P3" localSheetId="4">#REF!</definedName>
    <definedName name="S21P3" localSheetId="5">#REF!</definedName>
    <definedName name="S21P3" localSheetId="0">#REF!</definedName>
    <definedName name="S21P3" localSheetId="9">#REF!</definedName>
    <definedName name="S21P3" localSheetId="10">#REF!</definedName>
    <definedName name="S21P3" localSheetId="8">#REF!</definedName>
    <definedName name="S21P3">#REF!</definedName>
    <definedName name="S21P4" localSheetId="4">#REF!</definedName>
    <definedName name="S21P4" localSheetId="5">#REF!</definedName>
    <definedName name="S21P4" localSheetId="0">#REF!</definedName>
    <definedName name="S21P4" localSheetId="9">#REF!</definedName>
    <definedName name="S21P4" localSheetId="10">#REF!</definedName>
    <definedName name="S21P4" localSheetId="8">#REF!</definedName>
    <definedName name="S21P4">#REF!</definedName>
    <definedName name="S21P5" localSheetId="4">#REF!</definedName>
    <definedName name="S21P5" localSheetId="5">#REF!</definedName>
    <definedName name="S21P5" localSheetId="0">#REF!</definedName>
    <definedName name="S21P5" localSheetId="9">#REF!</definedName>
    <definedName name="S21P5" localSheetId="10">#REF!</definedName>
    <definedName name="S21P5" localSheetId="8">#REF!</definedName>
    <definedName name="S21P5">#REF!</definedName>
    <definedName name="S21P6" localSheetId="4">#REF!</definedName>
    <definedName name="S21P6" localSheetId="5">#REF!</definedName>
    <definedName name="S21P6" localSheetId="0">#REF!</definedName>
    <definedName name="S21P6" localSheetId="9">#REF!</definedName>
    <definedName name="S21P6" localSheetId="10">#REF!</definedName>
    <definedName name="S21P6" localSheetId="8">#REF!</definedName>
    <definedName name="S21P6">#REF!</definedName>
    <definedName name="S21P7" localSheetId="4">#REF!</definedName>
    <definedName name="S21P7" localSheetId="5">#REF!</definedName>
    <definedName name="S21P7" localSheetId="0">#REF!</definedName>
    <definedName name="S21P7" localSheetId="9">#REF!</definedName>
    <definedName name="S21P7" localSheetId="10">#REF!</definedName>
    <definedName name="S21P7" localSheetId="8">#REF!</definedName>
    <definedName name="S21P7">#REF!</definedName>
    <definedName name="S21P8" localSheetId="4">#REF!</definedName>
    <definedName name="S21P8" localSheetId="5">#REF!</definedName>
    <definedName name="S21P8" localSheetId="0">#REF!</definedName>
    <definedName name="S21P8" localSheetId="9">#REF!</definedName>
    <definedName name="S21P8" localSheetId="10">#REF!</definedName>
    <definedName name="S21P8" localSheetId="8">#REF!</definedName>
    <definedName name="S21P8">#REF!</definedName>
    <definedName name="S21P9" localSheetId="4">#REF!</definedName>
    <definedName name="S21P9" localSheetId="5">#REF!</definedName>
    <definedName name="S21P9" localSheetId="0">#REF!</definedName>
    <definedName name="S21P9" localSheetId="9">#REF!</definedName>
    <definedName name="S21P9" localSheetId="10">#REF!</definedName>
    <definedName name="S21P9" localSheetId="8">#REF!</definedName>
    <definedName name="S21P9">#REF!</definedName>
    <definedName name="S21R1" localSheetId="4">#REF!</definedName>
    <definedName name="S21R1" localSheetId="5">#REF!</definedName>
    <definedName name="S21R1" localSheetId="0">#REF!</definedName>
    <definedName name="S21R1" localSheetId="9">#REF!</definedName>
    <definedName name="S21R1" localSheetId="10">#REF!</definedName>
    <definedName name="S21R1" localSheetId="8">#REF!</definedName>
    <definedName name="S21R1">#REF!</definedName>
    <definedName name="S21R10" localSheetId="4">#REF!</definedName>
    <definedName name="S21R10" localSheetId="5">#REF!</definedName>
    <definedName name="S21R10" localSheetId="0">#REF!</definedName>
    <definedName name="S21R10" localSheetId="9">#REF!</definedName>
    <definedName name="S21R10" localSheetId="10">#REF!</definedName>
    <definedName name="S21R10" localSheetId="8">#REF!</definedName>
    <definedName name="S21R10">#REF!</definedName>
    <definedName name="S21R11" localSheetId="4">#REF!</definedName>
    <definedName name="S21R11" localSheetId="5">#REF!</definedName>
    <definedName name="S21R11" localSheetId="0">#REF!</definedName>
    <definedName name="S21R11" localSheetId="9">#REF!</definedName>
    <definedName name="S21R11" localSheetId="10">#REF!</definedName>
    <definedName name="S21R11" localSheetId="8">#REF!</definedName>
    <definedName name="S21R11">#REF!</definedName>
    <definedName name="S21R12" localSheetId="4">#REF!</definedName>
    <definedName name="S21R12" localSheetId="5">#REF!</definedName>
    <definedName name="S21R12" localSheetId="0">#REF!</definedName>
    <definedName name="S21R12" localSheetId="9">#REF!</definedName>
    <definedName name="S21R12" localSheetId="10">#REF!</definedName>
    <definedName name="S21R12" localSheetId="8">#REF!</definedName>
    <definedName name="S21R12">#REF!</definedName>
    <definedName name="S21R13" localSheetId="4">#REF!</definedName>
    <definedName name="S21R13" localSheetId="5">#REF!</definedName>
    <definedName name="S21R13" localSheetId="0">#REF!</definedName>
    <definedName name="S21R13" localSheetId="9">#REF!</definedName>
    <definedName name="S21R13" localSheetId="10">#REF!</definedName>
    <definedName name="S21R13" localSheetId="8">#REF!</definedName>
    <definedName name="S21R13">#REF!</definedName>
    <definedName name="S21R14" localSheetId="4">#REF!</definedName>
    <definedName name="S21R14" localSheetId="5">#REF!</definedName>
    <definedName name="S21R14" localSheetId="0">#REF!</definedName>
    <definedName name="S21R14" localSheetId="9">#REF!</definedName>
    <definedName name="S21R14" localSheetId="10">#REF!</definedName>
    <definedName name="S21R14" localSheetId="8">#REF!</definedName>
    <definedName name="S21R14">#REF!</definedName>
    <definedName name="S21R15" localSheetId="4">#REF!</definedName>
    <definedName name="S21R15" localSheetId="5">#REF!</definedName>
    <definedName name="S21R15" localSheetId="0">#REF!</definedName>
    <definedName name="S21R15" localSheetId="9">#REF!</definedName>
    <definedName name="S21R15" localSheetId="10">#REF!</definedName>
    <definedName name="S21R15" localSheetId="8">#REF!</definedName>
    <definedName name="S21R15">#REF!</definedName>
    <definedName name="S21R16" localSheetId="4">#REF!</definedName>
    <definedName name="S21R16" localSheetId="5">#REF!</definedName>
    <definedName name="S21R16" localSheetId="0">#REF!</definedName>
    <definedName name="S21R16" localSheetId="9">#REF!</definedName>
    <definedName name="S21R16" localSheetId="10">#REF!</definedName>
    <definedName name="S21R16" localSheetId="8">#REF!</definedName>
    <definedName name="S21R16">#REF!</definedName>
    <definedName name="S21R17" localSheetId="4">#REF!</definedName>
    <definedName name="S21R17" localSheetId="5">#REF!</definedName>
    <definedName name="S21R17" localSheetId="0">#REF!</definedName>
    <definedName name="S21R17" localSheetId="9">#REF!</definedName>
    <definedName name="S21R17" localSheetId="10">#REF!</definedName>
    <definedName name="S21R17" localSheetId="8">#REF!</definedName>
    <definedName name="S21R17">#REF!</definedName>
    <definedName name="S21R18" localSheetId="4">#REF!</definedName>
    <definedName name="S21R18" localSheetId="5">#REF!</definedName>
    <definedName name="S21R18" localSheetId="0">#REF!</definedName>
    <definedName name="S21R18" localSheetId="9">#REF!</definedName>
    <definedName name="S21R18" localSheetId="10">#REF!</definedName>
    <definedName name="S21R18" localSheetId="8">#REF!</definedName>
    <definedName name="S21R18">#REF!</definedName>
    <definedName name="S21R19" localSheetId="4">#REF!</definedName>
    <definedName name="S21R19" localSheetId="5">#REF!</definedName>
    <definedName name="S21R19" localSheetId="0">#REF!</definedName>
    <definedName name="S21R19" localSheetId="9">#REF!</definedName>
    <definedName name="S21R19" localSheetId="10">#REF!</definedName>
    <definedName name="S21R19" localSheetId="8">#REF!</definedName>
    <definedName name="S21R19">#REF!</definedName>
    <definedName name="S21R2" localSheetId="4">#REF!</definedName>
    <definedName name="S21R2" localSheetId="5">#REF!</definedName>
    <definedName name="S21R2" localSheetId="0">#REF!</definedName>
    <definedName name="S21R2" localSheetId="9">#REF!</definedName>
    <definedName name="S21R2" localSheetId="10">#REF!</definedName>
    <definedName name="S21R2" localSheetId="8">#REF!</definedName>
    <definedName name="S21R2">#REF!</definedName>
    <definedName name="S21R20" localSheetId="4">#REF!</definedName>
    <definedName name="S21R20" localSheetId="5">#REF!</definedName>
    <definedName name="S21R20" localSheetId="0">#REF!</definedName>
    <definedName name="S21R20" localSheetId="9">#REF!</definedName>
    <definedName name="S21R20" localSheetId="10">#REF!</definedName>
    <definedName name="S21R20" localSheetId="8">#REF!</definedName>
    <definedName name="S21R20">#REF!</definedName>
    <definedName name="S21R21" localSheetId="4">#REF!</definedName>
    <definedName name="S21R21" localSheetId="5">#REF!</definedName>
    <definedName name="S21R21" localSheetId="0">#REF!</definedName>
    <definedName name="S21R21" localSheetId="9">#REF!</definedName>
    <definedName name="S21R21" localSheetId="10">#REF!</definedName>
    <definedName name="S21R21" localSheetId="8">#REF!</definedName>
    <definedName name="S21R21">#REF!</definedName>
    <definedName name="S21R22" localSheetId="4">#REF!</definedName>
    <definedName name="S21R22" localSheetId="5">#REF!</definedName>
    <definedName name="S21R22" localSheetId="0">#REF!</definedName>
    <definedName name="S21R22" localSheetId="9">#REF!</definedName>
    <definedName name="S21R22" localSheetId="10">#REF!</definedName>
    <definedName name="S21R22" localSheetId="8">#REF!</definedName>
    <definedName name="S21R22">#REF!</definedName>
    <definedName name="S21R23" localSheetId="4">#REF!</definedName>
    <definedName name="S21R23" localSheetId="5">#REF!</definedName>
    <definedName name="S21R23" localSheetId="0">#REF!</definedName>
    <definedName name="S21R23" localSheetId="9">#REF!</definedName>
    <definedName name="S21R23" localSheetId="10">#REF!</definedName>
    <definedName name="S21R23" localSheetId="8">#REF!</definedName>
    <definedName name="S21R23">#REF!</definedName>
    <definedName name="S21R24" localSheetId="4">#REF!</definedName>
    <definedName name="S21R24" localSheetId="5">#REF!</definedName>
    <definedName name="S21R24" localSheetId="0">#REF!</definedName>
    <definedName name="S21R24" localSheetId="9">#REF!</definedName>
    <definedName name="S21R24" localSheetId="10">#REF!</definedName>
    <definedName name="S21R24" localSheetId="8">#REF!</definedName>
    <definedName name="S21R24">#REF!</definedName>
    <definedName name="S21R3" localSheetId="4">#REF!</definedName>
    <definedName name="S21R3" localSheetId="5">#REF!</definedName>
    <definedName name="S21R3" localSheetId="0">#REF!</definedName>
    <definedName name="S21R3" localSheetId="9">#REF!</definedName>
    <definedName name="S21R3" localSheetId="10">#REF!</definedName>
    <definedName name="S21R3" localSheetId="8">#REF!</definedName>
    <definedName name="S21R3">#REF!</definedName>
    <definedName name="S21R4" localSheetId="4">#REF!</definedName>
    <definedName name="S21R4" localSheetId="5">#REF!</definedName>
    <definedName name="S21R4" localSheetId="0">#REF!</definedName>
    <definedName name="S21R4" localSheetId="9">#REF!</definedName>
    <definedName name="S21R4" localSheetId="10">#REF!</definedName>
    <definedName name="S21R4" localSheetId="8">#REF!</definedName>
    <definedName name="S21R4">#REF!</definedName>
    <definedName name="S21R5" localSheetId="4">#REF!</definedName>
    <definedName name="S21R5" localSheetId="5">#REF!</definedName>
    <definedName name="S21R5" localSheetId="0">#REF!</definedName>
    <definedName name="S21R5" localSheetId="9">#REF!</definedName>
    <definedName name="S21R5" localSheetId="10">#REF!</definedName>
    <definedName name="S21R5" localSheetId="8">#REF!</definedName>
    <definedName name="S21R5">#REF!</definedName>
    <definedName name="S21R6" localSheetId="4">#REF!</definedName>
    <definedName name="S21R6" localSheetId="5">#REF!</definedName>
    <definedName name="S21R6" localSheetId="0">#REF!</definedName>
    <definedName name="S21R6" localSheetId="9">#REF!</definedName>
    <definedName name="S21R6" localSheetId="10">#REF!</definedName>
    <definedName name="S21R6" localSheetId="8">#REF!</definedName>
    <definedName name="S21R6">#REF!</definedName>
    <definedName name="S21R7" localSheetId="4">#REF!</definedName>
    <definedName name="S21R7" localSheetId="5">#REF!</definedName>
    <definedName name="S21R7" localSheetId="0">#REF!</definedName>
    <definedName name="S21R7" localSheetId="9">#REF!</definedName>
    <definedName name="S21R7" localSheetId="10">#REF!</definedName>
    <definedName name="S21R7" localSheetId="8">#REF!</definedName>
    <definedName name="S21R7">#REF!</definedName>
    <definedName name="S21R8" localSheetId="4">#REF!</definedName>
    <definedName name="S21R8" localSheetId="5">#REF!</definedName>
    <definedName name="S21R8" localSheetId="0">#REF!</definedName>
    <definedName name="S21R8" localSheetId="9">#REF!</definedName>
    <definedName name="S21R8" localSheetId="10">#REF!</definedName>
    <definedName name="S21R8" localSheetId="8">#REF!</definedName>
    <definedName name="S21R8">#REF!</definedName>
    <definedName name="S21R9" localSheetId="4">#REF!</definedName>
    <definedName name="S21R9" localSheetId="5">#REF!</definedName>
    <definedName name="S21R9" localSheetId="0">#REF!</definedName>
    <definedName name="S21R9" localSheetId="9">#REF!</definedName>
    <definedName name="S21R9" localSheetId="10">#REF!</definedName>
    <definedName name="S21R9" localSheetId="8">#REF!</definedName>
    <definedName name="S21R9">#REF!</definedName>
    <definedName name="S22P1" localSheetId="4">#REF!</definedName>
    <definedName name="S22P1" localSheetId="5">#REF!</definedName>
    <definedName name="S22P1" localSheetId="0">#REF!</definedName>
    <definedName name="S22P1" localSheetId="9">#REF!</definedName>
    <definedName name="S22P1" localSheetId="10">#REF!</definedName>
    <definedName name="S22P1" localSheetId="8">#REF!</definedName>
    <definedName name="S22P1">#REF!</definedName>
    <definedName name="S22P10" localSheetId="4">#REF!</definedName>
    <definedName name="S22P10" localSheetId="5">#REF!</definedName>
    <definedName name="S22P10" localSheetId="0">#REF!</definedName>
    <definedName name="S22P10" localSheetId="9">#REF!</definedName>
    <definedName name="S22P10" localSheetId="10">#REF!</definedName>
    <definedName name="S22P10" localSheetId="8">#REF!</definedName>
    <definedName name="S22P10">#REF!</definedName>
    <definedName name="S22P11" localSheetId="4">#REF!</definedName>
    <definedName name="S22P11" localSheetId="5">#REF!</definedName>
    <definedName name="S22P11" localSheetId="0">#REF!</definedName>
    <definedName name="S22P11" localSheetId="9">#REF!</definedName>
    <definedName name="S22P11" localSheetId="10">#REF!</definedName>
    <definedName name="S22P11" localSheetId="8">#REF!</definedName>
    <definedName name="S22P11">#REF!</definedName>
    <definedName name="S22P12" localSheetId="4">#REF!</definedName>
    <definedName name="S22P12" localSheetId="5">#REF!</definedName>
    <definedName name="S22P12" localSheetId="0">#REF!</definedName>
    <definedName name="S22P12" localSheetId="9">#REF!</definedName>
    <definedName name="S22P12" localSheetId="10">#REF!</definedName>
    <definedName name="S22P12" localSheetId="8">#REF!</definedName>
    <definedName name="S22P12">#REF!</definedName>
    <definedName name="S22P13" localSheetId="4">#REF!</definedName>
    <definedName name="S22P13" localSheetId="5">#REF!</definedName>
    <definedName name="S22P13" localSheetId="0">#REF!</definedName>
    <definedName name="S22P13" localSheetId="9">#REF!</definedName>
    <definedName name="S22P13" localSheetId="10">#REF!</definedName>
    <definedName name="S22P13" localSheetId="8">#REF!</definedName>
    <definedName name="S22P13">#REF!</definedName>
    <definedName name="S22P14" localSheetId="4">#REF!</definedName>
    <definedName name="S22P14" localSheetId="5">#REF!</definedName>
    <definedName name="S22P14" localSheetId="0">#REF!</definedName>
    <definedName name="S22P14" localSheetId="9">#REF!</definedName>
    <definedName name="S22P14" localSheetId="10">#REF!</definedName>
    <definedName name="S22P14" localSheetId="8">#REF!</definedName>
    <definedName name="S22P14">#REF!</definedName>
    <definedName name="S22P15" localSheetId="4">#REF!</definedName>
    <definedName name="S22P15" localSheetId="5">#REF!</definedName>
    <definedName name="S22P15" localSheetId="0">#REF!</definedName>
    <definedName name="S22P15" localSheetId="9">#REF!</definedName>
    <definedName name="S22P15" localSheetId="10">#REF!</definedName>
    <definedName name="S22P15" localSheetId="8">#REF!</definedName>
    <definedName name="S22P15">#REF!</definedName>
    <definedName name="S22P16" localSheetId="4">#REF!</definedName>
    <definedName name="S22P16" localSheetId="5">#REF!</definedName>
    <definedName name="S22P16" localSheetId="0">#REF!</definedName>
    <definedName name="S22P16" localSheetId="9">#REF!</definedName>
    <definedName name="S22P16" localSheetId="10">#REF!</definedName>
    <definedName name="S22P16" localSheetId="8">#REF!</definedName>
    <definedName name="S22P16">#REF!</definedName>
    <definedName name="S22P17" localSheetId="4">#REF!</definedName>
    <definedName name="S22P17" localSheetId="5">#REF!</definedName>
    <definedName name="S22P17" localSheetId="0">#REF!</definedName>
    <definedName name="S22P17" localSheetId="9">#REF!</definedName>
    <definedName name="S22P17" localSheetId="10">#REF!</definedName>
    <definedName name="S22P17" localSheetId="8">#REF!</definedName>
    <definedName name="S22P17">#REF!</definedName>
    <definedName name="S22P18" localSheetId="4">#REF!</definedName>
    <definedName name="S22P18" localSheetId="5">#REF!</definedName>
    <definedName name="S22P18" localSheetId="0">#REF!</definedName>
    <definedName name="S22P18" localSheetId="9">#REF!</definedName>
    <definedName name="S22P18" localSheetId="10">#REF!</definedName>
    <definedName name="S22P18" localSheetId="8">#REF!</definedName>
    <definedName name="S22P18">#REF!</definedName>
    <definedName name="S22P19" localSheetId="4">#REF!</definedName>
    <definedName name="S22P19" localSheetId="5">#REF!</definedName>
    <definedName name="S22P19" localSheetId="0">#REF!</definedName>
    <definedName name="S22P19" localSheetId="9">#REF!</definedName>
    <definedName name="S22P19" localSheetId="10">#REF!</definedName>
    <definedName name="S22P19" localSheetId="8">#REF!</definedName>
    <definedName name="S22P19">#REF!</definedName>
    <definedName name="S22P2" localSheetId="4">#REF!</definedName>
    <definedName name="S22P2" localSheetId="5">#REF!</definedName>
    <definedName name="S22P2" localSheetId="0">#REF!</definedName>
    <definedName name="S22P2" localSheetId="9">#REF!</definedName>
    <definedName name="S22P2" localSheetId="10">#REF!</definedName>
    <definedName name="S22P2" localSheetId="8">#REF!</definedName>
    <definedName name="S22P2">#REF!</definedName>
    <definedName name="S22P20" localSheetId="4">#REF!</definedName>
    <definedName name="S22P20" localSheetId="5">#REF!</definedName>
    <definedName name="S22P20" localSheetId="0">#REF!</definedName>
    <definedName name="S22P20" localSheetId="9">#REF!</definedName>
    <definedName name="S22P20" localSheetId="10">#REF!</definedName>
    <definedName name="S22P20" localSheetId="8">#REF!</definedName>
    <definedName name="S22P20">#REF!</definedName>
    <definedName name="S22P21" localSheetId="4">#REF!</definedName>
    <definedName name="S22P21" localSheetId="5">#REF!</definedName>
    <definedName name="S22P21" localSheetId="0">#REF!</definedName>
    <definedName name="S22P21" localSheetId="9">#REF!</definedName>
    <definedName name="S22P21" localSheetId="10">#REF!</definedName>
    <definedName name="S22P21" localSheetId="8">#REF!</definedName>
    <definedName name="S22P21">#REF!</definedName>
    <definedName name="S22P22" localSheetId="4">#REF!</definedName>
    <definedName name="S22P22" localSheetId="5">#REF!</definedName>
    <definedName name="S22P22" localSheetId="0">#REF!</definedName>
    <definedName name="S22P22" localSheetId="9">#REF!</definedName>
    <definedName name="S22P22" localSheetId="10">#REF!</definedName>
    <definedName name="S22P22" localSheetId="8">#REF!</definedName>
    <definedName name="S22P22">#REF!</definedName>
    <definedName name="S22P23" localSheetId="4">#REF!</definedName>
    <definedName name="S22P23" localSheetId="5">#REF!</definedName>
    <definedName name="S22P23" localSheetId="0">#REF!</definedName>
    <definedName name="S22P23" localSheetId="9">#REF!</definedName>
    <definedName name="S22P23" localSheetId="10">#REF!</definedName>
    <definedName name="S22P23" localSheetId="8">#REF!</definedName>
    <definedName name="S22P23">#REF!</definedName>
    <definedName name="S22P24" localSheetId="4">#REF!</definedName>
    <definedName name="S22P24" localSheetId="5">#REF!</definedName>
    <definedName name="S22P24" localSheetId="0">#REF!</definedName>
    <definedName name="S22P24" localSheetId="9">#REF!</definedName>
    <definedName name="S22P24" localSheetId="10">#REF!</definedName>
    <definedName name="S22P24" localSheetId="8">#REF!</definedName>
    <definedName name="S22P24">#REF!</definedName>
    <definedName name="S22P3" localSheetId="4">#REF!</definedName>
    <definedName name="S22P3" localSheetId="5">#REF!</definedName>
    <definedName name="S22P3" localSheetId="0">#REF!</definedName>
    <definedName name="S22P3" localSheetId="9">#REF!</definedName>
    <definedName name="S22P3" localSheetId="10">#REF!</definedName>
    <definedName name="S22P3" localSheetId="8">#REF!</definedName>
    <definedName name="S22P3">#REF!</definedName>
    <definedName name="S22P4" localSheetId="4">#REF!</definedName>
    <definedName name="S22P4" localSheetId="5">#REF!</definedName>
    <definedName name="S22P4" localSheetId="0">#REF!</definedName>
    <definedName name="S22P4" localSheetId="9">#REF!</definedName>
    <definedName name="S22P4" localSheetId="10">#REF!</definedName>
    <definedName name="S22P4" localSheetId="8">#REF!</definedName>
    <definedName name="S22P4">#REF!</definedName>
    <definedName name="S22P5" localSheetId="4">#REF!</definedName>
    <definedName name="S22P5" localSheetId="5">#REF!</definedName>
    <definedName name="S22P5" localSheetId="0">#REF!</definedName>
    <definedName name="S22P5" localSheetId="9">#REF!</definedName>
    <definedName name="S22P5" localSheetId="10">#REF!</definedName>
    <definedName name="S22P5" localSheetId="8">#REF!</definedName>
    <definedName name="S22P5">#REF!</definedName>
    <definedName name="S22P6" localSheetId="4">#REF!</definedName>
    <definedName name="S22P6" localSheetId="5">#REF!</definedName>
    <definedName name="S22P6" localSheetId="0">#REF!</definedName>
    <definedName name="S22P6" localSheetId="9">#REF!</definedName>
    <definedName name="S22P6" localSheetId="10">#REF!</definedName>
    <definedName name="S22P6" localSheetId="8">#REF!</definedName>
    <definedName name="S22P6">#REF!</definedName>
    <definedName name="S22P7" localSheetId="4">#REF!</definedName>
    <definedName name="S22P7" localSheetId="5">#REF!</definedName>
    <definedName name="S22P7" localSheetId="0">#REF!</definedName>
    <definedName name="S22P7" localSheetId="9">#REF!</definedName>
    <definedName name="S22P7" localSheetId="10">#REF!</definedName>
    <definedName name="S22P7" localSheetId="8">#REF!</definedName>
    <definedName name="S22P7">#REF!</definedName>
    <definedName name="S22P8" localSheetId="4">#REF!</definedName>
    <definedName name="S22P8" localSheetId="5">#REF!</definedName>
    <definedName name="S22P8" localSheetId="0">#REF!</definedName>
    <definedName name="S22P8" localSheetId="9">#REF!</definedName>
    <definedName name="S22P8" localSheetId="10">#REF!</definedName>
    <definedName name="S22P8" localSheetId="8">#REF!</definedName>
    <definedName name="S22P8">#REF!</definedName>
    <definedName name="S22P9" localSheetId="4">#REF!</definedName>
    <definedName name="S22P9" localSheetId="5">#REF!</definedName>
    <definedName name="S22P9" localSheetId="0">#REF!</definedName>
    <definedName name="S22P9" localSheetId="9">#REF!</definedName>
    <definedName name="S22P9" localSheetId="10">#REF!</definedName>
    <definedName name="S22P9" localSheetId="8">#REF!</definedName>
    <definedName name="S22P9">#REF!</definedName>
    <definedName name="S22R1" localSheetId="4">#REF!</definedName>
    <definedName name="S22R1" localSheetId="5">#REF!</definedName>
    <definedName name="S22R1" localSheetId="0">#REF!</definedName>
    <definedName name="S22R1" localSheetId="9">#REF!</definedName>
    <definedName name="S22R1" localSheetId="10">#REF!</definedName>
    <definedName name="S22R1" localSheetId="8">#REF!</definedName>
    <definedName name="S22R1">#REF!</definedName>
    <definedName name="S22R10" localSheetId="4">#REF!</definedName>
    <definedName name="S22R10" localSheetId="5">#REF!</definedName>
    <definedName name="S22R10" localSheetId="0">#REF!</definedName>
    <definedName name="S22R10" localSheetId="9">#REF!</definedName>
    <definedName name="S22R10" localSheetId="10">#REF!</definedName>
    <definedName name="S22R10" localSheetId="8">#REF!</definedName>
    <definedName name="S22R10">#REF!</definedName>
    <definedName name="S22R11" localSheetId="4">#REF!</definedName>
    <definedName name="S22R11" localSheetId="5">#REF!</definedName>
    <definedName name="S22R11" localSheetId="0">#REF!</definedName>
    <definedName name="S22R11" localSheetId="9">#REF!</definedName>
    <definedName name="S22R11" localSheetId="10">#REF!</definedName>
    <definedName name="S22R11" localSheetId="8">#REF!</definedName>
    <definedName name="S22R11">#REF!</definedName>
    <definedName name="S22R12" localSheetId="4">#REF!</definedName>
    <definedName name="S22R12" localSheetId="5">#REF!</definedName>
    <definedName name="S22R12" localSheetId="0">#REF!</definedName>
    <definedName name="S22R12" localSheetId="9">#REF!</definedName>
    <definedName name="S22R12" localSheetId="10">#REF!</definedName>
    <definedName name="S22R12" localSheetId="8">#REF!</definedName>
    <definedName name="S22R12">#REF!</definedName>
    <definedName name="S22R13" localSheetId="4">#REF!</definedName>
    <definedName name="S22R13" localSheetId="5">#REF!</definedName>
    <definedName name="S22R13" localSheetId="0">#REF!</definedName>
    <definedName name="S22R13" localSheetId="9">#REF!</definedName>
    <definedName name="S22R13" localSheetId="10">#REF!</definedName>
    <definedName name="S22R13" localSheetId="8">#REF!</definedName>
    <definedName name="S22R13">#REF!</definedName>
    <definedName name="S22R14" localSheetId="4">#REF!</definedName>
    <definedName name="S22R14" localSheetId="5">#REF!</definedName>
    <definedName name="S22R14" localSheetId="0">#REF!</definedName>
    <definedName name="S22R14" localSheetId="9">#REF!</definedName>
    <definedName name="S22R14" localSheetId="10">#REF!</definedName>
    <definedName name="S22R14" localSheetId="8">#REF!</definedName>
    <definedName name="S22R14">#REF!</definedName>
    <definedName name="S22R15" localSheetId="4">#REF!</definedName>
    <definedName name="S22R15" localSheetId="5">#REF!</definedName>
    <definedName name="S22R15" localSheetId="0">#REF!</definedName>
    <definedName name="S22R15" localSheetId="9">#REF!</definedName>
    <definedName name="S22R15" localSheetId="10">#REF!</definedName>
    <definedName name="S22R15" localSheetId="8">#REF!</definedName>
    <definedName name="S22R15">#REF!</definedName>
    <definedName name="S22R16" localSheetId="4">#REF!</definedName>
    <definedName name="S22R16" localSheetId="5">#REF!</definedName>
    <definedName name="S22R16" localSheetId="0">#REF!</definedName>
    <definedName name="S22R16" localSheetId="9">#REF!</definedName>
    <definedName name="S22R16" localSheetId="10">#REF!</definedName>
    <definedName name="S22R16" localSheetId="8">#REF!</definedName>
    <definedName name="S22R16">#REF!</definedName>
    <definedName name="S22R17" localSheetId="4">#REF!</definedName>
    <definedName name="S22R17" localSheetId="5">#REF!</definedName>
    <definedName name="S22R17" localSheetId="0">#REF!</definedName>
    <definedName name="S22R17" localSheetId="9">#REF!</definedName>
    <definedName name="S22R17" localSheetId="10">#REF!</definedName>
    <definedName name="S22R17" localSheetId="8">#REF!</definedName>
    <definedName name="S22R17">#REF!</definedName>
    <definedName name="S22R18" localSheetId="4">#REF!</definedName>
    <definedName name="S22R18" localSheetId="5">#REF!</definedName>
    <definedName name="S22R18" localSheetId="0">#REF!</definedName>
    <definedName name="S22R18" localSheetId="9">#REF!</definedName>
    <definedName name="S22R18" localSheetId="10">#REF!</definedName>
    <definedName name="S22R18" localSheetId="8">#REF!</definedName>
    <definedName name="S22R18">#REF!</definedName>
    <definedName name="S22R19" localSheetId="4">#REF!</definedName>
    <definedName name="S22R19" localSheetId="5">#REF!</definedName>
    <definedName name="S22R19" localSheetId="0">#REF!</definedName>
    <definedName name="S22R19" localSheetId="9">#REF!</definedName>
    <definedName name="S22R19" localSheetId="10">#REF!</definedName>
    <definedName name="S22R19" localSheetId="8">#REF!</definedName>
    <definedName name="S22R19">#REF!</definedName>
    <definedName name="S22R2" localSheetId="4">#REF!</definedName>
    <definedName name="S22R2" localSheetId="5">#REF!</definedName>
    <definedName name="S22R2" localSheetId="0">#REF!</definedName>
    <definedName name="S22R2" localSheetId="9">#REF!</definedName>
    <definedName name="S22R2" localSheetId="10">#REF!</definedName>
    <definedName name="S22R2" localSheetId="8">#REF!</definedName>
    <definedName name="S22R2">#REF!</definedName>
    <definedName name="S22R20" localSheetId="4">#REF!</definedName>
    <definedName name="S22R20" localSheetId="5">#REF!</definedName>
    <definedName name="S22R20" localSheetId="0">#REF!</definedName>
    <definedName name="S22R20" localSheetId="9">#REF!</definedName>
    <definedName name="S22R20" localSheetId="10">#REF!</definedName>
    <definedName name="S22R20" localSheetId="8">#REF!</definedName>
    <definedName name="S22R20">#REF!</definedName>
    <definedName name="S22R21" localSheetId="4">#REF!</definedName>
    <definedName name="S22R21" localSheetId="5">#REF!</definedName>
    <definedName name="S22R21" localSheetId="0">#REF!</definedName>
    <definedName name="S22R21" localSheetId="9">#REF!</definedName>
    <definedName name="S22R21" localSheetId="10">#REF!</definedName>
    <definedName name="S22R21" localSheetId="8">#REF!</definedName>
    <definedName name="S22R21">#REF!</definedName>
    <definedName name="S22R22" localSheetId="4">#REF!</definedName>
    <definedName name="S22R22" localSheetId="5">#REF!</definedName>
    <definedName name="S22R22" localSheetId="0">#REF!</definedName>
    <definedName name="S22R22" localSheetId="9">#REF!</definedName>
    <definedName name="S22R22" localSheetId="10">#REF!</definedName>
    <definedName name="S22R22" localSheetId="8">#REF!</definedName>
    <definedName name="S22R22">#REF!</definedName>
    <definedName name="S22R23" localSheetId="4">#REF!</definedName>
    <definedName name="S22R23" localSheetId="5">#REF!</definedName>
    <definedName name="S22R23" localSheetId="0">#REF!</definedName>
    <definedName name="S22R23" localSheetId="9">#REF!</definedName>
    <definedName name="S22R23" localSheetId="10">#REF!</definedName>
    <definedName name="S22R23" localSheetId="8">#REF!</definedName>
    <definedName name="S22R23">#REF!</definedName>
    <definedName name="S22R24" localSheetId="4">#REF!</definedName>
    <definedName name="S22R24" localSheetId="5">#REF!</definedName>
    <definedName name="S22R24" localSheetId="0">#REF!</definedName>
    <definedName name="S22R24" localSheetId="9">#REF!</definedName>
    <definedName name="S22R24" localSheetId="10">#REF!</definedName>
    <definedName name="S22R24" localSheetId="8">#REF!</definedName>
    <definedName name="S22R24">#REF!</definedName>
    <definedName name="S22R3" localSheetId="4">#REF!</definedName>
    <definedName name="S22R3" localSheetId="5">#REF!</definedName>
    <definedName name="S22R3" localSheetId="0">#REF!</definedName>
    <definedName name="S22R3" localSheetId="9">#REF!</definedName>
    <definedName name="S22R3" localSheetId="10">#REF!</definedName>
    <definedName name="S22R3" localSheetId="8">#REF!</definedName>
    <definedName name="S22R3">#REF!</definedName>
    <definedName name="S22R4" localSheetId="4">#REF!</definedName>
    <definedName name="S22R4" localSheetId="5">#REF!</definedName>
    <definedName name="S22R4" localSheetId="0">#REF!</definedName>
    <definedName name="S22R4" localSheetId="9">#REF!</definedName>
    <definedName name="S22R4" localSheetId="10">#REF!</definedName>
    <definedName name="S22R4" localSheetId="8">#REF!</definedName>
    <definedName name="S22R4">#REF!</definedName>
    <definedName name="S22R5" localSheetId="4">#REF!</definedName>
    <definedName name="S22R5" localSheetId="5">#REF!</definedName>
    <definedName name="S22R5" localSheetId="0">#REF!</definedName>
    <definedName name="S22R5" localSheetId="9">#REF!</definedName>
    <definedName name="S22R5" localSheetId="10">#REF!</definedName>
    <definedName name="S22R5" localSheetId="8">#REF!</definedName>
    <definedName name="S22R5">#REF!</definedName>
    <definedName name="S22R6" localSheetId="4">#REF!</definedName>
    <definedName name="S22R6" localSheetId="5">#REF!</definedName>
    <definedName name="S22R6" localSheetId="0">#REF!</definedName>
    <definedName name="S22R6" localSheetId="9">#REF!</definedName>
    <definedName name="S22R6" localSheetId="10">#REF!</definedName>
    <definedName name="S22R6" localSheetId="8">#REF!</definedName>
    <definedName name="S22R6">#REF!</definedName>
    <definedName name="S22R7" localSheetId="4">#REF!</definedName>
    <definedName name="S22R7" localSheetId="5">#REF!</definedName>
    <definedName name="S22R7" localSheetId="0">#REF!</definedName>
    <definedName name="S22R7" localSheetId="9">#REF!</definedName>
    <definedName name="S22R7" localSheetId="10">#REF!</definedName>
    <definedName name="S22R7" localSheetId="8">#REF!</definedName>
    <definedName name="S22R7">#REF!</definedName>
    <definedName name="S22R8" localSheetId="4">#REF!</definedName>
    <definedName name="S22R8" localSheetId="5">#REF!</definedName>
    <definedName name="S22R8" localSheetId="0">#REF!</definedName>
    <definedName name="S22R8" localSheetId="9">#REF!</definedName>
    <definedName name="S22R8" localSheetId="10">#REF!</definedName>
    <definedName name="S22R8" localSheetId="8">#REF!</definedName>
    <definedName name="S22R8">#REF!</definedName>
    <definedName name="S22R9" localSheetId="4">#REF!</definedName>
    <definedName name="S22R9" localSheetId="5">#REF!</definedName>
    <definedName name="S22R9" localSheetId="0">#REF!</definedName>
    <definedName name="S22R9" localSheetId="9">#REF!</definedName>
    <definedName name="S22R9" localSheetId="10">#REF!</definedName>
    <definedName name="S22R9" localSheetId="8">#REF!</definedName>
    <definedName name="S22R9">#REF!</definedName>
    <definedName name="S23P1" localSheetId="4">#REF!</definedName>
    <definedName name="S23P1" localSheetId="5">#REF!</definedName>
    <definedName name="S23P1" localSheetId="0">#REF!</definedName>
    <definedName name="S23P1" localSheetId="9">#REF!</definedName>
    <definedName name="S23P1" localSheetId="10">#REF!</definedName>
    <definedName name="S23P1" localSheetId="8">#REF!</definedName>
    <definedName name="S23P1">#REF!</definedName>
    <definedName name="S23P10" localSheetId="4">#REF!</definedName>
    <definedName name="S23P10" localSheetId="5">#REF!</definedName>
    <definedName name="S23P10" localSheetId="0">#REF!</definedName>
    <definedName name="S23P10" localSheetId="9">#REF!</definedName>
    <definedName name="S23P10" localSheetId="10">#REF!</definedName>
    <definedName name="S23P10" localSheetId="8">#REF!</definedName>
    <definedName name="S23P10">#REF!</definedName>
    <definedName name="S23P11" localSheetId="4">#REF!</definedName>
    <definedName name="S23P11" localSheetId="5">#REF!</definedName>
    <definedName name="S23P11" localSheetId="0">#REF!</definedName>
    <definedName name="S23P11" localSheetId="9">#REF!</definedName>
    <definedName name="S23P11" localSheetId="10">#REF!</definedName>
    <definedName name="S23P11" localSheetId="8">#REF!</definedName>
    <definedName name="S23P11">#REF!</definedName>
    <definedName name="S23P12" localSheetId="4">#REF!</definedName>
    <definedName name="S23P12" localSheetId="5">#REF!</definedName>
    <definedName name="S23P12" localSheetId="0">#REF!</definedName>
    <definedName name="S23P12" localSheetId="9">#REF!</definedName>
    <definedName name="S23P12" localSheetId="10">#REF!</definedName>
    <definedName name="S23P12" localSheetId="8">#REF!</definedName>
    <definedName name="S23P12">#REF!</definedName>
    <definedName name="S23P13" localSheetId="4">#REF!</definedName>
    <definedName name="S23P13" localSheetId="5">#REF!</definedName>
    <definedName name="S23P13" localSheetId="0">#REF!</definedName>
    <definedName name="S23P13" localSheetId="9">#REF!</definedName>
    <definedName name="S23P13" localSheetId="10">#REF!</definedName>
    <definedName name="S23P13" localSheetId="8">#REF!</definedName>
    <definedName name="S23P13">#REF!</definedName>
    <definedName name="S23P14" localSheetId="4">#REF!</definedName>
    <definedName name="S23P14" localSheetId="5">#REF!</definedName>
    <definedName name="S23P14" localSheetId="0">#REF!</definedName>
    <definedName name="S23P14" localSheetId="9">#REF!</definedName>
    <definedName name="S23P14" localSheetId="10">#REF!</definedName>
    <definedName name="S23P14" localSheetId="8">#REF!</definedName>
    <definedName name="S23P14">#REF!</definedName>
    <definedName name="S23P15" localSheetId="4">#REF!</definedName>
    <definedName name="S23P15" localSheetId="5">#REF!</definedName>
    <definedName name="S23P15" localSheetId="0">#REF!</definedName>
    <definedName name="S23P15" localSheetId="9">#REF!</definedName>
    <definedName name="S23P15" localSheetId="10">#REF!</definedName>
    <definedName name="S23P15" localSheetId="8">#REF!</definedName>
    <definedName name="S23P15">#REF!</definedName>
    <definedName name="S23P16" localSheetId="4">#REF!</definedName>
    <definedName name="S23P16" localSheetId="5">#REF!</definedName>
    <definedName name="S23P16" localSheetId="0">#REF!</definedName>
    <definedName name="S23P16" localSheetId="9">#REF!</definedName>
    <definedName name="S23P16" localSheetId="10">#REF!</definedName>
    <definedName name="S23P16" localSheetId="8">#REF!</definedName>
    <definedName name="S23P16">#REF!</definedName>
    <definedName name="S23P17" localSheetId="4">#REF!</definedName>
    <definedName name="S23P17" localSheetId="5">#REF!</definedName>
    <definedName name="S23P17" localSheetId="0">#REF!</definedName>
    <definedName name="S23P17" localSheetId="9">#REF!</definedName>
    <definedName name="S23P17" localSheetId="10">#REF!</definedName>
    <definedName name="S23P17" localSheetId="8">#REF!</definedName>
    <definedName name="S23P17">#REF!</definedName>
    <definedName name="S23P18" localSheetId="4">#REF!</definedName>
    <definedName name="S23P18" localSheetId="5">#REF!</definedName>
    <definedName name="S23P18" localSheetId="0">#REF!</definedName>
    <definedName name="S23P18" localSheetId="9">#REF!</definedName>
    <definedName name="S23P18" localSheetId="10">#REF!</definedName>
    <definedName name="S23P18" localSheetId="8">#REF!</definedName>
    <definedName name="S23P18">#REF!</definedName>
    <definedName name="S23P19" localSheetId="4">#REF!</definedName>
    <definedName name="S23P19" localSheetId="5">#REF!</definedName>
    <definedName name="S23P19" localSheetId="0">#REF!</definedName>
    <definedName name="S23P19" localSheetId="9">#REF!</definedName>
    <definedName name="S23P19" localSheetId="10">#REF!</definedName>
    <definedName name="S23P19" localSheetId="8">#REF!</definedName>
    <definedName name="S23P19">#REF!</definedName>
    <definedName name="S23P2" localSheetId="4">#REF!</definedName>
    <definedName name="S23P2" localSheetId="5">#REF!</definedName>
    <definedName name="S23P2" localSheetId="0">#REF!</definedName>
    <definedName name="S23P2" localSheetId="9">#REF!</definedName>
    <definedName name="S23P2" localSheetId="10">#REF!</definedName>
    <definedName name="S23P2" localSheetId="8">#REF!</definedName>
    <definedName name="S23P2">#REF!</definedName>
    <definedName name="S23P20" localSheetId="4">#REF!</definedName>
    <definedName name="S23P20" localSheetId="5">#REF!</definedName>
    <definedName name="S23P20" localSheetId="0">#REF!</definedName>
    <definedName name="S23P20" localSheetId="9">#REF!</definedName>
    <definedName name="S23P20" localSheetId="10">#REF!</definedName>
    <definedName name="S23P20" localSheetId="8">#REF!</definedName>
    <definedName name="S23P20">#REF!</definedName>
    <definedName name="S23P21" localSheetId="4">#REF!</definedName>
    <definedName name="S23P21" localSheetId="5">#REF!</definedName>
    <definedName name="S23P21" localSheetId="0">#REF!</definedName>
    <definedName name="S23P21" localSheetId="9">#REF!</definedName>
    <definedName name="S23P21" localSheetId="10">#REF!</definedName>
    <definedName name="S23P21" localSheetId="8">#REF!</definedName>
    <definedName name="S23P21">#REF!</definedName>
    <definedName name="S23P22" localSheetId="4">#REF!</definedName>
    <definedName name="S23P22" localSheetId="5">#REF!</definedName>
    <definedName name="S23P22" localSheetId="0">#REF!</definedName>
    <definedName name="S23P22" localSheetId="9">#REF!</definedName>
    <definedName name="S23P22" localSheetId="10">#REF!</definedName>
    <definedName name="S23P22" localSheetId="8">#REF!</definedName>
    <definedName name="S23P22">#REF!</definedName>
    <definedName name="S23P23" localSheetId="4">#REF!</definedName>
    <definedName name="S23P23" localSheetId="5">#REF!</definedName>
    <definedName name="S23P23" localSheetId="0">#REF!</definedName>
    <definedName name="S23P23" localSheetId="9">#REF!</definedName>
    <definedName name="S23P23" localSheetId="10">#REF!</definedName>
    <definedName name="S23P23" localSheetId="8">#REF!</definedName>
    <definedName name="S23P23">#REF!</definedName>
    <definedName name="S23P24" localSheetId="4">#REF!</definedName>
    <definedName name="S23P24" localSheetId="5">#REF!</definedName>
    <definedName name="S23P24" localSheetId="0">#REF!</definedName>
    <definedName name="S23P24" localSheetId="9">#REF!</definedName>
    <definedName name="S23P24" localSheetId="10">#REF!</definedName>
    <definedName name="S23P24" localSheetId="8">#REF!</definedName>
    <definedName name="S23P24">#REF!</definedName>
    <definedName name="S23P3" localSheetId="4">#REF!</definedName>
    <definedName name="S23P3" localSheetId="5">#REF!</definedName>
    <definedName name="S23P3" localSheetId="0">#REF!</definedName>
    <definedName name="S23P3" localSheetId="9">#REF!</definedName>
    <definedName name="S23P3" localSheetId="10">#REF!</definedName>
    <definedName name="S23P3" localSheetId="8">#REF!</definedName>
    <definedName name="S23P3">#REF!</definedName>
    <definedName name="S23P4" localSheetId="4">#REF!</definedName>
    <definedName name="S23P4" localSheetId="5">#REF!</definedName>
    <definedName name="S23P4" localSheetId="0">#REF!</definedName>
    <definedName name="S23P4" localSheetId="9">#REF!</definedName>
    <definedName name="S23P4" localSheetId="10">#REF!</definedName>
    <definedName name="S23P4" localSheetId="8">#REF!</definedName>
    <definedName name="S23P4">#REF!</definedName>
    <definedName name="S23P5" localSheetId="4">#REF!</definedName>
    <definedName name="S23P5" localSheetId="5">#REF!</definedName>
    <definedName name="S23P5" localSheetId="0">#REF!</definedName>
    <definedName name="S23P5" localSheetId="9">#REF!</definedName>
    <definedName name="S23P5" localSheetId="10">#REF!</definedName>
    <definedName name="S23P5" localSheetId="8">#REF!</definedName>
    <definedName name="S23P5">#REF!</definedName>
    <definedName name="S23P6" localSheetId="4">#REF!</definedName>
    <definedName name="S23P6" localSheetId="5">#REF!</definedName>
    <definedName name="S23P6" localSheetId="0">#REF!</definedName>
    <definedName name="S23P6" localSheetId="9">#REF!</definedName>
    <definedName name="S23P6" localSheetId="10">#REF!</definedName>
    <definedName name="S23P6" localSheetId="8">#REF!</definedName>
    <definedName name="S23P6">#REF!</definedName>
    <definedName name="S23P7" localSheetId="4">#REF!</definedName>
    <definedName name="S23P7" localSheetId="5">#REF!</definedName>
    <definedName name="S23P7" localSheetId="0">#REF!</definedName>
    <definedName name="S23P7" localSheetId="9">#REF!</definedName>
    <definedName name="S23P7" localSheetId="10">#REF!</definedName>
    <definedName name="S23P7" localSheetId="8">#REF!</definedName>
    <definedName name="S23P7">#REF!</definedName>
    <definedName name="S23P8" localSheetId="4">#REF!</definedName>
    <definedName name="S23P8" localSheetId="5">#REF!</definedName>
    <definedName name="S23P8" localSheetId="0">#REF!</definedName>
    <definedName name="S23P8" localSheetId="9">#REF!</definedName>
    <definedName name="S23P8" localSheetId="10">#REF!</definedName>
    <definedName name="S23P8" localSheetId="8">#REF!</definedName>
    <definedName name="S23P8">#REF!</definedName>
    <definedName name="S23P9" localSheetId="4">#REF!</definedName>
    <definedName name="S23P9" localSheetId="5">#REF!</definedName>
    <definedName name="S23P9" localSheetId="0">#REF!</definedName>
    <definedName name="S23P9" localSheetId="9">#REF!</definedName>
    <definedName name="S23P9" localSheetId="10">#REF!</definedName>
    <definedName name="S23P9" localSheetId="8">#REF!</definedName>
    <definedName name="S23P9">#REF!</definedName>
    <definedName name="S23R1" localSheetId="4">#REF!</definedName>
    <definedName name="S23R1" localSheetId="5">#REF!</definedName>
    <definedName name="S23R1" localSheetId="0">#REF!</definedName>
    <definedName name="S23R1" localSheetId="9">#REF!</definedName>
    <definedName name="S23R1" localSheetId="10">#REF!</definedName>
    <definedName name="S23R1" localSheetId="8">#REF!</definedName>
    <definedName name="S23R1">#REF!</definedName>
    <definedName name="S23R10" localSheetId="4">#REF!</definedName>
    <definedName name="S23R10" localSheetId="5">#REF!</definedName>
    <definedName name="S23R10" localSheetId="0">#REF!</definedName>
    <definedName name="S23R10" localSheetId="9">#REF!</definedName>
    <definedName name="S23R10" localSheetId="10">#REF!</definedName>
    <definedName name="S23R10" localSheetId="8">#REF!</definedName>
    <definedName name="S23R10">#REF!</definedName>
    <definedName name="S23R11" localSheetId="4">#REF!</definedName>
    <definedName name="S23R11" localSheetId="5">#REF!</definedName>
    <definedName name="S23R11" localSheetId="0">#REF!</definedName>
    <definedName name="S23R11" localSheetId="9">#REF!</definedName>
    <definedName name="S23R11" localSheetId="10">#REF!</definedName>
    <definedName name="S23R11" localSheetId="8">#REF!</definedName>
    <definedName name="S23R11">#REF!</definedName>
    <definedName name="S23R12" localSheetId="4">#REF!</definedName>
    <definedName name="S23R12" localSheetId="5">#REF!</definedName>
    <definedName name="S23R12" localSheetId="0">#REF!</definedName>
    <definedName name="S23R12" localSheetId="9">#REF!</definedName>
    <definedName name="S23R12" localSheetId="10">#REF!</definedName>
    <definedName name="S23R12" localSheetId="8">#REF!</definedName>
    <definedName name="S23R12">#REF!</definedName>
    <definedName name="S23R13" localSheetId="4">#REF!</definedName>
    <definedName name="S23R13" localSheetId="5">#REF!</definedName>
    <definedName name="S23R13" localSheetId="0">#REF!</definedName>
    <definedName name="S23R13" localSheetId="9">#REF!</definedName>
    <definedName name="S23R13" localSheetId="10">#REF!</definedName>
    <definedName name="S23R13" localSheetId="8">#REF!</definedName>
    <definedName name="S23R13">#REF!</definedName>
    <definedName name="S23R14" localSheetId="4">#REF!</definedName>
    <definedName name="S23R14" localSheetId="5">#REF!</definedName>
    <definedName name="S23R14" localSheetId="0">#REF!</definedName>
    <definedName name="S23R14" localSheetId="9">#REF!</definedName>
    <definedName name="S23R14" localSheetId="10">#REF!</definedName>
    <definedName name="S23R14" localSheetId="8">#REF!</definedName>
    <definedName name="S23R14">#REF!</definedName>
    <definedName name="S23R15" localSheetId="4">#REF!</definedName>
    <definedName name="S23R15" localSheetId="5">#REF!</definedName>
    <definedName name="S23R15" localSheetId="0">#REF!</definedName>
    <definedName name="S23R15" localSheetId="9">#REF!</definedName>
    <definedName name="S23R15" localSheetId="10">#REF!</definedName>
    <definedName name="S23R15" localSheetId="8">#REF!</definedName>
    <definedName name="S23R15">#REF!</definedName>
    <definedName name="S23R16" localSheetId="4">#REF!</definedName>
    <definedName name="S23R16" localSheetId="5">#REF!</definedName>
    <definedName name="S23R16" localSheetId="0">#REF!</definedName>
    <definedName name="S23R16" localSheetId="9">#REF!</definedName>
    <definedName name="S23R16" localSheetId="10">#REF!</definedName>
    <definedName name="S23R16" localSheetId="8">#REF!</definedName>
    <definedName name="S23R16">#REF!</definedName>
    <definedName name="S23R17" localSheetId="4">#REF!</definedName>
    <definedName name="S23R17" localSheetId="5">#REF!</definedName>
    <definedName name="S23R17" localSheetId="0">#REF!</definedName>
    <definedName name="S23R17" localSheetId="9">#REF!</definedName>
    <definedName name="S23R17" localSheetId="10">#REF!</definedName>
    <definedName name="S23R17" localSheetId="8">#REF!</definedName>
    <definedName name="S23R17">#REF!</definedName>
    <definedName name="S23R18" localSheetId="4">#REF!</definedName>
    <definedName name="S23R18" localSheetId="5">#REF!</definedName>
    <definedName name="S23R18" localSheetId="0">#REF!</definedName>
    <definedName name="S23R18" localSheetId="9">#REF!</definedName>
    <definedName name="S23R18" localSheetId="10">#REF!</definedName>
    <definedName name="S23R18" localSheetId="8">#REF!</definedName>
    <definedName name="S23R18">#REF!</definedName>
    <definedName name="S23R19" localSheetId="4">#REF!</definedName>
    <definedName name="S23R19" localSheetId="5">#REF!</definedName>
    <definedName name="S23R19" localSheetId="0">#REF!</definedName>
    <definedName name="S23R19" localSheetId="9">#REF!</definedName>
    <definedName name="S23R19" localSheetId="10">#REF!</definedName>
    <definedName name="S23R19" localSheetId="8">#REF!</definedName>
    <definedName name="S23R19">#REF!</definedName>
    <definedName name="S23R2" localSheetId="4">#REF!</definedName>
    <definedName name="S23R2" localSheetId="5">#REF!</definedName>
    <definedName name="S23R2" localSheetId="0">#REF!</definedName>
    <definedName name="S23R2" localSheetId="9">#REF!</definedName>
    <definedName name="S23R2" localSheetId="10">#REF!</definedName>
    <definedName name="S23R2" localSheetId="8">#REF!</definedName>
    <definedName name="S23R2">#REF!</definedName>
    <definedName name="S23R20" localSheetId="4">#REF!</definedName>
    <definedName name="S23R20" localSheetId="5">#REF!</definedName>
    <definedName name="S23R20" localSheetId="0">#REF!</definedName>
    <definedName name="S23R20" localSheetId="9">#REF!</definedName>
    <definedName name="S23R20" localSheetId="10">#REF!</definedName>
    <definedName name="S23R20" localSheetId="8">#REF!</definedName>
    <definedName name="S23R20">#REF!</definedName>
    <definedName name="S23R21" localSheetId="4">#REF!</definedName>
    <definedName name="S23R21" localSheetId="5">#REF!</definedName>
    <definedName name="S23R21" localSheetId="0">#REF!</definedName>
    <definedName name="S23R21" localSheetId="9">#REF!</definedName>
    <definedName name="S23R21" localSheetId="10">#REF!</definedName>
    <definedName name="S23R21" localSheetId="8">#REF!</definedName>
    <definedName name="S23R21">#REF!</definedName>
    <definedName name="S23R22" localSheetId="4">#REF!</definedName>
    <definedName name="S23R22" localSheetId="5">#REF!</definedName>
    <definedName name="S23R22" localSheetId="0">#REF!</definedName>
    <definedName name="S23R22" localSheetId="9">#REF!</definedName>
    <definedName name="S23R22" localSheetId="10">#REF!</definedName>
    <definedName name="S23R22" localSheetId="8">#REF!</definedName>
    <definedName name="S23R22">#REF!</definedName>
    <definedName name="S23R23" localSheetId="4">#REF!</definedName>
    <definedName name="S23R23" localSheetId="5">#REF!</definedName>
    <definedName name="S23R23" localSheetId="0">#REF!</definedName>
    <definedName name="S23R23" localSheetId="9">#REF!</definedName>
    <definedName name="S23R23" localSheetId="10">#REF!</definedName>
    <definedName name="S23R23" localSheetId="8">#REF!</definedName>
    <definedName name="S23R23">#REF!</definedName>
    <definedName name="S23R24" localSheetId="4">#REF!</definedName>
    <definedName name="S23R24" localSheetId="5">#REF!</definedName>
    <definedName name="S23R24" localSheetId="0">#REF!</definedName>
    <definedName name="S23R24" localSheetId="9">#REF!</definedName>
    <definedName name="S23R24" localSheetId="10">#REF!</definedName>
    <definedName name="S23R24" localSheetId="8">#REF!</definedName>
    <definedName name="S23R24">#REF!</definedName>
    <definedName name="S23R3" localSheetId="4">#REF!</definedName>
    <definedName name="S23R3" localSheetId="5">#REF!</definedName>
    <definedName name="S23R3" localSheetId="0">#REF!</definedName>
    <definedName name="S23R3" localSheetId="9">#REF!</definedName>
    <definedName name="S23R3" localSheetId="10">#REF!</definedName>
    <definedName name="S23R3" localSheetId="8">#REF!</definedName>
    <definedName name="S23R3">#REF!</definedName>
    <definedName name="S23R4" localSheetId="4">#REF!</definedName>
    <definedName name="S23R4" localSheetId="5">#REF!</definedName>
    <definedName name="S23R4" localSheetId="0">#REF!</definedName>
    <definedName name="S23R4" localSheetId="9">#REF!</definedName>
    <definedName name="S23R4" localSheetId="10">#REF!</definedName>
    <definedName name="S23R4" localSheetId="8">#REF!</definedName>
    <definedName name="S23R4">#REF!</definedName>
    <definedName name="S23R5" localSheetId="4">#REF!</definedName>
    <definedName name="S23R5" localSheetId="5">#REF!</definedName>
    <definedName name="S23R5" localSheetId="0">#REF!</definedName>
    <definedName name="S23R5" localSheetId="9">#REF!</definedName>
    <definedName name="S23R5" localSheetId="10">#REF!</definedName>
    <definedName name="S23R5" localSheetId="8">#REF!</definedName>
    <definedName name="S23R5">#REF!</definedName>
    <definedName name="S23R6" localSheetId="4">#REF!</definedName>
    <definedName name="S23R6" localSheetId="5">#REF!</definedName>
    <definedName name="S23R6" localSheetId="0">#REF!</definedName>
    <definedName name="S23R6" localSheetId="9">#REF!</definedName>
    <definedName name="S23R6" localSheetId="10">#REF!</definedName>
    <definedName name="S23R6" localSheetId="8">#REF!</definedName>
    <definedName name="S23R6">#REF!</definedName>
    <definedName name="S23R7" localSheetId="4">#REF!</definedName>
    <definedName name="S23R7" localSheetId="5">#REF!</definedName>
    <definedName name="S23R7" localSheetId="0">#REF!</definedName>
    <definedName name="S23R7" localSheetId="9">#REF!</definedName>
    <definedName name="S23R7" localSheetId="10">#REF!</definedName>
    <definedName name="S23R7" localSheetId="8">#REF!</definedName>
    <definedName name="S23R7">#REF!</definedName>
    <definedName name="S23R8" localSheetId="4">#REF!</definedName>
    <definedName name="S23R8" localSheetId="5">#REF!</definedName>
    <definedName name="S23R8" localSheetId="0">#REF!</definedName>
    <definedName name="S23R8" localSheetId="9">#REF!</definedName>
    <definedName name="S23R8" localSheetId="10">#REF!</definedName>
    <definedName name="S23R8" localSheetId="8">#REF!</definedName>
    <definedName name="S23R8">#REF!</definedName>
    <definedName name="S23R9" localSheetId="4">#REF!</definedName>
    <definedName name="S23R9" localSheetId="5">#REF!</definedName>
    <definedName name="S23R9" localSheetId="0">#REF!</definedName>
    <definedName name="S23R9" localSheetId="9">#REF!</definedName>
    <definedName name="S23R9" localSheetId="10">#REF!</definedName>
    <definedName name="S23R9" localSheetId="8">#REF!</definedName>
    <definedName name="S23R9">#REF!</definedName>
    <definedName name="S24P1" localSheetId="4">#REF!</definedName>
    <definedName name="S24P1" localSheetId="5">#REF!</definedName>
    <definedName name="S24P1" localSheetId="0">#REF!</definedName>
    <definedName name="S24P1" localSheetId="9">#REF!</definedName>
    <definedName name="S24P1" localSheetId="10">#REF!</definedName>
    <definedName name="S24P1" localSheetId="8">#REF!</definedName>
    <definedName name="S24P1">#REF!</definedName>
    <definedName name="S24P10" localSheetId="4">#REF!</definedName>
    <definedName name="S24P10" localSheetId="5">#REF!</definedName>
    <definedName name="S24P10" localSheetId="0">#REF!</definedName>
    <definedName name="S24P10" localSheetId="9">#REF!</definedName>
    <definedName name="S24P10" localSheetId="10">#REF!</definedName>
    <definedName name="S24P10" localSheetId="8">#REF!</definedName>
    <definedName name="S24P10">#REF!</definedName>
    <definedName name="S24P11" localSheetId="4">#REF!</definedName>
    <definedName name="S24P11" localSheetId="5">#REF!</definedName>
    <definedName name="S24P11" localSheetId="0">#REF!</definedName>
    <definedName name="S24P11" localSheetId="9">#REF!</definedName>
    <definedName name="S24P11" localSheetId="10">#REF!</definedName>
    <definedName name="S24P11" localSheetId="8">#REF!</definedName>
    <definedName name="S24P11">#REF!</definedName>
    <definedName name="S24P12" localSheetId="4">#REF!</definedName>
    <definedName name="S24P12" localSheetId="5">#REF!</definedName>
    <definedName name="S24P12" localSheetId="0">#REF!</definedName>
    <definedName name="S24P12" localSheetId="9">#REF!</definedName>
    <definedName name="S24P12" localSheetId="10">#REF!</definedName>
    <definedName name="S24P12" localSheetId="8">#REF!</definedName>
    <definedName name="S24P12">#REF!</definedName>
    <definedName name="S24P13" localSheetId="4">#REF!</definedName>
    <definedName name="S24P13" localSheetId="5">#REF!</definedName>
    <definedName name="S24P13" localSheetId="0">#REF!</definedName>
    <definedName name="S24P13" localSheetId="9">#REF!</definedName>
    <definedName name="S24P13" localSheetId="10">#REF!</definedName>
    <definedName name="S24P13" localSheetId="8">#REF!</definedName>
    <definedName name="S24P13">#REF!</definedName>
    <definedName name="S24P14" localSheetId="4">#REF!</definedName>
    <definedName name="S24P14" localSheetId="5">#REF!</definedName>
    <definedName name="S24P14" localSheetId="0">#REF!</definedName>
    <definedName name="S24P14" localSheetId="9">#REF!</definedName>
    <definedName name="S24P14" localSheetId="10">#REF!</definedName>
    <definedName name="S24P14" localSheetId="8">#REF!</definedName>
    <definedName name="S24P14">#REF!</definedName>
    <definedName name="S24P15" localSheetId="4">#REF!</definedName>
    <definedName name="S24P15" localSheetId="5">#REF!</definedName>
    <definedName name="S24P15" localSheetId="0">#REF!</definedName>
    <definedName name="S24P15" localSheetId="9">#REF!</definedName>
    <definedName name="S24P15" localSheetId="10">#REF!</definedName>
    <definedName name="S24P15" localSheetId="8">#REF!</definedName>
    <definedName name="S24P15">#REF!</definedName>
    <definedName name="S24P16" localSheetId="4">#REF!</definedName>
    <definedName name="S24P16" localSheetId="5">#REF!</definedName>
    <definedName name="S24P16" localSheetId="0">#REF!</definedName>
    <definedName name="S24P16" localSheetId="9">#REF!</definedName>
    <definedName name="S24P16" localSheetId="10">#REF!</definedName>
    <definedName name="S24P16" localSheetId="8">#REF!</definedName>
    <definedName name="S24P16">#REF!</definedName>
    <definedName name="S24P17" localSheetId="4">#REF!</definedName>
    <definedName name="S24P17" localSheetId="5">#REF!</definedName>
    <definedName name="S24P17" localSheetId="0">#REF!</definedName>
    <definedName name="S24P17" localSheetId="9">#REF!</definedName>
    <definedName name="S24P17" localSheetId="10">#REF!</definedName>
    <definedName name="S24P17" localSheetId="8">#REF!</definedName>
    <definedName name="S24P17">#REF!</definedName>
    <definedName name="S24P18" localSheetId="4">#REF!</definedName>
    <definedName name="S24P18" localSheetId="5">#REF!</definedName>
    <definedName name="S24P18" localSheetId="0">#REF!</definedName>
    <definedName name="S24P18" localSheetId="9">#REF!</definedName>
    <definedName name="S24P18" localSheetId="10">#REF!</definedName>
    <definedName name="S24P18" localSheetId="8">#REF!</definedName>
    <definedName name="S24P18">#REF!</definedName>
    <definedName name="S24P19" localSheetId="4">#REF!</definedName>
    <definedName name="S24P19" localSheetId="5">#REF!</definedName>
    <definedName name="S24P19" localSheetId="0">#REF!</definedName>
    <definedName name="S24P19" localSheetId="9">#REF!</definedName>
    <definedName name="S24P19" localSheetId="10">#REF!</definedName>
    <definedName name="S24P19" localSheetId="8">#REF!</definedName>
    <definedName name="S24P19">#REF!</definedName>
    <definedName name="S24P2" localSheetId="4">#REF!</definedName>
    <definedName name="S24P2" localSheetId="5">#REF!</definedName>
    <definedName name="S24P2" localSheetId="0">#REF!</definedName>
    <definedName name="S24P2" localSheetId="9">#REF!</definedName>
    <definedName name="S24P2" localSheetId="10">#REF!</definedName>
    <definedName name="S24P2" localSheetId="8">#REF!</definedName>
    <definedName name="S24P2">#REF!</definedName>
    <definedName name="S24P20" localSheetId="4">#REF!</definedName>
    <definedName name="S24P20" localSheetId="5">#REF!</definedName>
    <definedName name="S24P20" localSheetId="0">#REF!</definedName>
    <definedName name="S24P20" localSheetId="9">#REF!</definedName>
    <definedName name="S24P20" localSheetId="10">#REF!</definedName>
    <definedName name="S24P20" localSheetId="8">#REF!</definedName>
    <definedName name="S24P20">#REF!</definedName>
    <definedName name="S24P21" localSheetId="4">#REF!</definedName>
    <definedName name="S24P21" localSheetId="5">#REF!</definedName>
    <definedName name="S24P21" localSheetId="0">#REF!</definedName>
    <definedName name="S24P21" localSheetId="9">#REF!</definedName>
    <definedName name="S24P21" localSheetId="10">#REF!</definedName>
    <definedName name="S24P21" localSheetId="8">#REF!</definedName>
    <definedName name="S24P21">#REF!</definedName>
    <definedName name="S24P22" localSheetId="4">#REF!</definedName>
    <definedName name="S24P22" localSheetId="5">#REF!</definedName>
    <definedName name="S24P22" localSheetId="0">#REF!</definedName>
    <definedName name="S24P22" localSheetId="9">#REF!</definedName>
    <definedName name="S24P22" localSheetId="10">#REF!</definedName>
    <definedName name="S24P22" localSheetId="8">#REF!</definedName>
    <definedName name="S24P22">#REF!</definedName>
    <definedName name="S24P23" localSheetId="4">#REF!</definedName>
    <definedName name="S24P23" localSheetId="5">#REF!</definedName>
    <definedName name="S24P23" localSheetId="0">#REF!</definedName>
    <definedName name="S24P23" localSheetId="9">#REF!</definedName>
    <definedName name="S24P23" localSheetId="10">#REF!</definedName>
    <definedName name="S24P23" localSheetId="8">#REF!</definedName>
    <definedName name="S24P23">#REF!</definedName>
    <definedName name="S24P24" localSheetId="4">#REF!</definedName>
    <definedName name="S24P24" localSheetId="5">#REF!</definedName>
    <definedName name="S24P24" localSheetId="0">#REF!</definedName>
    <definedName name="S24P24" localSheetId="9">#REF!</definedName>
    <definedName name="S24P24" localSheetId="10">#REF!</definedName>
    <definedName name="S24P24" localSheetId="8">#REF!</definedName>
    <definedName name="S24P24">#REF!</definedName>
    <definedName name="S24P3" localSheetId="4">#REF!</definedName>
    <definedName name="S24P3" localSheetId="5">#REF!</definedName>
    <definedName name="S24P3" localSheetId="0">#REF!</definedName>
    <definedName name="S24P3" localSheetId="9">#REF!</definedName>
    <definedName name="S24P3" localSheetId="10">#REF!</definedName>
    <definedName name="S24P3" localSheetId="8">#REF!</definedName>
    <definedName name="S24P3">#REF!</definedName>
    <definedName name="S24P4" localSheetId="4">#REF!</definedName>
    <definedName name="S24P4" localSheetId="5">#REF!</definedName>
    <definedName name="S24P4" localSheetId="0">#REF!</definedName>
    <definedName name="S24P4" localSheetId="9">#REF!</definedName>
    <definedName name="S24P4" localSheetId="10">#REF!</definedName>
    <definedName name="S24P4" localSheetId="8">#REF!</definedName>
    <definedName name="S24P4">#REF!</definedName>
    <definedName name="S24P5" localSheetId="4">#REF!</definedName>
    <definedName name="S24P5" localSheetId="5">#REF!</definedName>
    <definedName name="S24P5" localSheetId="0">#REF!</definedName>
    <definedName name="S24P5" localSheetId="9">#REF!</definedName>
    <definedName name="S24P5" localSheetId="10">#REF!</definedName>
    <definedName name="S24P5" localSheetId="8">#REF!</definedName>
    <definedName name="S24P5">#REF!</definedName>
    <definedName name="S24P6" localSheetId="4">#REF!</definedName>
    <definedName name="S24P6" localSheetId="5">#REF!</definedName>
    <definedName name="S24P6" localSheetId="0">#REF!</definedName>
    <definedName name="S24P6" localSheetId="9">#REF!</definedName>
    <definedName name="S24P6" localSheetId="10">#REF!</definedName>
    <definedName name="S24P6" localSheetId="8">#REF!</definedName>
    <definedName name="S24P6">#REF!</definedName>
    <definedName name="S24P7" localSheetId="4">#REF!</definedName>
    <definedName name="S24P7" localSheetId="5">#REF!</definedName>
    <definedName name="S24P7" localSheetId="0">#REF!</definedName>
    <definedName name="S24P7" localSheetId="9">#REF!</definedName>
    <definedName name="S24P7" localSheetId="10">#REF!</definedName>
    <definedName name="S24P7" localSheetId="8">#REF!</definedName>
    <definedName name="S24P7">#REF!</definedName>
    <definedName name="S24P8" localSheetId="4">#REF!</definedName>
    <definedName name="S24P8" localSheetId="5">#REF!</definedName>
    <definedName name="S24P8" localSheetId="0">#REF!</definedName>
    <definedName name="S24P8" localSheetId="9">#REF!</definedName>
    <definedName name="S24P8" localSheetId="10">#REF!</definedName>
    <definedName name="S24P8" localSheetId="8">#REF!</definedName>
    <definedName name="S24P8">#REF!</definedName>
    <definedName name="S24P9" localSheetId="4">#REF!</definedName>
    <definedName name="S24P9" localSheetId="5">#REF!</definedName>
    <definedName name="S24P9" localSheetId="0">#REF!</definedName>
    <definedName name="S24P9" localSheetId="9">#REF!</definedName>
    <definedName name="S24P9" localSheetId="10">#REF!</definedName>
    <definedName name="S24P9" localSheetId="8">#REF!</definedName>
    <definedName name="S24P9">#REF!</definedName>
    <definedName name="S24R1" localSheetId="4">#REF!</definedName>
    <definedName name="S24R1" localSheetId="5">#REF!</definedName>
    <definedName name="S24R1" localSheetId="0">#REF!</definedName>
    <definedName name="S24R1" localSheetId="9">#REF!</definedName>
    <definedName name="S24R1" localSheetId="10">#REF!</definedName>
    <definedName name="S24R1" localSheetId="8">#REF!</definedName>
    <definedName name="S24R1">#REF!</definedName>
    <definedName name="S24R10" localSheetId="4">#REF!</definedName>
    <definedName name="S24R10" localSheetId="5">#REF!</definedName>
    <definedName name="S24R10" localSheetId="0">#REF!</definedName>
    <definedName name="S24R10" localSheetId="9">#REF!</definedName>
    <definedName name="S24R10" localSheetId="10">#REF!</definedName>
    <definedName name="S24R10" localSheetId="8">#REF!</definedName>
    <definedName name="S24R10">#REF!</definedName>
    <definedName name="S24R11" localSheetId="4">#REF!</definedName>
    <definedName name="S24R11" localSheetId="5">#REF!</definedName>
    <definedName name="S24R11" localSheetId="0">#REF!</definedName>
    <definedName name="S24R11" localSheetId="9">#REF!</definedName>
    <definedName name="S24R11" localSheetId="10">#REF!</definedName>
    <definedName name="S24R11" localSheetId="8">#REF!</definedName>
    <definedName name="S24R11">#REF!</definedName>
    <definedName name="S24R12" localSheetId="4">#REF!</definedName>
    <definedName name="S24R12" localSheetId="5">#REF!</definedName>
    <definedName name="S24R12" localSheetId="0">#REF!</definedName>
    <definedName name="S24R12" localSheetId="9">#REF!</definedName>
    <definedName name="S24R12" localSheetId="10">#REF!</definedName>
    <definedName name="S24R12" localSheetId="8">#REF!</definedName>
    <definedName name="S24R12">#REF!</definedName>
    <definedName name="S24R13" localSheetId="4">#REF!</definedName>
    <definedName name="S24R13" localSheetId="5">#REF!</definedName>
    <definedName name="S24R13" localSheetId="0">#REF!</definedName>
    <definedName name="S24R13" localSheetId="9">#REF!</definedName>
    <definedName name="S24R13" localSheetId="10">#REF!</definedName>
    <definedName name="S24R13" localSheetId="8">#REF!</definedName>
    <definedName name="S24R13">#REF!</definedName>
    <definedName name="S24R14" localSheetId="4">#REF!</definedName>
    <definedName name="S24R14" localSheetId="5">#REF!</definedName>
    <definedName name="S24R14" localSheetId="0">#REF!</definedName>
    <definedName name="S24R14" localSheetId="9">#REF!</definedName>
    <definedName name="S24R14" localSheetId="10">#REF!</definedName>
    <definedName name="S24R14" localSheetId="8">#REF!</definedName>
    <definedName name="S24R14">#REF!</definedName>
    <definedName name="S24R15" localSheetId="4">#REF!</definedName>
    <definedName name="S24R15" localSheetId="5">#REF!</definedName>
    <definedName name="S24R15" localSheetId="0">#REF!</definedName>
    <definedName name="S24R15" localSheetId="9">#REF!</definedName>
    <definedName name="S24R15" localSheetId="10">#REF!</definedName>
    <definedName name="S24R15" localSheetId="8">#REF!</definedName>
    <definedName name="S24R15">#REF!</definedName>
    <definedName name="S24R16" localSheetId="4">#REF!</definedName>
    <definedName name="S24R16" localSheetId="5">#REF!</definedName>
    <definedName name="S24R16" localSheetId="0">#REF!</definedName>
    <definedName name="S24R16" localSheetId="9">#REF!</definedName>
    <definedName name="S24R16" localSheetId="10">#REF!</definedName>
    <definedName name="S24R16" localSheetId="8">#REF!</definedName>
    <definedName name="S24R16">#REF!</definedName>
    <definedName name="S24R17" localSheetId="4">#REF!</definedName>
    <definedName name="S24R17" localSheetId="5">#REF!</definedName>
    <definedName name="S24R17" localSheetId="0">#REF!</definedName>
    <definedName name="S24R17" localSheetId="9">#REF!</definedName>
    <definedName name="S24R17" localSheetId="10">#REF!</definedName>
    <definedName name="S24R17" localSheetId="8">#REF!</definedName>
    <definedName name="S24R17">#REF!</definedName>
    <definedName name="S24R18" localSheetId="4">#REF!</definedName>
    <definedName name="S24R18" localSheetId="5">#REF!</definedName>
    <definedName name="S24R18" localSheetId="0">#REF!</definedName>
    <definedName name="S24R18" localSheetId="9">#REF!</definedName>
    <definedName name="S24R18" localSheetId="10">#REF!</definedName>
    <definedName name="S24R18" localSheetId="8">#REF!</definedName>
    <definedName name="S24R18">#REF!</definedName>
    <definedName name="S24R19" localSheetId="4">#REF!</definedName>
    <definedName name="S24R19" localSheetId="5">#REF!</definedName>
    <definedName name="S24R19" localSheetId="0">#REF!</definedName>
    <definedName name="S24R19" localSheetId="9">#REF!</definedName>
    <definedName name="S24R19" localSheetId="10">#REF!</definedName>
    <definedName name="S24R19" localSheetId="8">#REF!</definedName>
    <definedName name="S24R19">#REF!</definedName>
    <definedName name="S24R2" localSheetId="4">#REF!</definedName>
    <definedName name="S24R2" localSheetId="5">#REF!</definedName>
    <definedName name="S24R2" localSheetId="0">#REF!</definedName>
    <definedName name="S24R2" localSheetId="9">#REF!</definedName>
    <definedName name="S24R2" localSheetId="10">#REF!</definedName>
    <definedName name="S24R2" localSheetId="8">#REF!</definedName>
    <definedName name="S24R2">#REF!</definedName>
    <definedName name="S24R20" localSheetId="4">#REF!</definedName>
    <definedName name="S24R20" localSheetId="5">#REF!</definedName>
    <definedName name="S24R20" localSheetId="0">#REF!</definedName>
    <definedName name="S24R20" localSheetId="9">#REF!</definedName>
    <definedName name="S24R20" localSheetId="10">#REF!</definedName>
    <definedName name="S24R20" localSheetId="8">#REF!</definedName>
    <definedName name="S24R20">#REF!</definedName>
    <definedName name="S24R21" localSheetId="4">#REF!</definedName>
    <definedName name="S24R21" localSheetId="5">#REF!</definedName>
    <definedName name="S24R21" localSheetId="0">#REF!</definedName>
    <definedName name="S24R21" localSheetId="9">#REF!</definedName>
    <definedName name="S24R21" localSheetId="10">#REF!</definedName>
    <definedName name="S24R21" localSheetId="8">#REF!</definedName>
    <definedName name="S24R21">#REF!</definedName>
    <definedName name="S24R22" localSheetId="4">#REF!</definedName>
    <definedName name="S24R22" localSheetId="5">#REF!</definedName>
    <definedName name="S24R22" localSheetId="0">#REF!</definedName>
    <definedName name="S24R22" localSheetId="9">#REF!</definedName>
    <definedName name="S24R22" localSheetId="10">#REF!</definedName>
    <definedName name="S24R22" localSheetId="8">#REF!</definedName>
    <definedName name="S24R22">#REF!</definedName>
    <definedName name="S24R23" localSheetId="4">#REF!</definedName>
    <definedName name="S24R23" localSheetId="5">#REF!</definedName>
    <definedName name="S24R23" localSheetId="0">#REF!</definedName>
    <definedName name="S24R23" localSheetId="9">#REF!</definedName>
    <definedName name="S24R23" localSheetId="10">#REF!</definedName>
    <definedName name="S24R23" localSheetId="8">#REF!</definedName>
    <definedName name="S24R23">#REF!</definedName>
    <definedName name="S24R24" localSheetId="4">#REF!</definedName>
    <definedName name="S24R24" localSheetId="5">#REF!</definedName>
    <definedName name="S24R24" localSheetId="0">#REF!</definedName>
    <definedName name="S24R24" localSheetId="9">#REF!</definedName>
    <definedName name="S24R24" localSheetId="10">#REF!</definedName>
    <definedName name="S24R24" localSheetId="8">#REF!</definedName>
    <definedName name="S24R24">#REF!</definedName>
    <definedName name="S24R3" localSheetId="4">#REF!</definedName>
    <definedName name="S24R3" localSheetId="5">#REF!</definedName>
    <definedName name="S24R3" localSheetId="0">#REF!</definedName>
    <definedName name="S24R3" localSheetId="9">#REF!</definedName>
    <definedName name="S24R3" localSheetId="10">#REF!</definedName>
    <definedName name="S24R3" localSheetId="8">#REF!</definedName>
    <definedName name="S24R3">#REF!</definedName>
    <definedName name="S24R4" localSheetId="4">#REF!</definedName>
    <definedName name="S24R4" localSheetId="5">#REF!</definedName>
    <definedName name="S24R4" localSheetId="0">#REF!</definedName>
    <definedName name="S24R4" localSheetId="9">#REF!</definedName>
    <definedName name="S24R4" localSheetId="10">#REF!</definedName>
    <definedName name="S24R4" localSheetId="8">#REF!</definedName>
    <definedName name="S24R4">#REF!</definedName>
    <definedName name="S24R5" localSheetId="4">#REF!</definedName>
    <definedName name="S24R5" localSheetId="5">#REF!</definedName>
    <definedName name="S24R5" localSheetId="0">#REF!</definedName>
    <definedName name="S24R5" localSheetId="9">#REF!</definedName>
    <definedName name="S24R5" localSheetId="10">#REF!</definedName>
    <definedName name="S24R5" localSheetId="8">#REF!</definedName>
    <definedName name="S24R5">#REF!</definedName>
    <definedName name="S24R6" localSheetId="4">#REF!</definedName>
    <definedName name="S24R6" localSheetId="5">#REF!</definedName>
    <definedName name="S24R6" localSheetId="0">#REF!</definedName>
    <definedName name="S24R6" localSheetId="9">#REF!</definedName>
    <definedName name="S24R6" localSheetId="10">#REF!</definedName>
    <definedName name="S24R6" localSheetId="8">#REF!</definedName>
    <definedName name="S24R6">#REF!</definedName>
    <definedName name="S24R7" localSheetId="4">#REF!</definedName>
    <definedName name="S24R7" localSheetId="5">#REF!</definedName>
    <definedName name="S24R7" localSheetId="0">#REF!</definedName>
    <definedName name="S24R7" localSheetId="9">#REF!</definedName>
    <definedName name="S24R7" localSheetId="10">#REF!</definedName>
    <definedName name="S24R7" localSheetId="8">#REF!</definedName>
    <definedName name="S24R7">#REF!</definedName>
    <definedName name="S24R8" localSheetId="4">#REF!</definedName>
    <definedName name="S24R8" localSheetId="5">#REF!</definedName>
    <definedName name="S24R8" localSheetId="0">#REF!</definedName>
    <definedName name="S24R8" localSheetId="9">#REF!</definedName>
    <definedName name="S24R8" localSheetId="10">#REF!</definedName>
    <definedName name="S24R8" localSheetId="8">#REF!</definedName>
    <definedName name="S24R8">#REF!</definedName>
    <definedName name="S24R9" localSheetId="4">#REF!</definedName>
    <definedName name="S24R9" localSheetId="5">#REF!</definedName>
    <definedName name="S24R9" localSheetId="0">#REF!</definedName>
    <definedName name="S24R9" localSheetId="9">#REF!</definedName>
    <definedName name="S24R9" localSheetId="10">#REF!</definedName>
    <definedName name="S24R9" localSheetId="8">#REF!</definedName>
    <definedName name="S24R9">#REF!</definedName>
    <definedName name="S25P1" localSheetId="4">#REF!</definedName>
    <definedName name="S25P1" localSheetId="5">#REF!</definedName>
    <definedName name="S25P1" localSheetId="0">#REF!</definedName>
    <definedName name="S25P1" localSheetId="9">#REF!</definedName>
    <definedName name="S25P1" localSheetId="10">#REF!</definedName>
    <definedName name="S25P1" localSheetId="8">#REF!</definedName>
    <definedName name="S25P1">#REF!</definedName>
    <definedName name="S25P10" localSheetId="4">#REF!</definedName>
    <definedName name="S25P10" localSheetId="5">#REF!</definedName>
    <definedName name="S25P10" localSheetId="0">#REF!</definedName>
    <definedName name="S25P10" localSheetId="9">#REF!</definedName>
    <definedName name="S25P10" localSheetId="10">#REF!</definedName>
    <definedName name="S25P10" localSheetId="8">#REF!</definedName>
    <definedName name="S25P10">#REF!</definedName>
    <definedName name="S25P11" localSheetId="4">#REF!</definedName>
    <definedName name="S25P11" localSheetId="5">#REF!</definedName>
    <definedName name="S25P11" localSheetId="0">#REF!</definedName>
    <definedName name="S25P11" localSheetId="9">#REF!</definedName>
    <definedName name="S25P11" localSheetId="10">#REF!</definedName>
    <definedName name="S25P11" localSheetId="8">#REF!</definedName>
    <definedName name="S25P11">#REF!</definedName>
    <definedName name="S25P12" localSheetId="4">#REF!</definedName>
    <definedName name="S25P12" localSheetId="5">#REF!</definedName>
    <definedName name="S25P12" localSheetId="0">#REF!</definedName>
    <definedName name="S25P12" localSheetId="9">#REF!</definedName>
    <definedName name="S25P12" localSheetId="10">#REF!</definedName>
    <definedName name="S25P12" localSheetId="8">#REF!</definedName>
    <definedName name="S25P12">#REF!</definedName>
    <definedName name="S25P13" localSheetId="4">#REF!</definedName>
    <definedName name="S25P13" localSheetId="5">#REF!</definedName>
    <definedName name="S25P13" localSheetId="0">#REF!</definedName>
    <definedName name="S25P13" localSheetId="9">#REF!</definedName>
    <definedName name="S25P13" localSheetId="10">#REF!</definedName>
    <definedName name="S25P13" localSheetId="8">#REF!</definedName>
    <definedName name="S25P13">#REF!</definedName>
    <definedName name="S25P14" localSheetId="4">#REF!</definedName>
    <definedName name="S25P14" localSheetId="5">#REF!</definedName>
    <definedName name="S25P14" localSheetId="0">#REF!</definedName>
    <definedName name="S25P14" localSheetId="9">#REF!</definedName>
    <definedName name="S25P14" localSheetId="10">#REF!</definedName>
    <definedName name="S25P14" localSheetId="8">#REF!</definedName>
    <definedName name="S25P14">#REF!</definedName>
    <definedName name="S25P15" localSheetId="4">#REF!</definedName>
    <definedName name="S25P15" localSheetId="5">#REF!</definedName>
    <definedName name="S25P15" localSheetId="0">#REF!</definedName>
    <definedName name="S25P15" localSheetId="9">#REF!</definedName>
    <definedName name="S25P15" localSheetId="10">#REF!</definedName>
    <definedName name="S25P15" localSheetId="8">#REF!</definedName>
    <definedName name="S25P15">#REF!</definedName>
    <definedName name="S25P16" localSheetId="4">#REF!</definedName>
    <definedName name="S25P16" localSheetId="5">#REF!</definedName>
    <definedName name="S25P16" localSheetId="0">#REF!</definedName>
    <definedName name="S25P16" localSheetId="9">#REF!</definedName>
    <definedName name="S25P16" localSheetId="10">#REF!</definedName>
    <definedName name="S25P16" localSheetId="8">#REF!</definedName>
    <definedName name="S25P16">#REF!</definedName>
    <definedName name="S25P17" localSheetId="4">#REF!</definedName>
    <definedName name="S25P17" localSheetId="5">#REF!</definedName>
    <definedName name="S25P17" localSheetId="0">#REF!</definedName>
    <definedName name="S25P17" localSheetId="9">#REF!</definedName>
    <definedName name="S25P17" localSheetId="10">#REF!</definedName>
    <definedName name="S25P17" localSheetId="8">#REF!</definedName>
    <definedName name="S25P17">#REF!</definedName>
    <definedName name="S25P18" localSheetId="4">#REF!</definedName>
    <definedName name="S25P18" localSheetId="5">#REF!</definedName>
    <definedName name="S25P18" localSheetId="0">#REF!</definedName>
    <definedName name="S25P18" localSheetId="9">#REF!</definedName>
    <definedName name="S25P18" localSheetId="10">#REF!</definedName>
    <definedName name="S25P18" localSheetId="8">#REF!</definedName>
    <definedName name="S25P18">#REF!</definedName>
    <definedName name="S25P19" localSheetId="4">#REF!</definedName>
    <definedName name="S25P19" localSheetId="5">#REF!</definedName>
    <definedName name="S25P19" localSheetId="0">#REF!</definedName>
    <definedName name="S25P19" localSheetId="9">#REF!</definedName>
    <definedName name="S25P19" localSheetId="10">#REF!</definedName>
    <definedName name="S25P19" localSheetId="8">#REF!</definedName>
    <definedName name="S25P19">#REF!</definedName>
    <definedName name="S25P2" localSheetId="4">#REF!</definedName>
    <definedName name="S25P2" localSheetId="5">#REF!</definedName>
    <definedName name="S25P2" localSheetId="0">#REF!</definedName>
    <definedName name="S25P2" localSheetId="9">#REF!</definedName>
    <definedName name="S25P2" localSheetId="10">#REF!</definedName>
    <definedName name="S25P2" localSheetId="8">#REF!</definedName>
    <definedName name="S25P2">#REF!</definedName>
    <definedName name="S25P20" localSheetId="4">#REF!</definedName>
    <definedName name="S25P20" localSheetId="5">#REF!</definedName>
    <definedName name="S25P20" localSheetId="0">#REF!</definedName>
    <definedName name="S25P20" localSheetId="9">#REF!</definedName>
    <definedName name="S25P20" localSheetId="10">#REF!</definedName>
    <definedName name="S25P20" localSheetId="8">#REF!</definedName>
    <definedName name="S25P20">#REF!</definedName>
    <definedName name="S25P21" localSheetId="4">#REF!</definedName>
    <definedName name="S25P21" localSheetId="5">#REF!</definedName>
    <definedName name="S25P21" localSheetId="0">#REF!</definedName>
    <definedName name="S25P21" localSheetId="9">#REF!</definedName>
    <definedName name="S25P21" localSheetId="10">#REF!</definedName>
    <definedName name="S25P21" localSheetId="8">#REF!</definedName>
    <definedName name="S25P21">#REF!</definedName>
    <definedName name="S25P22" localSheetId="4">#REF!</definedName>
    <definedName name="S25P22" localSheetId="5">#REF!</definedName>
    <definedName name="S25P22" localSheetId="0">#REF!</definedName>
    <definedName name="S25P22" localSheetId="9">#REF!</definedName>
    <definedName name="S25P22" localSheetId="10">#REF!</definedName>
    <definedName name="S25P22" localSheetId="8">#REF!</definedName>
    <definedName name="S25P22">#REF!</definedName>
    <definedName name="S25P23" localSheetId="4">#REF!</definedName>
    <definedName name="S25P23" localSheetId="5">#REF!</definedName>
    <definedName name="S25P23" localSheetId="0">#REF!</definedName>
    <definedName name="S25P23" localSheetId="9">#REF!</definedName>
    <definedName name="S25P23" localSheetId="10">#REF!</definedName>
    <definedName name="S25P23" localSheetId="8">#REF!</definedName>
    <definedName name="S25P23">#REF!</definedName>
    <definedName name="S25P24" localSheetId="4">#REF!</definedName>
    <definedName name="S25P24" localSheetId="5">#REF!</definedName>
    <definedName name="S25P24" localSheetId="0">#REF!</definedName>
    <definedName name="S25P24" localSheetId="9">#REF!</definedName>
    <definedName name="S25P24" localSheetId="10">#REF!</definedName>
    <definedName name="S25P24" localSheetId="8">#REF!</definedName>
    <definedName name="S25P24">#REF!</definedName>
    <definedName name="S25P3" localSheetId="4">#REF!</definedName>
    <definedName name="S25P3" localSheetId="5">#REF!</definedName>
    <definedName name="S25P3" localSheetId="0">#REF!</definedName>
    <definedName name="S25P3" localSheetId="9">#REF!</definedName>
    <definedName name="S25P3" localSheetId="10">#REF!</definedName>
    <definedName name="S25P3" localSheetId="8">#REF!</definedName>
    <definedName name="S25P3">#REF!</definedName>
    <definedName name="S25P4" localSheetId="4">#REF!</definedName>
    <definedName name="S25P4" localSheetId="5">#REF!</definedName>
    <definedName name="S25P4" localSheetId="0">#REF!</definedName>
    <definedName name="S25P4" localSheetId="9">#REF!</definedName>
    <definedName name="S25P4" localSheetId="10">#REF!</definedName>
    <definedName name="S25P4" localSheetId="8">#REF!</definedName>
    <definedName name="S25P4">#REF!</definedName>
    <definedName name="S25P5" localSheetId="4">#REF!</definedName>
    <definedName name="S25P5" localSheetId="5">#REF!</definedName>
    <definedName name="S25P5" localSheetId="0">#REF!</definedName>
    <definedName name="S25P5" localSheetId="9">#REF!</definedName>
    <definedName name="S25P5" localSheetId="10">#REF!</definedName>
    <definedName name="S25P5" localSheetId="8">#REF!</definedName>
    <definedName name="S25P5">#REF!</definedName>
    <definedName name="S25P6" localSheetId="4">#REF!</definedName>
    <definedName name="S25P6" localSheetId="5">#REF!</definedName>
    <definedName name="S25P6" localSheetId="0">#REF!</definedName>
    <definedName name="S25P6" localSheetId="9">#REF!</definedName>
    <definedName name="S25P6" localSheetId="10">#REF!</definedName>
    <definedName name="S25P6" localSheetId="8">#REF!</definedName>
    <definedName name="S25P6">#REF!</definedName>
    <definedName name="S25P7" localSheetId="4">#REF!</definedName>
    <definedName name="S25P7" localSheetId="5">#REF!</definedName>
    <definedName name="S25P7" localSheetId="0">#REF!</definedName>
    <definedName name="S25P7" localSheetId="9">#REF!</definedName>
    <definedName name="S25P7" localSheetId="10">#REF!</definedName>
    <definedName name="S25P7" localSheetId="8">#REF!</definedName>
    <definedName name="S25P7">#REF!</definedName>
    <definedName name="S25P8" localSheetId="4">#REF!</definedName>
    <definedName name="S25P8" localSheetId="5">#REF!</definedName>
    <definedName name="S25P8" localSheetId="0">#REF!</definedName>
    <definedName name="S25P8" localSheetId="9">#REF!</definedName>
    <definedName name="S25P8" localSheetId="10">#REF!</definedName>
    <definedName name="S25P8" localSheetId="8">#REF!</definedName>
    <definedName name="S25P8">#REF!</definedName>
    <definedName name="S25P9" localSheetId="4">#REF!</definedName>
    <definedName name="S25P9" localSheetId="5">#REF!</definedName>
    <definedName name="S25P9" localSheetId="0">#REF!</definedName>
    <definedName name="S25P9" localSheetId="9">#REF!</definedName>
    <definedName name="S25P9" localSheetId="10">#REF!</definedName>
    <definedName name="S25P9" localSheetId="8">#REF!</definedName>
    <definedName name="S25P9">#REF!</definedName>
    <definedName name="S25R1" localSheetId="4">#REF!</definedName>
    <definedName name="S25R1" localSheetId="5">#REF!</definedName>
    <definedName name="S25R1" localSheetId="0">#REF!</definedName>
    <definedName name="S25R1" localSheetId="9">#REF!</definedName>
    <definedName name="S25R1" localSheetId="10">#REF!</definedName>
    <definedName name="S25R1" localSheetId="8">#REF!</definedName>
    <definedName name="S25R1">#REF!</definedName>
    <definedName name="S25R10" localSheetId="4">#REF!</definedName>
    <definedName name="S25R10" localSheetId="5">#REF!</definedName>
    <definedName name="S25R10" localSheetId="0">#REF!</definedName>
    <definedName name="S25R10" localSheetId="9">#REF!</definedName>
    <definedName name="S25R10" localSheetId="10">#REF!</definedName>
    <definedName name="S25R10" localSheetId="8">#REF!</definedName>
    <definedName name="S25R10">#REF!</definedName>
    <definedName name="S25R11" localSheetId="4">#REF!</definedName>
    <definedName name="S25R11" localSheetId="5">#REF!</definedName>
    <definedName name="S25R11" localSheetId="0">#REF!</definedName>
    <definedName name="S25R11" localSheetId="9">#REF!</definedName>
    <definedName name="S25R11" localSheetId="10">#REF!</definedName>
    <definedName name="S25R11" localSheetId="8">#REF!</definedName>
    <definedName name="S25R11">#REF!</definedName>
    <definedName name="S25R12" localSheetId="4">#REF!</definedName>
    <definedName name="S25R12" localSheetId="5">#REF!</definedName>
    <definedName name="S25R12" localSheetId="0">#REF!</definedName>
    <definedName name="S25R12" localSheetId="9">#REF!</definedName>
    <definedName name="S25R12" localSheetId="10">#REF!</definedName>
    <definedName name="S25R12" localSheetId="8">#REF!</definedName>
    <definedName name="S25R12">#REF!</definedName>
    <definedName name="S25R13" localSheetId="4">#REF!</definedName>
    <definedName name="S25R13" localSheetId="5">#REF!</definedName>
    <definedName name="S25R13" localSheetId="0">#REF!</definedName>
    <definedName name="S25R13" localSheetId="9">#REF!</definedName>
    <definedName name="S25R13" localSheetId="10">#REF!</definedName>
    <definedName name="S25R13" localSheetId="8">#REF!</definedName>
    <definedName name="S25R13">#REF!</definedName>
    <definedName name="S25R14" localSheetId="4">#REF!</definedName>
    <definedName name="S25R14" localSheetId="5">#REF!</definedName>
    <definedName name="S25R14" localSheetId="0">#REF!</definedName>
    <definedName name="S25R14" localSheetId="9">#REF!</definedName>
    <definedName name="S25R14" localSheetId="10">#REF!</definedName>
    <definedName name="S25R14" localSheetId="8">#REF!</definedName>
    <definedName name="S25R14">#REF!</definedName>
    <definedName name="S25R15" localSheetId="4">#REF!</definedName>
    <definedName name="S25R15" localSheetId="5">#REF!</definedName>
    <definedName name="S25R15" localSheetId="0">#REF!</definedName>
    <definedName name="S25R15" localSheetId="9">#REF!</definedName>
    <definedName name="S25R15" localSheetId="10">#REF!</definedName>
    <definedName name="S25R15" localSheetId="8">#REF!</definedName>
    <definedName name="S25R15">#REF!</definedName>
    <definedName name="S25R16" localSheetId="4">#REF!</definedName>
    <definedName name="S25R16" localSheetId="5">#REF!</definedName>
    <definedName name="S25R16" localSheetId="0">#REF!</definedName>
    <definedName name="S25R16" localSheetId="9">#REF!</definedName>
    <definedName name="S25R16" localSheetId="10">#REF!</definedName>
    <definedName name="S25R16" localSheetId="8">#REF!</definedName>
    <definedName name="S25R16">#REF!</definedName>
    <definedName name="S25R17" localSheetId="4">#REF!</definedName>
    <definedName name="S25R17" localSheetId="5">#REF!</definedName>
    <definedName name="S25R17" localSheetId="0">#REF!</definedName>
    <definedName name="S25R17" localSheetId="9">#REF!</definedName>
    <definedName name="S25R17" localSheetId="10">#REF!</definedName>
    <definedName name="S25R17" localSheetId="8">#REF!</definedName>
    <definedName name="S25R17">#REF!</definedName>
    <definedName name="S25R18" localSheetId="4">#REF!</definedName>
    <definedName name="S25R18" localSheetId="5">#REF!</definedName>
    <definedName name="S25R18" localSheetId="0">#REF!</definedName>
    <definedName name="S25R18" localSheetId="9">#REF!</definedName>
    <definedName name="S25R18" localSheetId="10">#REF!</definedName>
    <definedName name="S25R18" localSheetId="8">#REF!</definedName>
    <definedName name="S25R18">#REF!</definedName>
    <definedName name="S25R19" localSheetId="4">#REF!</definedName>
    <definedName name="S25R19" localSheetId="5">#REF!</definedName>
    <definedName name="S25R19" localSheetId="0">#REF!</definedName>
    <definedName name="S25R19" localSheetId="9">#REF!</definedName>
    <definedName name="S25R19" localSheetId="10">#REF!</definedName>
    <definedName name="S25R19" localSheetId="8">#REF!</definedName>
    <definedName name="S25R19">#REF!</definedName>
    <definedName name="S25R2" localSheetId="4">#REF!</definedName>
    <definedName name="S25R2" localSheetId="5">#REF!</definedName>
    <definedName name="S25R2" localSheetId="0">#REF!</definedName>
    <definedName name="S25R2" localSheetId="9">#REF!</definedName>
    <definedName name="S25R2" localSheetId="10">#REF!</definedName>
    <definedName name="S25R2" localSheetId="8">#REF!</definedName>
    <definedName name="S25R2">#REF!</definedName>
    <definedName name="S25R20" localSheetId="4">#REF!</definedName>
    <definedName name="S25R20" localSheetId="5">#REF!</definedName>
    <definedName name="S25R20" localSheetId="0">#REF!</definedName>
    <definedName name="S25R20" localSheetId="9">#REF!</definedName>
    <definedName name="S25R20" localSheetId="10">#REF!</definedName>
    <definedName name="S25R20" localSheetId="8">#REF!</definedName>
    <definedName name="S25R20">#REF!</definedName>
    <definedName name="S25R21" localSheetId="4">#REF!</definedName>
    <definedName name="S25R21" localSheetId="5">#REF!</definedName>
    <definedName name="S25R21" localSheetId="0">#REF!</definedName>
    <definedName name="S25R21" localSheetId="9">#REF!</definedName>
    <definedName name="S25R21" localSheetId="10">#REF!</definedName>
    <definedName name="S25R21" localSheetId="8">#REF!</definedName>
    <definedName name="S25R21">#REF!</definedName>
    <definedName name="S25R22" localSheetId="4">#REF!</definedName>
    <definedName name="S25R22" localSheetId="5">#REF!</definedName>
    <definedName name="S25R22" localSheetId="0">#REF!</definedName>
    <definedName name="S25R22" localSheetId="9">#REF!</definedName>
    <definedName name="S25R22" localSheetId="10">#REF!</definedName>
    <definedName name="S25R22" localSheetId="8">#REF!</definedName>
    <definedName name="S25R22">#REF!</definedName>
    <definedName name="S25R23" localSheetId="4">#REF!</definedName>
    <definedName name="S25R23" localSheetId="5">#REF!</definedName>
    <definedName name="S25R23" localSheetId="0">#REF!</definedName>
    <definedName name="S25R23" localSheetId="9">#REF!</definedName>
    <definedName name="S25R23" localSheetId="10">#REF!</definedName>
    <definedName name="S25R23" localSheetId="8">#REF!</definedName>
    <definedName name="S25R23">#REF!</definedName>
    <definedName name="S25R24" localSheetId="4">#REF!</definedName>
    <definedName name="S25R24" localSheetId="5">#REF!</definedName>
    <definedName name="S25R24" localSheetId="0">#REF!</definedName>
    <definedName name="S25R24" localSheetId="9">#REF!</definedName>
    <definedName name="S25R24" localSheetId="10">#REF!</definedName>
    <definedName name="S25R24" localSheetId="8">#REF!</definedName>
    <definedName name="S25R24">#REF!</definedName>
    <definedName name="S25R3" localSheetId="4">#REF!</definedName>
    <definedName name="S25R3" localSheetId="5">#REF!</definedName>
    <definedName name="S25R3" localSheetId="0">#REF!</definedName>
    <definedName name="S25R3" localSheetId="9">#REF!</definedName>
    <definedName name="S25R3" localSheetId="10">#REF!</definedName>
    <definedName name="S25R3" localSheetId="8">#REF!</definedName>
    <definedName name="S25R3">#REF!</definedName>
    <definedName name="S25R4" localSheetId="4">#REF!</definedName>
    <definedName name="S25R4" localSheetId="5">#REF!</definedName>
    <definedName name="S25R4" localSheetId="0">#REF!</definedName>
    <definedName name="S25R4" localSheetId="9">#REF!</definedName>
    <definedName name="S25R4" localSheetId="10">#REF!</definedName>
    <definedName name="S25R4" localSheetId="8">#REF!</definedName>
    <definedName name="S25R4">#REF!</definedName>
    <definedName name="S25R5" localSheetId="4">#REF!</definedName>
    <definedName name="S25R5" localSheetId="5">#REF!</definedName>
    <definedName name="S25R5" localSheetId="0">#REF!</definedName>
    <definedName name="S25R5" localSheetId="9">#REF!</definedName>
    <definedName name="S25R5" localSheetId="10">#REF!</definedName>
    <definedName name="S25R5" localSheetId="8">#REF!</definedName>
    <definedName name="S25R5">#REF!</definedName>
    <definedName name="S25R6" localSheetId="4">#REF!</definedName>
    <definedName name="S25R6" localSheetId="5">#REF!</definedName>
    <definedName name="S25R6" localSheetId="0">#REF!</definedName>
    <definedName name="S25R6" localSheetId="9">#REF!</definedName>
    <definedName name="S25R6" localSheetId="10">#REF!</definedName>
    <definedName name="S25R6" localSheetId="8">#REF!</definedName>
    <definedName name="S25R6">#REF!</definedName>
    <definedName name="S25R7" localSheetId="4">#REF!</definedName>
    <definedName name="S25R7" localSheetId="5">#REF!</definedName>
    <definedName name="S25R7" localSheetId="0">#REF!</definedName>
    <definedName name="S25R7" localSheetId="9">#REF!</definedName>
    <definedName name="S25R7" localSheetId="10">#REF!</definedName>
    <definedName name="S25R7" localSheetId="8">#REF!</definedName>
    <definedName name="S25R7">#REF!</definedName>
    <definedName name="S25R8" localSheetId="4">#REF!</definedName>
    <definedName name="S25R8" localSheetId="5">#REF!</definedName>
    <definedName name="S25R8" localSheetId="0">#REF!</definedName>
    <definedName name="S25R8" localSheetId="9">#REF!</definedName>
    <definedName name="S25R8" localSheetId="10">#REF!</definedName>
    <definedName name="S25R8" localSheetId="8">#REF!</definedName>
    <definedName name="S25R8">#REF!</definedName>
    <definedName name="S25R9" localSheetId="4">#REF!</definedName>
    <definedName name="S25R9" localSheetId="5">#REF!</definedName>
    <definedName name="S25R9" localSheetId="0">#REF!</definedName>
    <definedName name="S25R9" localSheetId="9">#REF!</definedName>
    <definedName name="S25R9" localSheetId="10">#REF!</definedName>
    <definedName name="S25R9" localSheetId="8">#REF!</definedName>
    <definedName name="S25R9">#REF!</definedName>
    <definedName name="S26P1" localSheetId="4">#REF!</definedName>
    <definedName name="S26P1" localSheetId="5">#REF!</definedName>
    <definedName name="S26P1" localSheetId="0">#REF!</definedName>
    <definedName name="S26P1" localSheetId="9">#REF!</definedName>
    <definedName name="S26P1" localSheetId="10">#REF!</definedName>
    <definedName name="S26P1" localSheetId="8">#REF!</definedName>
    <definedName name="S26P1">#REF!</definedName>
    <definedName name="S26P10" localSheetId="4">#REF!</definedName>
    <definedName name="S26P10" localSheetId="5">#REF!</definedName>
    <definedName name="S26P10" localSheetId="0">#REF!</definedName>
    <definedName name="S26P10" localSheetId="9">#REF!</definedName>
    <definedName name="S26P10" localSheetId="10">#REF!</definedName>
    <definedName name="S26P10" localSheetId="8">#REF!</definedName>
    <definedName name="S26P10">#REF!</definedName>
    <definedName name="S26P11" localSheetId="4">#REF!</definedName>
    <definedName name="S26P11" localSheetId="5">#REF!</definedName>
    <definedName name="S26P11" localSheetId="0">#REF!</definedName>
    <definedName name="S26P11" localSheetId="9">#REF!</definedName>
    <definedName name="S26P11" localSheetId="10">#REF!</definedName>
    <definedName name="S26P11" localSheetId="8">#REF!</definedName>
    <definedName name="S26P11">#REF!</definedName>
    <definedName name="S26P12" localSheetId="4">#REF!</definedName>
    <definedName name="S26P12" localSheetId="5">#REF!</definedName>
    <definedName name="S26P12" localSheetId="0">#REF!</definedName>
    <definedName name="S26P12" localSheetId="9">#REF!</definedName>
    <definedName name="S26P12" localSheetId="10">#REF!</definedName>
    <definedName name="S26P12" localSheetId="8">#REF!</definedName>
    <definedName name="S26P12">#REF!</definedName>
    <definedName name="S26P13" localSheetId="4">#REF!</definedName>
    <definedName name="S26P13" localSheetId="5">#REF!</definedName>
    <definedName name="S26P13" localSheetId="0">#REF!</definedName>
    <definedName name="S26P13" localSheetId="9">#REF!</definedName>
    <definedName name="S26P13" localSheetId="10">#REF!</definedName>
    <definedName name="S26P13" localSheetId="8">#REF!</definedName>
    <definedName name="S26P13">#REF!</definedName>
    <definedName name="S26P14" localSheetId="4">#REF!</definedName>
    <definedName name="S26P14" localSheetId="5">#REF!</definedName>
    <definedName name="S26P14" localSheetId="0">#REF!</definedName>
    <definedName name="S26P14" localSheetId="9">#REF!</definedName>
    <definedName name="S26P14" localSheetId="10">#REF!</definedName>
    <definedName name="S26P14" localSheetId="8">#REF!</definedName>
    <definedName name="S26P14">#REF!</definedName>
    <definedName name="S26P15" localSheetId="4">#REF!</definedName>
    <definedName name="S26P15" localSheetId="5">#REF!</definedName>
    <definedName name="S26P15" localSheetId="0">#REF!</definedName>
    <definedName name="S26P15" localSheetId="9">#REF!</definedName>
    <definedName name="S26P15" localSheetId="10">#REF!</definedName>
    <definedName name="S26P15" localSheetId="8">#REF!</definedName>
    <definedName name="S26P15">#REF!</definedName>
    <definedName name="S26P16" localSheetId="4">#REF!</definedName>
    <definedName name="S26P16" localSheetId="5">#REF!</definedName>
    <definedName name="S26P16" localSheetId="0">#REF!</definedName>
    <definedName name="S26P16" localSheetId="9">#REF!</definedName>
    <definedName name="S26P16" localSheetId="10">#REF!</definedName>
    <definedName name="S26P16" localSheetId="8">#REF!</definedName>
    <definedName name="S26P16">#REF!</definedName>
    <definedName name="S26P17" localSheetId="4">#REF!</definedName>
    <definedName name="S26P17" localSheetId="5">#REF!</definedName>
    <definedName name="S26P17" localSheetId="0">#REF!</definedName>
    <definedName name="S26P17" localSheetId="9">#REF!</definedName>
    <definedName name="S26P17" localSheetId="10">#REF!</definedName>
    <definedName name="S26P17" localSheetId="8">#REF!</definedName>
    <definedName name="S26P17">#REF!</definedName>
    <definedName name="S26P18" localSheetId="4">#REF!</definedName>
    <definedName name="S26P18" localSheetId="5">#REF!</definedName>
    <definedName name="S26P18" localSheetId="0">#REF!</definedName>
    <definedName name="S26P18" localSheetId="9">#REF!</definedName>
    <definedName name="S26P18" localSheetId="10">#REF!</definedName>
    <definedName name="S26P18" localSheetId="8">#REF!</definedName>
    <definedName name="S26P18">#REF!</definedName>
    <definedName name="S26P19" localSheetId="4">#REF!</definedName>
    <definedName name="S26P19" localSheetId="5">#REF!</definedName>
    <definedName name="S26P19" localSheetId="0">#REF!</definedName>
    <definedName name="S26P19" localSheetId="9">#REF!</definedName>
    <definedName name="S26P19" localSheetId="10">#REF!</definedName>
    <definedName name="S26P19" localSheetId="8">#REF!</definedName>
    <definedName name="S26P19">#REF!</definedName>
    <definedName name="S26P2" localSheetId="4">#REF!</definedName>
    <definedName name="S26P2" localSheetId="5">#REF!</definedName>
    <definedName name="S26P2" localSheetId="0">#REF!</definedName>
    <definedName name="S26P2" localSheetId="9">#REF!</definedName>
    <definedName name="S26P2" localSheetId="10">#REF!</definedName>
    <definedName name="S26P2" localSheetId="8">#REF!</definedName>
    <definedName name="S26P2">#REF!</definedName>
    <definedName name="S26P20" localSheetId="4">#REF!</definedName>
    <definedName name="S26P20" localSheetId="5">#REF!</definedName>
    <definedName name="S26P20" localSheetId="0">#REF!</definedName>
    <definedName name="S26P20" localSheetId="9">#REF!</definedName>
    <definedName name="S26P20" localSheetId="10">#REF!</definedName>
    <definedName name="S26P20" localSheetId="8">#REF!</definedName>
    <definedName name="S26P20">#REF!</definedName>
    <definedName name="S26P21" localSheetId="4">#REF!</definedName>
    <definedName name="S26P21" localSheetId="5">#REF!</definedName>
    <definedName name="S26P21" localSheetId="0">#REF!</definedName>
    <definedName name="S26P21" localSheetId="9">#REF!</definedName>
    <definedName name="S26P21" localSheetId="10">#REF!</definedName>
    <definedName name="S26P21" localSheetId="8">#REF!</definedName>
    <definedName name="S26P21">#REF!</definedName>
    <definedName name="S26P22" localSheetId="4">#REF!</definedName>
    <definedName name="S26P22" localSheetId="5">#REF!</definedName>
    <definedName name="S26P22" localSheetId="0">#REF!</definedName>
    <definedName name="S26P22" localSheetId="9">#REF!</definedName>
    <definedName name="S26P22" localSheetId="10">#REF!</definedName>
    <definedName name="S26P22" localSheetId="8">#REF!</definedName>
    <definedName name="S26P22">#REF!</definedName>
    <definedName name="S26P23" localSheetId="4">#REF!</definedName>
    <definedName name="S26P23" localSheetId="5">#REF!</definedName>
    <definedName name="S26P23" localSheetId="0">#REF!</definedName>
    <definedName name="S26P23" localSheetId="9">#REF!</definedName>
    <definedName name="S26P23" localSheetId="10">#REF!</definedName>
    <definedName name="S26P23" localSheetId="8">#REF!</definedName>
    <definedName name="S26P23">#REF!</definedName>
    <definedName name="S26P24" localSheetId="4">#REF!</definedName>
    <definedName name="S26P24" localSheetId="5">#REF!</definedName>
    <definedName name="S26P24" localSheetId="0">#REF!</definedName>
    <definedName name="S26P24" localSheetId="9">#REF!</definedName>
    <definedName name="S26P24" localSheetId="10">#REF!</definedName>
    <definedName name="S26P24" localSheetId="8">#REF!</definedName>
    <definedName name="S26P24">#REF!</definedName>
    <definedName name="S26P3" localSheetId="4">#REF!</definedName>
    <definedName name="S26P3" localSheetId="5">#REF!</definedName>
    <definedName name="S26P3" localSheetId="0">#REF!</definedName>
    <definedName name="S26P3" localSheetId="9">#REF!</definedName>
    <definedName name="S26P3" localSheetId="10">#REF!</definedName>
    <definedName name="S26P3" localSheetId="8">#REF!</definedName>
    <definedName name="S26P3">#REF!</definedName>
    <definedName name="S26P4" localSheetId="4">#REF!</definedName>
    <definedName name="S26P4" localSheetId="5">#REF!</definedName>
    <definedName name="S26P4" localSheetId="0">#REF!</definedName>
    <definedName name="S26P4" localSheetId="9">#REF!</definedName>
    <definedName name="S26P4" localSheetId="10">#REF!</definedName>
    <definedName name="S26P4" localSheetId="8">#REF!</definedName>
    <definedName name="S26P4">#REF!</definedName>
    <definedName name="S26P5" localSheetId="4">#REF!</definedName>
    <definedName name="S26P5" localSheetId="5">#REF!</definedName>
    <definedName name="S26P5" localSheetId="0">#REF!</definedName>
    <definedName name="S26P5" localSheetId="9">#REF!</definedName>
    <definedName name="S26P5" localSheetId="10">#REF!</definedName>
    <definedName name="S26P5" localSheetId="8">#REF!</definedName>
    <definedName name="S26P5">#REF!</definedName>
    <definedName name="S26P6" localSheetId="4">#REF!</definedName>
    <definedName name="S26P6" localSheetId="5">#REF!</definedName>
    <definedName name="S26P6" localSheetId="0">#REF!</definedName>
    <definedName name="S26P6" localSheetId="9">#REF!</definedName>
    <definedName name="S26P6" localSheetId="10">#REF!</definedName>
    <definedName name="S26P6" localSheetId="8">#REF!</definedName>
    <definedName name="S26P6">#REF!</definedName>
    <definedName name="S26P7" localSheetId="4">#REF!</definedName>
    <definedName name="S26P7" localSheetId="5">#REF!</definedName>
    <definedName name="S26P7" localSheetId="0">#REF!</definedName>
    <definedName name="S26P7" localSheetId="9">#REF!</definedName>
    <definedName name="S26P7" localSheetId="10">#REF!</definedName>
    <definedName name="S26P7" localSheetId="8">#REF!</definedName>
    <definedName name="S26P7">#REF!</definedName>
    <definedName name="S26P8" localSheetId="4">#REF!</definedName>
    <definedName name="S26P8" localSheetId="5">#REF!</definedName>
    <definedName name="S26P8" localSheetId="0">#REF!</definedName>
    <definedName name="S26P8" localSheetId="9">#REF!</definedName>
    <definedName name="S26P8" localSheetId="10">#REF!</definedName>
    <definedName name="S26P8" localSheetId="8">#REF!</definedName>
    <definedName name="S26P8">#REF!</definedName>
    <definedName name="S26P9" localSheetId="4">#REF!</definedName>
    <definedName name="S26P9" localSheetId="5">#REF!</definedName>
    <definedName name="S26P9" localSheetId="0">#REF!</definedName>
    <definedName name="S26P9" localSheetId="9">#REF!</definedName>
    <definedName name="S26P9" localSheetId="10">#REF!</definedName>
    <definedName name="S26P9" localSheetId="8">#REF!</definedName>
    <definedName name="S26P9">#REF!</definedName>
    <definedName name="S26R1" localSheetId="4">#REF!</definedName>
    <definedName name="S26R1" localSheetId="5">#REF!</definedName>
    <definedName name="S26R1" localSheetId="0">#REF!</definedName>
    <definedName name="S26R1" localSheetId="9">#REF!</definedName>
    <definedName name="S26R1" localSheetId="10">#REF!</definedName>
    <definedName name="S26R1" localSheetId="8">#REF!</definedName>
    <definedName name="S26R1">#REF!</definedName>
    <definedName name="S26R10" localSheetId="4">#REF!</definedName>
    <definedName name="S26R10" localSheetId="5">#REF!</definedName>
    <definedName name="S26R10" localSheetId="0">#REF!</definedName>
    <definedName name="S26R10" localSheetId="9">#REF!</definedName>
    <definedName name="S26R10" localSheetId="10">#REF!</definedName>
    <definedName name="S26R10" localSheetId="8">#REF!</definedName>
    <definedName name="S26R10">#REF!</definedName>
    <definedName name="S26R11" localSheetId="4">#REF!</definedName>
    <definedName name="S26R11" localSheetId="5">#REF!</definedName>
    <definedName name="S26R11" localSheetId="0">#REF!</definedName>
    <definedName name="S26R11" localSheetId="9">#REF!</definedName>
    <definedName name="S26R11" localSheetId="10">#REF!</definedName>
    <definedName name="S26R11" localSheetId="8">#REF!</definedName>
    <definedName name="S26R11">#REF!</definedName>
    <definedName name="S26R12" localSheetId="4">#REF!</definedName>
    <definedName name="S26R12" localSheetId="5">#REF!</definedName>
    <definedName name="S26R12" localSheetId="0">#REF!</definedName>
    <definedName name="S26R12" localSheetId="9">#REF!</definedName>
    <definedName name="S26R12" localSheetId="10">#REF!</definedName>
    <definedName name="S26R12" localSheetId="8">#REF!</definedName>
    <definedName name="S26R12">#REF!</definedName>
    <definedName name="S26R13" localSheetId="4">#REF!</definedName>
    <definedName name="S26R13" localSheetId="5">#REF!</definedName>
    <definedName name="S26R13" localSheetId="0">#REF!</definedName>
    <definedName name="S26R13" localSheetId="9">#REF!</definedName>
    <definedName name="S26R13" localSheetId="10">#REF!</definedName>
    <definedName name="S26R13" localSheetId="8">#REF!</definedName>
    <definedName name="S26R13">#REF!</definedName>
    <definedName name="S26R14" localSheetId="4">#REF!</definedName>
    <definedName name="S26R14" localSheetId="5">#REF!</definedName>
    <definedName name="S26R14" localSheetId="0">#REF!</definedName>
    <definedName name="S26R14" localSheetId="9">#REF!</definedName>
    <definedName name="S26R14" localSheetId="10">#REF!</definedName>
    <definedName name="S26R14" localSheetId="8">#REF!</definedName>
    <definedName name="S26R14">#REF!</definedName>
    <definedName name="S26R15" localSheetId="4">#REF!</definedName>
    <definedName name="S26R15" localSheetId="5">#REF!</definedName>
    <definedName name="S26R15" localSheetId="0">#REF!</definedName>
    <definedName name="S26R15" localSheetId="9">#REF!</definedName>
    <definedName name="S26R15" localSheetId="10">#REF!</definedName>
    <definedName name="S26R15" localSheetId="8">#REF!</definedName>
    <definedName name="S26R15">#REF!</definedName>
    <definedName name="S26R16" localSheetId="4">#REF!</definedName>
    <definedName name="S26R16" localSheetId="5">#REF!</definedName>
    <definedName name="S26R16" localSheetId="0">#REF!</definedName>
    <definedName name="S26R16" localSheetId="9">#REF!</definedName>
    <definedName name="S26R16" localSheetId="10">#REF!</definedName>
    <definedName name="S26R16" localSheetId="8">#REF!</definedName>
    <definedName name="S26R16">#REF!</definedName>
    <definedName name="S26R17" localSheetId="4">#REF!</definedName>
    <definedName name="S26R17" localSheetId="5">#REF!</definedName>
    <definedName name="S26R17" localSheetId="0">#REF!</definedName>
    <definedName name="S26R17" localSheetId="9">#REF!</definedName>
    <definedName name="S26R17" localSheetId="10">#REF!</definedName>
    <definedName name="S26R17" localSheetId="8">#REF!</definedName>
    <definedName name="S26R17">#REF!</definedName>
    <definedName name="S26R18" localSheetId="4">#REF!</definedName>
    <definedName name="S26R18" localSheetId="5">#REF!</definedName>
    <definedName name="S26R18" localSheetId="0">#REF!</definedName>
    <definedName name="S26R18" localSheetId="9">#REF!</definedName>
    <definedName name="S26R18" localSheetId="10">#REF!</definedName>
    <definedName name="S26R18" localSheetId="8">#REF!</definedName>
    <definedName name="S26R18">#REF!</definedName>
    <definedName name="S26R19" localSheetId="4">#REF!</definedName>
    <definedName name="S26R19" localSheetId="5">#REF!</definedName>
    <definedName name="S26R19" localSheetId="0">#REF!</definedName>
    <definedName name="S26R19" localSheetId="9">#REF!</definedName>
    <definedName name="S26R19" localSheetId="10">#REF!</definedName>
    <definedName name="S26R19" localSheetId="8">#REF!</definedName>
    <definedName name="S26R19">#REF!</definedName>
    <definedName name="S26R2" localSheetId="4">#REF!</definedName>
    <definedName name="S26R2" localSheetId="5">#REF!</definedName>
    <definedName name="S26R2" localSheetId="0">#REF!</definedName>
    <definedName name="S26R2" localSheetId="9">#REF!</definedName>
    <definedName name="S26R2" localSheetId="10">#REF!</definedName>
    <definedName name="S26R2" localSheetId="8">#REF!</definedName>
    <definedName name="S26R2">#REF!</definedName>
    <definedName name="S26R20" localSheetId="4">#REF!</definedName>
    <definedName name="S26R20" localSheetId="5">#REF!</definedName>
    <definedName name="S26R20" localSheetId="0">#REF!</definedName>
    <definedName name="S26R20" localSheetId="9">#REF!</definedName>
    <definedName name="S26R20" localSheetId="10">#REF!</definedName>
    <definedName name="S26R20" localSheetId="8">#REF!</definedName>
    <definedName name="S26R20">#REF!</definedName>
    <definedName name="S26R21" localSheetId="4">#REF!</definedName>
    <definedName name="S26R21" localSheetId="5">#REF!</definedName>
    <definedName name="S26R21" localSheetId="0">#REF!</definedName>
    <definedName name="S26R21" localSheetId="9">#REF!</definedName>
    <definedName name="S26R21" localSheetId="10">#REF!</definedName>
    <definedName name="S26R21" localSheetId="8">#REF!</definedName>
    <definedName name="S26R21">#REF!</definedName>
    <definedName name="S26R22" localSheetId="4">#REF!</definedName>
    <definedName name="S26R22" localSheetId="5">#REF!</definedName>
    <definedName name="S26R22" localSheetId="0">#REF!</definedName>
    <definedName name="S26R22" localSheetId="9">#REF!</definedName>
    <definedName name="S26R22" localSheetId="10">#REF!</definedName>
    <definedName name="S26R22" localSheetId="8">#REF!</definedName>
    <definedName name="S26R22">#REF!</definedName>
    <definedName name="S26R23" localSheetId="4">#REF!</definedName>
    <definedName name="S26R23" localSheetId="5">#REF!</definedName>
    <definedName name="S26R23" localSheetId="0">#REF!</definedName>
    <definedName name="S26R23" localSheetId="9">#REF!</definedName>
    <definedName name="S26R23" localSheetId="10">#REF!</definedName>
    <definedName name="S26R23" localSheetId="8">#REF!</definedName>
    <definedName name="S26R23">#REF!</definedName>
    <definedName name="S26R24" localSheetId="4">#REF!</definedName>
    <definedName name="S26R24" localSheetId="5">#REF!</definedName>
    <definedName name="S26R24" localSheetId="0">#REF!</definedName>
    <definedName name="S26R24" localSheetId="9">#REF!</definedName>
    <definedName name="S26R24" localSheetId="10">#REF!</definedName>
    <definedName name="S26R24" localSheetId="8">#REF!</definedName>
    <definedName name="S26R24">#REF!</definedName>
    <definedName name="S26R3" localSheetId="4">#REF!</definedName>
    <definedName name="S26R3" localSheetId="5">#REF!</definedName>
    <definedName name="S26R3" localSheetId="0">#REF!</definedName>
    <definedName name="S26R3" localSheetId="9">#REF!</definedName>
    <definedName name="S26R3" localSheetId="10">#REF!</definedName>
    <definedName name="S26R3" localSheetId="8">#REF!</definedName>
    <definedName name="S26R3">#REF!</definedName>
    <definedName name="S26R4" localSheetId="4">#REF!</definedName>
    <definedName name="S26R4" localSheetId="5">#REF!</definedName>
    <definedName name="S26R4" localSheetId="0">#REF!</definedName>
    <definedName name="S26R4" localSheetId="9">#REF!</definedName>
    <definedName name="S26R4" localSheetId="10">#REF!</definedName>
    <definedName name="S26R4" localSheetId="8">#REF!</definedName>
    <definedName name="S26R4">#REF!</definedName>
    <definedName name="S26R5" localSheetId="4">#REF!</definedName>
    <definedName name="S26R5" localSheetId="5">#REF!</definedName>
    <definedName name="S26R5" localSheetId="0">#REF!</definedName>
    <definedName name="S26R5" localSheetId="9">#REF!</definedName>
    <definedName name="S26R5" localSheetId="10">#REF!</definedName>
    <definedName name="S26R5" localSheetId="8">#REF!</definedName>
    <definedName name="S26R5">#REF!</definedName>
    <definedName name="S26R6" localSheetId="4">#REF!</definedName>
    <definedName name="S26R6" localSheetId="5">#REF!</definedName>
    <definedName name="S26R6" localSheetId="0">#REF!</definedName>
    <definedName name="S26R6" localSheetId="9">#REF!</definedName>
    <definedName name="S26R6" localSheetId="10">#REF!</definedName>
    <definedName name="S26R6" localSheetId="8">#REF!</definedName>
    <definedName name="S26R6">#REF!</definedName>
    <definedName name="S26R7" localSheetId="4">#REF!</definedName>
    <definedName name="S26R7" localSheetId="5">#REF!</definedName>
    <definedName name="S26R7" localSheetId="0">#REF!</definedName>
    <definedName name="S26R7" localSheetId="9">#REF!</definedName>
    <definedName name="S26R7" localSheetId="10">#REF!</definedName>
    <definedName name="S26R7" localSheetId="8">#REF!</definedName>
    <definedName name="S26R7">#REF!</definedName>
    <definedName name="S26R8" localSheetId="4">#REF!</definedName>
    <definedName name="S26R8" localSheetId="5">#REF!</definedName>
    <definedName name="S26R8" localSheetId="0">#REF!</definedName>
    <definedName name="S26R8" localSheetId="9">#REF!</definedName>
    <definedName name="S26R8" localSheetId="10">#REF!</definedName>
    <definedName name="S26R8" localSheetId="8">#REF!</definedName>
    <definedName name="S26R8">#REF!</definedName>
    <definedName name="S26R9" localSheetId="4">#REF!</definedName>
    <definedName name="S26R9" localSheetId="5">#REF!</definedName>
    <definedName name="S26R9" localSheetId="0">#REF!</definedName>
    <definedName name="S26R9" localSheetId="9">#REF!</definedName>
    <definedName name="S26R9" localSheetId="10">#REF!</definedName>
    <definedName name="S26R9" localSheetId="8">#REF!</definedName>
    <definedName name="S26R9">#REF!</definedName>
    <definedName name="S27P1" localSheetId="4">#REF!</definedName>
    <definedName name="S27P1" localSheetId="5">#REF!</definedName>
    <definedName name="S27P1" localSheetId="0">#REF!</definedName>
    <definedName name="S27P1" localSheetId="9">#REF!</definedName>
    <definedName name="S27P1" localSheetId="10">#REF!</definedName>
    <definedName name="S27P1" localSheetId="8">#REF!</definedName>
    <definedName name="S27P1">#REF!</definedName>
    <definedName name="S27P10" localSheetId="4">#REF!</definedName>
    <definedName name="S27P10" localSheetId="5">#REF!</definedName>
    <definedName name="S27P10" localSheetId="0">#REF!</definedName>
    <definedName name="S27P10" localSheetId="9">#REF!</definedName>
    <definedName name="S27P10" localSheetId="10">#REF!</definedName>
    <definedName name="S27P10" localSheetId="8">#REF!</definedName>
    <definedName name="S27P10">#REF!</definedName>
    <definedName name="S27P11" localSheetId="4">#REF!</definedName>
    <definedName name="S27P11" localSheetId="5">#REF!</definedName>
    <definedName name="S27P11" localSheetId="0">#REF!</definedName>
    <definedName name="S27P11" localSheetId="9">#REF!</definedName>
    <definedName name="S27P11" localSheetId="10">#REF!</definedName>
    <definedName name="S27P11" localSheetId="8">#REF!</definedName>
    <definedName name="S27P11">#REF!</definedName>
    <definedName name="S27P12" localSheetId="4">#REF!</definedName>
    <definedName name="S27P12" localSheetId="5">#REF!</definedName>
    <definedName name="S27P12" localSheetId="0">#REF!</definedName>
    <definedName name="S27P12" localSheetId="9">#REF!</definedName>
    <definedName name="S27P12" localSheetId="10">#REF!</definedName>
    <definedName name="S27P12" localSheetId="8">#REF!</definedName>
    <definedName name="S27P12">#REF!</definedName>
    <definedName name="S27P13" localSheetId="4">#REF!</definedName>
    <definedName name="S27P13" localSheetId="5">#REF!</definedName>
    <definedName name="S27P13" localSheetId="0">#REF!</definedName>
    <definedName name="S27P13" localSheetId="9">#REF!</definedName>
    <definedName name="S27P13" localSheetId="10">#REF!</definedName>
    <definedName name="S27P13" localSheetId="8">#REF!</definedName>
    <definedName name="S27P13">#REF!</definedName>
    <definedName name="S27P14" localSheetId="4">#REF!</definedName>
    <definedName name="S27P14" localSheetId="5">#REF!</definedName>
    <definedName name="S27P14" localSheetId="0">#REF!</definedName>
    <definedName name="S27P14" localSheetId="9">#REF!</definedName>
    <definedName name="S27P14" localSheetId="10">#REF!</definedName>
    <definedName name="S27P14" localSheetId="8">#REF!</definedName>
    <definedName name="S27P14">#REF!</definedName>
    <definedName name="S27P15" localSheetId="4">#REF!</definedName>
    <definedName name="S27P15" localSheetId="5">#REF!</definedName>
    <definedName name="S27P15" localSheetId="0">#REF!</definedName>
    <definedName name="S27P15" localSheetId="9">#REF!</definedName>
    <definedName name="S27P15" localSheetId="10">#REF!</definedName>
    <definedName name="S27P15" localSheetId="8">#REF!</definedName>
    <definedName name="S27P15">#REF!</definedName>
    <definedName name="S27P16" localSheetId="4">#REF!</definedName>
    <definedName name="S27P16" localSheetId="5">#REF!</definedName>
    <definedName name="S27P16" localSheetId="0">#REF!</definedName>
    <definedName name="S27P16" localSheetId="9">#REF!</definedName>
    <definedName name="S27P16" localSheetId="10">#REF!</definedName>
    <definedName name="S27P16" localSheetId="8">#REF!</definedName>
    <definedName name="S27P16">#REF!</definedName>
    <definedName name="S27P17" localSheetId="4">#REF!</definedName>
    <definedName name="S27P17" localSheetId="5">#REF!</definedName>
    <definedName name="S27P17" localSheetId="0">#REF!</definedName>
    <definedName name="S27P17" localSheetId="9">#REF!</definedName>
    <definedName name="S27P17" localSheetId="10">#REF!</definedName>
    <definedName name="S27P17" localSheetId="8">#REF!</definedName>
    <definedName name="S27P17">#REF!</definedName>
    <definedName name="S27P18" localSheetId="4">#REF!</definedName>
    <definedName name="S27P18" localSheetId="5">#REF!</definedName>
    <definedName name="S27P18" localSheetId="0">#REF!</definedName>
    <definedName name="S27P18" localSheetId="9">#REF!</definedName>
    <definedName name="S27P18" localSheetId="10">#REF!</definedName>
    <definedName name="S27P18" localSheetId="8">#REF!</definedName>
    <definedName name="S27P18">#REF!</definedName>
    <definedName name="S27P19" localSheetId="4">#REF!</definedName>
    <definedName name="S27P19" localSheetId="5">#REF!</definedName>
    <definedName name="S27P19" localSheetId="0">#REF!</definedName>
    <definedName name="S27P19" localSheetId="9">#REF!</definedName>
    <definedName name="S27P19" localSheetId="10">#REF!</definedName>
    <definedName name="S27P19" localSheetId="8">#REF!</definedName>
    <definedName name="S27P19">#REF!</definedName>
    <definedName name="S27P2" localSheetId="4">#REF!</definedName>
    <definedName name="S27P2" localSheetId="5">#REF!</definedName>
    <definedName name="S27P2" localSheetId="0">#REF!</definedName>
    <definedName name="S27P2" localSheetId="9">#REF!</definedName>
    <definedName name="S27P2" localSheetId="10">#REF!</definedName>
    <definedName name="S27P2" localSheetId="8">#REF!</definedName>
    <definedName name="S27P2">#REF!</definedName>
    <definedName name="S27P20" localSheetId="4">#REF!</definedName>
    <definedName name="S27P20" localSheetId="5">#REF!</definedName>
    <definedName name="S27P20" localSheetId="0">#REF!</definedName>
    <definedName name="S27P20" localSheetId="9">#REF!</definedName>
    <definedName name="S27P20" localSheetId="10">#REF!</definedName>
    <definedName name="S27P20" localSheetId="8">#REF!</definedName>
    <definedName name="S27P20">#REF!</definedName>
    <definedName name="S27P21" localSheetId="4">#REF!</definedName>
    <definedName name="S27P21" localSheetId="5">#REF!</definedName>
    <definedName name="S27P21" localSheetId="0">#REF!</definedName>
    <definedName name="S27P21" localSheetId="9">#REF!</definedName>
    <definedName name="S27P21" localSheetId="10">#REF!</definedName>
    <definedName name="S27P21" localSheetId="8">#REF!</definedName>
    <definedName name="S27P21">#REF!</definedName>
    <definedName name="S27P22" localSheetId="4">#REF!</definedName>
    <definedName name="S27P22" localSheetId="5">#REF!</definedName>
    <definedName name="S27P22" localSheetId="0">#REF!</definedName>
    <definedName name="S27P22" localSheetId="9">#REF!</definedName>
    <definedName name="S27P22" localSheetId="10">#REF!</definedName>
    <definedName name="S27P22" localSheetId="8">#REF!</definedName>
    <definedName name="S27P22">#REF!</definedName>
    <definedName name="S27P23" localSheetId="4">#REF!</definedName>
    <definedName name="S27P23" localSheetId="5">#REF!</definedName>
    <definedName name="S27P23" localSheetId="0">#REF!</definedName>
    <definedName name="S27P23" localSheetId="9">#REF!</definedName>
    <definedName name="S27P23" localSheetId="10">#REF!</definedName>
    <definedName name="S27P23" localSheetId="8">#REF!</definedName>
    <definedName name="S27P23">#REF!</definedName>
    <definedName name="S27P24" localSheetId="4">#REF!</definedName>
    <definedName name="S27P24" localSheetId="5">#REF!</definedName>
    <definedName name="S27P24" localSheetId="0">#REF!</definedName>
    <definedName name="S27P24" localSheetId="9">#REF!</definedName>
    <definedName name="S27P24" localSheetId="10">#REF!</definedName>
    <definedName name="S27P24" localSheetId="8">#REF!</definedName>
    <definedName name="S27P24">#REF!</definedName>
    <definedName name="S27P3" localSheetId="4">#REF!</definedName>
    <definedName name="S27P3" localSheetId="5">#REF!</definedName>
    <definedName name="S27P3" localSheetId="0">#REF!</definedName>
    <definedName name="S27P3" localSheetId="9">#REF!</definedName>
    <definedName name="S27P3" localSheetId="10">#REF!</definedName>
    <definedName name="S27P3" localSheetId="8">#REF!</definedName>
    <definedName name="S27P3">#REF!</definedName>
    <definedName name="S27P4" localSheetId="4">#REF!</definedName>
    <definedName name="S27P4" localSheetId="5">#REF!</definedName>
    <definedName name="S27P4" localSheetId="0">#REF!</definedName>
    <definedName name="S27P4" localSheetId="9">#REF!</definedName>
    <definedName name="S27P4" localSheetId="10">#REF!</definedName>
    <definedName name="S27P4" localSheetId="8">#REF!</definedName>
    <definedName name="S27P4">#REF!</definedName>
    <definedName name="S27P5" localSheetId="4">#REF!</definedName>
    <definedName name="S27P5" localSheetId="5">#REF!</definedName>
    <definedName name="S27P5" localSheetId="0">#REF!</definedName>
    <definedName name="S27P5" localSheetId="9">#REF!</definedName>
    <definedName name="S27P5" localSheetId="10">#REF!</definedName>
    <definedName name="S27P5" localSheetId="8">#REF!</definedName>
    <definedName name="S27P5">#REF!</definedName>
    <definedName name="S27P6" localSheetId="4">#REF!</definedName>
    <definedName name="S27P6" localSheetId="5">#REF!</definedName>
    <definedName name="S27P6" localSheetId="0">#REF!</definedName>
    <definedName name="S27P6" localSheetId="9">#REF!</definedName>
    <definedName name="S27P6" localSheetId="10">#REF!</definedName>
    <definedName name="S27P6" localSheetId="8">#REF!</definedName>
    <definedName name="S27P6">#REF!</definedName>
    <definedName name="S27P7" localSheetId="4">#REF!</definedName>
    <definedName name="S27P7" localSheetId="5">#REF!</definedName>
    <definedName name="S27P7" localSheetId="0">#REF!</definedName>
    <definedName name="S27P7" localSheetId="9">#REF!</definedName>
    <definedName name="S27P7" localSheetId="10">#REF!</definedName>
    <definedName name="S27P7" localSheetId="8">#REF!</definedName>
    <definedName name="S27P7">#REF!</definedName>
    <definedName name="S27P8" localSheetId="4">#REF!</definedName>
    <definedName name="S27P8" localSheetId="5">#REF!</definedName>
    <definedName name="S27P8" localSheetId="0">#REF!</definedName>
    <definedName name="S27P8" localSheetId="9">#REF!</definedName>
    <definedName name="S27P8" localSheetId="10">#REF!</definedName>
    <definedName name="S27P8" localSheetId="8">#REF!</definedName>
    <definedName name="S27P8">#REF!</definedName>
    <definedName name="S27P9" localSheetId="4">#REF!</definedName>
    <definedName name="S27P9" localSheetId="5">#REF!</definedName>
    <definedName name="S27P9" localSheetId="0">#REF!</definedName>
    <definedName name="S27P9" localSheetId="9">#REF!</definedName>
    <definedName name="S27P9" localSheetId="10">#REF!</definedName>
    <definedName name="S27P9" localSheetId="8">#REF!</definedName>
    <definedName name="S27P9">#REF!</definedName>
    <definedName name="S27R1" localSheetId="4">#REF!</definedName>
    <definedName name="S27R1" localSheetId="5">#REF!</definedName>
    <definedName name="S27R1" localSheetId="0">#REF!</definedName>
    <definedName name="S27R1" localSheetId="9">#REF!</definedName>
    <definedName name="S27R1" localSheetId="10">#REF!</definedName>
    <definedName name="S27R1" localSheetId="8">#REF!</definedName>
    <definedName name="S27R1">#REF!</definedName>
    <definedName name="S27R10" localSheetId="4">#REF!</definedName>
    <definedName name="S27R10" localSheetId="5">#REF!</definedName>
    <definedName name="S27R10" localSheetId="0">#REF!</definedName>
    <definedName name="S27R10" localSheetId="9">#REF!</definedName>
    <definedName name="S27R10" localSheetId="10">#REF!</definedName>
    <definedName name="S27R10" localSheetId="8">#REF!</definedName>
    <definedName name="S27R10">#REF!</definedName>
    <definedName name="S27R11" localSheetId="4">#REF!</definedName>
    <definedName name="S27R11" localSheetId="5">#REF!</definedName>
    <definedName name="S27R11" localSheetId="0">#REF!</definedName>
    <definedName name="S27R11" localSheetId="9">#REF!</definedName>
    <definedName name="S27R11" localSheetId="10">#REF!</definedName>
    <definedName name="S27R11" localSheetId="8">#REF!</definedName>
    <definedName name="S27R11">#REF!</definedName>
    <definedName name="S27R12" localSheetId="4">#REF!</definedName>
    <definedName name="S27R12" localSheetId="5">#REF!</definedName>
    <definedName name="S27R12" localSheetId="0">#REF!</definedName>
    <definedName name="S27R12" localSheetId="9">#REF!</definedName>
    <definedName name="S27R12" localSheetId="10">#REF!</definedName>
    <definedName name="S27R12" localSheetId="8">#REF!</definedName>
    <definedName name="S27R12">#REF!</definedName>
    <definedName name="S27R13" localSheetId="4">#REF!</definedName>
    <definedName name="S27R13" localSheetId="5">#REF!</definedName>
    <definedName name="S27R13" localSheetId="0">#REF!</definedName>
    <definedName name="S27R13" localSheetId="9">#REF!</definedName>
    <definedName name="S27R13" localSheetId="10">#REF!</definedName>
    <definedName name="S27R13" localSheetId="8">#REF!</definedName>
    <definedName name="S27R13">#REF!</definedName>
    <definedName name="S27R14" localSheetId="4">#REF!</definedName>
    <definedName name="S27R14" localSheetId="5">#REF!</definedName>
    <definedName name="S27R14" localSheetId="0">#REF!</definedName>
    <definedName name="S27R14" localSheetId="9">#REF!</definedName>
    <definedName name="S27R14" localSheetId="10">#REF!</definedName>
    <definedName name="S27R14" localSheetId="8">#REF!</definedName>
    <definedName name="S27R14">#REF!</definedName>
    <definedName name="S27R15" localSheetId="4">#REF!</definedName>
    <definedName name="S27R15" localSheetId="5">#REF!</definedName>
    <definedName name="S27R15" localSheetId="0">#REF!</definedName>
    <definedName name="S27R15" localSheetId="9">#REF!</definedName>
    <definedName name="S27R15" localSheetId="10">#REF!</definedName>
    <definedName name="S27R15" localSheetId="8">#REF!</definedName>
    <definedName name="S27R15">#REF!</definedName>
    <definedName name="S27R16" localSheetId="4">#REF!</definedName>
    <definedName name="S27R16" localSheetId="5">#REF!</definedName>
    <definedName name="S27R16" localSheetId="0">#REF!</definedName>
    <definedName name="S27R16" localSheetId="9">#REF!</definedName>
    <definedName name="S27R16" localSheetId="10">#REF!</definedName>
    <definedName name="S27R16" localSheetId="8">#REF!</definedName>
    <definedName name="S27R16">#REF!</definedName>
    <definedName name="S27R17" localSheetId="4">#REF!</definedName>
    <definedName name="S27R17" localSheetId="5">#REF!</definedName>
    <definedName name="S27R17" localSheetId="0">#REF!</definedName>
    <definedName name="S27R17" localSheetId="9">#REF!</definedName>
    <definedName name="S27R17" localSheetId="10">#REF!</definedName>
    <definedName name="S27R17" localSheetId="8">#REF!</definedName>
    <definedName name="S27R17">#REF!</definedName>
    <definedName name="S27R18" localSheetId="4">#REF!</definedName>
    <definedName name="S27R18" localSheetId="5">#REF!</definedName>
    <definedName name="S27R18" localSheetId="0">#REF!</definedName>
    <definedName name="S27R18" localSheetId="9">#REF!</definedName>
    <definedName name="S27R18" localSheetId="10">#REF!</definedName>
    <definedName name="S27R18" localSheetId="8">#REF!</definedName>
    <definedName name="S27R18">#REF!</definedName>
    <definedName name="S27R19" localSheetId="4">#REF!</definedName>
    <definedName name="S27R19" localSheetId="5">#REF!</definedName>
    <definedName name="S27R19" localSheetId="0">#REF!</definedName>
    <definedName name="S27R19" localSheetId="9">#REF!</definedName>
    <definedName name="S27R19" localSheetId="10">#REF!</definedName>
    <definedName name="S27R19" localSheetId="8">#REF!</definedName>
    <definedName name="S27R19">#REF!</definedName>
    <definedName name="S27R2" localSheetId="4">#REF!</definedName>
    <definedName name="S27R2" localSheetId="5">#REF!</definedName>
    <definedName name="S27R2" localSheetId="0">#REF!</definedName>
    <definedName name="S27R2" localSheetId="9">#REF!</definedName>
    <definedName name="S27R2" localSheetId="10">#REF!</definedName>
    <definedName name="S27R2" localSheetId="8">#REF!</definedName>
    <definedName name="S27R2">#REF!</definedName>
    <definedName name="S27R20" localSheetId="4">#REF!</definedName>
    <definedName name="S27R20" localSheetId="5">#REF!</definedName>
    <definedName name="S27R20" localSheetId="0">#REF!</definedName>
    <definedName name="S27R20" localSheetId="9">#REF!</definedName>
    <definedName name="S27R20" localSheetId="10">#REF!</definedName>
    <definedName name="S27R20" localSheetId="8">#REF!</definedName>
    <definedName name="S27R20">#REF!</definedName>
    <definedName name="S27R21" localSheetId="4">#REF!</definedName>
    <definedName name="S27R21" localSheetId="5">#REF!</definedName>
    <definedName name="S27R21" localSheetId="0">#REF!</definedName>
    <definedName name="S27R21" localSheetId="9">#REF!</definedName>
    <definedName name="S27R21" localSheetId="10">#REF!</definedName>
    <definedName name="S27R21" localSheetId="8">#REF!</definedName>
    <definedName name="S27R21">#REF!</definedName>
    <definedName name="S27R22" localSheetId="4">#REF!</definedName>
    <definedName name="S27R22" localSheetId="5">#REF!</definedName>
    <definedName name="S27R22" localSheetId="0">#REF!</definedName>
    <definedName name="S27R22" localSheetId="9">#REF!</definedName>
    <definedName name="S27R22" localSheetId="10">#REF!</definedName>
    <definedName name="S27R22" localSheetId="8">#REF!</definedName>
    <definedName name="S27R22">#REF!</definedName>
    <definedName name="S27R23" localSheetId="4">#REF!</definedName>
    <definedName name="S27R23" localSheetId="5">#REF!</definedName>
    <definedName name="S27R23" localSheetId="0">#REF!</definedName>
    <definedName name="S27R23" localSheetId="9">#REF!</definedName>
    <definedName name="S27R23" localSheetId="10">#REF!</definedName>
    <definedName name="S27R23" localSheetId="8">#REF!</definedName>
    <definedName name="S27R23">#REF!</definedName>
    <definedName name="S27R24" localSheetId="4">#REF!</definedName>
    <definedName name="S27R24" localSheetId="5">#REF!</definedName>
    <definedName name="S27R24" localSheetId="0">#REF!</definedName>
    <definedName name="S27R24" localSheetId="9">#REF!</definedName>
    <definedName name="S27R24" localSheetId="10">#REF!</definedName>
    <definedName name="S27R24" localSheetId="8">#REF!</definedName>
    <definedName name="S27R24">#REF!</definedName>
    <definedName name="S27R3" localSheetId="4">#REF!</definedName>
    <definedName name="S27R3" localSheetId="5">#REF!</definedName>
    <definedName name="S27R3" localSheetId="0">#REF!</definedName>
    <definedName name="S27R3" localSheetId="9">#REF!</definedName>
    <definedName name="S27R3" localSheetId="10">#REF!</definedName>
    <definedName name="S27R3" localSheetId="8">#REF!</definedName>
    <definedName name="S27R3">#REF!</definedName>
    <definedName name="S27R4" localSheetId="4">#REF!</definedName>
    <definedName name="S27R4" localSheetId="5">#REF!</definedName>
    <definedName name="S27R4" localSheetId="0">#REF!</definedName>
    <definedName name="S27R4" localSheetId="9">#REF!</definedName>
    <definedName name="S27R4" localSheetId="10">#REF!</definedName>
    <definedName name="S27R4" localSheetId="8">#REF!</definedName>
    <definedName name="S27R4">#REF!</definedName>
    <definedName name="S27R5" localSheetId="4">#REF!</definedName>
    <definedName name="S27R5" localSheetId="5">#REF!</definedName>
    <definedName name="S27R5" localSheetId="0">#REF!</definedName>
    <definedName name="S27R5" localSheetId="9">#REF!</definedName>
    <definedName name="S27R5" localSheetId="10">#REF!</definedName>
    <definedName name="S27R5" localSheetId="8">#REF!</definedName>
    <definedName name="S27R5">#REF!</definedName>
    <definedName name="S27R6" localSheetId="4">#REF!</definedName>
    <definedName name="S27R6" localSheetId="5">#REF!</definedName>
    <definedName name="S27R6" localSheetId="0">#REF!</definedName>
    <definedName name="S27R6" localSheetId="9">#REF!</definedName>
    <definedName name="S27R6" localSheetId="10">#REF!</definedName>
    <definedName name="S27R6" localSheetId="8">#REF!</definedName>
    <definedName name="S27R6">#REF!</definedName>
    <definedName name="S27R7" localSheetId="4">#REF!</definedName>
    <definedName name="S27R7" localSheetId="5">#REF!</definedName>
    <definedName name="S27R7" localSheetId="0">#REF!</definedName>
    <definedName name="S27R7" localSheetId="9">#REF!</definedName>
    <definedName name="S27R7" localSheetId="10">#REF!</definedName>
    <definedName name="S27R7" localSheetId="8">#REF!</definedName>
    <definedName name="S27R7">#REF!</definedName>
    <definedName name="S27R8" localSheetId="4">#REF!</definedName>
    <definedName name="S27R8" localSheetId="5">#REF!</definedName>
    <definedName name="S27R8" localSheetId="0">#REF!</definedName>
    <definedName name="S27R8" localSheetId="9">#REF!</definedName>
    <definedName name="S27R8" localSheetId="10">#REF!</definedName>
    <definedName name="S27R8" localSheetId="8">#REF!</definedName>
    <definedName name="S27R8">#REF!</definedName>
    <definedName name="S27R9" localSheetId="4">#REF!</definedName>
    <definedName name="S27R9" localSheetId="5">#REF!</definedName>
    <definedName name="S27R9" localSheetId="0">#REF!</definedName>
    <definedName name="S27R9" localSheetId="9">#REF!</definedName>
    <definedName name="S27R9" localSheetId="10">#REF!</definedName>
    <definedName name="S27R9" localSheetId="8">#REF!</definedName>
    <definedName name="S27R9">#REF!</definedName>
    <definedName name="S28P1" localSheetId="4">#REF!</definedName>
    <definedName name="S28P1" localSheetId="5">#REF!</definedName>
    <definedName name="S28P1" localSheetId="0">#REF!</definedName>
    <definedName name="S28P1" localSheetId="9">#REF!</definedName>
    <definedName name="S28P1" localSheetId="10">#REF!</definedName>
    <definedName name="S28P1" localSheetId="8">#REF!</definedName>
    <definedName name="S28P1">#REF!</definedName>
    <definedName name="S28P10" localSheetId="4">#REF!</definedName>
    <definedName name="S28P10" localSheetId="5">#REF!</definedName>
    <definedName name="S28P10" localSheetId="0">#REF!</definedName>
    <definedName name="S28P10" localSheetId="9">#REF!</definedName>
    <definedName name="S28P10" localSheetId="10">#REF!</definedName>
    <definedName name="S28P10" localSheetId="8">#REF!</definedName>
    <definedName name="S28P10">#REF!</definedName>
    <definedName name="S28P11" localSheetId="4">#REF!</definedName>
    <definedName name="S28P11" localSheetId="5">#REF!</definedName>
    <definedName name="S28P11" localSheetId="0">#REF!</definedName>
    <definedName name="S28P11" localSheetId="9">#REF!</definedName>
    <definedName name="S28P11" localSheetId="10">#REF!</definedName>
    <definedName name="S28P11" localSheetId="8">#REF!</definedName>
    <definedName name="S28P11">#REF!</definedName>
    <definedName name="S28P12" localSheetId="4">#REF!</definedName>
    <definedName name="S28P12" localSheetId="5">#REF!</definedName>
    <definedName name="S28P12" localSheetId="0">#REF!</definedName>
    <definedName name="S28P12" localSheetId="9">#REF!</definedName>
    <definedName name="S28P12" localSheetId="10">#REF!</definedName>
    <definedName name="S28P12" localSheetId="8">#REF!</definedName>
    <definedName name="S28P12">#REF!</definedName>
    <definedName name="S28P13" localSheetId="4">#REF!</definedName>
    <definedName name="S28P13" localSheetId="5">#REF!</definedName>
    <definedName name="S28P13" localSheetId="0">#REF!</definedName>
    <definedName name="S28P13" localSheetId="9">#REF!</definedName>
    <definedName name="S28P13" localSheetId="10">#REF!</definedName>
    <definedName name="S28P13" localSheetId="8">#REF!</definedName>
    <definedName name="S28P13">#REF!</definedName>
    <definedName name="S28P14" localSheetId="4">#REF!</definedName>
    <definedName name="S28P14" localSheetId="5">#REF!</definedName>
    <definedName name="S28P14" localSheetId="0">#REF!</definedName>
    <definedName name="S28P14" localSheetId="9">#REF!</definedName>
    <definedName name="S28P14" localSheetId="10">#REF!</definedName>
    <definedName name="S28P14" localSheetId="8">#REF!</definedName>
    <definedName name="S28P14">#REF!</definedName>
    <definedName name="S28P15" localSheetId="4">#REF!</definedName>
    <definedName name="S28P15" localSheetId="5">#REF!</definedName>
    <definedName name="S28P15" localSheetId="0">#REF!</definedName>
    <definedName name="S28P15" localSheetId="9">#REF!</definedName>
    <definedName name="S28P15" localSheetId="10">#REF!</definedName>
    <definedName name="S28P15" localSheetId="8">#REF!</definedName>
    <definedName name="S28P15">#REF!</definedName>
    <definedName name="S28P16" localSheetId="4">#REF!</definedName>
    <definedName name="S28P16" localSheetId="5">#REF!</definedName>
    <definedName name="S28P16" localSheetId="0">#REF!</definedName>
    <definedName name="S28P16" localSheetId="9">#REF!</definedName>
    <definedName name="S28P16" localSheetId="10">#REF!</definedName>
    <definedName name="S28P16" localSheetId="8">#REF!</definedName>
    <definedName name="S28P16">#REF!</definedName>
    <definedName name="S28P17" localSheetId="4">#REF!</definedName>
    <definedName name="S28P17" localSheetId="5">#REF!</definedName>
    <definedName name="S28P17" localSheetId="0">#REF!</definedName>
    <definedName name="S28P17" localSheetId="9">#REF!</definedName>
    <definedName name="S28P17" localSheetId="10">#REF!</definedName>
    <definedName name="S28P17" localSheetId="8">#REF!</definedName>
    <definedName name="S28P17">#REF!</definedName>
    <definedName name="S28P18" localSheetId="4">#REF!</definedName>
    <definedName name="S28P18" localSheetId="5">#REF!</definedName>
    <definedName name="S28P18" localSheetId="0">#REF!</definedName>
    <definedName name="S28P18" localSheetId="9">#REF!</definedName>
    <definedName name="S28P18" localSheetId="10">#REF!</definedName>
    <definedName name="S28P18" localSheetId="8">#REF!</definedName>
    <definedName name="S28P18">#REF!</definedName>
    <definedName name="S28P19" localSheetId="4">#REF!</definedName>
    <definedName name="S28P19" localSheetId="5">#REF!</definedName>
    <definedName name="S28P19" localSheetId="0">#REF!</definedName>
    <definedName name="S28P19" localSheetId="9">#REF!</definedName>
    <definedName name="S28P19" localSheetId="10">#REF!</definedName>
    <definedName name="S28P19" localSheetId="8">#REF!</definedName>
    <definedName name="S28P19">#REF!</definedName>
    <definedName name="S28P2" localSheetId="4">#REF!</definedName>
    <definedName name="S28P2" localSheetId="5">#REF!</definedName>
    <definedName name="S28P2" localSheetId="0">#REF!</definedName>
    <definedName name="S28P2" localSheetId="9">#REF!</definedName>
    <definedName name="S28P2" localSheetId="10">#REF!</definedName>
    <definedName name="S28P2" localSheetId="8">#REF!</definedName>
    <definedName name="S28P2">#REF!</definedName>
    <definedName name="S28P20" localSheetId="4">#REF!</definedName>
    <definedName name="S28P20" localSheetId="5">#REF!</definedName>
    <definedName name="S28P20" localSheetId="0">#REF!</definedName>
    <definedName name="S28P20" localSheetId="9">#REF!</definedName>
    <definedName name="S28P20" localSheetId="10">#REF!</definedName>
    <definedName name="S28P20" localSheetId="8">#REF!</definedName>
    <definedName name="S28P20">#REF!</definedName>
    <definedName name="S28P21" localSheetId="4">#REF!</definedName>
    <definedName name="S28P21" localSheetId="5">#REF!</definedName>
    <definedName name="S28P21" localSheetId="0">#REF!</definedName>
    <definedName name="S28P21" localSheetId="9">#REF!</definedName>
    <definedName name="S28P21" localSheetId="10">#REF!</definedName>
    <definedName name="S28P21" localSheetId="8">#REF!</definedName>
    <definedName name="S28P21">#REF!</definedName>
    <definedName name="S28P22" localSheetId="4">#REF!</definedName>
    <definedName name="S28P22" localSheetId="5">#REF!</definedName>
    <definedName name="S28P22" localSheetId="0">#REF!</definedName>
    <definedName name="S28P22" localSheetId="9">#REF!</definedName>
    <definedName name="S28P22" localSheetId="10">#REF!</definedName>
    <definedName name="S28P22" localSheetId="8">#REF!</definedName>
    <definedName name="S28P22">#REF!</definedName>
    <definedName name="S28P23" localSheetId="4">#REF!</definedName>
    <definedName name="S28P23" localSheetId="5">#REF!</definedName>
    <definedName name="S28P23" localSheetId="0">#REF!</definedName>
    <definedName name="S28P23" localSheetId="9">#REF!</definedName>
    <definedName name="S28P23" localSheetId="10">#REF!</definedName>
    <definedName name="S28P23" localSheetId="8">#REF!</definedName>
    <definedName name="S28P23">#REF!</definedName>
    <definedName name="S28P24" localSheetId="4">#REF!</definedName>
    <definedName name="S28P24" localSheetId="5">#REF!</definedName>
    <definedName name="S28P24" localSheetId="0">#REF!</definedName>
    <definedName name="S28P24" localSheetId="9">#REF!</definedName>
    <definedName name="S28P24" localSheetId="10">#REF!</definedName>
    <definedName name="S28P24" localSheetId="8">#REF!</definedName>
    <definedName name="S28P24">#REF!</definedName>
    <definedName name="S28P3" localSheetId="4">#REF!</definedName>
    <definedName name="S28P3" localSheetId="5">#REF!</definedName>
    <definedName name="S28P3" localSheetId="0">#REF!</definedName>
    <definedName name="S28P3" localSheetId="9">#REF!</definedName>
    <definedName name="S28P3" localSheetId="10">#REF!</definedName>
    <definedName name="S28P3" localSheetId="8">#REF!</definedName>
    <definedName name="S28P3">#REF!</definedName>
    <definedName name="S28P4" localSheetId="4">#REF!</definedName>
    <definedName name="S28P4" localSheetId="5">#REF!</definedName>
    <definedName name="S28P4" localSheetId="0">#REF!</definedName>
    <definedName name="S28P4" localSheetId="9">#REF!</definedName>
    <definedName name="S28P4" localSheetId="10">#REF!</definedName>
    <definedName name="S28P4" localSheetId="8">#REF!</definedName>
    <definedName name="S28P4">#REF!</definedName>
    <definedName name="S28P5" localSheetId="4">#REF!</definedName>
    <definedName name="S28P5" localSheetId="5">#REF!</definedName>
    <definedName name="S28P5" localSheetId="0">#REF!</definedName>
    <definedName name="S28P5" localSheetId="9">#REF!</definedName>
    <definedName name="S28P5" localSheetId="10">#REF!</definedName>
    <definedName name="S28P5" localSheetId="8">#REF!</definedName>
    <definedName name="S28P5">#REF!</definedName>
    <definedName name="S28P6" localSheetId="4">#REF!</definedName>
    <definedName name="S28P6" localSheetId="5">#REF!</definedName>
    <definedName name="S28P6" localSheetId="0">#REF!</definedName>
    <definedName name="S28P6" localSheetId="9">#REF!</definedName>
    <definedName name="S28P6" localSheetId="10">#REF!</definedName>
    <definedName name="S28P6" localSheetId="8">#REF!</definedName>
    <definedName name="S28P6">#REF!</definedName>
    <definedName name="S28P7" localSheetId="4">#REF!</definedName>
    <definedName name="S28P7" localSheetId="5">#REF!</definedName>
    <definedName name="S28P7" localSheetId="0">#REF!</definedName>
    <definedName name="S28P7" localSheetId="9">#REF!</definedName>
    <definedName name="S28P7" localSheetId="10">#REF!</definedName>
    <definedName name="S28P7" localSheetId="8">#REF!</definedName>
    <definedName name="S28P7">#REF!</definedName>
    <definedName name="S28P8" localSheetId="4">#REF!</definedName>
    <definedName name="S28P8" localSheetId="5">#REF!</definedName>
    <definedName name="S28P8" localSheetId="0">#REF!</definedName>
    <definedName name="S28P8" localSheetId="9">#REF!</definedName>
    <definedName name="S28P8" localSheetId="10">#REF!</definedName>
    <definedName name="S28P8" localSheetId="8">#REF!</definedName>
    <definedName name="S28P8">#REF!</definedName>
    <definedName name="S28P9" localSheetId="4">#REF!</definedName>
    <definedName name="S28P9" localSheetId="5">#REF!</definedName>
    <definedName name="S28P9" localSheetId="0">#REF!</definedName>
    <definedName name="S28P9" localSheetId="9">#REF!</definedName>
    <definedName name="S28P9" localSheetId="10">#REF!</definedName>
    <definedName name="S28P9" localSheetId="8">#REF!</definedName>
    <definedName name="S28P9">#REF!</definedName>
    <definedName name="S28R1" localSheetId="4">#REF!</definedName>
    <definedName name="S28R1" localSheetId="5">#REF!</definedName>
    <definedName name="S28R1" localSheetId="0">#REF!</definedName>
    <definedName name="S28R1" localSheetId="9">#REF!</definedName>
    <definedName name="S28R1" localSheetId="10">#REF!</definedName>
    <definedName name="S28R1" localSheetId="8">#REF!</definedName>
    <definedName name="S28R1">#REF!</definedName>
    <definedName name="S28R10" localSheetId="4">#REF!</definedName>
    <definedName name="S28R10" localSheetId="5">#REF!</definedName>
    <definedName name="S28R10" localSheetId="0">#REF!</definedName>
    <definedName name="S28R10" localSheetId="9">#REF!</definedName>
    <definedName name="S28R10" localSheetId="10">#REF!</definedName>
    <definedName name="S28R10" localSheetId="8">#REF!</definedName>
    <definedName name="S28R10">#REF!</definedName>
    <definedName name="S28R11" localSheetId="4">#REF!</definedName>
    <definedName name="S28R11" localSheetId="5">#REF!</definedName>
    <definedName name="S28R11" localSheetId="0">#REF!</definedName>
    <definedName name="S28R11" localSheetId="9">#REF!</definedName>
    <definedName name="S28R11" localSheetId="10">#REF!</definedName>
    <definedName name="S28R11" localSheetId="8">#REF!</definedName>
    <definedName name="S28R11">#REF!</definedName>
    <definedName name="S28R12" localSheetId="4">#REF!</definedName>
    <definedName name="S28R12" localSheetId="5">#REF!</definedName>
    <definedName name="S28R12" localSheetId="0">#REF!</definedName>
    <definedName name="S28R12" localSheetId="9">#REF!</definedName>
    <definedName name="S28R12" localSheetId="10">#REF!</definedName>
    <definedName name="S28R12" localSheetId="8">#REF!</definedName>
    <definedName name="S28R12">#REF!</definedName>
    <definedName name="S28R13" localSheetId="4">#REF!</definedName>
    <definedName name="S28R13" localSheetId="5">#REF!</definedName>
    <definedName name="S28R13" localSheetId="0">#REF!</definedName>
    <definedName name="S28R13" localSheetId="9">#REF!</definedName>
    <definedName name="S28R13" localSheetId="10">#REF!</definedName>
    <definedName name="S28R13" localSheetId="8">#REF!</definedName>
    <definedName name="S28R13">#REF!</definedName>
    <definedName name="S28R14" localSheetId="4">#REF!</definedName>
    <definedName name="S28R14" localSheetId="5">#REF!</definedName>
    <definedName name="S28R14" localSheetId="0">#REF!</definedName>
    <definedName name="S28R14" localSheetId="9">#REF!</definedName>
    <definedName name="S28R14" localSheetId="10">#REF!</definedName>
    <definedName name="S28R14" localSheetId="8">#REF!</definedName>
    <definedName name="S28R14">#REF!</definedName>
    <definedName name="S28R15" localSheetId="4">#REF!</definedName>
    <definedName name="S28R15" localSheetId="5">#REF!</definedName>
    <definedName name="S28R15" localSheetId="0">#REF!</definedName>
    <definedName name="S28R15" localSheetId="9">#REF!</definedName>
    <definedName name="S28R15" localSheetId="10">#REF!</definedName>
    <definedName name="S28R15" localSheetId="8">#REF!</definedName>
    <definedName name="S28R15">#REF!</definedName>
    <definedName name="S28R16" localSheetId="4">#REF!</definedName>
    <definedName name="S28R16" localSheetId="5">#REF!</definedName>
    <definedName name="S28R16" localSheetId="0">#REF!</definedName>
    <definedName name="S28R16" localSheetId="9">#REF!</definedName>
    <definedName name="S28R16" localSheetId="10">#REF!</definedName>
    <definedName name="S28R16" localSheetId="8">#REF!</definedName>
    <definedName name="S28R16">#REF!</definedName>
    <definedName name="S28R17" localSheetId="4">#REF!</definedName>
    <definedName name="S28R17" localSheetId="5">#REF!</definedName>
    <definedName name="S28R17" localSheetId="0">#REF!</definedName>
    <definedName name="S28R17" localSheetId="9">#REF!</definedName>
    <definedName name="S28R17" localSheetId="10">#REF!</definedName>
    <definedName name="S28R17" localSheetId="8">#REF!</definedName>
    <definedName name="S28R17">#REF!</definedName>
    <definedName name="S28R18" localSheetId="4">#REF!</definedName>
    <definedName name="S28R18" localSheetId="5">#REF!</definedName>
    <definedName name="S28R18" localSheetId="0">#REF!</definedName>
    <definedName name="S28R18" localSheetId="9">#REF!</definedName>
    <definedName name="S28R18" localSheetId="10">#REF!</definedName>
    <definedName name="S28R18" localSheetId="8">#REF!</definedName>
    <definedName name="S28R18">#REF!</definedName>
    <definedName name="S28R19" localSheetId="4">#REF!</definedName>
    <definedName name="S28R19" localSheetId="5">#REF!</definedName>
    <definedName name="S28R19" localSheetId="0">#REF!</definedName>
    <definedName name="S28R19" localSheetId="9">#REF!</definedName>
    <definedName name="S28R19" localSheetId="10">#REF!</definedName>
    <definedName name="S28R19" localSheetId="8">#REF!</definedName>
    <definedName name="S28R19">#REF!</definedName>
    <definedName name="S28R2" localSheetId="4">#REF!</definedName>
    <definedName name="S28R2" localSheetId="5">#REF!</definedName>
    <definedName name="S28R2" localSheetId="0">#REF!</definedName>
    <definedName name="S28R2" localSheetId="9">#REF!</definedName>
    <definedName name="S28R2" localSheetId="10">#REF!</definedName>
    <definedName name="S28R2" localSheetId="8">#REF!</definedName>
    <definedName name="S28R2">#REF!</definedName>
    <definedName name="S28R20" localSheetId="4">#REF!</definedName>
    <definedName name="S28R20" localSheetId="5">#REF!</definedName>
    <definedName name="S28R20" localSheetId="0">#REF!</definedName>
    <definedName name="S28R20" localSheetId="9">#REF!</definedName>
    <definedName name="S28R20" localSheetId="10">#REF!</definedName>
    <definedName name="S28R20" localSheetId="8">#REF!</definedName>
    <definedName name="S28R20">#REF!</definedName>
    <definedName name="S28R21" localSheetId="4">#REF!</definedName>
    <definedName name="S28R21" localSheetId="5">#REF!</definedName>
    <definedName name="S28R21" localSheetId="0">#REF!</definedName>
    <definedName name="S28R21" localSheetId="9">#REF!</definedName>
    <definedName name="S28R21" localSheetId="10">#REF!</definedName>
    <definedName name="S28R21" localSheetId="8">#REF!</definedName>
    <definedName name="S28R21">#REF!</definedName>
    <definedName name="S28R22" localSheetId="4">#REF!</definedName>
    <definedName name="S28R22" localSheetId="5">#REF!</definedName>
    <definedName name="S28R22" localSheetId="0">#REF!</definedName>
    <definedName name="S28R22" localSheetId="9">#REF!</definedName>
    <definedName name="S28R22" localSheetId="10">#REF!</definedName>
    <definedName name="S28R22" localSheetId="8">#REF!</definedName>
    <definedName name="S28R22">#REF!</definedName>
    <definedName name="S28R23" localSheetId="4">#REF!</definedName>
    <definedName name="S28R23" localSheetId="5">#REF!</definedName>
    <definedName name="S28R23" localSheetId="0">#REF!</definedName>
    <definedName name="S28R23" localSheetId="9">#REF!</definedName>
    <definedName name="S28R23" localSheetId="10">#REF!</definedName>
    <definedName name="S28R23" localSheetId="8">#REF!</definedName>
    <definedName name="S28R23">#REF!</definedName>
    <definedName name="S28R24" localSheetId="4">#REF!</definedName>
    <definedName name="S28R24" localSheetId="5">#REF!</definedName>
    <definedName name="S28R24" localSheetId="0">#REF!</definedName>
    <definedName name="S28R24" localSheetId="9">#REF!</definedName>
    <definedName name="S28R24" localSheetId="10">#REF!</definedName>
    <definedName name="S28R24" localSheetId="8">#REF!</definedName>
    <definedName name="S28R24">#REF!</definedName>
    <definedName name="S28R3" localSheetId="4">#REF!</definedName>
    <definedName name="S28R3" localSheetId="5">#REF!</definedName>
    <definedName name="S28R3" localSheetId="0">#REF!</definedName>
    <definedName name="S28R3" localSheetId="9">#REF!</definedName>
    <definedName name="S28R3" localSheetId="10">#REF!</definedName>
    <definedName name="S28R3" localSheetId="8">#REF!</definedName>
    <definedName name="S28R3">#REF!</definedName>
    <definedName name="S28R4" localSheetId="4">#REF!</definedName>
    <definedName name="S28R4" localSheetId="5">#REF!</definedName>
    <definedName name="S28R4" localSheetId="0">#REF!</definedName>
    <definedName name="S28R4" localSheetId="9">#REF!</definedName>
    <definedName name="S28R4" localSheetId="10">#REF!</definedName>
    <definedName name="S28R4" localSheetId="8">#REF!</definedName>
    <definedName name="S28R4">#REF!</definedName>
    <definedName name="S28R5" localSheetId="4">#REF!</definedName>
    <definedName name="S28R5" localSheetId="5">#REF!</definedName>
    <definedName name="S28R5" localSheetId="0">#REF!</definedName>
    <definedName name="S28R5" localSheetId="9">#REF!</definedName>
    <definedName name="S28R5" localSheetId="10">#REF!</definedName>
    <definedName name="S28R5" localSheetId="8">#REF!</definedName>
    <definedName name="S28R5">#REF!</definedName>
    <definedName name="S28R6" localSheetId="4">#REF!</definedName>
    <definedName name="S28R6" localSheetId="5">#REF!</definedName>
    <definedName name="S28R6" localSheetId="0">#REF!</definedName>
    <definedName name="S28R6" localSheetId="9">#REF!</definedName>
    <definedName name="S28R6" localSheetId="10">#REF!</definedName>
    <definedName name="S28R6" localSheetId="8">#REF!</definedName>
    <definedName name="S28R6">#REF!</definedName>
    <definedName name="S28R7" localSheetId="4">#REF!</definedName>
    <definedName name="S28R7" localSheetId="5">#REF!</definedName>
    <definedName name="S28R7" localSheetId="0">#REF!</definedName>
    <definedName name="S28R7" localSheetId="9">#REF!</definedName>
    <definedName name="S28R7" localSheetId="10">#REF!</definedName>
    <definedName name="S28R7" localSheetId="8">#REF!</definedName>
    <definedName name="S28R7">#REF!</definedName>
    <definedName name="S28R8" localSheetId="4">#REF!</definedName>
    <definedName name="S28R8" localSheetId="5">#REF!</definedName>
    <definedName name="S28R8" localSheetId="0">#REF!</definedName>
    <definedName name="S28R8" localSheetId="9">#REF!</definedName>
    <definedName name="S28R8" localSheetId="10">#REF!</definedName>
    <definedName name="S28R8" localSheetId="8">#REF!</definedName>
    <definedName name="S28R8">#REF!</definedName>
    <definedName name="S28R9" localSheetId="4">#REF!</definedName>
    <definedName name="S28R9" localSheetId="5">#REF!</definedName>
    <definedName name="S28R9" localSheetId="0">#REF!</definedName>
    <definedName name="S28R9" localSheetId="9">#REF!</definedName>
    <definedName name="S28R9" localSheetId="10">#REF!</definedName>
    <definedName name="S28R9" localSheetId="8">#REF!</definedName>
    <definedName name="S28R9">#REF!</definedName>
    <definedName name="S29P1" localSheetId="4">#REF!</definedName>
    <definedName name="S29P1" localSheetId="5">#REF!</definedName>
    <definedName name="S29P1" localSheetId="0">#REF!</definedName>
    <definedName name="S29P1" localSheetId="9">#REF!</definedName>
    <definedName name="S29P1" localSheetId="10">#REF!</definedName>
    <definedName name="S29P1" localSheetId="8">#REF!</definedName>
    <definedName name="S29P1">#REF!</definedName>
    <definedName name="S29P10" localSheetId="4">#REF!</definedName>
    <definedName name="S29P10" localSheetId="5">#REF!</definedName>
    <definedName name="S29P10" localSheetId="0">#REF!</definedName>
    <definedName name="S29P10" localSheetId="9">#REF!</definedName>
    <definedName name="S29P10" localSheetId="10">#REF!</definedName>
    <definedName name="S29P10" localSheetId="8">#REF!</definedName>
    <definedName name="S29P10">#REF!</definedName>
    <definedName name="S29P11" localSheetId="4">#REF!</definedName>
    <definedName name="S29P11" localSheetId="5">#REF!</definedName>
    <definedName name="S29P11" localSheetId="0">#REF!</definedName>
    <definedName name="S29P11" localSheetId="9">#REF!</definedName>
    <definedName name="S29P11" localSheetId="10">#REF!</definedName>
    <definedName name="S29P11" localSheetId="8">#REF!</definedName>
    <definedName name="S29P11">#REF!</definedName>
    <definedName name="S29P12" localSheetId="4">#REF!</definedName>
    <definedName name="S29P12" localSheetId="5">#REF!</definedName>
    <definedName name="S29P12" localSheetId="0">#REF!</definedName>
    <definedName name="S29P12" localSheetId="9">#REF!</definedName>
    <definedName name="S29P12" localSheetId="10">#REF!</definedName>
    <definedName name="S29P12" localSheetId="8">#REF!</definedName>
    <definedName name="S29P12">#REF!</definedName>
    <definedName name="S29P13" localSheetId="4">#REF!</definedName>
    <definedName name="S29P13" localSheetId="5">#REF!</definedName>
    <definedName name="S29P13" localSheetId="0">#REF!</definedName>
    <definedName name="S29P13" localSheetId="9">#REF!</definedName>
    <definedName name="S29P13" localSheetId="10">#REF!</definedName>
    <definedName name="S29P13" localSheetId="8">#REF!</definedName>
    <definedName name="S29P13">#REF!</definedName>
    <definedName name="S29P14" localSheetId="4">#REF!</definedName>
    <definedName name="S29P14" localSheetId="5">#REF!</definedName>
    <definedName name="S29P14" localSheetId="0">#REF!</definedName>
    <definedName name="S29P14" localSheetId="9">#REF!</definedName>
    <definedName name="S29P14" localSheetId="10">#REF!</definedName>
    <definedName name="S29P14" localSheetId="8">#REF!</definedName>
    <definedName name="S29P14">#REF!</definedName>
    <definedName name="S29P15" localSheetId="4">#REF!</definedName>
    <definedName name="S29P15" localSheetId="5">#REF!</definedName>
    <definedName name="S29P15" localSheetId="0">#REF!</definedName>
    <definedName name="S29P15" localSheetId="9">#REF!</definedName>
    <definedName name="S29P15" localSheetId="10">#REF!</definedName>
    <definedName name="S29P15" localSheetId="8">#REF!</definedName>
    <definedName name="S29P15">#REF!</definedName>
    <definedName name="S29P16" localSheetId="4">#REF!</definedName>
    <definedName name="S29P16" localSheetId="5">#REF!</definedName>
    <definedName name="S29P16" localSheetId="0">#REF!</definedName>
    <definedName name="S29P16" localSheetId="9">#REF!</definedName>
    <definedName name="S29P16" localSheetId="10">#REF!</definedName>
    <definedName name="S29P16" localSheetId="8">#REF!</definedName>
    <definedName name="S29P16">#REF!</definedName>
    <definedName name="S29P17" localSheetId="4">#REF!</definedName>
    <definedName name="S29P17" localSheetId="5">#REF!</definedName>
    <definedName name="S29P17" localSheetId="0">#REF!</definedName>
    <definedName name="S29P17" localSheetId="9">#REF!</definedName>
    <definedName name="S29P17" localSheetId="10">#REF!</definedName>
    <definedName name="S29P17" localSheetId="8">#REF!</definedName>
    <definedName name="S29P17">#REF!</definedName>
    <definedName name="S29P18" localSheetId="4">#REF!</definedName>
    <definedName name="S29P18" localSheetId="5">#REF!</definedName>
    <definedName name="S29P18" localSheetId="0">#REF!</definedName>
    <definedName name="S29P18" localSheetId="9">#REF!</definedName>
    <definedName name="S29P18" localSheetId="10">#REF!</definedName>
    <definedName name="S29P18" localSheetId="8">#REF!</definedName>
    <definedName name="S29P18">#REF!</definedName>
    <definedName name="S29P19" localSheetId="4">#REF!</definedName>
    <definedName name="S29P19" localSheetId="5">#REF!</definedName>
    <definedName name="S29P19" localSheetId="0">#REF!</definedName>
    <definedName name="S29P19" localSheetId="9">#REF!</definedName>
    <definedName name="S29P19" localSheetId="10">#REF!</definedName>
    <definedName name="S29P19" localSheetId="8">#REF!</definedName>
    <definedName name="S29P19">#REF!</definedName>
    <definedName name="S29P2" localSheetId="4">#REF!</definedName>
    <definedName name="S29P2" localSheetId="5">#REF!</definedName>
    <definedName name="S29P2" localSheetId="0">#REF!</definedName>
    <definedName name="S29P2" localSheetId="9">#REF!</definedName>
    <definedName name="S29P2" localSheetId="10">#REF!</definedName>
    <definedName name="S29P2" localSheetId="8">#REF!</definedName>
    <definedName name="S29P2">#REF!</definedName>
    <definedName name="S29P20" localSheetId="4">#REF!</definedName>
    <definedName name="S29P20" localSheetId="5">#REF!</definedName>
    <definedName name="S29P20" localSheetId="0">#REF!</definedName>
    <definedName name="S29P20" localSheetId="9">#REF!</definedName>
    <definedName name="S29P20" localSheetId="10">#REF!</definedName>
    <definedName name="S29P20" localSheetId="8">#REF!</definedName>
    <definedName name="S29P20">#REF!</definedName>
    <definedName name="S29P21" localSheetId="4">#REF!</definedName>
    <definedName name="S29P21" localSheetId="5">#REF!</definedName>
    <definedName name="S29P21" localSheetId="0">#REF!</definedName>
    <definedName name="S29P21" localSheetId="9">#REF!</definedName>
    <definedName name="S29P21" localSheetId="10">#REF!</definedName>
    <definedName name="S29P21" localSheetId="8">#REF!</definedName>
    <definedName name="S29P21">#REF!</definedName>
    <definedName name="S29P22" localSheetId="4">#REF!</definedName>
    <definedName name="S29P22" localSheetId="5">#REF!</definedName>
    <definedName name="S29P22" localSheetId="0">#REF!</definedName>
    <definedName name="S29P22" localSheetId="9">#REF!</definedName>
    <definedName name="S29P22" localSheetId="10">#REF!</definedName>
    <definedName name="S29P22" localSheetId="8">#REF!</definedName>
    <definedName name="S29P22">#REF!</definedName>
    <definedName name="S29P23" localSheetId="4">#REF!</definedName>
    <definedName name="S29P23" localSheetId="5">#REF!</definedName>
    <definedName name="S29P23" localSheetId="0">#REF!</definedName>
    <definedName name="S29P23" localSheetId="9">#REF!</definedName>
    <definedName name="S29P23" localSheetId="10">#REF!</definedName>
    <definedName name="S29P23" localSheetId="8">#REF!</definedName>
    <definedName name="S29P23">#REF!</definedName>
    <definedName name="S29P24" localSheetId="4">#REF!</definedName>
    <definedName name="S29P24" localSheetId="5">#REF!</definedName>
    <definedName name="S29P24" localSheetId="0">#REF!</definedName>
    <definedName name="S29P24" localSheetId="9">#REF!</definedName>
    <definedName name="S29P24" localSheetId="10">#REF!</definedName>
    <definedName name="S29P24" localSheetId="8">#REF!</definedName>
    <definedName name="S29P24">#REF!</definedName>
    <definedName name="S29P3" localSheetId="4">#REF!</definedName>
    <definedName name="S29P3" localSheetId="5">#REF!</definedName>
    <definedName name="S29P3" localSheetId="0">#REF!</definedName>
    <definedName name="S29P3" localSheetId="9">#REF!</definedName>
    <definedName name="S29P3" localSheetId="10">#REF!</definedName>
    <definedName name="S29P3" localSheetId="8">#REF!</definedName>
    <definedName name="S29P3">#REF!</definedName>
    <definedName name="S29P4" localSheetId="4">#REF!</definedName>
    <definedName name="S29P4" localSheetId="5">#REF!</definedName>
    <definedName name="S29P4" localSheetId="0">#REF!</definedName>
    <definedName name="S29P4" localSheetId="9">#REF!</definedName>
    <definedName name="S29P4" localSheetId="10">#REF!</definedName>
    <definedName name="S29P4" localSheetId="8">#REF!</definedName>
    <definedName name="S29P4">#REF!</definedName>
    <definedName name="S29P5" localSheetId="4">#REF!</definedName>
    <definedName name="S29P5" localSheetId="5">#REF!</definedName>
    <definedName name="S29P5" localSheetId="0">#REF!</definedName>
    <definedName name="S29P5" localSheetId="9">#REF!</definedName>
    <definedName name="S29P5" localSheetId="10">#REF!</definedName>
    <definedName name="S29P5" localSheetId="8">#REF!</definedName>
    <definedName name="S29P5">#REF!</definedName>
    <definedName name="S29P6" localSheetId="4">#REF!</definedName>
    <definedName name="S29P6" localSheetId="5">#REF!</definedName>
    <definedName name="S29P6" localSheetId="0">#REF!</definedName>
    <definedName name="S29P6" localSheetId="9">#REF!</definedName>
    <definedName name="S29P6" localSheetId="10">#REF!</definedName>
    <definedName name="S29P6" localSheetId="8">#REF!</definedName>
    <definedName name="S29P6">#REF!</definedName>
    <definedName name="S29P7" localSheetId="4">#REF!</definedName>
    <definedName name="S29P7" localSheetId="5">#REF!</definedName>
    <definedName name="S29P7" localSheetId="0">#REF!</definedName>
    <definedName name="S29P7" localSheetId="9">#REF!</definedName>
    <definedName name="S29P7" localSheetId="10">#REF!</definedName>
    <definedName name="S29P7" localSheetId="8">#REF!</definedName>
    <definedName name="S29P7">#REF!</definedName>
    <definedName name="S29P8" localSheetId="4">#REF!</definedName>
    <definedName name="S29P8" localSheetId="5">#REF!</definedName>
    <definedName name="S29P8" localSheetId="0">#REF!</definedName>
    <definedName name="S29P8" localSheetId="9">#REF!</definedName>
    <definedName name="S29P8" localSheetId="10">#REF!</definedName>
    <definedName name="S29P8" localSheetId="8">#REF!</definedName>
    <definedName name="S29P8">#REF!</definedName>
    <definedName name="S29P9" localSheetId="4">#REF!</definedName>
    <definedName name="S29P9" localSheetId="5">#REF!</definedName>
    <definedName name="S29P9" localSheetId="0">#REF!</definedName>
    <definedName name="S29P9" localSheetId="9">#REF!</definedName>
    <definedName name="S29P9" localSheetId="10">#REF!</definedName>
    <definedName name="S29P9" localSheetId="8">#REF!</definedName>
    <definedName name="S29P9">#REF!</definedName>
    <definedName name="S29R1" localSheetId="4">#REF!</definedName>
    <definedName name="S29R1" localSheetId="5">#REF!</definedName>
    <definedName name="S29R1" localSheetId="0">#REF!</definedName>
    <definedName name="S29R1" localSheetId="9">#REF!</definedName>
    <definedName name="S29R1" localSheetId="10">#REF!</definedName>
    <definedName name="S29R1" localSheetId="8">#REF!</definedName>
    <definedName name="S29R1">#REF!</definedName>
    <definedName name="S29R10" localSheetId="4">#REF!</definedName>
    <definedName name="S29R10" localSheetId="5">#REF!</definedName>
    <definedName name="S29R10" localSheetId="0">#REF!</definedName>
    <definedName name="S29R10" localSheetId="9">#REF!</definedName>
    <definedName name="S29R10" localSheetId="10">#REF!</definedName>
    <definedName name="S29R10" localSheetId="8">#REF!</definedName>
    <definedName name="S29R10">#REF!</definedName>
    <definedName name="S29R11" localSheetId="4">#REF!</definedName>
    <definedName name="S29R11" localSheetId="5">#REF!</definedName>
    <definedName name="S29R11" localSheetId="0">#REF!</definedName>
    <definedName name="S29R11" localSheetId="9">#REF!</definedName>
    <definedName name="S29R11" localSheetId="10">#REF!</definedName>
    <definedName name="S29R11" localSheetId="8">#REF!</definedName>
    <definedName name="S29R11">#REF!</definedName>
    <definedName name="S29R12" localSheetId="4">#REF!</definedName>
    <definedName name="S29R12" localSheetId="5">#REF!</definedName>
    <definedName name="S29R12" localSheetId="0">#REF!</definedName>
    <definedName name="S29R12" localSheetId="9">#REF!</definedName>
    <definedName name="S29R12" localSheetId="10">#REF!</definedName>
    <definedName name="S29R12" localSheetId="8">#REF!</definedName>
    <definedName name="S29R12">#REF!</definedName>
    <definedName name="S29R13" localSheetId="4">#REF!</definedName>
    <definedName name="S29R13" localSheetId="5">#REF!</definedName>
    <definedName name="S29R13" localSheetId="0">#REF!</definedName>
    <definedName name="S29R13" localSheetId="9">#REF!</definedName>
    <definedName name="S29R13" localSheetId="10">#REF!</definedName>
    <definedName name="S29R13" localSheetId="8">#REF!</definedName>
    <definedName name="S29R13">#REF!</definedName>
    <definedName name="S29R14" localSheetId="4">#REF!</definedName>
    <definedName name="S29R14" localSheetId="5">#REF!</definedName>
    <definedName name="S29R14" localSheetId="0">#REF!</definedName>
    <definedName name="S29R14" localSheetId="9">#REF!</definedName>
    <definedName name="S29R14" localSheetId="10">#REF!</definedName>
    <definedName name="S29R14" localSheetId="8">#REF!</definedName>
    <definedName name="S29R14">#REF!</definedName>
    <definedName name="S29R15" localSheetId="4">#REF!</definedName>
    <definedName name="S29R15" localSheetId="5">#REF!</definedName>
    <definedName name="S29R15" localSheetId="0">#REF!</definedName>
    <definedName name="S29R15" localSheetId="9">#REF!</definedName>
    <definedName name="S29R15" localSheetId="10">#REF!</definedName>
    <definedName name="S29R15" localSheetId="8">#REF!</definedName>
    <definedName name="S29R15">#REF!</definedName>
    <definedName name="S29R16" localSheetId="4">#REF!</definedName>
    <definedName name="S29R16" localSheetId="5">#REF!</definedName>
    <definedName name="S29R16" localSheetId="0">#REF!</definedName>
    <definedName name="S29R16" localSheetId="9">#REF!</definedName>
    <definedName name="S29R16" localSheetId="10">#REF!</definedName>
    <definedName name="S29R16" localSheetId="8">#REF!</definedName>
    <definedName name="S29R16">#REF!</definedName>
    <definedName name="S29R17" localSheetId="4">#REF!</definedName>
    <definedName name="S29R17" localSheetId="5">#REF!</definedName>
    <definedName name="S29R17" localSheetId="0">#REF!</definedName>
    <definedName name="S29R17" localSheetId="9">#REF!</definedName>
    <definedName name="S29R17" localSheetId="10">#REF!</definedName>
    <definedName name="S29R17" localSheetId="8">#REF!</definedName>
    <definedName name="S29R17">#REF!</definedName>
    <definedName name="S29R18" localSheetId="4">#REF!</definedName>
    <definedName name="S29R18" localSheetId="5">#REF!</definedName>
    <definedName name="S29R18" localSheetId="0">#REF!</definedName>
    <definedName name="S29R18" localSheetId="9">#REF!</definedName>
    <definedName name="S29R18" localSheetId="10">#REF!</definedName>
    <definedName name="S29R18" localSheetId="8">#REF!</definedName>
    <definedName name="S29R18">#REF!</definedName>
    <definedName name="S29R19" localSheetId="4">#REF!</definedName>
    <definedName name="S29R19" localSheetId="5">#REF!</definedName>
    <definedName name="S29R19" localSheetId="0">#REF!</definedName>
    <definedName name="S29R19" localSheetId="9">#REF!</definedName>
    <definedName name="S29R19" localSheetId="10">#REF!</definedName>
    <definedName name="S29R19" localSheetId="8">#REF!</definedName>
    <definedName name="S29R19">#REF!</definedName>
    <definedName name="S29R2" localSheetId="4">#REF!</definedName>
    <definedName name="S29R2" localSheetId="5">#REF!</definedName>
    <definedName name="S29R2" localSheetId="0">#REF!</definedName>
    <definedName name="S29R2" localSheetId="9">#REF!</definedName>
    <definedName name="S29R2" localSheetId="10">#REF!</definedName>
    <definedName name="S29R2" localSheetId="8">#REF!</definedName>
    <definedName name="S29R2">#REF!</definedName>
    <definedName name="S29R20" localSheetId="4">#REF!</definedName>
    <definedName name="S29R20" localSheetId="5">#REF!</definedName>
    <definedName name="S29R20" localSheetId="0">#REF!</definedName>
    <definedName name="S29R20" localSheetId="9">#REF!</definedName>
    <definedName name="S29R20" localSheetId="10">#REF!</definedName>
    <definedName name="S29R20" localSheetId="8">#REF!</definedName>
    <definedName name="S29R20">#REF!</definedName>
    <definedName name="S29R21" localSheetId="4">#REF!</definedName>
    <definedName name="S29R21" localSheetId="5">#REF!</definedName>
    <definedName name="S29R21" localSheetId="0">#REF!</definedName>
    <definedName name="S29R21" localSheetId="9">#REF!</definedName>
    <definedName name="S29R21" localSheetId="10">#REF!</definedName>
    <definedName name="S29R21" localSheetId="8">#REF!</definedName>
    <definedName name="S29R21">#REF!</definedName>
    <definedName name="S29R22" localSheetId="4">#REF!</definedName>
    <definedName name="S29R22" localSheetId="5">#REF!</definedName>
    <definedName name="S29R22" localSheetId="0">#REF!</definedName>
    <definedName name="S29R22" localSheetId="9">#REF!</definedName>
    <definedName name="S29R22" localSheetId="10">#REF!</definedName>
    <definedName name="S29R22" localSheetId="8">#REF!</definedName>
    <definedName name="S29R22">#REF!</definedName>
    <definedName name="S29R23" localSheetId="4">#REF!</definedName>
    <definedName name="S29R23" localSheetId="5">#REF!</definedName>
    <definedName name="S29R23" localSheetId="0">#REF!</definedName>
    <definedName name="S29R23" localSheetId="9">#REF!</definedName>
    <definedName name="S29R23" localSheetId="10">#REF!</definedName>
    <definedName name="S29R23" localSheetId="8">#REF!</definedName>
    <definedName name="S29R23">#REF!</definedName>
    <definedName name="S29R24" localSheetId="4">#REF!</definedName>
    <definedName name="S29R24" localSheetId="5">#REF!</definedName>
    <definedName name="S29R24" localSheetId="0">#REF!</definedName>
    <definedName name="S29R24" localSheetId="9">#REF!</definedName>
    <definedName name="S29R24" localSheetId="10">#REF!</definedName>
    <definedName name="S29R24" localSheetId="8">#REF!</definedName>
    <definedName name="S29R24">#REF!</definedName>
    <definedName name="S29R3" localSheetId="4">#REF!</definedName>
    <definedName name="S29R3" localSheetId="5">#REF!</definedName>
    <definedName name="S29R3" localSheetId="0">#REF!</definedName>
    <definedName name="S29R3" localSheetId="9">#REF!</definedName>
    <definedName name="S29R3" localSheetId="10">#REF!</definedName>
    <definedName name="S29R3" localSheetId="8">#REF!</definedName>
    <definedName name="S29R3">#REF!</definedName>
    <definedName name="S29R4" localSheetId="4">#REF!</definedName>
    <definedName name="S29R4" localSheetId="5">#REF!</definedName>
    <definedName name="S29R4" localSheetId="0">#REF!</definedName>
    <definedName name="S29R4" localSheetId="9">#REF!</definedName>
    <definedName name="S29R4" localSheetId="10">#REF!</definedName>
    <definedName name="S29R4" localSheetId="8">#REF!</definedName>
    <definedName name="S29R4">#REF!</definedName>
    <definedName name="S29R5" localSheetId="4">#REF!</definedName>
    <definedName name="S29R5" localSheetId="5">#REF!</definedName>
    <definedName name="S29R5" localSheetId="0">#REF!</definedName>
    <definedName name="S29R5" localSheetId="9">#REF!</definedName>
    <definedName name="S29R5" localSheetId="10">#REF!</definedName>
    <definedName name="S29R5" localSheetId="8">#REF!</definedName>
    <definedName name="S29R5">#REF!</definedName>
    <definedName name="S29R6" localSheetId="4">#REF!</definedName>
    <definedName name="S29R6" localSheetId="5">#REF!</definedName>
    <definedName name="S29R6" localSheetId="0">#REF!</definedName>
    <definedName name="S29R6" localSheetId="9">#REF!</definedName>
    <definedName name="S29R6" localSheetId="10">#REF!</definedName>
    <definedName name="S29R6" localSheetId="8">#REF!</definedName>
    <definedName name="S29R6">#REF!</definedName>
    <definedName name="S29R7" localSheetId="4">#REF!</definedName>
    <definedName name="S29R7" localSheetId="5">#REF!</definedName>
    <definedName name="S29R7" localSheetId="0">#REF!</definedName>
    <definedName name="S29R7" localSheetId="9">#REF!</definedName>
    <definedName name="S29R7" localSheetId="10">#REF!</definedName>
    <definedName name="S29R7" localSheetId="8">#REF!</definedName>
    <definedName name="S29R7">#REF!</definedName>
    <definedName name="S29R8" localSheetId="4">#REF!</definedName>
    <definedName name="S29R8" localSheetId="5">#REF!</definedName>
    <definedName name="S29R8" localSheetId="0">#REF!</definedName>
    <definedName name="S29R8" localSheetId="9">#REF!</definedName>
    <definedName name="S29R8" localSheetId="10">#REF!</definedName>
    <definedName name="S29R8" localSheetId="8">#REF!</definedName>
    <definedName name="S29R8">#REF!</definedName>
    <definedName name="S29R9" localSheetId="4">#REF!</definedName>
    <definedName name="S29R9" localSheetId="5">#REF!</definedName>
    <definedName name="S29R9" localSheetId="0">#REF!</definedName>
    <definedName name="S29R9" localSheetId="9">#REF!</definedName>
    <definedName name="S29R9" localSheetId="10">#REF!</definedName>
    <definedName name="S29R9" localSheetId="8">#REF!</definedName>
    <definedName name="S29R9">#REF!</definedName>
    <definedName name="S2P1" localSheetId="4">#REF!</definedName>
    <definedName name="S2P1" localSheetId="5">#REF!</definedName>
    <definedName name="S2P1" localSheetId="0">#REF!</definedName>
    <definedName name="S2P1" localSheetId="9">#REF!</definedName>
    <definedName name="S2P1" localSheetId="10">#REF!</definedName>
    <definedName name="S2P1" localSheetId="8">#REF!</definedName>
    <definedName name="S2P1">#REF!</definedName>
    <definedName name="S2P10" localSheetId="4">#REF!</definedName>
    <definedName name="S2P10" localSheetId="5">#REF!</definedName>
    <definedName name="S2P10" localSheetId="0">#REF!</definedName>
    <definedName name="S2P10" localSheetId="9">#REF!</definedName>
    <definedName name="S2P10" localSheetId="10">#REF!</definedName>
    <definedName name="S2P10" localSheetId="8">#REF!</definedName>
    <definedName name="S2P10">#REF!</definedName>
    <definedName name="S2P11" localSheetId="4">#REF!</definedName>
    <definedName name="S2P11" localSheetId="5">#REF!</definedName>
    <definedName name="S2P11" localSheetId="0">#REF!</definedName>
    <definedName name="S2P11" localSheetId="9">#REF!</definedName>
    <definedName name="S2P11" localSheetId="10">#REF!</definedName>
    <definedName name="S2P11" localSheetId="8">#REF!</definedName>
    <definedName name="S2P11">#REF!</definedName>
    <definedName name="S2P12" localSheetId="4">#REF!</definedName>
    <definedName name="S2P12" localSheetId="5">#REF!</definedName>
    <definedName name="S2P12" localSheetId="0">#REF!</definedName>
    <definedName name="S2P12" localSheetId="9">#REF!</definedName>
    <definedName name="S2P12" localSheetId="10">#REF!</definedName>
    <definedName name="S2P12" localSheetId="8">#REF!</definedName>
    <definedName name="S2P12">#REF!</definedName>
    <definedName name="S2P13" localSheetId="4">#REF!</definedName>
    <definedName name="S2P13" localSheetId="5">#REF!</definedName>
    <definedName name="S2P13" localSheetId="0">#REF!</definedName>
    <definedName name="S2P13" localSheetId="9">#REF!</definedName>
    <definedName name="S2P13" localSheetId="10">#REF!</definedName>
    <definedName name="S2P13" localSheetId="8">#REF!</definedName>
    <definedName name="S2P13">#REF!</definedName>
    <definedName name="S2P14" localSheetId="4">#REF!</definedName>
    <definedName name="S2P14" localSheetId="5">#REF!</definedName>
    <definedName name="S2P14" localSheetId="0">#REF!</definedName>
    <definedName name="S2P14" localSheetId="9">#REF!</definedName>
    <definedName name="S2P14" localSheetId="10">#REF!</definedName>
    <definedName name="S2P14" localSheetId="8">#REF!</definedName>
    <definedName name="S2P14">#REF!</definedName>
    <definedName name="S2P15" localSheetId="4">#REF!</definedName>
    <definedName name="S2P15" localSheetId="5">#REF!</definedName>
    <definedName name="S2P15" localSheetId="0">#REF!</definedName>
    <definedName name="S2P15" localSheetId="9">#REF!</definedName>
    <definedName name="S2P15" localSheetId="10">#REF!</definedName>
    <definedName name="S2P15" localSheetId="8">#REF!</definedName>
    <definedName name="S2P15">#REF!</definedName>
    <definedName name="S2P16" localSheetId="4">#REF!</definedName>
    <definedName name="S2P16" localSheetId="5">#REF!</definedName>
    <definedName name="S2P16" localSheetId="0">#REF!</definedName>
    <definedName name="S2P16" localSheetId="9">#REF!</definedName>
    <definedName name="S2P16" localSheetId="10">#REF!</definedName>
    <definedName name="S2P16" localSheetId="8">#REF!</definedName>
    <definedName name="S2P16">#REF!</definedName>
    <definedName name="S2P17" localSheetId="4">#REF!</definedName>
    <definedName name="S2P17" localSheetId="5">#REF!</definedName>
    <definedName name="S2P17" localSheetId="0">#REF!</definedName>
    <definedName name="S2P17" localSheetId="9">#REF!</definedName>
    <definedName name="S2P17" localSheetId="10">#REF!</definedName>
    <definedName name="S2P17" localSheetId="8">#REF!</definedName>
    <definedName name="S2P17">#REF!</definedName>
    <definedName name="S2P18" localSheetId="4">#REF!</definedName>
    <definedName name="S2P18" localSheetId="5">#REF!</definedName>
    <definedName name="S2P18" localSheetId="0">#REF!</definedName>
    <definedName name="S2P18" localSheetId="9">#REF!</definedName>
    <definedName name="S2P18" localSheetId="10">#REF!</definedName>
    <definedName name="S2P18" localSheetId="8">#REF!</definedName>
    <definedName name="S2P18">#REF!</definedName>
    <definedName name="S2P19" localSheetId="4">#REF!</definedName>
    <definedName name="S2P19" localSheetId="5">#REF!</definedName>
    <definedName name="S2P19" localSheetId="0">#REF!</definedName>
    <definedName name="S2P19" localSheetId="9">#REF!</definedName>
    <definedName name="S2P19" localSheetId="10">#REF!</definedName>
    <definedName name="S2P19" localSheetId="8">#REF!</definedName>
    <definedName name="S2P19">#REF!</definedName>
    <definedName name="S2P2" localSheetId="4">#REF!</definedName>
    <definedName name="S2P2" localSheetId="5">#REF!</definedName>
    <definedName name="S2P2" localSheetId="0">#REF!</definedName>
    <definedName name="S2P2" localSheetId="9">#REF!</definedName>
    <definedName name="S2P2" localSheetId="10">#REF!</definedName>
    <definedName name="S2P2" localSheetId="8">#REF!</definedName>
    <definedName name="S2P2">#REF!</definedName>
    <definedName name="S2P20" localSheetId="4">#REF!</definedName>
    <definedName name="S2P20" localSheetId="5">#REF!</definedName>
    <definedName name="S2P20" localSheetId="0">#REF!</definedName>
    <definedName name="S2P20" localSheetId="9">#REF!</definedName>
    <definedName name="S2P20" localSheetId="10">#REF!</definedName>
    <definedName name="S2P20" localSheetId="8">#REF!</definedName>
    <definedName name="S2P20">#REF!</definedName>
    <definedName name="S2P21" localSheetId="4">#REF!</definedName>
    <definedName name="S2P21" localSheetId="5">#REF!</definedName>
    <definedName name="S2P21" localSheetId="0">#REF!</definedName>
    <definedName name="S2P21" localSheetId="9">#REF!</definedName>
    <definedName name="S2P21" localSheetId="10">#REF!</definedName>
    <definedName name="S2P21" localSheetId="8">#REF!</definedName>
    <definedName name="S2P21">#REF!</definedName>
    <definedName name="S2P22" localSheetId="4">#REF!</definedName>
    <definedName name="S2P22" localSheetId="5">#REF!</definedName>
    <definedName name="S2P22" localSheetId="0">#REF!</definedName>
    <definedName name="S2P22" localSheetId="9">#REF!</definedName>
    <definedName name="S2P22" localSheetId="10">#REF!</definedName>
    <definedName name="S2P22" localSheetId="8">#REF!</definedName>
    <definedName name="S2P22">#REF!</definedName>
    <definedName name="S2P23" localSheetId="4">#REF!</definedName>
    <definedName name="S2P23" localSheetId="5">#REF!</definedName>
    <definedName name="S2P23" localSheetId="0">#REF!</definedName>
    <definedName name="S2P23" localSheetId="9">#REF!</definedName>
    <definedName name="S2P23" localSheetId="10">#REF!</definedName>
    <definedName name="S2P23" localSheetId="8">#REF!</definedName>
    <definedName name="S2P23">#REF!</definedName>
    <definedName name="S2P24" localSheetId="4">#REF!</definedName>
    <definedName name="S2P24" localSheetId="5">#REF!</definedName>
    <definedName name="S2P24" localSheetId="0">#REF!</definedName>
    <definedName name="S2P24" localSheetId="9">#REF!</definedName>
    <definedName name="S2P24" localSheetId="10">#REF!</definedName>
    <definedName name="S2P24" localSheetId="8">#REF!</definedName>
    <definedName name="S2P24">#REF!</definedName>
    <definedName name="S2P3" localSheetId="4">#REF!</definedName>
    <definedName name="S2P3" localSheetId="5">#REF!</definedName>
    <definedName name="S2P3" localSheetId="0">#REF!</definedName>
    <definedName name="S2P3" localSheetId="9">#REF!</definedName>
    <definedName name="S2P3" localSheetId="10">#REF!</definedName>
    <definedName name="S2P3" localSheetId="8">#REF!</definedName>
    <definedName name="S2P3">#REF!</definedName>
    <definedName name="S2P4" localSheetId="4">#REF!</definedName>
    <definedName name="S2P4" localSheetId="5">#REF!</definedName>
    <definedName name="S2P4" localSheetId="0">#REF!</definedName>
    <definedName name="S2P4" localSheetId="9">#REF!</definedName>
    <definedName name="S2P4" localSheetId="10">#REF!</definedName>
    <definedName name="S2P4" localSheetId="8">#REF!</definedName>
    <definedName name="S2P4">#REF!</definedName>
    <definedName name="S2P5" localSheetId="4">#REF!</definedName>
    <definedName name="S2P5" localSheetId="5">#REF!</definedName>
    <definedName name="S2P5" localSheetId="0">#REF!</definedName>
    <definedName name="S2P5" localSheetId="9">#REF!</definedName>
    <definedName name="S2P5" localSheetId="10">#REF!</definedName>
    <definedName name="S2P5" localSheetId="8">#REF!</definedName>
    <definedName name="S2P5">#REF!</definedName>
    <definedName name="S2P6" localSheetId="4">#REF!</definedName>
    <definedName name="S2P6" localSheetId="5">#REF!</definedName>
    <definedName name="S2P6" localSheetId="0">#REF!</definedName>
    <definedName name="S2P6" localSheetId="9">#REF!</definedName>
    <definedName name="S2P6" localSheetId="10">#REF!</definedName>
    <definedName name="S2P6" localSheetId="8">#REF!</definedName>
    <definedName name="S2P6">#REF!</definedName>
    <definedName name="S2P7" localSheetId="4">#REF!</definedName>
    <definedName name="S2P7" localSheetId="5">#REF!</definedName>
    <definedName name="S2P7" localSheetId="0">#REF!</definedName>
    <definedName name="S2P7" localSheetId="9">#REF!</definedName>
    <definedName name="S2P7" localSheetId="10">#REF!</definedName>
    <definedName name="S2P7" localSheetId="8">#REF!</definedName>
    <definedName name="S2P7">#REF!</definedName>
    <definedName name="S2P8" localSheetId="4">#REF!</definedName>
    <definedName name="S2P8" localSheetId="5">#REF!</definedName>
    <definedName name="S2P8" localSheetId="0">#REF!</definedName>
    <definedName name="S2P8" localSheetId="9">#REF!</definedName>
    <definedName name="S2P8" localSheetId="10">#REF!</definedName>
    <definedName name="S2P8" localSheetId="8">#REF!</definedName>
    <definedName name="S2P8">#REF!</definedName>
    <definedName name="S2P9" localSheetId="4">#REF!</definedName>
    <definedName name="S2P9" localSheetId="5">#REF!</definedName>
    <definedName name="S2P9" localSheetId="0">#REF!</definedName>
    <definedName name="S2P9" localSheetId="9">#REF!</definedName>
    <definedName name="S2P9" localSheetId="10">#REF!</definedName>
    <definedName name="S2P9" localSheetId="8">#REF!</definedName>
    <definedName name="S2P9">#REF!</definedName>
    <definedName name="S2PP4" localSheetId="4">#REF!</definedName>
    <definedName name="S2PP4" localSheetId="5">#REF!</definedName>
    <definedName name="S2PP4" localSheetId="0">#REF!</definedName>
    <definedName name="S2PP4" localSheetId="9">#REF!</definedName>
    <definedName name="S2PP4" localSheetId="10">#REF!</definedName>
    <definedName name="S2PP4" localSheetId="8">#REF!</definedName>
    <definedName name="S2PP4">#REF!</definedName>
    <definedName name="S2R1" localSheetId="4">#REF!</definedName>
    <definedName name="S2R1" localSheetId="5">#REF!</definedName>
    <definedName name="S2R1" localSheetId="0">#REF!</definedName>
    <definedName name="S2R1" localSheetId="9">#REF!</definedName>
    <definedName name="S2R1" localSheetId="10">#REF!</definedName>
    <definedName name="S2R1" localSheetId="8">#REF!</definedName>
    <definedName name="S2R1">#REF!</definedName>
    <definedName name="S2R10" localSheetId="4">#REF!</definedName>
    <definedName name="S2R10" localSheetId="5">#REF!</definedName>
    <definedName name="S2R10" localSheetId="0">#REF!</definedName>
    <definedName name="S2R10" localSheetId="9">#REF!</definedName>
    <definedName name="S2R10" localSheetId="10">#REF!</definedName>
    <definedName name="S2R10" localSheetId="8">#REF!</definedName>
    <definedName name="S2R10">#REF!</definedName>
    <definedName name="S2R11" localSheetId="4">#REF!</definedName>
    <definedName name="S2R11" localSheetId="5">#REF!</definedName>
    <definedName name="S2R11" localSheetId="0">#REF!</definedName>
    <definedName name="S2R11" localSheetId="9">#REF!</definedName>
    <definedName name="S2R11" localSheetId="10">#REF!</definedName>
    <definedName name="S2R11" localSheetId="8">#REF!</definedName>
    <definedName name="S2R11">#REF!</definedName>
    <definedName name="S2R12" localSheetId="4">#REF!</definedName>
    <definedName name="S2R12" localSheetId="5">#REF!</definedName>
    <definedName name="S2R12" localSheetId="0">#REF!</definedName>
    <definedName name="S2R12" localSheetId="9">#REF!</definedName>
    <definedName name="S2R12" localSheetId="10">#REF!</definedName>
    <definedName name="S2R12" localSheetId="8">#REF!</definedName>
    <definedName name="S2R12">#REF!</definedName>
    <definedName name="S2R13" localSheetId="4">#REF!</definedName>
    <definedName name="S2R13" localSheetId="5">#REF!</definedName>
    <definedName name="S2R13" localSheetId="0">#REF!</definedName>
    <definedName name="S2R13" localSheetId="9">#REF!</definedName>
    <definedName name="S2R13" localSheetId="10">#REF!</definedName>
    <definedName name="S2R13" localSheetId="8">#REF!</definedName>
    <definedName name="S2R13">#REF!</definedName>
    <definedName name="S2R14" localSheetId="4">#REF!</definedName>
    <definedName name="S2R14" localSheetId="5">#REF!</definedName>
    <definedName name="S2R14" localSheetId="0">#REF!</definedName>
    <definedName name="S2R14" localSheetId="9">#REF!</definedName>
    <definedName name="S2R14" localSheetId="10">#REF!</definedName>
    <definedName name="S2R14" localSheetId="8">#REF!</definedName>
    <definedName name="S2R14">#REF!</definedName>
    <definedName name="S2R15" localSheetId="4">#REF!</definedName>
    <definedName name="S2R15" localSheetId="5">#REF!</definedName>
    <definedName name="S2R15" localSheetId="0">#REF!</definedName>
    <definedName name="S2R15" localSheetId="9">#REF!</definedName>
    <definedName name="S2R15" localSheetId="10">#REF!</definedName>
    <definedName name="S2R15" localSheetId="8">#REF!</definedName>
    <definedName name="S2R15">#REF!</definedName>
    <definedName name="S2R16" localSheetId="4">#REF!</definedName>
    <definedName name="S2R16" localSheetId="5">#REF!</definedName>
    <definedName name="S2R16" localSheetId="0">#REF!</definedName>
    <definedName name="S2R16" localSheetId="9">#REF!</definedName>
    <definedName name="S2R16" localSheetId="10">#REF!</definedName>
    <definedName name="S2R16" localSheetId="8">#REF!</definedName>
    <definedName name="S2R16">#REF!</definedName>
    <definedName name="S2R17" localSheetId="4">#REF!</definedName>
    <definedName name="S2R17" localSheetId="5">#REF!</definedName>
    <definedName name="S2R17" localSheetId="0">#REF!</definedName>
    <definedName name="S2R17" localSheetId="9">#REF!</definedName>
    <definedName name="S2R17" localSheetId="10">#REF!</definedName>
    <definedName name="S2R17" localSheetId="8">#REF!</definedName>
    <definedName name="S2R17">#REF!</definedName>
    <definedName name="S2R18" localSheetId="4">#REF!</definedName>
    <definedName name="S2R18" localSheetId="5">#REF!</definedName>
    <definedName name="S2R18" localSheetId="0">#REF!</definedName>
    <definedName name="S2R18" localSheetId="9">#REF!</definedName>
    <definedName name="S2R18" localSheetId="10">#REF!</definedName>
    <definedName name="S2R18" localSheetId="8">#REF!</definedName>
    <definedName name="S2R18">#REF!</definedName>
    <definedName name="S2R19" localSheetId="4">#REF!</definedName>
    <definedName name="S2R19" localSheetId="5">#REF!</definedName>
    <definedName name="S2R19" localSheetId="0">#REF!</definedName>
    <definedName name="S2R19" localSheetId="9">#REF!</definedName>
    <definedName name="S2R19" localSheetId="10">#REF!</definedName>
    <definedName name="S2R19" localSheetId="8">#REF!</definedName>
    <definedName name="S2R19">#REF!</definedName>
    <definedName name="S2R2" localSheetId="4">#REF!</definedName>
    <definedName name="S2R2" localSheetId="5">#REF!</definedName>
    <definedName name="S2R2" localSheetId="0">#REF!</definedName>
    <definedName name="S2R2" localSheetId="9">#REF!</definedName>
    <definedName name="S2R2" localSheetId="10">#REF!</definedName>
    <definedName name="S2R2" localSheetId="8">#REF!</definedName>
    <definedName name="S2R2">#REF!</definedName>
    <definedName name="S2R20" localSheetId="4">#REF!</definedName>
    <definedName name="S2R20" localSheetId="5">#REF!</definedName>
    <definedName name="S2R20" localSheetId="0">#REF!</definedName>
    <definedName name="S2R20" localSheetId="9">#REF!</definedName>
    <definedName name="S2R20" localSheetId="10">#REF!</definedName>
    <definedName name="S2R20" localSheetId="8">#REF!</definedName>
    <definedName name="S2R20">#REF!</definedName>
    <definedName name="S2R21" localSheetId="4">#REF!</definedName>
    <definedName name="S2R21" localSheetId="5">#REF!</definedName>
    <definedName name="S2R21" localSheetId="0">#REF!</definedName>
    <definedName name="S2R21" localSheetId="9">#REF!</definedName>
    <definedName name="S2R21" localSheetId="10">#REF!</definedName>
    <definedName name="S2R21" localSheetId="8">#REF!</definedName>
    <definedName name="S2R21">#REF!</definedName>
    <definedName name="S2R22" localSheetId="4">#REF!</definedName>
    <definedName name="S2R22" localSheetId="5">#REF!</definedName>
    <definedName name="S2R22" localSheetId="0">#REF!</definedName>
    <definedName name="S2R22" localSheetId="9">#REF!</definedName>
    <definedName name="S2R22" localSheetId="10">#REF!</definedName>
    <definedName name="S2R22" localSheetId="8">#REF!</definedName>
    <definedName name="S2R22">#REF!</definedName>
    <definedName name="S2R23" localSheetId="4">#REF!</definedName>
    <definedName name="S2R23" localSheetId="5">#REF!</definedName>
    <definedName name="S2R23" localSheetId="0">#REF!</definedName>
    <definedName name="S2R23" localSheetId="9">#REF!</definedName>
    <definedName name="S2R23" localSheetId="10">#REF!</definedName>
    <definedName name="S2R23" localSheetId="8">#REF!</definedName>
    <definedName name="S2R23">#REF!</definedName>
    <definedName name="S2R24" localSheetId="4">#REF!</definedName>
    <definedName name="S2R24" localSheetId="5">#REF!</definedName>
    <definedName name="S2R24" localSheetId="0">#REF!</definedName>
    <definedName name="S2R24" localSheetId="9">#REF!</definedName>
    <definedName name="S2R24" localSheetId="10">#REF!</definedName>
    <definedName name="S2R24" localSheetId="8">#REF!</definedName>
    <definedName name="S2R24">#REF!</definedName>
    <definedName name="S2R3" localSheetId="4">#REF!</definedName>
    <definedName name="S2R3" localSheetId="5">#REF!</definedName>
    <definedName name="S2R3" localSheetId="0">#REF!</definedName>
    <definedName name="S2R3" localSheetId="9">#REF!</definedName>
    <definedName name="S2R3" localSheetId="10">#REF!</definedName>
    <definedName name="S2R3" localSheetId="8">#REF!</definedName>
    <definedName name="S2R3">#REF!</definedName>
    <definedName name="S2R4" localSheetId="4">#REF!</definedName>
    <definedName name="S2R4" localSheetId="5">#REF!</definedName>
    <definedName name="S2R4" localSheetId="0">#REF!</definedName>
    <definedName name="S2R4" localSheetId="9">#REF!</definedName>
    <definedName name="S2R4" localSheetId="10">#REF!</definedName>
    <definedName name="S2R4" localSheetId="8">#REF!</definedName>
    <definedName name="S2R4">#REF!</definedName>
    <definedName name="S2R5" localSheetId="4">#REF!</definedName>
    <definedName name="S2R5" localSheetId="5">#REF!</definedName>
    <definedName name="S2R5" localSheetId="0">#REF!</definedName>
    <definedName name="S2R5" localSheetId="9">#REF!</definedName>
    <definedName name="S2R5" localSheetId="10">#REF!</definedName>
    <definedName name="S2R5" localSheetId="8">#REF!</definedName>
    <definedName name="S2R5">#REF!</definedName>
    <definedName name="S2R6" localSheetId="4">#REF!</definedName>
    <definedName name="S2R6" localSheetId="5">#REF!</definedName>
    <definedName name="S2R6" localSheetId="0">#REF!</definedName>
    <definedName name="S2R6" localSheetId="9">#REF!</definedName>
    <definedName name="S2R6" localSheetId="10">#REF!</definedName>
    <definedName name="S2R6" localSheetId="8">#REF!</definedName>
    <definedName name="S2R6">#REF!</definedName>
    <definedName name="S2R7" localSheetId="4">#REF!</definedName>
    <definedName name="S2R7" localSheetId="5">#REF!</definedName>
    <definedName name="S2R7" localSheetId="0">#REF!</definedName>
    <definedName name="S2R7" localSheetId="9">#REF!</definedName>
    <definedName name="S2R7" localSheetId="10">#REF!</definedName>
    <definedName name="S2R7" localSheetId="8">#REF!</definedName>
    <definedName name="S2R7">#REF!</definedName>
    <definedName name="S2R8" localSheetId="4">#REF!</definedName>
    <definedName name="S2R8" localSheetId="5">#REF!</definedName>
    <definedName name="S2R8" localSheetId="0">#REF!</definedName>
    <definedName name="S2R8" localSheetId="9">#REF!</definedName>
    <definedName name="S2R8" localSheetId="10">#REF!</definedName>
    <definedName name="S2R8" localSheetId="8">#REF!</definedName>
    <definedName name="S2R8">#REF!</definedName>
    <definedName name="S2R9" localSheetId="4">#REF!</definedName>
    <definedName name="S2R9" localSheetId="5">#REF!</definedName>
    <definedName name="S2R9" localSheetId="0">#REF!</definedName>
    <definedName name="S2R9" localSheetId="9">#REF!</definedName>
    <definedName name="S2R9" localSheetId="10">#REF!</definedName>
    <definedName name="S2R9" localSheetId="8">#REF!</definedName>
    <definedName name="S2R9">#REF!</definedName>
    <definedName name="S30P1" localSheetId="4">#REF!</definedName>
    <definedName name="S30P1" localSheetId="5">#REF!</definedName>
    <definedName name="S30P1" localSheetId="0">#REF!</definedName>
    <definedName name="S30P1" localSheetId="9">#REF!</definedName>
    <definedName name="S30P1" localSheetId="10">#REF!</definedName>
    <definedName name="S30P1" localSheetId="8">#REF!</definedName>
    <definedName name="S30P1">#REF!</definedName>
    <definedName name="S30P10" localSheetId="4">#REF!</definedName>
    <definedName name="S30P10" localSheetId="5">#REF!</definedName>
    <definedName name="S30P10" localSheetId="0">#REF!</definedName>
    <definedName name="S30P10" localSheetId="9">#REF!</definedName>
    <definedName name="S30P10" localSheetId="10">#REF!</definedName>
    <definedName name="S30P10" localSheetId="8">#REF!</definedName>
    <definedName name="S30P10">#REF!</definedName>
    <definedName name="S30P11" localSheetId="4">#REF!</definedName>
    <definedName name="S30P11" localSheetId="5">#REF!</definedName>
    <definedName name="S30P11" localSheetId="0">#REF!</definedName>
    <definedName name="S30P11" localSheetId="9">#REF!</definedName>
    <definedName name="S30P11" localSheetId="10">#REF!</definedName>
    <definedName name="S30P11" localSheetId="8">#REF!</definedName>
    <definedName name="S30P11">#REF!</definedName>
    <definedName name="S30P12" localSheetId="4">#REF!</definedName>
    <definedName name="S30P12" localSheetId="5">#REF!</definedName>
    <definedName name="S30P12" localSheetId="0">#REF!</definedName>
    <definedName name="S30P12" localSheetId="9">#REF!</definedName>
    <definedName name="S30P12" localSheetId="10">#REF!</definedName>
    <definedName name="S30P12" localSheetId="8">#REF!</definedName>
    <definedName name="S30P12">#REF!</definedName>
    <definedName name="S30P13" localSheetId="4">#REF!</definedName>
    <definedName name="S30P13" localSheetId="5">#REF!</definedName>
    <definedName name="S30P13" localSheetId="0">#REF!</definedName>
    <definedName name="S30P13" localSheetId="9">#REF!</definedName>
    <definedName name="S30P13" localSheetId="10">#REF!</definedName>
    <definedName name="S30P13" localSheetId="8">#REF!</definedName>
    <definedName name="S30P13">#REF!</definedName>
    <definedName name="S30P14" localSheetId="4">#REF!</definedName>
    <definedName name="S30P14" localSheetId="5">#REF!</definedName>
    <definedName name="S30P14" localSheetId="0">#REF!</definedName>
    <definedName name="S30P14" localSheetId="9">#REF!</definedName>
    <definedName name="S30P14" localSheetId="10">#REF!</definedName>
    <definedName name="S30P14" localSheetId="8">#REF!</definedName>
    <definedName name="S30P14">#REF!</definedName>
    <definedName name="S30P15" localSheetId="4">#REF!</definedName>
    <definedName name="S30P15" localSheetId="5">#REF!</definedName>
    <definedName name="S30P15" localSheetId="0">#REF!</definedName>
    <definedName name="S30P15" localSheetId="9">#REF!</definedName>
    <definedName name="S30P15" localSheetId="10">#REF!</definedName>
    <definedName name="S30P15" localSheetId="8">#REF!</definedName>
    <definedName name="S30P15">#REF!</definedName>
    <definedName name="S30P16" localSheetId="4">#REF!</definedName>
    <definedName name="S30P16" localSheetId="5">#REF!</definedName>
    <definedName name="S30P16" localSheetId="0">#REF!</definedName>
    <definedName name="S30P16" localSheetId="9">#REF!</definedName>
    <definedName name="S30P16" localSheetId="10">#REF!</definedName>
    <definedName name="S30P16" localSheetId="8">#REF!</definedName>
    <definedName name="S30P16">#REF!</definedName>
    <definedName name="S30P17" localSheetId="4">#REF!</definedName>
    <definedName name="S30P17" localSheetId="5">#REF!</definedName>
    <definedName name="S30P17" localSheetId="0">#REF!</definedName>
    <definedName name="S30P17" localSheetId="9">#REF!</definedName>
    <definedName name="S30P17" localSheetId="10">#REF!</definedName>
    <definedName name="S30P17" localSheetId="8">#REF!</definedName>
    <definedName name="S30P17">#REF!</definedName>
    <definedName name="S30P18" localSheetId="4">#REF!</definedName>
    <definedName name="S30P18" localSheetId="5">#REF!</definedName>
    <definedName name="S30P18" localSheetId="0">#REF!</definedName>
    <definedName name="S30P18" localSheetId="9">#REF!</definedName>
    <definedName name="S30P18" localSheetId="10">#REF!</definedName>
    <definedName name="S30P18" localSheetId="8">#REF!</definedName>
    <definedName name="S30P18">#REF!</definedName>
    <definedName name="S30P19" localSheetId="4">#REF!</definedName>
    <definedName name="S30P19" localSheetId="5">#REF!</definedName>
    <definedName name="S30P19" localSheetId="0">#REF!</definedName>
    <definedName name="S30P19" localSheetId="9">#REF!</definedName>
    <definedName name="S30P19" localSheetId="10">#REF!</definedName>
    <definedName name="S30P19" localSheetId="8">#REF!</definedName>
    <definedName name="S30P19">#REF!</definedName>
    <definedName name="S30P2" localSheetId="4">#REF!</definedName>
    <definedName name="S30P2" localSheetId="5">#REF!</definedName>
    <definedName name="S30P2" localSheetId="0">#REF!</definedName>
    <definedName name="S30P2" localSheetId="9">#REF!</definedName>
    <definedName name="S30P2" localSheetId="10">#REF!</definedName>
    <definedName name="S30P2" localSheetId="8">#REF!</definedName>
    <definedName name="S30P2">#REF!</definedName>
    <definedName name="S30P20" localSheetId="4">#REF!</definedName>
    <definedName name="S30P20" localSheetId="5">#REF!</definedName>
    <definedName name="S30P20" localSheetId="0">#REF!</definedName>
    <definedName name="S30P20" localSheetId="9">#REF!</definedName>
    <definedName name="S30P20" localSheetId="10">#REF!</definedName>
    <definedName name="S30P20" localSheetId="8">#REF!</definedName>
    <definedName name="S30P20">#REF!</definedName>
    <definedName name="S30P21" localSheetId="4">#REF!</definedName>
    <definedName name="S30P21" localSheetId="5">#REF!</definedName>
    <definedName name="S30P21" localSheetId="0">#REF!</definedName>
    <definedName name="S30P21" localSheetId="9">#REF!</definedName>
    <definedName name="S30P21" localSheetId="10">#REF!</definedName>
    <definedName name="S30P21" localSheetId="8">#REF!</definedName>
    <definedName name="S30P21">#REF!</definedName>
    <definedName name="S30P22" localSheetId="4">#REF!</definedName>
    <definedName name="S30P22" localSheetId="5">#REF!</definedName>
    <definedName name="S30P22" localSheetId="0">#REF!</definedName>
    <definedName name="S30P22" localSheetId="9">#REF!</definedName>
    <definedName name="S30P22" localSheetId="10">#REF!</definedName>
    <definedName name="S30P22" localSheetId="8">#REF!</definedName>
    <definedName name="S30P22">#REF!</definedName>
    <definedName name="S30P23" localSheetId="4">#REF!</definedName>
    <definedName name="S30P23" localSheetId="5">#REF!</definedName>
    <definedName name="S30P23" localSheetId="0">#REF!</definedName>
    <definedName name="S30P23" localSheetId="9">#REF!</definedName>
    <definedName name="S30P23" localSheetId="10">#REF!</definedName>
    <definedName name="S30P23" localSheetId="8">#REF!</definedName>
    <definedName name="S30P23">#REF!</definedName>
    <definedName name="S30P24" localSheetId="4">#REF!</definedName>
    <definedName name="S30P24" localSheetId="5">#REF!</definedName>
    <definedName name="S30P24" localSheetId="0">#REF!</definedName>
    <definedName name="S30P24" localSheetId="9">#REF!</definedName>
    <definedName name="S30P24" localSheetId="10">#REF!</definedName>
    <definedName name="S30P24" localSheetId="8">#REF!</definedName>
    <definedName name="S30P24">#REF!</definedName>
    <definedName name="S30P3" localSheetId="4">#REF!</definedName>
    <definedName name="S30P3" localSheetId="5">#REF!</definedName>
    <definedName name="S30P3" localSheetId="0">#REF!</definedName>
    <definedName name="S30P3" localSheetId="9">#REF!</definedName>
    <definedName name="S30P3" localSheetId="10">#REF!</definedName>
    <definedName name="S30P3" localSheetId="8">#REF!</definedName>
    <definedName name="S30P3">#REF!</definedName>
    <definedName name="S30P4" localSheetId="4">#REF!</definedName>
    <definedName name="S30P4" localSheetId="5">#REF!</definedName>
    <definedName name="S30P4" localSheetId="0">#REF!</definedName>
    <definedName name="S30P4" localSheetId="9">#REF!</definedName>
    <definedName name="S30P4" localSheetId="10">#REF!</definedName>
    <definedName name="S30P4" localSheetId="8">#REF!</definedName>
    <definedName name="S30P4">#REF!</definedName>
    <definedName name="S30P5" localSheetId="4">#REF!</definedName>
    <definedName name="S30P5" localSheetId="5">#REF!</definedName>
    <definedName name="S30P5" localSheetId="0">#REF!</definedName>
    <definedName name="S30P5" localSheetId="9">#REF!</definedName>
    <definedName name="S30P5" localSheetId="10">#REF!</definedName>
    <definedName name="S30P5" localSheetId="8">#REF!</definedName>
    <definedName name="S30P5">#REF!</definedName>
    <definedName name="S30P6" localSheetId="4">#REF!</definedName>
    <definedName name="S30P6" localSheetId="5">#REF!</definedName>
    <definedName name="S30P6" localSheetId="0">#REF!</definedName>
    <definedName name="S30P6" localSheetId="9">#REF!</definedName>
    <definedName name="S30P6" localSheetId="10">#REF!</definedName>
    <definedName name="S30P6" localSheetId="8">#REF!</definedName>
    <definedName name="S30P6">#REF!</definedName>
    <definedName name="S30P7" localSheetId="4">#REF!</definedName>
    <definedName name="S30P7" localSheetId="5">#REF!</definedName>
    <definedName name="S30P7" localSheetId="0">#REF!</definedName>
    <definedName name="S30P7" localSheetId="9">#REF!</definedName>
    <definedName name="S30P7" localSheetId="10">#REF!</definedName>
    <definedName name="S30P7" localSheetId="8">#REF!</definedName>
    <definedName name="S30P7">#REF!</definedName>
    <definedName name="S30P8" localSheetId="4">#REF!</definedName>
    <definedName name="S30P8" localSheetId="5">#REF!</definedName>
    <definedName name="S30P8" localSheetId="0">#REF!</definedName>
    <definedName name="S30P8" localSheetId="9">#REF!</definedName>
    <definedName name="S30P8" localSheetId="10">#REF!</definedName>
    <definedName name="S30P8" localSheetId="8">#REF!</definedName>
    <definedName name="S30P8">#REF!</definedName>
    <definedName name="S30P9" localSheetId="4">#REF!</definedName>
    <definedName name="S30P9" localSheetId="5">#REF!</definedName>
    <definedName name="S30P9" localSheetId="0">#REF!</definedName>
    <definedName name="S30P9" localSheetId="9">#REF!</definedName>
    <definedName name="S30P9" localSheetId="10">#REF!</definedName>
    <definedName name="S30P9" localSheetId="8">#REF!</definedName>
    <definedName name="S30P9">#REF!</definedName>
    <definedName name="S30R1" localSheetId="4">#REF!</definedName>
    <definedName name="S30R1" localSheetId="5">#REF!</definedName>
    <definedName name="S30R1" localSheetId="0">#REF!</definedName>
    <definedName name="S30R1" localSheetId="9">#REF!</definedName>
    <definedName name="S30R1" localSheetId="10">#REF!</definedName>
    <definedName name="S30R1" localSheetId="8">#REF!</definedName>
    <definedName name="S30R1">#REF!</definedName>
    <definedName name="S30R10" localSheetId="4">#REF!</definedName>
    <definedName name="S30R10" localSheetId="5">#REF!</definedName>
    <definedName name="S30R10" localSheetId="0">#REF!</definedName>
    <definedName name="S30R10" localSheetId="9">#REF!</definedName>
    <definedName name="S30R10" localSheetId="10">#REF!</definedName>
    <definedName name="S30R10" localSheetId="8">#REF!</definedName>
    <definedName name="S30R10">#REF!</definedName>
    <definedName name="S30R11" localSheetId="4">#REF!</definedName>
    <definedName name="S30R11" localSheetId="5">#REF!</definedName>
    <definedName name="S30R11" localSheetId="0">#REF!</definedName>
    <definedName name="S30R11" localSheetId="9">#REF!</definedName>
    <definedName name="S30R11" localSheetId="10">#REF!</definedName>
    <definedName name="S30R11" localSheetId="8">#REF!</definedName>
    <definedName name="S30R11">#REF!</definedName>
    <definedName name="S30R12" localSheetId="4">#REF!</definedName>
    <definedName name="S30R12" localSheetId="5">#REF!</definedName>
    <definedName name="S30R12" localSheetId="0">#REF!</definedName>
    <definedName name="S30R12" localSheetId="9">#REF!</definedName>
    <definedName name="S30R12" localSheetId="10">#REF!</definedName>
    <definedName name="S30R12" localSheetId="8">#REF!</definedName>
    <definedName name="S30R12">#REF!</definedName>
    <definedName name="S30R13" localSheetId="4">#REF!</definedName>
    <definedName name="S30R13" localSheetId="5">#REF!</definedName>
    <definedName name="S30R13" localSheetId="0">#REF!</definedName>
    <definedName name="S30R13" localSheetId="9">#REF!</definedName>
    <definedName name="S30R13" localSheetId="10">#REF!</definedName>
    <definedName name="S30R13" localSheetId="8">#REF!</definedName>
    <definedName name="S30R13">#REF!</definedName>
    <definedName name="S30R14" localSheetId="4">#REF!</definedName>
    <definedName name="S30R14" localSheetId="5">#REF!</definedName>
    <definedName name="S30R14" localSheetId="0">#REF!</definedName>
    <definedName name="S30R14" localSheetId="9">#REF!</definedName>
    <definedName name="S30R14" localSheetId="10">#REF!</definedName>
    <definedName name="S30R14" localSheetId="8">#REF!</definedName>
    <definedName name="S30R14">#REF!</definedName>
    <definedName name="S30R15" localSheetId="4">#REF!</definedName>
    <definedName name="S30R15" localSheetId="5">#REF!</definedName>
    <definedName name="S30R15" localSheetId="0">#REF!</definedName>
    <definedName name="S30R15" localSheetId="9">#REF!</definedName>
    <definedName name="S30R15" localSheetId="10">#REF!</definedName>
    <definedName name="S30R15" localSheetId="8">#REF!</definedName>
    <definedName name="S30R15">#REF!</definedName>
    <definedName name="S30R16" localSheetId="4">#REF!</definedName>
    <definedName name="S30R16" localSheetId="5">#REF!</definedName>
    <definedName name="S30R16" localSheetId="0">#REF!</definedName>
    <definedName name="S30R16" localSheetId="9">#REF!</definedName>
    <definedName name="S30R16" localSheetId="10">#REF!</definedName>
    <definedName name="S30R16" localSheetId="8">#REF!</definedName>
    <definedName name="S30R16">#REF!</definedName>
    <definedName name="S30R17" localSheetId="4">#REF!</definedName>
    <definedName name="S30R17" localSheetId="5">#REF!</definedName>
    <definedName name="S30R17" localSheetId="0">#REF!</definedName>
    <definedName name="S30R17" localSheetId="9">#REF!</definedName>
    <definedName name="S30R17" localSheetId="10">#REF!</definedName>
    <definedName name="S30R17" localSheetId="8">#REF!</definedName>
    <definedName name="S30R17">#REF!</definedName>
    <definedName name="S30R18" localSheetId="4">#REF!</definedName>
    <definedName name="S30R18" localSheetId="5">#REF!</definedName>
    <definedName name="S30R18" localSheetId="0">#REF!</definedName>
    <definedName name="S30R18" localSheetId="9">#REF!</definedName>
    <definedName name="S30R18" localSheetId="10">#REF!</definedName>
    <definedName name="S30R18" localSheetId="8">#REF!</definedName>
    <definedName name="S30R18">#REF!</definedName>
    <definedName name="S30R19" localSheetId="4">#REF!</definedName>
    <definedName name="S30R19" localSheetId="5">#REF!</definedName>
    <definedName name="S30R19" localSheetId="0">#REF!</definedName>
    <definedName name="S30R19" localSheetId="9">#REF!</definedName>
    <definedName name="S30R19" localSheetId="10">#REF!</definedName>
    <definedName name="S30R19" localSheetId="8">#REF!</definedName>
    <definedName name="S30R19">#REF!</definedName>
    <definedName name="S30R2" localSheetId="4">#REF!</definedName>
    <definedName name="S30R2" localSheetId="5">#REF!</definedName>
    <definedName name="S30R2" localSheetId="0">#REF!</definedName>
    <definedName name="S30R2" localSheetId="9">#REF!</definedName>
    <definedName name="S30R2" localSheetId="10">#REF!</definedName>
    <definedName name="S30R2" localSheetId="8">#REF!</definedName>
    <definedName name="S30R2">#REF!</definedName>
    <definedName name="S30R20" localSheetId="4">#REF!</definedName>
    <definedName name="S30R20" localSheetId="5">#REF!</definedName>
    <definedName name="S30R20" localSheetId="0">#REF!</definedName>
    <definedName name="S30R20" localSheetId="9">#REF!</definedName>
    <definedName name="S30R20" localSheetId="10">#REF!</definedName>
    <definedName name="S30R20" localSheetId="8">#REF!</definedName>
    <definedName name="S30R20">#REF!</definedName>
    <definedName name="S30R21" localSheetId="4">#REF!</definedName>
    <definedName name="S30R21" localSheetId="5">#REF!</definedName>
    <definedName name="S30R21" localSheetId="0">#REF!</definedName>
    <definedName name="S30R21" localSheetId="9">#REF!</definedName>
    <definedName name="S30R21" localSheetId="10">#REF!</definedName>
    <definedName name="S30R21" localSheetId="8">#REF!</definedName>
    <definedName name="S30R21">#REF!</definedName>
    <definedName name="S30R22" localSheetId="4">#REF!</definedName>
    <definedName name="S30R22" localSheetId="5">#REF!</definedName>
    <definedName name="S30R22" localSheetId="0">#REF!</definedName>
    <definedName name="S30R22" localSheetId="9">#REF!</definedName>
    <definedName name="S30R22" localSheetId="10">#REF!</definedName>
    <definedName name="S30R22" localSheetId="8">#REF!</definedName>
    <definedName name="S30R22">#REF!</definedName>
    <definedName name="S30R23" localSheetId="4">#REF!</definedName>
    <definedName name="S30R23" localSheetId="5">#REF!</definedName>
    <definedName name="S30R23" localSheetId="0">#REF!</definedName>
    <definedName name="S30R23" localSheetId="9">#REF!</definedName>
    <definedName name="S30R23" localSheetId="10">#REF!</definedName>
    <definedName name="S30R23" localSheetId="8">#REF!</definedName>
    <definedName name="S30R23">#REF!</definedName>
    <definedName name="S30R24" localSheetId="4">#REF!</definedName>
    <definedName name="S30R24" localSheetId="5">#REF!</definedName>
    <definedName name="S30R24" localSheetId="0">#REF!</definedName>
    <definedName name="S30R24" localSheetId="9">#REF!</definedName>
    <definedName name="S30R24" localSheetId="10">#REF!</definedName>
    <definedName name="S30R24" localSheetId="8">#REF!</definedName>
    <definedName name="S30R24">#REF!</definedName>
    <definedName name="S30R3" localSheetId="4">#REF!</definedName>
    <definedName name="S30R3" localSheetId="5">#REF!</definedName>
    <definedName name="S30R3" localSheetId="0">#REF!</definedName>
    <definedName name="S30R3" localSheetId="9">#REF!</definedName>
    <definedName name="S30R3" localSheetId="10">#REF!</definedName>
    <definedName name="S30R3" localSheetId="8">#REF!</definedName>
    <definedName name="S30R3">#REF!</definedName>
    <definedName name="S30R4" localSheetId="4">#REF!</definedName>
    <definedName name="S30R4" localSheetId="5">#REF!</definedName>
    <definedName name="S30R4" localSheetId="0">#REF!</definedName>
    <definedName name="S30R4" localSheetId="9">#REF!</definedName>
    <definedName name="S30R4" localSheetId="10">#REF!</definedName>
    <definedName name="S30R4" localSheetId="8">#REF!</definedName>
    <definedName name="S30R4">#REF!</definedName>
    <definedName name="S30R5" localSheetId="4">#REF!</definedName>
    <definedName name="S30R5" localSheetId="5">#REF!</definedName>
    <definedName name="S30R5" localSheetId="0">#REF!</definedName>
    <definedName name="S30R5" localSheetId="9">#REF!</definedName>
    <definedName name="S30R5" localSheetId="10">#REF!</definedName>
    <definedName name="S30R5" localSheetId="8">#REF!</definedName>
    <definedName name="S30R5">#REF!</definedName>
    <definedName name="S30R6" localSheetId="4">#REF!</definedName>
    <definedName name="S30R6" localSheetId="5">#REF!</definedName>
    <definedName name="S30R6" localSheetId="0">#REF!</definedName>
    <definedName name="S30R6" localSheetId="9">#REF!</definedName>
    <definedName name="S30R6" localSheetId="10">#REF!</definedName>
    <definedName name="S30R6" localSheetId="8">#REF!</definedName>
    <definedName name="S30R6">#REF!</definedName>
    <definedName name="S30R7" localSheetId="4">#REF!</definedName>
    <definedName name="S30R7" localSheetId="5">#REF!</definedName>
    <definedName name="S30R7" localSheetId="0">#REF!</definedName>
    <definedName name="S30R7" localSheetId="9">#REF!</definedName>
    <definedName name="S30R7" localSheetId="10">#REF!</definedName>
    <definedName name="S30R7" localSheetId="8">#REF!</definedName>
    <definedName name="S30R7">#REF!</definedName>
    <definedName name="S30R8" localSheetId="4">#REF!</definedName>
    <definedName name="S30R8" localSheetId="5">#REF!</definedName>
    <definedName name="S30R8" localSheetId="0">#REF!</definedName>
    <definedName name="S30R8" localSheetId="9">#REF!</definedName>
    <definedName name="S30R8" localSheetId="10">#REF!</definedName>
    <definedName name="S30R8" localSheetId="8">#REF!</definedName>
    <definedName name="S30R8">#REF!</definedName>
    <definedName name="S30R9" localSheetId="4">#REF!</definedName>
    <definedName name="S30R9" localSheetId="5">#REF!</definedName>
    <definedName name="S30R9" localSheetId="0">#REF!</definedName>
    <definedName name="S30R9" localSheetId="9">#REF!</definedName>
    <definedName name="S30R9" localSheetId="10">#REF!</definedName>
    <definedName name="S30R9" localSheetId="8">#REF!</definedName>
    <definedName name="S30R9">#REF!</definedName>
    <definedName name="S31P1" localSheetId="4">#REF!</definedName>
    <definedName name="S31P1" localSheetId="5">#REF!</definedName>
    <definedName name="S31P1" localSheetId="0">#REF!</definedName>
    <definedName name="S31P1" localSheetId="9">#REF!</definedName>
    <definedName name="S31P1" localSheetId="10">#REF!</definedName>
    <definedName name="S31P1" localSheetId="8">#REF!</definedName>
    <definedName name="S31P1">#REF!</definedName>
    <definedName name="S31P10" localSheetId="4">#REF!</definedName>
    <definedName name="S31P10" localSheetId="5">#REF!</definedName>
    <definedName name="S31P10" localSheetId="0">#REF!</definedName>
    <definedName name="S31P10" localSheetId="9">#REF!</definedName>
    <definedName name="S31P10" localSheetId="10">#REF!</definedName>
    <definedName name="S31P10" localSheetId="8">#REF!</definedName>
    <definedName name="S31P10">#REF!</definedName>
    <definedName name="S31P11" localSheetId="4">#REF!</definedName>
    <definedName name="S31P11" localSheetId="5">#REF!</definedName>
    <definedName name="S31P11" localSheetId="0">#REF!</definedName>
    <definedName name="S31P11" localSheetId="9">#REF!</definedName>
    <definedName name="S31P11" localSheetId="10">#REF!</definedName>
    <definedName name="S31P11" localSheetId="8">#REF!</definedName>
    <definedName name="S31P11">#REF!</definedName>
    <definedName name="S31P12" localSheetId="4">#REF!</definedName>
    <definedName name="S31P12" localSheetId="5">#REF!</definedName>
    <definedName name="S31P12" localSheetId="0">#REF!</definedName>
    <definedName name="S31P12" localSheetId="9">#REF!</definedName>
    <definedName name="S31P12" localSheetId="10">#REF!</definedName>
    <definedName name="S31P12" localSheetId="8">#REF!</definedName>
    <definedName name="S31P12">#REF!</definedName>
    <definedName name="S31P13" localSheetId="4">#REF!</definedName>
    <definedName name="S31P13" localSheetId="5">#REF!</definedName>
    <definedName name="S31P13" localSheetId="0">#REF!</definedName>
    <definedName name="S31P13" localSheetId="9">#REF!</definedName>
    <definedName name="S31P13" localSheetId="10">#REF!</definedName>
    <definedName name="S31P13" localSheetId="8">#REF!</definedName>
    <definedName name="S31P13">#REF!</definedName>
    <definedName name="S31P14" localSheetId="4">#REF!</definedName>
    <definedName name="S31P14" localSheetId="5">#REF!</definedName>
    <definedName name="S31P14" localSheetId="0">#REF!</definedName>
    <definedName name="S31P14" localSheetId="9">#REF!</definedName>
    <definedName name="S31P14" localSheetId="10">#REF!</definedName>
    <definedName name="S31P14" localSheetId="8">#REF!</definedName>
    <definedName name="S31P14">#REF!</definedName>
    <definedName name="S31P15" localSheetId="4">#REF!</definedName>
    <definedName name="S31P15" localSheetId="5">#REF!</definedName>
    <definedName name="S31P15" localSheetId="0">#REF!</definedName>
    <definedName name="S31P15" localSheetId="9">#REF!</definedName>
    <definedName name="S31P15" localSheetId="10">#REF!</definedName>
    <definedName name="S31P15" localSheetId="8">#REF!</definedName>
    <definedName name="S31P15">#REF!</definedName>
    <definedName name="S31P16" localSheetId="4">#REF!</definedName>
    <definedName name="S31P16" localSheetId="5">#REF!</definedName>
    <definedName name="S31P16" localSheetId="0">#REF!</definedName>
    <definedName name="S31P16" localSheetId="9">#REF!</definedName>
    <definedName name="S31P16" localSheetId="10">#REF!</definedName>
    <definedName name="S31P16" localSheetId="8">#REF!</definedName>
    <definedName name="S31P16">#REF!</definedName>
    <definedName name="S31P17" localSheetId="4">#REF!</definedName>
    <definedName name="S31P17" localSheetId="5">#REF!</definedName>
    <definedName name="S31P17" localSheetId="0">#REF!</definedName>
    <definedName name="S31P17" localSheetId="9">#REF!</definedName>
    <definedName name="S31P17" localSheetId="10">#REF!</definedName>
    <definedName name="S31P17" localSheetId="8">#REF!</definedName>
    <definedName name="S31P17">#REF!</definedName>
    <definedName name="S31P18" localSheetId="4">#REF!</definedName>
    <definedName name="S31P18" localSheetId="5">#REF!</definedName>
    <definedName name="S31P18" localSheetId="0">#REF!</definedName>
    <definedName name="S31P18" localSheetId="9">#REF!</definedName>
    <definedName name="S31P18" localSheetId="10">#REF!</definedName>
    <definedName name="S31P18" localSheetId="8">#REF!</definedName>
    <definedName name="S31P18">#REF!</definedName>
    <definedName name="S31P19" localSheetId="4">#REF!</definedName>
    <definedName name="S31P19" localSheetId="5">#REF!</definedName>
    <definedName name="S31P19" localSheetId="0">#REF!</definedName>
    <definedName name="S31P19" localSheetId="9">#REF!</definedName>
    <definedName name="S31P19" localSheetId="10">#REF!</definedName>
    <definedName name="S31P19" localSheetId="8">#REF!</definedName>
    <definedName name="S31P19">#REF!</definedName>
    <definedName name="S31P2" localSheetId="4">#REF!</definedName>
    <definedName name="S31P2" localSheetId="5">#REF!</definedName>
    <definedName name="S31P2" localSheetId="0">#REF!</definedName>
    <definedName name="S31P2" localSheetId="9">#REF!</definedName>
    <definedName name="S31P2" localSheetId="10">#REF!</definedName>
    <definedName name="S31P2" localSheetId="8">#REF!</definedName>
    <definedName name="S31P2">#REF!</definedName>
    <definedName name="S31P20" localSheetId="4">#REF!</definedName>
    <definedName name="S31P20" localSheetId="5">#REF!</definedName>
    <definedName name="S31P20" localSheetId="0">#REF!</definedName>
    <definedName name="S31P20" localSheetId="9">#REF!</definedName>
    <definedName name="S31P20" localSheetId="10">#REF!</definedName>
    <definedName name="S31P20" localSheetId="8">#REF!</definedName>
    <definedName name="S31P20">#REF!</definedName>
    <definedName name="S31P21" localSheetId="4">#REF!</definedName>
    <definedName name="S31P21" localSheetId="5">#REF!</definedName>
    <definedName name="S31P21" localSheetId="0">#REF!</definedName>
    <definedName name="S31P21" localSheetId="9">#REF!</definedName>
    <definedName name="S31P21" localSheetId="10">#REF!</definedName>
    <definedName name="S31P21" localSheetId="8">#REF!</definedName>
    <definedName name="S31P21">#REF!</definedName>
    <definedName name="S31P22" localSheetId="4">#REF!</definedName>
    <definedName name="S31P22" localSheetId="5">#REF!</definedName>
    <definedName name="S31P22" localSheetId="0">#REF!</definedName>
    <definedName name="S31P22" localSheetId="9">#REF!</definedName>
    <definedName name="S31P22" localSheetId="10">#REF!</definedName>
    <definedName name="S31P22" localSheetId="8">#REF!</definedName>
    <definedName name="S31P22">#REF!</definedName>
    <definedName name="S31P23" localSheetId="4">#REF!</definedName>
    <definedName name="S31P23" localSheetId="5">#REF!</definedName>
    <definedName name="S31P23" localSheetId="0">#REF!</definedName>
    <definedName name="S31P23" localSheetId="9">#REF!</definedName>
    <definedName name="S31P23" localSheetId="10">#REF!</definedName>
    <definedName name="S31P23" localSheetId="8">#REF!</definedName>
    <definedName name="S31P23">#REF!</definedName>
    <definedName name="S31P24" localSheetId="4">#REF!</definedName>
    <definedName name="S31P24" localSheetId="5">#REF!</definedName>
    <definedName name="S31P24" localSheetId="0">#REF!</definedName>
    <definedName name="S31P24" localSheetId="9">#REF!</definedName>
    <definedName name="S31P24" localSheetId="10">#REF!</definedName>
    <definedName name="S31P24" localSheetId="8">#REF!</definedName>
    <definedName name="S31P24">#REF!</definedName>
    <definedName name="S31P3" localSheetId="4">#REF!</definedName>
    <definedName name="S31P3" localSheetId="5">#REF!</definedName>
    <definedName name="S31P3" localSheetId="0">#REF!</definedName>
    <definedName name="S31P3" localSheetId="9">#REF!</definedName>
    <definedName name="S31P3" localSheetId="10">#REF!</definedName>
    <definedName name="S31P3" localSheetId="8">#REF!</definedName>
    <definedName name="S31P3">#REF!</definedName>
    <definedName name="S31P4" localSheetId="4">#REF!</definedName>
    <definedName name="S31P4" localSheetId="5">#REF!</definedName>
    <definedName name="S31P4" localSheetId="0">#REF!</definedName>
    <definedName name="S31P4" localSheetId="9">#REF!</definedName>
    <definedName name="S31P4" localSheetId="10">#REF!</definedName>
    <definedName name="S31P4" localSheetId="8">#REF!</definedName>
    <definedName name="S31P4">#REF!</definedName>
    <definedName name="S31P5" localSheetId="4">#REF!</definedName>
    <definedName name="S31P5" localSheetId="5">#REF!</definedName>
    <definedName name="S31P5" localSheetId="0">#REF!</definedName>
    <definedName name="S31P5" localSheetId="9">#REF!</definedName>
    <definedName name="S31P5" localSheetId="10">#REF!</definedName>
    <definedName name="S31P5" localSheetId="8">#REF!</definedName>
    <definedName name="S31P5">#REF!</definedName>
    <definedName name="S31P6" localSheetId="4">#REF!</definedName>
    <definedName name="S31P6" localSheetId="5">#REF!</definedName>
    <definedName name="S31P6" localSheetId="0">#REF!</definedName>
    <definedName name="S31P6" localSheetId="9">#REF!</definedName>
    <definedName name="S31P6" localSheetId="10">#REF!</definedName>
    <definedName name="S31P6" localSheetId="8">#REF!</definedName>
    <definedName name="S31P6">#REF!</definedName>
    <definedName name="S31P7" localSheetId="4">#REF!</definedName>
    <definedName name="S31P7" localSheetId="5">#REF!</definedName>
    <definedName name="S31P7" localSheetId="0">#REF!</definedName>
    <definedName name="S31P7" localSheetId="9">#REF!</definedName>
    <definedName name="S31P7" localSheetId="10">#REF!</definedName>
    <definedName name="S31P7" localSheetId="8">#REF!</definedName>
    <definedName name="S31P7">#REF!</definedName>
    <definedName name="S31P8" localSheetId="4">#REF!</definedName>
    <definedName name="S31P8" localSheetId="5">#REF!</definedName>
    <definedName name="S31P8" localSheetId="0">#REF!</definedName>
    <definedName name="S31P8" localSheetId="9">#REF!</definedName>
    <definedName name="S31P8" localSheetId="10">#REF!</definedName>
    <definedName name="S31P8" localSheetId="8">#REF!</definedName>
    <definedName name="S31P8">#REF!</definedName>
    <definedName name="S31P9" localSheetId="4">#REF!</definedName>
    <definedName name="S31P9" localSheetId="5">#REF!</definedName>
    <definedName name="S31P9" localSheetId="0">#REF!</definedName>
    <definedName name="S31P9" localSheetId="9">#REF!</definedName>
    <definedName name="S31P9" localSheetId="10">#REF!</definedName>
    <definedName name="S31P9" localSheetId="8">#REF!</definedName>
    <definedName name="S31P9">#REF!</definedName>
    <definedName name="S31R1" localSheetId="4">#REF!</definedName>
    <definedName name="S31R1" localSheetId="5">#REF!</definedName>
    <definedName name="S31R1" localSheetId="0">#REF!</definedName>
    <definedName name="S31R1" localSheetId="9">#REF!</definedName>
    <definedName name="S31R1" localSheetId="10">#REF!</definedName>
    <definedName name="S31R1" localSheetId="8">#REF!</definedName>
    <definedName name="S31R1">#REF!</definedName>
    <definedName name="S31R10" localSheetId="4">#REF!</definedName>
    <definedName name="S31R10" localSheetId="5">#REF!</definedName>
    <definedName name="S31R10" localSheetId="0">#REF!</definedName>
    <definedName name="S31R10" localSheetId="9">#REF!</definedName>
    <definedName name="S31R10" localSheetId="10">#REF!</definedName>
    <definedName name="S31R10" localSheetId="8">#REF!</definedName>
    <definedName name="S31R10">#REF!</definedName>
    <definedName name="S31R11" localSheetId="4">#REF!</definedName>
    <definedName name="S31R11" localSheetId="5">#REF!</definedName>
    <definedName name="S31R11" localSheetId="0">#REF!</definedName>
    <definedName name="S31R11" localSheetId="9">#REF!</definedName>
    <definedName name="S31R11" localSheetId="10">#REF!</definedName>
    <definedName name="S31R11" localSheetId="8">#REF!</definedName>
    <definedName name="S31R11">#REF!</definedName>
    <definedName name="S31R12" localSheetId="4">#REF!</definedName>
    <definedName name="S31R12" localSheetId="5">#REF!</definedName>
    <definedName name="S31R12" localSheetId="0">#REF!</definedName>
    <definedName name="S31R12" localSheetId="9">#REF!</definedName>
    <definedName name="S31R12" localSheetId="10">#REF!</definedName>
    <definedName name="S31R12" localSheetId="8">#REF!</definedName>
    <definedName name="S31R12">#REF!</definedName>
    <definedName name="S31R13" localSheetId="4">#REF!</definedName>
    <definedName name="S31R13" localSheetId="5">#REF!</definedName>
    <definedName name="S31R13" localSheetId="0">#REF!</definedName>
    <definedName name="S31R13" localSheetId="9">#REF!</definedName>
    <definedName name="S31R13" localSheetId="10">#REF!</definedName>
    <definedName name="S31R13" localSheetId="8">#REF!</definedName>
    <definedName name="S31R13">#REF!</definedName>
    <definedName name="S31R14" localSheetId="4">#REF!</definedName>
    <definedName name="S31R14" localSheetId="5">#REF!</definedName>
    <definedName name="S31R14" localSheetId="0">#REF!</definedName>
    <definedName name="S31R14" localSheetId="9">#REF!</definedName>
    <definedName name="S31R14" localSheetId="10">#REF!</definedName>
    <definedName name="S31R14" localSheetId="8">#REF!</definedName>
    <definedName name="S31R14">#REF!</definedName>
    <definedName name="S31R15" localSheetId="4">#REF!</definedName>
    <definedName name="S31R15" localSheetId="5">#REF!</definedName>
    <definedName name="S31R15" localSheetId="0">#REF!</definedName>
    <definedName name="S31R15" localSheetId="9">#REF!</definedName>
    <definedName name="S31R15" localSheetId="10">#REF!</definedName>
    <definedName name="S31R15" localSheetId="8">#REF!</definedName>
    <definedName name="S31R15">#REF!</definedName>
    <definedName name="S31R16" localSheetId="4">#REF!</definedName>
    <definedName name="S31R16" localSheetId="5">#REF!</definedName>
    <definedName name="S31R16" localSheetId="0">#REF!</definedName>
    <definedName name="S31R16" localSheetId="9">#REF!</definedName>
    <definedName name="S31R16" localSheetId="10">#REF!</definedName>
    <definedName name="S31R16" localSheetId="8">#REF!</definedName>
    <definedName name="S31R16">#REF!</definedName>
    <definedName name="S31R17" localSheetId="4">#REF!</definedName>
    <definedName name="S31R17" localSheetId="5">#REF!</definedName>
    <definedName name="S31R17" localSheetId="0">#REF!</definedName>
    <definedName name="S31R17" localSheetId="9">#REF!</definedName>
    <definedName name="S31R17" localSheetId="10">#REF!</definedName>
    <definedName name="S31R17" localSheetId="8">#REF!</definedName>
    <definedName name="S31R17">#REF!</definedName>
    <definedName name="S31R18" localSheetId="4">#REF!</definedName>
    <definedName name="S31R18" localSheetId="5">#REF!</definedName>
    <definedName name="S31R18" localSheetId="0">#REF!</definedName>
    <definedName name="S31R18" localSheetId="9">#REF!</definedName>
    <definedName name="S31R18" localSheetId="10">#REF!</definedName>
    <definedName name="S31R18" localSheetId="8">#REF!</definedName>
    <definedName name="S31R18">#REF!</definedName>
    <definedName name="S31R19" localSheetId="4">#REF!</definedName>
    <definedName name="S31R19" localSheetId="5">#REF!</definedName>
    <definedName name="S31R19" localSheetId="0">#REF!</definedName>
    <definedName name="S31R19" localSheetId="9">#REF!</definedName>
    <definedName name="S31R19" localSheetId="10">#REF!</definedName>
    <definedName name="S31R19" localSheetId="8">#REF!</definedName>
    <definedName name="S31R19">#REF!</definedName>
    <definedName name="S31R2" localSheetId="4">#REF!</definedName>
    <definedName name="S31R2" localSheetId="5">#REF!</definedName>
    <definedName name="S31R2" localSheetId="0">#REF!</definedName>
    <definedName name="S31R2" localSheetId="9">#REF!</definedName>
    <definedName name="S31R2" localSheetId="10">#REF!</definedName>
    <definedName name="S31R2" localSheetId="8">#REF!</definedName>
    <definedName name="S31R2">#REF!</definedName>
    <definedName name="S31R20" localSheetId="4">#REF!</definedName>
    <definedName name="S31R20" localSheetId="5">#REF!</definedName>
    <definedName name="S31R20" localSheetId="0">#REF!</definedName>
    <definedName name="S31R20" localSheetId="9">#REF!</definedName>
    <definedName name="S31R20" localSheetId="10">#REF!</definedName>
    <definedName name="S31R20" localSheetId="8">#REF!</definedName>
    <definedName name="S31R20">#REF!</definedName>
    <definedName name="S31R21" localSheetId="4">#REF!</definedName>
    <definedName name="S31R21" localSheetId="5">#REF!</definedName>
    <definedName name="S31R21" localSheetId="0">#REF!</definedName>
    <definedName name="S31R21" localSheetId="9">#REF!</definedName>
    <definedName name="S31R21" localSheetId="10">#REF!</definedName>
    <definedName name="S31R21" localSheetId="8">#REF!</definedName>
    <definedName name="S31R21">#REF!</definedName>
    <definedName name="S31R22" localSheetId="4">#REF!</definedName>
    <definedName name="S31R22" localSheetId="5">#REF!</definedName>
    <definedName name="S31R22" localSheetId="0">#REF!</definedName>
    <definedName name="S31R22" localSheetId="9">#REF!</definedName>
    <definedName name="S31R22" localSheetId="10">#REF!</definedName>
    <definedName name="S31R22" localSheetId="8">#REF!</definedName>
    <definedName name="S31R22">#REF!</definedName>
    <definedName name="S31R23" localSheetId="4">#REF!</definedName>
    <definedName name="S31R23" localSheetId="5">#REF!</definedName>
    <definedName name="S31R23" localSheetId="0">#REF!</definedName>
    <definedName name="S31R23" localSheetId="9">#REF!</definedName>
    <definedName name="S31R23" localSheetId="10">#REF!</definedName>
    <definedName name="S31R23" localSheetId="8">#REF!</definedName>
    <definedName name="S31R23">#REF!</definedName>
    <definedName name="S31R24" localSheetId="4">#REF!</definedName>
    <definedName name="S31R24" localSheetId="5">#REF!</definedName>
    <definedName name="S31R24" localSheetId="0">#REF!</definedName>
    <definedName name="S31R24" localSheetId="9">#REF!</definedName>
    <definedName name="S31R24" localSheetId="10">#REF!</definedName>
    <definedName name="S31R24" localSheetId="8">#REF!</definedName>
    <definedName name="S31R24">#REF!</definedName>
    <definedName name="S31R3" localSheetId="4">#REF!</definedName>
    <definedName name="S31R3" localSheetId="5">#REF!</definedName>
    <definedName name="S31R3" localSheetId="0">#REF!</definedName>
    <definedName name="S31R3" localSheetId="9">#REF!</definedName>
    <definedName name="S31R3" localSheetId="10">#REF!</definedName>
    <definedName name="S31R3" localSheetId="8">#REF!</definedName>
    <definedName name="S31R3">#REF!</definedName>
    <definedName name="S31R4" localSheetId="4">#REF!</definedName>
    <definedName name="S31R4" localSheetId="5">#REF!</definedName>
    <definedName name="S31R4" localSheetId="0">#REF!</definedName>
    <definedName name="S31R4" localSheetId="9">#REF!</definedName>
    <definedName name="S31R4" localSheetId="10">#REF!</definedName>
    <definedName name="S31R4" localSheetId="8">#REF!</definedName>
    <definedName name="S31R4">#REF!</definedName>
    <definedName name="S31R5" localSheetId="4">#REF!</definedName>
    <definedName name="S31R5" localSheetId="5">#REF!</definedName>
    <definedName name="S31R5" localSheetId="0">#REF!</definedName>
    <definedName name="S31R5" localSheetId="9">#REF!</definedName>
    <definedName name="S31R5" localSheetId="10">#REF!</definedName>
    <definedName name="S31R5" localSheetId="8">#REF!</definedName>
    <definedName name="S31R5">#REF!</definedName>
    <definedName name="S31R6" localSheetId="4">#REF!</definedName>
    <definedName name="S31R6" localSheetId="5">#REF!</definedName>
    <definedName name="S31R6" localSheetId="0">#REF!</definedName>
    <definedName name="S31R6" localSheetId="9">#REF!</definedName>
    <definedName name="S31R6" localSheetId="10">#REF!</definedName>
    <definedName name="S31R6" localSheetId="8">#REF!</definedName>
    <definedName name="S31R6">#REF!</definedName>
    <definedName name="S31R7" localSheetId="4">#REF!</definedName>
    <definedName name="S31R7" localSheetId="5">#REF!</definedName>
    <definedName name="S31R7" localSheetId="0">#REF!</definedName>
    <definedName name="S31R7" localSheetId="9">#REF!</definedName>
    <definedName name="S31R7" localSheetId="10">#REF!</definedName>
    <definedName name="S31R7" localSheetId="8">#REF!</definedName>
    <definedName name="S31R7">#REF!</definedName>
    <definedName name="S31R8" localSheetId="4">#REF!</definedName>
    <definedName name="S31R8" localSheetId="5">#REF!</definedName>
    <definedName name="S31R8" localSheetId="0">#REF!</definedName>
    <definedName name="S31R8" localSheetId="9">#REF!</definedName>
    <definedName name="S31R8" localSheetId="10">#REF!</definedName>
    <definedName name="S31R8" localSheetId="8">#REF!</definedName>
    <definedName name="S31R8">#REF!</definedName>
    <definedName name="S31R9" localSheetId="4">#REF!</definedName>
    <definedName name="S31R9" localSheetId="5">#REF!</definedName>
    <definedName name="S31R9" localSheetId="0">#REF!</definedName>
    <definedName name="S31R9" localSheetId="9">#REF!</definedName>
    <definedName name="S31R9" localSheetId="10">#REF!</definedName>
    <definedName name="S31R9" localSheetId="8">#REF!</definedName>
    <definedName name="S31R9">#REF!</definedName>
    <definedName name="S32P1" localSheetId="4">#REF!</definedName>
    <definedName name="S32P1" localSheetId="5">#REF!</definedName>
    <definedName name="S32P1" localSheetId="0">#REF!</definedName>
    <definedName name="S32P1" localSheetId="9">#REF!</definedName>
    <definedName name="S32P1" localSheetId="10">#REF!</definedName>
    <definedName name="S32P1" localSheetId="8">#REF!</definedName>
    <definedName name="S32P1">#REF!</definedName>
    <definedName name="S32P10" localSheetId="4">#REF!</definedName>
    <definedName name="S32P10" localSheetId="5">#REF!</definedName>
    <definedName name="S32P10" localSheetId="0">#REF!</definedName>
    <definedName name="S32P10" localSheetId="9">#REF!</definedName>
    <definedName name="S32P10" localSheetId="10">#REF!</definedName>
    <definedName name="S32P10" localSheetId="8">#REF!</definedName>
    <definedName name="S32P10">#REF!</definedName>
    <definedName name="S32P11" localSheetId="4">#REF!</definedName>
    <definedName name="S32P11" localSheetId="5">#REF!</definedName>
    <definedName name="S32P11" localSheetId="0">#REF!</definedName>
    <definedName name="S32P11" localSheetId="9">#REF!</definedName>
    <definedName name="S32P11" localSheetId="10">#REF!</definedName>
    <definedName name="S32P11" localSheetId="8">#REF!</definedName>
    <definedName name="S32P11">#REF!</definedName>
    <definedName name="S32P12" localSheetId="4">#REF!</definedName>
    <definedName name="S32P12" localSheetId="5">#REF!</definedName>
    <definedName name="S32P12" localSheetId="0">#REF!</definedName>
    <definedName name="S32P12" localSheetId="9">#REF!</definedName>
    <definedName name="S32P12" localSheetId="10">#REF!</definedName>
    <definedName name="S32P12" localSheetId="8">#REF!</definedName>
    <definedName name="S32P12">#REF!</definedName>
    <definedName name="S32P13" localSheetId="4">#REF!</definedName>
    <definedName name="S32P13" localSheetId="5">#REF!</definedName>
    <definedName name="S32P13" localSheetId="0">#REF!</definedName>
    <definedName name="S32P13" localSheetId="9">#REF!</definedName>
    <definedName name="S32P13" localSheetId="10">#REF!</definedName>
    <definedName name="S32P13" localSheetId="8">#REF!</definedName>
    <definedName name="S32P13">#REF!</definedName>
    <definedName name="S32P14" localSheetId="4">#REF!</definedName>
    <definedName name="S32P14" localSheetId="5">#REF!</definedName>
    <definedName name="S32P14" localSheetId="0">#REF!</definedName>
    <definedName name="S32P14" localSheetId="9">#REF!</definedName>
    <definedName name="S32P14" localSheetId="10">#REF!</definedName>
    <definedName name="S32P14" localSheetId="8">#REF!</definedName>
    <definedName name="S32P14">#REF!</definedName>
    <definedName name="S32P15" localSheetId="4">#REF!</definedName>
    <definedName name="S32P15" localSheetId="5">#REF!</definedName>
    <definedName name="S32P15" localSheetId="0">#REF!</definedName>
    <definedName name="S32P15" localSheetId="9">#REF!</definedName>
    <definedName name="S32P15" localSheetId="10">#REF!</definedName>
    <definedName name="S32P15" localSheetId="8">#REF!</definedName>
    <definedName name="S32P15">#REF!</definedName>
    <definedName name="S32P16" localSheetId="4">#REF!</definedName>
    <definedName name="S32P16" localSheetId="5">#REF!</definedName>
    <definedName name="S32P16" localSheetId="0">#REF!</definedName>
    <definedName name="S32P16" localSheetId="9">#REF!</definedName>
    <definedName name="S32P16" localSheetId="10">#REF!</definedName>
    <definedName name="S32P16" localSheetId="8">#REF!</definedName>
    <definedName name="S32P16">#REF!</definedName>
    <definedName name="S32P17" localSheetId="4">#REF!</definedName>
    <definedName name="S32P17" localSheetId="5">#REF!</definedName>
    <definedName name="S32P17" localSheetId="0">#REF!</definedName>
    <definedName name="S32P17" localSheetId="9">#REF!</definedName>
    <definedName name="S32P17" localSheetId="10">#REF!</definedName>
    <definedName name="S32P17" localSheetId="8">#REF!</definedName>
    <definedName name="S32P17">#REF!</definedName>
    <definedName name="S32P18" localSheetId="4">#REF!</definedName>
    <definedName name="S32P18" localSheetId="5">#REF!</definedName>
    <definedName name="S32P18" localSheetId="0">#REF!</definedName>
    <definedName name="S32P18" localSheetId="9">#REF!</definedName>
    <definedName name="S32P18" localSheetId="10">#REF!</definedName>
    <definedName name="S32P18" localSheetId="8">#REF!</definedName>
    <definedName name="S32P18">#REF!</definedName>
    <definedName name="S32P19" localSheetId="4">#REF!</definedName>
    <definedName name="S32P19" localSheetId="5">#REF!</definedName>
    <definedName name="S32P19" localSheetId="0">#REF!</definedName>
    <definedName name="S32P19" localSheetId="9">#REF!</definedName>
    <definedName name="S32P19" localSheetId="10">#REF!</definedName>
    <definedName name="S32P19" localSheetId="8">#REF!</definedName>
    <definedName name="S32P19">#REF!</definedName>
    <definedName name="S32P2" localSheetId="4">#REF!</definedName>
    <definedName name="S32P2" localSheetId="5">#REF!</definedName>
    <definedName name="S32P2" localSheetId="0">#REF!</definedName>
    <definedName name="S32P2" localSheetId="9">#REF!</definedName>
    <definedName name="S32P2" localSheetId="10">#REF!</definedName>
    <definedName name="S32P2" localSheetId="8">#REF!</definedName>
    <definedName name="S32P2">#REF!</definedName>
    <definedName name="S32P20" localSheetId="4">#REF!</definedName>
    <definedName name="S32P20" localSheetId="5">#REF!</definedName>
    <definedName name="S32P20" localSheetId="0">#REF!</definedName>
    <definedName name="S32P20" localSheetId="9">#REF!</definedName>
    <definedName name="S32P20" localSheetId="10">#REF!</definedName>
    <definedName name="S32P20" localSheetId="8">#REF!</definedName>
    <definedName name="S32P20">#REF!</definedName>
    <definedName name="S32P21" localSheetId="4">#REF!</definedName>
    <definedName name="S32P21" localSheetId="5">#REF!</definedName>
    <definedName name="S32P21" localSheetId="0">#REF!</definedName>
    <definedName name="S32P21" localSheetId="9">#REF!</definedName>
    <definedName name="S32P21" localSheetId="10">#REF!</definedName>
    <definedName name="S32P21" localSheetId="8">#REF!</definedName>
    <definedName name="S32P21">#REF!</definedName>
    <definedName name="S32P22" localSheetId="4">#REF!</definedName>
    <definedName name="S32P22" localSheetId="5">#REF!</definedName>
    <definedName name="S32P22" localSheetId="0">#REF!</definedName>
    <definedName name="S32P22" localSheetId="9">#REF!</definedName>
    <definedName name="S32P22" localSheetId="10">#REF!</definedName>
    <definedName name="S32P22" localSheetId="8">#REF!</definedName>
    <definedName name="S32P22">#REF!</definedName>
    <definedName name="S32P23" localSheetId="4">#REF!</definedName>
    <definedName name="S32P23" localSheetId="5">#REF!</definedName>
    <definedName name="S32P23" localSheetId="0">#REF!</definedName>
    <definedName name="S32P23" localSheetId="9">#REF!</definedName>
    <definedName name="S32P23" localSheetId="10">#REF!</definedName>
    <definedName name="S32P23" localSheetId="8">#REF!</definedName>
    <definedName name="S32P23">#REF!</definedName>
    <definedName name="S32P24" localSheetId="4">#REF!</definedName>
    <definedName name="S32P24" localSheetId="5">#REF!</definedName>
    <definedName name="S32P24" localSheetId="0">#REF!</definedName>
    <definedName name="S32P24" localSheetId="9">#REF!</definedName>
    <definedName name="S32P24" localSheetId="10">#REF!</definedName>
    <definedName name="S32P24" localSheetId="8">#REF!</definedName>
    <definedName name="S32P24">#REF!</definedName>
    <definedName name="S32P3" localSheetId="4">#REF!</definedName>
    <definedName name="S32P3" localSheetId="5">#REF!</definedName>
    <definedName name="S32P3" localSheetId="0">#REF!</definedName>
    <definedName name="S32P3" localSheetId="9">#REF!</definedName>
    <definedName name="S32P3" localSheetId="10">#REF!</definedName>
    <definedName name="S32P3" localSheetId="8">#REF!</definedName>
    <definedName name="S32P3">#REF!</definedName>
    <definedName name="S32P4" localSheetId="4">#REF!</definedName>
    <definedName name="S32P4" localSheetId="5">#REF!</definedName>
    <definedName name="S32P4" localSheetId="0">#REF!</definedName>
    <definedName name="S32P4" localSheetId="9">#REF!</definedName>
    <definedName name="S32P4" localSheetId="10">#REF!</definedName>
    <definedName name="S32P4" localSheetId="8">#REF!</definedName>
    <definedName name="S32P4">#REF!</definedName>
    <definedName name="S32P5" localSheetId="4">#REF!</definedName>
    <definedName name="S32P5" localSheetId="5">#REF!</definedName>
    <definedName name="S32P5" localSheetId="0">#REF!</definedName>
    <definedName name="S32P5" localSheetId="9">#REF!</definedName>
    <definedName name="S32P5" localSheetId="10">#REF!</definedName>
    <definedName name="S32P5" localSheetId="8">#REF!</definedName>
    <definedName name="S32P5">#REF!</definedName>
    <definedName name="S32P6" localSheetId="4">#REF!</definedName>
    <definedName name="S32P6" localSheetId="5">#REF!</definedName>
    <definedName name="S32P6" localSheetId="0">#REF!</definedName>
    <definedName name="S32P6" localSheetId="9">#REF!</definedName>
    <definedName name="S32P6" localSheetId="10">#REF!</definedName>
    <definedName name="S32P6" localSheetId="8">#REF!</definedName>
    <definedName name="S32P6">#REF!</definedName>
    <definedName name="S32P7" localSheetId="4">#REF!</definedName>
    <definedName name="S32P7" localSheetId="5">#REF!</definedName>
    <definedName name="S32P7" localSheetId="0">#REF!</definedName>
    <definedName name="S32P7" localSheetId="9">#REF!</definedName>
    <definedName name="S32P7" localSheetId="10">#REF!</definedName>
    <definedName name="S32P7" localSheetId="8">#REF!</definedName>
    <definedName name="S32P7">#REF!</definedName>
    <definedName name="S32P8" localSheetId="4">#REF!</definedName>
    <definedName name="S32P8" localSheetId="5">#REF!</definedName>
    <definedName name="S32P8" localSheetId="0">#REF!</definedName>
    <definedName name="S32P8" localSheetId="9">#REF!</definedName>
    <definedName name="S32P8" localSheetId="10">#REF!</definedName>
    <definedName name="S32P8" localSheetId="8">#REF!</definedName>
    <definedName name="S32P8">#REF!</definedName>
    <definedName name="S32P9" localSheetId="4">#REF!</definedName>
    <definedName name="S32P9" localSheetId="5">#REF!</definedName>
    <definedName name="S32P9" localSheetId="0">#REF!</definedName>
    <definedName name="S32P9" localSheetId="9">#REF!</definedName>
    <definedName name="S32P9" localSheetId="10">#REF!</definedName>
    <definedName name="S32P9" localSheetId="8">#REF!</definedName>
    <definedName name="S32P9">#REF!</definedName>
    <definedName name="S32R1" localSheetId="4">#REF!</definedName>
    <definedName name="S32R1" localSheetId="5">#REF!</definedName>
    <definedName name="S32R1" localSheetId="0">#REF!</definedName>
    <definedName name="S32R1" localSheetId="9">#REF!</definedName>
    <definedName name="S32R1" localSheetId="10">#REF!</definedName>
    <definedName name="S32R1" localSheetId="8">#REF!</definedName>
    <definedName name="S32R1">#REF!</definedName>
    <definedName name="S32R10" localSheetId="4">#REF!</definedName>
    <definedName name="S32R10" localSheetId="5">#REF!</definedName>
    <definedName name="S32R10" localSheetId="0">#REF!</definedName>
    <definedName name="S32R10" localSheetId="9">#REF!</definedName>
    <definedName name="S32R10" localSheetId="10">#REF!</definedName>
    <definedName name="S32R10" localSheetId="8">#REF!</definedName>
    <definedName name="S32R10">#REF!</definedName>
    <definedName name="S32R11" localSheetId="4">#REF!</definedName>
    <definedName name="S32R11" localSheetId="5">#REF!</definedName>
    <definedName name="S32R11" localSheetId="0">#REF!</definedName>
    <definedName name="S32R11" localSheetId="9">#REF!</definedName>
    <definedName name="S32R11" localSheetId="10">#REF!</definedName>
    <definedName name="S32R11" localSheetId="8">#REF!</definedName>
    <definedName name="S32R11">#REF!</definedName>
    <definedName name="S32R12" localSheetId="4">#REF!</definedName>
    <definedName name="S32R12" localSheetId="5">#REF!</definedName>
    <definedName name="S32R12" localSheetId="0">#REF!</definedName>
    <definedName name="S32R12" localSheetId="9">#REF!</definedName>
    <definedName name="S32R12" localSheetId="10">#REF!</definedName>
    <definedName name="S32R12" localSheetId="8">#REF!</definedName>
    <definedName name="S32R12">#REF!</definedName>
    <definedName name="S32R13" localSheetId="4">#REF!</definedName>
    <definedName name="S32R13" localSheetId="5">#REF!</definedName>
    <definedName name="S32R13" localSheetId="0">#REF!</definedName>
    <definedName name="S32R13" localSheetId="9">#REF!</definedName>
    <definedName name="S32R13" localSheetId="10">#REF!</definedName>
    <definedName name="S32R13" localSheetId="8">#REF!</definedName>
    <definedName name="S32R13">#REF!</definedName>
    <definedName name="S32R14" localSheetId="4">#REF!</definedName>
    <definedName name="S32R14" localSheetId="5">#REF!</definedName>
    <definedName name="S32R14" localSheetId="0">#REF!</definedName>
    <definedName name="S32R14" localSheetId="9">#REF!</definedName>
    <definedName name="S32R14" localSheetId="10">#REF!</definedName>
    <definedName name="S32R14" localSheetId="8">#REF!</definedName>
    <definedName name="S32R14">#REF!</definedName>
    <definedName name="S32R15" localSheetId="4">#REF!</definedName>
    <definedName name="S32R15" localSheetId="5">#REF!</definedName>
    <definedName name="S32R15" localSheetId="0">#REF!</definedName>
    <definedName name="S32R15" localSheetId="9">#REF!</definedName>
    <definedName name="S32R15" localSheetId="10">#REF!</definedName>
    <definedName name="S32R15" localSheetId="8">#REF!</definedName>
    <definedName name="S32R15">#REF!</definedName>
    <definedName name="S32R16" localSheetId="4">#REF!</definedName>
    <definedName name="S32R16" localSheetId="5">#REF!</definedName>
    <definedName name="S32R16" localSheetId="0">#REF!</definedName>
    <definedName name="S32R16" localSheetId="9">#REF!</definedName>
    <definedName name="S32R16" localSheetId="10">#REF!</definedName>
    <definedName name="S32R16" localSheetId="8">#REF!</definedName>
    <definedName name="S32R16">#REF!</definedName>
    <definedName name="S32R17" localSheetId="4">#REF!</definedName>
    <definedName name="S32R17" localSheetId="5">#REF!</definedName>
    <definedName name="S32R17" localSheetId="0">#REF!</definedName>
    <definedName name="S32R17" localSheetId="9">#REF!</definedName>
    <definedName name="S32R17" localSheetId="10">#REF!</definedName>
    <definedName name="S32R17" localSheetId="8">#REF!</definedName>
    <definedName name="S32R17">#REF!</definedName>
    <definedName name="S32R18" localSheetId="4">#REF!</definedName>
    <definedName name="S32R18" localSheetId="5">#REF!</definedName>
    <definedName name="S32R18" localSheetId="0">#REF!</definedName>
    <definedName name="S32R18" localSheetId="9">#REF!</definedName>
    <definedName name="S32R18" localSheetId="10">#REF!</definedName>
    <definedName name="S32R18" localSheetId="8">#REF!</definedName>
    <definedName name="S32R18">#REF!</definedName>
    <definedName name="S32R19" localSheetId="4">#REF!</definedName>
    <definedName name="S32R19" localSheetId="5">#REF!</definedName>
    <definedName name="S32R19" localSheetId="0">#REF!</definedName>
    <definedName name="S32R19" localSheetId="9">#REF!</definedName>
    <definedName name="S32R19" localSheetId="10">#REF!</definedName>
    <definedName name="S32R19" localSheetId="8">#REF!</definedName>
    <definedName name="S32R19">#REF!</definedName>
    <definedName name="S32R2" localSheetId="4">#REF!</definedName>
    <definedName name="S32R2" localSheetId="5">#REF!</definedName>
    <definedName name="S32R2" localSheetId="0">#REF!</definedName>
    <definedName name="S32R2" localSheetId="9">#REF!</definedName>
    <definedName name="S32R2" localSheetId="10">#REF!</definedName>
    <definedName name="S32R2" localSheetId="8">#REF!</definedName>
    <definedName name="S32R2">#REF!</definedName>
    <definedName name="S32R20" localSheetId="4">#REF!</definedName>
    <definedName name="S32R20" localSheetId="5">#REF!</definedName>
    <definedName name="S32R20" localSheetId="0">#REF!</definedName>
    <definedName name="S32R20" localSheetId="9">#REF!</definedName>
    <definedName name="S32R20" localSheetId="10">#REF!</definedName>
    <definedName name="S32R20" localSheetId="8">#REF!</definedName>
    <definedName name="S32R20">#REF!</definedName>
    <definedName name="S32R21" localSheetId="4">#REF!</definedName>
    <definedName name="S32R21" localSheetId="5">#REF!</definedName>
    <definedName name="S32R21" localSheetId="0">#REF!</definedName>
    <definedName name="S32R21" localSheetId="9">#REF!</definedName>
    <definedName name="S32R21" localSheetId="10">#REF!</definedName>
    <definedName name="S32R21" localSheetId="8">#REF!</definedName>
    <definedName name="S32R21">#REF!</definedName>
    <definedName name="S32R22" localSheetId="4">#REF!</definedName>
    <definedName name="S32R22" localSheetId="5">#REF!</definedName>
    <definedName name="S32R22" localSheetId="0">#REF!</definedName>
    <definedName name="S32R22" localSheetId="9">#REF!</definedName>
    <definedName name="S32R22" localSheetId="10">#REF!</definedName>
    <definedName name="S32R22" localSheetId="8">#REF!</definedName>
    <definedName name="S32R22">#REF!</definedName>
    <definedName name="S32R23" localSheetId="4">#REF!</definedName>
    <definedName name="S32R23" localSheetId="5">#REF!</definedName>
    <definedName name="S32R23" localSheetId="0">#REF!</definedName>
    <definedName name="S32R23" localSheetId="9">#REF!</definedName>
    <definedName name="S32R23" localSheetId="10">#REF!</definedName>
    <definedName name="S32R23" localSheetId="8">#REF!</definedName>
    <definedName name="S32R23">#REF!</definedName>
    <definedName name="S32R24" localSheetId="4">#REF!</definedName>
    <definedName name="S32R24" localSheetId="5">#REF!</definedName>
    <definedName name="S32R24" localSheetId="0">#REF!</definedName>
    <definedName name="S32R24" localSheetId="9">#REF!</definedName>
    <definedName name="S32R24" localSheetId="10">#REF!</definedName>
    <definedName name="S32R24" localSheetId="8">#REF!</definedName>
    <definedName name="S32R24">#REF!</definedName>
    <definedName name="S32R3" localSheetId="4">#REF!</definedName>
    <definedName name="S32R3" localSheetId="5">#REF!</definedName>
    <definedName name="S32R3" localSheetId="0">#REF!</definedName>
    <definedName name="S32R3" localSheetId="9">#REF!</definedName>
    <definedName name="S32R3" localSheetId="10">#REF!</definedName>
    <definedName name="S32R3" localSheetId="8">#REF!</definedName>
    <definedName name="S32R3">#REF!</definedName>
    <definedName name="S32R4" localSheetId="4">#REF!</definedName>
    <definedName name="S32R4" localSheetId="5">#REF!</definedName>
    <definedName name="S32R4" localSheetId="0">#REF!</definedName>
    <definedName name="S32R4" localSheetId="9">#REF!</definedName>
    <definedName name="S32R4" localSheetId="10">#REF!</definedName>
    <definedName name="S32R4" localSheetId="8">#REF!</definedName>
    <definedName name="S32R4">#REF!</definedName>
    <definedName name="S32R5" localSheetId="4">#REF!</definedName>
    <definedName name="S32R5" localSheetId="5">#REF!</definedName>
    <definedName name="S32R5" localSheetId="0">#REF!</definedName>
    <definedName name="S32R5" localSheetId="9">#REF!</definedName>
    <definedName name="S32R5" localSheetId="10">#REF!</definedName>
    <definedName name="S32R5" localSheetId="8">#REF!</definedName>
    <definedName name="S32R5">#REF!</definedName>
    <definedName name="S32R6" localSheetId="4">#REF!</definedName>
    <definedName name="S32R6" localSheetId="5">#REF!</definedName>
    <definedName name="S32R6" localSheetId="0">#REF!</definedName>
    <definedName name="S32R6" localSheetId="9">#REF!</definedName>
    <definedName name="S32R6" localSheetId="10">#REF!</definedName>
    <definedName name="S32R6" localSheetId="8">#REF!</definedName>
    <definedName name="S32R6">#REF!</definedName>
    <definedName name="S32R7" localSheetId="4">#REF!</definedName>
    <definedName name="S32R7" localSheetId="5">#REF!</definedName>
    <definedName name="S32R7" localSheetId="0">#REF!</definedName>
    <definedName name="S32R7" localSheetId="9">#REF!</definedName>
    <definedName name="S32R7" localSheetId="10">#REF!</definedName>
    <definedName name="S32R7" localSheetId="8">#REF!</definedName>
    <definedName name="S32R7">#REF!</definedName>
    <definedName name="S32R8" localSheetId="4">#REF!</definedName>
    <definedName name="S32R8" localSheetId="5">#REF!</definedName>
    <definedName name="S32R8" localSheetId="0">#REF!</definedName>
    <definedName name="S32R8" localSheetId="9">#REF!</definedName>
    <definedName name="S32R8" localSheetId="10">#REF!</definedName>
    <definedName name="S32R8" localSheetId="8">#REF!</definedName>
    <definedName name="S32R8">#REF!</definedName>
    <definedName name="S32R9" localSheetId="4">#REF!</definedName>
    <definedName name="S32R9" localSheetId="5">#REF!</definedName>
    <definedName name="S32R9" localSheetId="0">#REF!</definedName>
    <definedName name="S32R9" localSheetId="9">#REF!</definedName>
    <definedName name="S32R9" localSheetId="10">#REF!</definedName>
    <definedName name="S32R9" localSheetId="8">#REF!</definedName>
    <definedName name="S32R9">#REF!</definedName>
    <definedName name="S33P1" localSheetId="4">#REF!</definedName>
    <definedName name="S33P1" localSheetId="5">#REF!</definedName>
    <definedName name="S33P1" localSheetId="0">#REF!</definedName>
    <definedName name="S33P1" localSheetId="9">#REF!</definedName>
    <definedName name="S33P1" localSheetId="10">#REF!</definedName>
    <definedName name="S33P1" localSheetId="8">#REF!</definedName>
    <definedName name="S33P1">#REF!</definedName>
    <definedName name="S33P10" localSheetId="4">#REF!</definedName>
    <definedName name="S33P10" localSheetId="5">#REF!</definedName>
    <definedName name="S33P10" localSheetId="0">#REF!</definedName>
    <definedName name="S33P10" localSheetId="9">#REF!</definedName>
    <definedName name="S33P10" localSheetId="10">#REF!</definedName>
    <definedName name="S33P10" localSheetId="8">#REF!</definedName>
    <definedName name="S33P10">#REF!</definedName>
    <definedName name="S33P11" localSheetId="4">#REF!</definedName>
    <definedName name="S33P11" localSheetId="5">#REF!</definedName>
    <definedName name="S33P11" localSheetId="0">#REF!</definedName>
    <definedName name="S33P11" localSheetId="9">#REF!</definedName>
    <definedName name="S33P11" localSheetId="10">#REF!</definedName>
    <definedName name="S33P11" localSheetId="8">#REF!</definedName>
    <definedName name="S33P11">#REF!</definedName>
    <definedName name="S33P12" localSheetId="4">#REF!</definedName>
    <definedName name="S33P12" localSheetId="5">#REF!</definedName>
    <definedName name="S33P12" localSheetId="0">#REF!</definedName>
    <definedName name="S33P12" localSheetId="9">#REF!</definedName>
    <definedName name="S33P12" localSheetId="10">#REF!</definedName>
    <definedName name="S33P12" localSheetId="8">#REF!</definedName>
    <definedName name="S33P12">#REF!</definedName>
    <definedName name="S33P13" localSheetId="4">#REF!</definedName>
    <definedName name="S33P13" localSheetId="5">#REF!</definedName>
    <definedName name="S33P13" localSheetId="0">#REF!</definedName>
    <definedName name="S33P13" localSheetId="9">#REF!</definedName>
    <definedName name="S33P13" localSheetId="10">#REF!</definedName>
    <definedName name="S33P13" localSheetId="8">#REF!</definedName>
    <definedName name="S33P13">#REF!</definedName>
    <definedName name="S33P14" localSheetId="4">#REF!</definedName>
    <definedName name="S33P14" localSheetId="5">#REF!</definedName>
    <definedName name="S33P14" localSheetId="0">#REF!</definedName>
    <definedName name="S33P14" localSheetId="9">#REF!</definedName>
    <definedName name="S33P14" localSheetId="10">#REF!</definedName>
    <definedName name="S33P14" localSheetId="8">#REF!</definedName>
    <definedName name="S33P14">#REF!</definedName>
    <definedName name="S33P15" localSheetId="4">#REF!</definedName>
    <definedName name="S33P15" localSheetId="5">#REF!</definedName>
    <definedName name="S33P15" localSheetId="0">#REF!</definedName>
    <definedName name="S33P15" localSheetId="9">#REF!</definedName>
    <definedName name="S33P15" localSheetId="10">#REF!</definedName>
    <definedName name="S33P15" localSheetId="8">#REF!</definedName>
    <definedName name="S33P15">#REF!</definedName>
    <definedName name="S33P16" localSheetId="4">#REF!</definedName>
    <definedName name="S33P16" localSheetId="5">#REF!</definedName>
    <definedName name="S33P16" localSheetId="0">#REF!</definedName>
    <definedName name="S33P16" localSheetId="9">#REF!</definedName>
    <definedName name="S33P16" localSheetId="10">#REF!</definedName>
    <definedName name="S33P16" localSheetId="8">#REF!</definedName>
    <definedName name="S33P16">#REF!</definedName>
    <definedName name="S33P17" localSheetId="4">#REF!</definedName>
    <definedName name="S33P17" localSheetId="5">#REF!</definedName>
    <definedName name="S33P17" localSheetId="0">#REF!</definedName>
    <definedName name="S33P17" localSheetId="9">#REF!</definedName>
    <definedName name="S33P17" localSheetId="10">#REF!</definedName>
    <definedName name="S33P17" localSheetId="8">#REF!</definedName>
    <definedName name="S33P17">#REF!</definedName>
    <definedName name="S33P18" localSheetId="4">#REF!</definedName>
    <definedName name="S33P18" localSheetId="5">#REF!</definedName>
    <definedName name="S33P18" localSheetId="0">#REF!</definedName>
    <definedName name="S33P18" localSheetId="9">#REF!</definedName>
    <definedName name="S33P18" localSheetId="10">#REF!</definedName>
    <definedName name="S33P18" localSheetId="8">#REF!</definedName>
    <definedName name="S33P18">#REF!</definedName>
    <definedName name="S33P19" localSheetId="4">#REF!</definedName>
    <definedName name="S33P19" localSheetId="5">#REF!</definedName>
    <definedName name="S33P19" localSheetId="0">#REF!</definedName>
    <definedName name="S33P19" localSheetId="9">#REF!</definedName>
    <definedName name="S33P19" localSheetId="10">#REF!</definedName>
    <definedName name="S33P19" localSheetId="8">#REF!</definedName>
    <definedName name="S33P19">#REF!</definedName>
    <definedName name="S33P2" localSheetId="4">#REF!</definedName>
    <definedName name="S33P2" localSheetId="5">#REF!</definedName>
    <definedName name="S33P2" localSheetId="0">#REF!</definedName>
    <definedName name="S33P2" localSheetId="9">#REF!</definedName>
    <definedName name="S33P2" localSheetId="10">#REF!</definedName>
    <definedName name="S33P2" localSheetId="8">#REF!</definedName>
    <definedName name="S33P2">#REF!</definedName>
    <definedName name="S33P20" localSheetId="4">#REF!</definedName>
    <definedName name="S33P20" localSheetId="5">#REF!</definedName>
    <definedName name="S33P20" localSheetId="0">#REF!</definedName>
    <definedName name="S33P20" localSheetId="9">#REF!</definedName>
    <definedName name="S33P20" localSheetId="10">#REF!</definedName>
    <definedName name="S33P20" localSheetId="8">#REF!</definedName>
    <definedName name="S33P20">#REF!</definedName>
    <definedName name="S33P21" localSheetId="4">#REF!</definedName>
    <definedName name="S33P21" localSheetId="5">#REF!</definedName>
    <definedName name="S33P21" localSheetId="0">#REF!</definedName>
    <definedName name="S33P21" localSheetId="9">#REF!</definedName>
    <definedName name="S33P21" localSheetId="10">#REF!</definedName>
    <definedName name="S33P21" localSheetId="8">#REF!</definedName>
    <definedName name="S33P21">#REF!</definedName>
    <definedName name="S33P22" localSheetId="4">#REF!</definedName>
    <definedName name="S33P22" localSheetId="5">#REF!</definedName>
    <definedName name="S33P22" localSheetId="0">#REF!</definedName>
    <definedName name="S33P22" localSheetId="9">#REF!</definedName>
    <definedName name="S33P22" localSheetId="10">#REF!</definedName>
    <definedName name="S33P22" localSheetId="8">#REF!</definedName>
    <definedName name="S33P22">#REF!</definedName>
    <definedName name="S33P23" localSheetId="4">#REF!</definedName>
    <definedName name="S33P23" localSheetId="5">#REF!</definedName>
    <definedName name="S33P23" localSheetId="0">#REF!</definedName>
    <definedName name="S33P23" localSheetId="9">#REF!</definedName>
    <definedName name="S33P23" localSheetId="10">#REF!</definedName>
    <definedName name="S33P23" localSheetId="8">#REF!</definedName>
    <definedName name="S33P23">#REF!</definedName>
    <definedName name="S33P24" localSheetId="4">#REF!</definedName>
    <definedName name="S33P24" localSheetId="5">#REF!</definedName>
    <definedName name="S33P24" localSheetId="0">#REF!</definedName>
    <definedName name="S33P24" localSheetId="9">#REF!</definedName>
    <definedName name="S33P24" localSheetId="10">#REF!</definedName>
    <definedName name="S33P24" localSheetId="8">#REF!</definedName>
    <definedName name="S33P24">#REF!</definedName>
    <definedName name="S33P3" localSheetId="4">#REF!</definedName>
    <definedName name="S33P3" localSheetId="5">#REF!</definedName>
    <definedName name="S33P3" localSheetId="0">#REF!</definedName>
    <definedName name="S33P3" localSheetId="9">#REF!</definedName>
    <definedName name="S33P3" localSheetId="10">#REF!</definedName>
    <definedName name="S33P3" localSheetId="8">#REF!</definedName>
    <definedName name="S33P3">#REF!</definedName>
    <definedName name="S33P4" localSheetId="4">#REF!</definedName>
    <definedName name="S33P4" localSheetId="5">#REF!</definedName>
    <definedName name="S33P4" localSheetId="0">#REF!</definedName>
    <definedName name="S33P4" localSheetId="9">#REF!</definedName>
    <definedName name="S33P4" localSheetId="10">#REF!</definedName>
    <definedName name="S33P4" localSheetId="8">#REF!</definedName>
    <definedName name="S33P4">#REF!</definedName>
    <definedName name="S33P5" localSheetId="4">#REF!</definedName>
    <definedName name="S33P5" localSheetId="5">#REF!</definedName>
    <definedName name="S33P5" localSheetId="0">#REF!</definedName>
    <definedName name="S33P5" localSheetId="9">#REF!</definedName>
    <definedName name="S33P5" localSheetId="10">#REF!</definedName>
    <definedName name="S33P5" localSheetId="8">#REF!</definedName>
    <definedName name="S33P5">#REF!</definedName>
    <definedName name="S33P6" localSheetId="4">#REF!</definedName>
    <definedName name="S33P6" localSheetId="5">#REF!</definedName>
    <definedName name="S33P6" localSheetId="0">#REF!</definedName>
    <definedName name="S33P6" localSheetId="9">#REF!</definedName>
    <definedName name="S33P6" localSheetId="10">#REF!</definedName>
    <definedName name="S33P6" localSheetId="8">#REF!</definedName>
    <definedName name="S33P6">#REF!</definedName>
    <definedName name="S33P7" localSheetId="4">#REF!</definedName>
    <definedName name="S33P7" localSheetId="5">#REF!</definedName>
    <definedName name="S33P7" localSheetId="0">#REF!</definedName>
    <definedName name="S33P7" localSheetId="9">#REF!</definedName>
    <definedName name="S33P7" localSheetId="10">#REF!</definedName>
    <definedName name="S33P7" localSheetId="8">#REF!</definedName>
    <definedName name="S33P7">#REF!</definedName>
    <definedName name="S33P8" localSheetId="4">#REF!</definedName>
    <definedName name="S33P8" localSheetId="5">#REF!</definedName>
    <definedName name="S33P8" localSheetId="0">#REF!</definedName>
    <definedName name="S33P8" localSheetId="9">#REF!</definedName>
    <definedName name="S33P8" localSheetId="10">#REF!</definedName>
    <definedName name="S33P8" localSheetId="8">#REF!</definedName>
    <definedName name="S33P8">#REF!</definedName>
    <definedName name="S33P9" localSheetId="4">#REF!</definedName>
    <definedName name="S33P9" localSheetId="5">#REF!</definedName>
    <definedName name="S33P9" localSheetId="0">#REF!</definedName>
    <definedName name="S33P9" localSheetId="9">#REF!</definedName>
    <definedName name="S33P9" localSheetId="10">#REF!</definedName>
    <definedName name="S33P9" localSheetId="8">#REF!</definedName>
    <definedName name="S33P9">#REF!</definedName>
    <definedName name="S33R1" localSheetId="4">#REF!</definedName>
    <definedName name="S33R1" localSheetId="5">#REF!</definedName>
    <definedName name="S33R1" localSheetId="0">#REF!</definedName>
    <definedName name="S33R1" localSheetId="9">#REF!</definedName>
    <definedName name="S33R1" localSheetId="10">#REF!</definedName>
    <definedName name="S33R1" localSheetId="8">#REF!</definedName>
    <definedName name="S33R1">#REF!</definedName>
    <definedName name="S33R10" localSheetId="4">#REF!</definedName>
    <definedName name="S33R10" localSheetId="5">#REF!</definedName>
    <definedName name="S33R10" localSheetId="0">#REF!</definedName>
    <definedName name="S33R10" localSheetId="9">#REF!</definedName>
    <definedName name="S33R10" localSheetId="10">#REF!</definedName>
    <definedName name="S33R10" localSheetId="8">#REF!</definedName>
    <definedName name="S33R10">#REF!</definedName>
    <definedName name="S33R11" localSheetId="4">#REF!</definedName>
    <definedName name="S33R11" localSheetId="5">#REF!</definedName>
    <definedName name="S33R11" localSheetId="0">#REF!</definedName>
    <definedName name="S33R11" localSheetId="9">#REF!</definedName>
    <definedName name="S33R11" localSheetId="10">#REF!</definedName>
    <definedName name="S33R11" localSheetId="8">#REF!</definedName>
    <definedName name="S33R11">#REF!</definedName>
    <definedName name="S33R12" localSheetId="4">#REF!</definedName>
    <definedName name="S33R12" localSheetId="5">#REF!</definedName>
    <definedName name="S33R12" localSheetId="0">#REF!</definedName>
    <definedName name="S33R12" localSheetId="9">#REF!</definedName>
    <definedName name="S33R12" localSheetId="10">#REF!</definedName>
    <definedName name="S33R12" localSheetId="8">#REF!</definedName>
    <definedName name="S33R12">#REF!</definedName>
    <definedName name="S33R13" localSheetId="4">#REF!</definedName>
    <definedName name="S33R13" localSheetId="5">#REF!</definedName>
    <definedName name="S33R13" localSheetId="0">#REF!</definedName>
    <definedName name="S33R13" localSheetId="9">#REF!</definedName>
    <definedName name="S33R13" localSheetId="10">#REF!</definedName>
    <definedName name="S33R13" localSheetId="8">#REF!</definedName>
    <definedName name="S33R13">#REF!</definedName>
    <definedName name="S33R14" localSheetId="4">#REF!</definedName>
    <definedName name="S33R14" localSheetId="5">#REF!</definedName>
    <definedName name="S33R14" localSheetId="0">#REF!</definedName>
    <definedName name="S33R14" localSheetId="9">#REF!</definedName>
    <definedName name="S33R14" localSheetId="10">#REF!</definedName>
    <definedName name="S33R14" localSheetId="8">#REF!</definedName>
    <definedName name="S33R14">#REF!</definedName>
    <definedName name="S33R15" localSheetId="4">#REF!</definedName>
    <definedName name="S33R15" localSheetId="5">#REF!</definedName>
    <definedName name="S33R15" localSheetId="0">#REF!</definedName>
    <definedName name="S33R15" localSheetId="9">#REF!</definedName>
    <definedName name="S33R15" localSheetId="10">#REF!</definedName>
    <definedName name="S33R15" localSheetId="8">#REF!</definedName>
    <definedName name="S33R15">#REF!</definedName>
    <definedName name="S33R16" localSheetId="4">#REF!</definedName>
    <definedName name="S33R16" localSheetId="5">#REF!</definedName>
    <definedName name="S33R16" localSheetId="0">#REF!</definedName>
    <definedName name="S33R16" localSheetId="9">#REF!</definedName>
    <definedName name="S33R16" localSheetId="10">#REF!</definedName>
    <definedName name="S33R16" localSheetId="8">#REF!</definedName>
    <definedName name="S33R16">#REF!</definedName>
    <definedName name="S33R17" localSheetId="4">#REF!</definedName>
    <definedName name="S33R17" localSheetId="5">#REF!</definedName>
    <definedName name="S33R17" localSheetId="0">#REF!</definedName>
    <definedName name="S33R17" localSheetId="9">#REF!</definedName>
    <definedName name="S33R17" localSheetId="10">#REF!</definedName>
    <definedName name="S33R17" localSheetId="8">#REF!</definedName>
    <definedName name="S33R17">#REF!</definedName>
    <definedName name="S33R18" localSheetId="4">#REF!</definedName>
    <definedName name="S33R18" localSheetId="5">#REF!</definedName>
    <definedName name="S33R18" localSheetId="0">#REF!</definedName>
    <definedName name="S33R18" localSheetId="9">#REF!</definedName>
    <definedName name="S33R18" localSheetId="10">#REF!</definedName>
    <definedName name="S33R18" localSheetId="8">#REF!</definedName>
    <definedName name="S33R18">#REF!</definedName>
    <definedName name="S33R19" localSheetId="4">#REF!</definedName>
    <definedName name="S33R19" localSheetId="5">#REF!</definedName>
    <definedName name="S33R19" localSheetId="0">#REF!</definedName>
    <definedName name="S33R19" localSheetId="9">#REF!</definedName>
    <definedName name="S33R19" localSheetId="10">#REF!</definedName>
    <definedName name="S33R19" localSheetId="8">#REF!</definedName>
    <definedName name="S33R19">#REF!</definedName>
    <definedName name="S33R2" localSheetId="4">#REF!</definedName>
    <definedName name="S33R2" localSheetId="5">#REF!</definedName>
    <definedName name="S33R2" localSheetId="0">#REF!</definedName>
    <definedName name="S33R2" localSheetId="9">#REF!</definedName>
    <definedName name="S33R2" localSheetId="10">#REF!</definedName>
    <definedName name="S33R2" localSheetId="8">#REF!</definedName>
    <definedName name="S33R2">#REF!</definedName>
    <definedName name="S33R20" localSheetId="4">#REF!</definedName>
    <definedName name="S33R20" localSheetId="5">#REF!</definedName>
    <definedName name="S33R20" localSheetId="0">#REF!</definedName>
    <definedName name="S33R20" localSheetId="9">#REF!</definedName>
    <definedName name="S33R20" localSheetId="10">#REF!</definedName>
    <definedName name="S33R20" localSheetId="8">#REF!</definedName>
    <definedName name="S33R20">#REF!</definedName>
    <definedName name="S33R21" localSheetId="4">#REF!</definedName>
    <definedName name="S33R21" localSheetId="5">#REF!</definedName>
    <definedName name="S33R21" localSheetId="0">#REF!</definedName>
    <definedName name="S33R21" localSheetId="9">#REF!</definedName>
    <definedName name="S33R21" localSheetId="10">#REF!</definedName>
    <definedName name="S33R21" localSheetId="8">#REF!</definedName>
    <definedName name="S33R21">#REF!</definedName>
    <definedName name="S33R22" localSheetId="4">#REF!</definedName>
    <definedName name="S33R22" localSheetId="5">#REF!</definedName>
    <definedName name="S33R22" localSheetId="0">#REF!</definedName>
    <definedName name="S33R22" localSheetId="9">#REF!</definedName>
    <definedName name="S33R22" localSheetId="10">#REF!</definedName>
    <definedName name="S33R22" localSheetId="8">#REF!</definedName>
    <definedName name="S33R22">#REF!</definedName>
    <definedName name="S33R23" localSheetId="4">#REF!</definedName>
    <definedName name="S33R23" localSheetId="5">#REF!</definedName>
    <definedName name="S33R23" localSheetId="0">#REF!</definedName>
    <definedName name="S33R23" localSheetId="9">#REF!</definedName>
    <definedName name="S33R23" localSheetId="10">#REF!</definedName>
    <definedName name="S33R23" localSheetId="8">#REF!</definedName>
    <definedName name="S33R23">#REF!</definedName>
    <definedName name="S33R24" localSheetId="4">#REF!</definedName>
    <definedName name="S33R24" localSheetId="5">#REF!</definedName>
    <definedName name="S33R24" localSheetId="0">#REF!</definedName>
    <definedName name="S33R24" localSheetId="9">#REF!</definedName>
    <definedName name="S33R24" localSheetId="10">#REF!</definedName>
    <definedName name="S33R24" localSheetId="8">#REF!</definedName>
    <definedName name="S33R24">#REF!</definedName>
    <definedName name="S33R3" localSheetId="4">#REF!</definedName>
    <definedName name="S33R3" localSheetId="5">#REF!</definedName>
    <definedName name="S33R3" localSheetId="0">#REF!</definedName>
    <definedName name="S33R3" localSheetId="9">#REF!</definedName>
    <definedName name="S33R3" localSheetId="10">#REF!</definedName>
    <definedName name="S33R3" localSheetId="8">#REF!</definedName>
    <definedName name="S33R3">#REF!</definedName>
    <definedName name="S33R4" localSheetId="4">#REF!</definedName>
    <definedName name="S33R4" localSheetId="5">#REF!</definedName>
    <definedName name="S33R4" localSheetId="0">#REF!</definedName>
    <definedName name="S33R4" localSheetId="9">#REF!</definedName>
    <definedName name="S33R4" localSheetId="10">#REF!</definedName>
    <definedName name="S33R4" localSheetId="8">#REF!</definedName>
    <definedName name="S33R4">#REF!</definedName>
    <definedName name="S33R5" localSheetId="4">#REF!</definedName>
    <definedName name="S33R5" localSheetId="5">#REF!</definedName>
    <definedName name="S33R5" localSheetId="0">#REF!</definedName>
    <definedName name="S33R5" localSheetId="9">#REF!</definedName>
    <definedName name="S33R5" localSheetId="10">#REF!</definedName>
    <definedName name="S33R5" localSheetId="8">#REF!</definedName>
    <definedName name="S33R5">#REF!</definedName>
    <definedName name="S33R6" localSheetId="4">#REF!</definedName>
    <definedName name="S33R6" localSheetId="5">#REF!</definedName>
    <definedName name="S33R6" localSheetId="0">#REF!</definedName>
    <definedName name="S33R6" localSheetId="9">#REF!</definedName>
    <definedName name="S33R6" localSheetId="10">#REF!</definedName>
    <definedName name="S33R6" localSheetId="8">#REF!</definedName>
    <definedName name="S33R6">#REF!</definedName>
    <definedName name="S33R7" localSheetId="4">#REF!</definedName>
    <definedName name="S33R7" localSheetId="5">#REF!</definedName>
    <definedName name="S33R7" localSheetId="0">#REF!</definedName>
    <definedName name="S33R7" localSheetId="9">#REF!</definedName>
    <definedName name="S33R7" localSheetId="10">#REF!</definedName>
    <definedName name="S33R7" localSheetId="8">#REF!</definedName>
    <definedName name="S33R7">#REF!</definedName>
    <definedName name="S33R8" localSheetId="4">#REF!</definedName>
    <definedName name="S33R8" localSheetId="5">#REF!</definedName>
    <definedName name="S33R8" localSheetId="0">#REF!</definedName>
    <definedName name="S33R8" localSheetId="9">#REF!</definedName>
    <definedName name="S33R8" localSheetId="10">#REF!</definedName>
    <definedName name="S33R8" localSheetId="8">#REF!</definedName>
    <definedName name="S33R8">#REF!</definedName>
    <definedName name="S33R9" localSheetId="4">#REF!</definedName>
    <definedName name="S33R9" localSheetId="5">#REF!</definedName>
    <definedName name="S33R9" localSheetId="0">#REF!</definedName>
    <definedName name="S33R9" localSheetId="9">#REF!</definedName>
    <definedName name="S33R9" localSheetId="10">#REF!</definedName>
    <definedName name="S33R9" localSheetId="8">#REF!</definedName>
    <definedName name="S33R9">#REF!</definedName>
    <definedName name="S34P1" localSheetId="4">#REF!</definedName>
    <definedName name="S34P1" localSheetId="5">#REF!</definedName>
    <definedName name="S34P1" localSheetId="0">#REF!</definedName>
    <definedName name="S34P1" localSheetId="9">#REF!</definedName>
    <definedName name="S34P1" localSheetId="10">#REF!</definedName>
    <definedName name="S34P1" localSheetId="8">#REF!</definedName>
    <definedName name="S34P1">#REF!</definedName>
    <definedName name="S34P10" localSheetId="4">#REF!</definedName>
    <definedName name="S34P10" localSheetId="5">#REF!</definedName>
    <definedName name="S34P10" localSheetId="0">#REF!</definedName>
    <definedName name="S34P10" localSheetId="9">#REF!</definedName>
    <definedName name="S34P10" localSheetId="10">#REF!</definedName>
    <definedName name="S34P10" localSheetId="8">#REF!</definedName>
    <definedName name="S34P10">#REF!</definedName>
    <definedName name="S34P11" localSheetId="4">#REF!</definedName>
    <definedName name="S34P11" localSheetId="5">#REF!</definedName>
    <definedName name="S34P11" localSheetId="0">#REF!</definedName>
    <definedName name="S34P11" localSheetId="9">#REF!</definedName>
    <definedName name="S34P11" localSheetId="10">#REF!</definedName>
    <definedName name="S34P11" localSheetId="8">#REF!</definedName>
    <definedName name="S34P11">#REF!</definedName>
    <definedName name="S34P12" localSheetId="4">#REF!</definedName>
    <definedName name="S34P12" localSheetId="5">#REF!</definedName>
    <definedName name="S34P12" localSheetId="0">#REF!</definedName>
    <definedName name="S34P12" localSheetId="9">#REF!</definedName>
    <definedName name="S34P12" localSheetId="10">#REF!</definedName>
    <definedName name="S34P12" localSheetId="8">#REF!</definedName>
    <definedName name="S34P12">#REF!</definedName>
    <definedName name="S34P13" localSheetId="4">#REF!</definedName>
    <definedName name="S34P13" localSheetId="5">#REF!</definedName>
    <definedName name="S34P13" localSheetId="0">#REF!</definedName>
    <definedName name="S34P13" localSheetId="9">#REF!</definedName>
    <definedName name="S34P13" localSheetId="10">#REF!</definedName>
    <definedName name="S34P13" localSheetId="8">#REF!</definedName>
    <definedName name="S34P13">#REF!</definedName>
    <definedName name="S34P14" localSheetId="4">#REF!</definedName>
    <definedName name="S34P14" localSheetId="5">#REF!</definedName>
    <definedName name="S34P14" localSheetId="0">#REF!</definedName>
    <definedName name="S34P14" localSheetId="9">#REF!</definedName>
    <definedName name="S34P14" localSheetId="10">#REF!</definedName>
    <definedName name="S34P14" localSheetId="8">#REF!</definedName>
    <definedName name="S34P14">#REF!</definedName>
    <definedName name="S34P15" localSheetId="4">#REF!</definedName>
    <definedName name="S34P15" localSheetId="5">#REF!</definedName>
    <definedName name="S34P15" localSheetId="0">#REF!</definedName>
    <definedName name="S34P15" localSheetId="9">#REF!</definedName>
    <definedName name="S34P15" localSheetId="10">#REF!</definedName>
    <definedName name="S34P15" localSheetId="8">#REF!</definedName>
    <definedName name="S34P15">#REF!</definedName>
    <definedName name="S34P16" localSheetId="4">#REF!</definedName>
    <definedName name="S34P16" localSheetId="5">#REF!</definedName>
    <definedName name="S34P16" localSheetId="0">#REF!</definedName>
    <definedName name="S34P16" localSheetId="9">#REF!</definedName>
    <definedName name="S34P16" localSheetId="10">#REF!</definedName>
    <definedName name="S34P16" localSheetId="8">#REF!</definedName>
    <definedName name="S34P16">#REF!</definedName>
    <definedName name="S34P17" localSheetId="4">#REF!</definedName>
    <definedName name="S34P17" localSheetId="5">#REF!</definedName>
    <definedName name="S34P17" localSheetId="0">#REF!</definedName>
    <definedName name="S34P17" localSheetId="9">#REF!</definedName>
    <definedName name="S34P17" localSheetId="10">#REF!</definedName>
    <definedName name="S34P17" localSheetId="8">#REF!</definedName>
    <definedName name="S34P17">#REF!</definedName>
    <definedName name="S34P18" localSheetId="4">#REF!</definedName>
    <definedName name="S34P18" localSheetId="5">#REF!</definedName>
    <definedName name="S34P18" localSheetId="0">#REF!</definedName>
    <definedName name="S34P18" localSheetId="9">#REF!</definedName>
    <definedName name="S34P18" localSheetId="10">#REF!</definedName>
    <definedName name="S34P18" localSheetId="8">#REF!</definedName>
    <definedName name="S34P18">#REF!</definedName>
    <definedName name="S34P19" localSheetId="4">#REF!</definedName>
    <definedName name="S34P19" localSheetId="5">#REF!</definedName>
    <definedName name="S34P19" localSheetId="0">#REF!</definedName>
    <definedName name="S34P19" localSheetId="9">#REF!</definedName>
    <definedName name="S34P19" localSheetId="10">#REF!</definedName>
    <definedName name="S34P19" localSheetId="8">#REF!</definedName>
    <definedName name="S34P19">#REF!</definedName>
    <definedName name="S34P2" localSheetId="4">#REF!</definedName>
    <definedName name="S34P2" localSheetId="5">#REF!</definedName>
    <definedName name="S34P2" localSheetId="0">#REF!</definedName>
    <definedName name="S34P2" localSheetId="9">#REF!</definedName>
    <definedName name="S34P2" localSheetId="10">#REF!</definedName>
    <definedName name="S34P2" localSheetId="8">#REF!</definedName>
    <definedName name="S34P2">#REF!</definedName>
    <definedName name="S34P20" localSheetId="4">#REF!</definedName>
    <definedName name="S34P20" localSheetId="5">#REF!</definedName>
    <definedName name="S34P20" localSheetId="0">#REF!</definedName>
    <definedName name="S34P20" localSheetId="9">#REF!</definedName>
    <definedName name="S34P20" localSheetId="10">#REF!</definedName>
    <definedName name="S34P20" localSheetId="8">#REF!</definedName>
    <definedName name="S34P20">#REF!</definedName>
    <definedName name="S34P21" localSheetId="4">#REF!</definedName>
    <definedName name="S34P21" localSheetId="5">#REF!</definedName>
    <definedName name="S34P21" localSheetId="0">#REF!</definedName>
    <definedName name="S34P21" localSheetId="9">#REF!</definedName>
    <definedName name="S34P21" localSheetId="10">#REF!</definedName>
    <definedName name="S34P21" localSheetId="8">#REF!</definedName>
    <definedName name="S34P21">#REF!</definedName>
    <definedName name="S34P22" localSheetId="4">#REF!</definedName>
    <definedName name="S34P22" localSheetId="5">#REF!</definedName>
    <definedName name="S34P22" localSheetId="0">#REF!</definedName>
    <definedName name="S34P22" localSheetId="9">#REF!</definedName>
    <definedName name="S34P22" localSheetId="10">#REF!</definedName>
    <definedName name="S34P22" localSheetId="8">#REF!</definedName>
    <definedName name="S34P22">#REF!</definedName>
    <definedName name="S34P23" localSheetId="4">#REF!</definedName>
    <definedName name="S34P23" localSheetId="5">#REF!</definedName>
    <definedName name="S34P23" localSheetId="0">#REF!</definedName>
    <definedName name="S34P23" localSheetId="9">#REF!</definedName>
    <definedName name="S34P23" localSheetId="10">#REF!</definedName>
    <definedName name="S34P23" localSheetId="8">#REF!</definedName>
    <definedName name="S34P23">#REF!</definedName>
    <definedName name="S34P24" localSheetId="4">#REF!</definedName>
    <definedName name="S34P24" localSheetId="5">#REF!</definedName>
    <definedName name="S34P24" localSheetId="0">#REF!</definedName>
    <definedName name="S34P24" localSheetId="9">#REF!</definedName>
    <definedName name="S34P24" localSheetId="10">#REF!</definedName>
    <definedName name="S34P24" localSheetId="8">#REF!</definedName>
    <definedName name="S34P24">#REF!</definedName>
    <definedName name="S34P3" localSheetId="4">#REF!</definedName>
    <definedName name="S34P3" localSheetId="5">#REF!</definedName>
    <definedName name="S34P3" localSheetId="0">#REF!</definedName>
    <definedName name="S34P3" localSheetId="9">#REF!</definedName>
    <definedName name="S34P3" localSheetId="10">#REF!</definedName>
    <definedName name="S34P3" localSheetId="8">#REF!</definedName>
    <definedName name="S34P3">#REF!</definedName>
    <definedName name="S34P4" localSheetId="4">#REF!</definedName>
    <definedName name="S34P4" localSheetId="5">#REF!</definedName>
    <definedName name="S34P4" localSheetId="0">#REF!</definedName>
    <definedName name="S34P4" localSheetId="9">#REF!</definedName>
    <definedName name="S34P4" localSheetId="10">#REF!</definedName>
    <definedName name="S34P4" localSheetId="8">#REF!</definedName>
    <definedName name="S34P4">#REF!</definedName>
    <definedName name="S34P5" localSheetId="4">#REF!</definedName>
    <definedName name="S34P5" localSheetId="5">#REF!</definedName>
    <definedName name="S34P5" localSheetId="0">#REF!</definedName>
    <definedName name="S34P5" localSheetId="9">#REF!</definedName>
    <definedName name="S34P5" localSheetId="10">#REF!</definedName>
    <definedName name="S34P5" localSheetId="8">#REF!</definedName>
    <definedName name="S34P5">#REF!</definedName>
    <definedName name="S34P6" localSheetId="4">#REF!</definedName>
    <definedName name="S34P6" localSheetId="5">#REF!</definedName>
    <definedName name="S34P6" localSheetId="0">#REF!</definedName>
    <definedName name="S34P6" localSheetId="9">#REF!</definedName>
    <definedName name="S34P6" localSheetId="10">#REF!</definedName>
    <definedName name="S34P6" localSheetId="8">#REF!</definedName>
    <definedName name="S34P6">#REF!</definedName>
    <definedName name="S34P7" localSheetId="4">#REF!</definedName>
    <definedName name="S34P7" localSheetId="5">#REF!</definedName>
    <definedName name="S34P7" localSheetId="0">#REF!</definedName>
    <definedName name="S34P7" localSheetId="9">#REF!</definedName>
    <definedName name="S34P7" localSheetId="10">#REF!</definedName>
    <definedName name="S34P7" localSheetId="8">#REF!</definedName>
    <definedName name="S34P7">#REF!</definedName>
    <definedName name="S34P8" localSheetId="4">#REF!</definedName>
    <definedName name="S34P8" localSheetId="5">#REF!</definedName>
    <definedName name="S34P8" localSheetId="0">#REF!</definedName>
    <definedName name="S34P8" localSheetId="9">#REF!</definedName>
    <definedName name="S34P8" localSheetId="10">#REF!</definedName>
    <definedName name="S34P8" localSheetId="8">#REF!</definedName>
    <definedName name="S34P8">#REF!</definedName>
    <definedName name="S34P9" localSheetId="4">#REF!</definedName>
    <definedName name="S34P9" localSheetId="5">#REF!</definedName>
    <definedName name="S34P9" localSheetId="0">#REF!</definedName>
    <definedName name="S34P9" localSheetId="9">#REF!</definedName>
    <definedName name="S34P9" localSheetId="10">#REF!</definedName>
    <definedName name="S34P9" localSheetId="8">#REF!</definedName>
    <definedName name="S34P9">#REF!</definedName>
    <definedName name="S34R1" localSheetId="4">#REF!</definedName>
    <definedName name="S34R1" localSheetId="5">#REF!</definedName>
    <definedName name="S34R1" localSheetId="0">#REF!</definedName>
    <definedName name="S34R1" localSheetId="9">#REF!</definedName>
    <definedName name="S34R1" localSheetId="10">#REF!</definedName>
    <definedName name="S34R1" localSheetId="8">#REF!</definedName>
    <definedName name="S34R1">#REF!</definedName>
    <definedName name="S34R10" localSheetId="4">#REF!</definedName>
    <definedName name="S34R10" localSheetId="5">#REF!</definedName>
    <definedName name="S34R10" localSheetId="0">#REF!</definedName>
    <definedName name="S34R10" localSheetId="9">#REF!</definedName>
    <definedName name="S34R10" localSheetId="10">#REF!</definedName>
    <definedName name="S34R10" localSheetId="8">#REF!</definedName>
    <definedName name="S34R10">#REF!</definedName>
    <definedName name="S34R11" localSheetId="4">#REF!</definedName>
    <definedName name="S34R11" localSheetId="5">#REF!</definedName>
    <definedName name="S34R11" localSheetId="0">#REF!</definedName>
    <definedName name="S34R11" localSheetId="9">#REF!</definedName>
    <definedName name="S34R11" localSheetId="10">#REF!</definedName>
    <definedName name="S34R11" localSheetId="8">#REF!</definedName>
    <definedName name="S34R11">#REF!</definedName>
    <definedName name="S34R12" localSheetId="4">#REF!</definedName>
    <definedName name="S34R12" localSheetId="5">#REF!</definedName>
    <definedName name="S34R12" localSheetId="0">#REF!</definedName>
    <definedName name="S34R12" localSheetId="9">#REF!</definedName>
    <definedName name="S34R12" localSheetId="10">#REF!</definedName>
    <definedName name="S34R12" localSheetId="8">#REF!</definedName>
    <definedName name="S34R12">#REF!</definedName>
    <definedName name="S34R13" localSheetId="4">#REF!</definedName>
    <definedName name="S34R13" localSheetId="5">#REF!</definedName>
    <definedName name="S34R13" localSheetId="0">#REF!</definedName>
    <definedName name="S34R13" localSheetId="9">#REF!</definedName>
    <definedName name="S34R13" localSheetId="10">#REF!</definedName>
    <definedName name="S34R13" localSheetId="8">#REF!</definedName>
    <definedName name="S34R13">#REF!</definedName>
    <definedName name="S34R14" localSheetId="4">#REF!</definedName>
    <definedName name="S34R14" localSheetId="5">#REF!</definedName>
    <definedName name="S34R14" localSheetId="0">#REF!</definedName>
    <definedName name="S34R14" localSheetId="9">#REF!</definedName>
    <definedName name="S34R14" localSheetId="10">#REF!</definedName>
    <definedName name="S34R14" localSheetId="8">#REF!</definedName>
    <definedName name="S34R14">#REF!</definedName>
    <definedName name="S34R15" localSheetId="4">#REF!</definedName>
    <definedName name="S34R15" localSheetId="5">#REF!</definedName>
    <definedName name="S34R15" localSheetId="0">#REF!</definedName>
    <definedName name="S34R15" localSheetId="9">#REF!</definedName>
    <definedName name="S34R15" localSheetId="10">#REF!</definedName>
    <definedName name="S34R15" localSheetId="8">#REF!</definedName>
    <definedName name="S34R15">#REF!</definedName>
    <definedName name="S34R16" localSheetId="4">#REF!</definedName>
    <definedName name="S34R16" localSheetId="5">#REF!</definedName>
    <definedName name="S34R16" localSheetId="0">#REF!</definedName>
    <definedName name="S34R16" localSheetId="9">#REF!</definedName>
    <definedName name="S34R16" localSheetId="10">#REF!</definedName>
    <definedName name="S34R16" localSheetId="8">#REF!</definedName>
    <definedName name="S34R16">#REF!</definedName>
    <definedName name="S34R17" localSheetId="4">#REF!</definedName>
    <definedName name="S34R17" localSheetId="5">#REF!</definedName>
    <definedName name="S34R17" localSheetId="0">#REF!</definedName>
    <definedName name="S34R17" localSheetId="9">#REF!</definedName>
    <definedName name="S34R17" localSheetId="10">#REF!</definedName>
    <definedName name="S34R17" localSheetId="8">#REF!</definedName>
    <definedName name="S34R17">#REF!</definedName>
    <definedName name="S34R18" localSheetId="4">#REF!</definedName>
    <definedName name="S34R18" localSheetId="5">#REF!</definedName>
    <definedName name="S34R18" localSheetId="0">#REF!</definedName>
    <definedName name="S34R18" localSheetId="9">#REF!</definedName>
    <definedName name="S34R18" localSheetId="10">#REF!</definedName>
    <definedName name="S34R18" localSheetId="8">#REF!</definedName>
    <definedName name="S34R18">#REF!</definedName>
    <definedName name="S34R19" localSheetId="4">#REF!</definedName>
    <definedName name="S34R19" localSheetId="5">#REF!</definedName>
    <definedName name="S34R19" localSheetId="0">#REF!</definedName>
    <definedName name="S34R19" localSheetId="9">#REF!</definedName>
    <definedName name="S34R19" localSheetId="10">#REF!</definedName>
    <definedName name="S34R19" localSheetId="8">#REF!</definedName>
    <definedName name="S34R19">#REF!</definedName>
    <definedName name="S34R2" localSheetId="4">#REF!</definedName>
    <definedName name="S34R2" localSheetId="5">#REF!</definedName>
    <definedName name="S34R2" localSheetId="0">#REF!</definedName>
    <definedName name="S34R2" localSheetId="9">#REF!</definedName>
    <definedName name="S34R2" localSheetId="10">#REF!</definedName>
    <definedName name="S34R2" localSheetId="8">#REF!</definedName>
    <definedName name="S34R2">#REF!</definedName>
    <definedName name="S34R20" localSheetId="4">#REF!</definedName>
    <definedName name="S34R20" localSheetId="5">#REF!</definedName>
    <definedName name="S34R20" localSheetId="0">#REF!</definedName>
    <definedName name="S34R20" localSheetId="9">#REF!</definedName>
    <definedName name="S34R20" localSheetId="10">#REF!</definedName>
    <definedName name="S34R20" localSheetId="8">#REF!</definedName>
    <definedName name="S34R20">#REF!</definedName>
    <definedName name="S34R21" localSheetId="4">#REF!</definedName>
    <definedName name="S34R21" localSheetId="5">#REF!</definedName>
    <definedName name="S34R21" localSheetId="0">#REF!</definedName>
    <definedName name="S34R21" localSheetId="9">#REF!</definedName>
    <definedName name="S34R21" localSheetId="10">#REF!</definedName>
    <definedName name="S34R21" localSheetId="8">#REF!</definedName>
    <definedName name="S34R21">#REF!</definedName>
    <definedName name="S34R22" localSheetId="4">#REF!</definedName>
    <definedName name="S34R22" localSheetId="5">#REF!</definedName>
    <definedName name="S34R22" localSheetId="0">#REF!</definedName>
    <definedName name="S34R22" localSheetId="9">#REF!</definedName>
    <definedName name="S34R22" localSheetId="10">#REF!</definedName>
    <definedName name="S34R22" localSheetId="8">#REF!</definedName>
    <definedName name="S34R22">#REF!</definedName>
    <definedName name="S34R23" localSheetId="4">#REF!</definedName>
    <definedName name="S34R23" localSheetId="5">#REF!</definedName>
    <definedName name="S34R23" localSheetId="0">#REF!</definedName>
    <definedName name="S34R23" localSheetId="9">#REF!</definedName>
    <definedName name="S34R23" localSheetId="10">#REF!</definedName>
    <definedName name="S34R23" localSheetId="8">#REF!</definedName>
    <definedName name="S34R23">#REF!</definedName>
    <definedName name="S34R24" localSheetId="4">#REF!</definedName>
    <definedName name="S34R24" localSheetId="5">#REF!</definedName>
    <definedName name="S34R24" localSheetId="0">#REF!</definedName>
    <definedName name="S34R24" localSheetId="9">#REF!</definedName>
    <definedName name="S34R24" localSheetId="10">#REF!</definedName>
    <definedName name="S34R24" localSheetId="8">#REF!</definedName>
    <definedName name="S34R24">#REF!</definedName>
    <definedName name="S34R3" localSheetId="4">#REF!</definedName>
    <definedName name="S34R3" localSheetId="5">#REF!</definedName>
    <definedName name="S34R3" localSheetId="0">#REF!</definedName>
    <definedName name="S34R3" localSheetId="9">#REF!</definedName>
    <definedName name="S34R3" localSheetId="10">#REF!</definedName>
    <definedName name="S34R3" localSheetId="8">#REF!</definedName>
    <definedName name="S34R3">#REF!</definedName>
    <definedName name="S34R4" localSheetId="4">#REF!</definedName>
    <definedName name="S34R4" localSheetId="5">#REF!</definedName>
    <definedName name="S34R4" localSheetId="0">#REF!</definedName>
    <definedName name="S34R4" localSheetId="9">#REF!</definedName>
    <definedName name="S34R4" localSheetId="10">#REF!</definedName>
    <definedName name="S34R4" localSheetId="8">#REF!</definedName>
    <definedName name="S34R4">#REF!</definedName>
    <definedName name="S34R5" localSheetId="4">#REF!</definedName>
    <definedName name="S34R5" localSheetId="5">#REF!</definedName>
    <definedName name="S34R5" localSheetId="0">#REF!</definedName>
    <definedName name="S34R5" localSheetId="9">#REF!</definedName>
    <definedName name="S34R5" localSheetId="10">#REF!</definedName>
    <definedName name="S34R5" localSheetId="8">#REF!</definedName>
    <definedName name="S34R5">#REF!</definedName>
    <definedName name="S34R6" localSheetId="4">#REF!</definedName>
    <definedName name="S34R6" localSheetId="5">#REF!</definedName>
    <definedName name="S34R6" localSheetId="0">#REF!</definedName>
    <definedName name="S34R6" localSheetId="9">#REF!</definedName>
    <definedName name="S34R6" localSheetId="10">#REF!</definedName>
    <definedName name="S34R6" localSheetId="8">#REF!</definedName>
    <definedName name="S34R6">#REF!</definedName>
    <definedName name="S34R7" localSheetId="4">#REF!</definedName>
    <definedName name="S34R7" localSheetId="5">#REF!</definedName>
    <definedName name="S34R7" localSheetId="0">#REF!</definedName>
    <definedName name="S34R7" localSheetId="9">#REF!</definedName>
    <definedName name="S34R7" localSheetId="10">#REF!</definedName>
    <definedName name="S34R7" localSheetId="8">#REF!</definedName>
    <definedName name="S34R7">#REF!</definedName>
    <definedName name="S34R8" localSheetId="4">#REF!</definedName>
    <definedName name="S34R8" localSheetId="5">#REF!</definedName>
    <definedName name="S34R8" localSheetId="0">#REF!</definedName>
    <definedName name="S34R8" localSheetId="9">#REF!</definedName>
    <definedName name="S34R8" localSheetId="10">#REF!</definedName>
    <definedName name="S34R8" localSheetId="8">#REF!</definedName>
    <definedName name="S34R8">#REF!</definedName>
    <definedName name="S34R9" localSheetId="4">#REF!</definedName>
    <definedName name="S34R9" localSheetId="5">#REF!</definedName>
    <definedName name="S34R9" localSheetId="0">#REF!</definedName>
    <definedName name="S34R9" localSheetId="9">#REF!</definedName>
    <definedName name="S34R9" localSheetId="10">#REF!</definedName>
    <definedName name="S34R9" localSheetId="8">#REF!</definedName>
    <definedName name="S34R9">#REF!</definedName>
    <definedName name="S35P1" localSheetId="4">#REF!</definedName>
    <definedName name="S35P1" localSheetId="5">#REF!</definedName>
    <definedName name="S35P1" localSheetId="0">#REF!</definedName>
    <definedName name="S35P1" localSheetId="9">#REF!</definedName>
    <definedName name="S35P1" localSheetId="10">#REF!</definedName>
    <definedName name="S35P1" localSheetId="8">#REF!</definedName>
    <definedName name="S35P1">#REF!</definedName>
    <definedName name="S35P10" localSheetId="4">#REF!</definedName>
    <definedName name="S35P10" localSheetId="5">#REF!</definedName>
    <definedName name="S35P10" localSheetId="0">#REF!</definedName>
    <definedName name="S35P10" localSheetId="9">#REF!</definedName>
    <definedName name="S35P10" localSheetId="10">#REF!</definedName>
    <definedName name="S35P10" localSheetId="8">#REF!</definedName>
    <definedName name="S35P10">#REF!</definedName>
    <definedName name="S35P11" localSheetId="4">#REF!</definedName>
    <definedName name="S35P11" localSheetId="5">#REF!</definedName>
    <definedName name="S35P11" localSheetId="0">#REF!</definedName>
    <definedName name="S35P11" localSheetId="9">#REF!</definedName>
    <definedName name="S35P11" localSheetId="10">#REF!</definedName>
    <definedName name="S35P11" localSheetId="8">#REF!</definedName>
    <definedName name="S35P11">#REF!</definedName>
    <definedName name="S35P12" localSheetId="4">#REF!</definedName>
    <definedName name="S35P12" localSheetId="5">#REF!</definedName>
    <definedName name="S35P12" localSheetId="0">#REF!</definedName>
    <definedName name="S35P12" localSheetId="9">#REF!</definedName>
    <definedName name="S35P12" localSheetId="10">#REF!</definedName>
    <definedName name="S35P12" localSheetId="8">#REF!</definedName>
    <definedName name="S35P12">#REF!</definedName>
    <definedName name="S35P13" localSheetId="4">#REF!</definedName>
    <definedName name="S35P13" localSheetId="5">#REF!</definedName>
    <definedName name="S35P13" localSheetId="0">#REF!</definedName>
    <definedName name="S35P13" localSheetId="9">#REF!</definedName>
    <definedName name="S35P13" localSheetId="10">#REF!</definedName>
    <definedName name="S35P13" localSheetId="8">#REF!</definedName>
    <definedName name="S35P13">#REF!</definedName>
    <definedName name="S35P14" localSheetId="4">#REF!</definedName>
    <definedName name="S35P14" localSheetId="5">#REF!</definedName>
    <definedName name="S35P14" localSheetId="0">#REF!</definedName>
    <definedName name="S35P14" localSheetId="9">#REF!</definedName>
    <definedName name="S35P14" localSheetId="10">#REF!</definedName>
    <definedName name="S35P14" localSheetId="8">#REF!</definedName>
    <definedName name="S35P14">#REF!</definedName>
    <definedName name="S35P15" localSheetId="4">#REF!</definedName>
    <definedName name="S35P15" localSheetId="5">#REF!</definedName>
    <definedName name="S35P15" localSheetId="0">#REF!</definedName>
    <definedName name="S35P15" localSheetId="9">#REF!</definedName>
    <definedName name="S35P15" localSheetId="10">#REF!</definedName>
    <definedName name="S35P15" localSheetId="8">#REF!</definedName>
    <definedName name="S35P15">#REF!</definedName>
    <definedName name="S35P16" localSheetId="4">#REF!</definedName>
    <definedName name="S35P16" localSheetId="5">#REF!</definedName>
    <definedName name="S35P16" localSheetId="0">#REF!</definedName>
    <definedName name="S35P16" localSheetId="9">#REF!</definedName>
    <definedName name="S35P16" localSheetId="10">#REF!</definedName>
    <definedName name="S35P16" localSheetId="8">#REF!</definedName>
    <definedName name="S35P16">#REF!</definedName>
    <definedName name="S35P17" localSheetId="4">#REF!</definedName>
    <definedName name="S35P17" localSheetId="5">#REF!</definedName>
    <definedName name="S35P17" localSheetId="0">#REF!</definedName>
    <definedName name="S35P17" localSheetId="9">#REF!</definedName>
    <definedName name="S35P17" localSheetId="10">#REF!</definedName>
    <definedName name="S35P17" localSheetId="8">#REF!</definedName>
    <definedName name="S35P17">#REF!</definedName>
    <definedName name="S35P18" localSheetId="4">#REF!</definedName>
    <definedName name="S35P18" localSheetId="5">#REF!</definedName>
    <definedName name="S35P18" localSheetId="0">#REF!</definedName>
    <definedName name="S35P18" localSheetId="9">#REF!</definedName>
    <definedName name="S35P18" localSheetId="10">#REF!</definedName>
    <definedName name="S35P18" localSheetId="8">#REF!</definedName>
    <definedName name="S35P18">#REF!</definedName>
    <definedName name="S35P19" localSheetId="4">#REF!</definedName>
    <definedName name="S35P19" localSheetId="5">#REF!</definedName>
    <definedName name="S35P19" localSheetId="0">#REF!</definedName>
    <definedName name="S35P19" localSheetId="9">#REF!</definedName>
    <definedName name="S35P19" localSheetId="10">#REF!</definedName>
    <definedName name="S35P19" localSheetId="8">#REF!</definedName>
    <definedName name="S35P19">#REF!</definedName>
    <definedName name="S35P2" localSheetId="4">#REF!</definedName>
    <definedName name="S35P2" localSheetId="5">#REF!</definedName>
    <definedName name="S35P2" localSheetId="0">#REF!</definedName>
    <definedName name="S35P2" localSheetId="9">#REF!</definedName>
    <definedName name="S35P2" localSheetId="10">#REF!</definedName>
    <definedName name="S35P2" localSheetId="8">#REF!</definedName>
    <definedName name="S35P2">#REF!</definedName>
    <definedName name="S35P20" localSheetId="4">#REF!</definedName>
    <definedName name="S35P20" localSheetId="5">#REF!</definedName>
    <definedName name="S35P20" localSheetId="0">#REF!</definedName>
    <definedName name="S35P20" localSheetId="9">#REF!</definedName>
    <definedName name="S35P20" localSheetId="10">#REF!</definedName>
    <definedName name="S35P20" localSheetId="8">#REF!</definedName>
    <definedName name="S35P20">#REF!</definedName>
    <definedName name="S35P21" localSheetId="4">#REF!</definedName>
    <definedName name="S35P21" localSheetId="5">#REF!</definedName>
    <definedName name="S35P21" localSheetId="0">#REF!</definedName>
    <definedName name="S35P21" localSheetId="9">#REF!</definedName>
    <definedName name="S35P21" localSheetId="10">#REF!</definedName>
    <definedName name="S35P21" localSheetId="8">#REF!</definedName>
    <definedName name="S35P21">#REF!</definedName>
    <definedName name="S35P22" localSheetId="4">#REF!</definedName>
    <definedName name="S35P22" localSheetId="5">#REF!</definedName>
    <definedName name="S35P22" localSheetId="0">#REF!</definedName>
    <definedName name="S35P22" localSheetId="9">#REF!</definedName>
    <definedName name="S35P22" localSheetId="10">#REF!</definedName>
    <definedName name="S35P22" localSheetId="8">#REF!</definedName>
    <definedName name="S35P22">#REF!</definedName>
    <definedName name="S35P23" localSheetId="4">#REF!</definedName>
    <definedName name="S35P23" localSheetId="5">#REF!</definedName>
    <definedName name="S35P23" localSheetId="0">#REF!</definedName>
    <definedName name="S35P23" localSheetId="9">#REF!</definedName>
    <definedName name="S35P23" localSheetId="10">#REF!</definedName>
    <definedName name="S35P23" localSheetId="8">#REF!</definedName>
    <definedName name="S35P23">#REF!</definedName>
    <definedName name="S35P24" localSheetId="4">#REF!</definedName>
    <definedName name="S35P24" localSheetId="5">#REF!</definedName>
    <definedName name="S35P24" localSheetId="0">#REF!</definedName>
    <definedName name="S35P24" localSheetId="9">#REF!</definedName>
    <definedName name="S35P24" localSheetId="10">#REF!</definedName>
    <definedName name="S35P24" localSheetId="8">#REF!</definedName>
    <definedName name="S35P24">#REF!</definedName>
    <definedName name="S35P3" localSheetId="4">#REF!</definedName>
    <definedName name="S35P3" localSheetId="5">#REF!</definedName>
    <definedName name="S35P3" localSheetId="0">#REF!</definedName>
    <definedName name="S35P3" localSheetId="9">#REF!</definedName>
    <definedName name="S35P3" localSheetId="10">#REF!</definedName>
    <definedName name="S35P3" localSheetId="8">#REF!</definedName>
    <definedName name="S35P3">#REF!</definedName>
    <definedName name="S35P4" localSheetId="4">#REF!</definedName>
    <definedName name="S35P4" localSheetId="5">#REF!</definedName>
    <definedName name="S35P4" localSheetId="0">#REF!</definedName>
    <definedName name="S35P4" localSheetId="9">#REF!</definedName>
    <definedName name="S35P4" localSheetId="10">#REF!</definedName>
    <definedName name="S35P4" localSheetId="8">#REF!</definedName>
    <definedName name="S35P4">#REF!</definedName>
    <definedName name="S35P5" localSheetId="4">#REF!</definedName>
    <definedName name="S35P5" localSheetId="5">#REF!</definedName>
    <definedName name="S35P5" localSheetId="0">#REF!</definedName>
    <definedName name="S35P5" localSheetId="9">#REF!</definedName>
    <definedName name="S35P5" localSheetId="10">#REF!</definedName>
    <definedName name="S35P5" localSheetId="8">#REF!</definedName>
    <definedName name="S35P5">#REF!</definedName>
    <definedName name="S35P6" localSheetId="4">#REF!</definedName>
    <definedName name="S35P6" localSheetId="5">#REF!</definedName>
    <definedName name="S35P6" localSheetId="0">#REF!</definedName>
    <definedName name="S35P6" localSheetId="9">#REF!</definedName>
    <definedName name="S35P6" localSheetId="10">#REF!</definedName>
    <definedName name="S35P6" localSheetId="8">#REF!</definedName>
    <definedName name="S35P6">#REF!</definedName>
    <definedName name="S35P7" localSheetId="4">#REF!</definedName>
    <definedName name="S35P7" localSheetId="5">#REF!</definedName>
    <definedName name="S35P7" localSheetId="0">#REF!</definedName>
    <definedName name="S35P7" localSheetId="9">#REF!</definedName>
    <definedName name="S35P7" localSheetId="10">#REF!</definedName>
    <definedName name="S35P7" localSheetId="8">#REF!</definedName>
    <definedName name="S35P7">#REF!</definedName>
    <definedName name="S35P8" localSheetId="4">#REF!</definedName>
    <definedName name="S35P8" localSheetId="5">#REF!</definedName>
    <definedName name="S35P8" localSheetId="0">#REF!</definedName>
    <definedName name="S35P8" localSheetId="9">#REF!</definedName>
    <definedName name="S35P8" localSheetId="10">#REF!</definedName>
    <definedName name="S35P8" localSheetId="8">#REF!</definedName>
    <definedName name="S35P8">#REF!</definedName>
    <definedName name="S35P9" localSheetId="4">#REF!</definedName>
    <definedName name="S35P9" localSheetId="5">#REF!</definedName>
    <definedName name="S35P9" localSheetId="0">#REF!</definedName>
    <definedName name="S35P9" localSheetId="9">#REF!</definedName>
    <definedName name="S35P9" localSheetId="10">#REF!</definedName>
    <definedName name="S35P9" localSheetId="8">#REF!</definedName>
    <definedName name="S35P9">#REF!</definedName>
    <definedName name="S35R1" localSheetId="4">#REF!</definedName>
    <definedName name="S35R1" localSheetId="5">#REF!</definedName>
    <definedName name="S35R1" localSheetId="0">#REF!</definedName>
    <definedName name="S35R1" localSheetId="9">#REF!</definedName>
    <definedName name="S35R1" localSheetId="10">#REF!</definedName>
    <definedName name="S35R1" localSheetId="8">#REF!</definedName>
    <definedName name="S35R1">#REF!</definedName>
    <definedName name="S35R10" localSheetId="4">#REF!</definedName>
    <definedName name="S35R10" localSheetId="5">#REF!</definedName>
    <definedName name="S35R10" localSheetId="0">#REF!</definedName>
    <definedName name="S35R10" localSheetId="9">#REF!</definedName>
    <definedName name="S35R10" localSheetId="10">#REF!</definedName>
    <definedName name="S35R10" localSheetId="8">#REF!</definedName>
    <definedName name="S35R10">#REF!</definedName>
    <definedName name="S35R11" localSheetId="4">#REF!</definedName>
    <definedName name="S35R11" localSheetId="5">#REF!</definedName>
    <definedName name="S35R11" localSheetId="0">#REF!</definedName>
    <definedName name="S35R11" localSheetId="9">#REF!</definedName>
    <definedName name="S35R11" localSheetId="10">#REF!</definedName>
    <definedName name="S35R11" localSheetId="8">#REF!</definedName>
    <definedName name="S35R11">#REF!</definedName>
    <definedName name="S35R12" localSheetId="4">#REF!</definedName>
    <definedName name="S35R12" localSheetId="5">#REF!</definedName>
    <definedName name="S35R12" localSheetId="0">#REF!</definedName>
    <definedName name="S35R12" localSheetId="9">#REF!</definedName>
    <definedName name="S35R12" localSheetId="10">#REF!</definedName>
    <definedName name="S35R12" localSheetId="8">#REF!</definedName>
    <definedName name="S35R12">#REF!</definedName>
    <definedName name="S35R13" localSheetId="4">#REF!</definedName>
    <definedName name="S35R13" localSheetId="5">#REF!</definedName>
    <definedName name="S35R13" localSheetId="0">#REF!</definedName>
    <definedName name="S35R13" localSheetId="9">#REF!</definedName>
    <definedName name="S35R13" localSheetId="10">#REF!</definedName>
    <definedName name="S35R13" localSheetId="8">#REF!</definedName>
    <definedName name="S35R13">#REF!</definedName>
    <definedName name="S35R14" localSheetId="4">#REF!</definedName>
    <definedName name="S35R14" localSheetId="5">#REF!</definedName>
    <definedName name="S35R14" localSheetId="0">#REF!</definedName>
    <definedName name="S35R14" localSheetId="9">#REF!</definedName>
    <definedName name="S35R14" localSheetId="10">#REF!</definedName>
    <definedName name="S35R14" localSheetId="8">#REF!</definedName>
    <definedName name="S35R14">#REF!</definedName>
    <definedName name="S35R15" localSheetId="4">#REF!</definedName>
    <definedName name="S35R15" localSheetId="5">#REF!</definedName>
    <definedName name="S35R15" localSheetId="0">#REF!</definedName>
    <definedName name="S35R15" localSheetId="9">#REF!</definedName>
    <definedName name="S35R15" localSheetId="10">#REF!</definedName>
    <definedName name="S35R15" localSheetId="8">#REF!</definedName>
    <definedName name="S35R15">#REF!</definedName>
    <definedName name="S35R16" localSheetId="4">#REF!</definedName>
    <definedName name="S35R16" localSheetId="5">#REF!</definedName>
    <definedName name="S35R16" localSheetId="0">#REF!</definedName>
    <definedName name="S35R16" localSheetId="9">#REF!</definedName>
    <definedName name="S35R16" localSheetId="10">#REF!</definedName>
    <definedName name="S35R16" localSheetId="8">#REF!</definedName>
    <definedName name="S35R16">#REF!</definedName>
    <definedName name="S35R17" localSheetId="4">#REF!</definedName>
    <definedName name="S35R17" localSheetId="5">#REF!</definedName>
    <definedName name="S35R17" localSheetId="0">#REF!</definedName>
    <definedName name="S35R17" localSheetId="9">#REF!</definedName>
    <definedName name="S35R17" localSheetId="10">#REF!</definedName>
    <definedName name="S35R17" localSheetId="8">#REF!</definedName>
    <definedName name="S35R17">#REF!</definedName>
    <definedName name="S35R18" localSheetId="4">#REF!</definedName>
    <definedName name="S35R18" localSheetId="5">#REF!</definedName>
    <definedName name="S35R18" localSheetId="0">#REF!</definedName>
    <definedName name="S35R18" localSheetId="9">#REF!</definedName>
    <definedName name="S35R18" localSheetId="10">#REF!</definedName>
    <definedName name="S35R18" localSheetId="8">#REF!</definedName>
    <definedName name="S35R18">#REF!</definedName>
    <definedName name="S35R19" localSheetId="4">#REF!</definedName>
    <definedName name="S35R19" localSheetId="5">#REF!</definedName>
    <definedName name="S35R19" localSheetId="0">#REF!</definedName>
    <definedName name="S35R19" localSheetId="9">#REF!</definedName>
    <definedName name="S35R19" localSheetId="10">#REF!</definedName>
    <definedName name="S35R19" localSheetId="8">#REF!</definedName>
    <definedName name="S35R19">#REF!</definedName>
    <definedName name="S35R2" localSheetId="4">#REF!</definedName>
    <definedName name="S35R2" localSheetId="5">#REF!</definedName>
    <definedName name="S35R2" localSheetId="0">#REF!</definedName>
    <definedName name="S35R2" localSheetId="9">#REF!</definedName>
    <definedName name="S35R2" localSheetId="10">#REF!</definedName>
    <definedName name="S35R2" localSheetId="8">#REF!</definedName>
    <definedName name="S35R2">#REF!</definedName>
    <definedName name="S35R20" localSheetId="4">#REF!</definedName>
    <definedName name="S35R20" localSheetId="5">#REF!</definedName>
    <definedName name="S35R20" localSheetId="0">#REF!</definedName>
    <definedName name="S35R20" localSheetId="9">#REF!</definedName>
    <definedName name="S35R20" localSheetId="10">#REF!</definedName>
    <definedName name="S35R20" localSheetId="8">#REF!</definedName>
    <definedName name="S35R20">#REF!</definedName>
    <definedName name="S35R21" localSheetId="4">#REF!</definedName>
    <definedName name="S35R21" localSheetId="5">#REF!</definedName>
    <definedName name="S35R21" localSheetId="0">#REF!</definedName>
    <definedName name="S35R21" localSheetId="9">#REF!</definedName>
    <definedName name="S35R21" localSheetId="10">#REF!</definedName>
    <definedName name="S35R21" localSheetId="8">#REF!</definedName>
    <definedName name="S35R21">#REF!</definedName>
    <definedName name="S35R22" localSheetId="4">#REF!</definedName>
    <definedName name="S35R22" localSheetId="5">#REF!</definedName>
    <definedName name="S35R22" localSheetId="0">#REF!</definedName>
    <definedName name="S35R22" localSheetId="9">#REF!</definedName>
    <definedName name="S35R22" localSheetId="10">#REF!</definedName>
    <definedName name="S35R22" localSheetId="8">#REF!</definedName>
    <definedName name="S35R22">#REF!</definedName>
    <definedName name="S35R23" localSheetId="4">#REF!</definedName>
    <definedName name="S35R23" localSheetId="5">#REF!</definedName>
    <definedName name="S35R23" localSheetId="0">#REF!</definedName>
    <definedName name="S35R23" localSheetId="9">#REF!</definedName>
    <definedName name="S35R23" localSheetId="10">#REF!</definedName>
    <definedName name="S35R23" localSheetId="8">#REF!</definedName>
    <definedName name="S35R23">#REF!</definedName>
    <definedName name="S35R24" localSheetId="4">#REF!</definedName>
    <definedName name="S35R24" localSheetId="5">#REF!</definedName>
    <definedName name="S35R24" localSheetId="0">#REF!</definedName>
    <definedName name="S35R24" localSheetId="9">#REF!</definedName>
    <definedName name="S35R24" localSheetId="10">#REF!</definedName>
    <definedName name="S35R24" localSheetId="8">#REF!</definedName>
    <definedName name="S35R24">#REF!</definedName>
    <definedName name="S35R3" localSheetId="4">#REF!</definedName>
    <definedName name="S35R3" localSheetId="5">#REF!</definedName>
    <definedName name="S35R3" localSheetId="0">#REF!</definedName>
    <definedName name="S35R3" localSheetId="9">#REF!</definedName>
    <definedName name="S35R3" localSheetId="10">#REF!</definedName>
    <definedName name="S35R3" localSheetId="8">#REF!</definedName>
    <definedName name="S35R3">#REF!</definedName>
    <definedName name="S35R4" localSheetId="4">#REF!</definedName>
    <definedName name="S35R4" localSheetId="5">#REF!</definedName>
    <definedName name="S35R4" localSheetId="0">#REF!</definedName>
    <definedName name="S35R4" localSheetId="9">#REF!</definedName>
    <definedName name="S35R4" localSheetId="10">#REF!</definedName>
    <definedName name="S35R4" localSheetId="8">#REF!</definedName>
    <definedName name="S35R4">#REF!</definedName>
    <definedName name="S35R5" localSheetId="4">#REF!</definedName>
    <definedName name="S35R5" localSheetId="5">#REF!</definedName>
    <definedName name="S35R5" localSheetId="0">#REF!</definedName>
    <definedName name="S35R5" localSheetId="9">#REF!</definedName>
    <definedName name="S35R5" localSheetId="10">#REF!</definedName>
    <definedName name="S35R5" localSheetId="8">#REF!</definedName>
    <definedName name="S35R5">#REF!</definedName>
    <definedName name="S35R6" localSheetId="4">#REF!</definedName>
    <definedName name="S35R6" localSheetId="5">#REF!</definedName>
    <definedName name="S35R6" localSheetId="0">#REF!</definedName>
    <definedName name="S35R6" localSheetId="9">#REF!</definedName>
    <definedName name="S35R6" localSheetId="10">#REF!</definedName>
    <definedName name="S35R6" localSheetId="8">#REF!</definedName>
    <definedName name="S35R6">#REF!</definedName>
    <definedName name="S35R7" localSheetId="4">#REF!</definedName>
    <definedName name="S35R7" localSheetId="5">#REF!</definedName>
    <definedName name="S35R7" localSheetId="0">#REF!</definedName>
    <definedName name="S35R7" localSheetId="9">#REF!</definedName>
    <definedName name="S35R7" localSheetId="10">#REF!</definedName>
    <definedName name="S35R7" localSheetId="8">#REF!</definedName>
    <definedName name="S35R7">#REF!</definedName>
    <definedName name="S35R8" localSheetId="4">#REF!</definedName>
    <definedName name="S35R8" localSheetId="5">#REF!</definedName>
    <definedName name="S35R8" localSheetId="0">#REF!</definedName>
    <definedName name="S35R8" localSheetId="9">#REF!</definedName>
    <definedName name="S35R8" localSheetId="10">#REF!</definedName>
    <definedName name="S35R8" localSheetId="8">#REF!</definedName>
    <definedName name="S35R8">#REF!</definedName>
    <definedName name="S35R9" localSheetId="4">#REF!</definedName>
    <definedName name="S35R9" localSheetId="5">#REF!</definedName>
    <definedName name="S35R9" localSheetId="0">#REF!</definedName>
    <definedName name="S35R9" localSheetId="9">#REF!</definedName>
    <definedName name="S35R9" localSheetId="10">#REF!</definedName>
    <definedName name="S35R9" localSheetId="8">#REF!</definedName>
    <definedName name="S35R9">#REF!</definedName>
    <definedName name="S36P1" localSheetId="4">#REF!</definedName>
    <definedName name="S36P1" localSheetId="5">#REF!</definedName>
    <definedName name="S36P1" localSheetId="0">#REF!</definedName>
    <definedName name="S36P1" localSheetId="9">#REF!</definedName>
    <definedName name="S36P1" localSheetId="10">#REF!</definedName>
    <definedName name="S36P1" localSheetId="8">#REF!</definedName>
    <definedName name="S36P1">#REF!</definedName>
    <definedName name="S36P10" localSheetId="4">#REF!</definedName>
    <definedName name="S36P10" localSheetId="5">#REF!</definedName>
    <definedName name="S36P10" localSheetId="0">#REF!</definedName>
    <definedName name="S36P10" localSheetId="9">#REF!</definedName>
    <definedName name="S36P10" localSheetId="10">#REF!</definedName>
    <definedName name="S36P10" localSheetId="8">#REF!</definedName>
    <definedName name="S36P10">#REF!</definedName>
    <definedName name="S36P11" localSheetId="4">#REF!</definedName>
    <definedName name="S36P11" localSheetId="5">#REF!</definedName>
    <definedName name="S36P11" localSheetId="0">#REF!</definedName>
    <definedName name="S36P11" localSheetId="9">#REF!</definedName>
    <definedName name="S36P11" localSheetId="10">#REF!</definedName>
    <definedName name="S36P11" localSheetId="8">#REF!</definedName>
    <definedName name="S36P11">#REF!</definedName>
    <definedName name="S36P12" localSheetId="4">#REF!</definedName>
    <definedName name="S36P12" localSheetId="5">#REF!</definedName>
    <definedName name="S36P12" localSheetId="0">#REF!</definedName>
    <definedName name="S36P12" localSheetId="9">#REF!</definedName>
    <definedName name="S36P12" localSheetId="10">#REF!</definedName>
    <definedName name="S36P12" localSheetId="8">#REF!</definedName>
    <definedName name="S36P12">#REF!</definedName>
    <definedName name="S36P13" localSheetId="4">#REF!</definedName>
    <definedName name="S36P13" localSheetId="5">#REF!</definedName>
    <definedName name="S36P13" localSheetId="0">#REF!</definedName>
    <definedName name="S36P13" localSheetId="9">#REF!</definedName>
    <definedName name="S36P13" localSheetId="10">#REF!</definedName>
    <definedName name="S36P13" localSheetId="8">#REF!</definedName>
    <definedName name="S36P13">#REF!</definedName>
    <definedName name="S36P14" localSheetId="4">#REF!</definedName>
    <definedName name="S36P14" localSheetId="5">#REF!</definedName>
    <definedName name="S36P14" localSheetId="0">#REF!</definedName>
    <definedName name="S36P14" localSheetId="9">#REF!</definedName>
    <definedName name="S36P14" localSheetId="10">#REF!</definedName>
    <definedName name="S36P14" localSheetId="8">#REF!</definedName>
    <definedName name="S36P14">#REF!</definedName>
    <definedName name="S36P15" localSheetId="4">#REF!</definedName>
    <definedName name="S36P15" localSheetId="5">#REF!</definedName>
    <definedName name="S36P15" localSheetId="0">#REF!</definedName>
    <definedName name="S36P15" localSheetId="9">#REF!</definedName>
    <definedName name="S36P15" localSheetId="10">#REF!</definedName>
    <definedName name="S36P15" localSheetId="8">#REF!</definedName>
    <definedName name="S36P15">#REF!</definedName>
    <definedName name="S36P16" localSheetId="4">#REF!</definedName>
    <definedName name="S36P16" localSheetId="5">#REF!</definedName>
    <definedName name="S36P16" localSheetId="0">#REF!</definedName>
    <definedName name="S36P16" localSheetId="9">#REF!</definedName>
    <definedName name="S36P16" localSheetId="10">#REF!</definedName>
    <definedName name="S36P16" localSheetId="8">#REF!</definedName>
    <definedName name="S36P16">#REF!</definedName>
    <definedName name="S36P17" localSheetId="4">#REF!</definedName>
    <definedName name="S36P17" localSheetId="5">#REF!</definedName>
    <definedName name="S36P17" localSheetId="0">#REF!</definedName>
    <definedName name="S36P17" localSheetId="9">#REF!</definedName>
    <definedName name="S36P17" localSheetId="10">#REF!</definedName>
    <definedName name="S36P17" localSheetId="8">#REF!</definedName>
    <definedName name="S36P17">#REF!</definedName>
    <definedName name="S36P18" localSheetId="4">#REF!</definedName>
    <definedName name="S36P18" localSheetId="5">#REF!</definedName>
    <definedName name="S36P18" localSheetId="0">#REF!</definedName>
    <definedName name="S36P18" localSheetId="9">#REF!</definedName>
    <definedName name="S36P18" localSheetId="10">#REF!</definedName>
    <definedName name="S36P18" localSheetId="8">#REF!</definedName>
    <definedName name="S36P18">#REF!</definedName>
    <definedName name="S36P19" localSheetId="4">#REF!</definedName>
    <definedName name="S36P19" localSheetId="5">#REF!</definedName>
    <definedName name="S36P19" localSheetId="0">#REF!</definedName>
    <definedName name="S36P19" localSheetId="9">#REF!</definedName>
    <definedName name="S36P19" localSheetId="10">#REF!</definedName>
    <definedName name="S36P19" localSheetId="8">#REF!</definedName>
    <definedName name="S36P19">#REF!</definedName>
    <definedName name="S36P2" localSheetId="4">#REF!</definedName>
    <definedName name="S36P2" localSheetId="5">#REF!</definedName>
    <definedName name="S36P2" localSheetId="0">#REF!</definedName>
    <definedName name="S36P2" localSheetId="9">#REF!</definedName>
    <definedName name="S36P2" localSheetId="10">#REF!</definedName>
    <definedName name="S36P2" localSheetId="8">#REF!</definedName>
    <definedName name="S36P2">#REF!</definedName>
    <definedName name="S36P20" localSheetId="4">#REF!</definedName>
    <definedName name="S36P20" localSheetId="5">#REF!</definedName>
    <definedName name="S36P20" localSheetId="0">#REF!</definedName>
    <definedName name="S36P20" localSheetId="9">#REF!</definedName>
    <definedName name="S36P20" localSheetId="10">#REF!</definedName>
    <definedName name="S36P20" localSheetId="8">#REF!</definedName>
    <definedName name="S36P20">#REF!</definedName>
    <definedName name="S36P21" localSheetId="4">#REF!</definedName>
    <definedName name="S36P21" localSheetId="5">#REF!</definedName>
    <definedName name="S36P21" localSheetId="0">#REF!</definedName>
    <definedName name="S36P21" localSheetId="9">#REF!</definedName>
    <definedName name="S36P21" localSheetId="10">#REF!</definedName>
    <definedName name="S36P21" localSheetId="8">#REF!</definedName>
    <definedName name="S36P21">#REF!</definedName>
    <definedName name="S36P22" localSheetId="4">#REF!</definedName>
    <definedName name="S36P22" localSheetId="5">#REF!</definedName>
    <definedName name="S36P22" localSheetId="0">#REF!</definedName>
    <definedName name="S36P22" localSheetId="9">#REF!</definedName>
    <definedName name="S36P22" localSheetId="10">#REF!</definedName>
    <definedName name="S36P22" localSheetId="8">#REF!</definedName>
    <definedName name="S36P22">#REF!</definedName>
    <definedName name="S36P23" localSheetId="4">#REF!</definedName>
    <definedName name="S36P23" localSheetId="5">#REF!</definedName>
    <definedName name="S36P23" localSheetId="0">#REF!</definedName>
    <definedName name="S36P23" localSheetId="9">#REF!</definedName>
    <definedName name="S36P23" localSheetId="10">#REF!</definedName>
    <definedName name="S36P23" localSheetId="8">#REF!</definedName>
    <definedName name="S36P23">#REF!</definedName>
    <definedName name="S36P24" localSheetId="4">#REF!</definedName>
    <definedName name="S36P24" localSheetId="5">#REF!</definedName>
    <definedName name="S36P24" localSheetId="0">#REF!</definedName>
    <definedName name="S36P24" localSheetId="9">#REF!</definedName>
    <definedName name="S36P24" localSheetId="10">#REF!</definedName>
    <definedName name="S36P24" localSheetId="8">#REF!</definedName>
    <definedName name="S36P24">#REF!</definedName>
    <definedName name="S36P3" localSheetId="4">#REF!</definedName>
    <definedName name="S36P3" localSheetId="5">#REF!</definedName>
    <definedName name="S36P3" localSheetId="0">#REF!</definedName>
    <definedName name="S36P3" localSheetId="9">#REF!</definedName>
    <definedName name="S36P3" localSheetId="10">#REF!</definedName>
    <definedName name="S36P3" localSheetId="8">#REF!</definedName>
    <definedName name="S36P3">#REF!</definedName>
    <definedName name="S36P4" localSheetId="4">#REF!</definedName>
    <definedName name="S36P4" localSheetId="5">#REF!</definedName>
    <definedName name="S36P4" localSheetId="0">#REF!</definedName>
    <definedName name="S36P4" localSheetId="9">#REF!</definedName>
    <definedName name="S36P4" localSheetId="10">#REF!</definedName>
    <definedName name="S36P4" localSheetId="8">#REF!</definedName>
    <definedName name="S36P4">#REF!</definedName>
    <definedName name="S36P5" localSheetId="4">#REF!</definedName>
    <definedName name="S36P5" localSheetId="5">#REF!</definedName>
    <definedName name="S36P5" localSheetId="0">#REF!</definedName>
    <definedName name="S36P5" localSheetId="9">#REF!</definedName>
    <definedName name="S36P5" localSheetId="10">#REF!</definedName>
    <definedName name="S36P5" localSheetId="8">#REF!</definedName>
    <definedName name="S36P5">#REF!</definedName>
    <definedName name="S36P6" localSheetId="4">#REF!</definedName>
    <definedName name="S36P6" localSheetId="5">#REF!</definedName>
    <definedName name="S36P6" localSheetId="0">#REF!</definedName>
    <definedName name="S36P6" localSheetId="9">#REF!</definedName>
    <definedName name="S36P6" localSheetId="10">#REF!</definedName>
    <definedName name="S36P6" localSheetId="8">#REF!</definedName>
    <definedName name="S36P6">#REF!</definedName>
    <definedName name="S36P7" localSheetId="4">#REF!</definedName>
    <definedName name="S36P7" localSheetId="5">#REF!</definedName>
    <definedName name="S36P7" localSheetId="0">#REF!</definedName>
    <definedName name="S36P7" localSheetId="9">#REF!</definedName>
    <definedName name="S36P7" localSheetId="10">#REF!</definedName>
    <definedName name="S36P7" localSheetId="8">#REF!</definedName>
    <definedName name="S36P7">#REF!</definedName>
    <definedName name="S36P8" localSheetId="4">#REF!</definedName>
    <definedName name="S36P8" localSheetId="5">#REF!</definedName>
    <definedName name="S36P8" localSheetId="0">#REF!</definedName>
    <definedName name="S36P8" localSheetId="9">#REF!</definedName>
    <definedName name="S36P8" localSheetId="10">#REF!</definedName>
    <definedName name="S36P8" localSheetId="8">#REF!</definedName>
    <definedName name="S36P8">#REF!</definedName>
    <definedName name="S36P9" localSheetId="4">#REF!</definedName>
    <definedName name="S36P9" localSheetId="5">#REF!</definedName>
    <definedName name="S36P9" localSheetId="0">#REF!</definedName>
    <definedName name="S36P9" localSheetId="9">#REF!</definedName>
    <definedName name="S36P9" localSheetId="10">#REF!</definedName>
    <definedName name="S36P9" localSheetId="8">#REF!</definedName>
    <definedName name="S36P9">#REF!</definedName>
    <definedName name="S36R1" localSheetId="4">#REF!</definedName>
    <definedName name="S36R1" localSheetId="5">#REF!</definedName>
    <definedName name="S36R1" localSheetId="0">#REF!</definedName>
    <definedName name="S36R1" localSheetId="9">#REF!</definedName>
    <definedName name="S36R1" localSheetId="10">#REF!</definedName>
    <definedName name="S36R1" localSheetId="8">#REF!</definedName>
    <definedName name="S36R1">#REF!</definedName>
    <definedName name="S36R10" localSheetId="4">#REF!</definedName>
    <definedName name="S36R10" localSheetId="5">#REF!</definedName>
    <definedName name="S36R10" localSheetId="0">#REF!</definedName>
    <definedName name="S36R10" localSheetId="9">#REF!</definedName>
    <definedName name="S36R10" localSheetId="10">#REF!</definedName>
    <definedName name="S36R10" localSheetId="8">#REF!</definedName>
    <definedName name="S36R10">#REF!</definedName>
    <definedName name="S36R11" localSheetId="4">#REF!</definedName>
    <definedName name="S36R11" localSheetId="5">#REF!</definedName>
    <definedName name="S36R11" localSheetId="0">#REF!</definedName>
    <definedName name="S36R11" localSheetId="9">#REF!</definedName>
    <definedName name="S36R11" localSheetId="10">#REF!</definedName>
    <definedName name="S36R11" localSheetId="8">#REF!</definedName>
    <definedName name="S36R11">#REF!</definedName>
    <definedName name="S36R12" localSheetId="4">#REF!</definedName>
    <definedName name="S36R12" localSheetId="5">#REF!</definedName>
    <definedName name="S36R12" localSheetId="0">#REF!</definedName>
    <definedName name="S36R12" localSheetId="9">#REF!</definedName>
    <definedName name="S36R12" localSheetId="10">#REF!</definedName>
    <definedName name="S36R12" localSheetId="8">#REF!</definedName>
    <definedName name="S36R12">#REF!</definedName>
    <definedName name="S36R13" localSheetId="4">#REF!</definedName>
    <definedName name="S36R13" localSheetId="5">#REF!</definedName>
    <definedName name="S36R13" localSheetId="0">#REF!</definedName>
    <definedName name="S36R13" localSheetId="9">#REF!</definedName>
    <definedName name="S36R13" localSheetId="10">#REF!</definedName>
    <definedName name="S36R13" localSheetId="8">#REF!</definedName>
    <definedName name="S36R13">#REF!</definedName>
    <definedName name="S36R14" localSheetId="4">#REF!</definedName>
    <definedName name="S36R14" localSheetId="5">#REF!</definedName>
    <definedName name="S36R14" localSheetId="0">#REF!</definedName>
    <definedName name="S36R14" localSheetId="9">#REF!</definedName>
    <definedName name="S36R14" localSheetId="10">#REF!</definedName>
    <definedName name="S36R14" localSheetId="8">#REF!</definedName>
    <definedName name="S36R14">#REF!</definedName>
    <definedName name="S36R15" localSheetId="4">#REF!</definedName>
    <definedName name="S36R15" localSheetId="5">#REF!</definedName>
    <definedName name="S36R15" localSheetId="0">#REF!</definedName>
    <definedName name="S36R15" localSheetId="9">#REF!</definedName>
    <definedName name="S36R15" localSheetId="10">#REF!</definedName>
    <definedName name="S36R15" localSheetId="8">#REF!</definedName>
    <definedName name="S36R15">#REF!</definedName>
    <definedName name="S36R16" localSheetId="4">#REF!</definedName>
    <definedName name="S36R16" localSheetId="5">#REF!</definedName>
    <definedName name="S36R16" localSheetId="0">#REF!</definedName>
    <definedName name="S36R16" localSheetId="9">#REF!</definedName>
    <definedName name="S36R16" localSheetId="10">#REF!</definedName>
    <definedName name="S36R16" localSheetId="8">#REF!</definedName>
    <definedName name="S36R16">#REF!</definedName>
    <definedName name="S36R17" localSheetId="4">#REF!</definedName>
    <definedName name="S36R17" localSheetId="5">#REF!</definedName>
    <definedName name="S36R17" localSheetId="0">#REF!</definedName>
    <definedName name="S36R17" localSheetId="9">#REF!</definedName>
    <definedName name="S36R17" localSheetId="10">#REF!</definedName>
    <definedName name="S36R17" localSheetId="8">#REF!</definedName>
    <definedName name="S36R17">#REF!</definedName>
    <definedName name="S36R18" localSheetId="4">#REF!</definedName>
    <definedName name="S36R18" localSheetId="5">#REF!</definedName>
    <definedName name="S36R18" localSheetId="0">#REF!</definedName>
    <definedName name="S36R18" localSheetId="9">#REF!</definedName>
    <definedName name="S36R18" localSheetId="10">#REF!</definedName>
    <definedName name="S36R18" localSheetId="8">#REF!</definedName>
    <definedName name="S36R18">#REF!</definedName>
    <definedName name="S36R19" localSheetId="4">#REF!</definedName>
    <definedName name="S36R19" localSheetId="5">#REF!</definedName>
    <definedName name="S36R19" localSheetId="0">#REF!</definedName>
    <definedName name="S36R19" localSheetId="9">#REF!</definedName>
    <definedName name="S36R19" localSheetId="10">#REF!</definedName>
    <definedName name="S36R19" localSheetId="8">#REF!</definedName>
    <definedName name="S36R19">#REF!</definedName>
    <definedName name="S36R2" localSheetId="4">#REF!</definedName>
    <definedName name="S36R2" localSheetId="5">#REF!</definedName>
    <definedName name="S36R2" localSheetId="0">#REF!</definedName>
    <definedName name="S36R2" localSheetId="9">#REF!</definedName>
    <definedName name="S36R2" localSheetId="10">#REF!</definedName>
    <definedName name="S36R2" localSheetId="8">#REF!</definedName>
    <definedName name="S36R2">#REF!</definedName>
    <definedName name="S36R20" localSheetId="4">#REF!</definedName>
    <definedName name="S36R20" localSheetId="5">#REF!</definedName>
    <definedName name="S36R20" localSheetId="0">#REF!</definedName>
    <definedName name="S36R20" localSheetId="9">#REF!</definedName>
    <definedName name="S36R20" localSheetId="10">#REF!</definedName>
    <definedName name="S36R20" localSheetId="8">#REF!</definedName>
    <definedName name="S36R20">#REF!</definedName>
    <definedName name="S36R21" localSheetId="4">#REF!</definedName>
    <definedName name="S36R21" localSheetId="5">#REF!</definedName>
    <definedName name="S36R21" localSheetId="0">#REF!</definedName>
    <definedName name="S36R21" localSheetId="9">#REF!</definedName>
    <definedName name="S36R21" localSheetId="10">#REF!</definedName>
    <definedName name="S36R21" localSheetId="8">#REF!</definedName>
    <definedName name="S36R21">#REF!</definedName>
    <definedName name="S36R22" localSheetId="4">#REF!</definedName>
    <definedName name="S36R22" localSheetId="5">#REF!</definedName>
    <definedName name="S36R22" localSheetId="0">#REF!</definedName>
    <definedName name="S36R22" localSheetId="9">#REF!</definedName>
    <definedName name="S36R22" localSheetId="10">#REF!</definedName>
    <definedName name="S36R22" localSheetId="8">#REF!</definedName>
    <definedName name="S36R22">#REF!</definedName>
    <definedName name="S36R23" localSheetId="4">#REF!</definedName>
    <definedName name="S36R23" localSheetId="5">#REF!</definedName>
    <definedName name="S36R23" localSheetId="0">#REF!</definedName>
    <definedName name="S36R23" localSheetId="9">#REF!</definedName>
    <definedName name="S36R23" localSheetId="10">#REF!</definedName>
    <definedName name="S36R23" localSheetId="8">#REF!</definedName>
    <definedName name="S36R23">#REF!</definedName>
    <definedName name="S36R24" localSheetId="4">#REF!</definedName>
    <definedName name="S36R24" localSheetId="5">#REF!</definedName>
    <definedName name="S36R24" localSheetId="0">#REF!</definedName>
    <definedName name="S36R24" localSheetId="9">#REF!</definedName>
    <definedName name="S36R24" localSheetId="10">#REF!</definedName>
    <definedName name="S36R24" localSheetId="8">#REF!</definedName>
    <definedName name="S36R24">#REF!</definedName>
    <definedName name="S36R3" localSheetId="4">#REF!</definedName>
    <definedName name="S36R3" localSheetId="5">#REF!</definedName>
    <definedName name="S36R3" localSheetId="0">#REF!</definedName>
    <definedName name="S36R3" localSheetId="9">#REF!</definedName>
    <definedName name="S36R3" localSheetId="10">#REF!</definedName>
    <definedName name="S36R3" localSheetId="8">#REF!</definedName>
    <definedName name="S36R3">#REF!</definedName>
    <definedName name="S36R4" localSheetId="4">#REF!</definedName>
    <definedName name="S36R4" localSheetId="5">#REF!</definedName>
    <definedName name="S36R4" localSheetId="0">#REF!</definedName>
    <definedName name="S36R4" localSheetId="9">#REF!</definedName>
    <definedName name="S36R4" localSheetId="10">#REF!</definedName>
    <definedName name="S36R4" localSheetId="8">#REF!</definedName>
    <definedName name="S36R4">#REF!</definedName>
    <definedName name="S36R5" localSheetId="4">#REF!</definedName>
    <definedName name="S36R5" localSheetId="5">#REF!</definedName>
    <definedName name="S36R5" localSheetId="0">#REF!</definedName>
    <definedName name="S36R5" localSheetId="9">#REF!</definedName>
    <definedName name="S36R5" localSheetId="10">#REF!</definedName>
    <definedName name="S36R5" localSheetId="8">#REF!</definedName>
    <definedName name="S36R5">#REF!</definedName>
    <definedName name="S36R6" localSheetId="4">#REF!</definedName>
    <definedName name="S36R6" localSheetId="5">#REF!</definedName>
    <definedName name="S36R6" localSheetId="0">#REF!</definedName>
    <definedName name="S36R6" localSheetId="9">#REF!</definedName>
    <definedName name="S36R6" localSheetId="10">#REF!</definedName>
    <definedName name="S36R6" localSheetId="8">#REF!</definedName>
    <definedName name="S36R6">#REF!</definedName>
    <definedName name="S36R7" localSheetId="4">#REF!</definedName>
    <definedName name="S36R7" localSheetId="5">#REF!</definedName>
    <definedName name="S36R7" localSheetId="0">#REF!</definedName>
    <definedName name="S36R7" localSheetId="9">#REF!</definedName>
    <definedName name="S36R7" localSheetId="10">#REF!</definedName>
    <definedName name="S36R7" localSheetId="8">#REF!</definedName>
    <definedName name="S36R7">#REF!</definedName>
    <definedName name="S36R8" localSheetId="4">#REF!</definedName>
    <definedName name="S36R8" localSheetId="5">#REF!</definedName>
    <definedName name="S36R8" localSheetId="0">#REF!</definedName>
    <definedName name="S36R8" localSheetId="9">#REF!</definedName>
    <definedName name="S36R8" localSheetId="10">#REF!</definedName>
    <definedName name="S36R8" localSheetId="8">#REF!</definedName>
    <definedName name="S36R8">#REF!</definedName>
    <definedName name="S36R9" localSheetId="4">#REF!</definedName>
    <definedName name="S36R9" localSheetId="5">#REF!</definedName>
    <definedName name="S36R9" localSheetId="0">#REF!</definedName>
    <definedName name="S36R9" localSheetId="9">#REF!</definedName>
    <definedName name="S36R9" localSheetId="10">#REF!</definedName>
    <definedName name="S36R9" localSheetId="8">#REF!</definedName>
    <definedName name="S36R9">#REF!</definedName>
    <definedName name="S37P1" localSheetId="4">#REF!</definedName>
    <definedName name="S37P1" localSheetId="5">#REF!</definedName>
    <definedName name="S37P1" localSheetId="0">#REF!</definedName>
    <definedName name="S37P1" localSheetId="9">#REF!</definedName>
    <definedName name="S37P1" localSheetId="10">#REF!</definedName>
    <definedName name="S37P1" localSheetId="8">#REF!</definedName>
    <definedName name="S37P1">#REF!</definedName>
    <definedName name="S37P10" localSheetId="4">#REF!</definedName>
    <definedName name="S37P10" localSheetId="5">#REF!</definedName>
    <definedName name="S37P10" localSheetId="0">#REF!</definedName>
    <definedName name="S37P10" localSheetId="9">#REF!</definedName>
    <definedName name="S37P10" localSheetId="10">#REF!</definedName>
    <definedName name="S37P10" localSheetId="8">#REF!</definedName>
    <definedName name="S37P10">#REF!</definedName>
    <definedName name="S37P11" localSheetId="4">#REF!</definedName>
    <definedName name="S37P11" localSheetId="5">#REF!</definedName>
    <definedName name="S37P11" localSheetId="0">#REF!</definedName>
    <definedName name="S37P11" localSheetId="9">#REF!</definedName>
    <definedName name="S37P11" localSheetId="10">#REF!</definedName>
    <definedName name="S37P11" localSheetId="8">#REF!</definedName>
    <definedName name="S37P11">#REF!</definedName>
    <definedName name="S37P12" localSheetId="4">#REF!</definedName>
    <definedName name="S37P12" localSheetId="5">#REF!</definedName>
    <definedName name="S37P12" localSheetId="0">#REF!</definedName>
    <definedName name="S37P12" localSheetId="9">#REF!</definedName>
    <definedName name="S37P12" localSheetId="10">#REF!</definedName>
    <definedName name="S37P12" localSheetId="8">#REF!</definedName>
    <definedName name="S37P12">#REF!</definedName>
    <definedName name="S37P13" localSheetId="4">#REF!</definedName>
    <definedName name="S37P13" localSheetId="5">#REF!</definedName>
    <definedName name="S37P13" localSheetId="0">#REF!</definedName>
    <definedName name="S37P13" localSheetId="9">#REF!</definedName>
    <definedName name="S37P13" localSheetId="10">#REF!</definedName>
    <definedName name="S37P13" localSheetId="8">#REF!</definedName>
    <definedName name="S37P13">#REF!</definedName>
    <definedName name="S37P14" localSheetId="4">#REF!</definedName>
    <definedName name="S37P14" localSheetId="5">#REF!</definedName>
    <definedName name="S37P14" localSheetId="0">#REF!</definedName>
    <definedName name="S37P14" localSheetId="9">#REF!</definedName>
    <definedName name="S37P14" localSheetId="10">#REF!</definedName>
    <definedName name="S37P14" localSheetId="8">#REF!</definedName>
    <definedName name="S37P14">#REF!</definedName>
    <definedName name="S37P15" localSheetId="4">#REF!</definedName>
    <definedName name="S37P15" localSheetId="5">#REF!</definedName>
    <definedName name="S37P15" localSheetId="0">#REF!</definedName>
    <definedName name="S37P15" localSheetId="9">#REF!</definedName>
    <definedName name="S37P15" localSheetId="10">#REF!</definedName>
    <definedName name="S37P15" localSheetId="8">#REF!</definedName>
    <definedName name="S37P15">#REF!</definedName>
    <definedName name="S37P16" localSheetId="4">#REF!</definedName>
    <definedName name="S37P16" localSheetId="5">#REF!</definedName>
    <definedName name="S37P16" localSheetId="0">#REF!</definedName>
    <definedName name="S37P16" localSheetId="9">#REF!</definedName>
    <definedName name="S37P16" localSheetId="10">#REF!</definedName>
    <definedName name="S37P16" localSheetId="8">#REF!</definedName>
    <definedName name="S37P16">#REF!</definedName>
    <definedName name="S37P17" localSheetId="4">#REF!</definedName>
    <definedName name="S37P17" localSheetId="5">#REF!</definedName>
    <definedName name="S37P17" localSheetId="0">#REF!</definedName>
    <definedName name="S37P17" localSheetId="9">#REF!</definedName>
    <definedName name="S37P17" localSheetId="10">#REF!</definedName>
    <definedName name="S37P17" localSheetId="8">#REF!</definedName>
    <definedName name="S37P17">#REF!</definedName>
    <definedName name="S37P18" localSheetId="4">#REF!</definedName>
    <definedName name="S37P18" localSheetId="5">#REF!</definedName>
    <definedName name="S37P18" localSheetId="0">#REF!</definedName>
    <definedName name="S37P18" localSheetId="9">#REF!</definedName>
    <definedName name="S37P18" localSheetId="10">#REF!</definedName>
    <definedName name="S37P18" localSheetId="8">#REF!</definedName>
    <definedName name="S37P18">#REF!</definedName>
    <definedName name="S37P19" localSheetId="4">#REF!</definedName>
    <definedName name="S37P19" localSheetId="5">#REF!</definedName>
    <definedName name="S37P19" localSheetId="0">#REF!</definedName>
    <definedName name="S37P19" localSheetId="9">#REF!</definedName>
    <definedName name="S37P19" localSheetId="10">#REF!</definedName>
    <definedName name="S37P19" localSheetId="8">#REF!</definedName>
    <definedName name="S37P19">#REF!</definedName>
    <definedName name="S37P2" localSheetId="4">#REF!</definedName>
    <definedName name="S37P2" localSheetId="5">#REF!</definedName>
    <definedName name="S37P2" localSheetId="0">#REF!</definedName>
    <definedName name="S37P2" localSheetId="9">#REF!</definedName>
    <definedName name="S37P2" localSheetId="10">#REF!</definedName>
    <definedName name="S37P2" localSheetId="8">#REF!</definedName>
    <definedName name="S37P2">#REF!</definedName>
    <definedName name="S37P20" localSheetId="4">#REF!</definedName>
    <definedName name="S37P20" localSheetId="5">#REF!</definedName>
    <definedName name="S37P20" localSheetId="0">#REF!</definedName>
    <definedName name="S37P20" localSheetId="9">#REF!</definedName>
    <definedName name="S37P20" localSheetId="10">#REF!</definedName>
    <definedName name="S37P20" localSheetId="8">#REF!</definedName>
    <definedName name="S37P20">#REF!</definedName>
    <definedName name="S37P21" localSheetId="4">#REF!</definedName>
    <definedName name="S37P21" localSheetId="5">#REF!</definedName>
    <definedName name="S37P21" localSheetId="0">#REF!</definedName>
    <definedName name="S37P21" localSheetId="9">#REF!</definedName>
    <definedName name="S37P21" localSheetId="10">#REF!</definedName>
    <definedName name="S37P21" localSheetId="8">#REF!</definedName>
    <definedName name="S37P21">#REF!</definedName>
    <definedName name="S37P22" localSheetId="4">#REF!</definedName>
    <definedName name="S37P22" localSheetId="5">#REF!</definedName>
    <definedName name="S37P22" localSheetId="0">#REF!</definedName>
    <definedName name="S37P22" localSheetId="9">#REF!</definedName>
    <definedName name="S37P22" localSheetId="10">#REF!</definedName>
    <definedName name="S37P22" localSheetId="8">#REF!</definedName>
    <definedName name="S37P22">#REF!</definedName>
    <definedName name="S37P23" localSheetId="4">#REF!</definedName>
    <definedName name="S37P23" localSheetId="5">#REF!</definedName>
    <definedName name="S37P23" localSheetId="0">#REF!</definedName>
    <definedName name="S37P23" localSheetId="9">#REF!</definedName>
    <definedName name="S37P23" localSheetId="10">#REF!</definedName>
    <definedName name="S37P23" localSheetId="8">#REF!</definedName>
    <definedName name="S37P23">#REF!</definedName>
    <definedName name="S37P24" localSheetId="4">#REF!</definedName>
    <definedName name="S37P24" localSheetId="5">#REF!</definedName>
    <definedName name="S37P24" localSheetId="0">#REF!</definedName>
    <definedName name="S37P24" localSheetId="9">#REF!</definedName>
    <definedName name="S37P24" localSheetId="10">#REF!</definedName>
    <definedName name="S37P24" localSheetId="8">#REF!</definedName>
    <definedName name="S37P24">#REF!</definedName>
    <definedName name="S37P3" localSheetId="4">#REF!</definedName>
    <definedName name="S37P3" localSheetId="5">#REF!</definedName>
    <definedName name="S37P3" localSheetId="0">#REF!</definedName>
    <definedName name="S37P3" localSheetId="9">#REF!</definedName>
    <definedName name="S37P3" localSheetId="10">#REF!</definedName>
    <definedName name="S37P3" localSheetId="8">#REF!</definedName>
    <definedName name="S37P3">#REF!</definedName>
    <definedName name="S37P4" localSheetId="4">#REF!</definedName>
    <definedName name="S37P4" localSheetId="5">#REF!</definedName>
    <definedName name="S37P4" localSheetId="0">#REF!</definedName>
    <definedName name="S37P4" localSheetId="9">#REF!</definedName>
    <definedName name="S37P4" localSheetId="10">#REF!</definedName>
    <definedName name="S37P4" localSheetId="8">#REF!</definedName>
    <definedName name="S37P4">#REF!</definedName>
    <definedName name="S37P5" localSheetId="4">#REF!</definedName>
    <definedName name="S37P5" localSheetId="5">#REF!</definedName>
    <definedName name="S37P5" localSheetId="0">#REF!</definedName>
    <definedName name="S37P5" localSheetId="9">#REF!</definedName>
    <definedName name="S37P5" localSheetId="10">#REF!</definedName>
    <definedName name="S37P5" localSheetId="8">#REF!</definedName>
    <definedName name="S37P5">#REF!</definedName>
    <definedName name="S37P6" localSheetId="4">#REF!</definedName>
    <definedName name="S37P6" localSheetId="5">#REF!</definedName>
    <definedName name="S37P6" localSheetId="0">#REF!</definedName>
    <definedName name="S37P6" localSheetId="9">#REF!</definedName>
    <definedName name="S37P6" localSheetId="10">#REF!</definedName>
    <definedName name="S37P6" localSheetId="8">#REF!</definedName>
    <definedName name="S37P6">#REF!</definedName>
    <definedName name="S37P7" localSheetId="4">#REF!</definedName>
    <definedName name="S37P7" localSheetId="5">#REF!</definedName>
    <definedName name="S37P7" localSheetId="0">#REF!</definedName>
    <definedName name="S37P7" localSheetId="9">#REF!</definedName>
    <definedName name="S37P7" localSheetId="10">#REF!</definedName>
    <definedName name="S37P7" localSheetId="8">#REF!</definedName>
    <definedName name="S37P7">#REF!</definedName>
    <definedName name="S37P8" localSheetId="4">#REF!</definedName>
    <definedName name="S37P8" localSheetId="5">#REF!</definedName>
    <definedName name="S37P8" localSheetId="0">#REF!</definedName>
    <definedName name="S37P8" localSheetId="9">#REF!</definedName>
    <definedName name="S37P8" localSheetId="10">#REF!</definedName>
    <definedName name="S37P8" localSheetId="8">#REF!</definedName>
    <definedName name="S37P8">#REF!</definedName>
    <definedName name="S37P9" localSheetId="4">#REF!</definedName>
    <definedName name="S37P9" localSheetId="5">#REF!</definedName>
    <definedName name="S37P9" localSheetId="0">#REF!</definedName>
    <definedName name="S37P9" localSheetId="9">#REF!</definedName>
    <definedName name="S37P9" localSheetId="10">#REF!</definedName>
    <definedName name="S37P9" localSheetId="8">#REF!</definedName>
    <definedName name="S37P9">#REF!</definedName>
    <definedName name="S37R1" localSheetId="4">#REF!</definedName>
    <definedName name="S37R1" localSheetId="5">#REF!</definedName>
    <definedName name="S37R1" localSheetId="0">#REF!</definedName>
    <definedName name="S37R1" localSheetId="9">#REF!</definedName>
    <definedName name="S37R1" localSheetId="10">#REF!</definedName>
    <definedName name="S37R1" localSheetId="8">#REF!</definedName>
    <definedName name="S37R1">#REF!</definedName>
    <definedName name="S37R10" localSheetId="4">#REF!</definedName>
    <definedName name="S37R10" localSheetId="5">#REF!</definedName>
    <definedName name="S37R10" localSheetId="0">#REF!</definedName>
    <definedName name="S37R10" localSheetId="9">#REF!</definedName>
    <definedName name="S37R10" localSheetId="10">#REF!</definedName>
    <definedName name="S37R10" localSheetId="8">#REF!</definedName>
    <definedName name="S37R10">#REF!</definedName>
    <definedName name="S37R11" localSheetId="4">#REF!</definedName>
    <definedName name="S37R11" localSheetId="5">#REF!</definedName>
    <definedName name="S37R11" localSheetId="0">#REF!</definedName>
    <definedName name="S37R11" localSheetId="9">#REF!</definedName>
    <definedName name="S37R11" localSheetId="10">#REF!</definedName>
    <definedName name="S37R11" localSheetId="8">#REF!</definedName>
    <definedName name="S37R11">#REF!</definedName>
    <definedName name="S37R12" localSheetId="4">#REF!</definedName>
    <definedName name="S37R12" localSheetId="5">#REF!</definedName>
    <definedName name="S37R12" localSheetId="0">#REF!</definedName>
    <definedName name="S37R12" localSheetId="9">#REF!</definedName>
    <definedName name="S37R12" localSheetId="10">#REF!</definedName>
    <definedName name="S37R12" localSheetId="8">#REF!</definedName>
    <definedName name="S37R12">#REF!</definedName>
    <definedName name="S37R13" localSheetId="4">#REF!</definedName>
    <definedName name="S37R13" localSheetId="5">#REF!</definedName>
    <definedName name="S37R13" localSheetId="0">#REF!</definedName>
    <definedName name="S37R13" localSheetId="9">#REF!</definedName>
    <definedName name="S37R13" localSheetId="10">#REF!</definedName>
    <definedName name="S37R13" localSheetId="8">#REF!</definedName>
    <definedName name="S37R13">#REF!</definedName>
    <definedName name="S37R14" localSheetId="4">#REF!</definedName>
    <definedName name="S37R14" localSheetId="5">#REF!</definedName>
    <definedName name="S37R14" localSheetId="0">#REF!</definedName>
    <definedName name="S37R14" localSheetId="9">#REF!</definedName>
    <definedName name="S37R14" localSheetId="10">#REF!</definedName>
    <definedName name="S37R14" localSheetId="8">#REF!</definedName>
    <definedName name="S37R14">#REF!</definedName>
    <definedName name="S37R15" localSheetId="4">#REF!</definedName>
    <definedName name="S37R15" localSheetId="5">#REF!</definedName>
    <definedName name="S37R15" localSheetId="0">#REF!</definedName>
    <definedName name="S37R15" localSheetId="9">#REF!</definedName>
    <definedName name="S37R15" localSheetId="10">#REF!</definedName>
    <definedName name="S37R15" localSheetId="8">#REF!</definedName>
    <definedName name="S37R15">#REF!</definedName>
    <definedName name="S37R16" localSheetId="4">#REF!</definedName>
    <definedName name="S37R16" localSheetId="5">#REF!</definedName>
    <definedName name="S37R16" localSheetId="0">#REF!</definedName>
    <definedName name="S37R16" localSheetId="9">#REF!</definedName>
    <definedName name="S37R16" localSheetId="10">#REF!</definedName>
    <definedName name="S37R16" localSheetId="8">#REF!</definedName>
    <definedName name="S37R16">#REF!</definedName>
    <definedName name="S37R17" localSheetId="4">#REF!</definedName>
    <definedName name="S37R17" localSheetId="5">#REF!</definedName>
    <definedName name="S37R17" localSheetId="0">#REF!</definedName>
    <definedName name="S37R17" localSheetId="9">#REF!</definedName>
    <definedName name="S37R17" localSheetId="10">#REF!</definedName>
    <definedName name="S37R17" localSheetId="8">#REF!</definedName>
    <definedName name="S37R17">#REF!</definedName>
    <definedName name="S37R18" localSheetId="4">#REF!</definedName>
    <definedName name="S37R18" localSheetId="5">#REF!</definedName>
    <definedName name="S37R18" localSheetId="0">#REF!</definedName>
    <definedName name="S37R18" localSheetId="9">#REF!</definedName>
    <definedName name="S37R18" localSheetId="10">#REF!</definedName>
    <definedName name="S37R18" localSheetId="8">#REF!</definedName>
    <definedName name="S37R18">#REF!</definedName>
    <definedName name="S37R19" localSheetId="4">#REF!</definedName>
    <definedName name="S37R19" localSheetId="5">#REF!</definedName>
    <definedName name="S37R19" localSheetId="0">#REF!</definedName>
    <definedName name="S37R19" localSheetId="9">#REF!</definedName>
    <definedName name="S37R19" localSheetId="10">#REF!</definedName>
    <definedName name="S37R19" localSheetId="8">#REF!</definedName>
    <definedName name="S37R19">#REF!</definedName>
    <definedName name="S37R2" localSheetId="4">#REF!</definedName>
    <definedName name="S37R2" localSheetId="5">#REF!</definedName>
    <definedName name="S37R2" localSheetId="0">#REF!</definedName>
    <definedName name="S37R2" localSheetId="9">#REF!</definedName>
    <definedName name="S37R2" localSheetId="10">#REF!</definedName>
    <definedName name="S37R2" localSheetId="8">#REF!</definedName>
    <definedName name="S37R2">#REF!</definedName>
    <definedName name="S37R20" localSheetId="4">#REF!</definedName>
    <definedName name="S37R20" localSheetId="5">#REF!</definedName>
    <definedName name="S37R20" localSheetId="0">#REF!</definedName>
    <definedName name="S37R20" localSheetId="9">#REF!</definedName>
    <definedName name="S37R20" localSheetId="10">#REF!</definedName>
    <definedName name="S37R20" localSheetId="8">#REF!</definedName>
    <definedName name="S37R20">#REF!</definedName>
    <definedName name="S37R21" localSheetId="4">#REF!</definedName>
    <definedName name="S37R21" localSheetId="5">#REF!</definedName>
    <definedName name="S37R21" localSheetId="0">#REF!</definedName>
    <definedName name="S37R21" localSheetId="9">#REF!</definedName>
    <definedName name="S37R21" localSheetId="10">#REF!</definedName>
    <definedName name="S37R21" localSheetId="8">#REF!</definedName>
    <definedName name="S37R21">#REF!</definedName>
    <definedName name="S37R22" localSheetId="4">#REF!</definedName>
    <definedName name="S37R22" localSheetId="5">#REF!</definedName>
    <definedName name="S37R22" localSheetId="0">#REF!</definedName>
    <definedName name="S37R22" localSheetId="9">#REF!</definedName>
    <definedName name="S37R22" localSheetId="10">#REF!</definedName>
    <definedName name="S37R22" localSheetId="8">#REF!</definedName>
    <definedName name="S37R22">#REF!</definedName>
    <definedName name="S37R23" localSheetId="4">#REF!</definedName>
    <definedName name="S37R23" localSheetId="5">#REF!</definedName>
    <definedName name="S37R23" localSheetId="0">#REF!</definedName>
    <definedName name="S37R23" localSheetId="9">#REF!</definedName>
    <definedName name="S37R23" localSheetId="10">#REF!</definedName>
    <definedName name="S37R23" localSheetId="8">#REF!</definedName>
    <definedName name="S37R23">#REF!</definedName>
    <definedName name="S37R24" localSheetId="4">#REF!</definedName>
    <definedName name="S37R24" localSheetId="5">#REF!</definedName>
    <definedName name="S37R24" localSheetId="0">#REF!</definedName>
    <definedName name="S37R24" localSheetId="9">#REF!</definedName>
    <definedName name="S37R24" localSheetId="10">#REF!</definedName>
    <definedName name="S37R24" localSheetId="8">#REF!</definedName>
    <definedName name="S37R24">#REF!</definedName>
    <definedName name="S37R3" localSheetId="4">#REF!</definedName>
    <definedName name="S37R3" localSheetId="5">#REF!</definedName>
    <definedName name="S37R3" localSheetId="0">#REF!</definedName>
    <definedName name="S37R3" localSheetId="9">#REF!</definedName>
    <definedName name="S37R3" localSheetId="10">#REF!</definedName>
    <definedName name="S37R3" localSheetId="8">#REF!</definedName>
    <definedName name="S37R3">#REF!</definedName>
    <definedName name="S37R4" localSheetId="4">#REF!</definedName>
    <definedName name="S37R4" localSheetId="5">#REF!</definedName>
    <definedName name="S37R4" localSheetId="0">#REF!</definedName>
    <definedName name="S37R4" localSheetId="9">#REF!</definedName>
    <definedName name="S37R4" localSheetId="10">#REF!</definedName>
    <definedName name="S37R4" localSheetId="8">#REF!</definedName>
    <definedName name="S37R4">#REF!</definedName>
    <definedName name="S37R5" localSheetId="4">#REF!</definedName>
    <definedName name="S37R5" localSheetId="5">#REF!</definedName>
    <definedName name="S37R5" localSheetId="0">#REF!</definedName>
    <definedName name="S37R5" localSheetId="9">#REF!</definedName>
    <definedName name="S37R5" localSheetId="10">#REF!</definedName>
    <definedName name="S37R5" localSheetId="8">#REF!</definedName>
    <definedName name="S37R5">#REF!</definedName>
    <definedName name="S37R6" localSheetId="4">#REF!</definedName>
    <definedName name="S37R6" localSheetId="5">#REF!</definedName>
    <definedName name="S37R6" localSheetId="0">#REF!</definedName>
    <definedName name="S37R6" localSheetId="9">#REF!</definedName>
    <definedName name="S37R6" localSheetId="10">#REF!</definedName>
    <definedName name="S37R6" localSheetId="8">#REF!</definedName>
    <definedName name="S37R6">#REF!</definedName>
    <definedName name="S37R7" localSheetId="4">#REF!</definedName>
    <definedName name="S37R7" localSheetId="5">#REF!</definedName>
    <definedName name="S37R7" localSheetId="0">#REF!</definedName>
    <definedName name="S37R7" localSheetId="9">#REF!</definedName>
    <definedName name="S37R7" localSheetId="10">#REF!</definedName>
    <definedName name="S37R7" localSheetId="8">#REF!</definedName>
    <definedName name="S37R7">#REF!</definedName>
    <definedName name="S37R8" localSheetId="4">#REF!</definedName>
    <definedName name="S37R8" localSheetId="5">#REF!</definedName>
    <definedName name="S37R8" localSheetId="0">#REF!</definedName>
    <definedName name="S37R8" localSheetId="9">#REF!</definedName>
    <definedName name="S37R8" localSheetId="10">#REF!</definedName>
    <definedName name="S37R8" localSheetId="8">#REF!</definedName>
    <definedName name="S37R8">#REF!</definedName>
    <definedName name="S37R9" localSheetId="4">#REF!</definedName>
    <definedName name="S37R9" localSheetId="5">#REF!</definedName>
    <definedName name="S37R9" localSheetId="0">#REF!</definedName>
    <definedName name="S37R9" localSheetId="9">#REF!</definedName>
    <definedName name="S37R9" localSheetId="10">#REF!</definedName>
    <definedName name="S37R9" localSheetId="8">#REF!</definedName>
    <definedName name="S37R9">#REF!</definedName>
    <definedName name="S38P1" localSheetId="4">#REF!</definedName>
    <definedName name="S38P1" localSheetId="5">#REF!</definedName>
    <definedName name="S38P1" localSheetId="0">#REF!</definedName>
    <definedName name="S38P1" localSheetId="9">#REF!</definedName>
    <definedName name="S38P1" localSheetId="10">#REF!</definedName>
    <definedName name="S38P1" localSheetId="8">#REF!</definedName>
    <definedName name="S38P1">#REF!</definedName>
    <definedName name="S38P10" localSheetId="4">#REF!</definedName>
    <definedName name="S38P10" localSheetId="5">#REF!</definedName>
    <definedName name="S38P10" localSheetId="0">#REF!</definedName>
    <definedName name="S38P10" localSheetId="9">#REF!</definedName>
    <definedName name="S38P10" localSheetId="10">#REF!</definedName>
    <definedName name="S38P10" localSheetId="8">#REF!</definedName>
    <definedName name="S38P10">#REF!</definedName>
    <definedName name="S38P11" localSheetId="4">#REF!</definedName>
    <definedName name="S38P11" localSheetId="5">#REF!</definedName>
    <definedName name="S38P11" localSheetId="0">#REF!</definedName>
    <definedName name="S38P11" localSheetId="9">#REF!</definedName>
    <definedName name="S38P11" localSheetId="10">#REF!</definedName>
    <definedName name="S38P11" localSheetId="8">#REF!</definedName>
    <definedName name="S38P11">#REF!</definedName>
    <definedName name="S38P12" localSheetId="4">#REF!</definedName>
    <definedName name="S38P12" localSheetId="5">#REF!</definedName>
    <definedName name="S38P12" localSheetId="0">#REF!</definedName>
    <definedName name="S38P12" localSheetId="9">#REF!</definedName>
    <definedName name="S38P12" localSheetId="10">#REF!</definedName>
    <definedName name="S38P12" localSheetId="8">#REF!</definedName>
    <definedName name="S38P12">#REF!</definedName>
    <definedName name="S38P13" localSheetId="4">#REF!</definedName>
    <definedName name="S38P13" localSheetId="5">#REF!</definedName>
    <definedName name="S38P13" localSheetId="0">#REF!</definedName>
    <definedName name="S38P13" localSheetId="9">#REF!</definedName>
    <definedName name="S38P13" localSheetId="10">#REF!</definedName>
    <definedName name="S38P13" localSheetId="8">#REF!</definedName>
    <definedName name="S38P13">#REF!</definedName>
    <definedName name="S38P14" localSheetId="4">#REF!</definedName>
    <definedName name="S38P14" localSheetId="5">#REF!</definedName>
    <definedName name="S38P14" localSheetId="0">#REF!</definedName>
    <definedName name="S38P14" localSheetId="9">#REF!</definedName>
    <definedName name="S38P14" localSheetId="10">#REF!</definedName>
    <definedName name="S38P14" localSheetId="8">#REF!</definedName>
    <definedName name="S38P14">#REF!</definedName>
    <definedName name="S38P15" localSheetId="4">#REF!</definedName>
    <definedName name="S38P15" localSheetId="5">#REF!</definedName>
    <definedName name="S38P15" localSheetId="0">#REF!</definedName>
    <definedName name="S38P15" localSheetId="9">#REF!</definedName>
    <definedName name="S38P15" localSheetId="10">#REF!</definedName>
    <definedName name="S38P15" localSheetId="8">#REF!</definedName>
    <definedName name="S38P15">#REF!</definedName>
    <definedName name="S38P16" localSheetId="4">#REF!</definedName>
    <definedName name="S38P16" localSheetId="5">#REF!</definedName>
    <definedName name="S38P16" localSheetId="0">#REF!</definedName>
    <definedName name="S38P16" localSheetId="9">#REF!</definedName>
    <definedName name="S38P16" localSheetId="10">#REF!</definedName>
    <definedName name="S38P16" localSheetId="8">#REF!</definedName>
    <definedName name="S38P16">#REF!</definedName>
    <definedName name="S38P17" localSheetId="4">#REF!</definedName>
    <definedName name="S38P17" localSheetId="5">#REF!</definedName>
    <definedName name="S38P17" localSheetId="0">#REF!</definedName>
    <definedName name="S38P17" localSheetId="9">#REF!</definedName>
    <definedName name="S38P17" localSheetId="10">#REF!</definedName>
    <definedName name="S38P17" localSheetId="8">#REF!</definedName>
    <definedName name="S38P17">#REF!</definedName>
    <definedName name="S38P18" localSheetId="4">#REF!</definedName>
    <definedName name="S38P18" localSheetId="5">#REF!</definedName>
    <definedName name="S38P18" localSheetId="0">#REF!</definedName>
    <definedName name="S38P18" localSheetId="9">#REF!</definedName>
    <definedName name="S38P18" localSheetId="10">#REF!</definedName>
    <definedName name="S38P18" localSheetId="8">#REF!</definedName>
    <definedName name="S38P18">#REF!</definedName>
    <definedName name="S38P19" localSheetId="4">#REF!</definedName>
    <definedName name="S38P19" localSheetId="5">#REF!</definedName>
    <definedName name="S38P19" localSheetId="0">#REF!</definedName>
    <definedName name="S38P19" localSheetId="9">#REF!</definedName>
    <definedName name="S38P19" localSheetId="10">#REF!</definedName>
    <definedName name="S38P19" localSheetId="8">#REF!</definedName>
    <definedName name="S38P19">#REF!</definedName>
    <definedName name="S38P2" localSheetId="4">#REF!</definedName>
    <definedName name="S38P2" localSheetId="5">#REF!</definedName>
    <definedName name="S38P2" localSheetId="0">#REF!</definedName>
    <definedName name="S38P2" localSheetId="9">#REF!</definedName>
    <definedName name="S38P2" localSheetId="10">#REF!</definedName>
    <definedName name="S38P2" localSheetId="8">#REF!</definedName>
    <definedName name="S38P2">#REF!</definedName>
    <definedName name="S38P20" localSheetId="4">#REF!</definedName>
    <definedName name="S38P20" localSheetId="5">#REF!</definedName>
    <definedName name="S38P20" localSheetId="0">#REF!</definedName>
    <definedName name="S38P20" localSheetId="9">#REF!</definedName>
    <definedName name="S38P20" localSheetId="10">#REF!</definedName>
    <definedName name="S38P20" localSheetId="8">#REF!</definedName>
    <definedName name="S38P20">#REF!</definedName>
    <definedName name="S38P21" localSheetId="4">#REF!</definedName>
    <definedName name="S38P21" localSheetId="5">#REF!</definedName>
    <definedName name="S38P21" localSheetId="0">#REF!</definedName>
    <definedName name="S38P21" localSheetId="9">#REF!</definedName>
    <definedName name="S38P21" localSheetId="10">#REF!</definedName>
    <definedName name="S38P21" localSheetId="8">#REF!</definedName>
    <definedName name="S38P21">#REF!</definedName>
    <definedName name="S38P22" localSheetId="4">#REF!</definedName>
    <definedName name="S38P22" localSheetId="5">#REF!</definedName>
    <definedName name="S38P22" localSheetId="0">#REF!</definedName>
    <definedName name="S38P22" localSheetId="9">#REF!</definedName>
    <definedName name="S38P22" localSheetId="10">#REF!</definedName>
    <definedName name="S38P22" localSheetId="8">#REF!</definedName>
    <definedName name="S38P22">#REF!</definedName>
    <definedName name="S38P23" localSheetId="4">#REF!</definedName>
    <definedName name="S38P23" localSheetId="5">#REF!</definedName>
    <definedName name="S38P23" localSheetId="0">#REF!</definedName>
    <definedName name="S38P23" localSheetId="9">#REF!</definedName>
    <definedName name="S38P23" localSheetId="10">#REF!</definedName>
    <definedName name="S38P23" localSheetId="8">#REF!</definedName>
    <definedName name="S38P23">#REF!</definedName>
    <definedName name="S38P24" localSheetId="4">#REF!</definedName>
    <definedName name="S38P24" localSheetId="5">#REF!</definedName>
    <definedName name="S38P24" localSheetId="0">#REF!</definedName>
    <definedName name="S38P24" localSheetId="9">#REF!</definedName>
    <definedName name="S38P24" localSheetId="10">#REF!</definedName>
    <definedName name="S38P24" localSheetId="8">#REF!</definedName>
    <definedName name="S38P24">#REF!</definedName>
    <definedName name="S38P3" localSheetId="4">#REF!</definedName>
    <definedName name="S38P3" localSheetId="5">#REF!</definedName>
    <definedName name="S38P3" localSheetId="0">#REF!</definedName>
    <definedName name="S38P3" localSheetId="9">#REF!</definedName>
    <definedName name="S38P3" localSheetId="10">#REF!</definedName>
    <definedName name="S38P3" localSheetId="8">#REF!</definedName>
    <definedName name="S38P3">#REF!</definedName>
    <definedName name="S38P4" localSheetId="4">#REF!</definedName>
    <definedName name="S38P4" localSheetId="5">#REF!</definedName>
    <definedName name="S38P4" localSheetId="0">#REF!</definedName>
    <definedName name="S38P4" localSheetId="9">#REF!</definedName>
    <definedName name="S38P4" localSheetId="10">#REF!</definedName>
    <definedName name="S38P4" localSheetId="8">#REF!</definedName>
    <definedName name="S38P4">#REF!</definedName>
    <definedName name="S38P5" localSheetId="4">#REF!</definedName>
    <definedName name="S38P5" localSheetId="5">#REF!</definedName>
    <definedName name="S38P5" localSheetId="0">#REF!</definedName>
    <definedName name="S38P5" localSheetId="9">#REF!</definedName>
    <definedName name="S38P5" localSheetId="10">#REF!</definedName>
    <definedName name="S38P5" localSheetId="8">#REF!</definedName>
    <definedName name="S38P5">#REF!</definedName>
    <definedName name="S38P6" localSheetId="4">#REF!</definedName>
    <definedName name="S38P6" localSheetId="5">#REF!</definedName>
    <definedName name="S38P6" localSheetId="0">#REF!</definedName>
    <definedName name="S38P6" localSheetId="9">#REF!</definedName>
    <definedName name="S38P6" localSheetId="10">#REF!</definedName>
    <definedName name="S38P6" localSheetId="8">#REF!</definedName>
    <definedName name="S38P6">#REF!</definedName>
    <definedName name="S38P7" localSheetId="4">#REF!</definedName>
    <definedName name="S38P7" localSheetId="5">#REF!</definedName>
    <definedName name="S38P7" localSheetId="0">#REF!</definedName>
    <definedName name="S38P7" localSheetId="9">#REF!</definedName>
    <definedName name="S38P7" localSheetId="10">#REF!</definedName>
    <definedName name="S38P7" localSheetId="8">#REF!</definedName>
    <definedName name="S38P7">#REF!</definedName>
    <definedName name="S38P8" localSheetId="4">#REF!</definedName>
    <definedName name="S38P8" localSheetId="5">#REF!</definedName>
    <definedName name="S38P8" localSheetId="0">#REF!</definedName>
    <definedName name="S38P8" localSheetId="9">#REF!</definedName>
    <definedName name="S38P8" localSheetId="10">#REF!</definedName>
    <definedName name="S38P8" localSheetId="8">#REF!</definedName>
    <definedName name="S38P8">#REF!</definedName>
    <definedName name="S38P9" localSheetId="4">#REF!</definedName>
    <definedName name="S38P9" localSheetId="5">#REF!</definedName>
    <definedName name="S38P9" localSheetId="0">#REF!</definedName>
    <definedName name="S38P9" localSheetId="9">#REF!</definedName>
    <definedName name="S38P9" localSheetId="10">#REF!</definedName>
    <definedName name="S38P9" localSheetId="8">#REF!</definedName>
    <definedName name="S38P9">#REF!</definedName>
    <definedName name="S38R1" localSheetId="4">#REF!</definedName>
    <definedName name="S38R1" localSheetId="5">#REF!</definedName>
    <definedName name="S38R1" localSheetId="0">#REF!</definedName>
    <definedName name="S38R1" localSheetId="9">#REF!</definedName>
    <definedName name="S38R1" localSheetId="10">#REF!</definedName>
    <definedName name="S38R1" localSheetId="8">#REF!</definedName>
    <definedName name="S38R1">#REF!</definedName>
    <definedName name="S38R10" localSheetId="4">#REF!</definedName>
    <definedName name="S38R10" localSheetId="5">#REF!</definedName>
    <definedName name="S38R10" localSheetId="0">#REF!</definedName>
    <definedName name="S38R10" localSheetId="9">#REF!</definedName>
    <definedName name="S38R10" localSheetId="10">#REF!</definedName>
    <definedName name="S38R10" localSheetId="8">#REF!</definedName>
    <definedName name="S38R10">#REF!</definedName>
    <definedName name="S38R11" localSheetId="4">#REF!</definedName>
    <definedName name="S38R11" localSheetId="5">#REF!</definedName>
    <definedName name="S38R11" localSheetId="0">#REF!</definedName>
    <definedName name="S38R11" localSheetId="9">#REF!</definedName>
    <definedName name="S38R11" localSheetId="10">#REF!</definedName>
    <definedName name="S38R11" localSheetId="8">#REF!</definedName>
    <definedName name="S38R11">#REF!</definedName>
    <definedName name="S38R12" localSheetId="4">#REF!</definedName>
    <definedName name="S38R12" localSheetId="5">#REF!</definedName>
    <definedName name="S38R12" localSheetId="0">#REF!</definedName>
    <definedName name="S38R12" localSheetId="9">#REF!</definedName>
    <definedName name="S38R12" localSheetId="10">#REF!</definedName>
    <definedName name="S38R12" localSheetId="8">#REF!</definedName>
    <definedName name="S38R12">#REF!</definedName>
    <definedName name="S38R13" localSheetId="4">#REF!</definedName>
    <definedName name="S38R13" localSheetId="5">#REF!</definedName>
    <definedName name="S38R13" localSheetId="0">#REF!</definedName>
    <definedName name="S38R13" localSheetId="9">#REF!</definedName>
    <definedName name="S38R13" localSheetId="10">#REF!</definedName>
    <definedName name="S38R13" localSheetId="8">#REF!</definedName>
    <definedName name="S38R13">#REF!</definedName>
    <definedName name="S38R14" localSheetId="4">#REF!</definedName>
    <definedName name="S38R14" localSheetId="5">#REF!</definedName>
    <definedName name="S38R14" localSheetId="0">#REF!</definedName>
    <definedName name="S38R14" localSheetId="9">#REF!</definedName>
    <definedName name="S38R14" localSheetId="10">#REF!</definedName>
    <definedName name="S38R14" localSheetId="8">#REF!</definedName>
    <definedName name="S38R14">#REF!</definedName>
    <definedName name="S38R15" localSheetId="4">#REF!</definedName>
    <definedName name="S38R15" localSheetId="5">#REF!</definedName>
    <definedName name="S38R15" localSheetId="0">#REF!</definedName>
    <definedName name="S38R15" localSheetId="9">#REF!</definedName>
    <definedName name="S38R15" localSheetId="10">#REF!</definedName>
    <definedName name="S38R15" localSheetId="8">#REF!</definedName>
    <definedName name="S38R15">#REF!</definedName>
    <definedName name="S38R16" localSheetId="4">#REF!</definedName>
    <definedName name="S38R16" localSheetId="5">#REF!</definedName>
    <definedName name="S38R16" localSheetId="0">#REF!</definedName>
    <definedName name="S38R16" localSheetId="9">#REF!</definedName>
    <definedName name="S38R16" localSheetId="10">#REF!</definedName>
    <definedName name="S38R16" localSheetId="8">#REF!</definedName>
    <definedName name="S38R16">#REF!</definedName>
    <definedName name="S38R17" localSheetId="4">#REF!</definedName>
    <definedName name="S38R17" localSheetId="5">#REF!</definedName>
    <definedName name="S38R17" localSheetId="0">#REF!</definedName>
    <definedName name="S38R17" localSheetId="9">#REF!</definedName>
    <definedName name="S38R17" localSheetId="10">#REF!</definedName>
    <definedName name="S38R17" localSheetId="8">#REF!</definedName>
    <definedName name="S38R17">#REF!</definedName>
    <definedName name="S38R18" localSheetId="4">#REF!</definedName>
    <definedName name="S38R18" localSheetId="5">#REF!</definedName>
    <definedName name="S38R18" localSheetId="0">#REF!</definedName>
    <definedName name="S38R18" localSheetId="9">#REF!</definedName>
    <definedName name="S38R18" localSheetId="10">#REF!</definedName>
    <definedName name="S38R18" localSheetId="8">#REF!</definedName>
    <definedName name="S38R18">#REF!</definedName>
    <definedName name="S38R19" localSheetId="4">#REF!</definedName>
    <definedName name="S38R19" localSheetId="5">#REF!</definedName>
    <definedName name="S38R19" localSheetId="0">#REF!</definedName>
    <definedName name="S38R19" localSheetId="9">#REF!</definedName>
    <definedName name="S38R19" localSheetId="10">#REF!</definedName>
    <definedName name="S38R19" localSheetId="8">#REF!</definedName>
    <definedName name="S38R19">#REF!</definedName>
    <definedName name="S38R2" localSheetId="4">#REF!</definedName>
    <definedName name="S38R2" localSheetId="5">#REF!</definedName>
    <definedName name="S38R2" localSheetId="0">#REF!</definedName>
    <definedName name="S38R2" localSheetId="9">#REF!</definedName>
    <definedName name="S38R2" localSheetId="10">#REF!</definedName>
    <definedName name="S38R2" localSheetId="8">#REF!</definedName>
    <definedName name="S38R2">#REF!</definedName>
    <definedName name="S38R20" localSheetId="4">#REF!</definedName>
    <definedName name="S38R20" localSheetId="5">#REF!</definedName>
    <definedName name="S38R20" localSheetId="0">#REF!</definedName>
    <definedName name="S38R20" localSheetId="9">#REF!</definedName>
    <definedName name="S38R20" localSheetId="10">#REF!</definedName>
    <definedName name="S38R20" localSheetId="8">#REF!</definedName>
    <definedName name="S38R20">#REF!</definedName>
    <definedName name="S38R21" localSheetId="4">#REF!</definedName>
    <definedName name="S38R21" localSheetId="5">#REF!</definedName>
    <definedName name="S38R21" localSheetId="0">#REF!</definedName>
    <definedName name="S38R21" localSheetId="9">#REF!</definedName>
    <definedName name="S38R21" localSheetId="10">#REF!</definedName>
    <definedName name="S38R21" localSheetId="8">#REF!</definedName>
    <definedName name="S38R21">#REF!</definedName>
    <definedName name="S38R22" localSheetId="4">#REF!</definedName>
    <definedName name="S38R22" localSheetId="5">#REF!</definedName>
    <definedName name="S38R22" localSheetId="0">#REF!</definedName>
    <definedName name="S38R22" localSheetId="9">#REF!</definedName>
    <definedName name="S38R22" localSheetId="10">#REF!</definedName>
    <definedName name="S38R22" localSheetId="8">#REF!</definedName>
    <definedName name="S38R22">#REF!</definedName>
    <definedName name="S38R23" localSheetId="4">#REF!</definedName>
    <definedName name="S38R23" localSheetId="5">#REF!</definedName>
    <definedName name="S38R23" localSheetId="0">#REF!</definedName>
    <definedName name="S38R23" localSheetId="9">#REF!</definedName>
    <definedName name="S38R23" localSheetId="10">#REF!</definedName>
    <definedName name="S38R23" localSheetId="8">#REF!</definedName>
    <definedName name="S38R23">#REF!</definedName>
    <definedName name="S38R24" localSheetId="4">#REF!</definedName>
    <definedName name="S38R24" localSheetId="5">#REF!</definedName>
    <definedName name="S38R24" localSheetId="0">#REF!</definedName>
    <definedName name="S38R24" localSheetId="9">#REF!</definedName>
    <definedName name="S38R24" localSheetId="10">#REF!</definedName>
    <definedName name="S38R24" localSheetId="8">#REF!</definedName>
    <definedName name="S38R24">#REF!</definedName>
    <definedName name="S38R3" localSheetId="4">#REF!</definedName>
    <definedName name="S38R3" localSheetId="5">#REF!</definedName>
    <definedName name="S38R3" localSheetId="0">#REF!</definedName>
    <definedName name="S38R3" localSheetId="9">#REF!</definedName>
    <definedName name="S38R3" localSheetId="10">#REF!</definedName>
    <definedName name="S38R3" localSheetId="8">#REF!</definedName>
    <definedName name="S38R3">#REF!</definedName>
    <definedName name="S38R4" localSheetId="4">#REF!</definedName>
    <definedName name="S38R4" localSheetId="5">#REF!</definedName>
    <definedName name="S38R4" localSheetId="0">#REF!</definedName>
    <definedName name="S38R4" localSheetId="9">#REF!</definedName>
    <definedName name="S38R4" localSheetId="10">#REF!</definedName>
    <definedName name="S38R4" localSheetId="8">#REF!</definedName>
    <definedName name="S38R4">#REF!</definedName>
    <definedName name="S38R5" localSheetId="4">#REF!</definedName>
    <definedName name="S38R5" localSheetId="5">#REF!</definedName>
    <definedName name="S38R5" localSheetId="0">#REF!</definedName>
    <definedName name="S38R5" localSheetId="9">#REF!</definedName>
    <definedName name="S38R5" localSheetId="10">#REF!</definedName>
    <definedName name="S38R5" localSheetId="8">#REF!</definedName>
    <definedName name="S38R5">#REF!</definedName>
    <definedName name="S38R6" localSheetId="4">#REF!</definedName>
    <definedName name="S38R6" localSheetId="5">#REF!</definedName>
    <definedName name="S38R6" localSheetId="0">#REF!</definedName>
    <definedName name="S38R6" localSheetId="9">#REF!</definedName>
    <definedName name="S38R6" localSheetId="10">#REF!</definedName>
    <definedName name="S38R6" localSheetId="8">#REF!</definedName>
    <definedName name="S38R6">#REF!</definedName>
    <definedName name="S38R7" localSheetId="4">#REF!</definedName>
    <definedName name="S38R7" localSheetId="5">#REF!</definedName>
    <definedName name="S38R7" localSheetId="0">#REF!</definedName>
    <definedName name="S38R7" localSheetId="9">#REF!</definedName>
    <definedName name="S38R7" localSheetId="10">#REF!</definedName>
    <definedName name="S38R7" localSheetId="8">#REF!</definedName>
    <definedName name="S38R7">#REF!</definedName>
    <definedName name="S38R8" localSheetId="4">#REF!</definedName>
    <definedName name="S38R8" localSheetId="5">#REF!</definedName>
    <definedName name="S38R8" localSheetId="0">#REF!</definedName>
    <definedName name="S38R8" localSheetId="9">#REF!</definedName>
    <definedName name="S38R8" localSheetId="10">#REF!</definedName>
    <definedName name="S38R8" localSheetId="8">#REF!</definedName>
    <definedName name="S38R8">#REF!</definedName>
    <definedName name="S38R9" localSheetId="4">#REF!</definedName>
    <definedName name="S38R9" localSheetId="5">#REF!</definedName>
    <definedName name="S38R9" localSheetId="0">#REF!</definedName>
    <definedName name="S38R9" localSheetId="9">#REF!</definedName>
    <definedName name="S38R9" localSheetId="10">#REF!</definedName>
    <definedName name="S38R9" localSheetId="8">#REF!</definedName>
    <definedName name="S38R9">#REF!</definedName>
    <definedName name="S39P1" localSheetId="4">#REF!</definedName>
    <definedName name="S39P1" localSheetId="5">#REF!</definedName>
    <definedName name="S39P1" localSheetId="0">#REF!</definedName>
    <definedName name="S39P1" localSheetId="9">#REF!</definedName>
    <definedName name="S39P1" localSheetId="10">#REF!</definedName>
    <definedName name="S39P1" localSheetId="8">#REF!</definedName>
    <definedName name="S39P1">#REF!</definedName>
    <definedName name="S39P10" localSheetId="4">#REF!</definedName>
    <definedName name="S39P10" localSheetId="5">#REF!</definedName>
    <definedName name="S39P10" localSheetId="0">#REF!</definedName>
    <definedName name="S39P10" localSheetId="9">#REF!</definedName>
    <definedName name="S39P10" localSheetId="10">#REF!</definedName>
    <definedName name="S39P10" localSheetId="8">#REF!</definedName>
    <definedName name="S39P10">#REF!</definedName>
    <definedName name="S39P11" localSheetId="4">#REF!</definedName>
    <definedName name="S39P11" localSheetId="5">#REF!</definedName>
    <definedName name="S39P11" localSheetId="0">#REF!</definedName>
    <definedName name="S39P11" localSheetId="9">#REF!</definedName>
    <definedName name="S39P11" localSheetId="10">#REF!</definedName>
    <definedName name="S39P11" localSheetId="8">#REF!</definedName>
    <definedName name="S39P11">#REF!</definedName>
    <definedName name="S39P12" localSheetId="4">#REF!</definedName>
    <definedName name="S39P12" localSheetId="5">#REF!</definedName>
    <definedName name="S39P12" localSheetId="0">#REF!</definedName>
    <definedName name="S39P12" localSheetId="9">#REF!</definedName>
    <definedName name="S39P12" localSheetId="10">#REF!</definedName>
    <definedName name="S39P12" localSheetId="8">#REF!</definedName>
    <definedName name="S39P12">#REF!</definedName>
    <definedName name="S39P13" localSheetId="4">#REF!</definedName>
    <definedName name="S39P13" localSheetId="5">#REF!</definedName>
    <definedName name="S39P13" localSheetId="0">#REF!</definedName>
    <definedName name="S39P13" localSheetId="9">#REF!</definedName>
    <definedName name="S39P13" localSheetId="10">#REF!</definedName>
    <definedName name="S39P13" localSheetId="8">#REF!</definedName>
    <definedName name="S39P13">#REF!</definedName>
    <definedName name="S39P14" localSheetId="4">#REF!</definedName>
    <definedName name="S39P14" localSheetId="5">#REF!</definedName>
    <definedName name="S39P14" localSheetId="0">#REF!</definedName>
    <definedName name="S39P14" localSheetId="9">#REF!</definedName>
    <definedName name="S39P14" localSheetId="10">#REF!</definedName>
    <definedName name="S39P14" localSheetId="8">#REF!</definedName>
    <definedName name="S39P14">#REF!</definedName>
    <definedName name="S39P15" localSheetId="4">#REF!</definedName>
    <definedName name="S39P15" localSheetId="5">#REF!</definedName>
    <definedName name="S39P15" localSheetId="0">#REF!</definedName>
    <definedName name="S39P15" localSheetId="9">#REF!</definedName>
    <definedName name="S39P15" localSheetId="10">#REF!</definedName>
    <definedName name="S39P15" localSheetId="8">#REF!</definedName>
    <definedName name="S39P15">#REF!</definedName>
    <definedName name="S39P16" localSheetId="4">#REF!</definedName>
    <definedName name="S39P16" localSheetId="5">#REF!</definedName>
    <definedName name="S39P16" localSheetId="0">#REF!</definedName>
    <definedName name="S39P16" localSheetId="9">#REF!</definedName>
    <definedName name="S39P16" localSheetId="10">#REF!</definedName>
    <definedName name="S39P16" localSheetId="8">#REF!</definedName>
    <definedName name="S39P16">#REF!</definedName>
    <definedName name="S39P17" localSheetId="4">#REF!</definedName>
    <definedName name="S39P17" localSheetId="5">#REF!</definedName>
    <definedName name="S39P17" localSheetId="0">#REF!</definedName>
    <definedName name="S39P17" localSheetId="9">#REF!</definedName>
    <definedName name="S39P17" localSheetId="10">#REF!</definedName>
    <definedName name="S39P17" localSheetId="8">#REF!</definedName>
    <definedName name="S39P17">#REF!</definedName>
    <definedName name="S39P18" localSheetId="4">#REF!</definedName>
    <definedName name="S39P18" localSheetId="5">#REF!</definedName>
    <definedName name="S39P18" localSheetId="0">#REF!</definedName>
    <definedName name="S39P18" localSheetId="9">#REF!</definedName>
    <definedName name="S39P18" localSheetId="10">#REF!</definedName>
    <definedName name="S39P18" localSheetId="8">#REF!</definedName>
    <definedName name="S39P18">#REF!</definedName>
    <definedName name="S39P19" localSheetId="4">#REF!</definedName>
    <definedName name="S39P19" localSheetId="5">#REF!</definedName>
    <definedName name="S39P19" localSheetId="0">#REF!</definedName>
    <definedName name="S39P19" localSheetId="9">#REF!</definedName>
    <definedName name="S39P19" localSheetId="10">#REF!</definedName>
    <definedName name="S39P19" localSheetId="8">#REF!</definedName>
    <definedName name="S39P19">#REF!</definedName>
    <definedName name="S39P2" localSheetId="4">#REF!</definedName>
    <definedName name="S39P2" localSheetId="5">#REF!</definedName>
    <definedName name="S39P2" localSheetId="0">#REF!</definedName>
    <definedName name="S39P2" localSheetId="9">#REF!</definedName>
    <definedName name="S39P2" localSheetId="10">#REF!</definedName>
    <definedName name="S39P2" localSheetId="8">#REF!</definedName>
    <definedName name="S39P2">#REF!</definedName>
    <definedName name="S39P20" localSheetId="4">#REF!</definedName>
    <definedName name="S39P20" localSheetId="5">#REF!</definedName>
    <definedName name="S39P20" localSheetId="0">#REF!</definedName>
    <definedName name="S39P20" localSheetId="9">#REF!</definedName>
    <definedName name="S39P20" localSheetId="10">#REF!</definedName>
    <definedName name="S39P20" localSheetId="8">#REF!</definedName>
    <definedName name="S39P20">#REF!</definedName>
    <definedName name="S39P21" localSheetId="4">#REF!</definedName>
    <definedName name="S39P21" localSheetId="5">#REF!</definedName>
    <definedName name="S39P21" localSheetId="0">#REF!</definedName>
    <definedName name="S39P21" localSheetId="9">#REF!</definedName>
    <definedName name="S39P21" localSheetId="10">#REF!</definedName>
    <definedName name="S39P21" localSheetId="8">#REF!</definedName>
    <definedName name="S39P21">#REF!</definedName>
    <definedName name="S39P22" localSheetId="4">#REF!</definedName>
    <definedName name="S39P22" localSheetId="5">#REF!</definedName>
    <definedName name="S39P22" localSheetId="0">#REF!</definedName>
    <definedName name="S39P22" localSheetId="9">#REF!</definedName>
    <definedName name="S39P22" localSheetId="10">#REF!</definedName>
    <definedName name="S39P22" localSheetId="8">#REF!</definedName>
    <definedName name="S39P22">#REF!</definedName>
    <definedName name="S39P23" localSheetId="4">#REF!</definedName>
    <definedName name="S39P23" localSheetId="5">#REF!</definedName>
    <definedName name="S39P23" localSheetId="0">#REF!</definedName>
    <definedName name="S39P23" localSheetId="9">#REF!</definedName>
    <definedName name="S39P23" localSheetId="10">#REF!</definedName>
    <definedName name="S39P23" localSheetId="8">#REF!</definedName>
    <definedName name="S39P23">#REF!</definedName>
    <definedName name="S39P24" localSheetId="4">#REF!</definedName>
    <definedName name="S39P24" localSheetId="5">#REF!</definedName>
    <definedName name="S39P24" localSheetId="0">#REF!</definedName>
    <definedName name="S39P24" localSheetId="9">#REF!</definedName>
    <definedName name="S39P24" localSheetId="10">#REF!</definedName>
    <definedName name="S39P24" localSheetId="8">#REF!</definedName>
    <definedName name="S39P24">#REF!</definedName>
    <definedName name="S39P3" localSheetId="4">#REF!</definedName>
    <definedName name="S39P3" localSheetId="5">#REF!</definedName>
    <definedName name="S39P3" localSheetId="0">#REF!</definedName>
    <definedName name="S39P3" localSheetId="9">#REF!</definedName>
    <definedName name="S39P3" localSheetId="10">#REF!</definedName>
    <definedName name="S39P3" localSheetId="8">#REF!</definedName>
    <definedName name="S39P3">#REF!</definedName>
    <definedName name="S39P4" localSheetId="4">#REF!</definedName>
    <definedName name="S39P4" localSheetId="5">#REF!</definedName>
    <definedName name="S39P4" localSheetId="0">#REF!</definedName>
    <definedName name="S39P4" localSheetId="9">#REF!</definedName>
    <definedName name="S39P4" localSheetId="10">#REF!</definedName>
    <definedName name="S39P4" localSheetId="8">#REF!</definedName>
    <definedName name="S39P4">#REF!</definedName>
    <definedName name="S39P5" localSheetId="4">#REF!</definedName>
    <definedName name="S39P5" localSheetId="5">#REF!</definedName>
    <definedName name="S39P5" localSheetId="0">#REF!</definedName>
    <definedName name="S39P5" localSheetId="9">#REF!</definedName>
    <definedName name="S39P5" localSheetId="10">#REF!</definedName>
    <definedName name="S39P5" localSheetId="8">#REF!</definedName>
    <definedName name="S39P5">#REF!</definedName>
    <definedName name="S39P6" localSheetId="4">#REF!</definedName>
    <definedName name="S39P6" localSheetId="5">#REF!</definedName>
    <definedName name="S39P6" localSheetId="0">#REF!</definedName>
    <definedName name="S39P6" localSheetId="9">#REF!</definedName>
    <definedName name="S39P6" localSheetId="10">#REF!</definedName>
    <definedName name="S39P6" localSheetId="8">#REF!</definedName>
    <definedName name="S39P6">#REF!</definedName>
    <definedName name="S39P7" localSheetId="4">#REF!</definedName>
    <definedName name="S39P7" localSheetId="5">#REF!</definedName>
    <definedName name="S39P7" localSheetId="0">#REF!</definedName>
    <definedName name="S39P7" localSheetId="9">#REF!</definedName>
    <definedName name="S39P7" localSheetId="10">#REF!</definedName>
    <definedName name="S39P7" localSheetId="8">#REF!</definedName>
    <definedName name="S39P7">#REF!</definedName>
    <definedName name="S39P8" localSheetId="4">#REF!</definedName>
    <definedName name="S39P8" localSheetId="5">#REF!</definedName>
    <definedName name="S39P8" localSheetId="0">#REF!</definedName>
    <definedName name="S39P8" localSheetId="9">#REF!</definedName>
    <definedName name="S39P8" localSheetId="10">#REF!</definedName>
    <definedName name="S39P8" localSheetId="8">#REF!</definedName>
    <definedName name="S39P8">#REF!</definedName>
    <definedName name="S39P9" localSheetId="4">#REF!</definedName>
    <definedName name="S39P9" localSheetId="5">#REF!</definedName>
    <definedName name="S39P9" localSheetId="0">#REF!</definedName>
    <definedName name="S39P9" localSheetId="9">#REF!</definedName>
    <definedName name="S39P9" localSheetId="10">#REF!</definedName>
    <definedName name="S39P9" localSheetId="8">#REF!</definedName>
    <definedName name="S39P9">#REF!</definedName>
    <definedName name="S39R1" localSheetId="4">#REF!</definedName>
    <definedName name="S39R1" localSheetId="5">#REF!</definedName>
    <definedName name="S39R1" localSheetId="0">#REF!</definedName>
    <definedName name="S39R1" localSheetId="9">#REF!</definedName>
    <definedName name="S39R1" localSheetId="10">#REF!</definedName>
    <definedName name="S39R1" localSheetId="8">#REF!</definedName>
    <definedName name="S39R1">#REF!</definedName>
    <definedName name="S39R10" localSheetId="4">#REF!</definedName>
    <definedName name="S39R10" localSheetId="5">#REF!</definedName>
    <definedName name="S39R10" localSheetId="0">#REF!</definedName>
    <definedName name="S39R10" localSheetId="9">#REF!</definedName>
    <definedName name="S39R10" localSheetId="10">#REF!</definedName>
    <definedName name="S39R10" localSheetId="8">#REF!</definedName>
    <definedName name="S39R10">#REF!</definedName>
    <definedName name="S39R11" localSheetId="4">#REF!</definedName>
    <definedName name="S39R11" localSheetId="5">#REF!</definedName>
    <definedName name="S39R11" localSheetId="0">#REF!</definedName>
    <definedName name="S39R11" localSheetId="9">#REF!</definedName>
    <definedName name="S39R11" localSheetId="10">#REF!</definedName>
    <definedName name="S39R11" localSheetId="8">#REF!</definedName>
    <definedName name="S39R11">#REF!</definedName>
    <definedName name="S39R12" localSheetId="4">#REF!</definedName>
    <definedName name="S39R12" localSheetId="5">#REF!</definedName>
    <definedName name="S39R12" localSheetId="0">#REF!</definedName>
    <definedName name="S39R12" localSheetId="9">#REF!</definedName>
    <definedName name="S39R12" localSheetId="10">#REF!</definedName>
    <definedName name="S39R12" localSheetId="8">#REF!</definedName>
    <definedName name="S39R12">#REF!</definedName>
    <definedName name="S39R13" localSheetId="4">#REF!</definedName>
    <definedName name="S39R13" localSheetId="5">#REF!</definedName>
    <definedName name="S39R13" localSheetId="0">#REF!</definedName>
    <definedName name="S39R13" localSheetId="9">#REF!</definedName>
    <definedName name="S39R13" localSheetId="10">#REF!</definedName>
    <definedName name="S39R13" localSheetId="8">#REF!</definedName>
    <definedName name="S39R13">#REF!</definedName>
    <definedName name="S39R14" localSheetId="4">#REF!</definedName>
    <definedName name="S39R14" localSheetId="5">#REF!</definedName>
    <definedName name="S39R14" localSheetId="0">#REF!</definedName>
    <definedName name="S39R14" localSheetId="9">#REF!</definedName>
    <definedName name="S39R14" localSheetId="10">#REF!</definedName>
    <definedName name="S39R14" localSheetId="8">#REF!</definedName>
    <definedName name="S39R14">#REF!</definedName>
    <definedName name="S39R15" localSheetId="4">#REF!</definedName>
    <definedName name="S39R15" localSheetId="5">#REF!</definedName>
    <definedName name="S39R15" localSheetId="0">#REF!</definedName>
    <definedName name="S39R15" localSheetId="9">#REF!</definedName>
    <definedName name="S39R15" localSheetId="10">#REF!</definedName>
    <definedName name="S39R15" localSheetId="8">#REF!</definedName>
    <definedName name="S39R15">#REF!</definedName>
    <definedName name="S39R16" localSheetId="4">#REF!</definedName>
    <definedName name="S39R16" localSheetId="5">#REF!</definedName>
    <definedName name="S39R16" localSheetId="0">#REF!</definedName>
    <definedName name="S39R16" localSheetId="9">#REF!</definedName>
    <definedName name="S39R16" localSheetId="10">#REF!</definedName>
    <definedName name="S39R16" localSheetId="8">#REF!</definedName>
    <definedName name="S39R16">#REF!</definedName>
    <definedName name="S39R17" localSheetId="4">#REF!</definedName>
    <definedName name="S39R17" localSheetId="5">#REF!</definedName>
    <definedName name="S39R17" localSheetId="0">#REF!</definedName>
    <definedName name="S39R17" localSheetId="9">#REF!</definedName>
    <definedName name="S39R17" localSheetId="10">#REF!</definedName>
    <definedName name="S39R17" localSheetId="8">#REF!</definedName>
    <definedName name="S39R17">#REF!</definedName>
    <definedName name="S39R18" localSheetId="4">#REF!</definedName>
    <definedName name="S39R18" localSheetId="5">#REF!</definedName>
    <definedName name="S39R18" localSheetId="0">#REF!</definedName>
    <definedName name="S39R18" localSheetId="9">#REF!</definedName>
    <definedName name="S39R18" localSheetId="10">#REF!</definedName>
    <definedName name="S39R18" localSheetId="8">#REF!</definedName>
    <definedName name="S39R18">#REF!</definedName>
    <definedName name="S39R19" localSheetId="4">#REF!</definedName>
    <definedName name="S39R19" localSheetId="5">#REF!</definedName>
    <definedName name="S39R19" localSheetId="0">#REF!</definedName>
    <definedName name="S39R19" localSheetId="9">#REF!</definedName>
    <definedName name="S39R19" localSheetId="10">#REF!</definedName>
    <definedName name="S39R19" localSheetId="8">#REF!</definedName>
    <definedName name="S39R19">#REF!</definedName>
    <definedName name="S39R2" localSheetId="4">#REF!</definedName>
    <definedName name="S39R2" localSheetId="5">#REF!</definedName>
    <definedName name="S39R2" localSheetId="0">#REF!</definedName>
    <definedName name="S39R2" localSheetId="9">#REF!</definedName>
    <definedName name="S39R2" localSheetId="10">#REF!</definedName>
    <definedName name="S39R2" localSheetId="8">#REF!</definedName>
    <definedName name="S39R2">#REF!</definedName>
    <definedName name="S39R20" localSheetId="4">#REF!</definedName>
    <definedName name="S39R20" localSheetId="5">#REF!</definedName>
    <definedName name="S39R20" localSheetId="0">#REF!</definedName>
    <definedName name="S39R20" localSheetId="9">#REF!</definedName>
    <definedName name="S39R20" localSheetId="10">#REF!</definedName>
    <definedName name="S39R20" localSheetId="8">#REF!</definedName>
    <definedName name="S39R20">#REF!</definedName>
    <definedName name="S39R21" localSheetId="4">#REF!</definedName>
    <definedName name="S39R21" localSheetId="5">#REF!</definedName>
    <definedName name="S39R21" localSheetId="0">#REF!</definedName>
    <definedName name="S39R21" localSheetId="9">#REF!</definedName>
    <definedName name="S39R21" localSheetId="10">#REF!</definedName>
    <definedName name="S39R21" localSheetId="8">#REF!</definedName>
    <definedName name="S39R21">#REF!</definedName>
    <definedName name="S39R22" localSheetId="4">#REF!</definedName>
    <definedName name="S39R22" localSheetId="5">#REF!</definedName>
    <definedName name="S39R22" localSheetId="0">#REF!</definedName>
    <definedName name="S39R22" localSheetId="9">#REF!</definedName>
    <definedName name="S39R22" localSheetId="10">#REF!</definedName>
    <definedName name="S39R22" localSheetId="8">#REF!</definedName>
    <definedName name="S39R22">#REF!</definedName>
    <definedName name="S39R23" localSheetId="4">#REF!</definedName>
    <definedName name="S39R23" localSheetId="5">#REF!</definedName>
    <definedName name="S39R23" localSheetId="0">#REF!</definedName>
    <definedName name="S39R23" localSheetId="9">#REF!</definedName>
    <definedName name="S39R23" localSheetId="10">#REF!</definedName>
    <definedName name="S39R23" localSheetId="8">#REF!</definedName>
    <definedName name="S39R23">#REF!</definedName>
    <definedName name="S39R24" localSheetId="4">#REF!</definedName>
    <definedName name="S39R24" localSheetId="5">#REF!</definedName>
    <definedName name="S39R24" localSheetId="0">#REF!</definedName>
    <definedName name="S39R24" localSheetId="9">#REF!</definedName>
    <definedName name="S39R24" localSheetId="10">#REF!</definedName>
    <definedName name="S39R24" localSheetId="8">#REF!</definedName>
    <definedName name="S39R24">#REF!</definedName>
    <definedName name="S39R3" localSheetId="4">#REF!</definedName>
    <definedName name="S39R3" localSheetId="5">#REF!</definedName>
    <definedName name="S39R3" localSheetId="0">#REF!</definedName>
    <definedName name="S39R3" localSheetId="9">#REF!</definedName>
    <definedName name="S39R3" localSheetId="10">#REF!</definedName>
    <definedName name="S39R3" localSheetId="8">#REF!</definedName>
    <definedName name="S39R3">#REF!</definedName>
    <definedName name="S39R4" localSheetId="4">#REF!</definedName>
    <definedName name="S39R4" localSheetId="5">#REF!</definedName>
    <definedName name="S39R4" localSheetId="0">#REF!</definedName>
    <definedName name="S39R4" localSheetId="9">#REF!</definedName>
    <definedName name="S39R4" localSheetId="10">#REF!</definedName>
    <definedName name="S39R4" localSheetId="8">#REF!</definedName>
    <definedName name="S39R4">#REF!</definedName>
    <definedName name="S39R5" localSheetId="4">#REF!</definedName>
    <definedName name="S39R5" localSheetId="5">#REF!</definedName>
    <definedName name="S39R5" localSheetId="0">#REF!</definedName>
    <definedName name="S39R5" localSheetId="9">#REF!</definedName>
    <definedName name="S39R5" localSheetId="10">#REF!</definedName>
    <definedName name="S39R5" localSheetId="8">#REF!</definedName>
    <definedName name="S39R5">#REF!</definedName>
    <definedName name="S39R6" localSheetId="4">#REF!</definedName>
    <definedName name="S39R6" localSheetId="5">#REF!</definedName>
    <definedName name="S39R6" localSheetId="0">#REF!</definedName>
    <definedName name="S39R6" localSheetId="9">#REF!</definedName>
    <definedName name="S39R6" localSheetId="10">#REF!</definedName>
    <definedName name="S39R6" localSheetId="8">#REF!</definedName>
    <definedName name="S39R6">#REF!</definedName>
    <definedName name="S39R7" localSheetId="4">#REF!</definedName>
    <definedName name="S39R7" localSheetId="5">#REF!</definedName>
    <definedName name="S39R7" localSheetId="0">#REF!</definedName>
    <definedName name="S39R7" localSheetId="9">#REF!</definedName>
    <definedName name="S39R7" localSheetId="10">#REF!</definedName>
    <definedName name="S39R7" localSheetId="8">#REF!</definedName>
    <definedName name="S39R7">#REF!</definedName>
    <definedName name="S39R8" localSheetId="4">#REF!</definedName>
    <definedName name="S39R8" localSheetId="5">#REF!</definedName>
    <definedName name="S39R8" localSheetId="0">#REF!</definedName>
    <definedName name="S39R8" localSheetId="9">#REF!</definedName>
    <definedName name="S39R8" localSheetId="10">#REF!</definedName>
    <definedName name="S39R8" localSheetId="8">#REF!</definedName>
    <definedName name="S39R8">#REF!</definedName>
    <definedName name="S39R9" localSheetId="4">#REF!</definedName>
    <definedName name="S39R9" localSheetId="5">#REF!</definedName>
    <definedName name="S39R9" localSheetId="0">#REF!</definedName>
    <definedName name="S39R9" localSheetId="9">#REF!</definedName>
    <definedName name="S39R9" localSheetId="10">#REF!</definedName>
    <definedName name="S39R9" localSheetId="8">#REF!</definedName>
    <definedName name="S39R9">#REF!</definedName>
    <definedName name="S3P1" localSheetId="4">#REF!</definedName>
    <definedName name="S3P1" localSheetId="5">#REF!</definedName>
    <definedName name="S3P1" localSheetId="0">#REF!</definedName>
    <definedName name="S3P1" localSheetId="9">#REF!</definedName>
    <definedName name="S3P1" localSheetId="10">#REF!</definedName>
    <definedName name="S3P1" localSheetId="8">#REF!</definedName>
    <definedName name="S3P1">#REF!</definedName>
    <definedName name="S3P10" localSheetId="4">#REF!</definedName>
    <definedName name="S3P10" localSheetId="5">#REF!</definedName>
    <definedName name="S3P10" localSheetId="0">#REF!</definedName>
    <definedName name="S3P10" localSheetId="9">#REF!</definedName>
    <definedName name="S3P10" localSheetId="10">#REF!</definedName>
    <definedName name="S3P10" localSheetId="8">#REF!</definedName>
    <definedName name="S3P10">#REF!</definedName>
    <definedName name="S3P11" localSheetId="4">#REF!</definedName>
    <definedName name="S3P11" localSheetId="5">#REF!</definedName>
    <definedName name="S3P11" localSheetId="0">#REF!</definedName>
    <definedName name="S3P11" localSheetId="9">#REF!</definedName>
    <definedName name="S3P11" localSheetId="10">#REF!</definedName>
    <definedName name="S3P11" localSheetId="8">#REF!</definedName>
    <definedName name="S3P11">#REF!</definedName>
    <definedName name="S3P12" localSheetId="4">#REF!</definedName>
    <definedName name="S3P12" localSheetId="5">#REF!</definedName>
    <definedName name="S3P12" localSheetId="0">#REF!</definedName>
    <definedName name="S3P12" localSheetId="9">#REF!</definedName>
    <definedName name="S3P12" localSheetId="10">#REF!</definedName>
    <definedName name="S3P12" localSheetId="8">#REF!</definedName>
    <definedName name="S3P12">#REF!</definedName>
    <definedName name="S3P13" localSheetId="4">#REF!</definedName>
    <definedName name="S3P13" localSheetId="5">#REF!</definedName>
    <definedName name="S3P13" localSheetId="0">#REF!</definedName>
    <definedName name="S3P13" localSheetId="9">#REF!</definedName>
    <definedName name="S3P13" localSheetId="10">#REF!</definedName>
    <definedName name="S3P13" localSheetId="8">#REF!</definedName>
    <definedName name="S3P13">#REF!</definedName>
    <definedName name="S3P14" localSheetId="4">#REF!</definedName>
    <definedName name="S3P14" localSheetId="5">#REF!</definedName>
    <definedName name="S3P14" localSheetId="0">#REF!</definedName>
    <definedName name="S3P14" localSheetId="9">#REF!</definedName>
    <definedName name="S3P14" localSheetId="10">#REF!</definedName>
    <definedName name="S3P14" localSheetId="8">#REF!</definedName>
    <definedName name="S3P14">#REF!</definedName>
    <definedName name="S3P15" localSheetId="4">#REF!</definedName>
    <definedName name="S3P15" localSheetId="5">#REF!</definedName>
    <definedName name="S3P15" localSheetId="0">#REF!</definedName>
    <definedName name="S3P15" localSheetId="9">#REF!</definedName>
    <definedName name="S3P15" localSheetId="10">#REF!</definedName>
    <definedName name="S3P15" localSheetId="8">#REF!</definedName>
    <definedName name="S3P15">#REF!</definedName>
    <definedName name="S3P16" localSheetId="4">#REF!</definedName>
    <definedName name="S3P16" localSheetId="5">#REF!</definedName>
    <definedName name="S3P16" localSheetId="0">#REF!</definedName>
    <definedName name="S3P16" localSheetId="9">#REF!</definedName>
    <definedName name="S3P16" localSheetId="10">#REF!</definedName>
    <definedName name="S3P16" localSheetId="8">#REF!</definedName>
    <definedName name="S3P16">#REF!</definedName>
    <definedName name="S3P17" localSheetId="4">#REF!</definedName>
    <definedName name="S3P17" localSheetId="5">#REF!</definedName>
    <definedName name="S3P17" localSheetId="0">#REF!</definedName>
    <definedName name="S3P17" localSheetId="9">#REF!</definedName>
    <definedName name="S3P17" localSheetId="10">#REF!</definedName>
    <definedName name="S3P17" localSheetId="8">#REF!</definedName>
    <definedName name="S3P17">#REF!</definedName>
    <definedName name="S3P18" localSheetId="4">#REF!</definedName>
    <definedName name="S3P18" localSheetId="5">#REF!</definedName>
    <definedName name="S3P18" localSheetId="0">#REF!</definedName>
    <definedName name="S3P18" localSheetId="9">#REF!</definedName>
    <definedName name="S3P18" localSheetId="10">#REF!</definedName>
    <definedName name="S3P18" localSheetId="8">#REF!</definedName>
    <definedName name="S3P18">#REF!</definedName>
    <definedName name="S3P19" localSheetId="4">#REF!</definedName>
    <definedName name="S3P19" localSheetId="5">#REF!</definedName>
    <definedName name="S3P19" localSheetId="0">#REF!</definedName>
    <definedName name="S3P19" localSheetId="9">#REF!</definedName>
    <definedName name="S3P19" localSheetId="10">#REF!</definedName>
    <definedName name="S3P19" localSheetId="8">#REF!</definedName>
    <definedName name="S3P19">#REF!</definedName>
    <definedName name="S3P2" localSheetId="4">#REF!</definedName>
    <definedName name="S3P2" localSheetId="5">#REF!</definedName>
    <definedName name="S3P2" localSheetId="0">#REF!</definedName>
    <definedName name="S3P2" localSheetId="9">#REF!</definedName>
    <definedName name="S3P2" localSheetId="10">#REF!</definedName>
    <definedName name="S3P2" localSheetId="8">#REF!</definedName>
    <definedName name="S3P2">#REF!</definedName>
    <definedName name="S3P20" localSheetId="4">#REF!</definedName>
    <definedName name="S3P20" localSheetId="5">#REF!</definedName>
    <definedName name="S3P20" localSheetId="0">#REF!</definedName>
    <definedName name="S3P20" localSheetId="9">#REF!</definedName>
    <definedName name="S3P20" localSheetId="10">#REF!</definedName>
    <definedName name="S3P20" localSheetId="8">#REF!</definedName>
    <definedName name="S3P20">#REF!</definedName>
    <definedName name="S3P21" localSheetId="4">#REF!</definedName>
    <definedName name="S3P21" localSheetId="5">#REF!</definedName>
    <definedName name="S3P21" localSheetId="0">#REF!</definedName>
    <definedName name="S3P21" localSheetId="9">#REF!</definedName>
    <definedName name="S3P21" localSheetId="10">#REF!</definedName>
    <definedName name="S3P21" localSheetId="8">#REF!</definedName>
    <definedName name="S3P21">#REF!</definedName>
    <definedName name="S3P22" localSheetId="4">#REF!</definedName>
    <definedName name="S3P22" localSheetId="5">#REF!</definedName>
    <definedName name="S3P22" localSheetId="0">#REF!</definedName>
    <definedName name="S3P22" localSheetId="9">#REF!</definedName>
    <definedName name="S3P22" localSheetId="10">#REF!</definedName>
    <definedName name="S3P22" localSheetId="8">#REF!</definedName>
    <definedName name="S3P22">#REF!</definedName>
    <definedName name="S3P23" localSheetId="4">#REF!</definedName>
    <definedName name="S3P23" localSheetId="5">#REF!</definedName>
    <definedName name="S3P23" localSheetId="0">#REF!</definedName>
    <definedName name="S3P23" localSheetId="9">#REF!</definedName>
    <definedName name="S3P23" localSheetId="10">#REF!</definedName>
    <definedName name="S3P23" localSheetId="8">#REF!</definedName>
    <definedName name="S3P23">#REF!</definedName>
    <definedName name="S3P24" localSheetId="4">#REF!</definedName>
    <definedName name="S3P24" localSheetId="5">#REF!</definedName>
    <definedName name="S3P24" localSheetId="0">#REF!</definedName>
    <definedName name="S3P24" localSheetId="9">#REF!</definedName>
    <definedName name="S3P24" localSheetId="10">#REF!</definedName>
    <definedName name="S3P24" localSheetId="8">#REF!</definedName>
    <definedName name="S3P24">#REF!</definedName>
    <definedName name="S3P3" localSheetId="4">#REF!</definedName>
    <definedName name="S3P3" localSheetId="5">#REF!</definedName>
    <definedName name="S3P3" localSheetId="0">#REF!</definedName>
    <definedName name="S3P3" localSheetId="9">#REF!</definedName>
    <definedName name="S3P3" localSheetId="10">#REF!</definedName>
    <definedName name="S3P3" localSheetId="8">#REF!</definedName>
    <definedName name="S3P3">#REF!</definedName>
    <definedName name="S3P4" localSheetId="4">#REF!</definedName>
    <definedName name="S3P4" localSheetId="5">#REF!</definedName>
    <definedName name="S3P4" localSheetId="0">#REF!</definedName>
    <definedName name="S3P4" localSheetId="9">#REF!</definedName>
    <definedName name="S3P4" localSheetId="10">#REF!</definedName>
    <definedName name="S3P4" localSheetId="8">#REF!</definedName>
    <definedName name="S3P4">#REF!</definedName>
    <definedName name="S3P5" localSheetId="4">#REF!</definedName>
    <definedName name="S3P5" localSheetId="5">#REF!</definedName>
    <definedName name="S3P5" localSheetId="0">#REF!</definedName>
    <definedName name="S3P5" localSheetId="9">#REF!</definedName>
    <definedName name="S3P5" localSheetId="10">#REF!</definedName>
    <definedName name="S3P5" localSheetId="8">#REF!</definedName>
    <definedName name="S3P5">#REF!</definedName>
    <definedName name="S3P6" localSheetId="4">#REF!</definedName>
    <definedName name="S3P6" localSheetId="5">#REF!</definedName>
    <definedName name="S3P6" localSheetId="0">#REF!</definedName>
    <definedName name="S3P6" localSheetId="9">#REF!</definedName>
    <definedName name="S3P6" localSheetId="10">#REF!</definedName>
    <definedName name="S3P6" localSheetId="8">#REF!</definedName>
    <definedName name="S3P6">#REF!</definedName>
    <definedName name="S3P7" localSheetId="4">#REF!</definedName>
    <definedName name="S3P7" localSheetId="5">#REF!</definedName>
    <definedName name="S3P7" localSheetId="0">#REF!</definedName>
    <definedName name="S3P7" localSheetId="9">#REF!</definedName>
    <definedName name="S3P7" localSheetId="10">#REF!</definedName>
    <definedName name="S3P7" localSheetId="8">#REF!</definedName>
    <definedName name="S3P7">#REF!</definedName>
    <definedName name="S3P8" localSheetId="4">#REF!</definedName>
    <definedName name="S3P8" localSheetId="5">#REF!</definedName>
    <definedName name="S3P8" localSheetId="0">#REF!</definedName>
    <definedName name="S3P8" localSheetId="9">#REF!</definedName>
    <definedName name="S3P8" localSheetId="10">#REF!</definedName>
    <definedName name="S3P8" localSheetId="8">#REF!</definedName>
    <definedName name="S3P8">#REF!</definedName>
    <definedName name="S3P9" localSheetId="4">#REF!</definedName>
    <definedName name="S3P9" localSheetId="5">#REF!</definedName>
    <definedName name="S3P9" localSheetId="0">#REF!</definedName>
    <definedName name="S3P9" localSheetId="9">#REF!</definedName>
    <definedName name="S3P9" localSheetId="10">#REF!</definedName>
    <definedName name="S3P9" localSheetId="8">#REF!</definedName>
    <definedName name="S3P9">#REF!</definedName>
    <definedName name="S3R1" localSheetId="4">#REF!</definedName>
    <definedName name="S3R1" localSheetId="5">#REF!</definedName>
    <definedName name="S3R1" localSheetId="0">#REF!</definedName>
    <definedName name="S3R1" localSheetId="9">#REF!</definedName>
    <definedName name="S3R1" localSheetId="10">#REF!</definedName>
    <definedName name="S3R1" localSheetId="8">#REF!</definedName>
    <definedName name="S3R1">#REF!</definedName>
    <definedName name="S3R10" localSheetId="4">#REF!</definedName>
    <definedName name="S3R10" localSheetId="5">#REF!</definedName>
    <definedName name="S3R10" localSheetId="0">#REF!</definedName>
    <definedName name="S3R10" localSheetId="9">#REF!</definedName>
    <definedName name="S3R10" localSheetId="10">#REF!</definedName>
    <definedName name="S3R10" localSheetId="8">#REF!</definedName>
    <definedName name="S3R10">#REF!</definedName>
    <definedName name="S3R11" localSheetId="4">#REF!</definedName>
    <definedName name="S3R11" localSheetId="5">#REF!</definedName>
    <definedName name="S3R11" localSheetId="0">#REF!</definedName>
    <definedName name="S3R11" localSheetId="9">#REF!</definedName>
    <definedName name="S3R11" localSheetId="10">#REF!</definedName>
    <definedName name="S3R11" localSheetId="8">#REF!</definedName>
    <definedName name="S3R11">#REF!</definedName>
    <definedName name="S3R12" localSheetId="4">#REF!</definedName>
    <definedName name="S3R12" localSheetId="5">#REF!</definedName>
    <definedName name="S3R12" localSheetId="0">#REF!</definedName>
    <definedName name="S3R12" localSheetId="9">#REF!</definedName>
    <definedName name="S3R12" localSheetId="10">#REF!</definedName>
    <definedName name="S3R12" localSheetId="8">#REF!</definedName>
    <definedName name="S3R12">#REF!</definedName>
    <definedName name="S3R13" localSheetId="4">#REF!</definedName>
    <definedName name="S3R13" localSheetId="5">#REF!</definedName>
    <definedName name="S3R13" localSheetId="0">#REF!</definedName>
    <definedName name="S3R13" localSheetId="9">#REF!</definedName>
    <definedName name="S3R13" localSheetId="10">#REF!</definedName>
    <definedName name="S3R13" localSheetId="8">#REF!</definedName>
    <definedName name="S3R13">#REF!</definedName>
    <definedName name="S3R14" localSheetId="4">#REF!</definedName>
    <definedName name="S3R14" localSheetId="5">#REF!</definedName>
    <definedName name="S3R14" localSheetId="0">#REF!</definedName>
    <definedName name="S3R14" localSheetId="9">#REF!</definedName>
    <definedName name="S3R14" localSheetId="10">#REF!</definedName>
    <definedName name="S3R14" localSheetId="8">#REF!</definedName>
    <definedName name="S3R14">#REF!</definedName>
    <definedName name="S3R15" localSheetId="4">#REF!</definedName>
    <definedName name="S3R15" localSheetId="5">#REF!</definedName>
    <definedName name="S3R15" localSheetId="0">#REF!</definedName>
    <definedName name="S3R15" localSheetId="9">#REF!</definedName>
    <definedName name="S3R15" localSheetId="10">#REF!</definedName>
    <definedName name="S3R15" localSheetId="8">#REF!</definedName>
    <definedName name="S3R15">#REF!</definedName>
    <definedName name="S3R16" localSheetId="4">#REF!</definedName>
    <definedName name="S3R16" localSheetId="5">#REF!</definedName>
    <definedName name="S3R16" localSheetId="0">#REF!</definedName>
    <definedName name="S3R16" localSheetId="9">#REF!</definedName>
    <definedName name="S3R16" localSheetId="10">#REF!</definedName>
    <definedName name="S3R16" localSheetId="8">#REF!</definedName>
    <definedName name="S3R16">#REF!</definedName>
    <definedName name="S3R17" localSheetId="4">#REF!</definedName>
    <definedName name="S3R17" localSheetId="5">#REF!</definedName>
    <definedName name="S3R17" localSheetId="0">#REF!</definedName>
    <definedName name="S3R17" localSheetId="9">#REF!</definedName>
    <definedName name="S3R17" localSheetId="10">#REF!</definedName>
    <definedName name="S3R17" localSheetId="8">#REF!</definedName>
    <definedName name="S3R17">#REF!</definedName>
    <definedName name="S3R18" localSheetId="4">#REF!</definedName>
    <definedName name="S3R18" localSheetId="5">#REF!</definedName>
    <definedName name="S3R18" localSheetId="0">#REF!</definedName>
    <definedName name="S3R18" localSheetId="9">#REF!</definedName>
    <definedName name="S3R18" localSheetId="10">#REF!</definedName>
    <definedName name="S3R18" localSheetId="8">#REF!</definedName>
    <definedName name="S3R18">#REF!</definedName>
    <definedName name="S3R19" localSheetId="4">#REF!</definedName>
    <definedName name="S3R19" localSheetId="5">#REF!</definedName>
    <definedName name="S3R19" localSheetId="0">#REF!</definedName>
    <definedName name="S3R19" localSheetId="9">#REF!</definedName>
    <definedName name="S3R19" localSheetId="10">#REF!</definedName>
    <definedName name="S3R19" localSheetId="8">#REF!</definedName>
    <definedName name="S3R19">#REF!</definedName>
    <definedName name="S3R2" localSheetId="4">#REF!</definedName>
    <definedName name="S3R2" localSheetId="5">#REF!</definedName>
    <definedName name="S3R2" localSheetId="0">#REF!</definedName>
    <definedName name="S3R2" localSheetId="9">#REF!</definedName>
    <definedName name="S3R2" localSheetId="10">#REF!</definedName>
    <definedName name="S3R2" localSheetId="8">#REF!</definedName>
    <definedName name="S3R2">#REF!</definedName>
    <definedName name="S3R20" localSheetId="4">#REF!</definedName>
    <definedName name="S3R20" localSheetId="5">#REF!</definedName>
    <definedName name="S3R20" localSheetId="0">#REF!</definedName>
    <definedName name="S3R20" localSheetId="9">#REF!</definedName>
    <definedName name="S3R20" localSheetId="10">#REF!</definedName>
    <definedName name="S3R20" localSheetId="8">#REF!</definedName>
    <definedName name="S3R20">#REF!</definedName>
    <definedName name="S3R21" localSheetId="4">#REF!</definedName>
    <definedName name="S3R21" localSheetId="5">#REF!</definedName>
    <definedName name="S3R21" localSheetId="0">#REF!</definedName>
    <definedName name="S3R21" localSheetId="9">#REF!</definedName>
    <definedName name="S3R21" localSheetId="10">#REF!</definedName>
    <definedName name="S3R21" localSheetId="8">#REF!</definedName>
    <definedName name="S3R21">#REF!</definedName>
    <definedName name="S3R22" localSheetId="4">#REF!</definedName>
    <definedName name="S3R22" localSheetId="5">#REF!</definedName>
    <definedName name="S3R22" localSheetId="0">#REF!</definedName>
    <definedName name="S3R22" localSheetId="9">#REF!</definedName>
    <definedName name="S3R22" localSheetId="10">#REF!</definedName>
    <definedName name="S3R22" localSheetId="8">#REF!</definedName>
    <definedName name="S3R22">#REF!</definedName>
    <definedName name="S3R23" localSheetId="4">#REF!</definedName>
    <definedName name="S3R23" localSheetId="5">#REF!</definedName>
    <definedName name="S3R23" localSheetId="0">#REF!</definedName>
    <definedName name="S3R23" localSheetId="9">#REF!</definedName>
    <definedName name="S3R23" localSheetId="10">#REF!</definedName>
    <definedName name="S3R23" localSheetId="8">#REF!</definedName>
    <definedName name="S3R23">#REF!</definedName>
    <definedName name="S3R24" localSheetId="4">#REF!</definedName>
    <definedName name="S3R24" localSheetId="5">#REF!</definedName>
    <definedName name="S3R24" localSheetId="0">#REF!</definedName>
    <definedName name="S3R24" localSheetId="9">#REF!</definedName>
    <definedName name="S3R24" localSheetId="10">#REF!</definedName>
    <definedName name="S3R24" localSheetId="8">#REF!</definedName>
    <definedName name="S3R24">#REF!</definedName>
    <definedName name="S3R3" localSheetId="4">#REF!</definedName>
    <definedName name="S3R3" localSheetId="5">#REF!</definedName>
    <definedName name="S3R3" localSheetId="0">#REF!</definedName>
    <definedName name="S3R3" localSheetId="9">#REF!</definedName>
    <definedName name="S3R3" localSheetId="10">#REF!</definedName>
    <definedName name="S3R3" localSheetId="8">#REF!</definedName>
    <definedName name="S3R3">#REF!</definedName>
    <definedName name="S3R4" localSheetId="4">#REF!</definedName>
    <definedName name="S3R4" localSheetId="5">#REF!</definedName>
    <definedName name="S3R4" localSheetId="0">#REF!</definedName>
    <definedName name="S3R4" localSheetId="9">#REF!</definedName>
    <definedName name="S3R4" localSheetId="10">#REF!</definedName>
    <definedName name="S3R4" localSheetId="8">#REF!</definedName>
    <definedName name="S3R4">#REF!</definedName>
    <definedName name="S3R5" localSheetId="4">#REF!</definedName>
    <definedName name="S3R5" localSheetId="5">#REF!</definedName>
    <definedName name="S3R5" localSheetId="0">#REF!</definedName>
    <definedName name="S3R5" localSheetId="9">#REF!</definedName>
    <definedName name="S3R5" localSheetId="10">#REF!</definedName>
    <definedName name="S3R5" localSheetId="8">#REF!</definedName>
    <definedName name="S3R5">#REF!</definedName>
    <definedName name="S3R6" localSheetId="4">#REF!</definedName>
    <definedName name="S3R6" localSheetId="5">#REF!</definedName>
    <definedName name="S3R6" localSheetId="0">#REF!</definedName>
    <definedName name="S3R6" localSheetId="9">#REF!</definedName>
    <definedName name="S3R6" localSheetId="10">#REF!</definedName>
    <definedName name="S3R6" localSheetId="8">#REF!</definedName>
    <definedName name="S3R6">#REF!</definedName>
    <definedName name="S3R7" localSheetId="4">#REF!</definedName>
    <definedName name="S3R7" localSheetId="5">#REF!</definedName>
    <definedName name="S3R7" localSheetId="0">#REF!</definedName>
    <definedName name="S3R7" localSheetId="9">#REF!</definedName>
    <definedName name="S3R7" localSheetId="10">#REF!</definedName>
    <definedName name="S3R7" localSheetId="8">#REF!</definedName>
    <definedName name="S3R7">#REF!</definedName>
    <definedName name="S3R8" localSheetId="4">#REF!</definedName>
    <definedName name="S3R8" localSheetId="5">#REF!</definedName>
    <definedName name="S3R8" localSheetId="0">#REF!</definedName>
    <definedName name="S3R8" localSheetId="9">#REF!</definedName>
    <definedName name="S3R8" localSheetId="10">#REF!</definedName>
    <definedName name="S3R8" localSheetId="8">#REF!</definedName>
    <definedName name="S3R8">#REF!</definedName>
    <definedName name="S3R9" localSheetId="4">#REF!</definedName>
    <definedName name="S3R9" localSheetId="5">#REF!</definedName>
    <definedName name="S3R9" localSheetId="0">#REF!</definedName>
    <definedName name="S3R9" localSheetId="9">#REF!</definedName>
    <definedName name="S3R9" localSheetId="10">#REF!</definedName>
    <definedName name="S3R9" localSheetId="8">#REF!</definedName>
    <definedName name="S3R9">#REF!</definedName>
    <definedName name="S40P1" localSheetId="4">#REF!</definedName>
    <definedName name="S40P1" localSheetId="5">#REF!</definedName>
    <definedName name="S40P1" localSheetId="0">#REF!</definedName>
    <definedName name="S40P1" localSheetId="9">#REF!</definedName>
    <definedName name="S40P1" localSheetId="10">#REF!</definedName>
    <definedName name="S40P1" localSheetId="8">#REF!</definedName>
    <definedName name="S40P1">#REF!</definedName>
    <definedName name="S40P10" localSheetId="4">#REF!</definedName>
    <definedName name="S40P10" localSheetId="5">#REF!</definedName>
    <definedName name="S40P10" localSheetId="0">#REF!</definedName>
    <definedName name="S40P10" localSheetId="9">#REF!</definedName>
    <definedName name="S40P10" localSheetId="10">#REF!</definedName>
    <definedName name="S40P10" localSheetId="8">#REF!</definedName>
    <definedName name="S40P10">#REF!</definedName>
    <definedName name="S40P11" localSheetId="4">#REF!</definedName>
    <definedName name="S40P11" localSheetId="5">#REF!</definedName>
    <definedName name="S40P11" localSheetId="0">#REF!</definedName>
    <definedName name="S40P11" localSheetId="9">#REF!</definedName>
    <definedName name="S40P11" localSheetId="10">#REF!</definedName>
    <definedName name="S40P11" localSheetId="8">#REF!</definedName>
    <definedName name="S40P11">#REF!</definedName>
    <definedName name="S40P12" localSheetId="4">#REF!</definedName>
    <definedName name="S40P12" localSheetId="5">#REF!</definedName>
    <definedName name="S40P12" localSheetId="0">#REF!</definedName>
    <definedName name="S40P12" localSheetId="9">#REF!</definedName>
    <definedName name="S40P12" localSheetId="10">#REF!</definedName>
    <definedName name="S40P12" localSheetId="8">#REF!</definedName>
    <definedName name="S40P12">#REF!</definedName>
    <definedName name="S40P13" localSheetId="4">#REF!</definedName>
    <definedName name="S40P13" localSheetId="5">#REF!</definedName>
    <definedName name="S40P13" localSheetId="0">#REF!</definedName>
    <definedName name="S40P13" localSheetId="9">#REF!</definedName>
    <definedName name="S40P13" localSheetId="10">#REF!</definedName>
    <definedName name="S40P13" localSheetId="8">#REF!</definedName>
    <definedName name="S40P13">#REF!</definedName>
    <definedName name="S40P14" localSheetId="4">#REF!</definedName>
    <definedName name="S40P14" localSheetId="5">#REF!</definedName>
    <definedName name="S40P14" localSheetId="0">#REF!</definedName>
    <definedName name="S40P14" localSheetId="9">#REF!</definedName>
    <definedName name="S40P14" localSheetId="10">#REF!</definedName>
    <definedName name="S40P14" localSheetId="8">#REF!</definedName>
    <definedName name="S40P14">#REF!</definedName>
    <definedName name="S40P15" localSheetId="4">#REF!</definedName>
    <definedName name="S40P15" localSheetId="5">#REF!</definedName>
    <definedName name="S40P15" localSheetId="0">#REF!</definedName>
    <definedName name="S40P15" localSheetId="9">#REF!</definedName>
    <definedName name="S40P15" localSheetId="10">#REF!</definedName>
    <definedName name="S40P15" localSheetId="8">#REF!</definedName>
    <definedName name="S40P15">#REF!</definedName>
    <definedName name="S40P16" localSheetId="4">#REF!</definedName>
    <definedName name="S40P16" localSheetId="5">#REF!</definedName>
    <definedName name="S40P16" localSheetId="0">#REF!</definedName>
    <definedName name="S40P16" localSheetId="9">#REF!</definedName>
    <definedName name="S40P16" localSheetId="10">#REF!</definedName>
    <definedName name="S40P16" localSheetId="8">#REF!</definedName>
    <definedName name="S40P16">#REF!</definedName>
    <definedName name="S40P17" localSheetId="4">#REF!</definedName>
    <definedName name="S40P17" localSheetId="5">#REF!</definedName>
    <definedName name="S40P17" localSheetId="0">#REF!</definedName>
    <definedName name="S40P17" localSheetId="9">#REF!</definedName>
    <definedName name="S40P17" localSheetId="10">#REF!</definedName>
    <definedName name="S40P17" localSheetId="8">#REF!</definedName>
    <definedName name="S40P17">#REF!</definedName>
    <definedName name="S40P18" localSheetId="4">#REF!</definedName>
    <definedName name="S40P18" localSheetId="5">#REF!</definedName>
    <definedName name="S40P18" localSheetId="0">#REF!</definedName>
    <definedName name="S40P18" localSheetId="9">#REF!</definedName>
    <definedName name="S40P18" localSheetId="10">#REF!</definedName>
    <definedName name="S40P18" localSheetId="8">#REF!</definedName>
    <definedName name="S40P18">#REF!</definedName>
    <definedName name="S40P19" localSheetId="4">#REF!</definedName>
    <definedName name="S40P19" localSheetId="5">#REF!</definedName>
    <definedName name="S40P19" localSheetId="0">#REF!</definedName>
    <definedName name="S40P19" localSheetId="9">#REF!</definedName>
    <definedName name="S40P19" localSheetId="10">#REF!</definedName>
    <definedName name="S40P19" localSheetId="8">#REF!</definedName>
    <definedName name="S40P19">#REF!</definedName>
    <definedName name="S40P2" localSheetId="4">#REF!</definedName>
    <definedName name="S40P2" localSheetId="5">#REF!</definedName>
    <definedName name="S40P2" localSheetId="0">#REF!</definedName>
    <definedName name="S40P2" localSheetId="9">#REF!</definedName>
    <definedName name="S40P2" localSheetId="10">#REF!</definedName>
    <definedName name="S40P2" localSheetId="8">#REF!</definedName>
    <definedName name="S40P2">#REF!</definedName>
    <definedName name="S40P20" localSheetId="4">#REF!</definedName>
    <definedName name="S40P20" localSheetId="5">#REF!</definedName>
    <definedName name="S40P20" localSheetId="0">#REF!</definedName>
    <definedName name="S40P20" localSheetId="9">#REF!</definedName>
    <definedName name="S40P20" localSheetId="10">#REF!</definedName>
    <definedName name="S40P20" localSheetId="8">#REF!</definedName>
    <definedName name="S40P20">#REF!</definedName>
    <definedName name="S40P21" localSheetId="4">#REF!</definedName>
    <definedName name="S40P21" localSheetId="5">#REF!</definedName>
    <definedName name="S40P21" localSheetId="0">#REF!</definedName>
    <definedName name="S40P21" localSheetId="9">#REF!</definedName>
    <definedName name="S40P21" localSheetId="10">#REF!</definedName>
    <definedName name="S40P21" localSheetId="8">#REF!</definedName>
    <definedName name="S40P21">#REF!</definedName>
    <definedName name="S40P22" localSheetId="4">#REF!</definedName>
    <definedName name="S40P22" localSheetId="5">#REF!</definedName>
    <definedName name="S40P22" localSheetId="0">#REF!</definedName>
    <definedName name="S40P22" localSheetId="9">#REF!</definedName>
    <definedName name="S40P22" localSheetId="10">#REF!</definedName>
    <definedName name="S40P22" localSheetId="8">#REF!</definedName>
    <definedName name="S40P22">#REF!</definedName>
    <definedName name="S40P23" localSheetId="4">#REF!</definedName>
    <definedName name="S40P23" localSheetId="5">#REF!</definedName>
    <definedName name="S40P23" localSheetId="0">#REF!</definedName>
    <definedName name="S40P23" localSheetId="9">#REF!</definedName>
    <definedName name="S40P23" localSheetId="10">#REF!</definedName>
    <definedName name="S40P23" localSheetId="8">#REF!</definedName>
    <definedName name="S40P23">#REF!</definedName>
    <definedName name="S40P24" localSheetId="4">#REF!</definedName>
    <definedName name="S40P24" localSheetId="5">#REF!</definedName>
    <definedName name="S40P24" localSheetId="0">#REF!</definedName>
    <definedName name="S40P24" localSheetId="9">#REF!</definedName>
    <definedName name="S40P24" localSheetId="10">#REF!</definedName>
    <definedName name="S40P24" localSheetId="8">#REF!</definedName>
    <definedName name="S40P24">#REF!</definedName>
    <definedName name="S40P3" localSheetId="4">#REF!</definedName>
    <definedName name="S40P3" localSheetId="5">#REF!</definedName>
    <definedName name="S40P3" localSheetId="0">#REF!</definedName>
    <definedName name="S40P3" localSheetId="9">#REF!</definedName>
    <definedName name="S40P3" localSheetId="10">#REF!</definedName>
    <definedName name="S40P3" localSheetId="8">#REF!</definedName>
    <definedName name="S40P3">#REF!</definedName>
    <definedName name="S40P4" localSheetId="4">#REF!</definedName>
    <definedName name="S40P4" localSheetId="5">#REF!</definedName>
    <definedName name="S40P4" localSheetId="0">#REF!</definedName>
    <definedName name="S40P4" localSheetId="9">#REF!</definedName>
    <definedName name="S40P4" localSheetId="10">#REF!</definedName>
    <definedName name="S40P4" localSheetId="8">#REF!</definedName>
    <definedName name="S40P4">#REF!</definedName>
    <definedName name="S40P5" localSheetId="4">#REF!</definedName>
    <definedName name="S40P5" localSheetId="5">#REF!</definedName>
    <definedName name="S40P5" localSheetId="0">#REF!</definedName>
    <definedName name="S40P5" localSheetId="9">#REF!</definedName>
    <definedName name="S40P5" localSheetId="10">#REF!</definedName>
    <definedName name="S40P5" localSheetId="8">#REF!</definedName>
    <definedName name="S40P5">#REF!</definedName>
    <definedName name="S40P6" localSheetId="4">#REF!</definedName>
    <definedName name="S40P6" localSheetId="5">#REF!</definedName>
    <definedName name="S40P6" localSheetId="0">#REF!</definedName>
    <definedName name="S40P6" localSheetId="9">#REF!</definedName>
    <definedName name="S40P6" localSheetId="10">#REF!</definedName>
    <definedName name="S40P6" localSheetId="8">#REF!</definedName>
    <definedName name="S40P6">#REF!</definedName>
    <definedName name="S40P7" localSheetId="4">#REF!</definedName>
    <definedName name="S40P7" localSheetId="5">#REF!</definedName>
    <definedName name="S40P7" localSheetId="0">#REF!</definedName>
    <definedName name="S40P7" localSheetId="9">#REF!</definedName>
    <definedName name="S40P7" localSheetId="10">#REF!</definedName>
    <definedName name="S40P7" localSheetId="8">#REF!</definedName>
    <definedName name="S40P7">#REF!</definedName>
    <definedName name="S40P8" localSheetId="4">#REF!</definedName>
    <definedName name="S40P8" localSheetId="5">#REF!</definedName>
    <definedName name="S40P8" localSheetId="0">#REF!</definedName>
    <definedName name="S40P8" localSheetId="9">#REF!</definedName>
    <definedName name="S40P8" localSheetId="10">#REF!</definedName>
    <definedName name="S40P8" localSheetId="8">#REF!</definedName>
    <definedName name="S40P8">#REF!</definedName>
    <definedName name="S40P9" localSheetId="4">#REF!</definedName>
    <definedName name="S40P9" localSheetId="5">#REF!</definedName>
    <definedName name="S40P9" localSheetId="0">#REF!</definedName>
    <definedName name="S40P9" localSheetId="9">#REF!</definedName>
    <definedName name="S40P9" localSheetId="10">#REF!</definedName>
    <definedName name="S40P9" localSheetId="8">#REF!</definedName>
    <definedName name="S40P9">#REF!</definedName>
    <definedName name="S40R1" localSheetId="4">#REF!</definedName>
    <definedName name="S40R1" localSheetId="5">#REF!</definedName>
    <definedName name="S40R1" localSheetId="0">#REF!</definedName>
    <definedName name="S40R1" localSheetId="9">#REF!</definedName>
    <definedName name="S40R1" localSheetId="10">#REF!</definedName>
    <definedName name="S40R1" localSheetId="8">#REF!</definedName>
    <definedName name="S40R1">#REF!</definedName>
    <definedName name="S40R10" localSheetId="4">#REF!</definedName>
    <definedName name="S40R10" localSheetId="5">#REF!</definedName>
    <definedName name="S40R10" localSheetId="0">#REF!</definedName>
    <definedName name="S40R10" localSheetId="9">#REF!</definedName>
    <definedName name="S40R10" localSheetId="10">#REF!</definedName>
    <definedName name="S40R10" localSheetId="8">#REF!</definedName>
    <definedName name="S40R10">#REF!</definedName>
    <definedName name="S40R11" localSheetId="4">#REF!</definedName>
    <definedName name="S40R11" localSheetId="5">#REF!</definedName>
    <definedName name="S40R11" localSheetId="0">#REF!</definedName>
    <definedName name="S40R11" localSheetId="9">#REF!</definedName>
    <definedName name="S40R11" localSheetId="10">#REF!</definedName>
    <definedName name="S40R11" localSheetId="8">#REF!</definedName>
    <definedName name="S40R11">#REF!</definedName>
    <definedName name="S40R12" localSheetId="4">#REF!</definedName>
    <definedName name="S40R12" localSheetId="5">#REF!</definedName>
    <definedName name="S40R12" localSheetId="0">#REF!</definedName>
    <definedName name="S40R12" localSheetId="9">#REF!</definedName>
    <definedName name="S40R12" localSheetId="10">#REF!</definedName>
    <definedName name="S40R12" localSheetId="8">#REF!</definedName>
    <definedName name="S40R12">#REF!</definedName>
    <definedName name="S40R13" localSheetId="4">#REF!</definedName>
    <definedName name="S40R13" localSheetId="5">#REF!</definedName>
    <definedName name="S40R13" localSheetId="0">#REF!</definedName>
    <definedName name="S40R13" localSheetId="9">#REF!</definedName>
    <definedName name="S40R13" localSheetId="10">#REF!</definedName>
    <definedName name="S40R13" localSheetId="8">#REF!</definedName>
    <definedName name="S40R13">#REF!</definedName>
    <definedName name="S40R14" localSheetId="4">#REF!</definedName>
    <definedName name="S40R14" localSheetId="5">#REF!</definedName>
    <definedName name="S40R14" localSheetId="0">#REF!</definedName>
    <definedName name="S40R14" localSheetId="9">#REF!</definedName>
    <definedName name="S40R14" localSheetId="10">#REF!</definedName>
    <definedName name="S40R14" localSheetId="8">#REF!</definedName>
    <definedName name="S40R14">#REF!</definedName>
    <definedName name="S40R15" localSheetId="4">#REF!</definedName>
    <definedName name="S40R15" localSheetId="5">#REF!</definedName>
    <definedName name="S40R15" localSheetId="0">#REF!</definedName>
    <definedName name="S40R15" localSheetId="9">#REF!</definedName>
    <definedName name="S40R15" localSheetId="10">#REF!</definedName>
    <definedName name="S40R15" localSheetId="8">#REF!</definedName>
    <definedName name="S40R15">#REF!</definedName>
    <definedName name="S40R16" localSheetId="4">#REF!</definedName>
    <definedName name="S40R16" localSheetId="5">#REF!</definedName>
    <definedName name="S40R16" localSheetId="0">#REF!</definedName>
    <definedName name="S40R16" localSheetId="9">#REF!</definedName>
    <definedName name="S40R16" localSheetId="10">#REF!</definedName>
    <definedName name="S40R16" localSheetId="8">#REF!</definedName>
    <definedName name="S40R16">#REF!</definedName>
    <definedName name="S40R17" localSheetId="4">#REF!</definedName>
    <definedName name="S40R17" localSheetId="5">#REF!</definedName>
    <definedName name="S40R17" localSheetId="0">#REF!</definedName>
    <definedName name="S40R17" localSheetId="9">#REF!</definedName>
    <definedName name="S40R17" localSheetId="10">#REF!</definedName>
    <definedName name="S40R17" localSheetId="8">#REF!</definedName>
    <definedName name="S40R17">#REF!</definedName>
    <definedName name="S40R18" localSheetId="4">#REF!</definedName>
    <definedName name="S40R18" localSheetId="5">#REF!</definedName>
    <definedName name="S40R18" localSheetId="0">#REF!</definedName>
    <definedName name="S40R18" localSheetId="9">#REF!</definedName>
    <definedName name="S40R18" localSheetId="10">#REF!</definedName>
    <definedName name="S40R18" localSheetId="8">#REF!</definedName>
    <definedName name="S40R18">#REF!</definedName>
    <definedName name="S40R19" localSheetId="4">#REF!</definedName>
    <definedName name="S40R19" localSheetId="5">#REF!</definedName>
    <definedName name="S40R19" localSheetId="0">#REF!</definedName>
    <definedName name="S40R19" localSheetId="9">#REF!</definedName>
    <definedName name="S40R19" localSheetId="10">#REF!</definedName>
    <definedName name="S40R19" localSheetId="8">#REF!</definedName>
    <definedName name="S40R19">#REF!</definedName>
    <definedName name="S40R2" localSheetId="4">#REF!</definedName>
    <definedName name="S40R2" localSheetId="5">#REF!</definedName>
    <definedName name="S40R2" localSheetId="0">#REF!</definedName>
    <definedName name="S40R2" localSheetId="9">#REF!</definedName>
    <definedName name="S40R2" localSheetId="10">#REF!</definedName>
    <definedName name="S40R2" localSheetId="8">#REF!</definedName>
    <definedName name="S40R2">#REF!</definedName>
    <definedName name="S40R20" localSheetId="4">#REF!</definedName>
    <definedName name="S40R20" localSheetId="5">#REF!</definedName>
    <definedName name="S40R20" localSheetId="0">#REF!</definedName>
    <definedName name="S40R20" localSheetId="9">#REF!</definedName>
    <definedName name="S40R20" localSheetId="10">#REF!</definedName>
    <definedName name="S40R20" localSheetId="8">#REF!</definedName>
    <definedName name="S40R20">#REF!</definedName>
    <definedName name="S40R21" localSheetId="4">#REF!</definedName>
    <definedName name="S40R21" localSheetId="5">#REF!</definedName>
    <definedName name="S40R21" localSheetId="0">#REF!</definedName>
    <definedName name="S40R21" localSheetId="9">#REF!</definedName>
    <definedName name="S40R21" localSheetId="10">#REF!</definedName>
    <definedName name="S40R21" localSheetId="8">#REF!</definedName>
    <definedName name="S40R21">#REF!</definedName>
    <definedName name="S40R22" localSheetId="4">#REF!</definedName>
    <definedName name="S40R22" localSheetId="5">#REF!</definedName>
    <definedName name="S40R22" localSheetId="0">#REF!</definedName>
    <definedName name="S40R22" localSheetId="9">#REF!</definedName>
    <definedName name="S40R22" localSheetId="10">#REF!</definedName>
    <definedName name="S40R22" localSheetId="8">#REF!</definedName>
    <definedName name="S40R22">#REF!</definedName>
    <definedName name="S40R23" localSheetId="4">#REF!</definedName>
    <definedName name="S40R23" localSheetId="5">#REF!</definedName>
    <definedName name="S40R23" localSheetId="0">#REF!</definedName>
    <definedName name="S40R23" localSheetId="9">#REF!</definedName>
    <definedName name="S40R23" localSheetId="10">#REF!</definedName>
    <definedName name="S40R23" localSheetId="8">#REF!</definedName>
    <definedName name="S40R23">#REF!</definedName>
    <definedName name="S40R24" localSheetId="4">#REF!</definedName>
    <definedName name="S40R24" localSheetId="5">#REF!</definedName>
    <definedName name="S40R24" localSheetId="0">#REF!</definedName>
    <definedName name="S40R24" localSheetId="9">#REF!</definedName>
    <definedName name="S40R24" localSheetId="10">#REF!</definedName>
    <definedName name="S40R24" localSheetId="8">#REF!</definedName>
    <definedName name="S40R24">#REF!</definedName>
    <definedName name="S40R3" localSheetId="4">#REF!</definedName>
    <definedName name="S40R3" localSheetId="5">#REF!</definedName>
    <definedName name="S40R3" localSheetId="0">#REF!</definedName>
    <definedName name="S40R3" localSheetId="9">#REF!</definedName>
    <definedName name="S40R3" localSheetId="10">#REF!</definedName>
    <definedName name="S40R3" localSheetId="8">#REF!</definedName>
    <definedName name="S40R3">#REF!</definedName>
    <definedName name="S40R4" localSheetId="4">#REF!</definedName>
    <definedName name="S40R4" localSheetId="5">#REF!</definedName>
    <definedName name="S40R4" localSheetId="0">#REF!</definedName>
    <definedName name="S40R4" localSheetId="9">#REF!</definedName>
    <definedName name="S40R4" localSheetId="10">#REF!</definedName>
    <definedName name="S40R4" localSheetId="8">#REF!</definedName>
    <definedName name="S40R4">#REF!</definedName>
    <definedName name="S40R5" localSheetId="4">#REF!</definedName>
    <definedName name="S40R5" localSheetId="5">#REF!</definedName>
    <definedName name="S40R5" localSheetId="0">#REF!</definedName>
    <definedName name="S40R5" localSheetId="9">#REF!</definedName>
    <definedName name="S40R5" localSheetId="10">#REF!</definedName>
    <definedName name="S40R5" localSheetId="8">#REF!</definedName>
    <definedName name="S40R5">#REF!</definedName>
    <definedName name="S40R6" localSheetId="4">#REF!</definedName>
    <definedName name="S40R6" localSheetId="5">#REF!</definedName>
    <definedName name="S40R6" localSheetId="0">#REF!</definedName>
    <definedName name="S40R6" localSheetId="9">#REF!</definedName>
    <definedName name="S40R6" localSheetId="10">#REF!</definedName>
    <definedName name="S40R6" localSheetId="8">#REF!</definedName>
    <definedName name="S40R6">#REF!</definedName>
    <definedName name="S40R7" localSheetId="4">#REF!</definedName>
    <definedName name="S40R7" localSheetId="5">#REF!</definedName>
    <definedName name="S40R7" localSheetId="0">#REF!</definedName>
    <definedName name="S40R7" localSheetId="9">#REF!</definedName>
    <definedName name="S40R7" localSheetId="10">#REF!</definedName>
    <definedName name="S40R7" localSheetId="8">#REF!</definedName>
    <definedName name="S40R7">#REF!</definedName>
    <definedName name="S40R8" localSheetId="4">#REF!</definedName>
    <definedName name="S40R8" localSheetId="5">#REF!</definedName>
    <definedName name="S40R8" localSheetId="0">#REF!</definedName>
    <definedName name="S40R8" localSheetId="9">#REF!</definedName>
    <definedName name="S40R8" localSheetId="10">#REF!</definedName>
    <definedName name="S40R8" localSheetId="8">#REF!</definedName>
    <definedName name="S40R8">#REF!</definedName>
    <definedName name="S40R9" localSheetId="4">#REF!</definedName>
    <definedName name="S40R9" localSheetId="5">#REF!</definedName>
    <definedName name="S40R9" localSheetId="0">#REF!</definedName>
    <definedName name="S40R9" localSheetId="9">#REF!</definedName>
    <definedName name="S40R9" localSheetId="10">#REF!</definedName>
    <definedName name="S40R9" localSheetId="8">#REF!</definedName>
    <definedName name="S40R9">#REF!</definedName>
    <definedName name="S41P1" localSheetId="4">#REF!</definedName>
    <definedName name="S41P1" localSheetId="5">#REF!</definedName>
    <definedName name="S41P1" localSheetId="0">#REF!</definedName>
    <definedName name="S41P1" localSheetId="9">#REF!</definedName>
    <definedName name="S41P1" localSheetId="10">#REF!</definedName>
    <definedName name="S41P1" localSheetId="8">#REF!</definedName>
    <definedName name="S41P1">#REF!</definedName>
    <definedName name="S41P10" localSheetId="4">#REF!</definedName>
    <definedName name="S41P10" localSheetId="5">#REF!</definedName>
    <definedName name="S41P10" localSheetId="0">#REF!</definedName>
    <definedName name="S41P10" localSheetId="9">#REF!</definedName>
    <definedName name="S41P10" localSheetId="10">#REF!</definedName>
    <definedName name="S41P10" localSheetId="8">#REF!</definedName>
    <definedName name="S41P10">#REF!</definedName>
    <definedName name="S41P11" localSheetId="4">#REF!</definedName>
    <definedName name="S41P11" localSheetId="5">#REF!</definedName>
    <definedName name="S41P11" localSheetId="0">#REF!</definedName>
    <definedName name="S41P11" localSheetId="9">#REF!</definedName>
    <definedName name="S41P11" localSheetId="10">#REF!</definedName>
    <definedName name="S41P11" localSheetId="8">#REF!</definedName>
    <definedName name="S41P11">#REF!</definedName>
    <definedName name="S41P12" localSheetId="4">#REF!</definedName>
    <definedName name="S41P12" localSheetId="5">#REF!</definedName>
    <definedName name="S41P12" localSheetId="0">#REF!</definedName>
    <definedName name="S41P12" localSheetId="9">#REF!</definedName>
    <definedName name="S41P12" localSheetId="10">#REF!</definedName>
    <definedName name="S41P12" localSheetId="8">#REF!</definedName>
    <definedName name="S41P12">#REF!</definedName>
    <definedName name="S41P13" localSheetId="4">#REF!</definedName>
    <definedName name="S41P13" localSheetId="5">#REF!</definedName>
    <definedName name="S41P13" localSheetId="0">#REF!</definedName>
    <definedName name="S41P13" localSheetId="9">#REF!</definedName>
    <definedName name="S41P13" localSheetId="10">#REF!</definedName>
    <definedName name="S41P13" localSheetId="8">#REF!</definedName>
    <definedName name="S41P13">#REF!</definedName>
    <definedName name="S41P14" localSheetId="4">#REF!</definedName>
    <definedName name="S41P14" localSheetId="5">#REF!</definedName>
    <definedName name="S41P14" localSheetId="0">#REF!</definedName>
    <definedName name="S41P14" localSheetId="9">#REF!</definedName>
    <definedName name="S41P14" localSheetId="10">#REF!</definedName>
    <definedName name="S41P14" localSheetId="8">#REF!</definedName>
    <definedName name="S41P14">#REF!</definedName>
    <definedName name="S41P15" localSheetId="4">#REF!</definedName>
    <definedName name="S41P15" localSheetId="5">#REF!</definedName>
    <definedName name="S41P15" localSheetId="0">#REF!</definedName>
    <definedName name="S41P15" localSheetId="9">#REF!</definedName>
    <definedName name="S41P15" localSheetId="10">#REF!</definedName>
    <definedName name="S41P15" localSheetId="8">#REF!</definedName>
    <definedName name="S41P15">#REF!</definedName>
    <definedName name="S41P16" localSheetId="4">#REF!</definedName>
    <definedName name="S41P16" localSheetId="5">#REF!</definedName>
    <definedName name="S41P16" localSheetId="0">#REF!</definedName>
    <definedName name="S41P16" localSheetId="9">#REF!</definedName>
    <definedName name="S41P16" localSheetId="10">#REF!</definedName>
    <definedName name="S41P16" localSheetId="8">#REF!</definedName>
    <definedName name="S41P16">#REF!</definedName>
    <definedName name="S41P17" localSheetId="4">#REF!</definedName>
    <definedName name="S41P17" localSheetId="5">#REF!</definedName>
    <definedName name="S41P17" localSheetId="0">#REF!</definedName>
    <definedName name="S41P17" localSheetId="9">#REF!</definedName>
    <definedName name="S41P17" localSheetId="10">#REF!</definedName>
    <definedName name="S41P17" localSheetId="8">#REF!</definedName>
    <definedName name="S41P17">#REF!</definedName>
    <definedName name="S41P18" localSheetId="4">#REF!</definedName>
    <definedName name="S41P18" localSheetId="5">#REF!</definedName>
    <definedName name="S41P18" localSheetId="0">#REF!</definedName>
    <definedName name="S41P18" localSheetId="9">#REF!</definedName>
    <definedName name="S41P18" localSheetId="10">#REF!</definedName>
    <definedName name="S41P18" localSheetId="8">#REF!</definedName>
    <definedName name="S41P18">#REF!</definedName>
    <definedName name="S41P19" localSheetId="4">#REF!</definedName>
    <definedName name="S41P19" localSheetId="5">#REF!</definedName>
    <definedName name="S41P19" localSheetId="0">#REF!</definedName>
    <definedName name="S41P19" localSheetId="9">#REF!</definedName>
    <definedName name="S41P19" localSheetId="10">#REF!</definedName>
    <definedName name="S41P19" localSheetId="8">#REF!</definedName>
    <definedName name="S41P19">#REF!</definedName>
    <definedName name="S41P2" localSheetId="4">#REF!</definedName>
    <definedName name="S41P2" localSheetId="5">#REF!</definedName>
    <definedName name="S41P2" localSheetId="0">#REF!</definedName>
    <definedName name="S41P2" localSheetId="9">#REF!</definedName>
    <definedName name="S41P2" localSheetId="10">#REF!</definedName>
    <definedName name="S41P2" localSheetId="8">#REF!</definedName>
    <definedName name="S41P2">#REF!</definedName>
    <definedName name="S41P20" localSheetId="4">#REF!</definedName>
    <definedName name="S41P20" localSheetId="5">#REF!</definedName>
    <definedName name="S41P20" localSheetId="0">#REF!</definedName>
    <definedName name="S41P20" localSheetId="9">#REF!</definedName>
    <definedName name="S41P20" localSheetId="10">#REF!</definedName>
    <definedName name="S41P20" localSheetId="8">#REF!</definedName>
    <definedName name="S41P20">#REF!</definedName>
    <definedName name="S41P21" localSheetId="4">#REF!</definedName>
    <definedName name="S41P21" localSheetId="5">#REF!</definedName>
    <definedName name="S41P21" localSheetId="0">#REF!</definedName>
    <definedName name="S41P21" localSheetId="9">#REF!</definedName>
    <definedName name="S41P21" localSheetId="10">#REF!</definedName>
    <definedName name="S41P21" localSheetId="8">#REF!</definedName>
    <definedName name="S41P21">#REF!</definedName>
    <definedName name="S41P22" localSheetId="4">#REF!</definedName>
    <definedName name="S41P22" localSheetId="5">#REF!</definedName>
    <definedName name="S41P22" localSheetId="0">#REF!</definedName>
    <definedName name="S41P22" localSheetId="9">#REF!</definedName>
    <definedName name="S41P22" localSheetId="10">#REF!</definedName>
    <definedName name="S41P22" localSheetId="8">#REF!</definedName>
    <definedName name="S41P22">#REF!</definedName>
    <definedName name="S41P23" localSheetId="4">#REF!</definedName>
    <definedName name="S41P23" localSheetId="5">#REF!</definedName>
    <definedName name="S41P23" localSheetId="0">#REF!</definedName>
    <definedName name="S41P23" localSheetId="9">#REF!</definedName>
    <definedName name="S41P23" localSheetId="10">#REF!</definedName>
    <definedName name="S41P23" localSheetId="8">#REF!</definedName>
    <definedName name="S41P23">#REF!</definedName>
    <definedName name="S41P24" localSheetId="4">#REF!</definedName>
    <definedName name="S41P24" localSheetId="5">#REF!</definedName>
    <definedName name="S41P24" localSheetId="0">#REF!</definedName>
    <definedName name="S41P24" localSheetId="9">#REF!</definedName>
    <definedName name="S41P24" localSheetId="10">#REF!</definedName>
    <definedName name="S41P24" localSheetId="8">#REF!</definedName>
    <definedName name="S41P24">#REF!</definedName>
    <definedName name="S41P3" localSheetId="4">#REF!</definedName>
    <definedName name="S41P3" localSheetId="5">#REF!</definedName>
    <definedName name="S41P3" localSheetId="0">#REF!</definedName>
    <definedName name="S41P3" localSheetId="9">#REF!</definedName>
    <definedName name="S41P3" localSheetId="10">#REF!</definedName>
    <definedName name="S41P3" localSheetId="8">#REF!</definedName>
    <definedName name="S41P3">#REF!</definedName>
    <definedName name="S41P4" localSheetId="4">#REF!</definedName>
    <definedName name="S41P4" localSheetId="5">#REF!</definedName>
    <definedName name="S41P4" localSheetId="0">#REF!</definedName>
    <definedName name="S41P4" localSheetId="9">#REF!</definedName>
    <definedName name="S41P4" localSheetId="10">#REF!</definedName>
    <definedName name="S41P4" localSheetId="8">#REF!</definedName>
    <definedName name="S41P4">#REF!</definedName>
    <definedName name="S41P5" localSheetId="4">#REF!</definedName>
    <definedName name="S41P5" localSheetId="5">#REF!</definedName>
    <definedName name="S41P5" localSheetId="0">#REF!</definedName>
    <definedName name="S41P5" localSheetId="9">#REF!</definedName>
    <definedName name="S41P5" localSheetId="10">#REF!</definedName>
    <definedName name="S41P5" localSheetId="8">#REF!</definedName>
    <definedName name="S41P5">#REF!</definedName>
    <definedName name="S41P6" localSheetId="4">#REF!</definedName>
    <definedName name="S41P6" localSheetId="5">#REF!</definedName>
    <definedName name="S41P6" localSheetId="0">#REF!</definedName>
    <definedName name="S41P6" localSheetId="9">#REF!</definedName>
    <definedName name="S41P6" localSheetId="10">#REF!</definedName>
    <definedName name="S41P6" localSheetId="8">#REF!</definedName>
    <definedName name="S41P6">#REF!</definedName>
    <definedName name="S41P7" localSheetId="4">#REF!</definedName>
    <definedName name="S41P7" localSheetId="5">#REF!</definedName>
    <definedName name="S41P7" localSheetId="0">#REF!</definedName>
    <definedName name="S41P7" localSheetId="9">#REF!</definedName>
    <definedName name="S41P7" localSheetId="10">#REF!</definedName>
    <definedName name="S41P7" localSheetId="8">#REF!</definedName>
    <definedName name="S41P7">#REF!</definedName>
    <definedName name="S41P8" localSheetId="4">#REF!</definedName>
    <definedName name="S41P8" localSheetId="5">#REF!</definedName>
    <definedName name="S41P8" localSheetId="0">#REF!</definedName>
    <definedName name="S41P8" localSheetId="9">#REF!</definedName>
    <definedName name="S41P8" localSheetId="10">#REF!</definedName>
    <definedName name="S41P8" localSheetId="8">#REF!</definedName>
    <definedName name="S41P8">#REF!</definedName>
    <definedName name="S41P9" localSheetId="4">#REF!</definedName>
    <definedName name="S41P9" localSheetId="5">#REF!</definedName>
    <definedName name="S41P9" localSheetId="0">#REF!</definedName>
    <definedName name="S41P9" localSheetId="9">#REF!</definedName>
    <definedName name="S41P9" localSheetId="10">#REF!</definedName>
    <definedName name="S41P9" localSheetId="8">#REF!</definedName>
    <definedName name="S41P9">#REF!</definedName>
    <definedName name="S41R1" localSheetId="4">#REF!</definedName>
    <definedName name="S41R1" localSheetId="5">#REF!</definedName>
    <definedName name="S41R1" localSheetId="0">#REF!</definedName>
    <definedName name="S41R1" localSheetId="9">#REF!</definedName>
    <definedName name="S41R1" localSheetId="10">#REF!</definedName>
    <definedName name="S41R1" localSheetId="8">#REF!</definedName>
    <definedName name="S41R1">#REF!</definedName>
    <definedName name="S41R10" localSheetId="4">#REF!</definedName>
    <definedName name="S41R10" localSheetId="5">#REF!</definedName>
    <definedName name="S41R10" localSheetId="0">#REF!</definedName>
    <definedName name="S41R10" localSheetId="9">#REF!</definedName>
    <definedName name="S41R10" localSheetId="10">#REF!</definedName>
    <definedName name="S41R10" localSheetId="8">#REF!</definedName>
    <definedName name="S41R10">#REF!</definedName>
    <definedName name="S41R11" localSheetId="4">#REF!</definedName>
    <definedName name="S41R11" localSheetId="5">#REF!</definedName>
    <definedName name="S41R11" localSheetId="0">#REF!</definedName>
    <definedName name="S41R11" localSheetId="9">#REF!</definedName>
    <definedName name="S41R11" localSheetId="10">#REF!</definedName>
    <definedName name="S41R11" localSheetId="8">#REF!</definedName>
    <definedName name="S41R11">#REF!</definedName>
    <definedName name="S41R12" localSheetId="4">#REF!</definedName>
    <definedName name="S41R12" localSheetId="5">#REF!</definedName>
    <definedName name="S41R12" localSheetId="0">#REF!</definedName>
    <definedName name="S41R12" localSheetId="9">#REF!</definedName>
    <definedName name="S41R12" localSheetId="10">#REF!</definedName>
    <definedName name="S41R12" localSheetId="8">#REF!</definedName>
    <definedName name="S41R12">#REF!</definedName>
    <definedName name="S41R13" localSheetId="4">#REF!</definedName>
    <definedName name="S41R13" localSheetId="5">#REF!</definedName>
    <definedName name="S41R13" localSheetId="0">#REF!</definedName>
    <definedName name="S41R13" localSheetId="9">#REF!</definedName>
    <definedName name="S41R13" localSheetId="10">#REF!</definedName>
    <definedName name="S41R13" localSheetId="8">#REF!</definedName>
    <definedName name="S41R13">#REF!</definedName>
    <definedName name="S41R14" localSheetId="4">#REF!</definedName>
    <definedName name="S41R14" localSheetId="5">#REF!</definedName>
    <definedName name="S41R14" localSheetId="0">#REF!</definedName>
    <definedName name="S41R14" localSheetId="9">#REF!</definedName>
    <definedName name="S41R14" localSheetId="10">#REF!</definedName>
    <definedName name="S41R14" localSheetId="8">#REF!</definedName>
    <definedName name="S41R14">#REF!</definedName>
    <definedName name="S41R15" localSheetId="4">#REF!</definedName>
    <definedName name="S41R15" localSheetId="5">#REF!</definedName>
    <definedName name="S41R15" localSheetId="0">#REF!</definedName>
    <definedName name="S41R15" localSheetId="9">#REF!</definedName>
    <definedName name="S41R15" localSheetId="10">#REF!</definedName>
    <definedName name="S41R15" localSheetId="8">#REF!</definedName>
    <definedName name="S41R15">#REF!</definedName>
    <definedName name="S41R16" localSheetId="4">#REF!</definedName>
    <definedName name="S41R16" localSheetId="5">#REF!</definedName>
    <definedName name="S41R16" localSheetId="0">#REF!</definedName>
    <definedName name="S41R16" localSheetId="9">#REF!</definedName>
    <definedName name="S41R16" localSheetId="10">#REF!</definedName>
    <definedName name="S41R16" localSheetId="8">#REF!</definedName>
    <definedName name="S41R16">#REF!</definedName>
    <definedName name="S41R17" localSheetId="4">#REF!</definedName>
    <definedName name="S41R17" localSheetId="5">#REF!</definedName>
    <definedName name="S41R17" localSheetId="0">#REF!</definedName>
    <definedName name="S41R17" localSheetId="9">#REF!</definedName>
    <definedName name="S41R17" localSheetId="10">#REF!</definedName>
    <definedName name="S41R17" localSheetId="8">#REF!</definedName>
    <definedName name="S41R17">#REF!</definedName>
    <definedName name="S41R18" localSheetId="4">#REF!</definedName>
    <definedName name="S41R18" localSheetId="5">#REF!</definedName>
    <definedName name="S41R18" localSheetId="0">#REF!</definedName>
    <definedName name="S41R18" localSheetId="9">#REF!</definedName>
    <definedName name="S41R18" localSheetId="10">#REF!</definedName>
    <definedName name="S41R18" localSheetId="8">#REF!</definedName>
    <definedName name="S41R18">#REF!</definedName>
    <definedName name="S41R19" localSheetId="4">#REF!</definedName>
    <definedName name="S41R19" localSheetId="5">#REF!</definedName>
    <definedName name="S41R19" localSheetId="0">#REF!</definedName>
    <definedName name="S41R19" localSheetId="9">#REF!</definedName>
    <definedName name="S41R19" localSheetId="10">#REF!</definedName>
    <definedName name="S41R19" localSheetId="8">#REF!</definedName>
    <definedName name="S41R19">#REF!</definedName>
    <definedName name="S41R2" localSheetId="4">#REF!</definedName>
    <definedName name="S41R2" localSheetId="5">#REF!</definedName>
    <definedName name="S41R2" localSheetId="0">#REF!</definedName>
    <definedName name="S41R2" localSheetId="9">#REF!</definedName>
    <definedName name="S41R2" localSheetId="10">#REF!</definedName>
    <definedName name="S41R2" localSheetId="8">#REF!</definedName>
    <definedName name="S41R2">#REF!</definedName>
    <definedName name="S41R20" localSheetId="4">#REF!</definedName>
    <definedName name="S41R20" localSheetId="5">#REF!</definedName>
    <definedName name="S41R20" localSheetId="0">#REF!</definedName>
    <definedName name="S41R20" localSheetId="9">#REF!</definedName>
    <definedName name="S41R20" localSheetId="10">#REF!</definedName>
    <definedName name="S41R20" localSheetId="8">#REF!</definedName>
    <definedName name="S41R20">#REF!</definedName>
    <definedName name="S41R21" localSheetId="4">#REF!</definedName>
    <definedName name="S41R21" localSheetId="5">#REF!</definedName>
    <definedName name="S41R21" localSheetId="0">#REF!</definedName>
    <definedName name="S41R21" localSheetId="9">#REF!</definedName>
    <definedName name="S41R21" localSheetId="10">#REF!</definedName>
    <definedName name="S41R21" localSheetId="8">#REF!</definedName>
    <definedName name="S41R21">#REF!</definedName>
    <definedName name="S41R22" localSheetId="4">#REF!</definedName>
    <definedName name="S41R22" localSheetId="5">#REF!</definedName>
    <definedName name="S41R22" localSheetId="0">#REF!</definedName>
    <definedName name="S41R22" localSheetId="9">#REF!</definedName>
    <definedName name="S41R22" localSheetId="10">#REF!</definedName>
    <definedName name="S41R22" localSheetId="8">#REF!</definedName>
    <definedName name="S41R22">#REF!</definedName>
    <definedName name="S41R23" localSheetId="4">#REF!</definedName>
    <definedName name="S41R23" localSheetId="5">#REF!</definedName>
    <definedName name="S41R23" localSheetId="0">#REF!</definedName>
    <definedName name="S41R23" localSheetId="9">#REF!</definedName>
    <definedName name="S41R23" localSheetId="10">#REF!</definedName>
    <definedName name="S41R23" localSheetId="8">#REF!</definedName>
    <definedName name="S41R23">#REF!</definedName>
    <definedName name="S41R24" localSheetId="4">#REF!</definedName>
    <definedName name="S41R24" localSheetId="5">#REF!</definedName>
    <definedName name="S41R24" localSheetId="0">#REF!</definedName>
    <definedName name="S41R24" localSheetId="9">#REF!</definedName>
    <definedName name="S41R24" localSheetId="10">#REF!</definedName>
    <definedName name="S41R24" localSheetId="8">#REF!</definedName>
    <definedName name="S41R24">#REF!</definedName>
    <definedName name="S41R3" localSheetId="4">#REF!</definedName>
    <definedName name="S41R3" localSheetId="5">#REF!</definedName>
    <definedName name="S41R3" localSheetId="0">#REF!</definedName>
    <definedName name="S41R3" localSheetId="9">#REF!</definedName>
    <definedName name="S41R3" localSheetId="10">#REF!</definedName>
    <definedName name="S41R3" localSheetId="8">#REF!</definedName>
    <definedName name="S41R3">#REF!</definedName>
    <definedName name="S41R4" localSheetId="4">#REF!</definedName>
    <definedName name="S41R4" localSheetId="5">#REF!</definedName>
    <definedName name="S41R4" localSheetId="0">#REF!</definedName>
    <definedName name="S41R4" localSheetId="9">#REF!</definedName>
    <definedName name="S41R4" localSheetId="10">#REF!</definedName>
    <definedName name="S41R4" localSheetId="8">#REF!</definedName>
    <definedName name="S41R4">#REF!</definedName>
    <definedName name="S41R5" localSheetId="4">#REF!</definedName>
    <definedName name="S41R5" localSheetId="5">#REF!</definedName>
    <definedName name="S41R5" localSheetId="0">#REF!</definedName>
    <definedName name="S41R5" localSheetId="9">#REF!</definedName>
    <definedName name="S41R5" localSheetId="10">#REF!</definedName>
    <definedName name="S41R5" localSheetId="8">#REF!</definedName>
    <definedName name="S41R5">#REF!</definedName>
    <definedName name="S41R6" localSheetId="4">#REF!</definedName>
    <definedName name="S41R6" localSheetId="5">#REF!</definedName>
    <definedName name="S41R6" localSheetId="0">#REF!</definedName>
    <definedName name="S41R6" localSheetId="9">#REF!</definedName>
    <definedName name="S41R6" localSheetId="10">#REF!</definedName>
    <definedName name="S41R6" localSheetId="8">#REF!</definedName>
    <definedName name="S41R6">#REF!</definedName>
    <definedName name="S41R7" localSheetId="4">#REF!</definedName>
    <definedName name="S41R7" localSheetId="5">#REF!</definedName>
    <definedName name="S41R7" localSheetId="0">#REF!</definedName>
    <definedName name="S41R7" localSheetId="9">#REF!</definedName>
    <definedName name="S41R7" localSheetId="10">#REF!</definedName>
    <definedName name="S41R7" localSheetId="8">#REF!</definedName>
    <definedName name="S41R7">#REF!</definedName>
    <definedName name="S41R8" localSheetId="4">#REF!</definedName>
    <definedName name="S41R8" localSheetId="5">#REF!</definedName>
    <definedName name="S41R8" localSheetId="0">#REF!</definedName>
    <definedName name="S41R8" localSheetId="9">#REF!</definedName>
    <definedName name="S41R8" localSheetId="10">#REF!</definedName>
    <definedName name="S41R8" localSheetId="8">#REF!</definedName>
    <definedName name="S41R8">#REF!</definedName>
    <definedName name="S41R9" localSheetId="4">#REF!</definedName>
    <definedName name="S41R9" localSheetId="5">#REF!</definedName>
    <definedName name="S41R9" localSheetId="0">#REF!</definedName>
    <definedName name="S41R9" localSheetId="9">#REF!</definedName>
    <definedName name="S41R9" localSheetId="10">#REF!</definedName>
    <definedName name="S41R9" localSheetId="8">#REF!</definedName>
    <definedName name="S41R9">#REF!</definedName>
    <definedName name="S42P1" localSheetId="4">#REF!</definedName>
    <definedName name="S42P1" localSheetId="5">#REF!</definedName>
    <definedName name="S42P1" localSheetId="0">#REF!</definedName>
    <definedName name="S42P1" localSheetId="9">#REF!</definedName>
    <definedName name="S42P1" localSheetId="10">#REF!</definedName>
    <definedName name="S42P1" localSheetId="8">#REF!</definedName>
    <definedName name="S42P1">#REF!</definedName>
    <definedName name="S42P10" localSheetId="4">#REF!</definedName>
    <definedName name="S42P10" localSheetId="5">#REF!</definedName>
    <definedName name="S42P10" localSheetId="0">#REF!</definedName>
    <definedName name="S42P10" localSheetId="9">#REF!</definedName>
    <definedName name="S42P10" localSheetId="10">#REF!</definedName>
    <definedName name="S42P10" localSheetId="8">#REF!</definedName>
    <definedName name="S42P10">#REF!</definedName>
    <definedName name="S42P11" localSheetId="4">#REF!</definedName>
    <definedName name="S42P11" localSheetId="5">#REF!</definedName>
    <definedName name="S42P11" localSheetId="0">#REF!</definedName>
    <definedName name="S42P11" localSheetId="9">#REF!</definedName>
    <definedName name="S42P11" localSheetId="10">#REF!</definedName>
    <definedName name="S42P11" localSheetId="8">#REF!</definedName>
    <definedName name="S42P11">#REF!</definedName>
    <definedName name="S42P12" localSheetId="4">#REF!</definedName>
    <definedName name="S42P12" localSheetId="5">#REF!</definedName>
    <definedName name="S42P12" localSheetId="0">#REF!</definedName>
    <definedName name="S42P12" localSheetId="9">#REF!</definedName>
    <definedName name="S42P12" localSheetId="10">#REF!</definedName>
    <definedName name="S42P12" localSheetId="8">#REF!</definedName>
    <definedName name="S42P12">#REF!</definedName>
    <definedName name="S42P13" localSheetId="4">#REF!</definedName>
    <definedName name="S42P13" localSheetId="5">#REF!</definedName>
    <definedName name="S42P13" localSheetId="0">#REF!</definedName>
    <definedName name="S42P13" localSheetId="9">#REF!</definedName>
    <definedName name="S42P13" localSheetId="10">#REF!</definedName>
    <definedName name="S42P13" localSheetId="8">#REF!</definedName>
    <definedName name="S42P13">#REF!</definedName>
    <definedName name="S42P14" localSheetId="4">#REF!</definedName>
    <definedName name="S42P14" localSheetId="5">#REF!</definedName>
    <definedName name="S42P14" localSheetId="0">#REF!</definedName>
    <definedName name="S42P14" localSheetId="9">#REF!</definedName>
    <definedName name="S42P14" localSheetId="10">#REF!</definedName>
    <definedName name="S42P14" localSheetId="8">#REF!</definedName>
    <definedName name="S42P14">#REF!</definedName>
    <definedName name="S42P15" localSheetId="4">#REF!</definedName>
    <definedName name="S42P15" localSheetId="5">#REF!</definedName>
    <definedName name="S42P15" localSheetId="0">#REF!</definedName>
    <definedName name="S42P15" localSheetId="9">#REF!</definedName>
    <definedName name="S42P15" localSheetId="10">#REF!</definedName>
    <definedName name="S42P15" localSheetId="8">#REF!</definedName>
    <definedName name="S42P15">#REF!</definedName>
    <definedName name="S42P16" localSheetId="4">#REF!</definedName>
    <definedName name="S42P16" localSheetId="5">#REF!</definedName>
    <definedName name="S42P16" localSheetId="0">#REF!</definedName>
    <definedName name="S42P16" localSheetId="9">#REF!</definedName>
    <definedName name="S42P16" localSheetId="10">#REF!</definedName>
    <definedName name="S42P16" localSheetId="8">#REF!</definedName>
    <definedName name="S42P16">#REF!</definedName>
    <definedName name="S42P17" localSheetId="4">#REF!</definedName>
    <definedName name="S42P17" localSheetId="5">#REF!</definedName>
    <definedName name="S42P17" localSheetId="0">#REF!</definedName>
    <definedName name="S42P17" localSheetId="9">#REF!</definedName>
    <definedName name="S42P17" localSheetId="10">#REF!</definedName>
    <definedName name="S42P17" localSheetId="8">#REF!</definedName>
    <definedName name="S42P17">#REF!</definedName>
    <definedName name="S42P18" localSheetId="4">#REF!</definedName>
    <definedName name="S42P18" localSheetId="5">#REF!</definedName>
    <definedName name="S42P18" localSheetId="0">#REF!</definedName>
    <definedName name="S42P18" localSheetId="9">#REF!</definedName>
    <definedName name="S42P18" localSheetId="10">#REF!</definedName>
    <definedName name="S42P18" localSheetId="8">#REF!</definedName>
    <definedName name="S42P18">#REF!</definedName>
    <definedName name="S42P19" localSheetId="4">#REF!</definedName>
    <definedName name="S42P19" localSheetId="5">#REF!</definedName>
    <definedName name="S42P19" localSheetId="0">#REF!</definedName>
    <definedName name="S42P19" localSheetId="9">#REF!</definedName>
    <definedName name="S42P19" localSheetId="10">#REF!</definedName>
    <definedName name="S42P19" localSheetId="8">#REF!</definedName>
    <definedName name="S42P19">#REF!</definedName>
    <definedName name="S42P2" localSheetId="4">#REF!</definedName>
    <definedName name="S42P2" localSheetId="5">#REF!</definedName>
    <definedName name="S42P2" localSheetId="0">#REF!</definedName>
    <definedName name="S42P2" localSheetId="9">#REF!</definedName>
    <definedName name="S42P2" localSheetId="10">#REF!</definedName>
    <definedName name="S42P2" localSheetId="8">#REF!</definedName>
    <definedName name="S42P2">#REF!</definedName>
    <definedName name="S42P20" localSheetId="4">#REF!</definedName>
    <definedName name="S42P20" localSheetId="5">#REF!</definedName>
    <definedName name="S42P20" localSheetId="0">#REF!</definedName>
    <definedName name="S42P20" localSheetId="9">#REF!</definedName>
    <definedName name="S42P20" localSheetId="10">#REF!</definedName>
    <definedName name="S42P20" localSheetId="8">#REF!</definedName>
    <definedName name="S42P20">#REF!</definedName>
    <definedName name="S42P21" localSheetId="4">#REF!</definedName>
    <definedName name="S42P21" localSheetId="5">#REF!</definedName>
    <definedName name="S42P21" localSheetId="0">#REF!</definedName>
    <definedName name="S42P21" localSheetId="9">#REF!</definedName>
    <definedName name="S42P21" localSheetId="10">#REF!</definedName>
    <definedName name="S42P21" localSheetId="8">#REF!</definedName>
    <definedName name="S42P21">#REF!</definedName>
    <definedName name="S42P22" localSheetId="4">#REF!</definedName>
    <definedName name="S42P22" localSheetId="5">#REF!</definedName>
    <definedName name="S42P22" localSheetId="0">#REF!</definedName>
    <definedName name="S42P22" localSheetId="9">#REF!</definedName>
    <definedName name="S42P22" localSheetId="10">#REF!</definedName>
    <definedName name="S42P22" localSheetId="8">#REF!</definedName>
    <definedName name="S42P22">#REF!</definedName>
    <definedName name="S42P23" localSheetId="4">#REF!</definedName>
    <definedName name="S42P23" localSheetId="5">#REF!</definedName>
    <definedName name="S42P23" localSheetId="0">#REF!</definedName>
    <definedName name="S42P23" localSheetId="9">#REF!</definedName>
    <definedName name="S42P23" localSheetId="10">#REF!</definedName>
    <definedName name="S42P23" localSheetId="8">#REF!</definedName>
    <definedName name="S42P23">#REF!</definedName>
    <definedName name="S42P24" localSheetId="4">#REF!</definedName>
    <definedName name="S42P24" localSheetId="5">#REF!</definedName>
    <definedName name="S42P24" localSheetId="0">#REF!</definedName>
    <definedName name="S42P24" localSheetId="9">#REF!</definedName>
    <definedName name="S42P24" localSheetId="10">#REF!</definedName>
    <definedName name="S42P24" localSheetId="8">#REF!</definedName>
    <definedName name="S42P24">#REF!</definedName>
    <definedName name="S42P3" localSheetId="4">#REF!</definedName>
    <definedName name="S42P3" localSheetId="5">#REF!</definedName>
    <definedName name="S42P3" localSheetId="0">#REF!</definedName>
    <definedName name="S42P3" localSheetId="9">#REF!</definedName>
    <definedName name="S42P3" localSheetId="10">#REF!</definedName>
    <definedName name="S42P3" localSheetId="8">#REF!</definedName>
    <definedName name="S42P3">#REF!</definedName>
    <definedName name="S42P4" localSheetId="4">#REF!</definedName>
    <definedName name="S42P4" localSheetId="5">#REF!</definedName>
    <definedName name="S42P4" localSheetId="0">#REF!</definedName>
    <definedName name="S42P4" localSheetId="9">#REF!</definedName>
    <definedName name="S42P4" localSheetId="10">#REF!</definedName>
    <definedName name="S42P4" localSheetId="8">#REF!</definedName>
    <definedName name="S42P4">#REF!</definedName>
    <definedName name="S42P5" localSheetId="4">#REF!</definedName>
    <definedName name="S42P5" localSheetId="5">#REF!</definedName>
    <definedName name="S42P5" localSheetId="0">#REF!</definedName>
    <definedName name="S42P5" localSheetId="9">#REF!</definedName>
    <definedName name="S42P5" localSheetId="10">#REF!</definedName>
    <definedName name="S42P5" localSheetId="8">#REF!</definedName>
    <definedName name="S42P5">#REF!</definedName>
    <definedName name="S42P6" localSheetId="4">#REF!</definedName>
    <definedName name="S42P6" localSheetId="5">#REF!</definedName>
    <definedName name="S42P6" localSheetId="0">#REF!</definedName>
    <definedName name="S42P6" localSheetId="9">#REF!</definedName>
    <definedName name="S42P6" localSheetId="10">#REF!</definedName>
    <definedName name="S42P6" localSheetId="8">#REF!</definedName>
    <definedName name="S42P6">#REF!</definedName>
    <definedName name="S42P7" localSheetId="4">#REF!</definedName>
    <definedName name="S42P7" localSheetId="5">#REF!</definedName>
    <definedName name="S42P7" localSheetId="0">#REF!</definedName>
    <definedName name="S42P7" localSheetId="9">#REF!</definedName>
    <definedName name="S42P7" localSheetId="10">#REF!</definedName>
    <definedName name="S42P7" localSheetId="8">#REF!</definedName>
    <definedName name="S42P7">#REF!</definedName>
    <definedName name="S42P8" localSheetId="4">#REF!</definedName>
    <definedName name="S42P8" localSheetId="5">#REF!</definedName>
    <definedName name="S42P8" localSheetId="0">#REF!</definedName>
    <definedName name="S42P8" localSheetId="9">#REF!</definedName>
    <definedName name="S42P8" localSheetId="10">#REF!</definedName>
    <definedName name="S42P8" localSheetId="8">#REF!</definedName>
    <definedName name="S42P8">#REF!</definedName>
    <definedName name="S42P9" localSheetId="4">#REF!</definedName>
    <definedName name="S42P9" localSheetId="5">#REF!</definedName>
    <definedName name="S42P9" localSheetId="0">#REF!</definedName>
    <definedName name="S42P9" localSheetId="9">#REF!</definedName>
    <definedName name="S42P9" localSheetId="10">#REF!</definedName>
    <definedName name="S42P9" localSheetId="8">#REF!</definedName>
    <definedName name="S42P9">#REF!</definedName>
    <definedName name="S42R1" localSheetId="4">#REF!</definedName>
    <definedName name="S42R1" localSheetId="5">#REF!</definedName>
    <definedName name="S42R1" localSheetId="0">#REF!</definedName>
    <definedName name="S42R1" localSheetId="9">#REF!</definedName>
    <definedName name="S42R1" localSheetId="10">#REF!</definedName>
    <definedName name="S42R1" localSheetId="8">#REF!</definedName>
    <definedName name="S42R1">#REF!</definedName>
    <definedName name="S42R10" localSheetId="4">#REF!</definedName>
    <definedName name="S42R10" localSheetId="5">#REF!</definedName>
    <definedName name="S42R10" localSheetId="0">#REF!</definedName>
    <definedName name="S42R10" localSheetId="9">#REF!</definedName>
    <definedName name="S42R10" localSheetId="10">#REF!</definedName>
    <definedName name="S42R10" localSheetId="8">#REF!</definedName>
    <definedName name="S42R10">#REF!</definedName>
    <definedName name="S42R11" localSheetId="4">#REF!</definedName>
    <definedName name="S42R11" localSheetId="5">#REF!</definedName>
    <definedName name="S42R11" localSheetId="0">#REF!</definedName>
    <definedName name="S42R11" localSheetId="9">#REF!</definedName>
    <definedName name="S42R11" localSheetId="10">#REF!</definedName>
    <definedName name="S42R11" localSheetId="8">#REF!</definedName>
    <definedName name="S42R11">#REF!</definedName>
    <definedName name="S42R12" localSheetId="4">#REF!</definedName>
    <definedName name="S42R12" localSheetId="5">#REF!</definedName>
    <definedName name="S42R12" localSheetId="0">#REF!</definedName>
    <definedName name="S42R12" localSheetId="9">#REF!</definedName>
    <definedName name="S42R12" localSheetId="10">#REF!</definedName>
    <definedName name="S42R12" localSheetId="8">#REF!</definedName>
    <definedName name="S42R12">#REF!</definedName>
    <definedName name="S42R13" localSheetId="4">#REF!</definedName>
    <definedName name="S42R13" localSheetId="5">#REF!</definedName>
    <definedName name="S42R13" localSheetId="0">#REF!</definedName>
    <definedName name="S42R13" localSheetId="9">#REF!</definedName>
    <definedName name="S42R13" localSheetId="10">#REF!</definedName>
    <definedName name="S42R13" localSheetId="8">#REF!</definedName>
    <definedName name="S42R13">#REF!</definedName>
    <definedName name="S42R14" localSheetId="4">#REF!</definedName>
    <definedName name="S42R14" localSheetId="5">#REF!</definedName>
    <definedName name="S42R14" localSheetId="0">#REF!</definedName>
    <definedName name="S42R14" localSheetId="9">#REF!</definedName>
    <definedName name="S42R14" localSheetId="10">#REF!</definedName>
    <definedName name="S42R14" localSheetId="8">#REF!</definedName>
    <definedName name="S42R14">#REF!</definedName>
    <definedName name="S42R15" localSheetId="4">#REF!</definedName>
    <definedName name="S42R15" localSheetId="5">#REF!</definedName>
    <definedName name="S42R15" localSheetId="0">#REF!</definedName>
    <definedName name="S42R15" localSheetId="9">#REF!</definedName>
    <definedName name="S42R15" localSheetId="10">#REF!</definedName>
    <definedName name="S42R15" localSheetId="8">#REF!</definedName>
    <definedName name="S42R15">#REF!</definedName>
    <definedName name="S42R16" localSheetId="4">#REF!</definedName>
    <definedName name="S42R16" localSheetId="5">#REF!</definedName>
    <definedName name="S42R16" localSheetId="0">#REF!</definedName>
    <definedName name="S42R16" localSheetId="9">#REF!</definedName>
    <definedName name="S42R16" localSheetId="10">#REF!</definedName>
    <definedName name="S42R16" localSheetId="8">#REF!</definedName>
    <definedName name="S42R16">#REF!</definedName>
    <definedName name="S42R17" localSheetId="4">#REF!</definedName>
    <definedName name="S42R17" localSheetId="5">#REF!</definedName>
    <definedName name="S42R17" localSheetId="0">#REF!</definedName>
    <definedName name="S42R17" localSheetId="9">#REF!</definedName>
    <definedName name="S42R17" localSheetId="10">#REF!</definedName>
    <definedName name="S42R17" localSheetId="8">#REF!</definedName>
    <definedName name="S42R17">#REF!</definedName>
    <definedName name="S42R18" localSheetId="4">#REF!</definedName>
    <definedName name="S42R18" localSheetId="5">#REF!</definedName>
    <definedName name="S42R18" localSheetId="0">#REF!</definedName>
    <definedName name="S42R18" localSheetId="9">#REF!</definedName>
    <definedName name="S42R18" localSheetId="10">#REF!</definedName>
    <definedName name="S42R18" localSheetId="8">#REF!</definedName>
    <definedName name="S42R18">#REF!</definedName>
    <definedName name="S42R19" localSheetId="4">#REF!</definedName>
    <definedName name="S42R19" localSheetId="5">#REF!</definedName>
    <definedName name="S42R19" localSheetId="0">#REF!</definedName>
    <definedName name="S42R19" localSheetId="9">#REF!</definedName>
    <definedName name="S42R19" localSheetId="10">#REF!</definedName>
    <definedName name="S42R19" localSheetId="8">#REF!</definedName>
    <definedName name="S42R19">#REF!</definedName>
    <definedName name="S42R2" localSheetId="4">#REF!</definedName>
    <definedName name="S42R2" localSheetId="5">#REF!</definedName>
    <definedName name="S42R2" localSheetId="0">#REF!</definedName>
    <definedName name="S42R2" localSheetId="9">#REF!</definedName>
    <definedName name="S42R2" localSheetId="10">#REF!</definedName>
    <definedName name="S42R2" localSheetId="8">#REF!</definedName>
    <definedName name="S42R2">#REF!</definedName>
    <definedName name="S42R20" localSheetId="4">#REF!</definedName>
    <definedName name="S42R20" localSheetId="5">#REF!</definedName>
    <definedName name="S42R20" localSheetId="0">#REF!</definedName>
    <definedName name="S42R20" localSheetId="9">#REF!</definedName>
    <definedName name="S42R20" localSheetId="10">#REF!</definedName>
    <definedName name="S42R20" localSheetId="8">#REF!</definedName>
    <definedName name="S42R20">#REF!</definedName>
    <definedName name="S42R21" localSheetId="4">#REF!</definedName>
    <definedName name="S42R21" localSheetId="5">#REF!</definedName>
    <definedName name="S42R21" localSheetId="0">#REF!</definedName>
    <definedName name="S42R21" localSheetId="9">#REF!</definedName>
    <definedName name="S42R21" localSheetId="10">#REF!</definedName>
    <definedName name="S42R21" localSheetId="8">#REF!</definedName>
    <definedName name="S42R21">#REF!</definedName>
    <definedName name="S42R22" localSheetId="4">#REF!</definedName>
    <definedName name="S42R22" localSheetId="5">#REF!</definedName>
    <definedName name="S42R22" localSheetId="0">#REF!</definedName>
    <definedName name="S42R22" localSheetId="9">#REF!</definedName>
    <definedName name="S42R22" localSheetId="10">#REF!</definedName>
    <definedName name="S42R22" localSheetId="8">#REF!</definedName>
    <definedName name="S42R22">#REF!</definedName>
    <definedName name="S42R23" localSheetId="4">#REF!</definedName>
    <definedName name="S42R23" localSheetId="5">#REF!</definedName>
    <definedName name="S42R23" localSheetId="0">#REF!</definedName>
    <definedName name="S42R23" localSheetId="9">#REF!</definedName>
    <definedName name="S42R23" localSheetId="10">#REF!</definedName>
    <definedName name="S42R23" localSheetId="8">#REF!</definedName>
    <definedName name="S42R23">#REF!</definedName>
    <definedName name="S42R24" localSheetId="4">#REF!</definedName>
    <definedName name="S42R24" localSheetId="5">#REF!</definedName>
    <definedName name="S42R24" localSheetId="0">#REF!</definedName>
    <definedName name="S42R24" localSheetId="9">#REF!</definedName>
    <definedName name="S42R24" localSheetId="10">#REF!</definedName>
    <definedName name="S42R24" localSheetId="8">#REF!</definedName>
    <definedName name="S42R24">#REF!</definedName>
    <definedName name="S42R3" localSheetId="4">#REF!</definedName>
    <definedName name="S42R3" localSheetId="5">#REF!</definedName>
    <definedName name="S42R3" localSheetId="0">#REF!</definedName>
    <definedName name="S42R3" localSheetId="9">#REF!</definedName>
    <definedName name="S42R3" localSheetId="10">#REF!</definedName>
    <definedName name="S42R3" localSheetId="8">#REF!</definedName>
    <definedName name="S42R3">#REF!</definedName>
    <definedName name="S42R4" localSheetId="4">#REF!</definedName>
    <definedName name="S42R4" localSheetId="5">#REF!</definedName>
    <definedName name="S42R4" localSheetId="0">#REF!</definedName>
    <definedName name="S42R4" localSheetId="9">#REF!</definedName>
    <definedName name="S42R4" localSheetId="10">#REF!</definedName>
    <definedName name="S42R4" localSheetId="8">#REF!</definedName>
    <definedName name="S42R4">#REF!</definedName>
    <definedName name="S42R5" localSheetId="4">#REF!</definedName>
    <definedName name="S42R5" localSheetId="5">#REF!</definedName>
    <definedName name="S42R5" localSheetId="0">#REF!</definedName>
    <definedName name="S42R5" localSheetId="9">#REF!</definedName>
    <definedName name="S42R5" localSheetId="10">#REF!</definedName>
    <definedName name="S42R5" localSheetId="8">#REF!</definedName>
    <definedName name="S42R5">#REF!</definedName>
    <definedName name="S42R6" localSheetId="4">#REF!</definedName>
    <definedName name="S42R6" localSheetId="5">#REF!</definedName>
    <definedName name="S42R6" localSheetId="0">#REF!</definedName>
    <definedName name="S42R6" localSheetId="9">#REF!</definedName>
    <definedName name="S42R6" localSheetId="10">#REF!</definedName>
    <definedName name="S42R6" localSheetId="8">#REF!</definedName>
    <definedName name="S42R6">#REF!</definedName>
    <definedName name="S42R7" localSheetId="4">#REF!</definedName>
    <definedName name="S42R7" localSheetId="5">#REF!</definedName>
    <definedName name="S42R7" localSheetId="0">#REF!</definedName>
    <definedName name="S42R7" localSheetId="9">#REF!</definedName>
    <definedName name="S42R7" localSheetId="10">#REF!</definedName>
    <definedName name="S42R7" localSheetId="8">#REF!</definedName>
    <definedName name="S42R7">#REF!</definedName>
    <definedName name="S42R8" localSheetId="4">#REF!</definedName>
    <definedName name="S42R8" localSheetId="5">#REF!</definedName>
    <definedName name="S42R8" localSheetId="0">#REF!</definedName>
    <definedName name="S42R8" localSheetId="9">#REF!</definedName>
    <definedName name="S42R8" localSheetId="10">#REF!</definedName>
    <definedName name="S42R8" localSheetId="8">#REF!</definedName>
    <definedName name="S42R8">#REF!</definedName>
    <definedName name="S42R9" localSheetId="4">#REF!</definedName>
    <definedName name="S42R9" localSheetId="5">#REF!</definedName>
    <definedName name="S42R9" localSheetId="0">#REF!</definedName>
    <definedName name="S42R9" localSheetId="9">#REF!</definedName>
    <definedName name="S42R9" localSheetId="10">#REF!</definedName>
    <definedName name="S42R9" localSheetId="8">#REF!</definedName>
    <definedName name="S42R9">#REF!</definedName>
    <definedName name="S43P1" localSheetId="4">#REF!</definedName>
    <definedName name="S43P1" localSheetId="5">#REF!</definedName>
    <definedName name="S43P1" localSheetId="0">#REF!</definedName>
    <definedName name="S43P1" localSheetId="9">#REF!</definedName>
    <definedName name="S43P1" localSheetId="10">#REF!</definedName>
    <definedName name="S43P1" localSheetId="8">#REF!</definedName>
    <definedName name="S43P1">#REF!</definedName>
    <definedName name="S43P10" localSheetId="4">#REF!</definedName>
    <definedName name="S43P10" localSheetId="5">#REF!</definedName>
    <definedName name="S43P10" localSheetId="0">#REF!</definedName>
    <definedName name="S43P10" localSheetId="9">#REF!</definedName>
    <definedName name="S43P10" localSheetId="10">#REF!</definedName>
    <definedName name="S43P10" localSheetId="8">#REF!</definedName>
    <definedName name="S43P10">#REF!</definedName>
    <definedName name="S43P11" localSheetId="4">#REF!</definedName>
    <definedName name="S43P11" localSheetId="5">#REF!</definedName>
    <definedName name="S43P11" localSheetId="0">#REF!</definedName>
    <definedName name="S43P11" localSheetId="9">#REF!</definedName>
    <definedName name="S43P11" localSheetId="10">#REF!</definedName>
    <definedName name="S43P11" localSheetId="8">#REF!</definedName>
    <definedName name="S43P11">#REF!</definedName>
    <definedName name="S43P12" localSheetId="4">#REF!</definedName>
    <definedName name="S43P12" localSheetId="5">#REF!</definedName>
    <definedName name="S43P12" localSheetId="0">#REF!</definedName>
    <definedName name="S43P12" localSheetId="9">#REF!</definedName>
    <definedName name="S43P12" localSheetId="10">#REF!</definedName>
    <definedName name="S43P12" localSheetId="8">#REF!</definedName>
    <definedName name="S43P12">#REF!</definedName>
    <definedName name="S43P13" localSheetId="4">#REF!</definedName>
    <definedName name="S43P13" localSheetId="5">#REF!</definedName>
    <definedName name="S43P13" localSheetId="0">#REF!</definedName>
    <definedName name="S43P13" localSheetId="9">#REF!</definedName>
    <definedName name="S43P13" localSheetId="10">#REF!</definedName>
    <definedName name="S43P13" localSheetId="8">#REF!</definedName>
    <definedName name="S43P13">#REF!</definedName>
    <definedName name="S43P14" localSheetId="4">#REF!</definedName>
    <definedName name="S43P14" localSheetId="5">#REF!</definedName>
    <definedName name="S43P14" localSheetId="0">#REF!</definedName>
    <definedName name="S43P14" localSheetId="9">#REF!</definedName>
    <definedName name="S43P14" localSheetId="10">#REF!</definedName>
    <definedName name="S43P14" localSheetId="8">#REF!</definedName>
    <definedName name="S43P14">#REF!</definedName>
    <definedName name="S43P15" localSheetId="4">#REF!</definedName>
    <definedName name="S43P15" localSheetId="5">#REF!</definedName>
    <definedName name="S43P15" localSheetId="0">#REF!</definedName>
    <definedName name="S43P15" localSheetId="9">#REF!</definedName>
    <definedName name="S43P15" localSheetId="10">#REF!</definedName>
    <definedName name="S43P15" localSheetId="8">#REF!</definedName>
    <definedName name="S43P15">#REF!</definedName>
    <definedName name="S43P16" localSheetId="4">#REF!</definedName>
    <definedName name="S43P16" localSheetId="5">#REF!</definedName>
    <definedName name="S43P16" localSheetId="0">#REF!</definedName>
    <definedName name="S43P16" localSheetId="9">#REF!</definedName>
    <definedName name="S43P16" localSheetId="10">#REF!</definedName>
    <definedName name="S43P16" localSheetId="8">#REF!</definedName>
    <definedName name="S43P16">#REF!</definedName>
    <definedName name="S43P17" localSheetId="4">#REF!</definedName>
    <definedName name="S43P17" localSheetId="5">#REF!</definedName>
    <definedName name="S43P17" localSheetId="0">#REF!</definedName>
    <definedName name="S43P17" localSheetId="9">#REF!</definedName>
    <definedName name="S43P17" localSheetId="10">#REF!</definedName>
    <definedName name="S43P17" localSheetId="8">#REF!</definedName>
    <definedName name="S43P17">#REF!</definedName>
    <definedName name="S43P18" localSheetId="4">#REF!</definedName>
    <definedName name="S43P18" localSheetId="5">#REF!</definedName>
    <definedName name="S43P18" localSheetId="0">#REF!</definedName>
    <definedName name="S43P18" localSheetId="9">#REF!</definedName>
    <definedName name="S43P18" localSheetId="10">#REF!</definedName>
    <definedName name="S43P18" localSheetId="8">#REF!</definedName>
    <definedName name="S43P18">#REF!</definedName>
    <definedName name="S43P19" localSheetId="4">#REF!</definedName>
    <definedName name="S43P19" localSheetId="5">#REF!</definedName>
    <definedName name="S43P19" localSheetId="0">#REF!</definedName>
    <definedName name="S43P19" localSheetId="9">#REF!</definedName>
    <definedName name="S43P19" localSheetId="10">#REF!</definedName>
    <definedName name="S43P19" localSheetId="8">#REF!</definedName>
    <definedName name="S43P19">#REF!</definedName>
    <definedName name="S43P2" localSheetId="4">#REF!</definedName>
    <definedName name="S43P2" localSheetId="5">#REF!</definedName>
    <definedName name="S43P2" localSheetId="0">#REF!</definedName>
    <definedName name="S43P2" localSheetId="9">#REF!</definedName>
    <definedName name="S43P2" localSheetId="10">#REF!</definedName>
    <definedName name="S43P2" localSheetId="8">#REF!</definedName>
    <definedName name="S43P2">#REF!</definedName>
    <definedName name="S43P20" localSheetId="4">#REF!</definedName>
    <definedName name="S43P20" localSheetId="5">#REF!</definedName>
    <definedName name="S43P20" localSheetId="0">#REF!</definedName>
    <definedName name="S43P20" localSheetId="9">#REF!</definedName>
    <definedName name="S43P20" localSheetId="10">#REF!</definedName>
    <definedName name="S43P20" localSheetId="8">#REF!</definedName>
    <definedName name="S43P20">#REF!</definedName>
    <definedName name="S43P21" localSheetId="4">#REF!</definedName>
    <definedName name="S43P21" localSheetId="5">#REF!</definedName>
    <definedName name="S43P21" localSheetId="0">#REF!</definedName>
    <definedName name="S43P21" localSheetId="9">#REF!</definedName>
    <definedName name="S43P21" localSheetId="10">#REF!</definedName>
    <definedName name="S43P21" localSheetId="8">#REF!</definedName>
    <definedName name="S43P21">#REF!</definedName>
    <definedName name="S43P22" localSheetId="4">#REF!</definedName>
    <definedName name="S43P22" localSheetId="5">#REF!</definedName>
    <definedName name="S43P22" localSheetId="0">#REF!</definedName>
    <definedName name="S43P22" localSheetId="9">#REF!</definedName>
    <definedName name="S43P22" localSheetId="10">#REF!</definedName>
    <definedName name="S43P22" localSheetId="8">#REF!</definedName>
    <definedName name="S43P22">#REF!</definedName>
    <definedName name="S43P23" localSheetId="4">#REF!</definedName>
    <definedName name="S43P23" localSheetId="5">#REF!</definedName>
    <definedName name="S43P23" localSheetId="0">#REF!</definedName>
    <definedName name="S43P23" localSheetId="9">#REF!</definedName>
    <definedName name="S43P23" localSheetId="10">#REF!</definedName>
    <definedName name="S43P23" localSheetId="8">#REF!</definedName>
    <definedName name="S43P23">#REF!</definedName>
    <definedName name="S43P24" localSheetId="4">#REF!</definedName>
    <definedName name="S43P24" localSheetId="5">#REF!</definedName>
    <definedName name="S43P24" localSheetId="0">#REF!</definedName>
    <definedName name="S43P24" localSheetId="9">#REF!</definedName>
    <definedName name="S43P24" localSheetId="10">#REF!</definedName>
    <definedName name="S43P24" localSheetId="8">#REF!</definedName>
    <definedName name="S43P24">#REF!</definedName>
    <definedName name="S43P3" localSheetId="4">#REF!</definedName>
    <definedName name="S43P3" localSheetId="5">#REF!</definedName>
    <definedName name="S43P3" localSheetId="0">#REF!</definedName>
    <definedName name="S43P3" localSheetId="9">#REF!</definedName>
    <definedName name="S43P3" localSheetId="10">#REF!</definedName>
    <definedName name="S43P3" localSheetId="8">#REF!</definedName>
    <definedName name="S43P3">#REF!</definedName>
    <definedName name="S43P4" localSheetId="4">#REF!</definedName>
    <definedName name="S43P4" localSheetId="5">#REF!</definedName>
    <definedName name="S43P4" localSheetId="0">#REF!</definedName>
    <definedName name="S43P4" localSheetId="9">#REF!</definedName>
    <definedName name="S43P4" localSheetId="10">#REF!</definedName>
    <definedName name="S43P4" localSheetId="8">#REF!</definedName>
    <definedName name="S43P4">#REF!</definedName>
    <definedName name="S43P5" localSheetId="4">#REF!</definedName>
    <definedName name="S43P5" localSheetId="5">#REF!</definedName>
    <definedName name="S43P5" localSheetId="0">#REF!</definedName>
    <definedName name="S43P5" localSheetId="9">#REF!</definedName>
    <definedName name="S43P5" localSheetId="10">#REF!</definedName>
    <definedName name="S43P5" localSheetId="8">#REF!</definedName>
    <definedName name="S43P5">#REF!</definedName>
    <definedName name="S43P6" localSheetId="4">#REF!</definedName>
    <definedName name="S43P6" localSheetId="5">#REF!</definedName>
    <definedName name="S43P6" localSheetId="0">#REF!</definedName>
    <definedName name="S43P6" localSheetId="9">#REF!</definedName>
    <definedName name="S43P6" localSheetId="10">#REF!</definedName>
    <definedName name="S43P6" localSheetId="8">#REF!</definedName>
    <definedName name="S43P6">#REF!</definedName>
    <definedName name="S43P7" localSheetId="4">#REF!</definedName>
    <definedName name="S43P7" localSheetId="5">#REF!</definedName>
    <definedName name="S43P7" localSheetId="0">#REF!</definedName>
    <definedName name="S43P7" localSheetId="9">#REF!</definedName>
    <definedName name="S43P7" localSheetId="10">#REF!</definedName>
    <definedName name="S43P7" localSheetId="8">#REF!</definedName>
    <definedName name="S43P7">#REF!</definedName>
    <definedName name="S43P8" localSheetId="4">#REF!</definedName>
    <definedName name="S43P8" localSheetId="5">#REF!</definedName>
    <definedName name="S43P8" localSheetId="0">#REF!</definedName>
    <definedName name="S43P8" localSheetId="9">#REF!</definedName>
    <definedName name="S43P8" localSheetId="10">#REF!</definedName>
    <definedName name="S43P8" localSheetId="8">#REF!</definedName>
    <definedName name="S43P8">#REF!</definedName>
    <definedName name="S43P9" localSheetId="4">#REF!</definedName>
    <definedName name="S43P9" localSheetId="5">#REF!</definedName>
    <definedName name="S43P9" localSheetId="0">#REF!</definedName>
    <definedName name="S43P9" localSheetId="9">#REF!</definedName>
    <definedName name="S43P9" localSheetId="10">#REF!</definedName>
    <definedName name="S43P9" localSheetId="8">#REF!</definedName>
    <definedName name="S43P9">#REF!</definedName>
    <definedName name="S43R1" localSheetId="4">#REF!</definedName>
    <definedName name="S43R1" localSheetId="5">#REF!</definedName>
    <definedName name="S43R1" localSheetId="0">#REF!</definedName>
    <definedName name="S43R1" localSheetId="9">#REF!</definedName>
    <definedName name="S43R1" localSheetId="10">#REF!</definedName>
    <definedName name="S43R1" localSheetId="8">#REF!</definedName>
    <definedName name="S43R1">#REF!</definedName>
    <definedName name="S43R10" localSheetId="4">#REF!</definedName>
    <definedName name="S43R10" localSheetId="5">#REF!</definedName>
    <definedName name="S43R10" localSheetId="0">#REF!</definedName>
    <definedName name="S43R10" localSheetId="9">#REF!</definedName>
    <definedName name="S43R10" localSheetId="10">#REF!</definedName>
    <definedName name="S43R10" localSheetId="8">#REF!</definedName>
    <definedName name="S43R10">#REF!</definedName>
    <definedName name="S43R11" localSheetId="4">#REF!</definedName>
    <definedName name="S43R11" localSheetId="5">#REF!</definedName>
    <definedName name="S43R11" localSheetId="0">#REF!</definedName>
    <definedName name="S43R11" localSheetId="9">#REF!</definedName>
    <definedName name="S43R11" localSheetId="10">#REF!</definedName>
    <definedName name="S43R11" localSheetId="8">#REF!</definedName>
    <definedName name="S43R11">#REF!</definedName>
    <definedName name="S43R12" localSheetId="4">#REF!</definedName>
    <definedName name="S43R12" localSheetId="5">#REF!</definedName>
    <definedName name="S43R12" localSheetId="0">#REF!</definedName>
    <definedName name="S43R12" localSheetId="9">#REF!</definedName>
    <definedName name="S43R12" localSheetId="10">#REF!</definedName>
    <definedName name="S43R12" localSheetId="8">#REF!</definedName>
    <definedName name="S43R12">#REF!</definedName>
    <definedName name="S43R13" localSheetId="4">#REF!</definedName>
    <definedName name="S43R13" localSheetId="5">#REF!</definedName>
    <definedName name="S43R13" localSheetId="0">#REF!</definedName>
    <definedName name="S43R13" localSheetId="9">#REF!</definedName>
    <definedName name="S43R13" localSheetId="10">#REF!</definedName>
    <definedName name="S43R13" localSheetId="8">#REF!</definedName>
    <definedName name="S43R13">#REF!</definedName>
    <definedName name="S43R14" localSheetId="4">#REF!</definedName>
    <definedName name="S43R14" localSheetId="5">#REF!</definedName>
    <definedName name="S43R14" localSheetId="0">#REF!</definedName>
    <definedName name="S43R14" localSheetId="9">#REF!</definedName>
    <definedName name="S43R14" localSheetId="10">#REF!</definedName>
    <definedName name="S43R14" localSheetId="8">#REF!</definedName>
    <definedName name="S43R14">#REF!</definedName>
    <definedName name="S43R15" localSheetId="4">#REF!</definedName>
    <definedName name="S43R15" localSheetId="5">#REF!</definedName>
    <definedName name="S43R15" localSheetId="0">#REF!</definedName>
    <definedName name="S43R15" localSheetId="9">#REF!</definedName>
    <definedName name="S43R15" localSheetId="10">#REF!</definedName>
    <definedName name="S43R15" localSheetId="8">#REF!</definedName>
    <definedName name="S43R15">#REF!</definedName>
    <definedName name="S43R16" localSheetId="4">#REF!</definedName>
    <definedName name="S43R16" localSheetId="5">#REF!</definedName>
    <definedName name="S43R16" localSheetId="0">#REF!</definedName>
    <definedName name="S43R16" localSheetId="9">#REF!</definedName>
    <definedName name="S43R16" localSheetId="10">#REF!</definedName>
    <definedName name="S43R16" localSheetId="8">#REF!</definedName>
    <definedName name="S43R16">#REF!</definedName>
    <definedName name="S43R17" localSheetId="4">#REF!</definedName>
    <definedName name="S43R17" localSheetId="5">#REF!</definedName>
    <definedName name="S43R17" localSheetId="0">#REF!</definedName>
    <definedName name="S43R17" localSheetId="9">#REF!</definedName>
    <definedName name="S43R17" localSheetId="10">#REF!</definedName>
    <definedName name="S43R17" localSheetId="8">#REF!</definedName>
    <definedName name="S43R17">#REF!</definedName>
    <definedName name="S43R18" localSheetId="4">#REF!</definedName>
    <definedName name="S43R18" localSheetId="5">#REF!</definedName>
    <definedName name="S43R18" localSheetId="0">#REF!</definedName>
    <definedName name="S43R18" localSheetId="9">#REF!</definedName>
    <definedName name="S43R18" localSheetId="10">#REF!</definedName>
    <definedName name="S43R18" localSheetId="8">#REF!</definedName>
    <definedName name="S43R18">#REF!</definedName>
    <definedName name="S43R19" localSheetId="4">#REF!</definedName>
    <definedName name="S43R19" localSheetId="5">#REF!</definedName>
    <definedName name="S43R19" localSheetId="0">#REF!</definedName>
    <definedName name="S43R19" localSheetId="9">#REF!</definedName>
    <definedName name="S43R19" localSheetId="10">#REF!</definedName>
    <definedName name="S43R19" localSheetId="8">#REF!</definedName>
    <definedName name="S43R19">#REF!</definedName>
    <definedName name="S43R2" localSheetId="4">#REF!</definedName>
    <definedName name="S43R2" localSheetId="5">#REF!</definedName>
    <definedName name="S43R2" localSheetId="0">#REF!</definedName>
    <definedName name="S43R2" localSheetId="9">#REF!</definedName>
    <definedName name="S43R2" localSheetId="10">#REF!</definedName>
    <definedName name="S43R2" localSheetId="8">#REF!</definedName>
    <definedName name="S43R2">#REF!</definedName>
    <definedName name="S43R20" localSheetId="4">#REF!</definedName>
    <definedName name="S43R20" localSheetId="5">#REF!</definedName>
    <definedName name="S43R20" localSheetId="0">#REF!</definedName>
    <definedName name="S43R20" localSheetId="9">#REF!</definedName>
    <definedName name="S43R20" localSheetId="10">#REF!</definedName>
    <definedName name="S43R20" localSheetId="8">#REF!</definedName>
    <definedName name="S43R20">#REF!</definedName>
    <definedName name="S43R21" localSheetId="4">#REF!</definedName>
    <definedName name="S43R21" localSheetId="5">#REF!</definedName>
    <definedName name="S43R21" localSheetId="0">#REF!</definedName>
    <definedName name="S43R21" localSheetId="9">#REF!</definedName>
    <definedName name="S43R21" localSheetId="10">#REF!</definedName>
    <definedName name="S43R21" localSheetId="8">#REF!</definedName>
    <definedName name="S43R21">#REF!</definedName>
    <definedName name="S43R22" localSheetId="4">#REF!</definedName>
    <definedName name="S43R22" localSheetId="5">#REF!</definedName>
    <definedName name="S43R22" localSheetId="0">#REF!</definedName>
    <definedName name="S43R22" localSheetId="9">#REF!</definedName>
    <definedName name="S43R22" localSheetId="10">#REF!</definedName>
    <definedName name="S43R22" localSheetId="8">#REF!</definedName>
    <definedName name="S43R22">#REF!</definedName>
    <definedName name="S43R23" localSheetId="4">#REF!</definedName>
    <definedName name="S43R23" localSheetId="5">#REF!</definedName>
    <definedName name="S43R23" localSheetId="0">#REF!</definedName>
    <definedName name="S43R23" localSheetId="9">#REF!</definedName>
    <definedName name="S43R23" localSheetId="10">#REF!</definedName>
    <definedName name="S43R23" localSheetId="8">#REF!</definedName>
    <definedName name="S43R23">#REF!</definedName>
    <definedName name="S43R24" localSheetId="4">#REF!</definedName>
    <definedName name="S43R24" localSheetId="5">#REF!</definedName>
    <definedName name="S43R24" localSheetId="0">#REF!</definedName>
    <definedName name="S43R24" localSheetId="9">#REF!</definedName>
    <definedName name="S43R24" localSheetId="10">#REF!</definedName>
    <definedName name="S43R24" localSheetId="8">#REF!</definedName>
    <definedName name="S43R24">#REF!</definedName>
    <definedName name="S43R3" localSheetId="4">#REF!</definedName>
    <definedName name="S43R3" localSheetId="5">#REF!</definedName>
    <definedName name="S43R3" localSheetId="0">#REF!</definedName>
    <definedName name="S43R3" localSheetId="9">#REF!</definedName>
    <definedName name="S43R3" localSheetId="10">#REF!</definedName>
    <definedName name="S43R3" localSheetId="8">#REF!</definedName>
    <definedName name="S43R3">#REF!</definedName>
    <definedName name="S43R4" localSheetId="4">#REF!</definedName>
    <definedName name="S43R4" localSheetId="5">#REF!</definedName>
    <definedName name="S43R4" localSheetId="0">#REF!</definedName>
    <definedName name="S43R4" localSheetId="9">#REF!</definedName>
    <definedName name="S43R4" localSheetId="10">#REF!</definedName>
    <definedName name="S43R4" localSheetId="8">#REF!</definedName>
    <definedName name="S43R4">#REF!</definedName>
    <definedName name="S43R5" localSheetId="4">#REF!</definedName>
    <definedName name="S43R5" localSheetId="5">#REF!</definedName>
    <definedName name="S43R5" localSheetId="0">#REF!</definedName>
    <definedName name="S43R5" localSheetId="9">#REF!</definedName>
    <definedName name="S43R5" localSheetId="10">#REF!</definedName>
    <definedName name="S43R5" localSheetId="8">#REF!</definedName>
    <definedName name="S43R5">#REF!</definedName>
    <definedName name="S43R6" localSheetId="4">#REF!</definedName>
    <definedName name="S43R6" localSheetId="5">#REF!</definedName>
    <definedName name="S43R6" localSheetId="0">#REF!</definedName>
    <definedName name="S43R6" localSheetId="9">#REF!</definedName>
    <definedName name="S43R6" localSheetId="10">#REF!</definedName>
    <definedName name="S43R6" localSheetId="8">#REF!</definedName>
    <definedName name="S43R6">#REF!</definedName>
    <definedName name="S43R7" localSheetId="4">#REF!</definedName>
    <definedName name="S43R7" localSheetId="5">#REF!</definedName>
    <definedName name="S43R7" localSheetId="0">#REF!</definedName>
    <definedName name="S43R7" localSheetId="9">#REF!</definedName>
    <definedName name="S43R7" localSheetId="10">#REF!</definedName>
    <definedName name="S43R7" localSheetId="8">#REF!</definedName>
    <definedName name="S43R7">#REF!</definedName>
    <definedName name="S43R8" localSheetId="4">#REF!</definedName>
    <definedName name="S43R8" localSheetId="5">#REF!</definedName>
    <definedName name="S43R8" localSheetId="0">#REF!</definedName>
    <definedName name="S43R8" localSheetId="9">#REF!</definedName>
    <definedName name="S43R8" localSheetId="10">#REF!</definedName>
    <definedName name="S43R8" localSheetId="8">#REF!</definedName>
    <definedName name="S43R8">#REF!</definedName>
    <definedName name="S43R9" localSheetId="4">#REF!</definedName>
    <definedName name="S43R9" localSheetId="5">#REF!</definedName>
    <definedName name="S43R9" localSheetId="0">#REF!</definedName>
    <definedName name="S43R9" localSheetId="9">#REF!</definedName>
    <definedName name="S43R9" localSheetId="10">#REF!</definedName>
    <definedName name="S43R9" localSheetId="8">#REF!</definedName>
    <definedName name="S43R9">#REF!</definedName>
    <definedName name="S44P1" localSheetId="4">#REF!</definedName>
    <definedName name="S44P1" localSheetId="5">#REF!</definedName>
    <definedName name="S44P1" localSheetId="0">#REF!</definedName>
    <definedName name="S44P1" localSheetId="9">#REF!</definedName>
    <definedName name="S44P1" localSheetId="10">#REF!</definedName>
    <definedName name="S44P1" localSheetId="8">#REF!</definedName>
    <definedName name="S44P1">#REF!</definedName>
    <definedName name="S44P10" localSheetId="4">#REF!</definedName>
    <definedName name="S44P10" localSheetId="5">#REF!</definedName>
    <definedName name="S44P10" localSheetId="0">#REF!</definedName>
    <definedName name="S44P10" localSheetId="9">#REF!</definedName>
    <definedName name="S44P10" localSheetId="10">#REF!</definedName>
    <definedName name="S44P10" localSheetId="8">#REF!</definedName>
    <definedName name="S44P10">#REF!</definedName>
    <definedName name="S44P11" localSheetId="4">#REF!</definedName>
    <definedName name="S44P11" localSheetId="5">#REF!</definedName>
    <definedName name="S44P11" localSheetId="0">#REF!</definedName>
    <definedName name="S44P11" localSheetId="9">#REF!</definedName>
    <definedName name="S44P11" localSheetId="10">#REF!</definedName>
    <definedName name="S44P11" localSheetId="8">#REF!</definedName>
    <definedName name="S44P11">#REF!</definedName>
    <definedName name="S44P12" localSheetId="4">#REF!</definedName>
    <definedName name="S44P12" localSheetId="5">#REF!</definedName>
    <definedName name="S44P12" localSheetId="0">#REF!</definedName>
    <definedName name="S44P12" localSheetId="9">#REF!</definedName>
    <definedName name="S44P12" localSheetId="10">#REF!</definedName>
    <definedName name="S44P12" localSheetId="8">#REF!</definedName>
    <definedName name="S44P12">#REF!</definedName>
    <definedName name="S44P13" localSheetId="4">#REF!</definedName>
    <definedName name="S44P13" localSheetId="5">#REF!</definedName>
    <definedName name="S44P13" localSheetId="0">#REF!</definedName>
    <definedName name="S44P13" localSheetId="9">#REF!</definedName>
    <definedName name="S44P13" localSheetId="10">#REF!</definedName>
    <definedName name="S44P13" localSheetId="8">#REF!</definedName>
    <definedName name="S44P13">#REF!</definedName>
    <definedName name="S44P14" localSheetId="4">#REF!</definedName>
    <definedName name="S44P14" localSheetId="5">#REF!</definedName>
    <definedName name="S44P14" localSheetId="0">#REF!</definedName>
    <definedName name="S44P14" localSheetId="9">#REF!</definedName>
    <definedName name="S44P14" localSheetId="10">#REF!</definedName>
    <definedName name="S44P14" localSheetId="8">#REF!</definedName>
    <definedName name="S44P14">#REF!</definedName>
    <definedName name="S44P15" localSheetId="4">#REF!</definedName>
    <definedName name="S44P15" localSheetId="5">#REF!</definedName>
    <definedName name="S44P15" localSheetId="0">#REF!</definedName>
    <definedName name="S44P15" localSheetId="9">#REF!</definedName>
    <definedName name="S44P15" localSheetId="10">#REF!</definedName>
    <definedName name="S44P15" localSheetId="8">#REF!</definedName>
    <definedName name="S44P15">#REF!</definedName>
    <definedName name="S44P16" localSheetId="4">#REF!</definedName>
    <definedName name="S44P16" localSheetId="5">#REF!</definedName>
    <definedName name="S44P16" localSheetId="0">#REF!</definedName>
    <definedName name="S44P16" localSheetId="9">#REF!</definedName>
    <definedName name="S44P16" localSheetId="10">#REF!</definedName>
    <definedName name="S44P16" localSheetId="8">#REF!</definedName>
    <definedName name="S44P16">#REF!</definedName>
    <definedName name="S44P17" localSheetId="4">#REF!</definedName>
    <definedName name="S44P17" localSheetId="5">#REF!</definedName>
    <definedName name="S44P17" localSheetId="0">#REF!</definedName>
    <definedName name="S44P17" localSheetId="9">#REF!</definedName>
    <definedName name="S44P17" localSheetId="10">#REF!</definedName>
    <definedName name="S44P17" localSheetId="8">#REF!</definedName>
    <definedName name="S44P17">#REF!</definedName>
    <definedName name="S44P18" localSheetId="4">#REF!</definedName>
    <definedName name="S44P18" localSheetId="5">#REF!</definedName>
    <definedName name="S44P18" localSheetId="0">#REF!</definedName>
    <definedName name="S44P18" localSheetId="9">#REF!</definedName>
    <definedName name="S44P18" localSheetId="10">#REF!</definedName>
    <definedName name="S44P18" localSheetId="8">#REF!</definedName>
    <definedName name="S44P18">#REF!</definedName>
    <definedName name="S44P19" localSheetId="4">#REF!</definedName>
    <definedName name="S44P19" localSheetId="5">#REF!</definedName>
    <definedName name="S44P19" localSheetId="0">#REF!</definedName>
    <definedName name="S44P19" localSheetId="9">#REF!</definedName>
    <definedName name="S44P19" localSheetId="10">#REF!</definedName>
    <definedName name="S44P19" localSheetId="8">#REF!</definedName>
    <definedName name="S44P19">#REF!</definedName>
    <definedName name="S44P2" localSheetId="4">#REF!</definedName>
    <definedName name="S44P2" localSheetId="5">#REF!</definedName>
    <definedName name="S44P2" localSheetId="0">#REF!</definedName>
    <definedName name="S44P2" localSheetId="9">#REF!</definedName>
    <definedName name="S44P2" localSheetId="10">#REF!</definedName>
    <definedName name="S44P2" localSheetId="8">#REF!</definedName>
    <definedName name="S44P2">#REF!</definedName>
    <definedName name="S44P20" localSheetId="4">#REF!</definedName>
    <definedName name="S44P20" localSheetId="5">#REF!</definedName>
    <definedName name="S44P20" localSheetId="0">#REF!</definedName>
    <definedName name="S44P20" localSheetId="9">#REF!</definedName>
    <definedName name="S44P20" localSheetId="10">#REF!</definedName>
    <definedName name="S44P20" localSheetId="8">#REF!</definedName>
    <definedName name="S44P20">#REF!</definedName>
    <definedName name="S44P21" localSheetId="4">#REF!</definedName>
    <definedName name="S44P21" localSheetId="5">#REF!</definedName>
    <definedName name="S44P21" localSheetId="0">#REF!</definedName>
    <definedName name="S44P21" localSheetId="9">#REF!</definedName>
    <definedName name="S44P21" localSheetId="10">#REF!</definedName>
    <definedName name="S44P21" localSheetId="8">#REF!</definedName>
    <definedName name="S44P21">#REF!</definedName>
    <definedName name="S44P22" localSheetId="4">#REF!</definedName>
    <definedName name="S44P22" localSheetId="5">#REF!</definedName>
    <definedName name="S44P22" localSheetId="0">#REF!</definedName>
    <definedName name="S44P22" localSheetId="9">#REF!</definedName>
    <definedName name="S44P22" localSheetId="10">#REF!</definedName>
    <definedName name="S44P22" localSheetId="8">#REF!</definedName>
    <definedName name="S44P22">#REF!</definedName>
    <definedName name="S44P23" localSheetId="4">#REF!</definedName>
    <definedName name="S44P23" localSheetId="5">#REF!</definedName>
    <definedName name="S44P23" localSheetId="0">#REF!</definedName>
    <definedName name="S44P23" localSheetId="9">#REF!</definedName>
    <definedName name="S44P23" localSheetId="10">#REF!</definedName>
    <definedName name="S44P23" localSheetId="8">#REF!</definedName>
    <definedName name="S44P23">#REF!</definedName>
    <definedName name="S44P24" localSheetId="4">#REF!</definedName>
    <definedName name="S44P24" localSheetId="5">#REF!</definedName>
    <definedName name="S44P24" localSheetId="0">#REF!</definedName>
    <definedName name="S44P24" localSheetId="9">#REF!</definedName>
    <definedName name="S44P24" localSheetId="10">#REF!</definedName>
    <definedName name="S44P24" localSheetId="8">#REF!</definedName>
    <definedName name="S44P24">#REF!</definedName>
    <definedName name="S44P3" localSheetId="4">#REF!</definedName>
    <definedName name="S44P3" localSheetId="5">#REF!</definedName>
    <definedName name="S44P3" localSheetId="0">#REF!</definedName>
    <definedName name="S44P3" localSheetId="9">#REF!</definedName>
    <definedName name="S44P3" localSheetId="10">#REF!</definedName>
    <definedName name="S44P3" localSheetId="8">#REF!</definedName>
    <definedName name="S44P3">#REF!</definedName>
    <definedName name="S44P4" localSheetId="4">#REF!</definedName>
    <definedName name="S44P4" localSheetId="5">#REF!</definedName>
    <definedName name="S44P4" localSheetId="0">#REF!</definedName>
    <definedName name="S44P4" localSheetId="9">#REF!</definedName>
    <definedName name="S44P4" localSheetId="10">#REF!</definedName>
    <definedName name="S44P4" localSheetId="8">#REF!</definedName>
    <definedName name="S44P4">#REF!</definedName>
    <definedName name="S44P5" localSheetId="4">#REF!</definedName>
    <definedName name="S44P5" localSheetId="5">#REF!</definedName>
    <definedName name="S44P5" localSheetId="0">#REF!</definedName>
    <definedName name="S44P5" localSheetId="9">#REF!</definedName>
    <definedName name="S44P5" localSheetId="10">#REF!</definedName>
    <definedName name="S44P5" localSheetId="8">#REF!</definedName>
    <definedName name="S44P5">#REF!</definedName>
    <definedName name="S44P6" localSheetId="4">#REF!</definedName>
    <definedName name="S44P6" localSheetId="5">#REF!</definedName>
    <definedName name="S44P6" localSheetId="0">#REF!</definedName>
    <definedName name="S44P6" localSheetId="9">#REF!</definedName>
    <definedName name="S44P6" localSheetId="10">#REF!</definedName>
    <definedName name="S44P6" localSheetId="8">#REF!</definedName>
    <definedName name="S44P6">#REF!</definedName>
    <definedName name="S44P7" localSheetId="4">#REF!</definedName>
    <definedName name="S44P7" localSheetId="5">#REF!</definedName>
    <definedName name="S44P7" localSheetId="0">#REF!</definedName>
    <definedName name="S44P7" localSheetId="9">#REF!</definedName>
    <definedName name="S44P7" localSheetId="10">#REF!</definedName>
    <definedName name="S44P7" localSheetId="8">#REF!</definedName>
    <definedName name="S44P7">#REF!</definedName>
    <definedName name="S44P8" localSheetId="4">#REF!</definedName>
    <definedName name="S44P8" localSheetId="5">#REF!</definedName>
    <definedName name="S44P8" localSheetId="0">#REF!</definedName>
    <definedName name="S44P8" localSheetId="9">#REF!</definedName>
    <definedName name="S44P8" localSheetId="10">#REF!</definedName>
    <definedName name="S44P8" localSheetId="8">#REF!</definedName>
    <definedName name="S44P8">#REF!</definedName>
    <definedName name="S44P9" localSheetId="4">#REF!</definedName>
    <definedName name="S44P9" localSheetId="5">#REF!</definedName>
    <definedName name="S44P9" localSheetId="0">#REF!</definedName>
    <definedName name="S44P9" localSheetId="9">#REF!</definedName>
    <definedName name="S44P9" localSheetId="10">#REF!</definedName>
    <definedName name="S44P9" localSheetId="8">#REF!</definedName>
    <definedName name="S44P9">#REF!</definedName>
    <definedName name="S44R1" localSheetId="4">#REF!</definedName>
    <definedName name="S44R1" localSheetId="5">#REF!</definedName>
    <definedName name="S44R1" localSheetId="0">#REF!</definedName>
    <definedName name="S44R1" localSheetId="9">#REF!</definedName>
    <definedName name="S44R1" localSheetId="10">#REF!</definedName>
    <definedName name="S44R1" localSheetId="8">#REF!</definedName>
    <definedName name="S44R1">#REF!</definedName>
    <definedName name="S44R10" localSheetId="4">#REF!</definedName>
    <definedName name="S44R10" localSheetId="5">#REF!</definedName>
    <definedName name="S44R10" localSheetId="0">#REF!</definedName>
    <definedName name="S44R10" localSheetId="9">#REF!</definedName>
    <definedName name="S44R10" localSheetId="10">#REF!</definedName>
    <definedName name="S44R10" localSheetId="8">#REF!</definedName>
    <definedName name="S44R10">#REF!</definedName>
    <definedName name="S44R11" localSheetId="4">#REF!</definedName>
    <definedName name="S44R11" localSheetId="5">#REF!</definedName>
    <definedName name="S44R11" localSheetId="0">#REF!</definedName>
    <definedName name="S44R11" localSheetId="9">#REF!</definedName>
    <definedName name="S44R11" localSheetId="10">#REF!</definedName>
    <definedName name="S44R11" localSheetId="8">#REF!</definedName>
    <definedName name="S44R11">#REF!</definedName>
    <definedName name="S44R12" localSheetId="4">#REF!</definedName>
    <definedName name="S44R12" localSheetId="5">#REF!</definedName>
    <definedName name="S44R12" localSheetId="0">#REF!</definedName>
    <definedName name="S44R12" localSheetId="9">#REF!</definedName>
    <definedName name="S44R12" localSheetId="10">#REF!</definedName>
    <definedName name="S44R12" localSheetId="8">#REF!</definedName>
    <definedName name="S44R12">#REF!</definedName>
    <definedName name="S44R13" localSheetId="4">#REF!</definedName>
    <definedName name="S44R13" localSheetId="5">#REF!</definedName>
    <definedName name="S44R13" localSheetId="0">#REF!</definedName>
    <definedName name="S44R13" localSheetId="9">#REF!</definedName>
    <definedName name="S44R13" localSheetId="10">#REF!</definedName>
    <definedName name="S44R13" localSheetId="8">#REF!</definedName>
    <definedName name="S44R13">#REF!</definedName>
    <definedName name="S44R14" localSheetId="4">#REF!</definedName>
    <definedName name="S44R14" localSheetId="5">#REF!</definedName>
    <definedName name="S44R14" localSheetId="0">#REF!</definedName>
    <definedName name="S44R14" localSheetId="9">#REF!</definedName>
    <definedName name="S44R14" localSheetId="10">#REF!</definedName>
    <definedName name="S44R14" localSheetId="8">#REF!</definedName>
    <definedName name="S44R14">#REF!</definedName>
    <definedName name="S44R15" localSheetId="4">#REF!</definedName>
    <definedName name="S44R15" localSheetId="5">#REF!</definedName>
    <definedName name="S44R15" localSheetId="0">#REF!</definedName>
    <definedName name="S44R15" localSheetId="9">#REF!</definedName>
    <definedName name="S44R15" localSheetId="10">#REF!</definedName>
    <definedName name="S44R15" localSheetId="8">#REF!</definedName>
    <definedName name="S44R15">#REF!</definedName>
    <definedName name="S44R16" localSheetId="4">#REF!</definedName>
    <definedName name="S44R16" localSheetId="5">#REF!</definedName>
    <definedName name="S44R16" localSheetId="0">#REF!</definedName>
    <definedName name="S44R16" localSheetId="9">#REF!</definedName>
    <definedName name="S44R16" localSheetId="10">#REF!</definedName>
    <definedName name="S44R16" localSheetId="8">#REF!</definedName>
    <definedName name="S44R16">#REF!</definedName>
    <definedName name="S44R17" localSheetId="4">#REF!</definedName>
    <definedName name="S44R17" localSheetId="5">#REF!</definedName>
    <definedName name="S44R17" localSheetId="0">#REF!</definedName>
    <definedName name="S44R17" localSheetId="9">#REF!</definedName>
    <definedName name="S44R17" localSheetId="10">#REF!</definedName>
    <definedName name="S44R17" localSheetId="8">#REF!</definedName>
    <definedName name="S44R17">#REF!</definedName>
    <definedName name="S44R18" localSheetId="4">#REF!</definedName>
    <definedName name="S44R18" localSheetId="5">#REF!</definedName>
    <definedName name="S44R18" localSheetId="0">#REF!</definedName>
    <definedName name="S44R18" localSheetId="9">#REF!</definedName>
    <definedName name="S44R18" localSheetId="10">#REF!</definedName>
    <definedName name="S44R18" localSheetId="8">#REF!</definedName>
    <definedName name="S44R18">#REF!</definedName>
    <definedName name="S44R19" localSheetId="4">#REF!</definedName>
    <definedName name="S44R19" localSheetId="5">#REF!</definedName>
    <definedName name="S44R19" localSheetId="0">#REF!</definedName>
    <definedName name="S44R19" localSheetId="9">#REF!</definedName>
    <definedName name="S44R19" localSheetId="10">#REF!</definedName>
    <definedName name="S44R19" localSheetId="8">#REF!</definedName>
    <definedName name="S44R19">#REF!</definedName>
    <definedName name="S44R2" localSheetId="4">#REF!</definedName>
    <definedName name="S44R2" localSheetId="5">#REF!</definedName>
    <definedName name="S44R2" localSheetId="0">#REF!</definedName>
    <definedName name="S44R2" localSheetId="9">#REF!</definedName>
    <definedName name="S44R2" localSheetId="10">#REF!</definedName>
    <definedName name="S44R2" localSheetId="8">#REF!</definedName>
    <definedName name="S44R2">#REF!</definedName>
    <definedName name="S44R20" localSheetId="4">#REF!</definedName>
    <definedName name="S44R20" localSheetId="5">#REF!</definedName>
    <definedName name="S44R20" localSheetId="0">#REF!</definedName>
    <definedName name="S44R20" localSheetId="9">#REF!</definedName>
    <definedName name="S44R20" localSheetId="10">#REF!</definedName>
    <definedName name="S44R20" localSheetId="8">#REF!</definedName>
    <definedName name="S44R20">#REF!</definedName>
    <definedName name="S44R21" localSheetId="4">#REF!</definedName>
    <definedName name="S44R21" localSheetId="5">#REF!</definedName>
    <definedName name="S44R21" localSheetId="0">#REF!</definedName>
    <definedName name="S44R21" localSheetId="9">#REF!</definedName>
    <definedName name="S44R21" localSheetId="10">#REF!</definedName>
    <definedName name="S44R21" localSheetId="8">#REF!</definedName>
    <definedName name="S44R21">#REF!</definedName>
    <definedName name="S44R22" localSheetId="4">#REF!</definedName>
    <definedName name="S44R22" localSheetId="5">#REF!</definedName>
    <definedName name="S44R22" localSheetId="0">#REF!</definedName>
    <definedName name="S44R22" localSheetId="9">#REF!</definedName>
    <definedName name="S44R22" localSheetId="10">#REF!</definedName>
    <definedName name="S44R22" localSheetId="8">#REF!</definedName>
    <definedName name="S44R22">#REF!</definedName>
    <definedName name="S44R23" localSheetId="4">#REF!</definedName>
    <definedName name="S44R23" localSheetId="5">#REF!</definedName>
    <definedName name="S44R23" localSheetId="0">#REF!</definedName>
    <definedName name="S44R23" localSheetId="9">#REF!</definedName>
    <definedName name="S44R23" localSheetId="10">#REF!</definedName>
    <definedName name="S44R23" localSheetId="8">#REF!</definedName>
    <definedName name="S44R23">#REF!</definedName>
    <definedName name="S44R24" localSheetId="4">#REF!</definedName>
    <definedName name="S44R24" localSheetId="5">#REF!</definedName>
    <definedName name="S44R24" localSheetId="0">#REF!</definedName>
    <definedName name="S44R24" localSheetId="9">#REF!</definedName>
    <definedName name="S44R24" localSheetId="10">#REF!</definedName>
    <definedName name="S44R24" localSheetId="8">#REF!</definedName>
    <definedName name="S44R24">#REF!</definedName>
    <definedName name="S44R3" localSheetId="4">#REF!</definedName>
    <definedName name="S44R3" localSheetId="5">#REF!</definedName>
    <definedName name="S44R3" localSheetId="0">#REF!</definedName>
    <definedName name="S44R3" localSheetId="9">#REF!</definedName>
    <definedName name="S44R3" localSheetId="10">#REF!</definedName>
    <definedName name="S44R3" localSheetId="8">#REF!</definedName>
    <definedName name="S44R3">#REF!</definedName>
    <definedName name="S44R4" localSheetId="4">#REF!</definedName>
    <definedName name="S44R4" localSheetId="5">#REF!</definedName>
    <definedName name="S44R4" localSheetId="0">#REF!</definedName>
    <definedName name="S44R4" localSheetId="9">#REF!</definedName>
    <definedName name="S44R4" localSheetId="10">#REF!</definedName>
    <definedName name="S44R4" localSheetId="8">#REF!</definedName>
    <definedName name="S44R4">#REF!</definedName>
    <definedName name="S44R5" localSheetId="4">#REF!</definedName>
    <definedName name="S44R5" localSheetId="5">#REF!</definedName>
    <definedName name="S44R5" localSheetId="0">#REF!</definedName>
    <definedName name="S44R5" localSheetId="9">#REF!</definedName>
    <definedName name="S44R5" localSheetId="10">#REF!</definedName>
    <definedName name="S44R5" localSheetId="8">#REF!</definedName>
    <definedName name="S44R5">#REF!</definedName>
    <definedName name="S44R6" localSheetId="4">#REF!</definedName>
    <definedName name="S44R6" localSheetId="5">#REF!</definedName>
    <definedName name="S44R6" localSheetId="0">#REF!</definedName>
    <definedName name="S44R6" localSheetId="9">#REF!</definedName>
    <definedName name="S44R6" localSheetId="10">#REF!</definedName>
    <definedName name="S44R6" localSheetId="8">#REF!</definedName>
    <definedName name="S44R6">#REF!</definedName>
    <definedName name="S44R7" localSheetId="4">#REF!</definedName>
    <definedName name="S44R7" localSheetId="5">#REF!</definedName>
    <definedName name="S44R7" localSheetId="0">#REF!</definedName>
    <definedName name="S44R7" localSheetId="9">#REF!</definedName>
    <definedName name="S44R7" localSheetId="10">#REF!</definedName>
    <definedName name="S44R7" localSheetId="8">#REF!</definedName>
    <definedName name="S44R7">#REF!</definedName>
    <definedName name="S44R8" localSheetId="4">#REF!</definedName>
    <definedName name="S44R8" localSheetId="5">#REF!</definedName>
    <definedName name="S44R8" localSheetId="0">#REF!</definedName>
    <definedName name="S44R8" localSheetId="9">#REF!</definedName>
    <definedName name="S44R8" localSheetId="10">#REF!</definedName>
    <definedName name="S44R8" localSheetId="8">#REF!</definedName>
    <definedName name="S44R8">#REF!</definedName>
    <definedName name="S44R9" localSheetId="4">#REF!</definedName>
    <definedName name="S44R9" localSheetId="5">#REF!</definedName>
    <definedName name="S44R9" localSheetId="0">#REF!</definedName>
    <definedName name="S44R9" localSheetId="9">#REF!</definedName>
    <definedName name="S44R9" localSheetId="10">#REF!</definedName>
    <definedName name="S44R9" localSheetId="8">#REF!</definedName>
    <definedName name="S44R9">#REF!</definedName>
    <definedName name="S45P1" localSheetId="4">#REF!</definedName>
    <definedName name="S45P1" localSheetId="5">#REF!</definedName>
    <definedName name="S45P1" localSheetId="0">#REF!</definedName>
    <definedName name="S45P1" localSheetId="9">#REF!</definedName>
    <definedName name="S45P1" localSheetId="10">#REF!</definedName>
    <definedName name="S45P1" localSheetId="8">#REF!</definedName>
    <definedName name="S45P1">#REF!</definedName>
    <definedName name="S45P10" localSheetId="4">#REF!</definedName>
    <definedName name="S45P10" localSheetId="5">#REF!</definedName>
    <definedName name="S45P10" localSheetId="0">#REF!</definedName>
    <definedName name="S45P10" localSheetId="9">#REF!</definedName>
    <definedName name="S45P10" localSheetId="10">#REF!</definedName>
    <definedName name="S45P10" localSheetId="8">#REF!</definedName>
    <definedName name="S45P10">#REF!</definedName>
    <definedName name="S45P11" localSheetId="4">#REF!</definedName>
    <definedName name="S45P11" localSheetId="5">#REF!</definedName>
    <definedName name="S45P11" localSheetId="0">#REF!</definedName>
    <definedName name="S45P11" localSheetId="9">#REF!</definedName>
    <definedName name="S45P11" localSheetId="10">#REF!</definedName>
    <definedName name="S45P11" localSheetId="8">#REF!</definedName>
    <definedName name="S45P11">#REF!</definedName>
    <definedName name="S45P12" localSheetId="4">#REF!</definedName>
    <definedName name="S45P12" localSheetId="5">#REF!</definedName>
    <definedName name="S45P12" localSheetId="0">#REF!</definedName>
    <definedName name="S45P12" localSheetId="9">#REF!</definedName>
    <definedName name="S45P12" localSheetId="10">#REF!</definedName>
    <definedName name="S45P12" localSheetId="8">#REF!</definedName>
    <definedName name="S45P12">#REF!</definedName>
    <definedName name="S45P13" localSheetId="4">#REF!</definedName>
    <definedName name="S45P13" localSheetId="5">#REF!</definedName>
    <definedName name="S45P13" localSheetId="0">#REF!</definedName>
    <definedName name="S45P13" localSheetId="9">#REF!</definedName>
    <definedName name="S45P13" localSheetId="10">#REF!</definedName>
    <definedName name="S45P13" localSheetId="8">#REF!</definedName>
    <definedName name="S45P13">#REF!</definedName>
    <definedName name="S45P14" localSheetId="4">#REF!</definedName>
    <definedName name="S45P14" localSheetId="5">#REF!</definedName>
    <definedName name="S45P14" localSheetId="0">#REF!</definedName>
    <definedName name="S45P14" localSheetId="9">#REF!</definedName>
    <definedName name="S45P14" localSheetId="10">#REF!</definedName>
    <definedName name="S45P14" localSheetId="8">#REF!</definedName>
    <definedName name="S45P14">#REF!</definedName>
    <definedName name="S45P15" localSheetId="4">#REF!</definedName>
    <definedName name="S45P15" localSheetId="5">#REF!</definedName>
    <definedName name="S45P15" localSheetId="0">#REF!</definedName>
    <definedName name="S45P15" localSheetId="9">#REF!</definedName>
    <definedName name="S45P15" localSheetId="10">#REF!</definedName>
    <definedName name="S45P15" localSheetId="8">#REF!</definedName>
    <definedName name="S45P15">#REF!</definedName>
    <definedName name="S45P16" localSheetId="4">#REF!</definedName>
    <definedName name="S45P16" localSheetId="5">#REF!</definedName>
    <definedName name="S45P16" localSheetId="0">#REF!</definedName>
    <definedName name="S45P16" localSheetId="9">#REF!</definedName>
    <definedName name="S45P16" localSheetId="10">#REF!</definedName>
    <definedName name="S45P16" localSheetId="8">#REF!</definedName>
    <definedName name="S45P16">#REF!</definedName>
    <definedName name="S45P17" localSheetId="4">#REF!</definedName>
    <definedName name="S45P17" localSheetId="5">#REF!</definedName>
    <definedName name="S45P17" localSheetId="0">#REF!</definedName>
    <definedName name="S45P17" localSheetId="9">#REF!</definedName>
    <definedName name="S45P17" localSheetId="10">#REF!</definedName>
    <definedName name="S45P17" localSheetId="8">#REF!</definedName>
    <definedName name="S45P17">#REF!</definedName>
    <definedName name="S45P18" localSheetId="4">#REF!</definedName>
    <definedName name="S45P18" localSheetId="5">#REF!</definedName>
    <definedName name="S45P18" localSheetId="0">#REF!</definedName>
    <definedName name="S45P18" localSheetId="9">#REF!</definedName>
    <definedName name="S45P18" localSheetId="10">#REF!</definedName>
    <definedName name="S45P18" localSheetId="8">#REF!</definedName>
    <definedName name="S45P18">#REF!</definedName>
    <definedName name="S45P19" localSheetId="4">#REF!</definedName>
    <definedName name="S45P19" localSheetId="5">#REF!</definedName>
    <definedName name="S45P19" localSheetId="0">#REF!</definedName>
    <definedName name="S45P19" localSheetId="9">#REF!</definedName>
    <definedName name="S45P19" localSheetId="10">#REF!</definedName>
    <definedName name="S45P19" localSheetId="8">#REF!</definedName>
    <definedName name="S45P19">#REF!</definedName>
    <definedName name="S45P2" localSheetId="4">#REF!</definedName>
    <definedName name="S45P2" localSheetId="5">#REF!</definedName>
    <definedName name="S45P2" localSheetId="0">#REF!</definedName>
    <definedName name="S45P2" localSheetId="9">#REF!</definedName>
    <definedName name="S45P2" localSheetId="10">#REF!</definedName>
    <definedName name="S45P2" localSheetId="8">#REF!</definedName>
    <definedName name="S45P2">#REF!</definedName>
    <definedName name="S45P20" localSheetId="4">#REF!</definedName>
    <definedName name="S45P20" localSheetId="5">#REF!</definedName>
    <definedName name="S45P20" localSheetId="0">#REF!</definedName>
    <definedName name="S45P20" localSheetId="9">#REF!</definedName>
    <definedName name="S45P20" localSheetId="10">#REF!</definedName>
    <definedName name="S45P20" localSheetId="8">#REF!</definedName>
    <definedName name="S45P20">#REF!</definedName>
    <definedName name="S45P21" localSheetId="4">#REF!</definedName>
    <definedName name="S45P21" localSheetId="5">#REF!</definedName>
    <definedName name="S45P21" localSheetId="0">#REF!</definedName>
    <definedName name="S45P21" localSheetId="9">#REF!</definedName>
    <definedName name="S45P21" localSheetId="10">#REF!</definedName>
    <definedName name="S45P21" localSheetId="8">#REF!</definedName>
    <definedName name="S45P21">#REF!</definedName>
    <definedName name="S45P22" localSheetId="4">#REF!</definedName>
    <definedName name="S45P22" localSheetId="5">#REF!</definedName>
    <definedName name="S45P22" localSheetId="0">#REF!</definedName>
    <definedName name="S45P22" localSheetId="9">#REF!</definedName>
    <definedName name="S45P22" localSheetId="10">#REF!</definedName>
    <definedName name="S45P22" localSheetId="8">#REF!</definedName>
    <definedName name="S45P22">#REF!</definedName>
    <definedName name="S45P23" localSheetId="4">#REF!</definedName>
    <definedName name="S45P23" localSheetId="5">#REF!</definedName>
    <definedName name="S45P23" localSheetId="0">#REF!</definedName>
    <definedName name="S45P23" localSheetId="9">#REF!</definedName>
    <definedName name="S45P23" localSheetId="10">#REF!</definedName>
    <definedName name="S45P23" localSheetId="8">#REF!</definedName>
    <definedName name="S45P23">#REF!</definedName>
    <definedName name="S45P24" localSheetId="4">#REF!</definedName>
    <definedName name="S45P24" localSheetId="5">#REF!</definedName>
    <definedName name="S45P24" localSheetId="0">#REF!</definedName>
    <definedName name="S45P24" localSheetId="9">#REF!</definedName>
    <definedName name="S45P24" localSheetId="10">#REF!</definedName>
    <definedName name="S45P24" localSheetId="8">#REF!</definedName>
    <definedName name="S45P24">#REF!</definedName>
    <definedName name="S45P3" localSheetId="4">#REF!</definedName>
    <definedName name="S45P3" localSheetId="5">#REF!</definedName>
    <definedName name="S45P3" localSheetId="0">#REF!</definedName>
    <definedName name="S45P3" localSheetId="9">#REF!</definedName>
    <definedName name="S45P3" localSheetId="10">#REF!</definedName>
    <definedName name="S45P3" localSheetId="8">#REF!</definedName>
    <definedName name="S45P3">#REF!</definedName>
    <definedName name="S45P4" localSheetId="4">#REF!</definedName>
    <definedName name="S45P4" localSheetId="5">#REF!</definedName>
    <definedName name="S45P4" localSheetId="0">#REF!</definedName>
    <definedName name="S45P4" localSheetId="9">#REF!</definedName>
    <definedName name="S45P4" localSheetId="10">#REF!</definedName>
    <definedName name="S45P4" localSheetId="8">#REF!</definedName>
    <definedName name="S45P4">#REF!</definedName>
    <definedName name="S45P5" localSheetId="4">#REF!</definedName>
    <definedName name="S45P5" localSheetId="5">#REF!</definedName>
    <definedName name="S45P5" localSheetId="0">#REF!</definedName>
    <definedName name="S45P5" localSheetId="9">#REF!</definedName>
    <definedName name="S45P5" localSheetId="10">#REF!</definedName>
    <definedName name="S45P5" localSheetId="8">#REF!</definedName>
    <definedName name="S45P5">#REF!</definedName>
    <definedName name="S45P6" localSheetId="4">#REF!</definedName>
    <definedName name="S45P6" localSheetId="5">#REF!</definedName>
    <definedName name="S45P6" localSheetId="0">#REF!</definedName>
    <definedName name="S45P6" localSheetId="9">#REF!</definedName>
    <definedName name="S45P6" localSheetId="10">#REF!</definedName>
    <definedName name="S45P6" localSheetId="8">#REF!</definedName>
    <definedName name="S45P6">#REF!</definedName>
    <definedName name="S45P7" localSheetId="4">#REF!</definedName>
    <definedName name="S45P7" localSheetId="5">#REF!</definedName>
    <definedName name="S45P7" localSheetId="0">#REF!</definedName>
    <definedName name="S45P7" localSheetId="9">#REF!</definedName>
    <definedName name="S45P7" localSheetId="10">#REF!</definedName>
    <definedName name="S45P7" localSheetId="8">#REF!</definedName>
    <definedName name="S45P7">#REF!</definedName>
    <definedName name="S45P8" localSheetId="4">#REF!</definedName>
    <definedName name="S45P8" localSheetId="5">#REF!</definedName>
    <definedName name="S45P8" localSheetId="0">#REF!</definedName>
    <definedName name="S45P8" localSheetId="9">#REF!</definedName>
    <definedName name="S45P8" localSheetId="10">#REF!</definedName>
    <definedName name="S45P8" localSheetId="8">#REF!</definedName>
    <definedName name="S45P8">#REF!</definedName>
    <definedName name="S45P9" localSheetId="4">#REF!</definedName>
    <definedName name="S45P9" localSheetId="5">#REF!</definedName>
    <definedName name="S45P9" localSheetId="0">#REF!</definedName>
    <definedName name="S45P9" localSheetId="9">#REF!</definedName>
    <definedName name="S45P9" localSheetId="10">#REF!</definedName>
    <definedName name="S45P9" localSheetId="8">#REF!</definedName>
    <definedName name="S45P9">#REF!</definedName>
    <definedName name="S45R1" localSheetId="4">#REF!</definedName>
    <definedName name="S45R1" localSheetId="5">#REF!</definedName>
    <definedName name="S45R1" localSheetId="0">#REF!</definedName>
    <definedName name="S45R1" localSheetId="9">#REF!</definedName>
    <definedName name="S45R1" localSheetId="10">#REF!</definedName>
    <definedName name="S45R1" localSheetId="8">#REF!</definedName>
    <definedName name="S45R1">#REF!</definedName>
    <definedName name="S45R10" localSheetId="4">#REF!</definedName>
    <definedName name="S45R10" localSheetId="5">#REF!</definedName>
    <definedName name="S45R10" localSheetId="0">#REF!</definedName>
    <definedName name="S45R10" localSheetId="9">#REF!</definedName>
    <definedName name="S45R10" localSheetId="10">#REF!</definedName>
    <definedName name="S45R10" localSheetId="8">#REF!</definedName>
    <definedName name="S45R10">#REF!</definedName>
    <definedName name="S45R11" localSheetId="4">#REF!</definedName>
    <definedName name="S45R11" localSheetId="5">#REF!</definedName>
    <definedName name="S45R11" localSheetId="0">#REF!</definedName>
    <definedName name="S45R11" localSheetId="9">#REF!</definedName>
    <definedName name="S45R11" localSheetId="10">#REF!</definedName>
    <definedName name="S45R11" localSheetId="8">#REF!</definedName>
    <definedName name="S45R11">#REF!</definedName>
    <definedName name="S45R12" localSheetId="4">#REF!</definedName>
    <definedName name="S45R12" localSheetId="5">#REF!</definedName>
    <definedName name="S45R12" localSheetId="0">#REF!</definedName>
    <definedName name="S45R12" localSheetId="9">#REF!</definedName>
    <definedName name="S45R12" localSheetId="10">#REF!</definedName>
    <definedName name="S45R12" localSheetId="8">#REF!</definedName>
    <definedName name="S45R12">#REF!</definedName>
    <definedName name="S45R13" localSheetId="4">#REF!</definedName>
    <definedName name="S45R13" localSheetId="5">#REF!</definedName>
    <definedName name="S45R13" localSheetId="0">#REF!</definedName>
    <definedName name="S45R13" localSheetId="9">#REF!</definedName>
    <definedName name="S45R13" localSheetId="10">#REF!</definedName>
    <definedName name="S45R13" localSheetId="8">#REF!</definedName>
    <definedName name="S45R13">#REF!</definedName>
    <definedName name="S45R14" localSheetId="4">#REF!</definedName>
    <definedName name="S45R14" localSheetId="5">#REF!</definedName>
    <definedName name="S45R14" localSheetId="0">#REF!</definedName>
    <definedName name="S45R14" localSheetId="9">#REF!</definedName>
    <definedName name="S45R14" localSheetId="10">#REF!</definedName>
    <definedName name="S45R14" localSheetId="8">#REF!</definedName>
    <definedName name="S45R14">#REF!</definedName>
    <definedName name="S45R15" localSheetId="4">#REF!</definedName>
    <definedName name="S45R15" localSheetId="5">#REF!</definedName>
    <definedName name="S45R15" localSheetId="0">#REF!</definedName>
    <definedName name="S45R15" localSheetId="9">#REF!</definedName>
    <definedName name="S45R15" localSheetId="10">#REF!</definedName>
    <definedName name="S45R15" localSheetId="8">#REF!</definedName>
    <definedName name="S45R15">#REF!</definedName>
    <definedName name="S45R16" localSheetId="4">#REF!</definedName>
    <definedName name="S45R16" localSheetId="5">#REF!</definedName>
    <definedName name="S45R16" localSheetId="0">#REF!</definedName>
    <definedName name="S45R16" localSheetId="9">#REF!</definedName>
    <definedName name="S45R16" localSheetId="10">#REF!</definedName>
    <definedName name="S45R16" localSheetId="8">#REF!</definedName>
    <definedName name="S45R16">#REF!</definedName>
    <definedName name="S45R17" localSheetId="4">#REF!</definedName>
    <definedName name="S45R17" localSheetId="5">#REF!</definedName>
    <definedName name="S45R17" localSheetId="0">#REF!</definedName>
    <definedName name="S45R17" localSheetId="9">#REF!</definedName>
    <definedName name="S45R17" localSheetId="10">#REF!</definedName>
    <definedName name="S45R17" localSheetId="8">#REF!</definedName>
    <definedName name="S45R17">#REF!</definedName>
    <definedName name="S45R18" localSheetId="4">#REF!</definedName>
    <definedName name="S45R18" localSheetId="5">#REF!</definedName>
    <definedName name="S45R18" localSheetId="0">#REF!</definedName>
    <definedName name="S45R18" localSheetId="9">#REF!</definedName>
    <definedName name="S45R18" localSheetId="10">#REF!</definedName>
    <definedName name="S45R18" localSheetId="8">#REF!</definedName>
    <definedName name="S45R18">#REF!</definedName>
    <definedName name="S45R19" localSheetId="4">#REF!</definedName>
    <definedName name="S45R19" localSheetId="5">#REF!</definedName>
    <definedName name="S45R19" localSheetId="0">#REF!</definedName>
    <definedName name="S45R19" localSheetId="9">#REF!</definedName>
    <definedName name="S45R19" localSheetId="10">#REF!</definedName>
    <definedName name="S45R19" localSheetId="8">#REF!</definedName>
    <definedName name="S45R19">#REF!</definedName>
    <definedName name="S45R2" localSheetId="4">#REF!</definedName>
    <definedName name="S45R2" localSheetId="5">#REF!</definedName>
    <definedName name="S45R2" localSheetId="0">#REF!</definedName>
    <definedName name="S45R2" localSheetId="9">#REF!</definedName>
    <definedName name="S45R2" localSheetId="10">#REF!</definedName>
    <definedName name="S45R2" localSheetId="8">#REF!</definedName>
    <definedName name="S45R2">#REF!</definedName>
    <definedName name="S45R20" localSheetId="4">#REF!</definedName>
    <definedName name="S45R20" localSheetId="5">#REF!</definedName>
    <definedName name="S45R20" localSheetId="0">#REF!</definedName>
    <definedName name="S45R20" localSheetId="9">#REF!</definedName>
    <definedName name="S45R20" localSheetId="10">#REF!</definedName>
    <definedName name="S45R20" localSheetId="8">#REF!</definedName>
    <definedName name="S45R20">#REF!</definedName>
    <definedName name="S45R21" localSheetId="4">#REF!</definedName>
    <definedName name="S45R21" localSheetId="5">#REF!</definedName>
    <definedName name="S45R21" localSheetId="0">#REF!</definedName>
    <definedName name="S45R21" localSheetId="9">#REF!</definedName>
    <definedName name="S45R21" localSheetId="10">#REF!</definedName>
    <definedName name="S45R21" localSheetId="8">#REF!</definedName>
    <definedName name="S45R21">#REF!</definedName>
    <definedName name="S45R22" localSheetId="4">#REF!</definedName>
    <definedName name="S45R22" localSheetId="5">#REF!</definedName>
    <definedName name="S45R22" localSheetId="0">#REF!</definedName>
    <definedName name="S45R22" localSheetId="9">#REF!</definedName>
    <definedName name="S45R22" localSheetId="10">#REF!</definedName>
    <definedName name="S45R22" localSheetId="8">#REF!</definedName>
    <definedName name="S45R22">#REF!</definedName>
    <definedName name="S45R23" localSheetId="4">#REF!</definedName>
    <definedName name="S45R23" localSheetId="5">#REF!</definedName>
    <definedName name="S45R23" localSheetId="0">#REF!</definedName>
    <definedName name="S45R23" localSheetId="9">#REF!</definedName>
    <definedName name="S45R23" localSheetId="10">#REF!</definedName>
    <definedName name="S45R23" localSheetId="8">#REF!</definedName>
    <definedName name="S45R23">#REF!</definedName>
    <definedName name="S45R24" localSheetId="4">#REF!</definedName>
    <definedName name="S45R24" localSheetId="5">#REF!</definedName>
    <definedName name="S45R24" localSheetId="0">#REF!</definedName>
    <definedName name="S45R24" localSheetId="9">#REF!</definedName>
    <definedName name="S45R24" localSheetId="10">#REF!</definedName>
    <definedName name="S45R24" localSheetId="8">#REF!</definedName>
    <definedName name="S45R24">#REF!</definedName>
    <definedName name="S45R3" localSheetId="4">#REF!</definedName>
    <definedName name="S45R3" localSheetId="5">#REF!</definedName>
    <definedName name="S45R3" localSheetId="0">#REF!</definedName>
    <definedName name="S45R3" localSheetId="9">#REF!</definedName>
    <definedName name="S45R3" localSheetId="10">#REF!</definedName>
    <definedName name="S45R3" localSheetId="8">#REF!</definedName>
    <definedName name="S45R3">#REF!</definedName>
    <definedName name="S45R4" localSheetId="4">#REF!</definedName>
    <definedName name="S45R4" localSheetId="5">#REF!</definedName>
    <definedName name="S45R4" localSheetId="0">#REF!</definedName>
    <definedName name="S45R4" localSheetId="9">#REF!</definedName>
    <definedName name="S45R4" localSheetId="10">#REF!</definedName>
    <definedName name="S45R4" localSheetId="8">#REF!</definedName>
    <definedName name="S45R4">#REF!</definedName>
    <definedName name="S45R5" localSheetId="4">#REF!</definedName>
    <definedName name="S45R5" localSheetId="5">#REF!</definedName>
    <definedName name="S45R5" localSheetId="0">#REF!</definedName>
    <definedName name="S45R5" localSheetId="9">#REF!</definedName>
    <definedName name="S45R5" localSheetId="10">#REF!</definedName>
    <definedName name="S45R5" localSheetId="8">#REF!</definedName>
    <definedName name="S45R5">#REF!</definedName>
    <definedName name="S45R6" localSheetId="4">#REF!</definedName>
    <definedName name="S45R6" localSheetId="5">#REF!</definedName>
    <definedName name="S45R6" localSheetId="0">#REF!</definedName>
    <definedName name="S45R6" localSheetId="9">#REF!</definedName>
    <definedName name="S45R6" localSheetId="10">#REF!</definedName>
    <definedName name="S45R6" localSheetId="8">#REF!</definedName>
    <definedName name="S45R6">#REF!</definedName>
    <definedName name="S45R7" localSheetId="4">#REF!</definedName>
    <definedName name="S45R7" localSheetId="5">#REF!</definedName>
    <definedName name="S45R7" localSheetId="0">#REF!</definedName>
    <definedName name="S45R7" localSheetId="9">#REF!</definedName>
    <definedName name="S45R7" localSheetId="10">#REF!</definedName>
    <definedName name="S45R7" localSheetId="8">#REF!</definedName>
    <definedName name="S45R7">#REF!</definedName>
    <definedName name="S45R8" localSheetId="4">#REF!</definedName>
    <definedName name="S45R8" localSheetId="5">#REF!</definedName>
    <definedName name="S45R8" localSheetId="0">#REF!</definedName>
    <definedName name="S45R8" localSheetId="9">#REF!</definedName>
    <definedName name="S45R8" localSheetId="10">#REF!</definedName>
    <definedName name="S45R8" localSheetId="8">#REF!</definedName>
    <definedName name="S45R8">#REF!</definedName>
    <definedName name="S45R9" localSheetId="4">#REF!</definedName>
    <definedName name="S45R9" localSheetId="5">#REF!</definedName>
    <definedName name="S45R9" localSheetId="0">#REF!</definedName>
    <definedName name="S45R9" localSheetId="9">#REF!</definedName>
    <definedName name="S45R9" localSheetId="10">#REF!</definedName>
    <definedName name="S45R9" localSheetId="8">#REF!</definedName>
    <definedName name="S45R9">#REF!</definedName>
    <definedName name="S4P1" localSheetId="4">#REF!</definedName>
    <definedName name="S4P1" localSheetId="5">#REF!</definedName>
    <definedName name="S4P1" localSheetId="0">#REF!</definedName>
    <definedName name="S4P1" localSheetId="9">#REF!</definedName>
    <definedName name="S4P1" localSheetId="10">#REF!</definedName>
    <definedName name="S4P1" localSheetId="8">#REF!</definedName>
    <definedName name="S4P1">#REF!</definedName>
    <definedName name="S4P10" localSheetId="4">#REF!</definedName>
    <definedName name="S4P10" localSheetId="5">#REF!</definedName>
    <definedName name="S4P10" localSheetId="0">#REF!</definedName>
    <definedName name="S4P10" localSheetId="9">#REF!</definedName>
    <definedName name="S4P10" localSheetId="10">#REF!</definedName>
    <definedName name="S4P10" localSheetId="8">#REF!</definedName>
    <definedName name="S4P10">#REF!</definedName>
    <definedName name="S4P11" localSheetId="4">#REF!</definedName>
    <definedName name="S4P11" localSheetId="5">#REF!</definedName>
    <definedName name="S4P11" localSheetId="0">#REF!</definedName>
    <definedName name="S4P11" localSheetId="9">#REF!</definedName>
    <definedName name="S4P11" localSheetId="10">#REF!</definedName>
    <definedName name="S4P11" localSheetId="8">#REF!</definedName>
    <definedName name="S4P11">#REF!</definedName>
    <definedName name="S4P12" localSheetId="4">#REF!</definedName>
    <definedName name="S4P12" localSheetId="5">#REF!</definedName>
    <definedName name="S4P12" localSheetId="0">#REF!</definedName>
    <definedName name="S4P12" localSheetId="9">#REF!</definedName>
    <definedName name="S4P12" localSheetId="10">#REF!</definedName>
    <definedName name="S4P12" localSheetId="8">#REF!</definedName>
    <definedName name="S4P12">#REF!</definedName>
    <definedName name="S4P13" localSheetId="4">#REF!</definedName>
    <definedName name="S4P13" localSheetId="5">#REF!</definedName>
    <definedName name="S4P13" localSheetId="0">#REF!</definedName>
    <definedName name="S4P13" localSheetId="9">#REF!</definedName>
    <definedName name="S4P13" localSheetId="10">#REF!</definedName>
    <definedName name="S4P13" localSheetId="8">#REF!</definedName>
    <definedName name="S4P13">#REF!</definedName>
    <definedName name="S4P14" localSheetId="4">#REF!</definedName>
    <definedName name="S4P14" localSheetId="5">#REF!</definedName>
    <definedName name="S4P14" localSheetId="0">#REF!</definedName>
    <definedName name="S4P14" localSheetId="9">#REF!</definedName>
    <definedName name="S4P14" localSheetId="10">#REF!</definedName>
    <definedName name="S4P14" localSheetId="8">#REF!</definedName>
    <definedName name="S4P14">#REF!</definedName>
    <definedName name="S4P15" localSheetId="4">#REF!</definedName>
    <definedName name="S4P15" localSheetId="5">#REF!</definedName>
    <definedName name="S4P15" localSheetId="0">#REF!</definedName>
    <definedName name="S4P15" localSheetId="9">#REF!</definedName>
    <definedName name="S4P15" localSheetId="10">#REF!</definedName>
    <definedName name="S4P15" localSheetId="8">#REF!</definedName>
    <definedName name="S4P15">#REF!</definedName>
    <definedName name="S4P16" localSheetId="4">#REF!</definedName>
    <definedName name="S4P16" localSheetId="5">#REF!</definedName>
    <definedName name="S4P16" localSheetId="0">#REF!</definedName>
    <definedName name="S4P16" localSheetId="9">#REF!</definedName>
    <definedName name="S4P16" localSheetId="10">#REF!</definedName>
    <definedName name="S4P16" localSheetId="8">#REF!</definedName>
    <definedName name="S4P16">#REF!</definedName>
    <definedName name="S4P17" localSheetId="4">#REF!</definedName>
    <definedName name="S4P17" localSheetId="5">#REF!</definedName>
    <definedName name="S4P17" localSheetId="0">#REF!</definedName>
    <definedName name="S4P17" localSheetId="9">#REF!</definedName>
    <definedName name="S4P17" localSheetId="10">#REF!</definedName>
    <definedName name="S4P17" localSheetId="8">#REF!</definedName>
    <definedName name="S4P17">#REF!</definedName>
    <definedName name="S4P18" localSheetId="4">#REF!</definedName>
    <definedName name="S4P18" localSheetId="5">#REF!</definedName>
    <definedName name="S4P18" localSheetId="0">#REF!</definedName>
    <definedName name="S4P18" localSheetId="9">#REF!</definedName>
    <definedName name="S4P18" localSheetId="10">#REF!</definedName>
    <definedName name="S4P18" localSheetId="8">#REF!</definedName>
    <definedName name="S4P18">#REF!</definedName>
    <definedName name="S4P19" localSheetId="4">#REF!</definedName>
    <definedName name="S4P19" localSheetId="5">#REF!</definedName>
    <definedName name="S4P19" localSheetId="0">#REF!</definedName>
    <definedName name="S4P19" localSheetId="9">#REF!</definedName>
    <definedName name="S4P19" localSheetId="10">#REF!</definedName>
    <definedName name="S4P19" localSheetId="8">#REF!</definedName>
    <definedName name="S4P19">#REF!</definedName>
    <definedName name="S4P2" localSheetId="4">#REF!</definedName>
    <definedName name="S4P2" localSheetId="5">#REF!</definedName>
    <definedName name="S4P2" localSheetId="0">#REF!</definedName>
    <definedName name="S4P2" localSheetId="9">#REF!</definedName>
    <definedName name="S4P2" localSheetId="10">#REF!</definedName>
    <definedName name="S4P2" localSheetId="8">#REF!</definedName>
    <definedName name="S4P2">#REF!</definedName>
    <definedName name="S4P20" localSheetId="4">#REF!</definedName>
    <definedName name="S4P20" localSheetId="5">#REF!</definedName>
    <definedName name="S4P20" localSheetId="0">#REF!</definedName>
    <definedName name="S4P20" localSheetId="9">#REF!</definedName>
    <definedName name="S4P20" localSheetId="10">#REF!</definedName>
    <definedName name="S4P20" localSheetId="8">#REF!</definedName>
    <definedName name="S4P20">#REF!</definedName>
    <definedName name="S4P21" localSheetId="4">#REF!</definedName>
    <definedName name="S4P21" localSheetId="5">#REF!</definedName>
    <definedName name="S4P21" localSheetId="0">#REF!</definedName>
    <definedName name="S4P21" localSheetId="9">#REF!</definedName>
    <definedName name="S4P21" localSheetId="10">#REF!</definedName>
    <definedName name="S4P21" localSheetId="8">#REF!</definedName>
    <definedName name="S4P21">#REF!</definedName>
    <definedName name="S4P22" localSheetId="4">#REF!</definedName>
    <definedName name="S4P22" localSheetId="5">#REF!</definedName>
    <definedName name="S4P22" localSheetId="0">#REF!</definedName>
    <definedName name="S4P22" localSheetId="9">#REF!</definedName>
    <definedName name="S4P22" localSheetId="10">#REF!</definedName>
    <definedName name="S4P22" localSheetId="8">#REF!</definedName>
    <definedName name="S4P22">#REF!</definedName>
    <definedName name="S4P23" localSheetId="4">#REF!</definedName>
    <definedName name="S4P23" localSheetId="5">#REF!</definedName>
    <definedName name="S4P23" localSheetId="0">#REF!</definedName>
    <definedName name="S4P23" localSheetId="9">#REF!</definedName>
    <definedName name="S4P23" localSheetId="10">#REF!</definedName>
    <definedName name="S4P23" localSheetId="8">#REF!</definedName>
    <definedName name="S4P23">#REF!</definedName>
    <definedName name="S4P24" localSheetId="4">#REF!</definedName>
    <definedName name="S4P24" localSheetId="5">#REF!</definedName>
    <definedName name="S4P24" localSheetId="0">#REF!</definedName>
    <definedName name="S4P24" localSheetId="9">#REF!</definedName>
    <definedName name="S4P24" localSheetId="10">#REF!</definedName>
    <definedName name="S4P24" localSheetId="8">#REF!</definedName>
    <definedName name="S4P24">#REF!</definedName>
    <definedName name="S4P3" localSheetId="4">#REF!</definedName>
    <definedName name="S4P3" localSheetId="5">#REF!</definedName>
    <definedName name="S4P3" localSheetId="0">#REF!</definedName>
    <definedName name="S4P3" localSheetId="9">#REF!</definedName>
    <definedName name="S4P3" localSheetId="10">#REF!</definedName>
    <definedName name="S4P3" localSheetId="8">#REF!</definedName>
    <definedName name="S4P3">#REF!</definedName>
    <definedName name="S4P4" localSheetId="4">#REF!</definedName>
    <definedName name="S4P4" localSheetId="5">#REF!</definedName>
    <definedName name="S4P4" localSheetId="0">#REF!</definedName>
    <definedName name="S4P4" localSheetId="9">#REF!</definedName>
    <definedName name="S4P4" localSheetId="10">#REF!</definedName>
    <definedName name="S4P4" localSheetId="8">#REF!</definedName>
    <definedName name="S4P4">#REF!</definedName>
    <definedName name="S4P5" localSheetId="4">#REF!</definedName>
    <definedName name="S4P5" localSheetId="5">#REF!</definedName>
    <definedName name="S4P5" localSheetId="0">#REF!</definedName>
    <definedName name="S4P5" localSheetId="9">#REF!</definedName>
    <definedName name="S4P5" localSheetId="10">#REF!</definedName>
    <definedName name="S4P5" localSheetId="8">#REF!</definedName>
    <definedName name="S4P5">#REF!</definedName>
    <definedName name="S4P6" localSheetId="4">#REF!</definedName>
    <definedName name="S4P6" localSheetId="5">#REF!</definedName>
    <definedName name="S4P6" localSheetId="0">#REF!</definedName>
    <definedName name="S4P6" localSheetId="9">#REF!</definedName>
    <definedName name="S4P6" localSheetId="10">#REF!</definedName>
    <definedName name="S4P6" localSheetId="8">#REF!</definedName>
    <definedName name="S4P6">#REF!</definedName>
    <definedName name="S4P7" localSheetId="4">#REF!</definedName>
    <definedName name="S4P7" localSheetId="5">#REF!</definedName>
    <definedName name="S4P7" localSheetId="0">#REF!</definedName>
    <definedName name="S4P7" localSheetId="9">#REF!</definedName>
    <definedName name="S4P7" localSheetId="10">#REF!</definedName>
    <definedName name="S4P7" localSheetId="8">#REF!</definedName>
    <definedName name="S4P7">#REF!</definedName>
    <definedName name="S4P8" localSheetId="4">#REF!</definedName>
    <definedName name="S4P8" localSheetId="5">#REF!</definedName>
    <definedName name="S4P8" localSheetId="0">#REF!</definedName>
    <definedName name="S4P8" localSheetId="9">#REF!</definedName>
    <definedName name="S4P8" localSheetId="10">#REF!</definedName>
    <definedName name="S4P8" localSheetId="8">#REF!</definedName>
    <definedName name="S4P8">#REF!</definedName>
    <definedName name="S4P9" localSheetId="4">#REF!</definedName>
    <definedName name="S4P9" localSheetId="5">#REF!</definedName>
    <definedName name="S4P9" localSheetId="0">#REF!</definedName>
    <definedName name="S4P9" localSheetId="9">#REF!</definedName>
    <definedName name="S4P9" localSheetId="10">#REF!</definedName>
    <definedName name="S4P9" localSheetId="8">#REF!</definedName>
    <definedName name="S4P9">#REF!</definedName>
    <definedName name="S4R1" localSheetId="4">#REF!</definedName>
    <definedName name="S4R1" localSheetId="5">#REF!</definedName>
    <definedName name="S4R1" localSheetId="0">#REF!</definedName>
    <definedName name="S4R1" localSheetId="9">#REF!</definedName>
    <definedName name="S4R1" localSheetId="10">#REF!</definedName>
    <definedName name="S4R1" localSheetId="8">#REF!</definedName>
    <definedName name="S4R1">#REF!</definedName>
    <definedName name="S4R10" localSheetId="4">#REF!</definedName>
    <definedName name="S4R10" localSheetId="5">#REF!</definedName>
    <definedName name="S4R10" localSheetId="0">#REF!</definedName>
    <definedName name="S4R10" localSheetId="9">#REF!</definedName>
    <definedName name="S4R10" localSheetId="10">#REF!</definedName>
    <definedName name="S4R10" localSheetId="8">#REF!</definedName>
    <definedName name="S4R10">#REF!</definedName>
    <definedName name="S4R11" localSheetId="4">#REF!</definedName>
    <definedName name="S4R11" localSheetId="5">#REF!</definedName>
    <definedName name="S4R11" localSheetId="0">#REF!</definedName>
    <definedName name="S4R11" localSheetId="9">#REF!</definedName>
    <definedName name="S4R11" localSheetId="10">#REF!</definedName>
    <definedName name="S4R11" localSheetId="8">#REF!</definedName>
    <definedName name="S4R11">#REF!</definedName>
    <definedName name="S4R12" localSheetId="4">#REF!</definedName>
    <definedName name="S4R12" localSheetId="5">#REF!</definedName>
    <definedName name="S4R12" localSheetId="0">#REF!</definedName>
    <definedName name="S4R12" localSheetId="9">#REF!</definedName>
    <definedName name="S4R12" localSheetId="10">#REF!</definedName>
    <definedName name="S4R12" localSheetId="8">#REF!</definedName>
    <definedName name="S4R12">#REF!</definedName>
    <definedName name="S4R13" localSheetId="4">#REF!</definedName>
    <definedName name="S4R13" localSheetId="5">#REF!</definedName>
    <definedName name="S4R13" localSheetId="0">#REF!</definedName>
    <definedName name="S4R13" localSheetId="9">#REF!</definedName>
    <definedName name="S4R13" localSheetId="10">#REF!</definedName>
    <definedName name="S4R13" localSheetId="8">#REF!</definedName>
    <definedName name="S4R13">#REF!</definedName>
    <definedName name="S4R14" localSheetId="4">#REF!</definedName>
    <definedName name="S4R14" localSheetId="5">#REF!</definedName>
    <definedName name="S4R14" localSheetId="0">#REF!</definedName>
    <definedName name="S4R14" localSheetId="9">#REF!</definedName>
    <definedName name="S4R14" localSheetId="10">#REF!</definedName>
    <definedName name="S4R14" localSheetId="8">#REF!</definedName>
    <definedName name="S4R14">#REF!</definedName>
    <definedName name="S4R15" localSheetId="4">#REF!</definedName>
    <definedName name="S4R15" localSheetId="5">#REF!</definedName>
    <definedName name="S4R15" localSheetId="0">#REF!</definedName>
    <definedName name="S4R15" localSheetId="9">#REF!</definedName>
    <definedName name="S4R15" localSheetId="10">#REF!</definedName>
    <definedName name="S4R15" localSheetId="8">#REF!</definedName>
    <definedName name="S4R15">#REF!</definedName>
    <definedName name="S4R16" localSheetId="4">#REF!</definedName>
    <definedName name="S4R16" localSheetId="5">#REF!</definedName>
    <definedName name="S4R16" localSheetId="0">#REF!</definedName>
    <definedName name="S4R16" localSheetId="9">#REF!</definedName>
    <definedName name="S4R16" localSheetId="10">#REF!</definedName>
    <definedName name="S4R16" localSheetId="8">#REF!</definedName>
    <definedName name="S4R16">#REF!</definedName>
    <definedName name="S4R17" localSheetId="4">#REF!</definedName>
    <definedName name="S4R17" localSheetId="5">#REF!</definedName>
    <definedName name="S4R17" localSheetId="0">#REF!</definedName>
    <definedName name="S4R17" localSheetId="9">#REF!</definedName>
    <definedName name="S4R17" localSheetId="10">#REF!</definedName>
    <definedName name="S4R17" localSheetId="8">#REF!</definedName>
    <definedName name="S4R17">#REF!</definedName>
    <definedName name="S4R18" localSheetId="4">#REF!</definedName>
    <definedName name="S4R18" localSheetId="5">#REF!</definedName>
    <definedName name="S4R18" localSheetId="0">#REF!</definedName>
    <definedName name="S4R18" localSheetId="9">#REF!</definedName>
    <definedName name="S4R18" localSheetId="10">#REF!</definedName>
    <definedName name="S4R18" localSheetId="8">#REF!</definedName>
    <definedName name="S4R18">#REF!</definedName>
    <definedName name="S4R19" localSheetId="4">#REF!</definedName>
    <definedName name="S4R19" localSheetId="5">#REF!</definedName>
    <definedName name="S4R19" localSheetId="0">#REF!</definedName>
    <definedName name="S4R19" localSheetId="9">#REF!</definedName>
    <definedName name="S4R19" localSheetId="10">#REF!</definedName>
    <definedName name="S4R19" localSheetId="8">#REF!</definedName>
    <definedName name="S4R19">#REF!</definedName>
    <definedName name="S4R2" localSheetId="4">#REF!</definedName>
    <definedName name="S4R2" localSheetId="5">#REF!</definedName>
    <definedName name="S4R2" localSheetId="0">#REF!</definedName>
    <definedName name="S4R2" localSheetId="9">#REF!</definedName>
    <definedName name="S4R2" localSheetId="10">#REF!</definedName>
    <definedName name="S4R2" localSheetId="8">#REF!</definedName>
    <definedName name="S4R2">#REF!</definedName>
    <definedName name="S4R20" localSheetId="4">#REF!</definedName>
    <definedName name="S4R20" localSheetId="5">#REF!</definedName>
    <definedName name="S4R20" localSheetId="0">#REF!</definedName>
    <definedName name="S4R20" localSheetId="9">#REF!</definedName>
    <definedName name="S4R20" localSheetId="10">#REF!</definedName>
    <definedName name="S4R20" localSheetId="8">#REF!</definedName>
    <definedName name="S4R20">#REF!</definedName>
    <definedName name="S4R21" localSheetId="4">#REF!</definedName>
    <definedName name="S4R21" localSheetId="5">#REF!</definedName>
    <definedName name="S4R21" localSheetId="0">#REF!</definedName>
    <definedName name="S4R21" localSheetId="9">#REF!</definedName>
    <definedName name="S4R21" localSheetId="10">#REF!</definedName>
    <definedName name="S4R21" localSheetId="8">#REF!</definedName>
    <definedName name="S4R21">#REF!</definedName>
    <definedName name="S4R22" localSheetId="4">#REF!</definedName>
    <definedName name="S4R22" localSheetId="5">#REF!</definedName>
    <definedName name="S4R22" localSheetId="0">#REF!</definedName>
    <definedName name="S4R22" localSheetId="9">#REF!</definedName>
    <definedName name="S4R22" localSheetId="10">#REF!</definedName>
    <definedName name="S4R22" localSheetId="8">#REF!</definedName>
    <definedName name="S4R22">#REF!</definedName>
    <definedName name="S4R23" localSheetId="4">#REF!</definedName>
    <definedName name="S4R23" localSheetId="5">#REF!</definedName>
    <definedName name="S4R23" localSheetId="0">#REF!</definedName>
    <definedName name="S4R23" localSheetId="9">#REF!</definedName>
    <definedName name="S4R23" localSheetId="10">#REF!</definedName>
    <definedName name="S4R23" localSheetId="8">#REF!</definedName>
    <definedName name="S4R23">#REF!</definedName>
    <definedName name="S4R24" localSheetId="4">#REF!</definedName>
    <definedName name="S4R24" localSheetId="5">#REF!</definedName>
    <definedName name="S4R24" localSheetId="0">#REF!</definedName>
    <definedName name="S4R24" localSheetId="9">#REF!</definedName>
    <definedName name="S4R24" localSheetId="10">#REF!</definedName>
    <definedName name="S4R24" localSheetId="8">#REF!</definedName>
    <definedName name="S4R24">#REF!</definedName>
    <definedName name="S4R3" localSheetId="4">#REF!</definedName>
    <definedName name="S4R3" localSheetId="5">#REF!</definedName>
    <definedName name="S4R3" localSheetId="0">#REF!</definedName>
    <definedName name="S4R3" localSheetId="9">#REF!</definedName>
    <definedName name="S4R3" localSheetId="10">#REF!</definedName>
    <definedName name="S4R3" localSheetId="8">#REF!</definedName>
    <definedName name="S4R3">#REF!</definedName>
    <definedName name="S4R4" localSheetId="4">#REF!</definedName>
    <definedName name="S4R4" localSheetId="5">#REF!</definedName>
    <definedName name="S4R4" localSheetId="0">#REF!</definedName>
    <definedName name="S4R4" localSheetId="9">#REF!</definedName>
    <definedName name="S4R4" localSheetId="10">#REF!</definedName>
    <definedName name="S4R4" localSheetId="8">#REF!</definedName>
    <definedName name="S4R4">#REF!</definedName>
    <definedName name="S4R5" localSheetId="4">#REF!</definedName>
    <definedName name="S4R5" localSheetId="5">#REF!</definedName>
    <definedName name="S4R5" localSheetId="0">#REF!</definedName>
    <definedName name="S4R5" localSheetId="9">#REF!</definedName>
    <definedName name="S4R5" localSheetId="10">#REF!</definedName>
    <definedName name="S4R5" localSheetId="8">#REF!</definedName>
    <definedName name="S4R5">#REF!</definedName>
    <definedName name="S4R6" localSheetId="4">#REF!</definedName>
    <definedName name="S4R6" localSheetId="5">#REF!</definedName>
    <definedName name="S4R6" localSheetId="0">#REF!</definedName>
    <definedName name="S4R6" localSheetId="9">#REF!</definedName>
    <definedName name="S4R6" localSheetId="10">#REF!</definedName>
    <definedName name="S4R6" localSheetId="8">#REF!</definedName>
    <definedName name="S4R6">#REF!</definedName>
    <definedName name="S4R7" localSheetId="4">#REF!</definedName>
    <definedName name="S4R7" localSheetId="5">#REF!</definedName>
    <definedName name="S4R7" localSheetId="0">#REF!</definedName>
    <definedName name="S4R7" localSheetId="9">#REF!</definedName>
    <definedName name="S4R7" localSheetId="10">#REF!</definedName>
    <definedName name="S4R7" localSheetId="8">#REF!</definedName>
    <definedName name="S4R7">#REF!</definedName>
    <definedName name="S4R8" localSheetId="4">#REF!</definedName>
    <definedName name="S4R8" localSheetId="5">#REF!</definedName>
    <definedName name="S4R8" localSheetId="0">#REF!</definedName>
    <definedName name="S4R8" localSheetId="9">#REF!</definedName>
    <definedName name="S4R8" localSheetId="10">#REF!</definedName>
    <definedName name="S4R8" localSheetId="8">#REF!</definedName>
    <definedName name="S4R8">#REF!</definedName>
    <definedName name="S4R9" localSheetId="4">#REF!</definedName>
    <definedName name="S4R9" localSheetId="5">#REF!</definedName>
    <definedName name="S4R9" localSheetId="0">#REF!</definedName>
    <definedName name="S4R9" localSheetId="9">#REF!</definedName>
    <definedName name="S4R9" localSheetId="10">#REF!</definedName>
    <definedName name="S4R9" localSheetId="8">#REF!</definedName>
    <definedName name="S4R9">#REF!</definedName>
    <definedName name="S5P1" localSheetId="4">#REF!</definedName>
    <definedName name="S5P1" localSheetId="5">#REF!</definedName>
    <definedName name="S5P1" localSheetId="0">#REF!</definedName>
    <definedName name="S5P1" localSheetId="9">#REF!</definedName>
    <definedName name="S5P1" localSheetId="10">#REF!</definedName>
    <definedName name="S5P1" localSheetId="8">#REF!</definedName>
    <definedName name="S5P1">#REF!</definedName>
    <definedName name="S5P10" localSheetId="4">#REF!</definedName>
    <definedName name="S5P10" localSheetId="5">#REF!</definedName>
    <definedName name="S5P10" localSheetId="0">#REF!</definedName>
    <definedName name="S5P10" localSheetId="9">#REF!</definedName>
    <definedName name="S5P10" localSheetId="10">#REF!</definedName>
    <definedName name="S5P10" localSheetId="8">#REF!</definedName>
    <definedName name="S5P10">#REF!</definedName>
    <definedName name="S5P11" localSheetId="4">#REF!</definedName>
    <definedName name="S5P11" localSheetId="5">#REF!</definedName>
    <definedName name="S5P11" localSheetId="0">#REF!</definedName>
    <definedName name="S5P11" localSheetId="9">#REF!</definedName>
    <definedName name="S5P11" localSheetId="10">#REF!</definedName>
    <definedName name="S5P11" localSheetId="8">#REF!</definedName>
    <definedName name="S5P11">#REF!</definedName>
    <definedName name="S5P12" localSheetId="4">#REF!</definedName>
    <definedName name="S5P12" localSheetId="5">#REF!</definedName>
    <definedName name="S5P12" localSheetId="0">#REF!</definedName>
    <definedName name="S5P12" localSheetId="9">#REF!</definedName>
    <definedName name="S5P12" localSheetId="10">#REF!</definedName>
    <definedName name="S5P12" localSheetId="8">#REF!</definedName>
    <definedName name="S5P12">#REF!</definedName>
    <definedName name="S5P13" localSheetId="4">#REF!</definedName>
    <definedName name="S5P13" localSheetId="5">#REF!</definedName>
    <definedName name="S5P13" localSheetId="0">#REF!</definedName>
    <definedName name="S5P13" localSheetId="9">#REF!</definedName>
    <definedName name="S5P13" localSheetId="10">#REF!</definedName>
    <definedName name="S5P13" localSheetId="8">#REF!</definedName>
    <definedName name="S5P13">#REF!</definedName>
    <definedName name="S5P14" localSheetId="4">#REF!</definedName>
    <definedName name="S5P14" localSheetId="5">#REF!</definedName>
    <definedName name="S5P14" localSheetId="0">#REF!</definedName>
    <definedName name="S5P14" localSheetId="9">#REF!</definedName>
    <definedName name="S5P14" localSheetId="10">#REF!</definedName>
    <definedName name="S5P14" localSheetId="8">#REF!</definedName>
    <definedName name="S5P14">#REF!</definedName>
    <definedName name="S5P15" localSheetId="4">#REF!</definedName>
    <definedName name="S5P15" localSheetId="5">#REF!</definedName>
    <definedName name="S5P15" localSheetId="0">#REF!</definedName>
    <definedName name="S5P15" localSheetId="9">#REF!</definedName>
    <definedName name="S5P15" localSheetId="10">#REF!</definedName>
    <definedName name="S5P15" localSheetId="8">#REF!</definedName>
    <definedName name="S5P15">#REF!</definedName>
    <definedName name="S5P16" localSheetId="4">#REF!</definedName>
    <definedName name="S5P16" localSheetId="5">#REF!</definedName>
    <definedName name="S5P16" localSheetId="0">#REF!</definedName>
    <definedName name="S5P16" localSheetId="9">#REF!</definedName>
    <definedName name="S5P16" localSheetId="10">#REF!</definedName>
    <definedName name="S5P16" localSheetId="8">#REF!</definedName>
    <definedName name="S5P16">#REF!</definedName>
    <definedName name="S5P17" localSheetId="4">#REF!</definedName>
    <definedName name="S5P17" localSheetId="5">#REF!</definedName>
    <definedName name="S5P17" localSheetId="0">#REF!</definedName>
    <definedName name="S5P17" localSheetId="9">#REF!</definedName>
    <definedName name="S5P17" localSheetId="10">#REF!</definedName>
    <definedName name="S5P17" localSheetId="8">#REF!</definedName>
    <definedName name="S5P17">#REF!</definedName>
    <definedName name="S5P18" localSheetId="4">#REF!</definedName>
    <definedName name="S5P18" localSheetId="5">#REF!</definedName>
    <definedName name="S5P18" localSheetId="0">#REF!</definedName>
    <definedName name="S5P18" localSheetId="9">#REF!</definedName>
    <definedName name="S5P18" localSheetId="10">#REF!</definedName>
    <definedName name="S5P18" localSheetId="8">#REF!</definedName>
    <definedName name="S5P18">#REF!</definedName>
    <definedName name="S5P19" localSheetId="4">#REF!</definedName>
    <definedName name="S5P19" localSheetId="5">#REF!</definedName>
    <definedName name="S5P19" localSheetId="0">#REF!</definedName>
    <definedName name="S5P19" localSheetId="9">#REF!</definedName>
    <definedName name="S5P19" localSheetId="10">#REF!</definedName>
    <definedName name="S5P19" localSheetId="8">#REF!</definedName>
    <definedName name="S5P19">#REF!</definedName>
    <definedName name="S5P2" localSheetId="4">#REF!</definedName>
    <definedName name="S5P2" localSheetId="5">#REF!</definedName>
    <definedName name="S5P2" localSheetId="0">#REF!</definedName>
    <definedName name="S5P2" localSheetId="9">#REF!</definedName>
    <definedName name="S5P2" localSheetId="10">#REF!</definedName>
    <definedName name="S5P2" localSheetId="8">#REF!</definedName>
    <definedName name="S5P2">#REF!</definedName>
    <definedName name="S5P20" localSheetId="4">#REF!</definedName>
    <definedName name="S5P20" localSheetId="5">#REF!</definedName>
    <definedName name="S5P20" localSheetId="0">#REF!</definedName>
    <definedName name="S5P20" localSheetId="9">#REF!</definedName>
    <definedName name="S5P20" localSheetId="10">#REF!</definedName>
    <definedName name="S5P20" localSheetId="8">#REF!</definedName>
    <definedName name="S5P20">#REF!</definedName>
    <definedName name="S5P21" localSheetId="4">#REF!</definedName>
    <definedName name="S5P21" localSheetId="5">#REF!</definedName>
    <definedName name="S5P21" localSheetId="0">#REF!</definedName>
    <definedName name="S5P21" localSheetId="9">#REF!</definedName>
    <definedName name="S5P21" localSheetId="10">#REF!</definedName>
    <definedName name="S5P21" localSheetId="8">#REF!</definedName>
    <definedName name="S5P21">#REF!</definedName>
    <definedName name="S5P22" localSheetId="4">#REF!</definedName>
    <definedName name="S5P22" localSheetId="5">#REF!</definedName>
    <definedName name="S5P22" localSheetId="0">#REF!</definedName>
    <definedName name="S5P22" localSheetId="9">#REF!</definedName>
    <definedName name="S5P22" localSheetId="10">#REF!</definedName>
    <definedName name="S5P22" localSheetId="8">#REF!</definedName>
    <definedName name="S5P22">#REF!</definedName>
    <definedName name="S5P23" localSheetId="4">#REF!</definedName>
    <definedName name="S5P23" localSheetId="5">#REF!</definedName>
    <definedName name="S5P23" localSheetId="0">#REF!</definedName>
    <definedName name="S5P23" localSheetId="9">#REF!</definedName>
    <definedName name="S5P23" localSheetId="10">#REF!</definedName>
    <definedName name="S5P23" localSheetId="8">#REF!</definedName>
    <definedName name="S5P23">#REF!</definedName>
    <definedName name="S5P24" localSheetId="4">#REF!</definedName>
    <definedName name="S5P24" localSheetId="5">#REF!</definedName>
    <definedName name="S5P24" localSheetId="0">#REF!</definedName>
    <definedName name="S5P24" localSheetId="9">#REF!</definedName>
    <definedName name="S5P24" localSheetId="10">#REF!</definedName>
    <definedName name="S5P24" localSheetId="8">#REF!</definedName>
    <definedName name="S5P24">#REF!</definedName>
    <definedName name="S5P3" localSheetId="4">#REF!</definedName>
    <definedName name="S5P3" localSheetId="5">#REF!</definedName>
    <definedName name="S5P3" localSheetId="0">#REF!</definedName>
    <definedName name="S5P3" localSheetId="9">#REF!</definedName>
    <definedName name="S5P3" localSheetId="10">#REF!</definedName>
    <definedName name="S5P3" localSheetId="8">#REF!</definedName>
    <definedName name="S5P3">#REF!</definedName>
    <definedName name="S5P4" localSheetId="4">#REF!</definedName>
    <definedName name="S5P4" localSheetId="5">#REF!</definedName>
    <definedName name="S5P4" localSheetId="0">#REF!</definedName>
    <definedName name="S5P4" localSheetId="9">#REF!</definedName>
    <definedName name="S5P4" localSheetId="10">#REF!</definedName>
    <definedName name="S5P4" localSheetId="8">#REF!</definedName>
    <definedName name="S5P4">#REF!</definedName>
    <definedName name="S5P5" localSheetId="4">#REF!</definedName>
    <definedName name="S5P5" localSheetId="5">#REF!</definedName>
    <definedName name="S5P5" localSheetId="0">#REF!</definedName>
    <definedName name="S5P5" localSheetId="9">#REF!</definedName>
    <definedName name="S5P5" localSheetId="10">#REF!</definedName>
    <definedName name="S5P5" localSheetId="8">#REF!</definedName>
    <definedName name="S5P5">#REF!</definedName>
    <definedName name="S5P6" localSheetId="4">#REF!</definedName>
    <definedName name="S5P6" localSheetId="5">#REF!</definedName>
    <definedName name="S5P6" localSheetId="0">#REF!</definedName>
    <definedName name="S5P6" localSheetId="9">#REF!</definedName>
    <definedName name="S5P6" localSheetId="10">#REF!</definedName>
    <definedName name="S5P6" localSheetId="8">#REF!</definedName>
    <definedName name="S5P6">#REF!</definedName>
    <definedName name="S5P7" localSheetId="4">#REF!</definedName>
    <definedName name="S5P7" localSheetId="5">#REF!</definedName>
    <definedName name="S5P7" localSheetId="0">#REF!</definedName>
    <definedName name="S5P7" localSheetId="9">#REF!</definedName>
    <definedName name="S5P7" localSheetId="10">#REF!</definedName>
    <definedName name="S5P7" localSheetId="8">#REF!</definedName>
    <definedName name="S5P7">#REF!</definedName>
    <definedName name="S5P8" localSheetId="4">#REF!</definedName>
    <definedName name="S5P8" localSheetId="5">#REF!</definedName>
    <definedName name="S5P8" localSheetId="0">#REF!</definedName>
    <definedName name="S5P8" localSheetId="9">#REF!</definedName>
    <definedName name="S5P8" localSheetId="10">#REF!</definedName>
    <definedName name="S5P8" localSheetId="8">#REF!</definedName>
    <definedName name="S5P8">#REF!</definedName>
    <definedName name="S5P9" localSheetId="4">#REF!</definedName>
    <definedName name="S5P9" localSheetId="5">#REF!</definedName>
    <definedName name="S5P9" localSheetId="0">#REF!</definedName>
    <definedName name="S5P9" localSheetId="9">#REF!</definedName>
    <definedName name="S5P9" localSheetId="10">#REF!</definedName>
    <definedName name="S5P9" localSheetId="8">#REF!</definedName>
    <definedName name="S5P9">#REF!</definedName>
    <definedName name="S5R1" localSheetId="4">#REF!</definedName>
    <definedName name="S5R1" localSheetId="5">#REF!</definedName>
    <definedName name="S5R1" localSheetId="0">#REF!</definedName>
    <definedName name="S5R1" localSheetId="9">#REF!</definedName>
    <definedName name="S5R1" localSheetId="10">#REF!</definedName>
    <definedName name="S5R1" localSheetId="8">#REF!</definedName>
    <definedName name="S5R1">#REF!</definedName>
    <definedName name="S5R10" localSheetId="4">#REF!</definedName>
    <definedName name="S5R10" localSheetId="5">#REF!</definedName>
    <definedName name="S5R10" localSheetId="0">#REF!</definedName>
    <definedName name="S5R10" localSheetId="9">#REF!</definedName>
    <definedName name="S5R10" localSheetId="10">#REF!</definedName>
    <definedName name="S5R10" localSheetId="8">#REF!</definedName>
    <definedName name="S5R10">#REF!</definedName>
    <definedName name="S5R11" localSheetId="4">#REF!</definedName>
    <definedName name="S5R11" localSheetId="5">#REF!</definedName>
    <definedName name="S5R11" localSheetId="0">#REF!</definedName>
    <definedName name="S5R11" localSheetId="9">#REF!</definedName>
    <definedName name="S5R11" localSheetId="10">#REF!</definedName>
    <definedName name="S5R11" localSheetId="8">#REF!</definedName>
    <definedName name="S5R11">#REF!</definedName>
    <definedName name="S5R12" localSheetId="4">#REF!</definedName>
    <definedName name="S5R12" localSheetId="5">#REF!</definedName>
    <definedName name="S5R12" localSheetId="0">#REF!</definedName>
    <definedName name="S5R12" localSheetId="9">#REF!</definedName>
    <definedName name="S5R12" localSheetId="10">#REF!</definedName>
    <definedName name="S5R12" localSheetId="8">#REF!</definedName>
    <definedName name="S5R12">#REF!</definedName>
    <definedName name="S5R13" localSheetId="4">#REF!</definedName>
    <definedName name="S5R13" localSheetId="5">#REF!</definedName>
    <definedName name="S5R13" localSheetId="0">#REF!</definedName>
    <definedName name="S5R13" localSheetId="9">#REF!</definedName>
    <definedName name="S5R13" localSheetId="10">#REF!</definedName>
    <definedName name="S5R13" localSheetId="8">#REF!</definedName>
    <definedName name="S5R13">#REF!</definedName>
    <definedName name="S5R14" localSheetId="4">#REF!</definedName>
    <definedName name="S5R14" localSheetId="5">#REF!</definedName>
    <definedName name="S5R14" localSheetId="0">#REF!</definedName>
    <definedName name="S5R14" localSheetId="9">#REF!</definedName>
    <definedName name="S5R14" localSheetId="10">#REF!</definedName>
    <definedName name="S5R14" localSheetId="8">#REF!</definedName>
    <definedName name="S5R14">#REF!</definedName>
    <definedName name="S5R15" localSheetId="4">#REF!</definedName>
    <definedName name="S5R15" localSheetId="5">#REF!</definedName>
    <definedName name="S5R15" localSheetId="0">#REF!</definedName>
    <definedName name="S5R15" localSheetId="9">#REF!</definedName>
    <definedName name="S5R15" localSheetId="10">#REF!</definedName>
    <definedName name="S5R15" localSheetId="8">#REF!</definedName>
    <definedName name="S5R15">#REF!</definedName>
    <definedName name="S5R16" localSheetId="4">#REF!</definedName>
    <definedName name="S5R16" localSheetId="5">#REF!</definedName>
    <definedName name="S5R16" localSheetId="0">#REF!</definedName>
    <definedName name="S5R16" localSheetId="9">#REF!</definedName>
    <definedName name="S5R16" localSheetId="10">#REF!</definedName>
    <definedName name="S5R16" localSheetId="8">#REF!</definedName>
    <definedName name="S5R16">#REF!</definedName>
    <definedName name="S5R17" localSheetId="4">#REF!</definedName>
    <definedName name="S5R17" localSheetId="5">#REF!</definedName>
    <definedName name="S5R17" localSheetId="0">#REF!</definedName>
    <definedName name="S5R17" localSheetId="9">#REF!</definedName>
    <definedName name="S5R17" localSheetId="10">#REF!</definedName>
    <definedName name="S5R17" localSheetId="8">#REF!</definedName>
    <definedName name="S5R17">#REF!</definedName>
    <definedName name="S5R18" localSheetId="4">#REF!</definedName>
    <definedName name="S5R18" localSheetId="5">#REF!</definedName>
    <definedName name="S5R18" localSheetId="0">#REF!</definedName>
    <definedName name="S5R18" localSheetId="9">#REF!</definedName>
    <definedName name="S5R18" localSheetId="10">#REF!</definedName>
    <definedName name="S5R18" localSheetId="8">#REF!</definedName>
    <definedName name="S5R18">#REF!</definedName>
    <definedName name="S5R19" localSheetId="4">#REF!</definedName>
    <definedName name="S5R19" localSheetId="5">#REF!</definedName>
    <definedName name="S5R19" localSheetId="0">#REF!</definedName>
    <definedName name="S5R19" localSheetId="9">#REF!</definedName>
    <definedName name="S5R19" localSheetId="10">#REF!</definedName>
    <definedName name="S5R19" localSheetId="8">#REF!</definedName>
    <definedName name="S5R19">#REF!</definedName>
    <definedName name="S5R2" localSheetId="4">#REF!</definedName>
    <definedName name="S5R2" localSheetId="5">#REF!</definedName>
    <definedName name="S5R2" localSheetId="0">#REF!</definedName>
    <definedName name="S5R2" localSheetId="9">#REF!</definedName>
    <definedName name="S5R2" localSheetId="10">#REF!</definedName>
    <definedName name="S5R2" localSheetId="8">#REF!</definedName>
    <definedName name="S5R2">#REF!</definedName>
    <definedName name="S5R20" localSheetId="4">#REF!</definedName>
    <definedName name="S5R20" localSheetId="5">#REF!</definedName>
    <definedName name="S5R20" localSheetId="0">#REF!</definedName>
    <definedName name="S5R20" localSheetId="9">#REF!</definedName>
    <definedName name="S5R20" localSheetId="10">#REF!</definedName>
    <definedName name="S5R20" localSheetId="8">#REF!</definedName>
    <definedName name="S5R20">#REF!</definedName>
    <definedName name="S5R21" localSheetId="4">#REF!</definedName>
    <definedName name="S5R21" localSheetId="5">#REF!</definedName>
    <definedName name="S5R21" localSheetId="0">#REF!</definedName>
    <definedName name="S5R21" localSheetId="9">#REF!</definedName>
    <definedName name="S5R21" localSheetId="10">#REF!</definedName>
    <definedName name="S5R21" localSheetId="8">#REF!</definedName>
    <definedName name="S5R21">#REF!</definedName>
    <definedName name="S5R22" localSheetId="4">#REF!</definedName>
    <definedName name="S5R22" localSheetId="5">#REF!</definedName>
    <definedName name="S5R22" localSheetId="0">#REF!</definedName>
    <definedName name="S5R22" localSheetId="9">#REF!</definedName>
    <definedName name="S5R22" localSheetId="10">#REF!</definedName>
    <definedName name="S5R22" localSheetId="8">#REF!</definedName>
    <definedName name="S5R22">#REF!</definedName>
    <definedName name="S5R23" localSheetId="4">#REF!</definedName>
    <definedName name="S5R23" localSheetId="5">#REF!</definedName>
    <definedName name="S5R23" localSheetId="0">#REF!</definedName>
    <definedName name="S5R23" localSheetId="9">#REF!</definedName>
    <definedName name="S5R23" localSheetId="10">#REF!</definedName>
    <definedName name="S5R23" localSheetId="8">#REF!</definedName>
    <definedName name="S5R23">#REF!</definedName>
    <definedName name="S5R24" localSheetId="4">#REF!</definedName>
    <definedName name="S5R24" localSheetId="5">#REF!</definedName>
    <definedName name="S5R24" localSheetId="0">#REF!</definedName>
    <definedName name="S5R24" localSheetId="9">#REF!</definedName>
    <definedName name="S5R24" localSheetId="10">#REF!</definedName>
    <definedName name="S5R24" localSheetId="8">#REF!</definedName>
    <definedName name="S5R24">#REF!</definedName>
    <definedName name="S5R3" localSheetId="4">#REF!</definedName>
    <definedName name="S5R3" localSheetId="5">#REF!</definedName>
    <definedName name="S5R3" localSheetId="0">#REF!</definedName>
    <definedName name="S5R3" localSheetId="9">#REF!</definedName>
    <definedName name="S5R3" localSheetId="10">#REF!</definedName>
    <definedName name="S5R3" localSheetId="8">#REF!</definedName>
    <definedName name="S5R3">#REF!</definedName>
    <definedName name="S5R4" localSheetId="4">#REF!</definedName>
    <definedName name="S5R4" localSheetId="5">#REF!</definedName>
    <definedName name="S5R4" localSheetId="0">#REF!</definedName>
    <definedName name="S5R4" localSheetId="9">#REF!</definedName>
    <definedName name="S5R4" localSheetId="10">#REF!</definedName>
    <definedName name="S5R4" localSheetId="8">#REF!</definedName>
    <definedName name="S5R4">#REF!</definedName>
    <definedName name="S5R5" localSheetId="4">#REF!</definedName>
    <definedName name="S5R5" localSheetId="5">#REF!</definedName>
    <definedName name="S5R5" localSheetId="0">#REF!</definedName>
    <definedName name="S5R5" localSheetId="9">#REF!</definedName>
    <definedName name="S5R5" localSheetId="10">#REF!</definedName>
    <definedName name="S5R5" localSheetId="8">#REF!</definedName>
    <definedName name="S5R5">#REF!</definedName>
    <definedName name="S5R6" localSheetId="4">#REF!</definedName>
    <definedName name="S5R6" localSheetId="5">#REF!</definedName>
    <definedName name="S5R6" localSheetId="0">#REF!</definedName>
    <definedName name="S5R6" localSheetId="9">#REF!</definedName>
    <definedName name="S5R6" localSheetId="10">#REF!</definedName>
    <definedName name="S5R6" localSheetId="8">#REF!</definedName>
    <definedName name="S5R6">#REF!</definedName>
    <definedName name="S5R7" localSheetId="4">#REF!</definedName>
    <definedName name="S5R7" localSheetId="5">#REF!</definedName>
    <definedName name="S5R7" localSheetId="0">#REF!</definedName>
    <definedName name="S5R7" localSheetId="9">#REF!</definedName>
    <definedName name="S5R7" localSheetId="10">#REF!</definedName>
    <definedName name="S5R7" localSheetId="8">#REF!</definedName>
    <definedName name="S5R7">#REF!</definedName>
    <definedName name="S5R8" localSheetId="4">#REF!</definedName>
    <definedName name="S5R8" localSheetId="5">#REF!</definedName>
    <definedName name="S5R8" localSheetId="0">#REF!</definedName>
    <definedName name="S5R8" localSheetId="9">#REF!</definedName>
    <definedName name="S5R8" localSheetId="10">#REF!</definedName>
    <definedName name="S5R8" localSheetId="8">#REF!</definedName>
    <definedName name="S5R8">#REF!</definedName>
    <definedName name="S5R9" localSheetId="4">#REF!</definedName>
    <definedName name="S5R9" localSheetId="5">#REF!</definedName>
    <definedName name="S5R9" localSheetId="0">#REF!</definedName>
    <definedName name="S5R9" localSheetId="9">#REF!</definedName>
    <definedName name="S5R9" localSheetId="10">#REF!</definedName>
    <definedName name="S5R9" localSheetId="8">#REF!</definedName>
    <definedName name="S5R9">#REF!</definedName>
    <definedName name="S6P1" localSheetId="4">#REF!</definedName>
    <definedName name="S6P1" localSheetId="5">#REF!</definedName>
    <definedName name="S6P1" localSheetId="0">#REF!</definedName>
    <definedName name="S6P1" localSheetId="9">#REF!</definedName>
    <definedName name="S6P1" localSheetId="10">#REF!</definedName>
    <definedName name="S6P1" localSheetId="8">#REF!</definedName>
    <definedName name="S6P1">#REF!</definedName>
    <definedName name="S6P10" localSheetId="4">#REF!</definedName>
    <definedName name="S6P10" localSheetId="5">#REF!</definedName>
    <definedName name="S6P10" localSheetId="0">#REF!</definedName>
    <definedName name="S6P10" localSheetId="9">#REF!</definedName>
    <definedName name="S6P10" localSheetId="10">#REF!</definedName>
    <definedName name="S6P10" localSheetId="8">#REF!</definedName>
    <definedName name="S6P10">#REF!</definedName>
    <definedName name="S6P11" localSheetId="4">#REF!</definedName>
    <definedName name="S6P11" localSheetId="5">#REF!</definedName>
    <definedName name="S6P11" localSheetId="0">#REF!</definedName>
    <definedName name="S6P11" localSheetId="9">#REF!</definedName>
    <definedName name="S6P11" localSheetId="10">#REF!</definedName>
    <definedName name="S6P11" localSheetId="8">#REF!</definedName>
    <definedName name="S6P11">#REF!</definedName>
    <definedName name="S6P12" localSheetId="4">#REF!</definedName>
    <definedName name="S6P12" localSheetId="5">#REF!</definedName>
    <definedName name="S6P12" localSheetId="0">#REF!</definedName>
    <definedName name="S6P12" localSheetId="9">#REF!</definedName>
    <definedName name="S6P12" localSheetId="10">#REF!</definedName>
    <definedName name="S6P12" localSheetId="8">#REF!</definedName>
    <definedName name="S6P12">#REF!</definedName>
    <definedName name="S6P13" localSheetId="4">#REF!</definedName>
    <definedName name="S6P13" localSheetId="5">#REF!</definedName>
    <definedName name="S6P13" localSheetId="0">#REF!</definedName>
    <definedName name="S6P13" localSheetId="9">#REF!</definedName>
    <definedName name="S6P13" localSheetId="10">#REF!</definedName>
    <definedName name="S6P13" localSheetId="8">#REF!</definedName>
    <definedName name="S6P13">#REF!</definedName>
    <definedName name="S6P14" localSheetId="4">#REF!</definedName>
    <definedName name="S6P14" localSheetId="5">#REF!</definedName>
    <definedName name="S6P14" localSheetId="0">#REF!</definedName>
    <definedName name="S6P14" localSheetId="9">#REF!</definedName>
    <definedName name="S6P14" localSheetId="10">#REF!</definedName>
    <definedName name="S6P14" localSheetId="8">#REF!</definedName>
    <definedName name="S6P14">#REF!</definedName>
    <definedName name="S6P15" localSheetId="4">#REF!</definedName>
    <definedName name="S6P15" localSheetId="5">#REF!</definedName>
    <definedName name="S6P15" localSheetId="0">#REF!</definedName>
    <definedName name="S6P15" localSheetId="9">#REF!</definedName>
    <definedName name="S6P15" localSheetId="10">#REF!</definedName>
    <definedName name="S6P15" localSheetId="8">#REF!</definedName>
    <definedName name="S6P15">#REF!</definedName>
    <definedName name="S6P16" localSheetId="4">#REF!</definedName>
    <definedName name="S6P16" localSheetId="5">#REF!</definedName>
    <definedName name="S6P16" localSheetId="0">#REF!</definedName>
    <definedName name="S6P16" localSheetId="9">#REF!</definedName>
    <definedName name="S6P16" localSheetId="10">#REF!</definedName>
    <definedName name="S6P16" localSheetId="8">#REF!</definedName>
    <definedName name="S6P16">#REF!</definedName>
    <definedName name="S6P17" localSheetId="4">#REF!</definedName>
    <definedName name="S6P17" localSheetId="5">#REF!</definedName>
    <definedName name="S6P17" localSheetId="0">#REF!</definedName>
    <definedName name="S6P17" localSheetId="9">#REF!</definedName>
    <definedName name="S6P17" localSheetId="10">#REF!</definedName>
    <definedName name="S6P17" localSheetId="8">#REF!</definedName>
    <definedName name="S6P17">#REF!</definedName>
    <definedName name="S6P18" localSheetId="4">#REF!</definedName>
    <definedName name="S6P18" localSheetId="5">#REF!</definedName>
    <definedName name="S6P18" localSheetId="0">#REF!</definedName>
    <definedName name="S6P18" localSheetId="9">#REF!</definedName>
    <definedName name="S6P18" localSheetId="10">#REF!</definedName>
    <definedName name="S6P18" localSheetId="8">#REF!</definedName>
    <definedName name="S6P18">#REF!</definedName>
    <definedName name="S6P19" localSheetId="4">#REF!</definedName>
    <definedName name="S6P19" localSheetId="5">#REF!</definedName>
    <definedName name="S6P19" localSheetId="0">#REF!</definedName>
    <definedName name="S6P19" localSheetId="9">#REF!</definedName>
    <definedName name="S6P19" localSheetId="10">#REF!</definedName>
    <definedName name="S6P19" localSheetId="8">#REF!</definedName>
    <definedName name="S6P19">#REF!</definedName>
    <definedName name="S6P2" localSheetId="4">#REF!</definedName>
    <definedName name="S6P2" localSheetId="5">#REF!</definedName>
    <definedName name="S6P2" localSheetId="0">#REF!</definedName>
    <definedName name="S6P2" localSheetId="9">#REF!</definedName>
    <definedName name="S6P2" localSheetId="10">#REF!</definedName>
    <definedName name="S6P2" localSheetId="8">#REF!</definedName>
    <definedName name="S6P2">#REF!</definedName>
    <definedName name="S6P20" localSheetId="4">#REF!</definedName>
    <definedName name="S6P20" localSheetId="5">#REF!</definedName>
    <definedName name="S6P20" localSheetId="0">#REF!</definedName>
    <definedName name="S6P20" localSheetId="9">#REF!</definedName>
    <definedName name="S6P20" localSheetId="10">#REF!</definedName>
    <definedName name="S6P20" localSheetId="8">#REF!</definedName>
    <definedName name="S6P20">#REF!</definedName>
    <definedName name="S6P21" localSheetId="4">#REF!</definedName>
    <definedName name="S6P21" localSheetId="5">#REF!</definedName>
    <definedName name="S6P21" localSheetId="0">#REF!</definedName>
    <definedName name="S6P21" localSheetId="9">#REF!</definedName>
    <definedName name="S6P21" localSheetId="10">#REF!</definedName>
    <definedName name="S6P21" localSheetId="8">#REF!</definedName>
    <definedName name="S6P21">#REF!</definedName>
    <definedName name="S6P22" localSheetId="4">#REF!</definedName>
    <definedName name="S6P22" localSheetId="5">#REF!</definedName>
    <definedName name="S6P22" localSheetId="0">#REF!</definedName>
    <definedName name="S6P22" localSheetId="9">#REF!</definedName>
    <definedName name="S6P22" localSheetId="10">#REF!</definedName>
    <definedName name="S6P22" localSheetId="8">#REF!</definedName>
    <definedName name="S6P22">#REF!</definedName>
    <definedName name="S6P23" localSheetId="4">#REF!</definedName>
    <definedName name="S6P23" localSheetId="5">#REF!</definedName>
    <definedName name="S6P23" localSheetId="0">#REF!</definedName>
    <definedName name="S6P23" localSheetId="9">#REF!</definedName>
    <definedName name="S6P23" localSheetId="10">#REF!</definedName>
    <definedName name="S6P23" localSheetId="8">#REF!</definedName>
    <definedName name="S6P23">#REF!</definedName>
    <definedName name="S6P24" localSheetId="4">#REF!</definedName>
    <definedName name="S6P24" localSheetId="5">#REF!</definedName>
    <definedName name="S6P24" localSheetId="0">#REF!</definedName>
    <definedName name="S6P24" localSheetId="9">#REF!</definedName>
    <definedName name="S6P24" localSheetId="10">#REF!</definedName>
    <definedName name="S6P24" localSheetId="8">#REF!</definedName>
    <definedName name="S6P24">#REF!</definedName>
    <definedName name="S6P3" localSheetId="4">#REF!</definedName>
    <definedName name="S6P3" localSheetId="5">#REF!</definedName>
    <definedName name="S6P3" localSheetId="0">#REF!</definedName>
    <definedName name="S6P3" localSheetId="9">#REF!</definedName>
    <definedName name="S6P3" localSheetId="10">#REF!</definedName>
    <definedName name="S6P3" localSheetId="8">#REF!</definedName>
    <definedName name="S6P3">#REF!</definedName>
    <definedName name="S6P4" localSheetId="4">#REF!</definedName>
    <definedName name="S6P4" localSheetId="5">#REF!</definedName>
    <definedName name="S6P4" localSheetId="0">#REF!</definedName>
    <definedName name="S6P4" localSheetId="9">#REF!</definedName>
    <definedName name="S6P4" localSheetId="10">#REF!</definedName>
    <definedName name="S6P4" localSheetId="8">#REF!</definedName>
    <definedName name="S6P4">#REF!</definedName>
    <definedName name="S6P5" localSheetId="4">#REF!</definedName>
    <definedName name="S6P5" localSheetId="5">#REF!</definedName>
    <definedName name="S6P5" localSheetId="0">#REF!</definedName>
    <definedName name="S6P5" localSheetId="9">#REF!</definedName>
    <definedName name="S6P5" localSheetId="10">#REF!</definedName>
    <definedName name="S6P5" localSheetId="8">#REF!</definedName>
    <definedName name="S6P5">#REF!</definedName>
    <definedName name="S6P6" localSheetId="4">#REF!</definedName>
    <definedName name="S6P6" localSheetId="5">#REF!</definedName>
    <definedName name="S6P6" localSheetId="0">#REF!</definedName>
    <definedName name="S6P6" localSheetId="9">#REF!</definedName>
    <definedName name="S6P6" localSheetId="10">#REF!</definedName>
    <definedName name="S6P6" localSheetId="8">#REF!</definedName>
    <definedName name="S6P6">#REF!</definedName>
    <definedName name="S6P7" localSheetId="4">#REF!</definedName>
    <definedName name="S6P7" localSheetId="5">#REF!</definedName>
    <definedName name="S6P7" localSheetId="0">#REF!</definedName>
    <definedName name="S6P7" localSheetId="9">#REF!</definedName>
    <definedName name="S6P7" localSheetId="10">#REF!</definedName>
    <definedName name="S6P7" localSheetId="8">#REF!</definedName>
    <definedName name="S6P7">#REF!</definedName>
    <definedName name="S6P8" localSheetId="4">#REF!</definedName>
    <definedName name="S6P8" localSheetId="5">#REF!</definedName>
    <definedName name="S6P8" localSheetId="0">#REF!</definedName>
    <definedName name="S6P8" localSheetId="9">#REF!</definedName>
    <definedName name="S6P8" localSheetId="10">#REF!</definedName>
    <definedName name="S6P8" localSheetId="8">#REF!</definedName>
    <definedName name="S6P8">#REF!</definedName>
    <definedName name="S6P9" localSheetId="4">#REF!</definedName>
    <definedName name="S6P9" localSheetId="5">#REF!</definedName>
    <definedName name="S6P9" localSheetId="0">#REF!</definedName>
    <definedName name="S6P9" localSheetId="9">#REF!</definedName>
    <definedName name="S6P9" localSheetId="10">#REF!</definedName>
    <definedName name="S6P9" localSheetId="8">#REF!</definedName>
    <definedName name="S6P9">#REF!</definedName>
    <definedName name="S6R1" localSheetId="4">#REF!</definedName>
    <definedName name="S6R1" localSheetId="5">#REF!</definedName>
    <definedName name="S6R1" localSheetId="0">#REF!</definedName>
    <definedName name="S6R1" localSheetId="9">#REF!</definedName>
    <definedName name="S6R1" localSheetId="10">#REF!</definedName>
    <definedName name="S6R1" localSheetId="8">#REF!</definedName>
    <definedName name="S6R1">#REF!</definedName>
    <definedName name="S6R10" localSheetId="4">#REF!</definedName>
    <definedName name="S6R10" localSheetId="5">#REF!</definedName>
    <definedName name="S6R10" localSheetId="0">#REF!</definedName>
    <definedName name="S6R10" localSheetId="9">#REF!</definedName>
    <definedName name="S6R10" localSheetId="10">#REF!</definedName>
    <definedName name="S6R10" localSheetId="8">#REF!</definedName>
    <definedName name="S6R10">#REF!</definedName>
    <definedName name="S6R11" localSheetId="4">#REF!</definedName>
    <definedName name="S6R11" localSheetId="5">#REF!</definedName>
    <definedName name="S6R11" localSheetId="0">#REF!</definedName>
    <definedName name="S6R11" localSheetId="9">#REF!</definedName>
    <definedName name="S6R11" localSheetId="10">#REF!</definedName>
    <definedName name="S6R11" localSheetId="8">#REF!</definedName>
    <definedName name="S6R11">#REF!</definedName>
    <definedName name="S6R12" localSheetId="4">#REF!</definedName>
    <definedName name="S6R12" localSheetId="5">#REF!</definedName>
    <definedName name="S6R12" localSheetId="0">#REF!</definedName>
    <definedName name="S6R12" localSheetId="9">#REF!</definedName>
    <definedName name="S6R12" localSheetId="10">#REF!</definedName>
    <definedName name="S6R12" localSheetId="8">#REF!</definedName>
    <definedName name="S6R12">#REF!</definedName>
    <definedName name="S6R13" localSheetId="4">#REF!</definedName>
    <definedName name="S6R13" localSheetId="5">#REF!</definedName>
    <definedName name="S6R13" localSheetId="0">#REF!</definedName>
    <definedName name="S6R13" localSheetId="9">#REF!</definedName>
    <definedName name="S6R13" localSheetId="10">#REF!</definedName>
    <definedName name="S6R13" localSheetId="8">#REF!</definedName>
    <definedName name="S6R13">#REF!</definedName>
    <definedName name="S6R14" localSheetId="4">#REF!</definedName>
    <definedName name="S6R14" localSheetId="5">#REF!</definedName>
    <definedName name="S6R14" localSheetId="0">#REF!</definedName>
    <definedName name="S6R14" localSheetId="9">#REF!</definedName>
    <definedName name="S6R14" localSheetId="10">#REF!</definedName>
    <definedName name="S6R14" localSheetId="8">#REF!</definedName>
    <definedName name="S6R14">#REF!</definedName>
    <definedName name="S6R15" localSheetId="4">#REF!</definedName>
    <definedName name="S6R15" localSheetId="5">#REF!</definedName>
    <definedName name="S6R15" localSheetId="0">#REF!</definedName>
    <definedName name="S6R15" localSheetId="9">#REF!</definedName>
    <definedName name="S6R15" localSheetId="10">#REF!</definedName>
    <definedName name="S6R15" localSheetId="8">#REF!</definedName>
    <definedName name="S6R15">#REF!</definedName>
    <definedName name="S6R16" localSheetId="4">#REF!</definedName>
    <definedName name="S6R16" localSheetId="5">#REF!</definedName>
    <definedName name="S6R16" localSheetId="0">#REF!</definedName>
    <definedName name="S6R16" localSheetId="9">#REF!</definedName>
    <definedName name="S6R16" localSheetId="10">#REF!</definedName>
    <definedName name="S6R16" localSheetId="8">#REF!</definedName>
    <definedName name="S6R16">#REF!</definedName>
    <definedName name="S6R17" localSheetId="4">#REF!</definedName>
    <definedName name="S6R17" localSheetId="5">#REF!</definedName>
    <definedName name="S6R17" localSheetId="0">#REF!</definedName>
    <definedName name="S6R17" localSheetId="9">#REF!</definedName>
    <definedName name="S6R17" localSheetId="10">#REF!</definedName>
    <definedName name="S6R17" localSheetId="8">#REF!</definedName>
    <definedName name="S6R17">#REF!</definedName>
    <definedName name="S6R18" localSheetId="4">#REF!</definedName>
    <definedName name="S6R18" localSheetId="5">#REF!</definedName>
    <definedName name="S6R18" localSheetId="0">#REF!</definedName>
    <definedName name="S6R18" localSheetId="9">#REF!</definedName>
    <definedName name="S6R18" localSheetId="10">#REF!</definedName>
    <definedName name="S6R18" localSheetId="8">#REF!</definedName>
    <definedName name="S6R18">#REF!</definedName>
    <definedName name="S6R19" localSheetId="4">#REF!</definedName>
    <definedName name="S6R19" localSheetId="5">#REF!</definedName>
    <definedName name="S6R19" localSheetId="0">#REF!</definedName>
    <definedName name="S6R19" localSheetId="9">#REF!</definedName>
    <definedName name="S6R19" localSheetId="10">#REF!</definedName>
    <definedName name="S6R19" localSheetId="8">#REF!</definedName>
    <definedName name="S6R19">#REF!</definedName>
    <definedName name="S6R2" localSheetId="4">#REF!</definedName>
    <definedName name="S6R2" localSheetId="5">#REF!</definedName>
    <definedName name="S6R2" localSheetId="0">#REF!</definedName>
    <definedName name="S6R2" localSheetId="9">#REF!</definedName>
    <definedName name="S6R2" localSheetId="10">#REF!</definedName>
    <definedName name="S6R2" localSheetId="8">#REF!</definedName>
    <definedName name="S6R2">#REF!</definedName>
    <definedName name="S6R20" localSheetId="4">#REF!</definedName>
    <definedName name="S6R20" localSheetId="5">#REF!</definedName>
    <definedName name="S6R20" localSheetId="0">#REF!</definedName>
    <definedName name="S6R20" localSheetId="9">#REF!</definedName>
    <definedName name="S6R20" localSheetId="10">#REF!</definedName>
    <definedName name="S6R20" localSheetId="8">#REF!</definedName>
    <definedName name="S6R20">#REF!</definedName>
    <definedName name="S6R21" localSheetId="4">#REF!</definedName>
    <definedName name="S6R21" localSheetId="5">#REF!</definedName>
    <definedName name="S6R21" localSheetId="0">#REF!</definedName>
    <definedName name="S6R21" localSheetId="9">#REF!</definedName>
    <definedName name="S6R21" localSheetId="10">#REF!</definedName>
    <definedName name="S6R21" localSheetId="8">#REF!</definedName>
    <definedName name="S6R21">#REF!</definedName>
    <definedName name="S6R22" localSheetId="4">#REF!</definedName>
    <definedName name="S6R22" localSheetId="5">#REF!</definedName>
    <definedName name="S6R22" localSheetId="0">#REF!</definedName>
    <definedName name="S6R22" localSheetId="9">#REF!</definedName>
    <definedName name="S6R22" localSheetId="10">#REF!</definedName>
    <definedName name="S6R22" localSheetId="8">#REF!</definedName>
    <definedName name="S6R22">#REF!</definedName>
    <definedName name="S6R23" localSheetId="4">#REF!</definedName>
    <definedName name="S6R23" localSheetId="5">#REF!</definedName>
    <definedName name="S6R23" localSheetId="0">#REF!</definedName>
    <definedName name="S6R23" localSheetId="9">#REF!</definedName>
    <definedName name="S6R23" localSheetId="10">#REF!</definedName>
    <definedName name="S6R23" localSheetId="8">#REF!</definedName>
    <definedName name="S6R23">#REF!</definedName>
    <definedName name="S6R24" localSheetId="4">#REF!</definedName>
    <definedName name="S6R24" localSheetId="5">#REF!</definedName>
    <definedName name="S6R24" localSheetId="0">#REF!</definedName>
    <definedName name="S6R24" localSheetId="9">#REF!</definedName>
    <definedName name="S6R24" localSheetId="10">#REF!</definedName>
    <definedName name="S6R24" localSheetId="8">#REF!</definedName>
    <definedName name="S6R24">#REF!</definedName>
    <definedName name="S6R3" localSheetId="4">#REF!</definedName>
    <definedName name="S6R3" localSheetId="5">#REF!</definedName>
    <definedName name="S6R3" localSheetId="0">#REF!</definedName>
    <definedName name="S6R3" localSheetId="9">#REF!</definedName>
    <definedName name="S6R3" localSheetId="10">#REF!</definedName>
    <definedName name="S6R3" localSheetId="8">#REF!</definedName>
    <definedName name="S6R3">#REF!</definedName>
    <definedName name="S6R4" localSheetId="4">#REF!</definedName>
    <definedName name="S6R4" localSheetId="5">#REF!</definedName>
    <definedName name="S6R4" localSheetId="0">#REF!</definedName>
    <definedName name="S6R4" localSheetId="9">#REF!</definedName>
    <definedName name="S6R4" localSheetId="10">#REF!</definedName>
    <definedName name="S6R4" localSheetId="8">#REF!</definedName>
    <definedName name="S6R4">#REF!</definedName>
    <definedName name="S6R5" localSheetId="4">#REF!</definedName>
    <definedName name="S6R5" localSheetId="5">#REF!</definedName>
    <definedName name="S6R5" localSheetId="0">#REF!</definedName>
    <definedName name="S6R5" localSheetId="9">#REF!</definedName>
    <definedName name="S6R5" localSheetId="10">#REF!</definedName>
    <definedName name="S6R5" localSheetId="8">#REF!</definedName>
    <definedName name="S6R5">#REF!</definedName>
    <definedName name="S6R6" localSheetId="4">#REF!</definedName>
    <definedName name="S6R6" localSheetId="5">#REF!</definedName>
    <definedName name="S6R6" localSheetId="0">#REF!</definedName>
    <definedName name="S6R6" localSheetId="9">#REF!</definedName>
    <definedName name="S6R6" localSheetId="10">#REF!</definedName>
    <definedName name="S6R6" localSheetId="8">#REF!</definedName>
    <definedName name="S6R6">#REF!</definedName>
    <definedName name="S6R7" localSheetId="4">#REF!</definedName>
    <definedName name="S6R7" localSheetId="5">#REF!</definedName>
    <definedName name="S6R7" localSheetId="0">#REF!</definedName>
    <definedName name="S6R7" localSheetId="9">#REF!</definedName>
    <definedName name="S6R7" localSheetId="10">#REF!</definedName>
    <definedName name="S6R7" localSheetId="8">#REF!</definedName>
    <definedName name="S6R7">#REF!</definedName>
    <definedName name="S6R8" localSheetId="4">#REF!</definedName>
    <definedName name="S6R8" localSheetId="5">#REF!</definedName>
    <definedName name="S6R8" localSheetId="0">#REF!</definedName>
    <definedName name="S6R8" localSheetId="9">#REF!</definedName>
    <definedName name="S6R8" localSheetId="10">#REF!</definedName>
    <definedName name="S6R8" localSheetId="8">#REF!</definedName>
    <definedName name="S6R8">#REF!</definedName>
    <definedName name="S6R9" localSheetId="4">#REF!</definedName>
    <definedName name="S6R9" localSheetId="5">#REF!</definedName>
    <definedName name="S6R9" localSheetId="0">#REF!</definedName>
    <definedName name="S6R9" localSheetId="9">#REF!</definedName>
    <definedName name="S6R9" localSheetId="10">#REF!</definedName>
    <definedName name="S6R9" localSheetId="8">#REF!</definedName>
    <definedName name="S6R9">#REF!</definedName>
    <definedName name="S7P1" localSheetId="4">#REF!</definedName>
    <definedName name="S7P1" localSheetId="5">#REF!</definedName>
    <definedName name="S7P1" localSheetId="0">#REF!</definedName>
    <definedName name="S7P1" localSheetId="9">#REF!</definedName>
    <definedName name="S7P1" localSheetId="10">#REF!</definedName>
    <definedName name="S7P1" localSheetId="8">#REF!</definedName>
    <definedName name="S7P1">#REF!</definedName>
    <definedName name="S7P10" localSheetId="4">#REF!</definedName>
    <definedName name="S7P10" localSheetId="5">#REF!</definedName>
    <definedName name="S7P10" localSheetId="0">#REF!</definedName>
    <definedName name="S7P10" localSheetId="9">#REF!</definedName>
    <definedName name="S7P10" localSheetId="10">#REF!</definedName>
    <definedName name="S7P10" localSheetId="8">#REF!</definedName>
    <definedName name="S7P10">#REF!</definedName>
    <definedName name="S7P11" localSheetId="4">#REF!</definedName>
    <definedName name="S7P11" localSheetId="5">#REF!</definedName>
    <definedName name="S7P11" localSheetId="0">#REF!</definedName>
    <definedName name="S7P11" localSheetId="9">#REF!</definedName>
    <definedName name="S7P11" localSheetId="10">#REF!</definedName>
    <definedName name="S7P11" localSheetId="8">#REF!</definedName>
    <definedName name="S7P11">#REF!</definedName>
    <definedName name="S7P12" localSheetId="4">#REF!</definedName>
    <definedName name="S7P12" localSheetId="5">#REF!</definedName>
    <definedName name="S7P12" localSheetId="0">#REF!</definedName>
    <definedName name="S7P12" localSheetId="9">#REF!</definedName>
    <definedName name="S7P12" localSheetId="10">#REF!</definedName>
    <definedName name="S7P12" localSheetId="8">#REF!</definedName>
    <definedName name="S7P12">#REF!</definedName>
    <definedName name="S7P13" localSheetId="4">#REF!</definedName>
    <definedName name="S7P13" localSheetId="5">#REF!</definedName>
    <definedName name="S7P13" localSheetId="0">#REF!</definedName>
    <definedName name="S7P13" localSheetId="9">#REF!</definedName>
    <definedName name="S7P13" localSheetId="10">#REF!</definedName>
    <definedName name="S7P13" localSheetId="8">#REF!</definedName>
    <definedName name="S7P13">#REF!</definedName>
    <definedName name="S7P14" localSheetId="4">#REF!</definedName>
    <definedName name="S7P14" localSheetId="5">#REF!</definedName>
    <definedName name="S7P14" localSheetId="0">#REF!</definedName>
    <definedName name="S7P14" localSheetId="9">#REF!</definedName>
    <definedName name="S7P14" localSheetId="10">#REF!</definedName>
    <definedName name="S7P14" localSheetId="8">#REF!</definedName>
    <definedName name="S7P14">#REF!</definedName>
    <definedName name="S7P15" localSheetId="4">#REF!</definedName>
    <definedName name="S7P15" localSheetId="5">#REF!</definedName>
    <definedName name="S7P15" localSheetId="0">#REF!</definedName>
    <definedName name="S7P15" localSheetId="9">#REF!</definedName>
    <definedName name="S7P15" localSheetId="10">#REF!</definedName>
    <definedName name="S7P15" localSheetId="8">#REF!</definedName>
    <definedName name="S7P15">#REF!</definedName>
    <definedName name="S7P16" localSheetId="4">#REF!</definedName>
    <definedName name="S7P16" localSheetId="5">#REF!</definedName>
    <definedName name="S7P16" localSheetId="0">#REF!</definedName>
    <definedName name="S7P16" localSheetId="9">#REF!</definedName>
    <definedName name="S7P16" localSheetId="10">#REF!</definedName>
    <definedName name="S7P16" localSheetId="8">#REF!</definedName>
    <definedName name="S7P16">#REF!</definedName>
    <definedName name="S7P17" localSheetId="4">#REF!</definedName>
    <definedName name="S7P17" localSheetId="5">#REF!</definedName>
    <definedName name="S7P17" localSheetId="0">#REF!</definedName>
    <definedName name="S7P17" localSheetId="9">#REF!</definedName>
    <definedName name="S7P17" localSheetId="10">#REF!</definedName>
    <definedName name="S7P17" localSheetId="8">#REF!</definedName>
    <definedName name="S7P17">#REF!</definedName>
    <definedName name="S7P18" localSheetId="4">#REF!</definedName>
    <definedName name="S7P18" localSheetId="5">#REF!</definedName>
    <definedName name="S7P18" localSheetId="0">#REF!</definedName>
    <definedName name="S7P18" localSheetId="9">#REF!</definedName>
    <definedName name="S7P18" localSheetId="10">#REF!</definedName>
    <definedName name="S7P18" localSheetId="8">#REF!</definedName>
    <definedName name="S7P18">#REF!</definedName>
    <definedName name="S7P19" localSheetId="4">#REF!</definedName>
    <definedName name="S7P19" localSheetId="5">#REF!</definedName>
    <definedName name="S7P19" localSheetId="0">#REF!</definedName>
    <definedName name="S7P19" localSheetId="9">#REF!</definedName>
    <definedName name="S7P19" localSheetId="10">#REF!</definedName>
    <definedName name="S7P19" localSheetId="8">#REF!</definedName>
    <definedName name="S7P19">#REF!</definedName>
    <definedName name="S7P2" localSheetId="4">#REF!</definedName>
    <definedName name="S7P2" localSheetId="5">#REF!</definedName>
    <definedName name="S7P2" localSheetId="0">#REF!</definedName>
    <definedName name="S7P2" localSheetId="9">#REF!</definedName>
    <definedName name="S7P2" localSheetId="10">#REF!</definedName>
    <definedName name="S7P2" localSheetId="8">#REF!</definedName>
    <definedName name="S7P2">#REF!</definedName>
    <definedName name="S7P20" localSheetId="4">#REF!</definedName>
    <definedName name="S7P20" localSheetId="5">#REF!</definedName>
    <definedName name="S7P20" localSheetId="0">#REF!</definedName>
    <definedName name="S7P20" localSheetId="9">#REF!</definedName>
    <definedName name="S7P20" localSheetId="10">#REF!</definedName>
    <definedName name="S7P20" localSheetId="8">#REF!</definedName>
    <definedName name="S7P20">#REF!</definedName>
    <definedName name="S7P21" localSheetId="4">#REF!</definedName>
    <definedName name="S7P21" localSheetId="5">#REF!</definedName>
    <definedName name="S7P21" localSheetId="0">#REF!</definedName>
    <definedName name="S7P21" localSheetId="9">#REF!</definedName>
    <definedName name="S7P21" localSheetId="10">#REF!</definedName>
    <definedName name="S7P21" localSheetId="8">#REF!</definedName>
    <definedName name="S7P21">#REF!</definedName>
    <definedName name="S7P22" localSheetId="4">#REF!</definedName>
    <definedName name="S7P22" localSheetId="5">#REF!</definedName>
    <definedName name="S7P22" localSheetId="0">#REF!</definedName>
    <definedName name="S7P22" localSheetId="9">#REF!</definedName>
    <definedName name="S7P22" localSheetId="10">#REF!</definedName>
    <definedName name="S7P22" localSheetId="8">#REF!</definedName>
    <definedName name="S7P22">#REF!</definedName>
    <definedName name="S7P23" localSheetId="4">#REF!</definedName>
    <definedName name="S7P23" localSheetId="5">#REF!</definedName>
    <definedName name="S7P23" localSheetId="0">#REF!</definedName>
    <definedName name="S7P23" localSheetId="9">#REF!</definedName>
    <definedName name="S7P23" localSheetId="10">#REF!</definedName>
    <definedName name="S7P23" localSheetId="8">#REF!</definedName>
    <definedName name="S7P23">#REF!</definedName>
    <definedName name="S7P24" localSheetId="4">#REF!</definedName>
    <definedName name="S7P24" localSheetId="5">#REF!</definedName>
    <definedName name="S7P24" localSheetId="0">#REF!</definedName>
    <definedName name="S7P24" localSheetId="9">#REF!</definedName>
    <definedName name="S7P24" localSheetId="10">#REF!</definedName>
    <definedName name="S7P24" localSheetId="8">#REF!</definedName>
    <definedName name="S7P24">#REF!</definedName>
    <definedName name="S7P3" localSheetId="4">#REF!</definedName>
    <definedName name="S7P3" localSheetId="5">#REF!</definedName>
    <definedName name="S7P3" localSheetId="0">#REF!</definedName>
    <definedName name="S7P3" localSheetId="9">#REF!</definedName>
    <definedName name="S7P3" localSheetId="10">#REF!</definedName>
    <definedName name="S7P3" localSheetId="8">#REF!</definedName>
    <definedName name="S7P3">#REF!</definedName>
    <definedName name="S7P4" localSheetId="4">#REF!</definedName>
    <definedName name="S7P4" localSheetId="5">#REF!</definedName>
    <definedName name="S7P4" localSheetId="0">#REF!</definedName>
    <definedName name="S7P4" localSheetId="9">#REF!</definedName>
    <definedName name="S7P4" localSheetId="10">#REF!</definedName>
    <definedName name="S7P4" localSheetId="8">#REF!</definedName>
    <definedName name="S7P4">#REF!</definedName>
    <definedName name="S7P5" localSheetId="4">#REF!</definedName>
    <definedName name="S7P5" localSheetId="5">#REF!</definedName>
    <definedName name="S7P5" localSheetId="0">#REF!</definedName>
    <definedName name="S7P5" localSheetId="9">#REF!</definedName>
    <definedName name="S7P5" localSheetId="10">#REF!</definedName>
    <definedName name="S7P5" localSheetId="8">#REF!</definedName>
    <definedName name="S7P5">#REF!</definedName>
    <definedName name="S7P6" localSheetId="4">#REF!</definedName>
    <definedName name="S7P6" localSheetId="5">#REF!</definedName>
    <definedName name="S7P6" localSheetId="0">#REF!</definedName>
    <definedName name="S7P6" localSheetId="9">#REF!</definedName>
    <definedName name="S7P6" localSheetId="10">#REF!</definedName>
    <definedName name="S7P6" localSheetId="8">#REF!</definedName>
    <definedName name="S7P6">#REF!</definedName>
    <definedName name="S7P7" localSheetId="4">#REF!</definedName>
    <definedName name="S7P7" localSheetId="5">#REF!</definedName>
    <definedName name="S7P7" localSheetId="0">#REF!</definedName>
    <definedName name="S7P7" localSheetId="9">#REF!</definedName>
    <definedName name="S7P7" localSheetId="10">#REF!</definedName>
    <definedName name="S7P7" localSheetId="8">#REF!</definedName>
    <definedName name="S7P7">#REF!</definedName>
    <definedName name="S7P8" localSheetId="4">#REF!</definedName>
    <definedName name="S7P8" localSheetId="5">#REF!</definedName>
    <definedName name="S7P8" localSheetId="0">#REF!</definedName>
    <definedName name="S7P8" localSheetId="9">#REF!</definedName>
    <definedName name="S7P8" localSheetId="10">#REF!</definedName>
    <definedName name="S7P8" localSheetId="8">#REF!</definedName>
    <definedName name="S7P8">#REF!</definedName>
    <definedName name="S7P9" localSheetId="4">#REF!</definedName>
    <definedName name="S7P9" localSheetId="5">#REF!</definedName>
    <definedName name="S7P9" localSheetId="0">#REF!</definedName>
    <definedName name="S7P9" localSheetId="9">#REF!</definedName>
    <definedName name="S7P9" localSheetId="10">#REF!</definedName>
    <definedName name="S7P9" localSheetId="8">#REF!</definedName>
    <definedName name="S7P9">#REF!</definedName>
    <definedName name="S7R1" localSheetId="4">#REF!</definedName>
    <definedName name="S7R1" localSheetId="5">#REF!</definedName>
    <definedName name="S7R1" localSheetId="0">#REF!</definedName>
    <definedName name="S7R1" localSheetId="9">#REF!</definedName>
    <definedName name="S7R1" localSheetId="10">#REF!</definedName>
    <definedName name="S7R1" localSheetId="8">#REF!</definedName>
    <definedName name="S7R1">#REF!</definedName>
    <definedName name="S7R10" localSheetId="4">#REF!</definedName>
    <definedName name="S7R10" localSheetId="5">#REF!</definedName>
    <definedName name="S7R10" localSheetId="0">#REF!</definedName>
    <definedName name="S7R10" localSheetId="9">#REF!</definedName>
    <definedName name="S7R10" localSheetId="10">#REF!</definedName>
    <definedName name="S7R10" localSheetId="8">#REF!</definedName>
    <definedName name="S7R10">#REF!</definedName>
    <definedName name="S7R11" localSheetId="4">#REF!</definedName>
    <definedName name="S7R11" localSheetId="5">#REF!</definedName>
    <definedName name="S7R11" localSheetId="0">#REF!</definedName>
    <definedName name="S7R11" localSheetId="9">#REF!</definedName>
    <definedName name="S7R11" localSheetId="10">#REF!</definedName>
    <definedName name="S7R11" localSheetId="8">#REF!</definedName>
    <definedName name="S7R11">#REF!</definedName>
    <definedName name="S7R12" localSheetId="4">#REF!</definedName>
    <definedName name="S7R12" localSheetId="5">#REF!</definedName>
    <definedName name="S7R12" localSheetId="0">#REF!</definedName>
    <definedName name="S7R12" localSheetId="9">#REF!</definedName>
    <definedName name="S7R12" localSheetId="10">#REF!</definedName>
    <definedName name="S7R12" localSheetId="8">#REF!</definedName>
    <definedName name="S7R12">#REF!</definedName>
    <definedName name="S7R13" localSheetId="4">#REF!</definedName>
    <definedName name="S7R13" localSheetId="5">#REF!</definedName>
    <definedName name="S7R13" localSheetId="0">#REF!</definedName>
    <definedName name="S7R13" localSheetId="9">#REF!</definedName>
    <definedName name="S7R13" localSheetId="10">#REF!</definedName>
    <definedName name="S7R13" localSheetId="8">#REF!</definedName>
    <definedName name="S7R13">#REF!</definedName>
    <definedName name="S7R14" localSheetId="4">#REF!</definedName>
    <definedName name="S7R14" localSheetId="5">#REF!</definedName>
    <definedName name="S7R14" localSheetId="0">#REF!</definedName>
    <definedName name="S7R14" localSheetId="9">#REF!</definedName>
    <definedName name="S7R14" localSheetId="10">#REF!</definedName>
    <definedName name="S7R14" localSheetId="8">#REF!</definedName>
    <definedName name="S7R14">#REF!</definedName>
    <definedName name="S7R15" localSheetId="4">#REF!</definedName>
    <definedName name="S7R15" localSheetId="5">#REF!</definedName>
    <definedName name="S7R15" localSheetId="0">#REF!</definedName>
    <definedName name="S7R15" localSheetId="9">#REF!</definedName>
    <definedName name="S7R15" localSheetId="10">#REF!</definedName>
    <definedName name="S7R15" localSheetId="8">#REF!</definedName>
    <definedName name="S7R15">#REF!</definedName>
    <definedName name="S7R16" localSheetId="4">#REF!</definedName>
    <definedName name="S7R16" localSheetId="5">#REF!</definedName>
    <definedName name="S7R16" localSheetId="0">#REF!</definedName>
    <definedName name="S7R16" localSheetId="9">#REF!</definedName>
    <definedName name="S7R16" localSheetId="10">#REF!</definedName>
    <definedName name="S7R16" localSheetId="8">#REF!</definedName>
    <definedName name="S7R16">#REF!</definedName>
    <definedName name="S7R17" localSheetId="4">#REF!</definedName>
    <definedName name="S7R17" localSheetId="5">#REF!</definedName>
    <definedName name="S7R17" localSheetId="0">#REF!</definedName>
    <definedName name="S7R17" localSheetId="9">#REF!</definedName>
    <definedName name="S7R17" localSheetId="10">#REF!</definedName>
    <definedName name="S7R17" localSheetId="8">#REF!</definedName>
    <definedName name="S7R17">#REF!</definedName>
    <definedName name="S7R18" localSheetId="4">#REF!</definedName>
    <definedName name="S7R18" localSheetId="5">#REF!</definedName>
    <definedName name="S7R18" localSheetId="0">#REF!</definedName>
    <definedName name="S7R18" localSheetId="9">#REF!</definedName>
    <definedName name="S7R18" localSheetId="10">#REF!</definedName>
    <definedName name="S7R18" localSheetId="8">#REF!</definedName>
    <definedName name="S7R18">#REF!</definedName>
    <definedName name="S7R19" localSheetId="4">#REF!</definedName>
    <definedName name="S7R19" localSheetId="5">#REF!</definedName>
    <definedName name="S7R19" localSheetId="0">#REF!</definedName>
    <definedName name="S7R19" localSheetId="9">#REF!</definedName>
    <definedName name="S7R19" localSheetId="10">#REF!</definedName>
    <definedName name="S7R19" localSheetId="8">#REF!</definedName>
    <definedName name="S7R19">#REF!</definedName>
    <definedName name="S7R2" localSheetId="4">#REF!</definedName>
    <definedName name="S7R2" localSheetId="5">#REF!</definedName>
    <definedName name="S7R2" localSheetId="0">#REF!</definedName>
    <definedName name="S7R2" localSheetId="9">#REF!</definedName>
    <definedName name="S7R2" localSheetId="10">#REF!</definedName>
    <definedName name="S7R2" localSheetId="8">#REF!</definedName>
    <definedName name="S7R2">#REF!</definedName>
    <definedName name="S7R20" localSheetId="4">#REF!</definedName>
    <definedName name="S7R20" localSheetId="5">#REF!</definedName>
    <definedName name="S7R20" localSheetId="0">#REF!</definedName>
    <definedName name="S7R20" localSheetId="9">#REF!</definedName>
    <definedName name="S7R20" localSheetId="10">#REF!</definedName>
    <definedName name="S7R20" localSheetId="8">#REF!</definedName>
    <definedName name="S7R20">#REF!</definedName>
    <definedName name="S7R21" localSheetId="4">#REF!</definedName>
    <definedName name="S7R21" localSheetId="5">#REF!</definedName>
    <definedName name="S7R21" localSheetId="0">#REF!</definedName>
    <definedName name="S7R21" localSheetId="9">#REF!</definedName>
    <definedName name="S7R21" localSheetId="10">#REF!</definedName>
    <definedName name="S7R21" localSheetId="8">#REF!</definedName>
    <definedName name="S7R21">#REF!</definedName>
    <definedName name="S7R22" localSheetId="4">#REF!</definedName>
    <definedName name="S7R22" localSheetId="5">#REF!</definedName>
    <definedName name="S7R22" localSheetId="0">#REF!</definedName>
    <definedName name="S7R22" localSheetId="9">#REF!</definedName>
    <definedName name="S7R22" localSheetId="10">#REF!</definedName>
    <definedName name="S7R22" localSheetId="8">#REF!</definedName>
    <definedName name="S7R22">#REF!</definedName>
    <definedName name="S7R23" localSheetId="4">#REF!</definedName>
    <definedName name="S7R23" localSheetId="5">#REF!</definedName>
    <definedName name="S7R23" localSheetId="0">#REF!</definedName>
    <definedName name="S7R23" localSheetId="9">#REF!</definedName>
    <definedName name="S7R23" localSheetId="10">#REF!</definedName>
    <definedName name="S7R23" localSheetId="8">#REF!</definedName>
    <definedName name="S7R23">#REF!</definedName>
    <definedName name="S7R24" localSheetId="4">#REF!</definedName>
    <definedName name="S7R24" localSheetId="5">#REF!</definedName>
    <definedName name="S7R24" localSheetId="0">#REF!</definedName>
    <definedName name="S7R24" localSheetId="9">#REF!</definedName>
    <definedName name="S7R24" localSheetId="10">#REF!</definedName>
    <definedName name="S7R24" localSheetId="8">#REF!</definedName>
    <definedName name="S7R24">#REF!</definedName>
    <definedName name="S7R3" localSheetId="4">#REF!</definedName>
    <definedName name="S7R3" localSheetId="5">#REF!</definedName>
    <definedName name="S7R3" localSheetId="0">#REF!</definedName>
    <definedName name="S7R3" localSheetId="9">#REF!</definedName>
    <definedName name="S7R3" localSheetId="10">#REF!</definedName>
    <definedName name="S7R3" localSheetId="8">#REF!</definedName>
    <definedName name="S7R3">#REF!</definedName>
    <definedName name="S7R4" localSheetId="4">#REF!</definedName>
    <definedName name="S7R4" localSheetId="5">#REF!</definedName>
    <definedName name="S7R4" localSheetId="0">#REF!</definedName>
    <definedName name="S7R4" localSheetId="9">#REF!</definedName>
    <definedName name="S7R4" localSheetId="10">#REF!</definedName>
    <definedName name="S7R4" localSheetId="8">#REF!</definedName>
    <definedName name="S7R4">#REF!</definedName>
    <definedName name="S7R5" localSheetId="4">#REF!</definedName>
    <definedName name="S7R5" localSheetId="5">#REF!</definedName>
    <definedName name="S7R5" localSheetId="0">#REF!</definedName>
    <definedName name="S7R5" localSheetId="9">#REF!</definedName>
    <definedName name="S7R5" localSheetId="10">#REF!</definedName>
    <definedName name="S7R5" localSheetId="8">#REF!</definedName>
    <definedName name="S7R5">#REF!</definedName>
    <definedName name="S7R6" localSheetId="4">#REF!</definedName>
    <definedName name="S7R6" localSheetId="5">#REF!</definedName>
    <definedName name="S7R6" localSheetId="0">#REF!</definedName>
    <definedName name="S7R6" localSheetId="9">#REF!</definedName>
    <definedName name="S7R6" localSheetId="10">#REF!</definedName>
    <definedName name="S7R6" localSheetId="8">#REF!</definedName>
    <definedName name="S7R6">#REF!</definedName>
    <definedName name="S7R7" localSheetId="4">#REF!</definedName>
    <definedName name="S7R7" localSheetId="5">#REF!</definedName>
    <definedName name="S7R7" localSheetId="0">#REF!</definedName>
    <definedName name="S7R7" localSheetId="9">#REF!</definedName>
    <definedName name="S7R7" localSheetId="10">#REF!</definedName>
    <definedName name="S7R7" localSheetId="8">#REF!</definedName>
    <definedName name="S7R7">#REF!</definedName>
    <definedName name="S7R8" localSheetId="4">#REF!</definedName>
    <definedName name="S7R8" localSheetId="5">#REF!</definedName>
    <definedName name="S7R8" localSheetId="0">#REF!</definedName>
    <definedName name="S7R8" localSheetId="9">#REF!</definedName>
    <definedName name="S7R8" localSheetId="10">#REF!</definedName>
    <definedName name="S7R8" localSheetId="8">#REF!</definedName>
    <definedName name="S7R8">#REF!</definedName>
    <definedName name="S7R9" localSheetId="4">#REF!</definedName>
    <definedName name="S7R9" localSheetId="5">#REF!</definedName>
    <definedName name="S7R9" localSheetId="0">#REF!</definedName>
    <definedName name="S7R9" localSheetId="9">#REF!</definedName>
    <definedName name="S7R9" localSheetId="10">#REF!</definedName>
    <definedName name="S7R9" localSheetId="8">#REF!</definedName>
    <definedName name="S7R9">#REF!</definedName>
    <definedName name="S8P1" localSheetId="4">#REF!</definedName>
    <definedName name="S8P1" localSheetId="5">#REF!</definedName>
    <definedName name="S8P1" localSheetId="0">#REF!</definedName>
    <definedName name="S8P1" localSheetId="9">#REF!</definedName>
    <definedName name="S8P1" localSheetId="10">#REF!</definedName>
    <definedName name="S8P1" localSheetId="8">#REF!</definedName>
    <definedName name="S8P1">#REF!</definedName>
    <definedName name="S8P10" localSheetId="4">#REF!</definedName>
    <definedName name="S8P10" localSheetId="5">#REF!</definedName>
    <definedName name="S8P10" localSheetId="0">#REF!</definedName>
    <definedName name="S8P10" localSheetId="9">#REF!</definedName>
    <definedName name="S8P10" localSheetId="10">#REF!</definedName>
    <definedName name="S8P10" localSheetId="8">#REF!</definedName>
    <definedName name="S8P10">#REF!</definedName>
    <definedName name="S8P11" localSheetId="4">#REF!</definedName>
    <definedName name="S8P11" localSheetId="5">#REF!</definedName>
    <definedName name="S8P11" localSheetId="0">#REF!</definedName>
    <definedName name="S8P11" localSheetId="9">#REF!</definedName>
    <definedName name="S8P11" localSheetId="10">#REF!</definedName>
    <definedName name="S8P11" localSheetId="8">#REF!</definedName>
    <definedName name="S8P11">#REF!</definedName>
    <definedName name="S8P12" localSheetId="4">#REF!</definedName>
    <definedName name="S8P12" localSheetId="5">#REF!</definedName>
    <definedName name="S8P12" localSheetId="0">#REF!</definedName>
    <definedName name="S8P12" localSheetId="9">#REF!</definedName>
    <definedName name="S8P12" localSheetId="10">#REF!</definedName>
    <definedName name="S8P12" localSheetId="8">#REF!</definedName>
    <definedName name="S8P12">#REF!</definedName>
    <definedName name="S8P13" localSheetId="4">#REF!</definedName>
    <definedName name="S8P13" localSheetId="5">#REF!</definedName>
    <definedName name="S8P13" localSheetId="0">#REF!</definedName>
    <definedName name="S8P13" localSheetId="9">#REF!</definedName>
    <definedName name="S8P13" localSheetId="10">#REF!</definedName>
    <definedName name="S8P13" localSheetId="8">#REF!</definedName>
    <definedName name="S8P13">#REF!</definedName>
    <definedName name="S8P14" localSheetId="4">#REF!</definedName>
    <definedName name="S8P14" localSheetId="5">#REF!</definedName>
    <definedName name="S8P14" localSheetId="0">#REF!</definedName>
    <definedName name="S8P14" localSheetId="9">#REF!</definedName>
    <definedName name="S8P14" localSheetId="10">#REF!</definedName>
    <definedName name="S8P14" localSheetId="8">#REF!</definedName>
    <definedName name="S8P14">#REF!</definedName>
    <definedName name="S8P15" localSheetId="4">#REF!</definedName>
    <definedName name="S8P15" localSheetId="5">#REF!</definedName>
    <definedName name="S8P15" localSheetId="0">#REF!</definedName>
    <definedName name="S8P15" localSheetId="9">#REF!</definedName>
    <definedName name="S8P15" localSheetId="10">#REF!</definedName>
    <definedName name="S8P15" localSheetId="8">#REF!</definedName>
    <definedName name="S8P15">#REF!</definedName>
    <definedName name="S8P16" localSheetId="4">#REF!</definedName>
    <definedName name="S8P16" localSheetId="5">#REF!</definedName>
    <definedName name="S8P16" localSheetId="0">#REF!</definedName>
    <definedName name="S8P16" localSheetId="9">#REF!</definedName>
    <definedName name="S8P16" localSheetId="10">#REF!</definedName>
    <definedName name="S8P16" localSheetId="8">#REF!</definedName>
    <definedName name="S8P16">#REF!</definedName>
    <definedName name="S8P17" localSheetId="4">#REF!</definedName>
    <definedName name="S8P17" localSheetId="5">#REF!</definedName>
    <definedName name="S8P17" localSheetId="0">#REF!</definedName>
    <definedName name="S8P17" localSheetId="9">#REF!</definedName>
    <definedName name="S8P17" localSheetId="10">#REF!</definedName>
    <definedName name="S8P17" localSheetId="8">#REF!</definedName>
    <definedName name="S8P17">#REF!</definedName>
    <definedName name="S8P18" localSheetId="4">#REF!</definedName>
    <definedName name="S8P18" localSheetId="5">#REF!</definedName>
    <definedName name="S8P18" localSheetId="0">#REF!</definedName>
    <definedName name="S8P18" localSheetId="9">#REF!</definedName>
    <definedName name="S8P18" localSheetId="10">#REF!</definedName>
    <definedName name="S8P18" localSheetId="8">#REF!</definedName>
    <definedName name="S8P18">#REF!</definedName>
    <definedName name="S8P19" localSheetId="4">#REF!</definedName>
    <definedName name="S8P19" localSheetId="5">#REF!</definedName>
    <definedName name="S8P19" localSheetId="0">#REF!</definedName>
    <definedName name="S8P19" localSheetId="9">#REF!</definedName>
    <definedName name="S8P19" localSheetId="10">#REF!</definedName>
    <definedName name="S8P19" localSheetId="8">#REF!</definedName>
    <definedName name="S8P19">#REF!</definedName>
    <definedName name="S8P2" localSheetId="4">#REF!</definedName>
    <definedName name="S8P2" localSheetId="5">#REF!</definedName>
    <definedName name="S8P2" localSheetId="0">#REF!</definedName>
    <definedName name="S8P2" localSheetId="9">#REF!</definedName>
    <definedName name="S8P2" localSheetId="10">#REF!</definedName>
    <definedName name="S8P2" localSheetId="8">#REF!</definedName>
    <definedName name="S8P2">#REF!</definedName>
    <definedName name="S8P20" localSheetId="4">#REF!</definedName>
    <definedName name="S8P20" localSheetId="5">#REF!</definedName>
    <definedName name="S8P20" localSheetId="0">#REF!</definedName>
    <definedName name="S8P20" localSheetId="9">#REF!</definedName>
    <definedName name="S8P20" localSheetId="10">#REF!</definedName>
    <definedName name="S8P20" localSheetId="8">#REF!</definedName>
    <definedName name="S8P20">#REF!</definedName>
    <definedName name="S8P21" localSheetId="4">#REF!</definedName>
    <definedName name="S8P21" localSheetId="5">#REF!</definedName>
    <definedName name="S8P21" localSheetId="0">#REF!</definedName>
    <definedName name="S8P21" localSheetId="9">#REF!</definedName>
    <definedName name="S8P21" localSheetId="10">#REF!</definedName>
    <definedName name="S8P21" localSheetId="8">#REF!</definedName>
    <definedName name="S8P21">#REF!</definedName>
    <definedName name="S8P22" localSheetId="4">#REF!</definedName>
    <definedName name="S8P22" localSheetId="5">#REF!</definedName>
    <definedName name="S8P22" localSheetId="0">#REF!</definedName>
    <definedName name="S8P22" localSheetId="9">#REF!</definedName>
    <definedName name="S8P22" localSheetId="10">#REF!</definedName>
    <definedName name="S8P22" localSheetId="8">#REF!</definedName>
    <definedName name="S8P22">#REF!</definedName>
    <definedName name="S8P23" localSheetId="4">#REF!</definedName>
    <definedName name="S8P23" localSheetId="5">#REF!</definedName>
    <definedName name="S8P23" localSheetId="0">#REF!</definedName>
    <definedName name="S8P23" localSheetId="9">#REF!</definedName>
    <definedName name="S8P23" localSheetId="10">#REF!</definedName>
    <definedName name="S8P23" localSheetId="8">#REF!</definedName>
    <definedName name="S8P23">#REF!</definedName>
    <definedName name="S8P24" localSheetId="4">#REF!</definedName>
    <definedName name="S8P24" localSheetId="5">#REF!</definedName>
    <definedName name="S8P24" localSheetId="0">#REF!</definedName>
    <definedName name="S8P24" localSheetId="9">#REF!</definedName>
    <definedName name="S8P24" localSheetId="10">#REF!</definedName>
    <definedName name="S8P24" localSheetId="8">#REF!</definedName>
    <definedName name="S8P24">#REF!</definedName>
    <definedName name="S8P3" localSheetId="4">#REF!</definedName>
    <definedName name="S8P3" localSheetId="5">#REF!</definedName>
    <definedName name="S8P3" localSheetId="0">#REF!</definedName>
    <definedName name="S8P3" localSheetId="9">#REF!</definedName>
    <definedName name="S8P3" localSheetId="10">#REF!</definedName>
    <definedName name="S8P3" localSheetId="8">#REF!</definedName>
    <definedName name="S8P3">#REF!</definedName>
    <definedName name="S8P4" localSheetId="4">#REF!</definedName>
    <definedName name="S8P4" localSheetId="5">#REF!</definedName>
    <definedName name="S8P4" localSheetId="0">#REF!</definedName>
    <definedName name="S8P4" localSheetId="9">#REF!</definedName>
    <definedName name="S8P4" localSheetId="10">#REF!</definedName>
    <definedName name="S8P4" localSheetId="8">#REF!</definedName>
    <definedName name="S8P4">#REF!</definedName>
    <definedName name="S8P5" localSheetId="4">#REF!</definedName>
    <definedName name="S8P5" localSheetId="5">#REF!</definedName>
    <definedName name="S8P5" localSheetId="0">#REF!</definedName>
    <definedName name="S8P5" localSheetId="9">#REF!</definedName>
    <definedName name="S8P5" localSheetId="10">#REF!</definedName>
    <definedName name="S8P5" localSheetId="8">#REF!</definedName>
    <definedName name="S8P5">#REF!</definedName>
    <definedName name="S8P6" localSheetId="4">#REF!</definedName>
    <definedName name="S8P6" localSheetId="5">#REF!</definedName>
    <definedName name="S8P6" localSheetId="0">#REF!</definedName>
    <definedName name="S8P6" localSheetId="9">#REF!</definedName>
    <definedName name="S8P6" localSheetId="10">#REF!</definedName>
    <definedName name="S8P6" localSheetId="8">#REF!</definedName>
    <definedName name="S8P6">#REF!</definedName>
    <definedName name="S8P7" localSheetId="4">#REF!</definedName>
    <definedName name="S8P7" localSheetId="5">#REF!</definedName>
    <definedName name="S8P7" localSheetId="0">#REF!</definedName>
    <definedName name="S8P7" localSheetId="9">#REF!</definedName>
    <definedName name="S8P7" localSheetId="10">#REF!</definedName>
    <definedName name="S8P7" localSheetId="8">#REF!</definedName>
    <definedName name="S8P7">#REF!</definedName>
    <definedName name="S8P8" localSheetId="4">#REF!</definedName>
    <definedName name="S8P8" localSheetId="5">#REF!</definedName>
    <definedName name="S8P8" localSheetId="0">#REF!</definedName>
    <definedName name="S8P8" localSheetId="9">#REF!</definedName>
    <definedName name="S8P8" localSheetId="10">#REF!</definedName>
    <definedName name="S8P8" localSheetId="8">#REF!</definedName>
    <definedName name="S8P8">#REF!</definedName>
    <definedName name="S8P9" localSheetId="4">#REF!</definedName>
    <definedName name="S8P9" localSheetId="5">#REF!</definedName>
    <definedName name="S8P9" localSheetId="0">#REF!</definedName>
    <definedName name="S8P9" localSheetId="9">#REF!</definedName>
    <definedName name="S8P9" localSheetId="10">#REF!</definedName>
    <definedName name="S8P9" localSheetId="8">#REF!</definedName>
    <definedName name="S8P9">#REF!</definedName>
    <definedName name="S8R1" localSheetId="4">#REF!</definedName>
    <definedName name="S8R1" localSheetId="5">#REF!</definedName>
    <definedName name="S8R1" localSheetId="0">#REF!</definedName>
    <definedName name="S8R1" localSheetId="9">#REF!</definedName>
    <definedName name="S8R1" localSheetId="10">#REF!</definedName>
    <definedName name="S8R1" localSheetId="8">#REF!</definedName>
    <definedName name="S8R1">#REF!</definedName>
    <definedName name="S8R10" localSheetId="4">#REF!</definedName>
    <definedName name="S8R10" localSheetId="5">#REF!</definedName>
    <definedName name="S8R10" localSheetId="0">#REF!</definedName>
    <definedName name="S8R10" localSheetId="9">#REF!</definedName>
    <definedName name="S8R10" localSheetId="10">#REF!</definedName>
    <definedName name="S8R10" localSheetId="8">#REF!</definedName>
    <definedName name="S8R10">#REF!</definedName>
    <definedName name="S8R11" localSheetId="4">#REF!</definedName>
    <definedName name="S8R11" localSheetId="5">#REF!</definedName>
    <definedName name="S8R11" localSheetId="0">#REF!</definedName>
    <definedName name="S8R11" localSheetId="9">#REF!</definedName>
    <definedName name="S8R11" localSheetId="10">#REF!</definedName>
    <definedName name="S8R11" localSheetId="8">#REF!</definedName>
    <definedName name="S8R11">#REF!</definedName>
    <definedName name="S8R12" localSheetId="4">#REF!</definedName>
    <definedName name="S8R12" localSheetId="5">#REF!</definedName>
    <definedName name="S8R12" localSheetId="0">#REF!</definedName>
    <definedName name="S8R12" localSheetId="9">#REF!</definedName>
    <definedName name="S8R12" localSheetId="10">#REF!</definedName>
    <definedName name="S8R12" localSheetId="8">#REF!</definedName>
    <definedName name="S8R12">#REF!</definedName>
    <definedName name="S8R13" localSheetId="4">#REF!</definedName>
    <definedName name="S8R13" localSheetId="5">#REF!</definedName>
    <definedName name="S8R13" localSheetId="0">#REF!</definedName>
    <definedName name="S8R13" localSheetId="9">#REF!</definedName>
    <definedName name="S8R13" localSheetId="10">#REF!</definedName>
    <definedName name="S8R13" localSheetId="8">#REF!</definedName>
    <definedName name="S8R13">#REF!</definedName>
    <definedName name="S8R14" localSheetId="4">#REF!</definedName>
    <definedName name="S8R14" localSheetId="5">#REF!</definedName>
    <definedName name="S8R14" localSheetId="0">#REF!</definedName>
    <definedName name="S8R14" localSheetId="9">#REF!</definedName>
    <definedName name="S8R14" localSheetId="10">#REF!</definedName>
    <definedName name="S8R14" localSheetId="8">#REF!</definedName>
    <definedName name="S8R14">#REF!</definedName>
    <definedName name="S8R15" localSheetId="4">#REF!</definedName>
    <definedName name="S8R15" localSheetId="5">#REF!</definedName>
    <definedName name="S8R15" localSheetId="0">#REF!</definedName>
    <definedName name="S8R15" localSheetId="9">#REF!</definedName>
    <definedName name="S8R15" localSheetId="10">#REF!</definedName>
    <definedName name="S8R15" localSheetId="8">#REF!</definedName>
    <definedName name="S8R15">#REF!</definedName>
    <definedName name="S8R16" localSheetId="4">#REF!</definedName>
    <definedName name="S8R16" localSheetId="5">#REF!</definedName>
    <definedName name="S8R16" localSheetId="0">#REF!</definedName>
    <definedName name="S8R16" localSheetId="9">#REF!</definedName>
    <definedName name="S8R16" localSheetId="10">#REF!</definedName>
    <definedName name="S8R16" localSheetId="8">#REF!</definedName>
    <definedName name="S8R16">#REF!</definedName>
    <definedName name="S8R17" localSheetId="4">#REF!</definedName>
    <definedName name="S8R17" localSheetId="5">#REF!</definedName>
    <definedName name="S8R17" localSheetId="0">#REF!</definedName>
    <definedName name="S8R17" localSheetId="9">#REF!</definedName>
    <definedName name="S8R17" localSheetId="10">#REF!</definedName>
    <definedName name="S8R17" localSheetId="8">#REF!</definedName>
    <definedName name="S8R17">#REF!</definedName>
    <definedName name="S8R18" localSheetId="4">#REF!</definedName>
    <definedName name="S8R18" localSheetId="5">#REF!</definedName>
    <definedName name="S8R18" localSheetId="0">#REF!</definedName>
    <definedName name="S8R18" localSheetId="9">#REF!</definedName>
    <definedName name="S8R18" localSheetId="10">#REF!</definedName>
    <definedName name="S8R18" localSheetId="8">#REF!</definedName>
    <definedName name="S8R18">#REF!</definedName>
    <definedName name="S8R19" localSheetId="4">#REF!</definedName>
    <definedName name="S8R19" localSheetId="5">#REF!</definedName>
    <definedName name="S8R19" localSheetId="0">#REF!</definedName>
    <definedName name="S8R19" localSheetId="9">#REF!</definedName>
    <definedName name="S8R19" localSheetId="10">#REF!</definedName>
    <definedName name="S8R19" localSheetId="8">#REF!</definedName>
    <definedName name="S8R19">#REF!</definedName>
    <definedName name="S8R2" localSheetId="4">#REF!</definedName>
    <definedName name="S8R2" localSheetId="5">#REF!</definedName>
    <definedName name="S8R2" localSheetId="0">#REF!</definedName>
    <definedName name="S8R2" localSheetId="9">#REF!</definedName>
    <definedName name="S8R2" localSheetId="10">#REF!</definedName>
    <definedName name="S8R2" localSheetId="8">#REF!</definedName>
    <definedName name="S8R2">#REF!</definedName>
    <definedName name="S8R20" localSheetId="4">#REF!</definedName>
    <definedName name="S8R20" localSheetId="5">#REF!</definedName>
    <definedName name="S8R20" localSheetId="0">#REF!</definedName>
    <definedName name="S8R20" localSheetId="9">#REF!</definedName>
    <definedName name="S8R20" localSheetId="10">#REF!</definedName>
    <definedName name="S8R20" localSheetId="8">#REF!</definedName>
    <definedName name="S8R20">#REF!</definedName>
    <definedName name="S8R21" localSheetId="4">#REF!</definedName>
    <definedName name="S8R21" localSheetId="5">#REF!</definedName>
    <definedName name="S8R21" localSheetId="0">#REF!</definedName>
    <definedName name="S8R21" localSheetId="9">#REF!</definedName>
    <definedName name="S8R21" localSheetId="10">#REF!</definedName>
    <definedName name="S8R21" localSheetId="8">#REF!</definedName>
    <definedName name="S8R21">#REF!</definedName>
    <definedName name="S8R22" localSheetId="4">#REF!</definedName>
    <definedName name="S8R22" localSheetId="5">#REF!</definedName>
    <definedName name="S8R22" localSheetId="0">#REF!</definedName>
    <definedName name="S8R22" localSheetId="9">#REF!</definedName>
    <definedName name="S8R22" localSheetId="10">#REF!</definedName>
    <definedName name="S8R22" localSheetId="8">#REF!</definedName>
    <definedName name="S8R22">#REF!</definedName>
    <definedName name="S8R23" localSheetId="4">#REF!</definedName>
    <definedName name="S8R23" localSheetId="5">#REF!</definedName>
    <definedName name="S8R23" localSheetId="0">#REF!</definedName>
    <definedName name="S8R23" localSheetId="9">#REF!</definedName>
    <definedName name="S8R23" localSheetId="10">#REF!</definedName>
    <definedName name="S8R23" localSheetId="8">#REF!</definedName>
    <definedName name="S8R23">#REF!</definedName>
    <definedName name="S8R24" localSheetId="4">#REF!</definedName>
    <definedName name="S8R24" localSheetId="5">#REF!</definedName>
    <definedName name="S8R24" localSheetId="0">#REF!</definedName>
    <definedName name="S8R24" localSheetId="9">#REF!</definedName>
    <definedName name="S8R24" localSheetId="10">#REF!</definedName>
    <definedName name="S8R24" localSheetId="8">#REF!</definedName>
    <definedName name="S8R24">#REF!</definedName>
    <definedName name="S8R3" localSheetId="4">#REF!</definedName>
    <definedName name="S8R3" localSheetId="5">#REF!</definedName>
    <definedName name="S8R3" localSheetId="0">#REF!</definedName>
    <definedName name="S8R3" localSheetId="9">#REF!</definedName>
    <definedName name="S8R3" localSheetId="10">#REF!</definedName>
    <definedName name="S8R3" localSheetId="8">#REF!</definedName>
    <definedName name="S8R3">#REF!</definedName>
    <definedName name="S8R4" localSheetId="4">#REF!</definedName>
    <definedName name="S8R4" localSheetId="5">#REF!</definedName>
    <definedName name="S8R4" localSheetId="0">#REF!</definedName>
    <definedName name="S8R4" localSheetId="9">#REF!</definedName>
    <definedName name="S8R4" localSheetId="10">#REF!</definedName>
    <definedName name="S8R4" localSheetId="8">#REF!</definedName>
    <definedName name="S8R4">#REF!</definedName>
    <definedName name="S8R5" localSheetId="4">#REF!</definedName>
    <definedName name="S8R5" localSheetId="5">#REF!</definedName>
    <definedName name="S8R5" localSheetId="0">#REF!</definedName>
    <definedName name="S8R5" localSheetId="9">#REF!</definedName>
    <definedName name="S8R5" localSheetId="10">#REF!</definedName>
    <definedName name="S8R5" localSheetId="8">#REF!</definedName>
    <definedName name="S8R5">#REF!</definedName>
    <definedName name="S8R6" localSheetId="4">#REF!</definedName>
    <definedName name="S8R6" localSheetId="5">#REF!</definedName>
    <definedName name="S8R6" localSheetId="0">#REF!</definedName>
    <definedName name="S8R6" localSheetId="9">#REF!</definedName>
    <definedName name="S8R6" localSheetId="10">#REF!</definedName>
    <definedName name="S8R6" localSheetId="8">#REF!</definedName>
    <definedName name="S8R6">#REF!</definedName>
    <definedName name="S8R7" localSheetId="4">#REF!</definedName>
    <definedName name="S8R7" localSheetId="5">#REF!</definedName>
    <definedName name="S8R7" localSheetId="0">#REF!</definedName>
    <definedName name="S8R7" localSheetId="9">#REF!</definedName>
    <definedName name="S8R7" localSheetId="10">#REF!</definedName>
    <definedName name="S8R7" localSheetId="8">#REF!</definedName>
    <definedName name="S8R7">#REF!</definedName>
    <definedName name="S8R8" localSheetId="4">#REF!</definedName>
    <definedName name="S8R8" localSheetId="5">#REF!</definedName>
    <definedName name="S8R8" localSheetId="0">#REF!</definedName>
    <definedName name="S8R8" localSheetId="9">#REF!</definedName>
    <definedName name="S8R8" localSheetId="10">#REF!</definedName>
    <definedName name="S8R8" localSheetId="8">#REF!</definedName>
    <definedName name="S8R8">#REF!</definedName>
    <definedName name="S8R9" localSheetId="4">#REF!</definedName>
    <definedName name="S8R9" localSheetId="5">#REF!</definedName>
    <definedName name="S8R9" localSheetId="0">#REF!</definedName>
    <definedName name="S8R9" localSheetId="9">#REF!</definedName>
    <definedName name="S8R9" localSheetId="10">#REF!</definedName>
    <definedName name="S8R9" localSheetId="8">#REF!</definedName>
    <definedName name="S8R9">#REF!</definedName>
    <definedName name="S9P1" localSheetId="4">#REF!</definedName>
    <definedName name="S9P1" localSheetId="5">#REF!</definedName>
    <definedName name="S9P1" localSheetId="0">#REF!</definedName>
    <definedName name="S9P1" localSheetId="9">#REF!</definedName>
    <definedName name="S9P1" localSheetId="10">#REF!</definedName>
    <definedName name="S9P1" localSheetId="8">#REF!</definedName>
    <definedName name="S9P1">#REF!</definedName>
    <definedName name="S9P10" localSheetId="4">#REF!</definedName>
    <definedName name="S9P10" localSheetId="5">#REF!</definedName>
    <definedName name="S9P10" localSheetId="0">#REF!</definedName>
    <definedName name="S9P10" localSheetId="9">#REF!</definedName>
    <definedName name="S9P10" localSheetId="10">#REF!</definedName>
    <definedName name="S9P10" localSheetId="8">#REF!</definedName>
    <definedName name="S9P10">#REF!</definedName>
    <definedName name="S9P11" localSheetId="4">#REF!</definedName>
    <definedName name="S9P11" localSheetId="5">#REF!</definedName>
    <definedName name="S9P11" localSheetId="0">#REF!</definedName>
    <definedName name="S9P11" localSheetId="9">#REF!</definedName>
    <definedName name="S9P11" localSheetId="10">#REF!</definedName>
    <definedName name="S9P11" localSheetId="8">#REF!</definedName>
    <definedName name="S9P11">#REF!</definedName>
    <definedName name="S9P12" localSheetId="4">#REF!</definedName>
    <definedName name="S9P12" localSheetId="5">#REF!</definedName>
    <definedName name="S9P12" localSheetId="0">#REF!</definedName>
    <definedName name="S9P12" localSheetId="9">#REF!</definedName>
    <definedName name="S9P12" localSheetId="10">#REF!</definedName>
    <definedName name="S9P12" localSheetId="8">#REF!</definedName>
    <definedName name="S9P12">#REF!</definedName>
    <definedName name="S9P13" localSheetId="4">#REF!</definedName>
    <definedName name="S9P13" localSheetId="5">#REF!</definedName>
    <definedName name="S9P13" localSheetId="0">#REF!</definedName>
    <definedName name="S9P13" localSheetId="9">#REF!</definedName>
    <definedName name="S9P13" localSheetId="10">#REF!</definedName>
    <definedName name="S9P13" localSheetId="8">#REF!</definedName>
    <definedName name="S9P13">#REF!</definedName>
    <definedName name="S9P14" localSheetId="4">#REF!</definedName>
    <definedName name="S9P14" localSheetId="5">#REF!</definedName>
    <definedName name="S9P14" localSheetId="0">#REF!</definedName>
    <definedName name="S9P14" localSheetId="9">#REF!</definedName>
    <definedName name="S9P14" localSheetId="10">#REF!</definedName>
    <definedName name="S9P14" localSheetId="8">#REF!</definedName>
    <definedName name="S9P14">#REF!</definedName>
    <definedName name="S9P15" localSheetId="4">#REF!</definedName>
    <definedName name="S9P15" localSheetId="5">#REF!</definedName>
    <definedName name="S9P15" localSheetId="0">#REF!</definedName>
    <definedName name="S9P15" localSheetId="9">#REF!</definedName>
    <definedName name="S9P15" localSheetId="10">#REF!</definedName>
    <definedName name="S9P15" localSheetId="8">#REF!</definedName>
    <definedName name="S9P15">#REF!</definedName>
    <definedName name="S9P16" localSheetId="4">#REF!</definedName>
    <definedName name="S9P16" localSheetId="5">#REF!</definedName>
    <definedName name="S9P16" localSheetId="0">#REF!</definedName>
    <definedName name="S9P16" localSheetId="9">#REF!</definedName>
    <definedName name="S9P16" localSheetId="10">#REF!</definedName>
    <definedName name="S9P16" localSheetId="8">#REF!</definedName>
    <definedName name="S9P16">#REF!</definedName>
    <definedName name="S9P17" localSheetId="4">#REF!</definedName>
    <definedName name="S9P17" localSheetId="5">#REF!</definedName>
    <definedName name="S9P17" localSheetId="0">#REF!</definedName>
    <definedName name="S9P17" localSheetId="9">#REF!</definedName>
    <definedName name="S9P17" localSheetId="10">#REF!</definedName>
    <definedName name="S9P17" localSheetId="8">#REF!</definedName>
    <definedName name="S9P17">#REF!</definedName>
    <definedName name="S9P18" localSheetId="4">#REF!</definedName>
    <definedName name="S9P18" localSheetId="5">#REF!</definedName>
    <definedName name="S9P18" localSheetId="0">#REF!</definedName>
    <definedName name="S9P18" localSheetId="9">#REF!</definedName>
    <definedName name="S9P18" localSheetId="10">#REF!</definedName>
    <definedName name="S9P18" localSheetId="8">#REF!</definedName>
    <definedName name="S9P18">#REF!</definedName>
    <definedName name="S9P19" localSheetId="4">#REF!</definedName>
    <definedName name="S9P19" localSheetId="5">#REF!</definedName>
    <definedName name="S9P19" localSheetId="0">#REF!</definedName>
    <definedName name="S9P19" localSheetId="9">#REF!</definedName>
    <definedName name="S9P19" localSheetId="10">#REF!</definedName>
    <definedName name="S9P19" localSheetId="8">#REF!</definedName>
    <definedName name="S9P19">#REF!</definedName>
    <definedName name="S9P2" localSheetId="4">#REF!</definedName>
    <definedName name="S9P2" localSheetId="5">#REF!</definedName>
    <definedName name="S9P2" localSheetId="0">#REF!</definedName>
    <definedName name="S9P2" localSheetId="9">#REF!</definedName>
    <definedName name="S9P2" localSheetId="10">#REF!</definedName>
    <definedName name="S9P2" localSheetId="8">#REF!</definedName>
    <definedName name="S9P2">#REF!</definedName>
    <definedName name="S9P20" localSheetId="4">#REF!</definedName>
    <definedName name="S9P20" localSheetId="5">#REF!</definedName>
    <definedName name="S9P20" localSheetId="0">#REF!</definedName>
    <definedName name="S9P20" localSheetId="9">#REF!</definedName>
    <definedName name="S9P20" localSheetId="10">#REF!</definedName>
    <definedName name="S9P20" localSheetId="8">#REF!</definedName>
    <definedName name="S9P20">#REF!</definedName>
    <definedName name="S9P21" localSheetId="4">#REF!</definedName>
    <definedName name="S9P21" localSheetId="5">#REF!</definedName>
    <definedName name="S9P21" localSheetId="0">#REF!</definedName>
    <definedName name="S9P21" localSheetId="9">#REF!</definedName>
    <definedName name="S9P21" localSheetId="10">#REF!</definedName>
    <definedName name="S9P21" localSheetId="8">#REF!</definedName>
    <definedName name="S9P21">#REF!</definedName>
    <definedName name="S9P22" localSheetId="4">#REF!</definedName>
    <definedName name="S9P22" localSheetId="5">#REF!</definedName>
    <definedName name="S9P22" localSheetId="0">#REF!</definedName>
    <definedName name="S9P22" localSheetId="9">#REF!</definedName>
    <definedName name="S9P22" localSheetId="10">#REF!</definedName>
    <definedName name="S9P22" localSheetId="8">#REF!</definedName>
    <definedName name="S9P22">#REF!</definedName>
    <definedName name="S9P23" localSheetId="4">#REF!</definedName>
    <definedName name="S9P23" localSheetId="5">#REF!</definedName>
    <definedName name="S9P23" localSheetId="0">#REF!</definedName>
    <definedName name="S9P23" localSheetId="9">#REF!</definedName>
    <definedName name="S9P23" localSheetId="10">#REF!</definedName>
    <definedName name="S9P23" localSheetId="8">#REF!</definedName>
    <definedName name="S9P23">#REF!</definedName>
    <definedName name="S9P24" localSheetId="4">#REF!</definedName>
    <definedName name="S9P24" localSheetId="5">#REF!</definedName>
    <definedName name="S9P24" localSheetId="0">#REF!</definedName>
    <definedName name="S9P24" localSheetId="9">#REF!</definedName>
    <definedName name="S9P24" localSheetId="10">#REF!</definedName>
    <definedName name="S9P24" localSheetId="8">#REF!</definedName>
    <definedName name="S9P24">#REF!</definedName>
    <definedName name="S9P3" localSheetId="4">#REF!</definedName>
    <definedName name="S9P3" localSheetId="5">#REF!</definedName>
    <definedName name="S9P3" localSheetId="0">#REF!</definedName>
    <definedName name="S9P3" localSheetId="9">#REF!</definedName>
    <definedName name="S9P3" localSheetId="10">#REF!</definedName>
    <definedName name="S9P3" localSheetId="8">#REF!</definedName>
    <definedName name="S9P3">#REF!</definedName>
    <definedName name="S9P4" localSheetId="4">#REF!</definedName>
    <definedName name="S9P4" localSheetId="5">#REF!</definedName>
    <definedName name="S9P4" localSheetId="0">#REF!</definedName>
    <definedName name="S9P4" localSheetId="9">#REF!</definedName>
    <definedName name="S9P4" localSheetId="10">#REF!</definedName>
    <definedName name="S9P4" localSheetId="8">#REF!</definedName>
    <definedName name="S9P4">#REF!</definedName>
    <definedName name="S9P5" localSheetId="4">#REF!</definedName>
    <definedName name="S9P5" localSheetId="5">#REF!</definedName>
    <definedName name="S9P5" localSheetId="0">#REF!</definedName>
    <definedName name="S9P5" localSheetId="9">#REF!</definedName>
    <definedName name="S9P5" localSheetId="10">#REF!</definedName>
    <definedName name="S9P5" localSheetId="8">#REF!</definedName>
    <definedName name="S9P5">#REF!</definedName>
    <definedName name="S9P6" localSheetId="4">#REF!</definedName>
    <definedName name="S9P6" localSheetId="5">#REF!</definedName>
    <definedName name="S9P6" localSheetId="0">#REF!</definedName>
    <definedName name="S9P6" localSheetId="9">#REF!</definedName>
    <definedName name="S9P6" localSheetId="10">#REF!</definedName>
    <definedName name="S9P6" localSheetId="8">#REF!</definedName>
    <definedName name="S9P6">#REF!</definedName>
    <definedName name="S9P7" localSheetId="4">#REF!</definedName>
    <definedName name="S9P7" localSheetId="5">#REF!</definedName>
    <definedName name="S9P7" localSheetId="0">#REF!</definedName>
    <definedName name="S9P7" localSheetId="9">#REF!</definedName>
    <definedName name="S9P7" localSheetId="10">#REF!</definedName>
    <definedName name="S9P7" localSheetId="8">#REF!</definedName>
    <definedName name="S9P7">#REF!</definedName>
    <definedName name="S9P8" localSheetId="4">#REF!</definedName>
    <definedName name="S9P8" localSheetId="5">#REF!</definedName>
    <definedName name="S9P8" localSheetId="0">#REF!</definedName>
    <definedName name="S9P8" localSheetId="9">#REF!</definedName>
    <definedName name="S9P8" localSheetId="10">#REF!</definedName>
    <definedName name="S9P8" localSheetId="8">#REF!</definedName>
    <definedName name="S9P8">#REF!</definedName>
    <definedName name="S9P9" localSheetId="4">#REF!</definedName>
    <definedName name="S9P9" localSheetId="5">#REF!</definedName>
    <definedName name="S9P9" localSheetId="0">#REF!</definedName>
    <definedName name="S9P9" localSheetId="9">#REF!</definedName>
    <definedName name="S9P9" localSheetId="10">#REF!</definedName>
    <definedName name="S9P9" localSheetId="8">#REF!</definedName>
    <definedName name="S9P9">#REF!</definedName>
    <definedName name="S9R1" localSheetId="4">#REF!</definedName>
    <definedName name="S9R1" localSheetId="5">#REF!</definedName>
    <definedName name="S9R1" localSheetId="0">#REF!</definedName>
    <definedName name="S9R1" localSheetId="9">#REF!</definedName>
    <definedName name="S9R1" localSheetId="10">#REF!</definedName>
    <definedName name="S9R1" localSheetId="8">#REF!</definedName>
    <definedName name="S9R1">#REF!</definedName>
    <definedName name="S9R10" localSheetId="4">#REF!</definedName>
    <definedName name="S9R10" localSheetId="5">#REF!</definedName>
    <definedName name="S9R10" localSheetId="0">#REF!</definedName>
    <definedName name="S9R10" localSheetId="9">#REF!</definedName>
    <definedName name="S9R10" localSheetId="10">#REF!</definedName>
    <definedName name="S9R10" localSheetId="8">#REF!</definedName>
    <definedName name="S9R10">#REF!</definedName>
    <definedName name="S9R11" localSheetId="4">#REF!</definedName>
    <definedName name="S9R11" localSheetId="5">#REF!</definedName>
    <definedName name="S9R11" localSheetId="0">#REF!</definedName>
    <definedName name="S9R11" localSheetId="9">#REF!</definedName>
    <definedName name="S9R11" localSheetId="10">#REF!</definedName>
    <definedName name="S9R11" localSheetId="8">#REF!</definedName>
    <definedName name="S9R11">#REF!</definedName>
    <definedName name="S9R12" localSheetId="4">#REF!</definedName>
    <definedName name="S9R12" localSheetId="5">#REF!</definedName>
    <definedName name="S9R12" localSheetId="0">#REF!</definedName>
    <definedName name="S9R12" localSheetId="9">#REF!</definedName>
    <definedName name="S9R12" localSheetId="10">#REF!</definedName>
    <definedName name="S9R12" localSheetId="8">#REF!</definedName>
    <definedName name="S9R12">#REF!</definedName>
    <definedName name="S9R13" localSheetId="4">#REF!</definedName>
    <definedName name="S9R13" localSheetId="5">#REF!</definedName>
    <definedName name="S9R13" localSheetId="0">#REF!</definedName>
    <definedName name="S9R13" localSheetId="9">#REF!</definedName>
    <definedName name="S9R13" localSheetId="10">#REF!</definedName>
    <definedName name="S9R13" localSheetId="8">#REF!</definedName>
    <definedName name="S9R13">#REF!</definedName>
    <definedName name="S9R14" localSheetId="4">#REF!</definedName>
    <definedName name="S9R14" localSheetId="5">#REF!</definedName>
    <definedName name="S9R14" localSheetId="0">#REF!</definedName>
    <definedName name="S9R14" localSheetId="9">#REF!</definedName>
    <definedName name="S9R14" localSheetId="10">#REF!</definedName>
    <definedName name="S9R14" localSheetId="8">#REF!</definedName>
    <definedName name="S9R14">#REF!</definedName>
    <definedName name="S9R15" localSheetId="4">#REF!</definedName>
    <definedName name="S9R15" localSheetId="5">#REF!</definedName>
    <definedName name="S9R15" localSheetId="0">#REF!</definedName>
    <definedName name="S9R15" localSheetId="9">#REF!</definedName>
    <definedName name="S9R15" localSheetId="10">#REF!</definedName>
    <definedName name="S9R15" localSheetId="8">#REF!</definedName>
    <definedName name="S9R15">#REF!</definedName>
    <definedName name="S9R16" localSheetId="4">#REF!</definedName>
    <definedName name="S9R16" localSheetId="5">#REF!</definedName>
    <definedName name="S9R16" localSheetId="0">#REF!</definedName>
    <definedName name="S9R16" localSheetId="9">#REF!</definedName>
    <definedName name="S9R16" localSheetId="10">#REF!</definedName>
    <definedName name="S9R16" localSheetId="8">#REF!</definedName>
    <definedName name="S9R16">#REF!</definedName>
    <definedName name="S9R17" localSheetId="4">#REF!</definedName>
    <definedName name="S9R17" localSheetId="5">#REF!</definedName>
    <definedName name="S9R17" localSheetId="0">#REF!</definedName>
    <definedName name="S9R17" localSheetId="9">#REF!</definedName>
    <definedName name="S9R17" localSheetId="10">#REF!</definedName>
    <definedName name="S9R17" localSheetId="8">#REF!</definedName>
    <definedName name="S9R17">#REF!</definedName>
    <definedName name="S9R18" localSheetId="4">#REF!</definedName>
    <definedName name="S9R18" localSheetId="5">#REF!</definedName>
    <definedName name="S9R18" localSheetId="0">#REF!</definedName>
    <definedName name="S9R18" localSheetId="9">#REF!</definedName>
    <definedName name="S9R18" localSheetId="10">#REF!</definedName>
    <definedName name="S9R18" localSheetId="8">#REF!</definedName>
    <definedName name="S9R18">#REF!</definedName>
    <definedName name="S9R19" localSheetId="4">#REF!</definedName>
    <definedName name="S9R19" localSheetId="5">#REF!</definedName>
    <definedName name="S9R19" localSheetId="0">#REF!</definedName>
    <definedName name="S9R19" localSheetId="9">#REF!</definedName>
    <definedName name="S9R19" localSheetId="10">#REF!</definedName>
    <definedName name="S9R19" localSheetId="8">#REF!</definedName>
    <definedName name="S9R19">#REF!</definedName>
    <definedName name="S9R2" localSheetId="4">#REF!</definedName>
    <definedName name="S9R2" localSheetId="5">#REF!</definedName>
    <definedName name="S9R2" localSheetId="0">#REF!</definedName>
    <definedName name="S9R2" localSheetId="9">#REF!</definedName>
    <definedName name="S9R2" localSheetId="10">#REF!</definedName>
    <definedName name="S9R2" localSheetId="8">#REF!</definedName>
    <definedName name="S9R2">#REF!</definedName>
    <definedName name="S9R20" localSheetId="4">#REF!</definedName>
    <definedName name="S9R20" localSheetId="5">#REF!</definedName>
    <definedName name="S9R20" localSheetId="0">#REF!</definedName>
    <definedName name="S9R20" localSheetId="9">#REF!</definedName>
    <definedName name="S9R20" localSheetId="10">#REF!</definedName>
    <definedName name="S9R20" localSheetId="8">#REF!</definedName>
    <definedName name="S9R20">#REF!</definedName>
    <definedName name="S9R21" localSheetId="4">#REF!</definedName>
    <definedName name="S9R21" localSheetId="5">#REF!</definedName>
    <definedName name="S9R21" localSheetId="0">#REF!</definedName>
    <definedName name="S9R21" localSheetId="9">#REF!</definedName>
    <definedName name="S9R21" localSheetId="10">#REF!</definedName>
    <definedName name="S9R21" localSheetId="8">#REF!</definedName>
    <definedName name="S9R21">#REF!</definedName>
    <definedName name="S9R22" localSheetId="4">#REF!</definedName>
    <definedName name="S9R22" localSheetId="5">#REF!</definedName>
    <definedName name="S9R22" localSheetId="0">#REF!</definedName>
    <definedName name="S9R22" localSheetId="9">#REF!</definedName>
    <definedName name="S9R22" localSheetId="10">#REF!</definedName>
    <definedName name="S9R22" localSheetId="8">#REF!</definedName>
    <definedName name="S9R22">#REF!</definedName>
    <definedName name="S9R23" localSheetId="4">#REF!</definedName>
    <definedName name="S9R23" localSheetId="5">#REF!</definedName>
    <definedName name="S9R23" localSheetId="0">#REF!</definedName>
    <definedName name="S9R23" localSheetId="9">#REF!</definedName>
    <definedName name="S9R23" localSheetId="10">#REF!</definedName>
    <definedName name="S9R23" localSheetId="8">#REF!</definedName>
    <definedName name="S9R23">#REF!</definedName>
    <definedName name="S9R24" localSheetId="4">#REF!</definedName>
    <definedName name="S9R24" localSheetId="5">#REF!</definedName>
    <definedName name="S9R24" localSheetId="0">#REF!</definedName>
    <definedName name="S9R24" localSheetId="9">#REF!</definedName>
    <definedName name="S9R24" localSheetId="10">#REF!</definedName>
    <definedName name="S9R24" localSheetId="8">#REF!</definedName>
    <definedName name="S9R24">#REF!</definedName>
    <definedName name="S9R3" localSheetId="4">#REF!</definedName>
    <definedName name="S9R3" localSheetId="5">#REF!</definedName>
    <definedName name="S9R3" localSheetId="0">#REF!</definedName>
    <definedName name="S9R3" localSheetId="9">#REF!</definedName>
    <definedName name="S9R3" localSheetId="10">#REF!</definedName>
    <definedName name="S9R3" localSheetId="8">#REF!</definedName>
    <definedName name="S9R3">#REF!</definedName>
    <definedName name="S9R4" localSheetId="4">#REF!</definedName>
    <definedName name="S9R4" localSheetId="5">#REF!</definedName>
    <definedName name="S9R4" localSheetId="0">#REF!</definedName>
    <definedName name="S9R4" localSheetId="9">#REF!</definedName>
    <definedName name="S9R4" localSheetId="10">#REF!</definedName>
    <definedName name="S9R4" localSheetId="8">#REF!</definedName>
    <definedName name="S9R4">#REF!</definedName>
    <definedName name="S9R5" localSheetId="4">#REF!</definedName>
    <definedName name="S9R5" localSheetId="5">#REF!</definedName>
    <definedName name="S9R5" localSheetId="0">#REF!</definedName>
    <definedName name="S9R5" localSheetId="9">#REF!</definedName>
    <definedName name="S9R5" localSheetId="10">#REF!</definedName>
    <definedName name="S9R5" localSheetId="8">#REF!</definedName>
    <definedName name="S9R5">#REF!</definedName>
    <definedName name="S9R6" localSheetId="4">#REF!</definedName>
    <definedName name="S9R6" localSheetId="5">#REF!</definedName>
    <definedName name="S9R6" localSheetId="0">#REF!</definedName>
    <definedName name="S9R6" localSheetId="9">#REF!</definedName>
    <definedName name="S9R6" localSheetId="10">#REF!</definedName>
    <definedName name="S9R6" localSheetId="8">#REF!</definedName>
    <definedName name="S9R6">#REF!</definedName>
    <definedName name="S9R7" localSheetId="4">#REF!</definedName>
    <definedName name="S9R7" localSheetId="5">#REF!</definedName>
    <definedName name="S9R7" localSheetId="0">#REF!</definedName>
    <definedName name="S9R7" localSheetId="9">#REF!</definedName>
    <definedName name="S9R7" localSheetId="10">#REF!</definedName>
    <definedName name="S9R7" localSheetId="8">#REF!</definedName>
    <definedName name="S9R7">#REF!</definedName>
    <definedName name="S9R8" localSheetId="4">#REF!</definedName>
    <definedName name="S9R8" localSheetId="5">#REF!</definedName>
    <definedName name="S9R8" localSheetId="0">#REF!</definedName>
    <definedName name="S9R8" localSheetId="9">#REF!</definedName>
    <definedName name="S9R8" localSheetId="10">#REF!</definedName>
    <definedName name="S9R8" localSheetId="8">#REF!</definedName>
    <definedName name="S9R8">#REF!</definedName>
    <definedName name="S9R9" localSheetId="4">#REF!</definedName>
    <definedName name="S9R9" localSheetId="5">#REF!</definedName>
    <definedName name="S9R9" localSheetId="0">#REF!</definedName>
    <definedName name="S9R9" localSheetId="9">#REF!</definedName>
    <definedName name="S9R9" localSheetId="10">#REF!</definedName>
    <definedName name="S9R9" localSheetId="8">#REF!</definedName>
    <definedName name="S9R9">#REF!</definedName>
    <definedName name="soma_total" localSheetId="4">#REF!</definedName>
    <definedName name="soma_total" localSheetId="5">#REF!</definedName>
    <definedName name="soma_total" localSheetId="0">#REF!</definedName>
    <definedName name="soma_total" localSheetId="9">#REF!</definedName>
    <definedName name="soma_total" localSheetId="10">#REF!</definedName>
    <definedName name="soma_total" localSheetId="8">#REF!</definedName>
    <definedName name="soma_total">#REF!</definedName>
    <definedName name="sub_item_1" localSheetId="4">#REF!</definedName>
    <definedName name="sub_item_1" localSheetId="5">#REF!</definedName>
    <definedName name="sub_item_1" localSheetId="0">#REF!</definedName>
    <definedName name="sub_item_1" localSheetId="9">#REF!</definedName>
    <definedName name="sub_item_1" localSheetId="10">#REF!</definedName>
    <definedName name="sub_item_1" localSheetId="8">#REF!</definedName>
    <definedName name="sub_item_1">#REF!</definedName>
    <definedName name="sub_item_10" localSheetId="4">#REF!</definedName>
    <definedName name="sub_item_10" localSheetId="5">#REF!</definedName>
    <definedName name="sub_item_10" localSheetId="0">#REF!</definedName>
    <definedName name="sub_item_10" localSheetId="9">#REF!</definedName>
    <definedName name="sub_item_10" localSheetId="10">#REF!</definedName>
    <definedName name="sub_item_10" localSheetId="8">#REF!</definedName>
    <definedName name="sub_item_10">#REF!</definedName>
    <definedName name="sub_item_11" localSheetId="4">#REF!</definedName>
    <definedName name="sub_item_11" localSheetId="5">#REF!</definedName>
    <definedName name="sub_item_11" localSheetId="0">#REF!</definedName>
    <definedName name="sub_item_11" localSheetId="9">#REF!</definedName>
    <definedName name="sub_item_11" localSheetId="10">#REF!</definedName>
    <definedName name="sub_item_11" localSheetId="8">#REF!</definedName>
    <definedName name="sub_item_11">#REF!</definedName>
    <definedName name="sub_item_12" localSheetId="4">#REF!</definedName>
    <definedName name="sub_item_12" localSheetId="5">#REF!</definedName>
    <definedName name="sub_item_12" localSheetId="0">#REF!</definedName>
    <definedName name="sub_item_12" localSheetId="9">#REF!</definedName>
    <definedName name="sub_item_12" localSheetId="10">#REF!</definedName>
    <definedName name="sub_item_12" localSheetId="8">#REF!</definedName>
    <definedName name="sub_item_12">#REF!</definedName>
    <definedName name="sub_item_13" localSheetId="4">#REF!</definedName>
    <definedName name="sub_item_13" localSheetId="5">#REF!</definedName>
    <definedName name="sub_item_13" localSheetId="0">#REF!</definedName>
    <definedName name="sub_item_13" localSheetId="9">#REF!</definedName>
    <definedName name="sub_item_13" localSheetId="10">#REF!</definedName>
    <definedName name="sub_item_13" localSheetId="8">#REF!</definedName>
    <definedName name="sub_item_13">#REF!</definedName>
    <definedName name="sub_item_14" localSheetId="4">#REF!</definedName>
    <definedName name="sub_item_14" localSheetId="5">#REF!</definedName>
    <definedName name="sub_item_14" localSheetId="0">#REF!</definedName>
    <definedName name="sub_item_14" localSheetId="9">#REF!</definedName>
    <definedName name="sub_item_14" localSheetId="10">#REF!</definedName>
    <definedName name="sub_item_14" localSheetId="8">#REF!</definedName>
    <definedName name="sub_item_14">#REF!</definedName>
    <definedName name="sub_item_15" localSheetId="4">#REF!</definedName>
    <definedName name="sub_item_15" localSheetId="5">#REF!</definedName>
    <definedName name="sub_item_15" localSheetId="0">#REF!</definedName>
    <definedName name="sub_item_15" localSheetId="9">#REF!</definedName>
    <definedName name="sub_item_15" localSheetId="10">#REF!</definedName>
    <definedName name="sub_item_15" localSheetId="8">#REF!</definedName>
    <definedName name="sub_item_15">#REF!</definedName>
    <definedName name="sub_item_16" localSheetId="4">#REF!</definedName>
    <definedName name="sub_item_16" localSheetId="5">#REF!</definedName>
    <definedName name="sub_item_16" localSheetId="0">#REF!</definedName>
    <definedName name="sub_item_16" localSheetId="9">#REF!</definedName>
    <definedName name="sub_item_16" localSheetId="10">#REF!</definedName>
    <definedName name="sub_item_16" localSheetId="8">#REF!</definedName>
    <definedName name="sub_item_16">#REF!</definedName>
    <definedName name="sub_item_17" localSheetId="4">#REF!</definedName>
    <definedName name="sub_item_17" localSheetId="5">#REF!</definedName>
    <definedName name="sub_item_17" localSheetId="0">#REF!</definedName>
    <definedName name="sub_item_17" localSheetId="9">#REF!</definedName>
    <definedName name="sub_item_17" localSheetId="10">#REF!</definedName>
    <definedName name="sub_item_17" localSheetId="8">#REF!</definedName>
    <definedName name="sub_item_17">#REF!</definedName>
    <definedName name="sub_item_18" localSheetId="4">#REF!</definedName>
    <definedName name="sub_item_18" localSheetId="5">#REF!</definedName>
    <definedName name="sub_item_18" localSheetId="0">#REF!</definedName>
    <definedName name="sub_item_18" localSheetId="9">#REF!</definedName>
    <definedName name="sub_item_18" localSheetId="10">#REF!</definedName>
    <definedName name="sub_item_18" localSheetId="8">#REF!</definedName>
    <definedName name="sub_item_18">#REF!</definedName>
    <definedName name="sub_item_19" localSheetId="4">#REF!</definedName>
    <definedName name="sub_item_19" localSheetId="5">#REF!</definedName>
    <definedName name="sub_item_19" localSheetId="0">#REF!</definedName>
    <definedName name="sub_item_19" localSheetId="9">#REF!</definedName>
    <definedName name="sub_item_19" localSheetId="10">#REF!</definedName>
    <definedName name="sub_item_19" localSheetId="8">#REF!</definedName>
    <definedName name="sub_item_19">#REF!</definedName>
    <definedName name="sub_item_2" localSheetId="4">#REF!</definedName>
    <definedName name="sub_item_2" localSheetId="5">#REF!</definedName>
    <definedName name="sub_item_2" localSheetId="0">#REF!</definedName>
    <definedName name="sub_item_2" localSheetId="9">#REF!</definedName>
    <definedName name="sub_item_2" localSheetId="10">#REF!</definedName>
    <definedName name="sub_item_2" localSheetId="8">#REF!</definedName>
    <definedName name="sub_item_2">#REF!</definedName>
    <definedName name="sub_item_20" localSheetId="4">#REF!</definedName>
    <definedName name="sub_item_20" localSheetId="5">#REF!</definedName>
    <definedName name="sub_item_20" localSheetId="0">#REF!</definedName>
    <definedName name="sub_item_20" localSheetId="9">#REF!</definedName>
    <definedName name="sub_item_20" localSheetId="10">#REF!</definedName>
    <definedName name="sub_item_20" localSheetId="8">#REF!</definedName>
    <definedName name="sub_item_20">#REF!</definedName>
    <definedName name="sub_item_21" localSheetId="4">#REF!</definedName>
    <definedName name="sub_item_21" localSheetId="5">#REF!</definedName>
    <definedName name="sub_item_21" localSheetId="0">#REF!</definedName>
    <definedName name="sub_item_21" localSheetId="9">#REF!</definedName>
    <definedName name="sub_item_21" localSheetId="10">#REF!</definedName>
    <definedName name="sub_item_21" localSheetId="8">#REF!</definedName>
    <definedName name="sub_item_21">#REF!</definedName>
    <definedName name="sub_item_22" localSheetId="4">#REF!</definedName>
    <definedName name="sub_item_22" localSheetId="5">#REF!</definedName>
    <definedName name="sub_item_22" localSheetId="0">#REF!</definedName>
    <definedName name="sub_item_22" localSheetId="9">#REF!</definedName>
    <definedName name="sub_item_22" localSheetId="10">#REF!</definedName>
    <definedName name="sub_item_22" localSheetId="8">#REF!</definedName>
    <definedName name="sub_item_22">#REF!</definedName>
    <definedName name="sub_item_23" localSheetId="4">#REF!</definedName>
    <definedName name="sub_item_23" localSheetId="5">#REF!</definedName>
    <definedName name="sub_item_23" localSheetId="0">#REF!</definedName>
    <definedName name="sub_item_23" localSheetId="9">#REF!</definedName>
    <definedName name="sub_item_23" localSheetId="10">#REF!</definedName>
    <definedName name="sub_item_23" localSheetId="8">#REF!</definedName>
    <definedName name="sub_item_23">#REF!</definedName>
    <definedName name="sub_item_24" localSheetId="4">#REF!</definedName>
    <definedName name="sub_item_24" localSheetId="5">#REF!</definedName>
    <definedName name="sub_item_24" localSheetId="0">#REF!</definedName>
    <definedName name="sub_item_24" localSheetId="9">#REF!</definedName>
    <definedName name="sub_item_24" localSheetId="10">#REF!</definedName>
    <definedName name="sub_item_24" localSheetId="8">#REF!</definedName>
    <definedName name="sub_item_24">#REF!</definedName>
    <definedName name="sub_item_25" localSheetId="4">#REF!</definedName>
    <definedName name="sub_item_25" localSheetId="5">#REF!</definedName>
    <definedName name="sub_item_25" localSheetId="0">#REF!</definedName>
    <definedName name="sub_item_25" localSheetId="9">#REF!</definedName>
    <definedName name="sub_item_25" localSheetId="10">#REF!</definedName>
    <definedName name="sub_item_25" localSheetId="8">#REF!</definedName>
    <definedName name="sub_item_25">#REF!</definedName>
    <definedName name="sub_item_26" localSheetId="4">#REF!</definedName>
    <definedName name="sub_item_26" localSheetId="5">#REF!</definedName>
    <definedName name="sub_item_26" localSheetId="0">#REF!</definedName>
    <definedName name="sub_item_26" localSheetId="9">#REF!</definedName>
    <definedName name="sub_item_26" localSheetId="10">#REF!</definedName>
    <definedName name="sub_item_26" localSheetId="8">#REF!</definedName>
    <definedName name="sub_item_26">#REF!</definedName>
    <definedName name="sub_item_27" localSheetId="4">#REF!</definedName>
    <definedName name="sub_item_27" localSheetId="5">#REF!</definedName>
    <definedName name="sub_item_27" localSheetId="0">#REF!</definedName>
    <definedName name="sub_item_27" localSheetId="9">#REF!</definedName>
    <definedName name="sub_item_27" localSheetId="10">#REF!</definedName>
    <definedName name="sub_item_27" localSheetId="8">#REF!</definedName>
    <definedName name="sub_item_27">#REF!</definedName>
    <definedName name="sub_item_28" localSheetId="4">#REF!</definedName>
    <definedName name="sub_item_28" localSheetId="5">#REF!</definedName>
    <definedName name="sub_item_28" localSheetId="0">#REF!</definedName>
    <definedName name="sub_item_28" localSheetId="9">#REF!</definedName>
    <definedName name="sub_item_28" localSheetId="10">#REF!</definedName>
    <definedName name="sub_item_28" localSheetId="8">#REF!</definedName>
    <definedName name="sub_item_28">#REF!</definedName>
    <definedName name="sub_item_29" localSheetId="4">#REF!</definedName>
    <definedName name="sub_item_29" localSheetId="5">#REF!</definedName>
    <definedName name="sub_item_29" localSheetId="0">#REF!</definedName>
    <definedName name="sub_item_29" localSheetId="9">#REF!</definedName>
    <definedName name="sub_item_29" localSheetId="10">#REF!</definedName>
    <definedName name="sub_item_29" localSheetId="8">#REF!</definedName>
    <definedName name="sub_item_29">#REF!</definedName>
    <definedName name="sub_item_3" localSheetId="4">#REF!</definedName>
    <definedName name="sub_item_3" localSheetId="5">#REF!</definedName>
    <definedName name="sub_item_3" localSheetId="0">#REF!</definedName>
    <definedName name="sub_item_3" localSheetId="9">#REF!</definedName>
    <definedName name="sub_item_3" localSheetId="10">#REF!</definedName>
    <definedName name="sub_item_3" localSheetId="8">#REF!</definedName>
    <definedName name="sub_item_3">#REF!</definedName>
    <definedName name="sub_item_30" localSheetId="4">#REF!</definedName>
    <definedName name="sub_item_30" localSheetId="5">#REF!</definedName>
    <definedName name="sub_item_30" localSheetId="0">#REF!</definedName>
    <definedName name="sub_item_30" localSheetId="9">#REF!</definedName>
    <definedName name="sub_item_30" localSheetId="10">#REF!</definedName>
    <definedName name="sub_item_30" localSheetId="8">#REF!</definedName>
    <definedName name="sub_item_30">#REF!</definedName>
    <definedName name="sub_item_31" localSheetId="4">#REF!</definedName>
    <definedName name="sub_item_31" localSheetId="5">#REF!</definedName>
    <definedName name="sub_item_31" localSheetId="0">#REF!</definedName>
    <definedName name="sub_item_31" localSheetId="9">#REF!</definedName>
    <definedName name="sub_item_31" localSheetId="10">#REF!</definedName>
    <definedName name="sub_item_31" localSheetId="8">#REF!</definedName>
    <definedName name="sub_item_31">#REF!</definedName>
    <definedName name="sub_item_32" localSheetId="4">#REF!</definedName>
    <definedName name="sub_item_32" localSheetId="5">#REF!</definedName>
    <definedName name="sub_item_32" localSheetId="0">#REF!</definedName>
    <definedName name="sub_item_32" localSheetId="9">#REF!</definedName>
    <definedName name="sub_item_32" localSheetId="10">#REF!</definedName>
    <definedName name="sub_item_32" localSheetId="8">#REF!</definedName>
    <definedName name="sub_item_32">#REF!</definedName>
    <definedName name="sub_item_33" localSheetId="4">#REF!</definedName>
    <definedName name="sub_item_33" localSheetId="5">#REF!</definedName>
    <definedName name="sub_item_33" localSheetId="0">#REF!</definedName>
    <definedName name="sub_item_33" localSheetId="9">#REF!</definedName>
    <definedName name="sub_item_33" localSheetId="10">#REF!</definedName>
    <definedName name="sub_item_33" localSheetId="8">#REF!</definedName>
    <definedName name="sub_item_33">#REF!</definedName>
    <definedName name="sub_item_34" localSheetId="4">#REF!</definedName>
    <definedName name="sub_item_34" localSheetId="5">#REF!</definedName>
    <definedName name="sub_item_34" localSheetId="0">#REF!</definedName>
    <definedName name="sub_item_34" localSheetId="9">#REF!</definedName>
    <definedName name="sub_item_34" localSheetId="10">#REF!</definedName>
    <definedName name="sub_item_34" localSheetId="8">#REF!</definedName>
    <definedName name="sub_item_34">#REF!</definedName>
    <definedName name="sub_item_35" localSheetId="4">#REF!</definedName>
    <definedName name="sub_item_35" localSheetId="5">#REF!</definedName>
    <definedName name="sub_item_35" localSheetId="0">#REF!</definedName>
    <definedName name="sub_item_35" localSheetId="9">#REF!</definedName>
    <definedName name="sub_item_35" localSheetId="10">#REF!</definedName>
    <definedName name="sub_item_35" localSheetId="8">#REF!</definedName>
    <definedName name="sub_item_35">#REF!</definedName>
    <definedName name="sub_item_36" localSheetId="4">#REF!</definedName>
    <definedName name="sub_item_36" localSheetId="5">#REF!</definedName>
    <definedName name="sub_item_36" localSheetId="0">#REF!</definedName>
    <definedName name="sub_item_36" localSheetId="9">#REF!</definedName>
    <definedName name="sub_item_36" localSheetId="10">#REF!</definedName>
    <definedName name="sub_item_36" localSheetId="8">#REF!</definedName>
    <definedName name="sub_item_36">#REF!</definedName>
    <definedName name="sub_item_37" localSheetId="4">#REF!</definedName>
    <definedName name="sub_item_37" localSheetId="5">#REF!</definedName>
    <definedName name="sub_item_37" localSheetId="0">#REF!</definedName>
    <definedName name="sub_item_37" localSheetId="9">#REF!</definedName>
    <definedName name="sub_item_37" localSheetId="10">#REF!</definedName>
    <definedName name="sub_item_37" localSheetId="8">#REF!</definedName>
    <definedName name="sub_item_37">#REF!</definedName>
    <definedName name="sub_item_38" localSheetId="4">#REF!</definedName>
    <definedName name="sub_item_38" localSheetId="5">#REF!</definedName>
    <definedName name="sub_item_38" localSheetId="0">#REF!</definedName>
    <definedName name="sub_item_38" localSheetId="9">#REF!</definedName>
    <definedName name="sub_item_38" localSheetId="10">#REF!</definedName>
    <definedName name="sub_item_38" localSheetId="8">#REF!</definedName>
    <definedName name="sub_item_38">#REF!</definedName>
    <definedName name="sub_item_39" localSheetId="4">#REF!</definedName>
    <definedName name="sub_item_39" localSheetId="5">#REF!</definedName>
    <definedName name="sub_item_39" localSheetId="0">#REF!</definedName>
    <definedName name="sub_item_39" localSheetId="9">#REF!</definedName>
    <definedName name="sub_item_39" localSheetId="10">#REF!</definedName>
    <definedName name="sub_item_39" localSheetId="8">#REF!</definedName>
    <definedName name="sub_item_39">#REF!</definedName>
    <definedName name="sub_item_4" localSheetId="4">#REF!</definedName>
    <definedName name="sub_item_4" localSheetId="5">#REF!</definedName>
    <definedName name="sub_item_4" localSheetId="0">#REF!</definedName>
    <definedName name="sub_item_4" localSheetId="9">#REF!</definedName>
    <definedName name="sub_item_4" localSheetId="10">#REF!</definedName>
    <definedName name="sub_item_4" localSheetId="8">#REF!</definedName>
    <definedName name="sub_item_4">#REF!</definedName>
    <definedName name="sub_item_40" localSheetId="4">#REF!</definedName>
    <definedName name="sub_item_40" localSheetId="5">#REF!</definedName>
    <definedName name="sub_item_40" localSheetId="0">#REF!</definedName>
    <definedName name="sub_item_40" localSheetId="9">#REF!</definedName>
    <definedName name="sub_item_40" localSheetId="10">#REF!</definedName>
    <definedName name="sub_item_40" localSheetId="8">#REF!</definedName>
    <definedName name="sub_item_40">#REF!</definedName>
    <definedName name="sub_item_41" localSheetId="4">#REF!</definedName>
    <definedName name="sub_item_41" localSheetId="5">#REF!</definedName>
    <definedName name="sub_item_41" localSheetId="0">#REF!</definedName>
    <definedName name="sub_item_41" localSheetId="9">#REF!</definedName>
    <definedName name="sub_item_41" localSheetId="10">#REF!</definedName>
    <definedName name="sub_item_41" localSheetId="8">#REF!</definedName>
    <definedName name="sub_item_41">#REF!</definedName>
    <definedName name="sub_item_42" localSheetId="4">#REF!</definedName>
    <definedName name="sub_item_42" localSheetId="5">#REF!</definedName>
    <definedName name="sub_item_42" localSheetId="0">#REF!</definedName>
    <definedName name="sub_item_42" localSheetId="9">#REF!</definedName>
    <definedName name="sub_item_42" localSheetId="10">#REF!</definedName>
    <definedName name="sub_item_42" localSheetId="8">#REF!</definedName>
    <definedName name="sub_item_42">#REF!</definedName>
    <definedName name="sub_item_43" localSheetId="4">#REF!</definedName>
    <definedName name="sub_item_43" localSheetId="5">#REF!</definedName>
    <definedName name="sub_item_43" localSheetId="0">#REF!</definedName>
    <definedName name="sub_item_43" localSheetId="9">#REF!</definedName>
    <definedName name="sub_item_43" localSheetId="10">#REF!</definedName>
    <definedName name="sub_item_43" localSheetId="8">#REF!</definedName>
    <definedName name="sub_item_43">#REF!</definedName>
    <definedName name="sub_item_44" localSheetId="4">#REF!</definedName>
    <definedName name="sub_item_44" localSheetId="5">#REF!</definedName>
    <definedName name="sub_item_44" localSheetId="0">#REF!</definedName>
    <definedName name="sub_item_44" localSheetId="9">#REF!</definedName>
    <definedName name="sub_item_44" localSheetId="10">#REF!</definedName>
    <definedName name="sub_item_44" localSheetId="8">#REF!</definedName>
    <definedName name="sub_item_44">#REF!</definedName>
    <definedName name="sub_item_45" localSheetId="4">#REF!</definedName>
    <definedName name="sub_item_45" localSheetId="5">#REF!</definedName>
    <definedName name="sub_item_45" localSheetId="0">#REF!</definedName>
    <definedName name="sub_item_45" localSheetId="9">#REF!</definedName>
    <definedName name="sub_item_45" localSheetId="10">#REF!</definedName>
    <definedName name="sub_item_45" localSheetId="8">#REF!</definedName>
    <definedName name="sub_item_45">#REF!</definedName>
    <definedName name="sub_item_5" localSheetId="4">#REF!</definedName>
    <definedName name="sub_item_5" localSheetId="5">#REF!</definedName>
    <definedName name="sub_item_5" localSheetId="0">#REF!</definedName>
    <definedName name="sub_item_5" localSheetId="9">#REF!</definedName>
    <definedName name="sub_item_5" localSheetId="10">#REF!</definedName>
    <definedName name="sub_item_5" localSheetId="8">#REF!</definedName>
    <definedName name="sub_item_5">#REF!</definedName>
    <definedName name="sub_item_6" localSheetId="4">#REF!</definedName>
    <definedName name="sub_item_6" localSheetId="5">#REF!</definedName>
    <definedName name="sub_item_6" localSheetId="0">#REF!</definedName>
    <definedName name="sub_item_6" localSheetId="9">#REF!</definedName>
    <definedName name="sub_item_6" localSheetId="10">#REF!</definedName>
    <definedName name="sub_item_6" localSheetId="8">#REF!</definedName>
    <definedName name="sub_item_6">#REF!</definedName>
    <definedName name="sub_item_7" localSheetId="4">#REF!</definedName>
    <definedName name="sub_item_7" localSheetId="5">#REF!</definedName>
    <definedName name="sub_item_7" localSheetId="0">#REF!</definedName>
    <definedName name="sub_item_7" localSheetId="9">#REF!</definedName>
    <definedName name="sub_item_7" localSheetId="10">#REF!</definedName>
    <definedName name="sub_item_7" localSheetId="8">#REF!</definedName>
    <definedName name="sub_item_7">#REF!</definedName>
    <definedName name="sub_item_8" localSheetId="4">#REF!</definedName>
    <definedName name="sub_item_8" localSheetId="5">#REF!</definedName>
    <definedName name="sub_item_8" localSheetId="0">#REF!</definedName>
    <definedName name="sub_item_8" localSheetId="9">#REF!</definedName>
    <definedName name="sub_item_8" localSheetId="10">#REF!</definedName>
    <definedName name="sub_item_8" localSheetId="8">#REF!</definedName>
    <definedName name="sub_item_8">#REF!</definedName>
    <definedName name="sub_item_9" localSheetId="4">#REF!</definedName>
    <definedName name="sub_item_9" localSheetId="5">#REF!</definedName>
    <definedName name="sub_item_9" localSheetId="0">#REF!</definedName>
    <definedName name="sub_item_9" localSheetId="9">#REF!</definedName>
    <definedName name="sub_item_9" localSheetId="10">#REF!</definedName>
    <definedName name="sub_item_9" localSheetId="8">#REF!</definedName>
    <definedName name="sub_item_9">#REF!</definedName>
    <definedName name="switch" localSheetId="4">#REF!</definedName>
    <definedName name="switch" localSheetId="5">#REF!</definedName>
    <definedName name="switch" localSheetId="0">#REF!</definedName>
    <definedName name="switch" localSheetId="9">#REF!</definedName>
    <definedName name="switch" localSheetId="10">#REF!</definedName>
    <definedName name="switch" localSheetId="8">#REF!</definedName>
    <definedName name="switch">#REF!</definedName>
    <definedName name="T" localSheetId="5">#REF!</definedName>
    <definedName name="T" localSheetId="0">#REF!</definedName>
    <definedName name="T" localSheetId="9">#REF!</definedName>
    <definedName name="T" localSheetId="15">#REF!</definedName>
    <definedName name="T" localSheetId="10">#REF!</definedName>
    <definedName name="T" localSheetId="8">#REF!</definedName>
    <definedName name="T">#REF!</definedName>
    <definedName name="teste">"$#REF!.$A$1:$B$3278"</definedName>
    <definedName name="_xlnm.Print_Titles" localSheetId="16">CPU!$1:$11</definedName>
    <definedName name="_xlnm.Print_Titles" localSheetId="9">CRONO_FASES!$B:$D,CRONO_FASES!$1:$9</definedName>
    <definedName name="_xlnm.Print_Titles" localSheetId="7">CRONOGRAMA!$B:$C,CRONOGRAMA!$1:$10</definedName>
    <definedName name="_xlnm.Print_Titles" localSheetId="15">'CURVA ABC'!$1:$10</definedName>
    <definedName name="_xlnm.Print_Titles" localSheetId="10">ORC!$1:$10</definedName>
    <definedName name="TOTAL_ACU_REF" localSheetId="4">#REF!</definedName>
    <definedName name="TOTAL_ACU_REF" localSheetId="5">#REF!</definedName>
    <definedName name="TOTAL_ACU_REF" localSheetId="0">#REF!</definedName>
    <definedName name="TOTAL_ACU_REF" localSheetId="9">#REF!</definedName>
    <definedName name="TOTAL_ACU_REF" localSheetId="10">#REF!</definedName>
    <definedName name="TOTAL_ACU_REF" localSheetId="8">#REF!</definedName>
    <definedName name="TOTAL_ACU_REF">#REF!</definedName>
    <definedName name="TOTAL_ADD" localSheetId="4">#REF!</definedName>
    <definedName name="TOTAL_ADD" localSheetId="5">#REF!</definedName>
    <definedName name="TOTAL_ADD" localSheetId="0">#REF!</definedName>
    <definedName name="TOTAL_ADD" localSheetId="9">#REF!</definedName>
    <definedName name="TOTAL_ADD" localSheetId="10">#REF!</definedName>
    <definedName name="TOTAL_ADD" localSheetId="8">#REF!</definedName>
    <definedName name="TOTAL_ADD">#REF!</definedName>
    <definedName name="TOTAL_ADD_ACU" localSheetId="4">#REF!</definedName>
    <definedName name="TOTAL_ADD_ACU" localSheetId="5">#REF!</definedName>
    <definedName name="TOTAL_ADD_ACU" localSheetId="0">#REF!</definedName>
    <definedName name="TOTAL_ADD_ACU" localSheetId="9">#REF!</definedName>
    <definedName name="TOTAL_ADD_ACU" localSheetId="10">#REF!</definedName>
    <definedName name="TOTAL_ADD_ACU" localSheetId="8">#REF!</definedName>
    <definedName name="TOTAL_ADD_ACU">#REF!</definedName>
    <definedName name="TOTAL_REF" localSheetId="4">#REF!</definedName>
    <definedName name="TOTAL_REF" localSheetId="5">#REF!</definedName>
    <definedName name="TOTAL_REF" localSheetId="0">#REF!</definedName>
    <definedName name="TOTAL_REF" localSheetId="9">#REF!</definedName>
    <definedName name="TOTAL_REF" localSheetId="10">#REF!</definedName>
    <definedName name="TOTAL_REF" localSheetId="8">#REF!</definedName>
    <definedName name="TOTAL_REF">#REF!</definedName>
    <definedName name="TOTAL_RES" localSheetId="4">#REF!</definedName>
    <definedName name="TOTAL_RES" localSheetId="5">#REF!</definedName>
    <definedName name="TOTAL_RES" localSheetId="0">#REF!</definedName>
    <definedName name="TOTAL_RES" localSheetId="9">#REF!</definedName>
    <definedName name="TOTAL_RES" localSheetId="10">#REF!</definedName>
    <definedName name="TOTAL_RES" localSheetId="8">#REF!</definedName>
    <definedName name="TOTAL_RES">#REF!</definedName>
    <definedName name="TOTAL_RES_ACU" localSheetId="4">#REF!</definedName>
    <definedName name="TOTAL_RES_ACU" localSheetId="5">#REF!</definedName>
    <definedName name="TOTAL_RES_ACU" localSheetId="0">#REF!</definedName>
    <definedName name="TOTAL_RES_ACU" localSheetId="9">#REF!</definedName>
    <definedName name="TOTAL_RES_ACU" localSheetId="10">#REF!</definedName>
    <definedName name="TOTAL_RES_ACU" localSheetId="8">#REF!</definedName>
    <definedName name="TOTAL_RES_ACU">#REF!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93" i="47" l="1"/>
  <c r="I195" i="47"/>
  <c r="I194" i="47"/>
  <c r="K121" i="40" l="1"/>
  <c r="K144" i="40"/>
  <c r="K139" i="40"/>
  <c r="K94" i="40"/>
  <c r="K70" i="40"/>
  <c r="K111" i="40"/>
  <c r="K76" i="40"/>
  <c r="K262" i="40"/>
  <c r="K244" i="40"/>
  <c r="K253" i="40"/>
  <c r="K279" i="40"/>
  <c r="K37" i="40"/>
  <c r="K143" i="40"/>
  <c r="K97" i="40"/>
  <c r="K63" i="40"/>
  <c r="K217" i="40"/>
  <c r="K269" i="40"/>
  <c r="K201" i="40"/>
  <c r="K183" i="40"/>
  <c r="K296" i="40"/>
  <c r="K125" i="40"/>
  <c r="K248" i="40"/>
  <c r="K243" i="40"/>
  <c r="K242" i="40"/>
  <c r="K270" i="40"/>
  <c r="K66" i="40"/>
  <c r="K169" i="40"/>
  <c r="K199" i="40"/>
  <c r="K272" i="40"/>
  <c r="K133" i="40"/>
  <c r="K26" i="40"/>
  <c r="K251" i="40"/>
  <c r="K82" i="40"/>
  <c r="K273" i="40"/>
  <c r="K179" i="40"/>
  <c r="K186" i="40"/>
  <c r="K304" i="40"/>
  <c r="K265" i="40"/>
  <c r="K246" i="40"/>
  <c r="K178" i="40"/>
  <c r="K127" i="40"/>
  <c r="K59" i="40"/>
  <c r="K168" i="40"/>
  <c r="K190" i="40"/>
  <c r="K207" i="40"/>
  <c r="K154" i="40"/>
  <c r="K185" i="40"/>
  <c r="K174" i="40"/>
  <c r="K74" i="40"/>
  <c r="K115" i="40"/>
  <c r="K92" i="40"/>
  <c r="K158" i="40"/>
  <c r="K61" i="40"/>
  <c r="K110" i="40"/>
  <c r="K120" i="40"/>
  <c r="K140" i="40"/>
  <c r="K118" i="40"/>
  <c r="K205" i="40"/>
  <c r="K160" i="40"/>
  <c r="K134" i="40"/>
  <c r="K123" i="40"/>
  <c r="K241" i="40"/>
  <c r="K41" i="40"/>
  <c r="K278" i="40"/>
  <c r="K266" i="40"/>
  <c r="K276" i="40"/>
  <c r="K231" i="40"/>
  <c r="K214" i="40"/>
  <c r="K98" i="40"/>
  <c r="K228" i="40"/>
  <c r="K102" i="40"/>
  <c r="K60" i="40"/>
  <c r="K292" i="40"/>
  <c r="K219" i="40"/>
  <c r="K166" i="40"/>
  <c r="K224" i="40"/>
  <c r="K286" i="40"/>
  <c r="K212" i="40"/>
  <c r="K69" i="40"/>
  <c r="K52" i="40"/>
  <c r="K197" i="40"/>
  <c r="K218" i="40"/>
  <c r="K249" i="40"/>
  <c r="K274" i="40"/>
  <c r="K114" i="40"/>
  <c r="K105" i="40"/>
  <c r="K141" i="40"/>
  <c r="K196" i="40"/>
  <c r="K128" i="40"/>
  <c r="K206" i="40"/>
  <c r="K277" i="40"/>
  <c r="K78" i="40"/>
  <c r="K58" i="40"/>
  <c r="K19" i="40"/>
  <c r="K73" i="40"/>
  <c r="K261" i="40"/>
  <c r="K198" i="40"/>
  <c r="K233" i="40"/>
  <c r="K162" i="40"/>
  <c r="K79" i="40"/>
  <c r="K132" i="40"/>
  <c r="K22" i="40"/>
  <c r="K24" i="40"/>
  <c r="K303" i="40"/>
  <c r="K230" i="40"/>
  <c r="K126" i="40"/>
  <c r="K176" i="40"/>
  <c r="K223" i="40"/>
  <c r="K84" i="40"/>
  <c r="K191" i="40"/>
  <c r="K54" i="40"/>
  <c r="K104" i="40"/>
  <c r="K57" i="40"/>
  <c r="K50" i="40"/>
  <c r="K193" i="40"/>
  <c r="K177" i="40"/>
  <c r="K81" i="40"/>
  <c r="K72" i="40"/>
  <c r="K34" i="40"/>
  <c r="K302" i="40"/>
  <c r="K130" i="40"/>
  <c r="K291" i="40"/>
  <c r="K238" i="40"/>
  <c r="K33" i="40"/>
  <c r="K86" i="40"/>
  <c r="K25" i="40"/>
  <c r="K112" i="40"/>
  <c r="K103" i="40"/>
  <c r="K301" i="40"/>
  <c r="K156" i="40"/>
  <c r="K235" i="40"/>
  <c r="K147" i="40"/>
  <c r="K51" i="40"/>
  <c r="K35" i="40"/>
  <c r="K38" i="40"/>
  <c r="K146" i="40"/>
  <c r="K116" i="40"/>
  <c r="K295" i="40"/>
  <c r="K290" i="40"/>
  <c r="K100" i="40"/>
  <c r="K195" i="40"/>
  <c r="K284" i="40"/>
  <c r="K307" i="40"/>
  <c r="K306" i="40"/>
  <c r="K96" i="40"/>
  <c r="K280" i="40"/>
  <c r="K283" i="40"/>
  <c r="K209" i="40"/>
  <c r="J53" i="55"/>
  <c r="N858" i="47"/>
  <c r="L858" i="47"/>
  <c r="K858" i="47"/>
  <c r="J858" i="47"/>
  <c r="H858" i="47"/>
  <c r="G858" i="47"/>
  <c r="C858" i="47"/>
  <c r="N857" i="47"/>
  <c r="L857" i="47"/>
  <c r="K857" i="47"/>
  <c r="J857" i="47"/>
  <c r="H857" i="47"/>
  <c r="G857" i="47"/>
  <c r="C857" i="47"/>
  <c r="N856" i="47"/>
  <c r="L856" i="47"/>
  <c r="K856" i="47"/>
  <c r="J856" i="47"/>
  <c r="H856" i="47"/>
  <c r="G856" i="47"/>
  <c r="C856" i="47"/>
  <c r="B855" i="47"/>
  <c r="B856" i="47" s="1"/>
  <c r="B857" i="47" s="1"/>
  <c r="B858" i="47" s="1"/>
  <c r="L855" i="47" l="1"/>
  <c r="M856" i="47"/>
  <c r="M858" i="47"/>
  <c r="K855" i="47"/>
  <c r="M857" i="47"/>
  <c r="M855" i="47" l="1"/>
  <c r="N417" i="47" l="1"/>
  <c r="L417" i="47"/>
  <c r="K417" i="47"/>
  <c r="J417" i="47"/>
  <c r="H417" i="47"/>
  <c r="G417" i="47"/>
  <c r="C417" i="47"/>
  <c r="B416" i="47"/>
  <c r="B417" i="47" s="1"/>
  <c r="Q50" i="55"/>
  <c r="M417" i="47" l="1"/>
  <c r="L416" i="47"/>
  <c r="K416" i="47"/>
  <c r="M416" i="47" l="1"/>
  <c r="J23" i="55"/>
  <c r="H718" i="53"/>
  <c r="L718" i="53"/>
  <c r="L776" i="47"/>
  <c r="K776" i="47"/>
  <c r="J776" i="47"/>
  <c r="H776" i="47"/>
  <c r="G776" i="47"/>
  <c r="C776" i="47"/>
  <c r="N775" i="47"/>
  <c r="L775" i="47"/>
  <c r="K775" i="47"/>
  <c r="J775" i="47"/>
  <c r="H775" i="47"/>
  <c r="G775" i="47"/>
  <c r="C775" i="47"/>
  <c r="N774" i="47"/>
  <c r="L774" i="47"/>
  <c r="K774" i="47"/>
  <c r="J774" i="47"/>
  <c r="H774" i="47"/>
  <c r="G774" i="47"/>
  <c r="C774" i="47"/>
  <c r="B773" i="47"/>
  <c r="B774" i="47" s="1"/>
  <c r="B775" i="47" s="1"/>
  <c r="B776" i="47" s="1"/>
  <c r="B718" i="53" s="1"/>
  <c r="L710" i="53"/>
  <c r="J827" i="47" s="1"/>
  <c r="N829" i="47"/>
  <c r="L829" i="47"/>
  <c r="K829" i="47"/>
  <c r="J829" i="47"/>
  <c r="H829" i="47"/>
  <c r="G829" i="47"/>
  <c r="C829" i="47"/>
  <c r="N828" i="47"/>
  <c r="L828" i="47"/>
  <c r="K828" i="47"/>
  <c r="J828" i="47"/>
  <c r="H828" i="47"/>
  <c r="G828" i="47"/>
  <c r="C828" i="47"/>
  <c r="L827" i="47"/>
  <c r="K827" i="47"/>
  <c r="H827" i="47"/>
  <c r="G827" i="47"/>
  <c r="C827" i="47"/>
  <c r="B826" i="47"/>
  <c r="B827" i="47" s="1"/>
  <c r="B828" i="47" s="1"/>
  <c r="B829" i="47" s="1"/>
  <c r="L702" i="53"/>
  <c r="K770" i="47" s="1"/>
  <c r="N772" i="47"/>
  <c r="L772" i="47"/>
  <c r="K772" i="47"/>
  <c r="J772" i="47"/>
  <c r="H772" i="47"/>
  <c r="G772" i="47"/>
  <c r="C772" i="47"/>
  <c r="N771" i="47"/>
  <c r="L771" i="47"/>
  <c r="K771" i="47"/>
  <c r="J771" i="47"/>
  <c r="H771" i="47"/>
  <c r="G771" i="47"/>
  <c r="C771" i="47"/>
  <c r="L770" i="47"/>
  <c r="H770" i="47"/>
  <c r="G770" i="47"/>
  <c r="C770" i="47"/>
  <c r="B769" i="47"/>
  <c r="B770" i="47" s="1"/>
  <c r="B771" i="47" s="1"/>
  <c r="B772" i="47" s="1"/>
  <c r="K372" i="55"/>
  <c r="I372" i="55"/>
  <c r="H372" i="55"/>
  <c r="K371" i="55"/>
  <c r="I371" i="55"/>
  <c r="H371" i="55"/>
  <c r="K370" i="55"/>
  <c r="I370" i="55"/>
  <c r="H370" i="55"/>
  <c r="D367" i="55"/>
  <c r="D368" i="55" s="1"/>
  <c r="D369" i="55" s="1"/>
  <c r="D370" i="55" s="1"/>
  <c r="D371" i="55" s="1"/>
  <c r="D372" i="55" s="1"/>
  <c r="C366" i="55"/>
  <c r="C367" i="55" s="1"/>
  <c r="M776" i="47" l="1"/>
  <c r="M774" i="47"/>
  <c r="L773" i="47"/>
  <c r="K773" i="47"/>
  <c r="M775" i="47"/>
  <c r="M828" i="47"/>
  <c r="B710" i="53"/>
  <c r="B702" i="53"/>
  <c r="M771" i="47"/>
  <c r="J770" i="47"/>
  <c r="L826" i="47"/>
  <c r="M827" i="47"/>
  <c r="M829" i="47"/>
  <c r="K826" i="47"/>
  <c r="M772" i="47"/>
  <c r="M770" i="47"/>
  <c r="L769" i="47"/>
  <c r="K769" i="47"/>
  <c r="C368" i="55"/>
  <c r="E367" i="55"/>
  <c r="M773" i="47" l="1"/>
  <c r="M826" i="47"/>
  <c r="M769" i="47"/>
  <c r="C369" i="55"/>
  <c r="E368" i="55"/>
  <c r="C370" i="55" l="1"/>
  <c r="E369" i="55"/>
  <c r="C371" i="55" l="1"/>
  <c r="E370" i="55"/>
  <c r="C372" i="55" l="1"/>
  <c r="E371" i="55"/>
  <c r="E372" i="55" l="1"/>
  <c r="C39" i="21" l="1"/>
  <c r="C37" i="56"/>
  <c r="J805" i="53"/>
  <c r="J61" i="55"/>
  <c r="Q42" i="55"/>
  <c r="D38" i="55" l="1"/>
  <c r="D39" i="55" s="1"/>
  <c r="H805" i="53" l="1"/>
  <c r="J74" i="53"/>
  <c r="J72" i="53"/>
  <c r="J68" i="53"/>
  <c r="J66" i="53"/>
  <c r="J61" i="53"/>
  <c r="J56" i="53"/>
  <c r="J54" i="53"/>
  <c r="J52" i="53"/>
  <c r="I145" i="53"/>
  <c r="J85" i="53"/>
  <c r="I214" i="53"/>
  <c r="I213" i="53"/>
  <c r="I212" i="53"/>
  <c r="I211" i="53"/>
  <c r="H215" i="53"/>
  <c r="H214" i="53"/>
  <c r="H213" i="53"/>
  <c r="H212" i="53"/>
  <c r="H211" i="53"/>
  <c r="H162" i="53" l="1"/>
  <c r="J34" i="55"/>
  <c r="J29" i="55" l="1"/>
  <c r="J30" i="55" s="1"/>
  <c r="D23" i="55"/>
  <c r="N13" i="47"/>
  <c r="L13" i="47"/>
  <c r="K13" i="47"/>
  <c r="J13" i="47"/>
  <c r="H13" i="47"/>
  <c r="G13" i="47"/>
  <c r="C13" i="47"/>
  <c r="B12" i="47"/>
  <c r="B13" i="47" s="1"/>
  <c r="M13" i="47" l="1"/>
  <c r="L12" i="47"/>
  <c r="K12" i="47"/>
  <c r="M12" i="47" l="1"/>
  <c r="L839" i="53" l="1"/>
  <c r="L831" i="53"/>
  <c r="L830" i="53"/>
  <c r="L822" i="53"/>
  <c r="L814" i="53"/>
  <c r="L797" i="53"/>
  <c r="L796" i="53"/>
  <c r="L795" i="53"/>
  <c r="L792" i="53"/>
  <c r="L790" i="53"/>
  <c r="L789" i="53"/>
  <c r="L787" i="53"/>
  <c r="L785" i="53"/>
  <c r="L784" i="53"/>
  <c r="L783" i="53"/>
  <c r="L775" i="53"/>
  <c r="L766" i="53"/>
  <c r="L758" i="53"/>
  <c r="L742" i="53"/>
  <c r="L734" i="53"/>
  <c r="L726" i="53"/>
  <c r="L694" i="53"/>
  <c r="L693" i="53"/>
  <c r="L677" i="53"/>
  <c r="L669" i="53"/>
  <c r="L661" i="53"/>
  <c r="L653" i="53"/>
  <c r="L645" i="53"/>
  <c r="L637" i="53"/>
  <c r="L629" i="53"/>
  <c r="L621" i="53"/>
  <c r="L589" i="53"/>
  <c r="L581" i="53"/>
  <c r="L573" i="53"/>
  <c r="L565" i="53"/>
  <c r="L557" i="53"/>
  <c r="L549" i="53"/>
  <c r="L541" i="53"/>
  <c r="L533" i="53"/>
  <c r="L525" i="53"/>
  <c r="L517" i="53"/>
  <c r="L509" i="53"/>
  <c r="L501" i="53"/>
  <c r="L493" i="53"/>
  <c r="L485" i="53"/>
  <c r="L477" i="53"/>
  <c r="L469" i="53"/>
  <c r="L453" i="53"/>
  <c r="L452" i="53"/>
  <c r="L451" i="53"/>
  <c r="L450" i="53"/>
  <c r="L449" i="53"/>
  <c r="L440" i="53"/>
  <c r="L432" i="53"/>
  <c r="L424" i="53"/>
  <c r="L416" i="53"/>
  <c r="L408" i="53"/>
  <c r="L400" i="53"/>
  <c r="L392" i="53"/>
  <c r="L384" i="53"/>
  <c r="L376" i="53"/>
  <c r="L360" i="53"/>
  <c r="L336" i="53"/>
  <c r="L328" i="53"/>
  <c r="L320" i="53"/>
  <c r="L312" i="53"/>
  <c r="L304" i="53"/>
  <c r="L296" i="53"/>
  <c r="L288" i="53"/>
  <c r="L280" i="53"/>
  <c r="L271" i="53"/>
  <c r="L263" i="53"/>
  <c r="L255" i="53"/>
  <c r="L247" i="53"/>
  <c r="L239" i="53"/>
  <c r="L231" i="53"/>
  <c r="L223" i="53"/>
  <c r="L195" i="53"/>
  <c r="L187" i="53"/>
  <c r="L153" i="53"/>
  <c r="L145" i="53"/>
  <c r="L129" i="53"/>
  <c r="L112" i="53"/>
  <c r="L104" i="53"/>
  <c r="L87" i="53"/>
  <c r="L86" i="53"/>
  <c r="L84" i="53"/>
  <c r="L11" i="53"/>
  <c r="L19" i="53"/>
  <c r="L27" i="53"/>
  <c r="L35" i="53"/>
  <c r="L43" i="53"/>
  <c r="L70" i="53"/>
  <c r="L71" i="53"/>
  <c r="L75" i="53"/>
  <c r="L76" i="53"/>
  <c r="L67" i="53"/>
  <c r="L69" i="53"/>
  <c r="L215" i="53"/>
  <c r="J597" i="53"/>
  <c r="I597" i="53"/>
  <c r="H597" i="53"/>
  <c r="J605" i="53"/>
  <c r="L605" i="53" s="1"/>
  <c r="I685" i="53"/>
  <c r="H685" i="53"/>
  <c r="H613" i="53"/>
  <c r="L613" i="53" s="1"/>
  <c r="L642" i="47"/>
  <c r="H642" i="47"/>
  <c r="G642" i="47"/>
  <c r="C642" i="47"/>
  <c r="L637" i="47"/>
  <c r="H637" i="47"/>
  <c r="G637" i="47"/>
  <c r="C637" i="47"/>
  <c r="J368" i="53"/>
  <c r="I368" i="53"/>
  <c r="H368" i="53"/>
  <c r="L368" i="53" s="1"/>
  <c r="L685" i="53" l="1"/>
  <c r="L597" i="53"/>
  <c r="L51" i="53"/>
  <c r="I179" i="53"/>
  <c r="L179" i="53" s="1"/>
  <c r="I61" i="53"/>
  <c r="I74" i="53"/>
  <c r="I72" i="53"/>
  <c r="I68" i="53"/>
  <c r="I66" i="53"/>
  <c r="I60" i="53"/>
  <c r="I59" i="53"/>
  <c r="I58" i="53"/>
  <c r="I57" i="53"/>
  <c r="I55" i="53"/>
  <c r="I54" i="53" s="1"/>
  <c r="I53" i="53"/>
  <c r="I52" i="53" s="1"/>
  <c r="K637" i="47" l="1"/>
  <c r="M637" i="47" s="1"/>
  <c r="J637" i="47"/>
  <c r="K642" i="47"/>
  <c r="M642" i="47" s="1"/>
  <c r="J642" i="47"/>
  <c r="I56" i="53"/>
  <c r="L214" i="53"/>
  <c r="L213" i="53"/>
  <c r="L212" i="53"/>
  <c r="L211" i="53"/>
  <c r="G682" i="47"/>
  <c r="G614" i="47"/>
  <c r="G613" i="47"/>
  <c r="G609" i="47"/>
  <c r="G678" i="47"/>
  <c r="G605" i="47"/>
  <c r="H823" i="47"/>
  <c r="G823" i="47"/>
  <c r="H819" i="47"/>
  <c r="G819" i="47"/>
  <c r="H814" i="47"/>
  <c r="G814" i="47"/>
  <c r="H809" i="47"/>
  <c r="G809" i="47"/>
  <c r="H804" i="47"/>
  <c r="G804" i="47"/>
  <c r="H799" i="47"/>
  <c r="G799" i="47"/>
  <c r="H794" i="47"/>
  <c r="G794" i="47"/>
  <c r="H792" i="47"/>
  <c r="G792" i="47"/>
  <c r="G593" i="47"/>
  <c r="G592" i="47"/>
  <c r="G556" i="47"/>
  <c r="G643" i="47"/>
  <c r="G638" i="47"/>
  <c r="L783" i="47"/>
  <c r="H783" i="47"/>
  <c r="G783" i="47"/>
  <c r="K783" i="47"/>
  <c r="L780" i="47"/>
  <c r="H780" i="47"/>
  <c r="G780" i="47"/>
  <c r="K780" i="47"/>
  <c r="B960" i="47"/>
  <c r="B961" i="47" s="1"/>
  <c r="B955" i="47"/>
  <c r="B956" i="47" s="1"/>
  <c r="B957" i="47" s="1"/>
  <c r="B958" i="47" s="1"/>
  <c r="B959" i="47" s="1"/>
  <c r="B953" i="47"/>
  <c r="B954" i="47" s="1"/>
  <c r="B941" i="47"/>
  <c r="B942" i="47" s="1"/>
  <c r="B943" i="47" s="1"/>
  <c r="B944" i="47" s="1"/>
  <c r="B945" i="47" s="1"/>
  <c r="B946" i="47" s="1"/>
  <c r="B947" i="47" s="1"/>
  <c r="B948" i="47" s="1"/>
  <c r="B949" i="47" s="1"/>
  <c r="B950" i="47" s="1"/>
  <c r="B935" i="47"/>
  <c r="B936" i="47" s="1"/>
  <c r="B937" i="47" s="1"/>
  <c r="B938" i="47" s="1"/>
  <c r="B939" i="47" s="1"/>
  <c r="B940" i="47" s="1"/>
  <c r="B929" i="47"/>
  <c r="B930" i="47" s="1"/>
  <c r="B931" i="47" s="1"/>
  <c r="B932" i="47" s="1"/>
  <c r="B933" i="47" s="1"/>
  <c r="B934" i="47" s="1"/>
  <c r="B926" i="47"/>
  <c r="B927" i="47" s="1"/>
  <c r="B928" i="47" s="1"/>
  <c r="B922" i="47"/>
  <c r="B923" i="47" s="1"/>
  <c r="B924" i="47" s="1"/>
  <c r="B920" i="47"/>
  <c r="B921" i="47" s="1"/>
  <c r="B918" i="47"/>
  <c r="B919" i="47" s="1"/>
  <c r="B916" i="47"/>
  <c r="B917" i="47" s="1"/>
  <c r="B914" i="47"/>
  <c r="B915" i="47" s="1"/>
  <c r="B912" i="47"/>
  <c r="B913" i="47" s="1"/>
  <c r="B910" i="47"/>
  <c r="B911" i="47" s="1"/>
  <c r="B908" i="47"/>
  <c r="B909" i="47" s="1"/>
  <c r="B906" i="47"/>
  <c r="B907" i="47" s="1"/>
  <c r="B904" i="47"/>
  <c r="B905" i="47" s="1"/>
  <c r="B902" i="47"/>
  <c r="B903" i="47" s="1"/>
  <c r="B900" i="47"/>
  <c r="B901" i="47" s="1"/>
  <c r="B898" i="47"/>
  <c r="B899" i="47" s="1"/>
  <c r="B896" i="47"/>
  <c r="B897" i="47" s="1"/>
  <c r="B894" i="47"/>
  <c r="B895" i="47" s="1"/>
  <c r="B892" i="47"/>
  <c r="B893" i="47" s="1"/>
  <c r="B884" i="47"/>
  <c r="B885" i="47" s="1"/>
  <c r="B886" i="47" s="1"/>
  <c r="B887" i="47" s="1"/>
  <c r="B888" i="47" s="1"/>
  <c r="B889" i="47" s="1"/>
  <c r="B890" i="47" s="1"/>
  <c r="B880" i="47"/>
  <c r="B881" i="47" s="1"/>
  <c r="B882" i="47" s="1"/>
  <c r="B883" i="47" s="1"/>
  <c r="B876" i="47"/>
  <c r="B877" i="47" s="1"/>
  <c r="B878" i="47" s="1"/>
  <c r="B879" i="47" s="1"/>
  <c r="B872" i="47"/>
  <c r="B873" i="47" s="1"/>
  <c r="B874" i="47" s="1"/>
  <c r="B875" i="47" s="1"/>
  <c r="B867" i="47"/>
  <c r="B868" i="47" s="1"/>
  <c r="B869" i="47" s="1"/>
  <c r="B870" i="47" s="1"/>
  <c r="B871" i="47" s="1"/>
  <c r="B863" i="47"/>
  <c r="B864" i="47" s="1"/>
  <c r="B865" i="47" s="1"/>
  <c r="B866" i="47" s="1"/>
  <c r="B860" i="47"/>
  <c r="B861" i="47" s="1"/>
  <c r="B862" i="47" s="1"/>
  <c r="B849" i="47"/>
  <c r="B850" i="47" s="1"/>
  <c r="B851" i="47" s="1"/>
  <c r="B852" i="47" s="1"/>
  <c r="B853" i="47" s="1"/>
  <c r="B854" i="47" s="1"/>
  <c r="B831" i="47"/>
  <c r="B832" i="47" s="1"/>
  <c r="B833" i="47" s="1"/>
  <c r="B834" i="47" s="1"/>
  <c r="B835" i="47" s="1"/>
  <c r="B836" i="47" s="1"/>
  <c r="B837" i="47" s="1"/>
  <c r="B838" i="47" s="1"/>
  <c r="B822" i="47"/>
  <c r="B823" i="47" s="1"/>
  <c r="B824" i="47" s="1"/>
  <c r="B825" i="47" s="1"/>
  <c r="B818" i="47"/>
  <c r="B819" i="47" s="1"/>
  <c r="B820" i="47" s="1"/>
  <c r="B821" i="47" s="1"/>
  <c r="B813" i="47"/>
  <c r="B814" i="47" s="1"/>
  <c r="B815" i="47" s="1"/>
  <c r="B816" i="47" s="1"/>
  <c r="B817" i="47" s="1"/>
  <c r="B808" i="47"/>
  <c r="B809" i="47" s="1"/>
  <c r="B810" i="47" s="1"/>
  <c r="B811" i="47" s="1"/>
  <c r="B812" i="47" s="1"/>
  <c r="B803" i="47"/>
  <c r="B804" i="47" s="1"/>
  <c r="B805" i="47" s="1"/>
  <c r="B806" i="47" s="1"/>
  <c r="B807" i="47" s="1"/>
  <c r="B798" i="47"/>
  <c r="B799" i="47" s="1"/>
  <c r="B800" i="47" s="1"/>
  <c r="B801" i="47" s="1"/>
  <c r="B802" i="47" s="1"/>
  <c r="B793" i="47"/>
  <c r="B794" i="47" s="1"/>
  <c r="B795" i="47" s="1"/>
  <c r="B796" i="47" s="1"/>
  <c r="B797" i="47" s="1"/>
  <c r="B790" i="47"/>
  <c r="B791" i="47" s="1"/>
  <c r="B792" i="47" s="1"/>
  <c r="B589" i="53" s="1"/>
  <c r="B781" i="47"/>
  <c r="B782" i="47" s="1"/>
  <c r="B783" i="47" s="1"/>
  <c r="B581" i="53" s="1"/>
  <c r="B777" i="47"/>
  <c r="B778" i="47" s="1"/>
  <c r="B779" i="47" s="1"/>
  <c r="B780" i="47" s="1"/>
  <c r="B573" i="53" s="1"/>
  <c r="B765" i="47"/>
  <c r="B766" i="47" s="1"/>
  <c r="B767" i="47" s="1"/>
  <c r="B768" i="47" s="1"/>
  <c r="B761" i="47"/>
  <c r="B762" i="47" s="1"/>
  <c r="B763" i="47" s="1"/>
  <c r="B764" i="47" s="1"/>
  <c r="B756" i="47"/>
  <c r="B757" i="47" s="1"/>
  <c r="B758" i="47" s="1"/>
  <c r="B759" i="47" s="1"/>
  <c r="B760" i="47" s="1"/>
  <c r="B752" i="47"/>
  <c r="B753" i="47" s="1"/>
  <c r="B754" i="47" s="1"/>
  <c r="B755" i="47" s="1"/>
  <c r="B748" i="47"/>
  <c r="B749" i="47" s="1"/>
  <c r="B750" i="47" s="1"/>
  <c r="B751" i="47" s="1"/>
  <c r="B744" i="47"/>
  <c r="B745" i="47" s="1"/>
  <c r="B746" i="47" s="1"/>
  <c r="B747" i="47" s="1"/>
  <c r="B741" i="47"/>
  <c r="B742" i="47" s="1"/>
  <c r="B743" i="47" s="1"/>
  <c r="B737" i="47"/>
  <c r="B738" i="47" s="1"/>
  <c r="B739" i="47" s="1"/>
  <c r="B740" i="47" s="1"/>
  <c r="B732" i="47"/>
  <c r="B733" i="47" s="1"/>
  <c r="B734" i="47" s="1"/>
  <c r="B735" i="47" s="1"/>
  <c r="B736" i="47" s="1"/>
  <c r="B728" i="47"/>
  <c r="B729" i="47" s="1"/>
  <c r="B730" i="47" s="1"/>
  <c r="B731" i="47" s="1"/>
  <c r="B722" i="47"/>
  <c r="B723" i="47" s="1"/>
  <c r="B724" i="47" s="1"/>
  <c r="B725" i="47" s="1"/>
  <c r="B726" i="47" s="1"/>
  <c r="B727" i="47" s="1"/>
  <c r="B718" i="47"/>
  <c r="B719" i="47" s="1"/>
  <c r="B720" i="47" s="1"/>
  <c r="B721" i="47" s="1"/>
  <c r="B714" i="47"/>
  <c r="B715" i="47" s="1"/>
  <c r="B716" i="47" s="1"/>
  <c r="B717" i="47" s="1"/>
  <c r="B710" i="47"/>
  <c r="B711" i="47" s="1"/>
  <c r="B712" i="47" s="1"/>
  <c r="B713" i="47" s="1"/>
  <c r="B706" i="47"/>
  <c r="B707" i="47" s="1"/>
  <c r="B708" i="47" s="1"/>
  <c r="B709" i="47" s="1"/>
  <c r="B700" i="47"/>
  <c r="B701" i="47" s="1"/>
  <c r="B702" i="47" s="1"/>
  <c r="B703" i="47" s="1"/>
  <c r="B704" i="47" s="1"/>
  <c r="B705" i="47" s="1"/>
  <c r="B696" i="47"/>
  <c r="B697" i="47" s="1"/>
  <c r="B698" i="47" s="1"/>
  <c r="B699" i="47" s="1"/>
  <c r="B692" i="47"/>
  <c r="B693" i="47" s="1"/>
  <c r="B694" i="47" s="1"/>
  <c r="B695" i="47" s="1"/>
  <c r="B687" i="47"/>
  <c r="B688" i="47" s="1"/>
  <c r="B689" i="47" s="1"/>
  <c r="B690" i="47" s="1"/>
  <c r="B691" i="47" s="1"/>
  <c r="B683" i="47"/>
  <c r="B684" i="47" s="1"/>
  <c r="B685" i="47" s="1"/>
  <c r="B686" i="47" s="1"/>
  <c r="B679" i="47"/>
  <c r="B680" i="47" s="1"/>
  <c r="B681" i="47" s="1"/>
  <c r="B682" i="47" s="1"/>
  <c r="B675" i="47"/>
  <c r="B676" i="47" s="1"/>
  <c r="B677" i="47" s="1"/>
  <c r="B678" i="47" s="1"/>
  <c r="B669" i="47"/>
  <c r="B670" i="47" s="1"/>
  <c r="B671" i="47" s="1"/>
  <c r="B672" i="47" s="1"/>
  <c r="B673" i="47" s="1"/>
  <c r="B674" i="47" s="1"/>
  <c r="B664" i="47"/>
  <c r="B665" i="47" s="1"/>
  <c r="B666" i="47" s="1"/>
  <c r="B667" i="47" s="1"/>
  <c r="B668" i="47" s="1"/>
  <c r="B658" i="47"/>
  <c r="B659" i="47" s="1"/>
  <c r="B660" i="47" s="1"/>
  <c r="B661" i="47" s="1"/>
  <c r="B662" i="47" s="1"/>
  <c r="B663" i="47" s="1"/>
  <c r="B655" i="47"/>
  <c r="B656" i="47" s="1"/>
  <c r="B657" i="47" s="1"/>
  <c r="B652" i="47"/>
  <c r="B653" i="47" s="1"/>
  <c r="B654" i="47" s="1"/>
  <c r="B648" i="47"/>
  <c r="B649" i="47" s="1"/>
  <c r="B650" i="47" s="1"/>
  <c r="B651" i="47" s="1"/>
  <c r="B644" i="47"/>
  <c r="B645" i="47" s="1"/>
  <c r="B646" i="47" s="1"/>
  <c r="B647" i="47" s="1"/>
  <c r="B639" i="47"/>
  <c r="B640" i="47" s="1"/>
  <c r="B634" i="47"/>
  <c r="B635" i="47" s="1"/>
  <c r="B636" i="47" s="1"/>
  <c r="B637" i="47" s="1"/>
  <c r="B638" i="47" s="1"/>
  <c r="B392" i="53" s="1"/>
  <c r="B630" i="47"/>
  <c r="B631" i="47" s="1"/>
  <c r="B632" i="47" s="1"/>
  <c r="B633" i="47" s="1"/>
  <c r="B626" i="47"/>
  <c r="B627" i="47" s="1"/>
  <c r="B628" i="47" s="1"/>
  <c r="B629" i="47" s="1"/>
  <c r="B621" i="47"/>
  <c r="B622" i="47" s="1"/>
  <c r="B623" i="47" s="1"/>
  <c r="B624" i="47" s="1"/>
  <c r="B625" i="47" s="1"/>
  <c r="B616" i="47"/>
  <c r="B617" i="47" s="1"/>
  <c r="B618" i="47" s="1"/>
  <c r="B619" i="47" s="1"/>
  <c r="B620" i="47" s="1"/>
  <c r="B610" i="47"/>
  <c r="B611" i="47" s="1"/>
  <c r="B612" i="47" s="1"/>
  <c r="B613" i="47" s="1"/>
  <c r="B614" i="47" s="1"/>
  <c r="B615" i="47" s="1"/>
  <c r="B606" i="47"/>
  <c r="B607" i="47" s="1"/>
  <c r="B608" i="47" s="1"/>
  <c r="B609" i="47" s="1"/>
  <c r="B602" i="47"/>
  <c r="B603" i="47" s="1"/>
  <c r="B604" i="47" s="1"/>
  <c r="B605" i="47" s="1"/>
  <c r="B595" i="47"/>
  <c r="B596" i="47" s="1"/>
  <c r="B597" i="47" s="1"/>
  <c r="B598" i="47" s="1"/>
  <c r="B599" i="47" s="1"/>
  <c r="B600" i="47" s="1"/>
  <c r="B601" i="47" s="1"/>
  <c r="B589" i="47"/>
  <c r="B590" i="47" s="1"/>
  <c r="B591" i="47" s="1"/>
  <c r="B592" i="47" s="1"/>
  <c r="B593" i="47" s="1"/>
  <c r="B594" i="47" s="1"/>
  <c r="B584" i="47"/>
  <c r="B585" i="47" s="1"/>
  <c r="B586" i="47" s="1"/>
  <c r="B587" i="47" s="1"/>
  <c r="B588" i="47" s="1"/>
  <c r="B580" i="47"/>
  <c r="B581" i="47" s="1"/>
  <c r="B582" i="47" s="1"/>
  <c r="B583" i="47" s="1"/>
  <c r="B576" i="47"/>
  <c r="B577" i="47" s="1"/>
  <c r="B578" i="47" s="1"/>
  <c r="B579" i="47" s="1"/>
  <c r="B573" i="47"/>
  <c r="B574" i="47" s="1"/>
  <c r="B575" i="47" s="1"/>
  <c r="B571" i="47"/>
  <c r="B572" i="47" s="1"/>
  <c r="B566" i="47"/>
  <c r="B567" i="47" s="1"/>
  <c r="B568" i="47" s="1"/>
  <c r="B569" i="47" s="1"/>
  <c r="B570" i="47" s="1"/>
  <c r="B563" i="47"/>
  <c r="B564" i="47" s="1"/>
  <c r="B565" i="47" s="1"/>
  <c r="B560" i="47"/>
  <c r="B561" i="47" s="1"/>
  <c r="B562" i="47" s="1"/>
  <c r="B554" i="47"/>
  <c r="B555" i="47" s="1"/>
  <c r="B556" i="47" s="1"/>
  <c r="B557" i="47" s="1"/>
  <c r="B558" i="47" s="1"/>
  <c r="B559" i="47" s="1"/>
  <c r="B549" i="47"/>
  <c r="B550" i="47" s="1"/>
  <c r="B551" i="47" s="1"/>
  <c r="B552" i="47" s="1"/>
  <c r="B545" i="47"/>
  <c r="B546" i="47" s="1"/>
  <c r="B547" i="47" s="1"/>
  <c r="B548" i="47" s="1"/>
  <c r="B541" i="47"/>
  <c r="B542" i="47" s="1"/>
  <c r="B543" i="47" s="1"/>
  <c r="B544" i="47" s="1"/>
  <c r="B538" i="47"/>
  <c r="B539" i="47" s="1"/>
  <c r="B540" i="47" s="1"/>
  <c r="B535" i="47"/>
  <c r="B536" i="47" s="1"/>
  <c r="B537" i="47" s="1"/>
  <c r="B531" i="47"/>
  <c r="B532" i="47" s="1"/>
  <c r="B533" i="47" s="1"/>
  <c r="B534" i="47" s="1"/>
  <c r="B527" i="47"/>
  <c r="B528" i="47" s="1"/>
  <c r="B529" i="47" s="1"/>
  <c r="B530" i="47" s="1"/>
  <c r="B523" i="47"/>
  <c r="B524" i="47" s="1"/>
  <c r="B525" i="47" s="1"/>
  <c r="B526" i="47" s="1"/>
  <c r="B519" i="47"/>
  <c r="B520" i="47" s="1"/>
  <c r="B521" i="47" s="1"/>
  <c r="B522" i="47" s="1"/>
  <c r="B515" i="47"/>
  <c r="B516" i="47" s="1"/>
  <c r="B517" i="47" s="1"/>
  <c r="B518" i="47" s="1"/>
  <c r="B511" i="47"/>
  <c r="B512" i="47" s="1"/>
  <c r="B513" i="47" s="1"/>
  <c r="B514" i="47" s="1"/>
  <c r="B507" i="47"/>
  <c r="B508" i="47" s="1"/>
  <c r="B509" i="47" s="1"/>
  <c r="B510" i="47" s="1"/>
  <c r="B502" i="47"/>
  <c r="B503" i="47" s="1"/>
  <c r="B504" i="47" s="1"/>
  <c r="B505" i="47" s="1"/>
  <c r="B506" i="47" s="1"/>
  <c r="B497" i="47"/>
  <c r="B498" i="47" s="1"/>
  <c r="B499" i="47" s="1"/>
  <c r="B500" i="47" s="1"/>
  <c r="B501" i="47" s="1"/>
  <c r="B492" i="47"/>
  <c r="B493" i="47" s="1"/>
  <c r="B494" i="47" s="1"/>
  <c r="B495" i="47" s="1"/>
  <c r="B496" i="47" s="1"/>
  <c r="B487" i="47"/>
  <c r="B488" i="47" s="1"/>
  <c r="B489" i="47" s="1"/>
  <c r="B490" i="47" s="1"/>
  <c r="B491" i="47" s="1"/>
  <c r="B484" i="47"/>
  <c r="B485" i="47" s="1"/>
  <c r="B477" i="47"/>
  <c r="B478" i="47" s="1"/>
  <c r="B479" i="47" s="1"/>
  <c r="B480" i="47" s="1"/>
  <c r="B481" i="47" s="1"/>
  <c r="B482" i="47" s="1"/>
  <c r="B483" i="47" s="1"/>
  <c r="B472" i="47"/>
  <c r="B473" i="47" s="1"/>
  <c r="B474" i="47" s="1"/>
  <c r="B475" i="47" s="1"/>
  <c r="B476" i="47" s="1"/>
  <c r="B468" i="47"/>
  <c r="B469" i="47" s="1"/>
  <c r="B470" i="47" s="1"/>
  <c r="B471" i="47" s="1"/>
  <c r="B452" i="47"/>
  <c r="B453" i="47" s="1"/>
  <c r="B454" i="47" s="1"/>
  <c r="B455" i="47" s="1"/>
  <c r="B456" i="47" s="1"/>
  <c r="B457" i="47" s="1"/>
  <c r="B458" i="47" s="1"/>
  <c r="B459" i="47" s="1"/>
  <c r="B460" i="47" s="1"/>
  <c r="B461" i="47" s="1"/>
  <c r="B462" i="47" s="1"/>
  <c r="B463" i="47" s="1"/>
  <c r="B464" i="47" s="1"/>
  <c r="B465" i="47" s="1"/>
  <c r="B466" i="47" s="1"/>
  <c r="B467" i="47" s="1"/>
  <c r="B447" i="47"/>
  <c r="B448" i="47" s="1"/>
  <c r="B449" i="47" s="1"/>
  <c r="B450" i="47" s="1"/>
  <c r="B451" i="47" s="1"/>
  <c r="B444" i="47"/>
  <c r="B445" i="47" s="1"/>
  <c r="B446" i="47" s="1"/>
  <c r="B441" i="47"/>
  <c r="B442" i="47" s="1"/>
  <c r="B443" i="47" s="1"/>
  <c r="B438" i="47"/>
  <c r="B439" i="47" s="1"/>
  <c r="B440" i="47" s="1"/>
  <c r="B435" i="47"/>
  <c r="B436" i="47" s="1"/>
  <c r="B437" i="47" s="1"/>
  <c r="B419" i="47"/>
  <c r="B420" i="47" s="1"/>
  <c r="B421" i="47" s="1"/>
  <c r="B422" i="47" s="1"/>
  <c r="B423" i="47" s="1"/>
  <c r="B424" i="47" s="1"/>
  <c r="B425" i="47" s="1"/>
  <c r="B426" i="47" s="1"/>
  <c r="B427" i="47" s="1"/>
  <c r="B428" i="47" s="1"/>
  <c r="B412" i="47"/>
  <c r="B413" i="47" s="1"/>
  <c r="B414" i="47" s="1"/>
  <c r="B415" i="47" s="1"/>
  <c r="B407" i="47"/>
  <c r="B408" i="47" s="1"/>
  <c r="B409" i="47" s="1"/>
  <c r="B410" i="47" s="1"/>
  <c r="B411" i="47" s="1"/>
  <c r="B401" i="47"/>
  <c r="B402" i="47" s="1"/>
  <c r="B403" i="47" s="1"/>
  <c r="B404" i="47" s="1"/>
  <c r="B405" i="47" s="1"/>
  <c r="B406" i="47" s="1"/>
  <c r="B396" i="47"/>
  <c r="B397" i="47" s="1"/>
  <c r="B398" i="47" s="1"/>
  <c r="B399" i="47" s="1"/>
  <c r="B400" i="47" s="1"/>
  <c r="B387" i="47"/>
  <c r="B388" i="47" s="1"/>
  <c r="B389" i="47" s="1"/>
  <c r="B390" i="47" s="1"/>
  <c r="B391" i="47" s="1"/>
  <c r="B392" i="47" s="1"/>
  <c r="B393" i="47" s="1"/>
  <c r="B394" i="47" s="1"/>
  <c r="B395" i="47" s="1"/>
  <c r="B383" i="47"/>
  <c r="B384" i="47" s="1"/>
  <c r="B385" i="47" s="1"/>
  <c r="B386" i="47" s="1"/>
  <c r="B378" i="47"/>
  <c r="B379" i="47" s="1"/>
  <c r="B380" i="47" s="1"/>
  <c r="B381" i="47" s="1"/>
  <c r="B382" i="47" s="1"/>
  <c r="B373" i="47"/>
  <c r="B374" i="47" s="1"/>
  <c r="B375" i="47" s="1"/>
  <c r="B376" i="47" s="1"/>
  <c r="B377" i="47" s="1"/>
  <c r="B368" i="47"/>
  <c r="B369" i="47" s="1"/>
  <c r="B370" i="47" s="1"/>
  <c r="B371" i="47" s="1"/>
  <c r="B372" i="47" s="1"/>
  <c r="B363" i="47"/>
  <c r="B364" i="47" s="1"/>
  <c r="B365" i="47" s="1"/>
  <c r="B366" i="47" s="1"/>
  <c r="B367" i="47" s="1"/>
  <c r="B358" i="47"/>
  <c r="B359" i="47" s="1"/>
  <c r="B360" i="47" s="1"/>
  <c r="B361" i="47" s="1"/>
  <c r="B362" i="47" s="1"/>
  <c r="B353" i="47"/>
  <c r="B354" i="47" s="1"/>
  <c r="B355" i="47" s="1"/>
  <c r="B356" i="47" s="1"/>
  <c r="B357" i="47" s="1"/>
  <c r="B347" i="47"/>
  <c r="B348" i="47" s="1"/>
  <c r="B349" i="47" s="1"/>
  <c r="B350" i="47" s="1"/>
  <c r="B351" i="47" s="1"/>
  <c r="B352" i="47" s="1"/>
  <c r="B341" i="47"/>
  <c r="B342" i="47" s="1"/>
  <c r="B343" i="47" s="1"/>
  <c r="B344" i="47" s="1"/>
  <c r="B345" i="47" s="1"/>
  <c r="B346" i="47" s="1"/>
  <c r="B335" i="47"/>
  <c r="B336" i="47" s="1"/>
  <c r="B337" i="47" s="1"/>
  <c r="B338" i="47" s="1"/>
  <c r="B339" i="47" s="1"/>
  <c r="B340" i="47" s="1"/>
  <c r="B330" i="47"/>
  <c r="B331" i="47" s="1"/>
  <c r="B332" i="47" s="1"/>
  <c r="B333" i="47" s="1"/>
  <c r="B334" i="47" s="1"/>
  <c r="B319" i="47"/>
  <c r="B320" i="47" s="1"/>
  <c r="B321" i="47" s="1"/>
  <c r="B322" i="47" s="1"/>
  <c r="B323" i="47" s="1"/>
  <c r="B324" i="47" s="1"/>
  <c r="B325" i="47" s="1"/>
  <c r="B326" i="47" s="1"/>
  <c r="B327" i="47" s="1"/>
  <c r="B328" i="47" s="1"/>
  <c r="B329" i="47" s="1"/>
  <c r="B314" i="47"/>
  <c r="B315" i="47" s="1"/>
  <c r="B316" i="47" s="1"/>
  <c r="B317" i="47" s="1"/>
  <c r="B318" i="47" s="1"/>
  <c r="B309" i="47"/>
  <c r="B310" i="47" s="1"/>
  <c r="B311" i="47" s="1"/>
  <c r="B312" i="47" s="1"/>
  <c r="B313" i="47" s="1"/>
  <c r="B303" i="47"/>
  <c r="B304" i="47" s="1"/>
  <c r="B305" i="47" s="1"/>
  <c r="B306" i="47" s="1"/>
  <c r="B307" i="47" s="1"/>
  <c r="B308" i="47" s="1"/>
  <c r="B297" i="47"/>
  <c r="B298" i="47" s="1"/>
  <c r="B299" i="47" s="1"/>
  <c r="B300" i="47" s="1"/>
  <c r="B301" i="47" s="1"/>
  <c r="B302" i="47" s="1"/>
  <c r="B289" i="47"/>
  <c r="B290" i="47" s="1"/>
  <c r="B291" i="47" s="1"/>
  <c r="B292" i="47" s="1"/>
  <c r="B293" i="47" s="1"/>
  <c r="B294" i="47" s="1"/>
  <c r="B295" i="47" s="1"/>
  <c r="B296" i="47" s="1"/>
  <c r="B287" i="47"/>
  <c r="B288" i="47" s="1"/>
  <c r="B285" i="47"/>
  <c r="B286" i="47" s="1"/>
  <c r="B273" i="47"/>
  <c r="B274" i="47" s="1"/>
  <c r="B275" i="47" s="1"/>
  <c r="B276" i="47" s="1"/>
  <c r="B277" i="47" s="1"/>
  <c r="B278" i="47" s="1"/>
  <c r="B279" i="47" s="1"/>
  <c r="B280" i="47" s="1"/>
  <c r="B281" i="47" s="1"/>
  <c r="B282" i="47" s="1"/>
  <c r="B283" i="47" s="1"/>
  <c r="B284" i="47" s="1"/>
  <c r="B269" i="47"/>
  <c r="B270" i="47" s="1"/>
  <c r="B271" i="47" s="1"/>
  <c r="B272" i="47" s="1"/>
  <c r="B266" i="47"/>
  <c r="B267" i="47" s="1"/>
  <c r="B268" i="47" s="1"/>
  <c r="B256" i="47"/>
  <c r="B257" i="47" s="1"/>
  <c r="B258" i="47" s="1"/>
  <c r="B254" i="47"/>
  <c r="B255" i="47" s="1"/>
  <c r="B250" i="47"/>
  <c r="B251" i="47" s="1"/>
  <c r="B252" i="47" s="1"/>
  <c r="B253" i="47" s="1"/>
  <c r="B246" i="47"/>
  <c r="B247" i="47" s="1"/>
  <c r="B248" i="47" s="1"/>
  <c r="B249" i="47" s="1"/>
  <c r="B242" i="47"/>
  <c r="B243" i="47" s="1"/>
  <c r="B244" i="47" s="1"/>
  <c r="B245" i="47" s="1"/>
  <c r="B238" i="47"/>
  <c r="B239" i="47" s="1"/>
  <c r="B240" i="47" s="1"/>
  <c r="B241" i="47" s="1"/>
  <c r="B234" i="47"/>
  <c r="B235" i="47" s="1"/>
  <c r="B236" i="47" s="1"/>
  <c r="B237" i="47" s="1"/>
  <c r="B232" i="47"/>
  <c r="B233" i="47" s="1"/>
  <c r="B225" i="47"/>
  <c r="B226" i="47" s="1"/>
  <c r="B227" i="47" s="1"/>
  <c r="B228" i="47" s="1"/>
  <c r="B229" i="47" s="1"/>
  <c r="B230" i="47" s="1"/>
  <c r="B231" i="47" s="1"/>
  <c r="B222" i="47"/>
  <c r="B223" i="47" s="1"/>
  <c r="B224" i="47" s="1"/>
  <c r="B217" i="47"/>
  <c r="B218" i="47" s="1"/>
  <c r="B219" i="47" s="1"/>
  <c r="B220" i="47" s="1"/>
  <c r="B221" i="47" s="1"/>
  <c r="B213" i="47"/>
  <c r="B214" i="47" s="1"/>
  <c r="B215" i="47" s="1"/>
  <c r="B216" i="47" s="1"/>
  <c r="B210" i="47"/>
  <c r="B211" i="47" s="1"/>
  <c r="B212" i="47" s="1"/>
  <c r="B201" i="47"/>
  <c r="B202" i="47" s="1"/>
  <c r="B203" i="47" s="1"/>
  <c r="B204" i="47" s="1"/>
  <c r="B205" i="47" s="1"/>
  <c r="B206" i="47" s="1"/>
  <c r="B207" i="47" s="1"/>
  <c r="B208" i="47" s="1"/>
  <c r="B196" i="47"/>
  <c r="B197" i="47" s="1"/>
  <c r="B198" i="47" s="1"/>
  <c r="B199" i="47" s="1"/>
  <c r="B200" i="47" s="1"/>
  <c r="B192" i="47"/>
  <c r="B193" i="47" s="1"/>
  <c r="B194" i="47" s="1"/>
  <c r="B195" i="47" s="1"/>
  <c r="B188" i="47"/>
  <c r="B189" i="47" s="1"/>
  <c r="B190" i="47" s="1"/>
  <c r="B191" i="47" s="1"/>
  <c r="B185" i="47"/>
  <c r="B186" i="47" s="1"/>
  <c r="B187" i="47" s="1"/>
  <c r="B183" i="47"/>
  <c r="B184" i="47" s="1"/>
  <c r="B172" i="47"/>
  <c r="B173" i="47" s="1"/>
  <c r="B174" i="47" s="1"/>
  <c r="B175" i="47" s="1"/>
  <c r="B176" i="47" s="1"/>
  <c r="B177" i="47" s="1"/>
  <c r="B178" i="47" s="1"/>
  <c r="B179" i="47" s="1"/>
  <c r="B180" i="47" s="1"/>
  <c r="B181" i="47" s="1"/>
  <c r="B182" i="47" s="1"/>
  <c r="B168" i="47"/>
  <c r="B169" i="47" s="1"/>
  <c r="B170" i="47" s="1"/>
  <c r="B171" i="47" s="1"/>
  <c r="B166" i="47"/>
  <c r="B167" i="47" s="1"/>
  <c r="B163" i="47"/>
  <c r="B164" i="47" s="1"/>
  <c r="B156" i="47"/>
  <c r="B157" i="47" s="1"/>
  <c r="B158" i="47" s="1"/>
  <c r="B159" i="47" s="1"/>
  <c r="B160" i="47" s="1"/>
  <c r="B161" i="47" s="1"/>
  <c r="B162" i="47" s="1"/>
  <c r="B152" i="47"/>
  <c r="B153" i="47" s="1"/>
  <c r="B154" i="47" s="1"/>
  <c r="B155" i="47" s="1"/>
  <c r="B148" i="47"/>
  <c r="B149" i="47" s="1"/>
  <c r="B150" i="47" s="1"/>
  <c r="B151" i="47" s="1"/>
  <c r="B144" i="47"/>
  <c r="B145" i="47" s="1"/>
  <c r="B146" i="47" s="1"/>
  <c r="B147" i="47" s="1"/>
  <c r="B140" i="47"/>
  <c r="B134" i="47"/>
  <c r="B129" i="47"/>
  <c r="B130" i="47" s="1"/>
  <c r="B131" i="47" s="1"/>
  <c r="B132" i="47" s="1"/>
  <c r="B133" i="47" s="1"/>
  <c r="B127" i="47"/>
  <c r="B128" i="47" s="1"/>
  <c r="B119" i="47"/>
  <c r="B120" i="47" s="1"/>
  <c r="B121" i="47" s="1"/>
  <c r="B122" i="47" s="1"/>
  <c r="B123" i="47" s="1"/>
  <c r="B124" i="47" s="1"/>
  <c r="B125" i="47" s="1"/>
  <c r="B126" i="47" s="1"/>
  <c r="B106" i="47"/>
  <c r="B107" i="47" s="1"/>
  <c r="B108" i="47" s="1"/>
  <c r="B109" i="47" s="1"/>
  <c r="B110" i="47" s="1"/>
  <c r="B111" i="47" s="1"/>
  <c r="B112" i="47" s="1"/>
  <c r="B113" i="47" s="1"/>
  <c r="B114" i="47" s="1"/>
  <c r="B115" i="47" s="1"/>
  <c r="B116" i="47" s="1"/>
  <c r="B117" i="47" s="1"/>
  <c r="B118" i="47" s="1"/>
  <c r="B100" i="47"/>
  <c r="B101" i="47" s="1"/>
  <c r="B102" i="47" s="1"/>
  <c r="B103" i="47" s="1"/>
  <c r="B104" i="47" s="1"/>
  <c r="B105" i="47" s="1"/>
  <c r="B94" i="47"/>
  <c r="B95" i="47" s="1"/>
  <c r="B96" i="47" s="1"/>
  <c r="B97" i="47" s="1"/>
  <c r="B98" i="47" s="1"/>
  <c r="B99" i="47" s="1"/>
  <c r="B88" i="47"/>
  <c r="B89" i="47" s="1"/>
  <c r="B90" i="47" s="1"/>
  <c r="B91" i="47" s="1"/>
  <c r="B92" i="47" s="1"/>
  <c r="B93" i="47" s="1"/>
  <c r="B83" i="47"/>
  <c r="B84" i="47" s="1"/>
  <c r="B85" i="47" s="1"/>
  <c r="B86" i="47" s="1"/>
  <c r="B87" i="47" s="1"/>
  <c r="B77" i="47"/>
  <c r="B78" i="47" s="1"/>
  <c r="B79" i="47" s="1"/>
  <c r="B80" i="47" s="1"/>
  <c r="B81" i="47" s="1"/>
  <c r="B82" i="47" s="1"/>
  <c r="B71" i="47"/>
  <c r="B72" i="47" s="1"/>
  <c r="B73" i="47" s="1"/>
  <c r="B74" i="47" s="1"/>
  <c r="B75" i="47" s="1"/>
  <c r="B76" i="47" s="1"/>
  <c r="B65" i="47"/>
  <c r="B66" i="47" s="1"/>
  <c r="B67" i="47" s="1"/>
  <c r="B68" i="47" s="1"/>
  <c r="B69" i="47" s="1"/>
  <c r="B70" i="47" s="1"/>
  <c r="B59" i="47"/>
  <c r="B60" i="47" s="1"/>
  <c r="B61" i="47" s="1"/>
  <c r="B62" i="47" s="1"/>
  <c r="B63" i="47" s="1"/>
  <c r="B64" i="47" s="1"/>
  <c r="B55" i="47"/>
  <c r="B56" i="47" s="1"/>
  <c r="B57" i="47" s="1"/>
  <c r="B58" i="47" s="1"/>
  <c r="B48" i="47"/>
  <c r="B49" i="47" s="1"/>
  <c r="B50" i="47" s="1"/>
  <c r="B51" i="47" s="1"/>
  <c r="B52" i="47" s="1"/>
  <c r="B53" i="47" s="1"/>
  <c r="B54" i="47" s="1"/>
  <c r="B43" i="47"/>
  <c r="B44" i="47" s="1"/>
  <c r="B45" i="47" s="1"/>
  <c r="B46" i="47" s="1"/>
  <c r="B47" i="47" s="1"/>
  <c r="B41" i="47"/>
  <c r="B42" i="47" s="1"/>
  <c r="B33" i="47"/>
  <c r="B34" i="47" s="1"/>
  <c r="B35" i="47" s="1"/>
  <c r="B36" i="47" s="1"/>
  <c r="B37" i="47" s="1"/>
  <c r="B28" i="47"/>
  <c r="B29" i="47" s="1"/>
  <c r="B30" i="47" s="1"/>
  <c r="B31" i="47" s="1"/>
  <c r="B32" i="47" s="1"/>
  <c r="B24" i="47"/>
  <c r="B25" i="47" s="1"/>
  <c r="B26" i="47" s="1"/>
  <c r="B27" i="47" s="1"/>
  <c r="C643" i="47"/>
  <c r="N641" i="47"/>
  <c r="L641" i="47"/>
  <c r="K641" i="47"/>
  <c r="J641" i="47"/>
  <c r="H641" i="47"/>
  <c r="G641" i="47"/>
  <c r="C641" i="47"/>
  <c r="N640" i="47"/>
  <c r="L640" i="47"/>
  <c r="K640" i="47"/>
  <c r="J640" i="47"/>
  <c r="H640" i="47"/>
  <c r="G640" i="47"/>
  <c r="C640" i="47"/>
  <c r="C638" i="47"/>
  <c r="N636" i="47"/>
  <c r="L636" i="47"/>
  <c r="K636" i="47"/>
  <c r="J636" i="47"/>
  <c r="H636" i="47"/>
  <c r="G636" i="47"/>
  <c r="C636" i="47"/>
  <c r="N635" i="47"/>
  <c r="J635" i="47"/>
  <c r="L635" i="47"/>
  <c r="H635" i="47"/>
  <c r="G635" i="47"/>
  <c r="C635" i="47"/>
  <c r="N825" i="47"/>
  <c r="L825" i="47"/>
  <c r="K825" i="47"/>
  <c r="J825" i="47"/>
  <c r="H825" i="47"/>
  <c r="G825" i="47"/>
  <c r="C825" i="47"/>
  <c r="N824" i="47"/>
  <c r="L824" i="47"/>
  <c r="K824" i="47"/>
  <c r="J824" i="47"/>
  <c r="H824" i="47"/>
  <c r="G824" i="47"/>
  <c r="C824" i="47"/>
  <c r="C823" i="47"/>
  <c r="N821" i="47"/>
  <c r="L821" i="47"/>
  <c r="K821" i="47"/>
  <c r="J821" i="47"/>
  <c r="H821" i="47"/>
  <c r="G821" i="47"/>
  <c r="C821" i="47"/>
  <c r="N820" i="47"/>
  <c r="L820" i="47"/>
  <c r="K820" i="47"/>
  <c r="J820" i="47"/>
  <c r="H820" i="47"/>
  <c r="G820" i="47"/>
  <c r="C820" i="47"/>
  <c r="C819" i="47"/>
  <c r="N817" i="47"/>
  <c r="L817" i="47"/>
  <c r="K817" i="47"/>
  <c r="J817" i="47"/>
  <c r="H817" i="47"/>
  <c r="G817" i="47"/>
  <c r="C817" i="47"/>
  <c r="N816" i="47"/>
  <c r="L816" i="47"/>
  <c r="K816" i="47"/>
  <c r="J816" i="47"/>
  <c r="H816" i="47"/>
  <c r="G816" i="47"/>
  <c r="C816" i="47"/>
  <c r="N815" i="47"/>
  <c r="L815" i="47"/>
  <c r="K815" i="47"/>
  <c r="J815" i="47"/>
  <c r="H815" i="47"/>
  <c r="G815" i="47"/>
  <c r="C815" i="47"/>
  <c r="C814" i="47"/>
  <c r="N812" i="47"/>
  <c r="L812" i="47"/>
  <c r="K812" i="47"/>
  <c r="J812" i="47"/>
  <c r="H812" i="47"/>
  <c r="G812" i="47"/>
  <c r="C812" i="47"/>
  <c r="N811" i="47"/>
  <c r="L811" i="47"/>
  <c r="K811" i="47"/>
  <c r="J811" i="47"/>
  <c r="H811" i="47"/>
  <c r="G811" i="47"/>
  <c r="C811" i="47"/>
  <c r="N810" i="47"/>
  <c r="L810" i="47"/>
  <c r="K810" i="47"/>
  <c r="J810" i="47"/>
  <c r="H810" i="47"/>
  <c r="G810" i="47"/>
  <c r="C810" i="47"/>
  <c r="C809" i="47"/>
  <c r="C805" i="47"/>
  <c r="G805" i="47"/>
  <c r="H805" i="47"/>
  <c r="J805" i="47"/>
  <c r="K805" i="47"/>
  <c r="L805" i="47"/>
  <c r="N805" i="47"/>
  <c r="N807" i="47"/>
  <c r="L807" i="47"/>
  <c r="K807" i="47"/>
  <c r="J807" i="47"/>
  <c r="H807" i="47"/>
  <c r="G807" i="47"/>
  <c r="C807" i="47"/>
  <c r="N806" i="47"/>
  <c r="L806" i="47"/>
  <c r="K806" i="47"/>
  <c r="J806" i="47"/>
  <c r="H806" i="47"/>
  <c r="G806" i="47"/>
  <c r="C806" i="47"/>
  <c r="C804" i="47"/>
  <c r="K365" i="55"/>
  <c r="I365" i="55"/>
  <c r="H365" i="55"/>
  <c r="K364" i="55"/>
  <c r="I364" i="55"/>
  <c r="H364" i="55"/>
  <c r="K363" i="55"/>
  <c r="I363" i="55"/>
  <c r="H363" i="55"/>
  <c r="D361" i="55"/>
  <c r="D362" i="55" s="1"/>
  <c r="D363" i="55" s="1"/>
  <c r="D364" i="55" s="1"/>
  <c r="D365" i="55" s="1"/>
  <c r="C360" i="55"/>
  <c r="C361" i="55" s="1"/>
  <c r="C362" i="55" s="1"/>
  <c r="C363" i="55" s="1"/>
  <c r="C364" i="55" s="1"/>
  <c r="C365" i="55" s="1"/>
  <c r="C348" i="55"/>
  <c r="J334" i="55"/>
  <c r="B784" i="47" s="1"/>
  <c r="B785" i="47" s="1"/>
  <c r="B786" i="47" s="1"/>
  <c r="B787" i="47" s="1"/>
  <c r="B788" i="47" s="1"/>
  <c r="B789" i="47" s="1"/>
  <c r="N802" i="47"/>
  <c r="L802" i="47"/>
  <c r="K802" i="47"/>
  <c r="J802" i="47"/>
  <c r="H802" i="47"/>
  <c r="G802" i="47"/>
  <c r="C802" i="47"/>
  <c r="N801" i="47"/>
  <c r="L801" i="47"/>
  <c r="K801" i="47"/>
  <c r="J801" i="47"/>
  <c r="H801" i="47"/>
  <c r="G801" i="47"/>
  <c r="C801" i="47"/>
  <c r="N800" i="47"/>
  <c r="L800" i="47"/>
  <c r="K800" i="47"/>
  <c r="J800" i="47"/>
  <c r="H800" i="47"/>
  <c r="G800" i="47"/>
  <c r="C800" i="47"/>
  <c r="C799" i="47"/>
  <c r="N797" i="47"/>
  <c r="L797" i="47"/>
  <c r="K797" i="47"/>
  <c r="J797" i="47"/>
  <c r="H797" i="47"/>
  <c r="G797" i="47"/>
  <c r="C797" i="47"/>
  <c r="N796" i="47"/>
  <c r="L796" i="47"/>
  <c r="K796" i="47"/>
  <c r="J796" i="47"/>
  <c r="H796" i="47"/>
  <c r="G796" i="47"/>
  <c r="C796" i="47"/>
  <c r="N795" i="47"/>
  <c r="L795" i="47"/>
  <c r="K795" i="47"/>
  <c r="J795" i="47"/>
  <c r="H795" i="47"/>
  <c r="G795" i="47"/>
  <c r="C795" i="47"/>
  <c r="C794" i="47"/>
  <c r="C792" i="47"/>
  <c r="N791" i="47"/>
  <c r="L791" i="47"/>
  <c r="K791" i="47"/>
  <c r="J791" i="47"/>
  <c r="H791" i="47"/>
  <c r="G791" i="47"/>
  <c r="C791" i="47"/>
  <c r="N633" i="47"/>
  <c r="L633" i="47"/>
  <c r="K633" i="47"/>
  <c r="J633" i="47"/>
  <c r="H633" i="47"/>
  <c r="G633" i="47"/>
  <c r="C633" i="47"/>
  <c r="N632" i="47"/>
  <c r="L632" i="47"/>
  <c r="K632" i="47"/>
  <c r="J632" i="47"/>
  <c r="H632" i="47"/>
  <c r="G632" i="47"/>
  <c r="C632" i="47"/>
  <c r="N631" i="47"/>
  <c r="L631" i="47"/>
  <c r="K631" i="47"/>
  <c r="J631" i="47"/>
  <c r="H631" i="47"/>
  <c r="G631" i="47"/>
  <c r="C631" i="47"/>
  <c r="N629" i="47"/>
  <c r="L629" i="47"/>
  <c r="K629" i="47"/>
  <c r="J629" i="47"/>
  <c r="H629" i="47"/>
  <c r="G629" i="47"/>
  <c r="C629" i="47"/>
  <c r="N628" i="47"/>
  <c r="L628" i="47"/>
  <c r="K628" i="47"/>
  <c r="J628" i="47"/>
  <c r="H628" i="47"/>
  <c r="G628" i="47"/>
  <c r="C628" i="47"/>
  <c r="N627" i="47"/>
  <c r="L627" i="47"/>
  <c r="K627" i="47"/>
  <c r="J627" i="47"/>
  <c r="H627" i="47"/>
  <c r="G627" i="47"/>
  <c r="C627" i="47"/>
  <c r="N787" i="47"/>
  <c r="C787" i="47"/>
  <c r="N786" i="47"/>
  <c r="C786" i="47"/>
  <c r="N789" i="47"/>
  <c r="C789" i="47"/>
  <c r="N788" i="47"/>
  <c r="C788" i="47"/>
  <c r="N785" i="47"/>
  <c r="C785" i="47"/>
  <c r="K351" i="55"/>
  <c r="I351" i="55"/>
  <c r="H351" i="55"/>
  <c r="K349" i="55"/>
  <c r="I349" i="55"/>
  <c r="H349" i="55"/>
  <c r="K346" i="55"/>
  <c r="I346" i="55"/>
  <c r="H346" i="55"/>
  <c r="K344" i="55"/>
  <c r="I344" i="55"/>
  <c r="H344" i="55"/>
  <c r="K343" i="55"/>
  <c r="I343" i="55"/>
  <c r="H343" i="55"/>
  <c r="K342" i="55"/>
  <c r="I342" i="55"/>
  <c r="H342" i="55"/>
  <c r="K340" i="55"/>
  <c r="I340" i="55"/>
  <c r="H340" i="55"/>
  <c r="K339" i="55"/>
  <c r="I339" i="55"/>
  <c r="H339" i="55"/>
  <c r="K338" i="55"/>
  <c r="I338" i="55"/>
  <c r="H338" i="55"/>
  <c r="K337" i="55"/>
  <c r="I337" i="55"/>
  <c r="H337" i="55"/>
  <c r="K336" i="55"/>
  <c r="I336" i="55"/>
  <c r="H336" i="55"/>
  <c r="K335" i="55"/>
  <c r="I335" i="55"/>
  <c r="H335" i="55"/>
  <c r="C332" i="55"/>
  <c r="D287" i="55"/>
  <c r="D288" i="55" s="1"/>
  <c r="D289" i="55" s="1"/>
  <c r="D290" i="55" s="1"/>
  <c r="D291" i="55" s="1"/>
  <c r="D292" i="55" s="1"/>
  <c r="D293" i="55" s="1"/>
  <c r="D294" i="55" s="1"/>
  <c r="D295" i="55" s="1"/>
  <c r="D296" i="55" s="1"/>
  <c r="D297" i="55" s="1"/>
  <c r="D298" i="55" s="1"/>
  <c r="D299" i="55" s="1"/>
  <c r="D300" i="55" s="1"/>
  <c r="D301" i="55" s="1"/>
  <c r="D302" i="55" s="1"/>
  <c r="D303" i="55" s="1"/>
  <c r="D304" i="55" s="1"/>
  <c r="D305" i="55" s="1"/>
  <c r="D306" i="55" s="1"/>
  <c r="D307" i="55" s="1"/>
  <c r="D308" i="55" s="1"/>
  <c r="D309" i="55" s="1"/>
  <c r="D310" i="55" s="1"/>
  <c r="D311" i="55" s="1"/>
  <c r="D312" i="55" s="1"/>
  <c r="D313" i="55" s="1"/>
  <c r="D314" i="55" s="1"/>
  <c r="D315" i="55" s="1"/>
  <c r="D316" i="55" s="1"/>
  <c r="D317" i="55" s="1"/>
  <c r="D318" i="55" s="1"/>
  <c r="D319" i="55" s="1"/>
  <c r="D320" i="55" s="1"/>
  <c r="D321" i="55" s="1"/>
  <c r="D322" i="55" s="1"/>
  <c r="D323" i="55" s="1"/>
  <c r="D324" i="55" s="1"/>
  <c r="D325" i="55" s="1"/>
  <c r="D326" i="55" s="1"/>
  <c r="D327" i="55" s="1"/>
  <c r="D328" i="55" s="1"/>
  <c r="D329" i="55" s="1"/>
  <c r="D330" i="55" s="1"/>
  <c r="D331" i="55" s="1"/>
  <c r="K323" i="55"/>
  <c r="I323" i="55"/>
  <c r="H323" i="55"/>
  <c r="K319" i="55"/>
  <c r="I319" i="55"/>
  <c r="H319" i="55"/>
  <c r="K330" i="55"/>
  <c r="I330" i="55"/>
  <c r="H330" i="55"/>
  <c r="K327" i="55"/>
  <c r="I327" i="55"/>
  <c r="H327" i="55"/>
  <c r="K326" i="55"/>
  <c r="I326" i="55"/>
  <c r="H326" i="55"/>
  <c r="K325" i="55"/>
  <c r="I325" i="55"/>
  <c r="H325" i="55"/>
  <c r="K324" i="55"/>
  <c r="I324" i="55"/>
  <c r="H324" i="55"/>
  <c r="C783" i="47"/>
  <c r="N782" i="47"/>
  <c r="L782" i="47"/>
  <c r="K782" i="47"/>
  <c r="J782" i="47"/>
  <c r="H782" i="47"/>
  <c r="G782" i="47"/>
  <c r="C782" i="47"/>
  <c r="C780" i="47"/>
  <c r="N779" i="47"/>
  <c r="L779" i="47"/>
  <c r="K779" i="47"/>
  <c r="J779" i="47"/>
  <c r="H779" i="47"/>
  <c r="G779" i="47"/>
  <c r="C779" i="47"/>
  <c r="N778" i="47"/>
  <c r="L778" i="47"/>
  <c r="K778" i="47"/>
  <c r="J778" i="47"/>
  <c r="H778" i="47"/>
  <c r="G778" i="47"/>
  <c r="C778" i="47"/>
  <c r="N686" i="47"/>
  <c r="L686" i="47"/>
  <c r="H686" i="47"/>
  <c r="G686" i="47"/>
  <c r="C686" i="47"/>
  <c r="N685" i="47"/>
  <c r="L685" i="47"/>
  <c r="K685" i="47"/>
  <c r="J685" i="47"/>
  <c r="H685" i="47"/>
  <c r="G685" i="47"/>
  <c r="C685" i="47"/>
  <c r="N684" i="47"/>
  <c r="L684" i="47"/>
  <c r="K684" i="47"/>
  <c r="J684" i="47"/>
  <c r="H684" i="47"/>
  <c r="G684" i="47"/>
  <c r="C684" i="47"/>
  <c r="N680" i="47"/>
  <c r="L682" i="47"/>
  <c r="H682" i="47"/>
  <c r="C682" i="47"/>
  <c r="N681" i="47"/>
  <c r="L681" i="47"/>
  <c r="K681" i="47"/>
  <c r="J681" i="47"/>
  <c r="H681" i="47"/>
  <c r="G681" i="47"/>
  <c r="C681" i="47"/>
  <c r="L680" i="47"/>
  <c r="K680" i="47"/>
  <c r="J680" i="47"/>
  <c r="H680" i="47"/>
  <c r="G680" i="47"/>
  <c r="C680" i="47"/>
  <c r="B641" i="47" l="1"/>
  <c r="B642" i="47" s="1"/>
  <c r="B643" i="47" s="1"/>
  <c r="B408" i="53" s="1"/>
  <c r="B259" i="47"/>
  <c r="B260" i="47" s="1"/>
  <c r="B261" i="47" s="1"/>
  <c r="B262" i="47" s="1"/>
  <c r="B263" i="47" s="1"/>
  <c r="B264" i="47" s="1"/>
  <c r="B265" i="47" s="1"/>
  <c r="B839" i="53"/>
  <c r="B213" i="53"/>
  <c r="B214" i="53"/>
  <c r="B135" i="47"/>
  <c r="B136" i="47" s="1"/>
  <c r="B137" i="47" s="1"/>
  <c r="B138" i="47" s="1"/>
  <c r="B139" i="47" s="1"/>
  <c r="B212" i="53"/>
  <c r="B141" i="47"/>
  <c r="B142" i="47" s="1"/>
  <c r="B143" i="47" s="1"/>
  <c r="B629" i="53"/>
  <c r="B597" i="53"/>
  <c r="B605" i="53"/>
  <c r="B637" i="53"/>
  <c r="B613" i="53"/>
  <c r="B645" i="53"/>
  <c r="B621" i="53"/>
  <c r="J780" i="47"/>
  <c r="M780" i="47"/>
  <c r="M783" i="47"/>
  <c r="J783" i="47"/>
  <c r="B384" i="53"/>
  <c r="B360" i="53"/>
  <c r="B368" i="53"/>
  <c r="B231" i="53"/>
  <c r="B432" i="53"/>
  <c r="B263" i="53"/>
  <c r="B376" i="53"/>
  <c r="M641" i="47"/>
  <c r="M824" i="47"/>
  <c r="M640" i="47"/>
  <c r="M636" i="47"/>
  <c r="K635" i="47"/>
  <c r="M825" i="47"/>
  <c r="M811" i="47"/>
  <c r="M815" i="47"/>
  <c r="M821" i="47"/>
  <c r="M820" i="47"/>
  <c r="M816" i="47"/>
  <c r="M817" i="47"/>
  <c r="M806" i="47"/>
  <c r="M812" i="47"/>
  <c r="M810" i="47"/>
  <c r="M805" i="47"/>
  <c r="M801" i="47"/>
  <c r="M807" i="47"/>
  <c r="M802" i="47"/>
  <c r="E361" i="55"/>
  <c r="M796" i="47"/>
  <c r="M800" i="47"/>
  <c r="M797" i="47"/>
  <c r="M795" i="47"/>
  <c r="M633" i="47"/>
  <c r="L630" i="47"/>
  <c r="K630" i="47"/>
  <c r="M791" i="47"/>
  <c r="M632" i="47"/>
  <c r="L626" i="47"/>
  <c r="M631" i="47"/>
  <c r="M629" i="47"/>
  <c r="M627" i="47"/>
  <c r="K626" i="47"/>
  <c r="M628" i="47"/>
  <c r="B694" i="53"/>
  <c r="M782" i="47"/>
  <c r="L781" i="47"/>
  <c r="K781" i="47"/>
  <c r="L777" i="47"/>
  <c r="M778" i="47"/>
  <c r="M684" i="47"/>
  <c r="M779" i="47"/>
  <c r="K777" i="47"/>
  <c r="M685" i="47"/>
  <c r="M681" i="47"/>
  <c r="M680" i="47"/>
  <c r="B400" i="53" l="1"/>
  <c r="B215" i="53"/>
  <c r="B211" i="53"/>
  <c r="M635" i="47"/>
  <c r="E362" i="55"/>
  <c r="M630" i="47"/>
  <c r="M626" i="47"/>
  <c r="M781" i="47"/>
  <c r="M777" i="47"/>
  <c r="E363" i="55" l="1"/>
  <c r="E364" i="55" l="1"/>
  <c r="E365" i="55" l="1"/>
  <c r="C349" i="55"/>
  <c r="C350" i="55" l="1"/>
  <c r="C351" i="55" l="1"/>
  <c r="C352" i="55" l="1"/>
  <c r="C353" i="55" l="1"/>
  <c r="C354" i="55" l="1"/>
  <c r="C355" i="55" l="1"/>
  <c r="C356" i="55" l="1"/>
  <c r="C357" i="55" s="1"/>
  <c r="C358" i="55" l="1"/>
  <c r="N625" i="47"/>
  <c r="L625" i="47"/>
  <c r="K625" i="47"/>
  <c r="J625" i="47"/>
  <c r="H625" i="47"/>
  <c r="G625" i="47"/>
  <c r="C625" i="47"/>
  <c r="N624" i="47"/>
  <c r="L624" i="47"/>
  <c r="K624" i="47"/>
  <c r="J624" i="47"/>
  <c r="H624" i="47"/>
  <c r="G624" i="47"/>
  <c r="C624" i="47"/>
  <c r="N623" i="47"/>
  <c r="J623" i="47"/>
  <c r="L623" i="47"/>
  <c r="H623" i="47"/>
  <c r="G623" i="47"/>
  <c r="C623" i="47"/>
  <c r="N622" i="47"/>
  <c r="L622" i="47"/>
  <c r="K622" i="47"/>
  <c r="J622" i="47"/>
  <c r="H622" i="47"/>
  <c r="G622" i="47"/>
  <c r="C622" i="47"/>
  <c r="N620" i="47"/>
  <c r="L620" i="47"/>
  <c r="K620" i="47"/>
  <c r="J620" i="47"/>
  <c r="H620" i="47"/>
  <c r="G620" i="47"/>
  <c r="C620" i="47"/>
  <c r="N619" i="47"/>
  <c r="L619" i="47"/>
  <c r="K619" i="47"/>
  <c r="J619" i="47"/>
  <c r="H619" i="47"/>
  <c r="G619" i="47"/>
  <c r="C619" i="47"/>
  <c r="N618" i="47"/>
  <c r="L618" i="47"/>
  <c r="K618" i="47"/>
  <c r="J618" i="47"/>
  <c r="H618" i="47"/>
  <c r="G618" i="47"/>
  <c r="C618" i="47"/>
  <c r="N617" i="47"/>
  <c r="J617" i="47"/>
  <c r="L617" i="47"/>
  <c r="H617" i="47"/>
  <c r="G617" i="47"/>
  <c r="C617" i="47"/>
  <c r="I611" i="47"/>
  <c r="L611" i="47" s="1"/>
  <c r="I612" i="47"/>
  <c r="K612" i="47" s="1"/>
  <c r="I615" i="47"/>
  <c r="L615" i="47" s="1"/>
  <c r="K613" i="47"/>
  <c r="N615" i="47"/>
  <c r="J615" i="47"/>
  <c r="H615" i="47"/>
  <c r="G615" i="47"/>
  <c r="C615" i="47"/>
  <c r="L614" i="47"/>
  <c r="H614" i="47"/>
  <c r="C614" i="47"/>
  <c r="L613" i="47"/>
  <c r="H613" i="47"/>
  <c r="C613" i="47"/>
  <c r="N612" i="47"/>
  <c r="J612" i="47"/>
  <c r="H612" i="47"/>
  <c r="G612" i="47"/>
  <c r="C612" i="47"/>
  <c r="N611" i="47"/>
  <c r="J611" i="47"/>
  <c r="H611" i="47"/>
  <c r="G611" i="47"/>
  <c r="C611" i="47"/>
  <c r="K609" i="47"/>
  <c r="L609" i="47"/>
  <c r="H609" i="47"/>
  <c r="C609" i="47"/>
  <c r="N608" i="47"/>
  <c r="L608" i="47"/>
  <c r="J608" i="47"/>
  <c r="K608" i="47"/>
  <c r="H608" i="47"/>
  <c r="G608" i="47"/>
  <c r="C608" i="47"/>
  <c r="N607" i="47"/>
  <c r="J607" i="47"/>
  <c r="L607" i="47"/>
  <c r="H607" i="47"/>
  <c r="G607" i="47"/>
  <c r="C607" i="47"/>
  <c r="I604" i="47"/>
  <c r="K604" i="47" s="1"/>
  <c r="I603" i="47"/>
  <c r="K603" i="47" s="1"/>
  <c r="K678" i="47"/>
  <c r="L678" i="47"/>
  <c r="H678" i="47"/>
  <c r="C678" i="47"/>
  <c r="N677" i="47"/>
  <c r="L677" i="47"/>
  <c r="K677" i="47"/>
  <c r="J677" i="47"/>
  <c r="H677" i="47"/>
  <c r="G677" i="47"/>
  <c r="C677" i="47"/>
  <c r="N676" i="47"/>
  <c r="L676" i="47"/>
  <c r="K676" i="47"/>
  <c r="J676" i="47"/>
  <c r="H676" i="47"/>
  <c r="G676" i="47"/>
  <c r="C676" i="47"/>
  <c r="B661" i="53"/>
  <c r="K605" i="47"/>
  <c r="L605" i="47"/>
  <c r="H605" i="47"/>
  <c r="C605" i="47"/>
  <c r="N604" i="47"/>
  <c r="J604" i="47"/>
  <c r="H604" i="47"/>
  <c r="G604" i="47"/>
  <c r="C604" i="47"/>
  <c r="N603" i="47"/>
  <c r="J603" i="47"/>
  <c r="H603" i="47"/>
  <c r="G603" i="47"/>
  <c r="C603" i="47"/>
  <c r="N690" i="47"/>
  <c r="L690" i="47"/>
  <c r="K690" i="47"/>
  <c r="J690" i="47"/>
  <c r="H690" i="47"/>
  <c r="G690" i="47"/>
  <c r="C690" i="47"/>
  <c r="L691" i="47"/>
  <c r="H691" i="47"/>
  <c r="G691" i="47"/>
  <c r="C691" i="47"/>
  <c r="N689" i="47"/>
  <c r="L689" i="47"/>
  <c r="K689" i="47"/>
  <c r="J689" i="47"/>
  <c r="H689" i="47"/>
  <c r="G689" i="47"/>
  <c r="C689" i="47"/>
  <c r="N688" i="47"/>
  <c r="L688" i="47"/>
  <c r="K688" i="47"/>
  <c r="J688" i="47"/>
  <c r="H688" i="47"/>
  <c r="G688" i="47"/>
  <c r="C688" i="47"/>
  <c r="N599" i="47"/>
  <c r="C599" i="47"/>
  <c r="N598" i="47"/>
  <c r="C598" i="47"/>
  <c r="N601" i="47"/>
  <c r="C601" i="47"/>
  <c r="N600" i="47"/>
  <c r="C600" i="47"/>
  <c r="N597" i="47"/>
  <c r="C597" i="47"/>
  <c r="N596" i="47"/>
  <c r="C596" i="47"/>
  <c r="L593" i="47"/>
  <c r="K593" i="47"/>
  <c r="C593" i="47"/>
  <c r="N594" i="47"/>
  <c r="L594" i="47"/>
  <c r="K594" i="47"/>
  <c r="J594" i="47"/>
  <c r="H594" i="47"/>
  <c r="G594" i="47"/>
  <c r="C594" i="47"/>
  <c r="L592" i="47"/>
  <c r="K592" i="47"/>
  <c r="C592" i="47"/>
  <c r="N591" i="47"/>
  <c r="L591" i="47"/>
  <c r="K591" i="47"/>
  <c r="J591" i="47"/>
  <c r="H591" i="47"/>
  <c r="G591" i="47"/>
  <c r="C591" i="47"/>
  <c r="N590" i="47"/>
  <c r="L590" i="47"/>
  <c r="K590" i="47"/>
  <c r="J590" i="47"/>
  <c r="H590" i="47"/>
  <c r="G590" i="47"/>
  <c r="C590" i="47"/>
  <c r="C286" i="55"/>
  <c r="C287" i="55" s="1"/>
  <c r="C288" i="55" s="1"/>
  <c r="C289" i="55" s="1"/>
  <c r="C290" i="55" s="1"/>
  <c r="C291" i="55" s="1"/>
  <c r="C292" i="55" s="1"/>
  <c r="C293" i="55" s="1"/>
  <c r="C294" i="55" s="1"/>
  <c r="C295" i="55" s="1"/>
  <c r="C296" i="55" s="1"/>
  <c r="C297" i="55" s="1"/>
  <c r="C298" i="55" s="1"/>
  <c r="C299" i="55" s="1"/>
  <c r="C300" i="55" s="1"/>
  <c r="C301" i="55" s="1"/>
  <c r="C302" i="55" s="1"/>
  <c r="C303" i="55" s="1"/>
  <c r="C304" i="55" s="1"/>
  <c r="C305" i="55" s="1"/>
  <c r="C306" i="55" s="1"/>
  <c r="C307" i="55" s="1"/>
  <c r="C308" i="55" s="1"/>
  <c r="C309" i="55" s="1"/>
  <c r="C310" i="55" s="1"/>
  <c r="C311" i="55" s="1"/>
  <c r="C312" i="55" s="1"/>
  <c r="C313" i="55" s="1"/>
  <c r="C314" i="55" s="1"/>
  <c r="C315" i="55" s="1"/>
  <c r="C316" i="55" s="1"/>
  <c r="C317" i="55" s="1"/>
  <c r="C318" i="55" s="1"/>
  <c r="C319" i="55" s="1"/>
  <c r="C320" i="55" s="1"/>
  <c r="C321" i="55" s="1"/>
  <c r="C322" i="55" s="1"/>
  <c r="C323" i="55" s="1"/>
  <c r="C324" i="55" s="1"/>
  <c r="C325" i="55" s="1"/>
  <c r="C326" i="55" s="1"/>
  <c r="C327" i="55" s="1"/>
  <c r="C328" i="55" s="1"/>
  <c r="C329" i="55" s="1"/>
  <c r="C330" i="55" s="1"/>
  <c r="C331" i="55" s="1"/>
  <c r="K288" i="55"/>
  <c r="I288" i="55"/>
  <c r="H288" i="55"/>
  <c r="K287" i="55"/>
  <c r="I287" i="55"/>
  <c r="H287" i="55"/>
  <c r="N588" i="47"/>
  <c r="L588" i="47"/>
  <c r="K588" i="47"/>
  <c r="J588" i="47"/>
  <c r="H588" i="47"/>
  <c r="G588" i="47"/>
  <c r="C588" i="47"/>
  <c r="N587" i="47"/>
  <c r="L587" i="47"/>
  <c r="K587" i="47"/>
  <c r="J587" i="47"/>
  <c r="H587" i="47"/>
  <c r="G587" i="47"/>
  <c r="C587" i="47"/>
  <c r="N586" i="47"/>
  <c r="L586" i="47"/>
  <c r="K586" i="47"/>
  <c r="J586" i="47"/>
  <c r="H586" i="47"/>
  <c r="G586" i="47"/>
  <c r="C586" i="47"/>
  <c r="N585" i="47"/>
  <c r="L585" i="47"/>
  <c r="K585" i="47"/>
  <c r="J585" i="47"/>
  <c r="H585" i="47"/>
  <c r="G585" i="47"/>
  <c r="C585" i="47"/>
  <c r="N583" i="47"/>
  <c r="L583" i="47"/>
  <c r="K583" i="47"/>
  <c r="J583" i="47"/>
  <c r="H583" i="47"/>
  <c r="G583" i="47"/>
  <c r="C583" i="47"/>
  <c r="N582" i="47"/>
  <c r="L582" i="47"/>
  <c r="K582" i="47"/>
  <c r="J582" i="47"/>
  <c r="H582" i="47"/>
  <c r="G582" i="47"/>
  <c r="C582" i="47"/>
  <c r="N581" i="47"/>
  <c r="L581" i="47"/>
  <c r="K581" i="47"/>
  <c r="J581" i="47"/>
  <c r="H581" i="47"/>
  <c r="G581" i="47"/>
  <c r="C581" i="47"/>
  <c r="N579" i="47"/>
  <c r="C579" i="47"/>
  <c r="N578" i="47"/>
  <c r="L578" i="47"/>
  <c r="K578" i="47"/>
  <c r="J578" i="47"/>
  <c r="H578" i="47"/>
  <c r="G578" i="47"/>
  <c r="C578" i="47"/>
  <c r="N577" i="47"/>
  <c r="L577" i="47"/>
  <c r="K577" i="47"/>
  <c r="J577" i="47"/>
  <c r="H577" i="47"/>
  <c r="G577" i="47"/>
  <c r="C577" i="47"/>
  <c r="N575" i="47"/>
  <c r="L575" i="47"/>
  <c r="K575" i="47"/>
  <c r="J575" i="47"/>
  <c r="H575" i="47"/>
  <c r="G575" i="47"/>
  <c r="C575" i="47"/>
  <c r="N574" i="47"/>
  <c r="L574" i="47"/>
  <c r="K574" i="47"/>
  <c r="J574" i="47"/>
  <c r="H574" i="47"/>
  <c r="G574" i="47"/>
  <c r="C574" i="47"/>
  <c r="N572" i="47"/>
  <c r="L572" i="47"/>
  <c r="K572" i="47"/>
  <c r="J572" i="47"/>
  <c r="H572" i="47"/>
  <c r="G572" i="47"/>
  <c r="C572" i="47"/>
  <c r="N570" i="47"/>
  <c r="L570" i="47"/>
  <c r="K570" i="47"/>
  <c r="J570" i="47"/>
  <c r="H570" i="47"/>
  <c r="G570" i="47"/>
  <c r="C570" i="47"/>
  <c r="N569" i="47"/>
  <c r="L569" i="47"/>
  <c r="K569" i="47"/>
  <c r="J569" i="47"/>
  <c r="H569" i="47"/>
  <c r="G569" i="47"/>
  <c r="C569" i="47"/>
  <c r="N568" i="47"/>
  <c r="L568" i="47"/>
  <c r="K568" i="47"/>
  <c r="J568" i="47"/>
  <c r="H568" i="47"/>
  <c r="G568" i="47"/>
  <c r="C568" i="47"/>
  <c r="N567" i="47"/>
  <c r="L567" i="47"/>
  <c r="K567" i="47"/>
  <c r="J567" i="47"/>
  <c r="H567" i="47"/>
  <c r="G567" i="47"/>
  <c r="C567" i="47"/>
  <c r="N565" i="47"/>
  <c r="L565" i="47"/>
  <c r="K565" i="47"/>
  <c r="J565" i="47"/>
  <c r="H565" i="47"/>
  <c r="G565" i="47"/>
  <c r="C565" i="47"/>
  <c r="N564" i="47"/>
  <c r="L564" i="47"/>
  <c r="K564" i="47"/>
  <c r="J564" i="47"/>
  <c r="H564" i="47"/>
  <c r="G564" i="47"/>
  <c r="C564" i="47"/>
  <c r="N562" i="47"/>
  <c r="N561" i="47"/>
  <c r="L562" i="47"/>
  <c r="K562" i="47"/>
  <c r="J562" i="47"/>
  <c r="H562" i="47"/>
  <c r="G562" i="47"/>
  <c r="C562" i="47"/>
  <c r="L561" i="47"/>
  <c r="K561" i="47"/>
  <c r="J561" i="47"/>
  <c r="H561" i="47"/>
  <c r="G561" i="47"/>
  <c r="C561" i="47"/>
  <c r="K556" i="47"/>
  <c r="N559" i="47"/>
  <c r="C559" i="47"/>
  <c r="N558" i="47"/>
  <c r="C558" i="47"/>
  <c r="N557" i="47"/>
  <c r="C557" i="47"/>
  <c r="C556" i="47"/>
  <c r="C555" i="47"/>
  <c r="C359" i="55" l="1"/>
  <c r="J613" i="47"/>
  <c r="J605" i="47"/>
  <c r="M625" i="47"/>
  <c r="L604" i="47"/>
  <c r="M604" i="47" s="1"/>
  <c r="L612" i="47"/>
  <c r="M612" i="47" s="1"/>
  <c r="L603" i="47"/>
  <c r="M603" i="47" s="1"/>
  <c r="K611" i="47"/>
  <c r="M611" i="47" s="1"/>
  <c r="L616" i="47"/>
  <c r="M624" i="47"/>
  <c r="M622" i="47"/>
  <c r="L621" i="47"/>
  <c r="K623" i="47"/>
  <c r="M618" i="47"/>
  <c r="M619" i="47"/>
  <c r="M620" i="47"/>
  <c r="K615" i="47"/>
  <c r="M615" i="47" s="1"/>
  <c r="K617" i="47"/>
  <c r="K616" i="47" s="1"/>
  <c r="B677" i="53"/>
  <c r="B685" i="53"/>
  <c r="L606" i="47"/>
  <c r="M609" i="47"/>
  <c r="J678" i="47"/>
  <c r="J609" i="47"/>
  <c r="M613" i="47"/>
  <c r="B669" i="53"/>
  <c r="L675" i="47"/>
  <c r="M608" i="47"/>
  <c r="M678" i="47"/>
  <c r="K607" i="47"/>
  <c r="M676" i="47"/>
  <c r="M677" i="47"/>
  <c r="K675" i="47"/>
  <c r="B653" i="53"/>
  <c r="M605" i="47"/>
  <c r="K602" i="47"/>
  <c r="M690" i="47"/>
  <c r="M688" i="47"/>
  <c r="L687" i="47"/>
  <c r="M689" i="47"/>
  <c r="M593" i="47"/>
  <c r="K589" i="47"/>
  <c r="M594" i="47"/>
  <c r="L589" i="47"/>
  <c r="M592" i="47"/>
  <c r="M591" i="47"/>
  <c r="M590" i="47"/>
  <c r="M587" i="47"/>
  <c r="K584" i="47"/>
  <c r="L584" i="47"/>
  <c r="M588" i="47"/>
  <c r="M585" i="47"/>
  <c r="M586" i="47"/>
  <c r="L580" i="47"/>
  <c r="M583" i="47"/>
  <c r="M582" i="47"/>
  <c r="M581" i="47"/>
  <c r="K580" i="47"/>
  <c r="M574" i="47"/>
  <c r="M577" i="47"/>
  <c r="M578" i="47"/>
  <c r="L573" i="47"/>
  <c r="K573" i="47"/>
  <c r="M575" i="47"/>
  <c r="K571" i="47"/>
  <c r="L571" i="47"/>
  <c r="M572" i="47"/>
  <c r="M567" i="47"/>
  <c r="M569" i="47"/>
  <c r="M568" i="47"/>
  <c r="M570" i="47"/>
  <c r="L566" i="47"/>
  <c r="K566" i="47"/>
  <c r="M562" i="47"/>
  <c r="M565" i="47"/>
  <c r="L563" i="47"/>
  <c r="M564" i="47"/>
  <c r="K563" i="47"/>
  <c r="M561" i="47"/>
  <c r="K560" i="47"/>
  <c r="L560" i="47"/>
  <c r="L610" i="47" l="1"/>
  <c r="L602" i="47"/>
  <c r="M602" i="47" s="1"/>
  <c r="M616" i="47"/>
  <c r="K621" i="47"/>
  <c r="M621" i="47" s="1"/>
  <c r="M623" i="47"/>
  <c r="M617" i="47"/>
  <c r="M675" i="47"/>
  <c r="M607" i="47"/>
  <c r="K606" i="47"/>
  <c r="M606" i="47" s="1"/>
  <c r="M589" i="47"/>
  <c r="M584" i="47"/>
  <c r="M580" i="47"/>
  <c r="M573" i="47"/>
  <c r="M571" i="47"/>
  <c r="M566" i="47"/>
  <c r="M563" i="47"/>
  <c r="M560" i="47"/>
  <c r="I88" i="53" l="1"/>
  <c r="L88" i="53" s="1"/>
  <c r="I85" i="53"/>
  <c r="H203" i="53"/>
  <c r="L203" i="53" s="1"/>
  <c r="K462" i="55"/>
  <c r="I462" i="55"/>
  <c r="H462" i="55"/>
  <c r="N485" i="47"/>
  <c r="L485" i="47"/>
  <c r="K485" i="47"/>
  <c r="J485" i="47"/>
  <c r="H485" i="47"/>
  <c r="G485" i="47"/>
  <c r="C485" i="47"/>
  <c r="J415" i="47"/>
  <c r="N413" i="47"/>
  <c r="L415" i="47"/>
  <c r="H415" i="47"/>
  <c r="G415" i="47"/>
  <c r="C415" i="47"/>
  <c r="N414" i="47"/>
  <c r="L414" i="47"/>
  <c r="K414" i="47"/>
  <c r="J414" i="47"/>
  <c r="H414" i="47"/>
  <c r="G414" i="47"/>
  <c r="C414" i="47"/>
  <c r="L413" i="47"/>
  <c r="K413" i="47"/>
  <c r="J413" i="47"/>
  <c r="H413" i="47"/>
  <c r="G413" i="47"/>
  <c r="C413" i="47"/>
  <c r="K415" i="47" l="1"/>
  <c r="K412" i="47" s="1"/>
  <c r="B179" i="53"/>
  <c r="L484" i="47"/>
  <c r="M485" i="47"/>
  <c r="K484" i="47"/>
  <c r="L412" i="47"/>
  <c r="M414" i="47"/>
  <c r="M413" i="47"/>
  <c r="B38" i="47" l="1"/>
  <c r="B39" i="47" s="1"/>
  <c r="B40" i="47" s="1"/>
  <c r="J35" i="55"/>
  <c r="B951" i="47" s="1"/>
  <c r="B952" i="47" s="1"/>
  <c r="M415" i="47"/>
  <c r="M484" i="47"/>
  <c r="M412" i="47"/>
  <c r="K184" i="55" l="1"/>
  <c r="I184" i="55"/>
  <c r="H184" i="55"/>
  <c r="K45" i="55"/>
  <c r="I45" i="55"/>
  <c r="H45" i="55"/>
  <c r="Q44" i="55"/>
  <c r="N440" i="47"/>
  <c r="L440" i="47"/>
  <c r="K440" i="47"/>
  <c r="J440" i="47"/>
  <c r="H440" i="47"/>
  <c r="G440" i="47"/>
  <c r="C440" i="47"/>
  <c r="N439" i="47"/>
  <c r="L439" i="47"/>
  <c r="K439" i="47"/>
  <c r="J439" i="47"/>
  <c r="H439" i="47"/>
  <c r="G439" i="47"/>
  <c r="C439" i="47"/>
  <c r="N437" i="47"/>
  <c r="L437" i="47"/>
  <c r="K437" i="47"/>
  <c r="J437" i="47"/>
  <c r="H437" i="47"/>
  <c r="G437" i="47"/>
  <c r="C437" i="47"/>
  <c r="N436" i="47"/>
  <c r="L436" i="47"/>
  <c r="K436" i="47"/>
  <c r="J436" i="47"/>
  <c r="H436" i="47"/>
  <c r="G436" i="47"/>
  <c r="C436" i="47"/>
  <c r="I137" i="53"/>
  <c r="H137" i="53"/>
  <c r="L85" i="53"/>
  <c r="J162" i="53"/>
  <c r="I162" i="53"/>
  <c r="N103" i="47"/>
  <c r="L103" i="47"/>
  <c r="K103" i="47"/>
  <c r="J103" i="47"/>
  <c r="H103" i="47"/>
  <c r="G103" i="47"/>
  <c r="C103" i="47"/>
  <c r="H74" i="53"/>
  <c r="L74" i="53" s="1"/>
  <c r="H73" i="53"/>
  <c r="L73" i="53" s="1"/>
  <c r="H68" i="53"/>
  <c r="L68" i="53" s="1"/>
  <c r="H66" i="53"/>
  <c r="L66" i="53" s="1"/>
  <c r="H65" i="53"/>
  <c r="L65" i="53" s="1"/>
  <c r="H64" i="53"/>
  <c r="L64" i="53" s="1"/>
  <c r="H63" i="53"/>
  <c r="L63" i="53" s="1"/>
  <c r="H62" i="53"/>
  <c r="L62" i="53" s="1"/>
  <c r="H60" i="53"/>
  <c r="L60" i="53" s="1"/>
  <c r="H59" i="53"/>
  <c r="L59" i="53" s="1"/>
  <c r="H58" i="53"/>
  <c r="L58" i="53" s="1"/>
  <c r="H57" i="53"/>
  <c r="L57" i="53" s="1"/>
  <c r="H55" i="53"/>
  <c r="L55" i="53" s="1"/>
  <c r="H53" i="53"/>
  <c r="L53" i="53" s="1"/>
  <c r="L137" i="53" l="1"/>
  <c r="L162" i="53"/>
  <c r="H54" i="53"/>
  <c r="L54" i="53" s="1"/>
  <c r="H72" i="53"/>
  <c r="L72" i="53" s="1"/>
  <c r="H52" i="53"/>
  <c r="L52" i="53" s="1"/>
  <c r="M440" i="47"/>
  <c r="K438" i="47"/>
  <c r="L438" i="47"/>
  <c r="M439" i="47"/>
  <c r="L435" i="47"/>
  <c r="M437" i="47"/>
  <c r="M436" i="47"/>
  <c r="K435" i="47"/>
  <c r="M103" i="47"/>
  <c r="H61" i="53"/>
  <c r="L61" i="53" s="1"/>
  <c r="H56" i="53"/>
  <c r="L56" i="53" s="1"/>
  <c r="M438" i="47" l="1"/>
  <c r="M435" i="47"/>
  <c r="O139" i="55" l="1"/>
  <c r="O138" i="55"/>
  <c r="N253" i="47"/>
  <c r="L253" i="47"/>
  <c r="K253" i="47"/>
  <c r="J253" i="47"/>
  <c r="H253" i="47"/>
  <c r="G253" i="47"/>
  <c r="C253" i="47"/>
  <c r="N252" i="47"/>
  <c r="L252" i="47"/>
  <c r="K252" i="47"/>
  <c r="J252" i="47"/>
  <c r="H252" i="47"/>
  <c r="G252" i="47"/>
  <c r="C252" i="47"/>
  <c r="N251" i="47"/>
  <c r="L251" i="47"/>
  <c r="K251" i="47"/>
  <c r="J251" i="47"/>
  <c r="H251" i="47"/>
  <c r="G251" i="47"/>
  <c r="C251" i="47"/>
  <c r="K88" i="55"/>
  <c r="I88" i="55"/>
  <c r="H88" i="55"/>
  <c r="K87" i="55"/>
  <c r="I87" i="55"/>
  <c r="H87" i="55"/>
  <c r="D86" i="55"/>
  <c r="D87" i="55" s="1"/>
  <c r="D88" i="55" s="1"/>
  <c r="C85" i="55"/>
  <c r="C86" i="55" s="1"/>
  <c r="K61" i="55"/>
  <c r="I61" i="55"/>
  <c r="H61" i="55"/>
  <c r="K59" i="55"/>
  <c r="I59" i="55"/>
  <c r="H59" i="55"/>
  <c r="K58" i="55"/>
  <c r="I58" i="55"/>
  <c r="H58" i="55"/>
  <c r="K57" i="55"/>
  <c r="I57" i="55"/>
  <c r="H57" i="55"/>
  <c r="D57" i="55"/>
  <c r="D58" i="55" s="1"/>
  <c r="D59" i="55" s="1"/>
  <c r="D60" i="55" s="1"/>
  <c r="D61" i="55" s="1"/>
  <c r="C56" i="55"/>
  <c r="C57" i="55" s="1"/>
  <c r="K119" i="55"/>
  <c r="I119" i="55"/>
  <c r="H119" i="55"/>
  <c r="B104" i="53"/>
  <c r="B96" i="53"/>
  <c r="K445" i="55"/>
  <c r="I445" i="55"/>
  <c r="H445" i="55"/>
  <c r="K442" i="55"/>
  <c r="I442" i="55"/>
  <c r="H442" i="55"/>
  <c r="K440" i="55"/>
  <c r="I440" i="55"/>
  <c r="H440" i="55"/>
  <c r="J44" i="47"/>
  <c r="N47" i="47"/>
  <c r="N46" i="47"/>
  <c r="N45" i="47"/>
  <c r="L47" i="47"/>
  <c r="K47" i="47"/>
  <c r="J47" i="47"/>
  <c r="H47" i="47"/>
  <c r="G47" i="47"/>
  <c r="C47" i="47"/>
  <c r="L46" i="47"/>
  <c r="K46" i="47"/>
  <c r="J46" i="47"/>
  <c r="H46" i="47"/>
  <c r="G46" i="47"/>
  <c r="C46" i="47"/>
  <c r="L45" i="47"/>
  <c r="K45" i="47"/>
  <c r="J45" i="47"/>
  <c r="H45" i="47"/>
  <c r="G45" i="47"/>
  <c r="C45" i="47"/>
  <c r="L44" i="47"/>
  <c r="K44" i="47"/>
  <c r="H44" i="47"/>
  <c r="G44" i="47"/>
  <c r="C44" i="47"/>
  <c r="N42" i="47"/>
  <c r="L42" i="47"/>
  <c r="L41" i="47" s="1"/>
  <c r="K42" i="47"/>
  <c r="J42" i="47"/>
  <c r="H42" i="47"/>
  <c r="G42" i="47"/>
  <c r="C42" i="47"/>
  <c r="K437" i="55"/>
  <c r="I437" i="55"/>
  <c r="H437" i="55"/>
  <c r="K435" i="55"/>
  <c r="I435" i="55"/>
  <c r="H435" i="55"/>
  <c r="K434" i="55"/>
  <c r="I434" i="55"/>
  <c r="H434" i="55"/>
  <c r="K433" i="55"/>
  <c r="I433" i="55"/>
  <c r="H433" i="55"/>
  <c r="K432" i="55"/>
  <c r="I432" i="55"/>
  <c r="H432" i="55"/>
  <c r="K431" i="55"/>
  <c r="I431" i="55"/>
  <c r="H431" i="55"/>
  <c r="K430" i="55"/>
  <c r="I430" i="55"/>
  <c r="H430" i="55"/>
  <c r="D428" i="55"/>
  <c r="D429" i="55" s="1"/>
  <c r="D430" i="55" s="1"/>
  <c r="D431" i="55" s="1"/>
  <c r="D432" i="55" s="1"/>
  <c r="D433" i="55" s="1"/>
  <c r="D434" i="55" s="1"/>
  <c r="D435" i="55" s="1"/>
  <c r="D436" i="55" s="1"/>
  <c r="D437" i="55" s="1"/>
  <c r="D438" i="55" s="1"/>
  <c r="D439" i="55" s="1"/>
  <c r="D440" i="55" s="1"/>
  <c r="D441" i="55" s="1"/>
  <c r="D442" i="55" s="1"/>
  <c r="D443" i="55" s="1"/>
  <c r="D444" i="55" s="1"/>
  <c r="D445" i="55" s="1"/>
  <c r="C427" i="55"/>
  <c r="C428" i="55" s="1"/>
  <c r="C429" i="55" s="1"/>
  <c r="C430" i="55" s="1"/>
  <c r="C431" i="55" s="1"/>
  <c r="H257" i="55"/>
  <c r="H256" i="55"/>
  <c r="AJ67" i="57"/>
  <c r="AI67" i="57"/>
  <c r="D254" i="55"/>
  <c r="D255" i="55" s="1"/>
  <c r="D256" i="55" s="1"/>
  <c r="D257" i="55" s="1"/>
  <c r="D258" i="55" s="1"/>
  <c r="D259" i="55" s="1"/>
  <c r="D260" i="55" s="1"/>
  <c r="D261" i="55" s="1"/>
  <c r="D262" i="55" s="1"/>
  <c r="D263" i="55" s="1"/>
  <c r="D264" i="55" s="1"/>
  <c r="D265" i="55" s="1"/>
  <c r="D266" i="55" s="1"/>
  <c r="D267" i="55" s="1"/>
  <c r="D268" i="55" s="1"/>
  <c r="D269" i="55" s="1"/>
  <c r="D270" i="55" s="1"/>
  <c r="D271" i="55" s="1"/>
  <c r="D126" i="55"/>
  <c r="D70" i="55"/>
  <c r="D71" i="55" s="1"/>
  <c r="D72" i="55" s="1"/>
  <c r="D73" i="55" s="1"/>
  <c r="D74" i="55" s="1"/>
  <c r="D75" i="55" s="1"/>
  <c r="D76" i="55" s="1"/>
  <c r="K216" i="47"/>
  <c r="L216" i="47"/>
  <c r="H216" i="47"/>
  <c r="G216" i="47"/>
  <c r="C216" i="47"/>
  <c r="N215" i="47"/>
  <c r="L215" i="47"/>
  <c r="K215" i="47"/>
  <c r="J215" i="47"/>
  <c r="H215" i="47"/>
  <c r="G215" i="47"/>
  <c r="C215" i="47"/>
  <c r="N214" i="47"/>
  <c r="L214" i="47"/>
  <c r="K214" i="47"/>
  <c r="J214" i="47"/>
  <c r="H214" i="47"/>
  <c r="G214" i="47"/>
  <c r="C214" i="47"/>
  <c r="N221" i="47"/>
  <c r="L221" i="47"/>
  <c r="K221" i="47"/>
  <c r="J221" i="47"/>
  <c r="H221" i="47"/>
  <c r="G221" i="47"/>
  <c r="C221" i="47"/>
  <c r="N220" i="47"/>
  <c r="L220" i="47"/>
  <c r="K220" i="47"/>
  <c r="J220" i="47"/>
  <c r="H220" i="47"/>
  <c r="G220" i="47"/>
  <c r="C220" i="47"/>
  <c r="N219" i="47"/>
  <c r="L219" i="47"/>
  <c r="K219" i="47"/>
  <c r="J219" i="47"/>
  <c r="H219" i="47"/>
  <c r="G219" i="47"/>
  <c r="C219" i="47"/>
  <c r="N218" i="47"/>
  <c r="L218" i="47"/>
  <c r="K218" i="47"/>
  <c r="J218" i="47"/>
  <c r="H218" i="47"/>
  <c r="G218" i="47"/>
  <c r="C218" i="47"/>
  <c r="P217" i="47"/>
  <c r="J921" i="47"/>
  <c r="H794" i="53"/>
  <c r="L794" i="53" s="1"/>
  <c r="H793" i="53"/>
  <c r="L793" i="53" s="1"/>
  <c r="H791" i="53"/>
  <c r="L791" i="53" s="1"/>
  <c r="H788" i="53"/>
  <c r="L788" i="53" s="1"/>
  <c r="H786" i="53"/>
  <c r="L786" i="53" s="1"/>
  <c r="L924" i="47"/>
  <c r="H924" i="47"/>
  <c r="G924" i="47"/>
  <c r="C924" i="47"/>
  <c r="L805" i="53"/>
  <c r="L923" i="47"/>
  <c r="H923" i="47"/>
  <c r="G923" i="47"/>
  <c r="C923" i="47"/>
  <c r="B783" i="53"/>
  <c r="L921" i="47"/>
  <c r="L920" i="47" s="1"/>
  <c r="H921" i="47"/>
  <c r="G921" i="47"/>
  <c r="C921" i="47"/>
  <c r="B797" i="53"/>
  <c r="L919" i="47"/>
  <c r="L918" i="47" s="1"/>
  <c r="H919" i="47"/>
  <c r="G919" i="47"/>
  <c r="C919" i="47"/>
  <c r="B796" i="53"/>
  <c r="L917" i="47"/>
  <c r="L916" i="47" s="1"/>
  <c r="H917" i="47"/>
  <c r="G917" i="47"/>
  <c r="C917" i="47"/>
  <c r="B795" i="53"/>
  <c r="L915" i="47"/>
  <c r="L914" i="47" s="1"/>
  <c r="H915" i="47"/>
  <c r="G915" i="47"/>
  <c r="C915" i="47"/>
  <c r="B794" i="53"/>
  <c r="L913" i="47"/>
  <c r="L912" i="47" s="1"/>
  <c r="H913" i="47"/>
  <c r="G913" i="47"/>
  <c r="C913" i="47"/>
  <c r="B793" i="53"/>
  <c r="L911" i="47"/>
  <c r="L910" i="47" s="1"/>
  <c r="H911" i="47"/>
  <c r="G911" i="47"/>
  <c r="C911" i="47"/>
  <c r="B792" i="53"/>
  <c r="L909" i="47"/>
  <c r="L908" i="47" s="1"/>
  <c r="H909" i="47"/>
  <c r="G909" i="47"/>
  <c r="C909" i="47"/>
  <c r="B791" i="53"/>
  <c r="L907" i="47"/>
  <c r="L906" i="47" s="1"/>
  <c r="H907" i="47"/>
  <c r="G907" i="47"/>
  <c r="C907" i="47"/>
  <c r="B790" i="53"/>
  <c r="L905" i="47"/>
  <c r="L904" i="47" s="1"/>
  <c r="H905" i="47"/>
  <c r="G905" i="47"/>
  <c r="C905" i="47"/>
  <c r="B789" i="53"/>
  <c r="L903" i="47"/>
  <c r="L902" i="47" s="1"/>
  <c r="H903" i="47"/>
  <c r="G903" i="47"/>
  <c r="C903" i="47"/>
  <c r="B788" i="53"/>
  <c r="L901" i="47"/>
  <c r="L900" i="47" s="1"/>
  <c r="H901" i="47"/>
  <c r="G901" i="47"/>
  <c r="C901" i="47"/>
  <c r="B787" i="53"/>
  <c r="L899" i="47"/>
  <c r="L898" i="47" s="1"/>
  <c r="H899" i="47"/>
  <c r="G899" i="47"/>
  <c r="C899" i="47"/>
  <c r="B786" i="53"/>
  <c r="L897" i="47"/>
  <c r="L896" i="47" s="1"/>
  <c r="H897" i="47"/>
  <c r="G897" i="47"/>
  <c r="C897" i="47"/>
  <c r="B785" i="53"/>
  <c r="L895" i="47"/>
  <c r="L894" i="47" s="1"/>
  <c r="H895" i="47"/>
  <c r="G895" i="47"/>
  <c r="C895" i="47"/>
  <c r="B784" i="53"/>
  <c r="K919" i="47"/>
  <c r="K907" i="47"/>
  <c r="K897" i="47"/>
  <c r="K895" i="47"/>
  <c r="K893" i="47"/>
  <c r="K892" i="47" s="1"/>
  <c r="L893" i="47"/>
  <c r="L892" i="47" s="1"/>
  <c r="H893" i="47"/>
  <c r="G893" i="47"/>
  <c r="C893" i="47"/>
  <c r="J961" i="47"/>
  <c r="L961" i="47"/>
  <c r="H961" i="47"/>
  <c r="G961" i="47"/>
  <c r="C961" i="47"/>
  <c r="B822" i="53"/>
  <c r="D447" i="55"/>
  <c r="C446" i="55"/>
  <c r="C447" i="55" s="1"/>
  <c r="J905" i="47" l="1"/>
  <c r="J903" i="47"/>
  <c r="K911" i="47"/>
  <c r="M911" i="47" s="1"/>
  <c r="K909" i="47"/>
  <c r="M909" i="47" s="1"/>
  <c r="J913" i="47"/>
  <c r="K917" i="47"/>
  <c r="M917" i="47" s="1"/>
  <c r="J915" i="47"/>
  <c r="K901" i="47"/>
  <c r="K900" i="47" s="1"/>
  <c r="M900" i="47" s="1"/>
  <c r="K899" i="47"/>
  <c r="K898" i="47" s="1"/>
  <c r="M898" i="47" s="1"/>
  <c r="B27" i="53"/>
  <c r="B806" i="53"/>
  <c r="B805" i="53"/>
  <c r="M253" i="47"/>
  <c r="K250" i="47"/>
  <c r="L250" i="47"/>
  <c r="M252" i="47"/>
  <c r="M251" i="47"/>
  <c r="C87" i="55"/>
  <c r="E86" i="55"/>
  <c r="C58" i="55"/>
  <c r="E57" i="55"/>
  <c r="J216" i="47"/>
  <c r="J893" i="47"/>
  <c r="E429" i="55"/>
  <c r="M44" i="47"/>
  <c r="L43" i="47"/>
  <c r="M47" i="47"/>
  <c r="M46" i="47"/>
  <c r="M42" i="47"/>
  <c r="M45" i="47"/>
  <c r="K43" i="47"/>
  <c r="K41" i="47"/>
  <c r="M41" i="47" s="1"/>
  <c r="C432" i="55"/>
  <c r="E431" i="55"/>
  <c r="E430" i="55"/>
  <c r="E428" i="55"/>
  <c r="M214" i="47"/>
  <c r="E447" i="55"/>
  <c r="K921" i="47"/>
  <c r="M921" i="47" s="1"/>
  <c r="M216" i="47"/>
  <c r="M221" i="47"/>
  <c r="L213" i="47"/>
  <c r="M215" i="47"/>
  <c r="M220" i="47"/>
  <c r="M218" i="47"/>
  <c r="L217" i="47"/>
  <c r="K213" i="47"/>
  <c r="K217" i="47"/>
  <c r="M219" i="47"/>
  <c r="K961" i="47"/>
  <c r="K960" i="47" s="1"/>
  <c r="H806" i="53"/>
  <c r="L806" i="53" s="1"/>
  <c r="J919" i="47"/>
  <c r="J907" i="47"/>
  <c r="K905" i="47"/>
  <c r="K904" i="47" s="1"/>
  <c r="M904" i="47" s="1"/>
  <c r="J897" i="47"/>
  <c r="L922" i="47"/>
  <c r="K923" i="47"/>
  <c r="J923" i="47"/>
  <c r="J895" i="47"/>
  <c r="M919" i="47"/>
  <c r="K918" i="47"/>
  <c r="M918" i="47" s="1"/>
  <c r="M907" i="47"/>
  <c r="K906" i="47"/>
  <c r="M906" i="47" s="1"/>
  <c r="M897" i="47"/>
  <c r="M895" i="47"/>
  <c r="K896" i="47"/>
  <c r="M896" i="47" s="1"/>
  <c r="K894" i="47"/>
  <c r="M894" i="47" s="1"/>
  <c r="M893" i="47"/>
  <c r="J911" i="47" l="1"/>
  <c r="J899" i="47"/>
  <c r="K903" i="47"/>
  <c r="K902" i="47" s="1"/>
  <c r="M902" i="47" s="1"/>
  <c r="J901" i="47"/>
  <c r="J917" i="47"/>
  <c r="J909" i="47"/>
  <c r="K915" i="47"/>
  <c r="M915" i="47" s="1"/>
  <c r="K908" i="47"/>
  <c r="M908" i="47" s="1"/>
  <c r="M901" i="47"/>
  <c r="K916" i="47"/>
  <c r="M916" i="47" s="1"/>
  <c r="K910" i="47"/>
  <c r="M910" i="47" s="1"/>
  <c r="M899" i="47"/>
  <c r="K913" i="47"/>
  <c r="M250" i="47"/>
  <c r="E58" i="55"/>
  <c r="C59" i="55"/>
  <c r="C88" i="55"/>
  <c r="E87" i="55"/>
  <c r="M43" i="47"/>
  <c r="K920" i="47"/>
  <c r="M920" i="47" s="1"/>
  <c r="C433" i="55"/>
  <c r="E432" i="55"/>
  <c r="M213" i="47"/>
  <c r="M217" i="47"/>
  <c r="M961" i="47"/>
  <c r="K924" i="47"/>
  <c r="M924" i="47" s="1"/>
  <c r="J924" i="47"/>
  <c r="M905" i="47"/>
  <c r="M923" i="47"/>
  <c r="L960" i="47"/>
  <c r="M960" i="47" s="1"/>
  <c r="M903" i="47" l="1"/>
  <c r="K914" i="47"/>
  <c r="M914" i="47" s="1"/>
  <c r="K912" i="47"/>
  <c r="M912" i="47" s="1"/>
  <c r="M913" i="47"/>
  <c r="E88" i="55"/>
  <c r="C60" i="55"/>
  <c r="E59" i="55"/>
  <c r="C434" i="55"/>
  <c r="E433" i="55"/>
  <c r="K922" i="47"/>
  <c r="M922" i="47" s="1"/>
  <c r="C61" i="55" l="1"/>
  <c r="E61" i="55" s="1"/>
  <c r="E60" i="55"/>
  <c r="C435" i="55"/>
  <c r="E434" i="55"/>
  <c r="C436" i="55" l="1"/>
  <c r="E435" i="55"/>
  <c r="C437" i="55" l="1"/>
  <c r="E436" i="55"/>
  <c r="E437" i="55" l="1"/>
  <c r="C438" i="55"/>
  <c r="C439" i="55" l="1"/>
  <c r="E438" i="55"/>
  <c r="C440" i="55" l="1"/>
  <c r="E439" i="55"/>
  <c r="C441" i="55" l="1"/>
  <c r="E440" i="55"/>
  <c r="E441" i="55" l="1"/>
  <c r="C442" i="55"/>
  <c r="C443" i="55" l="1"/>
  <c r="E442" i="55"/>
  <c r="C444" i="55" l="1"/>
  <c r="E443" i="55"/>
  <c r="C445" i="55" l="1"/>
  <c r="E445" i="55" s="1"/>
  <c r="E444" i="55"/>
  <c r="K959" i="47" l="1"/>
  <c r="I958" i="47"/>
  <c r="K958" i="47" s="1"/>
  <c r="I957" i="47"/>
  <c r="K957" i="47" s="1"/>
  <c r="I956" i="47"/>
  <c r="L959" i="47"/>
  <c r="H959" i="47"/>
  <c r="G959" i="47"/>
  <c r="C959" i="47"/>
  <c r="N958" i="47"/>
  <c r="J958" i="47"/>
  <c r="H958" i="47"/>
  <c r="G958" i="47"/>
  <c r="C958" i="47"/>
  <c r="N957" i="47"/>
  <c r="J957" i="47"/>
  <c r="H957" i="47"/>
  <c r="G957" i="47"/>
  <c r="C957" i="47"/>
  <c r="N956" i="47"/>
  <c r="C956" i="47"/>
  <c r="B831" i="53"/>
  <c r="L954" i="47"/>
  <c r="H954" i="47"/>
  <c r="G954" i="47"/>
  <c r="C954" i="47"/>
  <c r="B814" i="53"/>
  <c r="I875" i="47"/>
  <c r="L875" i="47" s="1"/>
  <c r="N875" i="47"/>
  <c r="J875" i="47"/>
  <c r="H875" i="47"/>
  <c r="G875" i="47"/>
  <c r="C875" i="47"/>
  <c r="L874" i="47"/>
  <c r="H874" i="47"/>
  <c r="G874" i="47"/>
  <c r="C874" i="47"/>
  <c r="L873" i="47"/>
  <c r="H873" i="47"/>
  <c r="G873" i="47"/>
  <c r="C873" i="47"/>
  <c r="I866" i="47"/>
  <c r="L866" i="47" s="1"/>
  <c r="L865" i="47"/>
  <c r="H865" i="47"/>
  <c r="G865" i="47"/>
  <c r="C865" i="47"/>
  <c r="I862" i="47"/>
  <c r="K954" i="47"/>
  <c r="K865" i="47"/>
  <c r="K873" i="47"/>
  <c r="N866" i="47"/>
  <c r="J866" i="47"/>
  <c r="H866" i="47"/>
  <c r="G866" i="47"/>
  <c r="C866" i="47"/>
  <c r="L864" i="47"/>
  <c r="H864" i="47"/>
  <c r="G864" i="47"/>
  <c r="C864" i="47"/>
  <c r="D449" i="55"/>
  <c r="C448" i="55"/>
  <c r="N237" i="47"/>
  <c r="L237" i="47"/>
  <c r="K237" i="47"/>
  <c r="J237" i="47"/>
  <c r="H237" i="47"/>
  <c r="G237" i="47"/>
  <c r="C237" i="47"/>
  <c r="N236" i="47"/>
  <c r="L236" i="47"/>
  <c r="K236" i="47"/>
  <c r="J236" i="47"/>
  <c r="H236" i="47"/>
  <c r="G236" i="47"/>
  <c r="C236" i="47"/>
  <c r="N235" i="47"/>
  <c r="L235" i="47"/>
  <c r="K235" i="47"/>
  <c r="J235" i="47"/>
  <c r="H235" i="47"/>
  <c r="G235" i="47"/>
  <c r="C235" i="47"/>
  <c r="Q234" i="47"/>
  <c r="J959" i="47" l="1"/>
  <c r="B734" i="53"/>
  <c r="L957" i="47"/>
  <c r="M957" i="47" s="1"/>
  <c r="J954" i="47"/>
  <c r="L958" i="47"/>
  <c r="M958" i="47" s="1"/>
  <c r="M959" i="47"/>
  <c r="L953" i="47"/>
  <c r="K953" i="47"/>
  <c r="M954" i="47"/>
  <c r="J874" i="47"/>
  <c r="K874" i="47"/>
  <c r="M874" i="47" s="1"/>
  <c r="J865" i="47"/>
  <c r="J873" i="47"/>
  <c r="M873" i="47"/>
  <c r="L872" i="47"/>
  <c r="K875" i="47"/>
  <c r="M865" i="47"/>
  <c r="M237" i="47"/>
  <c r="L863" i="47"/>
  <c r="K866" i="47"/>
  <c r="M866" i="47" s="1"/>
  <c r="L234" i="47"/>
  <c r="M235" i="47"/>
  <c r="M236" i="47"/>
  <c r="K234" i="47"/>
  <c r="K468" i="55"/>
  <c r="I468" i="55"/>
  <c r="H468" i="55"/>
  <c r="K467" i="55"/>
  <c r="I467" i="55"/>
  <c r="H467" i="55"/>
  <c r="N411" i="47"/>
  <c r="L411" i="47"/>
  <c r="K411" i="47"/>
  <c r="J411" i="47"/>
  <c r="H411" i="47"/>
  <c r="G411" i="47"/>
  <c r="C411" i="47"/>
  <c r="N410" i="47"/>
  <c r="L410" i="47"/>
  <c r="K410" i="47"/>
  <c r="J410" i="47"/>
  <c r="H410" i="47"/>
  <c r="G410" i="47"/>
  <c r="C410" i="47"/>
  <c r="N409" i="47"/>
  <c r="L409" i="47"/>
  <c r="K409" i="47"/>
  <c r="J409" i="47"/>
  <c r="H409" i="47"/>
  <c r="G409" i="47"/>
  <c r="C409" i="47"/>
  <c r="L408" i="47"/>
  <c r="H408" i="47"/>
  <c r="G408" i="47"/>
  <c r="C408" i="47"/>
  <c r="D197" i="55"/>
  <c r="D198" i="55" s="1"/>
  <c r="D199" i="55" s="1"/>
  <c r="D200" i="55" s="1"/>
  <c r="D201" i="55" s="1"/>
  <c r="D202" i="55" s="1"/>
  <c r="D203" i="55" s="1"/>
  <c r="D204" i="55" s="1"/>
  <c r="D205" i="55" s="1"/>
  <c r="K195" i="55"/>
  <c r="I195" i="55"/>
  <c r="H195" i="55"/>
  <c r="D195" i="55"/>
  <c r="C194" i="55"/>
  <c r="C195" i="55" s="1"/>
  <c r="K415" i="55"/>
  <c r="I415" i="55"/>
  <c r="H415" i="55"/>
  <c r="K414" i="55"/>
  <c r="I414" i="55"/>
  <c r="H414" i="55"/>
  <c r="N406" i="47"/>
  <c r="L406" i="47"/>
  <c r="K406" i="47"/>
  <c r="J406" i="47"/>
  <c r="H406" i="47"/>
  <c r="G406" i="47"/>
  <c r="C406" i="47"/>
  <c r="N405" i="47"/>
  <c r="L405" i="47"/>
  <c r="K405" i="47"/>
  <c r="J405" i="47"/>
  <c r="H405" i="47"/>
  <c r="G405" i="47"/>
  <c r="C405" i="47"/>
  <c r="N404" i="47"/>
  <c r="L404" i="47"/>
  <c r="K404" i="47"/>
  <c r="J404" i="47"/>
  <c r="H404" i="47"/>
  <c r="G404" i="47"/>
  <c r="C404" i="47"/>
  <c r="N403" i="47"/>
  <c r="L403" i="47"/>
  <c r="K403" i="47"/>
  <c r="J403" i="47"/>
  <c r="H403" i="47"/>
  <c r="G403" i="47"/>
  <c r="C403" i="47"/>
  <c r="N402" i="47"/>
  <c r="L402" i="47"/>
  <c r="K402" i="47"/>
  <c r="J402" i="47"/>
  <c r="H402" i="47"/>
  <c r="G402" i="47"/>
  <c r="C402" i="47"/>
  <c r="D162" i="55"/>
  <c r="C161" i="55"/>
  <c r="C162" i="55" s="1"/>
  <c r="N400" i="47"/>
  <c r="J400" i="47"/>
  <c r="I400" i="47"/>
  <c r="L400" i="47" s="1"/>
  <c r="H400" i="47"/>
  <c r="G400" i="47"/>
  <c r="C400" i="47"/>
  <c r="N399" i="47"/>
  <c r="J399" i="47"/>
  <c r="I399" i="47"/>
  <c r="L399" i="47" s="1"/>
  <c r="H399" i="47"/>
  <c r="G399" i="47"/>
  <c r="C399" i="47"/>
  <c r="N398" i="47"/>
  <c r="J398" i="47"/>
  <c r="I398" i="47"/>
  <c r="K398" i="47" s="1"/>
  <c r="H398" i="47"/>
  <c r="G398" i="47"/>
  <c r="C398" i="47"/>
  <c r="N397" i="47"/>
  <c r="J397" i="47"/>
  <c r="I397" i="47"/>
  <c r="K397" i="47" s="1"/>
  <c r="H397" i="47"/>
  <c r="G397" i="47"/>
  <c r="C397" i="47"/>
  <c r="K425" i="55"/>
  <c r="I425" i="55"/>
  <c r="H425" i="55"/>
  <c r="K424" i="55"/>
  <c r="I424" i="55"/>
  <c r="H424" i="55"/>
  <c r="D424" i="55"/>
  <c r="D425" i="55" s="1"/>
  <c r="C423" i="55"/>
  <c r="C424" i="55" s="1"/>
  <c r="D153" i="55"/>
  <c r="D154" i="55" s="1"/>
  <c r="D151" i="55"/>
  <c r="C150" i="55"/>
  <c r="C151" i="55" s="1"/>
  <c r="I153" i="47"/>
  <c r="L153" i="47" s="1"/>
  <c r="I149" i="47"/>
  <c r="N155" i="47"/>
  <c r="L155" i="47"/>
  <c r="K155" i="47"/>
  <c r="J155" i="47"/>
  <c r="H155" i="47"/>
  <c r="G155" i="47"/>
  <c r="C155" i="47"/>
  <c r="N154" i="47"/>
  <c r="L154" i="47"/>
  <c r="K154" i="47"/>
  <c r="J154" i="47"/>
  <c r="H154" i="47"/>
  <c r="G154" i="47"/>
  <c r="C154" i="47"/>
  <c r="H153" i="47"/>
  <c r="G153" i="47"/>
  <c r="C153" i="47"/>
  <c r="H149" i="47"/>
  <c r="G149" i="47"/>
  <c r="C149" i="47"/>
  <c r="N151" i="47"/>
  <c r="L151" i="47"/>
  <c r="K151" i="47"/>
  <c r="J151" i="47"/>
  <c r="H151" i="47"/>
  <c r="G151" i="47"/>
  <c r="C151" i="47"/>
  <c r="N150" i="47"/>
  <c r="L150" i="47"/>
  <c r="K150" i="47"/>
  <c r="J150" i="47"/>
  <c r="H150" i="47"/>
  <c r="G150" i="47"/>
  <c r="C150" i="47"/>
  <c r="N147" i="47"/>
  <c r="L147" i="47"/>
  <c r="K147" i="47"/>
  <c r="J147" i="47"/>
  <c r="H147" i="47"/>
  <c r="G147" i="47"/>
  <c r="C147" i="47"/>
  <c r="N146" i="47"/>
  <c r="L146" i="47"/>
  <c r="K146" i="47"/>
  <c r="J146" i="47"/>
  <c r="H146" i="47"/>
  <c r="G146" i="47"/>
  <c r="C146" i="47"/>
  <c r="N145" i="47"/>
  <c r="L145" i="47"/>
  <c r="K145" i="47"/>
  <c r="J145" i="47"/>
  <c r="H145" i="47"/>
  <c r="G145" i="47"/>
  <c r="C145" i="47"/>
  <c r="N143" i="47"/>
  <c r="L143" i="47"/>
  <c r="K143" i="47"/>
  <c r="J143" i="47"/>
  <c r="H143" i="47"/>
  <c r="G143" i="47"/>
  <c r="C143" i="47"/>
  <c r="N142" i="47"/>
  <c r="L142" i="47"/>
  <c r="K142" i="47"/>
  <c r="J142" i="47"/>
  <c r="H142" i="47"/>
  <c r="G142" i="47"/>
  <c r="C142" i="47"/>
  <c r="L141" i="47"/>
  <c r="H141" i="47"/>
  <c r="G141" i="47"/>
  <c r="C141" i="47"/>
  <c r="N139" i="47"/>
  <c r="C139" i="47"/>
  <c r="N138" i="47"/>
  <c r="C138" i="47"/>
  <c r="N137" i="47"/>
  <c r="C137" i="47"/>
  <c r="N136" i="47"/>
  <c r="C136" i="47"/>
  <c r="N135" i="47"/>
  <c r="C135" i="47"/>
  <c r="L133" i="47"/>
  <c r="H133" i="47"/>
  <c r="G133" i="47"/>
  <c r="C133" i="47"/>
  <c r="L132" i="47"/>
  <c r="H132" i="47"/>
  <c r="G132" i="47"/>
  <c r="C132" i="47"/>
  <c r="L131" i="47"/>
  <c r="H131" i="47"/>
  <c r="G131" i="47"/>
  <c r="C131" i="47"/>
  <c r="L130" i="47"/>
  <c r="H130" i="47"/>
  <c r="G130" i="47"/>
  <c r="C130" i="47"/>
  <c r="K128" i="47"/>
  <c r="K133" i="47"/>
  <c r="K132" i="47"/>
  <c r="K131" i="47"/>
  <c r="K130" i="47"/>
  <c r="L128" i="47"/>
  <c r="H128" i="47"/>
  <c r="G128" i="47"/>
  <c r="C128" i="47"/>
  <c r="B88" i="53"/>
  <c r="N121" i="47"/>
  <c r="L121" i="47"/>
  <c r="K121" i="47"/>
  <c r="J121" i="47"/>
  <c r="H121" i="47"/>
  <c r="G121" i="47"/>
  <c r="C121" i="47"/>
  <c r="N122" i="47"/>
  <c r="L122" i="47"/>
  <c r="K122" i="47"/>
  <c r="J122" i="47"/>
  <c r="H122" i="47"/>
  <c r="G122" i="47"/>
  <c r="C122" i="47"/>
  <c r="L126" i="47"/>
  <c r="H126" i="47"/>
  <c r="G126" i="47"/>
  <c r="C126" i="47"/>
  <c r="N125" i="47"/>
  <c r="L125" i="47"/>
  <c r="K125" i="47"/>
  <c r="J125" i="47"/>
  <c r="H125" i="47"/>
  <c r="G125" i="47"/>
  <c r="C125" i="47"/>
  <c r="N124" i="47"/>
  <c r="L124" i="47"/>
  <c r="K124" i="47"/>
  <c r="J124" i="47"/>
  <c r="H124" i="47"/>
  <c r="G124" i="47"/>
  <c r="C124" i="47"/>
  <c r="N123" i="47"/>
  <c r="L123" i="47"/>
  <c r="K123" i="47"/>
  <c r="J123" i="47"/>
  <c r="H123" i="47"/>
  <c r="G123" i="47"/>
  <c r="C123" i="47"/>
  <c r="N120" i="47"/>
  <c r="L120" i="47"/>
  <c r="K120" i="47"/>
  <c r="J120" i="47"/>
  <c r="H120" i="47"/>
  <c r="G120" i="47"/>
  <c r="C120" i="47"/>
  <c r="B66" i="53"/>
  <c r="B67" i="53" s="1"/>
  <c r="N118" i="47"/>
  <c r="C118" i="47"/>
  <c r="N117" i="47"/>
  <c r="C117" i="47"/>
  <c r="N116" i="47"/>
  <c r="C116" i="47"/>
  <c r="C115" i="47"/>
  <c r="N114" i="47"/>
  <c r="C114" i="47"/>
  <c r="N113" i="47"/>
  <c r="C113" i="47"/>
  <c r="B84" i="53" l="1"/>
  <c r="B830" i="53"/>
  <c r="B742" i="53"/>
  <c r="L149" i="47"/>
  <c r="J133" i="47"/>
  <c r="M953" i="47"/>
  <c r="M875" i="47"/>
  <c r="K872" i="47"/>
  <c r="M872" i="47" s="1"/>
  <c r="J128" i="47"/>
  <c r="J130" i="47"/>
  <c r="M234" i="47"/>
  <c r="C449" i="55"/>
  <c r="E449" i="55" s="1"/>
  <c r="M409" i="47"/>
  <c r="M405" i="47"/>
  <c r="L407" i="47"/>
  <c r="L397" i="47"/>
  <c r="M397" i="47" s="1"/>
  <c r="L398" i="47"/>
  <c r="M398" i="47" s="1"/>
  <c r="M410" i="47"/>
  <c r="M411" i="47"/>
  <c r="M406" i="47"/>
  <c r="L401" i="47"/>
  <c r="E195" i="55"/>
  <c r="E424" i="55"/>
  <c r="M403" i="47"/>
  <c r="L152" i="47"/>
  <c r="K401" i="47"/>
  <c r="M404" i="47"/>
  <c r="M402" i="47"/>
  <c r="E162" i="55"/>
  <c r="C425" i="55"/>
  <c r="E425" i="55" s="1"/>
  <c r="K399" i="47"/>
  <c r="M399" i="47" s="1"/>
  <c r="K400" i="47"/>
  <c r="M400" i="47" s="1"/>
  <c r="M154" i="47"/>
  <c r="E151" i="55"/>
  <c r="M155" i="47"/>
  <c r="M150" i="47"/>
  <c r="M151" i="47"/>
  <c r="M147" i="47"/>
  <c r="L144" i="47"/>
  <c r="M145" i="47"/>
  <c r="M146" i="47"/>
  <c r="M143" i="47"/>
  <c r="M142" i="47"/>
  <c r="L140" i="47"/>
  <c r="J132" i="47"/>
  <c r="J131" i="47"/>
  <c r="M133" i="47"/>
  <c r="M132" i="47"/>
  <c r="M130" i="47"/>
  <c r="L129" i="47"/>
  <c r="M131" i="47"/>
  <c r="K129" i="47"/>
  <c r="M128" i="47"/>
  <c r="L127" i="47"/>
  <c r="M122" i="47"/>
  <c r="M121" i="47"/>
  <c r="M123" i="47"/>
  <c r="M125" i="47"/>
  <c r="L119" i="47"/>
  <c r="M124" i="47"/>
  <c r="M120" i="47"/>
  <c r="N112" i="47"/>
  <c r="C112" i="47"/>
  <c r="N111" i="47"/>
  <c r="C111" i="47"/>
  <c r="N110" i="47"/>
  <c r="C110" i="47"/>
  <c r="C109" i="47"/>
  <c r="N108" i="47"/>
  <c r="C108" i="47"/>
  <c r="N107" i="47"/>
  <c r="C107" i="47"/>
  <c r="L105" i="47"/>
  <c r="K105" i="47"/>
  <c r="J105" i="47"/>
  <c r="H105" i="47"/>
  <c r="G105" i="47"/>
  <c r="C105" i="47"/>
  <c r="N104" i="47"/>
  <c r="L104" i="47"/>
  <c r="K104" i="47"/>
  <c r="J104" i="47"/>
  <c r="H104" i="47"/>
  <c r="G104" i="47"/>
  <c r="C104" i="47"/>
  <c r="N102" i="47"/>
  <c r="L102" i="47"/>
  <c r="K102" i="47"/>
  <c r="J102" i="47"/>
  <c r="H102" i="47"/>
  <c r="G102" i="47"/>
  <c r="C102" i="47"/>
  <c r="N101" i="47"/>
  <c r="L101" i="47"/>
  <c r="K101" i="47"/>
  <c r="J101" i="47"/>
  <c r="H101" i="47"/>
  <c r="G101" i="47"/>
  <c r="C101" i="47"/>
  <c r="L99" i="47"/>
  <c r="H99" i="47"/>
  <c r="G99" i="47"/>
  <c r="C99" i="47"/>
  <c r="N98" i="47"/>
  <c r="L98" i="47"/>
  <c r="K98" i="47"/>
  <c r="J98" i="47"/>
  <c r="H98" i="47"/>
  <c r="G98" i="47"/>
  <c r="C98" i="47"/>
  <c r="N97" i="47"/>
  <c r="L97" i="47"/>
  <c r="K97" i="47"/>
  <c r="J97" i="47"/>
  <c r="H97" i="47"/>
  <c r="G97" i="47"/>
  <c r="C97" i="47"/>
  <c r="N96" i="47"/>
  <c r="L96" i="47"/>
  <c r="K96" i="47"/>
  <c r="J96" i="47"/>
  <c r="H96" i="47"/>
  <c r="G96" i="47"/>
  <c r="C96" i="47"/>
  <c r="N95" i="47"/>
  <c r="L95" i="47"/>
  <c r="K95" i="47"/>
  <c r="J95" i="47"/>
  <c r="H95" i="47"/>
  <c r="G95" i="47"/>
  <c r="C95" i="47"/>
  <c r="B74" i="53"/>
  <c r="B75" i="53" s="1"/>
  <c r="B76" i="53" s="1"/>
  <c r="K99" i="47"/>
  <c r="L93" i="47"/>
  <c r="H93" i="47"/>
  <c r="G93" i="47"/>
  <c r="C93" i="47"/>
  <c r="N92" i="47"/>
  <c r="L92" i="47"/>
  <c r="K92" i="47"/>
  <c r="J92" i="47"/>
  <c r="H92" i="47"/>
  <c r="G92" i="47"/>
  <c r="C92" i="47"/>
  <c r="N91" i="47"/>
  <c r="L91" i="47"/>
  <c r="K91" i="47"/>
  <c r="J91" i="47"/>
  <c r="H91" i="47"/>
  <c r="G91" i="47"/>
  <c r="C91" i="47"/>
  <c r="N90" i="47"/>
  <c r="L90" i="47"/>
  <c r="K90" i="47"/>
  <c r="J90" i="47"/>
  <c r="H90" i="47"/>
  <c r="G90" i="47"/>
  <c r="C90" i="47"/>
  <c r="N89" i="47"/>
  <c r="L89" i="47"/>
  <c r="K89" i="47"/>
  <c r="J89" i="47"/>
  <c r="H89" i="47"/>
  <c r="G89" i="47"/>
  <c r="C89" i="47"/>
  <c r="B68" i="53"/>
  <c r="B69" i="53" s="1"/>
  <c r="B70" i="53" s="1"/>
  <c r="B71" i="53" s="1"/>
  <c r="N87" i="47"/>
  <c r="L87" i="47"/>
  <c r="K87" i="47"/>
  <c r="J87" i="47"/>
  <c r="H87" i="47"/>
  <c r="G87" i="47"/>
  <c r="C87" i="47"/>
  <c r="N86" i="47"/>
  <c r="L86" i="47"/>
  <c r="K86" i="47"/>
  <c r="J86" i="47"/>
  <c r="H86" i="47"/>
  <c r="G86" i="47"/>
  <c r="C86" i="47"/>
  <c r="N85" i="47"/>
  <c r="L85" i="47"/>
  <c r="K85" i="47"/>
  <c r="J85" i="47"/>
  <c r="H85" i="47"/>
  <c r="G85" i="47"/>
  <c r="C85" i="47"/>
  <c r="N84" i="47"/>
  <c r="L84" i="47"/>
  <c r="K84" i="47"/>
  <c r="J84" i="47"/>
  <c r="H84" i="47"/>
  <c r="G84" i="47"/>
  <c r="C84" i="47"/>
  <c r="N82" i="47"/>
  <c r="L82" i="47"/>
  <c r="K82" i="47"/>
  <c r="J82" i="47"/>
  <c r="H82" i="47"/>
  <c r="G82" i="47"/>
  <c r="C82" i="47"/>
  <c r="N81" i="47"/>
  <c r="L81" i="47"/>
  <c r="K81" i="47"/>
  <c r="J81" i="47"/>
  <c r="H81" i="47"/>
  <c r="G81" i="47"/>
  <c r="C81" i="47"/>
  <c r="N80" i="47"/>
  <c r="L80" i="47"/>
  <c r="K80" i="47"/>
  <c r="J80" i="47"/>
  <c r="H80" i="47"/>
  <c r="G80" i="47"/>
  <c r="C80" i="47"/>
  <c r="L79" i="47"/>
  <c r="H79" i="47"/>
  <c r="G79" i="47"/>
  <c r="C79" i="47"/>
  <c r="N78" i="47"/>
  <c r="L78" i="47"/>
  <c r="K78" i="47"/>
  <c r="J78" i="47"/>
  <c r="H78" i="47"/>
  <c r="G78" i="47"/>
  <c r="C78" i="47"/>
  <c r="N76" i="47"/>
  <c r="L76" i="47"/>
  <c r="K76" i="47"/>
  <c r="J76" i="47"/>
  <c r="H76" i="47"/>
  <c r="G76" i="47"/>
  <c r="C76" i="47"/>
  <c r="N75" i="47"/>
  <c r="L75" i="47"/>
  <c r="K75" i="47"/>
  <c r="J75" i="47"/>
  <c r="H75" i="47"/>
  <c r="G75" i="47"/>
  <c r="C75" i="47"/>
  <c r="N74" i="47"/>
  <c r="L74" i="47"/>
  <c r="K74" i="47"/>
  <c r="J74" i="47"/>
  <c r="H74" i="47"/>
  <c r="G74" i="47"/>
  <c r="C74" i="47"/>
  <c r="L73" i="47"/>
  <c r="H73" i="47"/>
  <c r="G73" i="47"/>
  <c r="C73" i="47"/>
  <c r="N72" i="47"/>
  <c r="L72" i="47"/>
  <c r="K72" i="47"/>
  <c r="J72" i="47"/>
  <c r="H72" i="47"/>
  <c r="G72" i="47"/>
  <c r="C72" i="47"/>
  <c r="N70" i="47"/>
  <c r="L70" i="47"/>
  <c r="K70" i="47"/>
  <c r="J70" i="47"/>
  <c r="H70" i="47"/>
  <c r="G70" i="47"/>
  <c r="C70" i="47"/>
  <c r="N69" i="47"/>
  <c r="L69" i="47"/>
  <c r="K69" i="47"/>
  <c r="J69" i="47"/>
  <c r="H69" i="47"/>
  <c r="G69" i="47"/>
  <c r="C69" i="47"/>
  <c r="N68" i="47"/>
  <c r="L68" i="47"/>
  <c r="K68" i="47"/>
  <c r="J68" i="47"/>
  <c r="H68" i="47"/>
  <c r="G68" i="47"/>
  <c r="C68" i="47"/>
  <c r="L67" i="47"/>
  <c r="H67" i="47"/>
  <c r="G67" i="47"/>
  <c r="C67" i="47"/>
  <c r="N66" i="47"/>
  <c r="L66" i="47"/>
  <c r="K66" i="47"/>
  <c r="J66" i="47"/>
  <c r="H66" i="47"/>
  <c r="G66" i="47"/>
  <c r="C66" i="47"/>
  <c r="K149" i="47"/>
  <c r="J73" i="47"/>
  <c r="N64" i="47"/>
  <c r="L64" i="47"/>
  <c r="K64" i="47"/>
  <c r="J64" i="47"/>
  <c r="H64" i="47"/>
  <c r="G64" i="47"/>
  <c r="C64" i="47"/>
  <c r="N63" i="47"/>
  <c r="L63" i="47"/>
  <c r="K63" i="47"/>
  <c r="J63" i="47"/>
  <c r="H63" i="47"/>
  <c r="G63" i="47"/>
  <c r="C63" i="47"/>
  <c r="N62" i="47"/>
  <c r="L62" i="47"/>
  <c r="K62" i="47"/>
  <c r="J62" i="47"/>
  <c r="H62" i="47"/>
  <c r="G62" i="47"/>
  <c r="C62" i="47"/>
  <c r="L61" i="47"/>
  <c r="H61" i="47"/>
  <c r="G61" i="47"/>
  <c r="C61" i="47"/>
  <c r="N60" i="47"/>
  <c r="L60" i="47"/>
  <c r="K60" i="47"/>
  <c r="J60" i="47"/>
  <c r="H60" i="47"/>
  <c r="G60" i="47"/>
  <c r="C60" i="47"/>
  <c r="J54" i="55"/>
  <c r="Q40" i="55"/>
  <c r="K39" i="55"/>
  <c r="I39" i="55"/>
  <c r="H39" i="55"/>
  <c r="Q38" i="55"/>
  <c r="D40" i="55"/>
  <c r="D41" i="55" s="1"/>
  <c r="N386" i="47"/>
  <c r="J386" i="47"/>
  <c r="L386" i="47"/>
  <c r="H386" i="47"/>
  <c r="G386" i="47"/>
  <c r="C386" i="47"/>
  <c r="N385" i="47"/>
  <c r="J385" i="47"/>
  <c r="L385" i="47"/>
  <c r="H385" i="47"/>
  <c r="G385" i="47"/>
  <c r="C385" i="47"/>
  <c r="C384" i="47"/>
  <c r="I382" i="47"/>
  <c r="L382" i="47" s="1"/>
  <c r="I381" i="47"/>
  <c r="L381" i="47" s="1"/>
  <c r="I380" i="47"/>
  <c r="L380" i="47" s="1"/>
  <c r="I379" i="47"/>
  <c r="K379" i="47" s="1"/>
  <c r="N382" i="47"/>
  <c r="J382" i="47"/>
  <c r="H382" i="47"/>
  <c r="G382" i="47"/>
  <c r="C382" i="47"/>
  <c r="N381" i="47"/>
  <c r="J381" i="47"/>
  <c r="H381" i="47"/>
  <c r="G381" i="47"/>
  <c r="C381" i="47"/>
  <c r="N380" i="47"/>
  <c r="J380" i="47"/>
  <c r="H380" i="47"/>
  <c r="G380" i="47"/>
  <c r="C380" i="47"/>
  <c r="N379" i="47"/>
  <c r="J379" i="47"/>
  <c r="H379" i="47"/>
  <c r="G379" i="47"/>
  <c r="C379" i="47"/>
  <c r="D44" i="55" l="1"/>
  <c r="D45" i="55" s="1"/>
  <c r="D46" i="55" s="1"/>
  <c r="D47" i="55" s="1"/>
  <c r="D48" i="55" s="1"/>
  <c r="D49" i="55" s="1"/>
  <c r="D42" i="55"/>
  <c r="D43" i="55" s="1"/>
  <c r="B52" i="53"/>
  <c r="B53" i="53" s="1"/>
  <c r="B162" i="53"/>
  <c r="B54" i="53"/>
  <c r="B55" i="53" s="1"/>
  <c r="B56" i="53"/>
  <c r="B57" i="53" s="1"/>
  <c r="B58" i="53" s="1"/>
  <c r="B59" i="53" s="1"/>
  <c r="B60" i="53" s="1"/>
  <c r="B85" i="53"/>
  <c r="B61" i="53"/>
  <c r="B62" i="53" s="1"/>
  <c r="B63" i="53" s="1"/>
  <c r="B64" i="53" s="1"/>
  <c r="B65" i="53" s="1"/>
  <c r="M149" i="47"/>
  <c r="B72" i="53"/>
  <c r="B73" i="53" s="1"/>
  <c r="J93" i="47"/>
  <c r="K93" i="47"/>
  <c r="M93" i="47" s="1"/>
  <c r="J149" i="47"/>
  <c r="J153" i="47"/>
  <c r="K141" i="47"/>
  <c r="J141" i="47"/>
  <c r="K153" i="47"/>
  <c r="K152" i="47" s="1"/>
  <c r="M152" i="47" s="1"/>
  <c r="L396" i="47"/>
  <c r="M401" i="47"/>
  <c r="K396" i="47"/>
  <c r="M129" i="47"/>
  <c r="J99" i="47"/>
  <c r="K126" i="47"/>
  <c r="J126" i="47"/>
  <c r="M101" i="47"/>
  <c r="M99" i="47"/>
  <c r="M105" i="47"/>
  <c r="M102" i="47"/>
  <c r="M104" i="47"/>
  <c r="M97" i="47"/>
  <c r="M98" i="47"/>
  <c r="M96" i="47"/>
  <c r="M95" i="47"/>
  <c r="K94" i="47"/>
  <c r="L94" i="47"/>
  <c r="K73" i="47"/>
  <c r="K71" i="47" s="1"/>
  <c r="J67" i="47"/>
  <c r="J79" i="47"/>
  <c r="K67" i="47"/>
  <c r="M67" i="47" s="1"/>
  <c r="K79" i="47"/>
  <c r="K77" i="47" s="1"/>
  <c r="M89" i="47"/>
  <c r="M92" i="47"/>
  <c r="M90" i="47"/>
  <c r="M87" i="47"/>
  <c r="L88" i="47"/>
  <c r="M91" i="47"/>
  <c r="M81" i="47"/>
  <c r="M85" i="47"/>
  <c r="L83" i="47"/>
  <c r="M82" i="47"/>
  <c r="M86" i="47"/>
  <c r="M84" i="47"/>
  <c r="K83" i="47"/>
  <c r="M75" i="47"/>
  <c r="L77" i="47"/>
  <c r="M80" i="47"/>
  <c r="M78" i="47"/>
  <c r="M69" i="47"/>
  <c r="L71" i="47"/>
  <c r="M76" i="47"/>
  <c r="M74" i="47"/>
  <c r="L65" i="47"/>
  <c r="M72" i="47"/>
  <c r="M68" i="47"/>
  <c r="M70" i="47"/>
  <c r="M66" i="47"/>
  <c r="K380" i="47"/>
  <c r="M380" i="47" s="1"/>
  <c r="M62" i="47"/>
  <c r="M63" i="47"/>
  <c r="M60" i="47"/>
  <c r="M64" i="47"/>
  <c r="L59" i="47"/>
  <c r="K382" i="47"/>
  <c r="M382" i="47" s="1"/>
  <c r="K385" i="47"/>
  <c r="M385" i="47" s="1"/>
  <c r="K386" i="47"/>
  <c r="M386" i="47" s="1"/>
  <c r="L379" i="47"/>
  <c r="L378" i="47" s="1"/>
  <c r="K381" i="47"/>
  <c r="M381" i="47" s="1"/>
  <c r="D52" i="55" l="1"/>
  <c r="D53" i="55" s="1"/>
  <c r="D54" i="55" s="1"/>
  <c r="D50" i="55"/>
  <c r="D51" i="55" s="1"/>
  <c r="B87" i="53"/>
  <c r="B86" i="53"/>
  <c r="K88" i="47"/>
  <c r="M88" i="47" s="1"/>
  <c r="K140" i="47"/>
  <c r="M140" i="47" s="1"/>
  <c r="M141" i="47"/>
  <c r="M153" i="47"/>
  <c r="K144" i="47"/>
  <c r="M144" i="47" s="1"/>
  <c r="M396" i="47"/>
  <c r="K119" i="47"/>
  <c r="M119" i="47" s="1"/>
  <c r="M126" i="47"/>
  <c r="K127" i="47"/>
  <c r="M127" i="47" s="1"/>
  <c r="M94" i="47"/>
  <c r="K65" i="47"/>
  <c r="M65" i="47" s="1"/>
  <c r="M73" i="47"/>
  <c r="M79" i="47"/>
  <c r="M83" i="47"/>
  <c r="M77" i="47"/>
  <c r="M71" i="47"/>
  <c r="M379" i="47"/>
  <c r="K378" i="47"/>
  <c r="M378" i="47" s="1"/>
  <c r="I377" i="47" l="1"/>
  <c r="L377" i="47" s="1"/>
  <c r="I376" i="47"/>
  <c r="L376" i="47" s="1"/>
  <c r="I375" i="47"/>
  <c r="L375" i="47" s="1"/>
  <c r="I374" i="47"/>
  <c r="K374" i="47" s="1"/>
  <c r="N377" i="47"/>
  <c r="J377" i="47"/>
  <c r="H377" i="47"/>
  <c r="G377" i="47"/>
  <c r="C377" i="47"/>
  <c r="N376" i="47"/>
  <c r="J376" i="47"/>
  <c r="H376" i="47"/>
  <c r="G376" i="47"/>
  <c r="C376" i="47"/>
  <c r="N375" i="47"/>
  <c r="J375" i="47"/>
  <c r="H375" i="47"/>
  <c r="G375" i="47"/>
  <c r="C375" i="47"/>
  <c r="N374" i="47"/>
  <c r="J374" i="47"/>
  <c r="H374" i="47"/>
  <c r="G374" i="47"/>
  <c r="C374" i="47"/>
  <c r="I372" i="47"/>
  <c r="K372" i="47" s="1"/>
  <c r="I371" i="47"/>
  <c r="L371" i="47" s="1"/>
  <c r="I370" i="47"/>
  <c r="L370" i="47" s="1"/>
  <c r="I354" i="47"/>
  <c r="L354" i="47" s="1"/>
  <c r="I359" i="47"/>
  <c r="L359" i="47" s="1"/>
  <c r="I369" i="47"/>
  <c r="K369" i="47" s="1"/>
  <c r="N372" i="47"/>
  <c r="J372" i="47"/>
  <c r="L372" i="47"/>
  <c r="H372" i="47"/>
  <c r="G372" i="47"/>
  <c r="C372" i="47"/>
  <c r="N371" i="47"/>
  <c r="J371" i="47"/>
  <c r="H371" i="47"/>
  <c r="G371" i="47"/>
  <c r="C371" i="47"/>
  <c r="N370" i="47"/>
  <c r="J370" i="47"/>
  <c r="H370" i="47"/>
  <c r="G370" i="47"/>
  <c r="C370" i="47"/>
  <c r="N369" i="47"/>
  <c r="J369" i="47"/>
  <c r="H369" i="47"/>
  <c r="G369" i="47"/>
  <c r="C369" i="47"/>
  <c r="I367" i="47"/>
  <c r="L367" i="47" s="1"/>
  <c r="I366" i="47"/>
  <c r="L366" i="47" s="1"/>
  <c r="I365" i="47"/>
  <c r="L365" i="47" s="1"/>
  <c r="N367" i="47"/>
  <c r="J367" i="47"/>
  <c r="H367" i="47"/>
  <c r="G367" i="47"/>
  <c r="C367" i="47"/>
  <c r="N366" i="47"/>
  <c r="K366" i="47"/>
  <c r="J366" i="47"/>
  <c r="H366" i="47"/>
  <c r="G366" i="47"/>
  <c r="C366" i="47"/>
  <c r="N365" i="47"/>
  <c r="J365" i="47"/>
  <c r="H365" i="47"/>
  <c r="G365" i="47"/>
  <c r="C365" i="47"/>
  <c r="N364" i="47"/>
  <c r="L364" i="47"/>
  <c r="K364" i="47"/>
  <c r="J364" i="47"/>
  <c r="H364" i="47"/>
  <c r="G364" i="47"/>
  <c r="C364" i="47"/>
  <c r="I362" i="47"/>
  <c r="L362" i="47" s="1"/>
  <c r="I361" i="47"/>
  <c r="K361" i="47" s="1"/>
  <c r="I360" i="47"/>
  <c r="L360" i="47" s="1"/>
  <c r="N362" i="47"/>
  <c r="J362" i="47"/>
  <c r="H362" i="47"/>
  <c r="G362" i="47"/>
  <c r="C362" i="47"/>
  <c r="N361" i="47"/>
  <c r="J361" i="47"/>
  <c r="H361" i="47"/>
  <c r="G361" i="47"/>
  <c r="C361" i="47"/>
  <c r="N360" i="47"/>
  <c r="J360" i="47"/>
  <c r="H360" i="47"/>
  <c r="G360" i="47"/>
  <c r="C360" i="47"/>
  <c r="N359" i="47"/>
  <c r="J359" i="47"/>
  <c r="H359" i="47"/>
  <c r="G359" i="47"/>
  <c r="C359" i="47"/>
  <c r="I357" i="47"/>
  <c r="L357" i="47" s="1"/>
  <c r="I356" i="47"/>
  <c r="L356" i="47" s="1"/>
  <c r="I355" i="47"/>
  <c r="L355" i="47" s="1"/>
  <c r="N357" i="47"/>
  <c r="J357" i="47"/>
  <c r="H357" i="47"/>
  <c r="G357" i="47"/>
  <c r="C357" i="47"/>
  <c r="N356" i="47"/>
  <c r="J356" i="47"/>
  <c r="H356" i="47"/>
  <c r="G356" i="47"/>
  <c r="C356" i="47"/>
  <c r="N355" i="47"/>
  <c r="J355" i="47"/>
  <c r="H355" i="47"/>
  <c r="G355" i="47"/>
  <c r="C355" i="47"/>
  <c r="N354" i="47"/>
  <c r="J354" i="47"/>
  <c r="H354" i="47"/>
  <c r="G354" i="47"/>
  <c r="C354" i="47"/>
  <c r="I348" i="47"/>
  <c r="L348" i="47" s="1"/>
  <c r="I349" i="47"/>
  <c r="K349" i="47" s="1"/>
  <c r="I350" i="47"/>
  <c r="K350" i="47" s="1"/>
  <c r="N352" i="47"/>
  <c r="L352" i="47"/>
  <c r="K352" i="47"/>
  <c r="J352" i="47"/>
  <c r="H352" i="47"/>
  <c r="G352" i="47"/>
  <c r="C352" i="47"/>
  <c r="N351" i="47"/>
  <c r="L351" i="47"/>
  <c r="K351" i="47"/>
  <c r="J351" i="47"/>
  <c r="H351" i="47"/>
  <c r="G351" i="47"/>
  <c r="C351" i="47"/>
  <c r="N350" i="47"/>
  <c r="J350" i="47"/>
  <c r="H350" i="47"/>
  <c r="G350" i="47"/>
  <c r="C350" i="47"/>
  <c r="N349" i="47"/>
  <c r="J349" i="47"/>
  <c r="H349" i="47"/>
  <c r="G349" i="47"/>
  <c r="C349" i="47"/>
  <c r="N348" i="47"/>
  <c r="J348" i="47"/>
  <c r="H348" i="47"/>
  <c r="G348" i="47"/>
  <c r="C348" i="47"/>
  <c r="J344" i="47"/>
  <c r="N346" i="47"/>
  <c r="L346" i="47"/>
  <c r="K346" i="47"/>
  <c r="J346" i="47"/>
  <c r="H346" i="47"/>
  <c r="G346" i="47"/>
  <c r="C346" i="47"/>
  <c r="N345" i="47"/>
  <c r="L345" i="47"/>
  <c r="K345" i="47"/>
  <c r="J345" i="47"/>
  <c r="H345" i="47"/>
  <c r="G345" i="47"/>
  <c r="C345" i="47"/>
  <c r="L344" i="47"/>
  <c r="H344" i="47"/>
  <c r="G344" i="47"/>
  <c r="C344" i="47"/>
  <c r="N343" i="47"/>
  <c r="L343" i="47"/>
  <c r="K343" i="47"/>
  <c r="J343" i="47"/>
  <c r="H343" i="47"/>
  <c r="G343" i="47"/>
  <c r="C343" i="47"/>
  <c r="N342" i="47"/>
  <c r="L342" i="47"/>
  <c r="K342" i="47"/>
  <c r="J342" i="47"/>
  <c r="H342" i="47"/>
  <c r="G342" i="47"/>
  <c r="C342" i="47"/>
  <c r="N340" i="47"/>
  <c r="C340" i="47"/>
  <c r="N339" i="47"/>
  <c r="C339" i="47"/>
  <c r="N338" i="47"/>
  <c r="C338" i="47"/>
  <c r="N337" i="47"/>
  <c r="C337" i="47"/>
  <c r="N336" i="47"/>
  <c r="C336" i="47"/>
  <c r="K334" i="47"/>
  <c r="N331" i="47"/>
  <c r="L334" i="47"/>
  <c r="H334" i="47"/>
  <c r="G334" i="47"/>
  <c r="C334" i="47"/>
  <c r="N333" i="47"/>
  <c r="L333" i="47"/>
  <c r="K333" i="47"/>
  <c r="J333" i="47"/>
  <c r="H333" i="47"/>
  <c r="G333" i="47"/>
  <c r="C333" i="47"/>
  <c r="N332" i="47"/>
  <c r="L332" i="47"/>
  <c r="K332" i="47"/>
  <c r="J332" i="47"/>
  <c r="H332" i="47"/>
  <c r="G332" i="47"/>
  <c r="C332" i="47"/>
  <c r="L331" i="47"/>
  <c r="K331" i="47"/>
  <c r="J331" i="47"/>
  <c r="H331" i="47"/>
  <c r="G331" i="47"/>
  <c r="C331" i="47"/>
  <c r="B203" i="53"/>
  <c r="N329" i="47"/>
  <c r="C329" i="47"/>
  <c r="N328" i="47"/>
  <c r="C328" i="47"/>
  <c r="N327" i="47"/>
  <c r="C327" i="47"/>
  <c r="N326" i="47"/>
  <c r="C326" i="47"/>
  <c r="N325" i="47"/>
  <c r="C325" i="47"/>
  <c r="N324" i="47"/>
  <c r="C324" i="47"/>
  <c r="N320" i="47"/>
  <c r="N323" i="47"/>
  <c r="C323" i="47"/>
  <c r="N322" i="47"/>
  <c r="C322" i="47"/>
  <c r="N321" i="47"/>
  <c r="C321" i="47"/>
  <c r="C320" i="47"/>
  <c r="K315" i="47"/>
  <c r="N318" i="47"/>
  <c r="L318" i="47"/>
  <c r="K318" i="47"/>
  <c r="J318" i="47"/>
  <c r="H318" i="47"/>
  <c r="G318" i="47"/>
  <c r="C318" i="47"/>
  <c r="N317" i="47"/>
  <c r="L317" i="47"/>
  <c r="K317" i="47"/>
  <c r="J317" i="47"/>
  <c r="H317" i="47"/>
  <c r="G317" i="47"/>
  <c r="C317" i="47"/>
  <c r="N316" i="47"/>
  <c r="L316" i="47"/>
  <c r="K316" i="47"/>
  <c r="J316" i="47"/>
  <c r="H316" i="47"/>
  <c r="G316" i="47"/>
  <c r="C316" i="47"/>
  <c r="L315" i="47"/>
  <c r="H315" i="47"/>
  <c r="G315" i="47"/>
  <c r="C315" i="47"/>
  <c r="N313" i="47"/>
  <c r="L313" i="47"/>
  <c r="K313" i="47"/>
  <c r="J313" i="47"/>
  <c r="H313" i="47"/>
  <c r="G313" i="47"/>
  <c r="C313" i="47"/>
  <c r="N312" i="47"/>
  <c r="L312" i="47"/>
  <c r="K312" i="47"/>
  <c r="J312" i="47"/>
  <c r="H312" i="47"/>
  <c r="G312" i="47"/>
  <c r="C312" i="47"/>
  <c r="N311" i="47"/>
  <c r="L311" i="47"/>
  <c r="K311" i="47"/>
  <c r="J311" i="47"/>
  <c r="H311" i="47"/>
  <c r="G311" i="47"/>
  <c r="C311" i="47"/>
  <c r="L310" i="47"/>
  <c r="H310" i="47"/>
  <c r="G310" i="47"/>
  <c r="C310" i="47"/>
  <c r="B137" i="53" l="1"/>
  <c r="B153" i="53"/>
  <c r="B145" i="53"/>
  <c r="L350" i="47"/>
  <c r="M350" i="47" s="1"/>
  <c r="K408" i="47"/>
  <c r="J408" i="47"/>
  <c r="K376" i="47"/>
  <c r="M376" i="47" s="1"/>
  <c r="K344" i="47"/>
  <c r="M344" i="47" s="1"/>
  <c r="K359" i="47"/>
  <c r="M359" i="47" s="1"/>
  <c r="K375" i="47"/>
  <c r="M375" i="47" s="1"/>
  <c r="L374" i="47"/>
  <c r="M374" i="47" s="1"/>
  <c r="L369" i="47"/>
  <c r="M369" i="47" s="1"/>
  <c r="J315" i="47"/>
  <c r="J334" i="47"/>
  <c r="K357" i="47"/>
  <c r="M357" i="47" s="1"/>
  <c r="K365" i="47"/>
  <c r="M365" i="47" s="1"/>
  <c r="K377" i="47"/>
  <c r="M377" i="47" s="1"/>
  <c r="K348" i="47"/>
  <c r="M348" i="47" s="1"/>
  <c r="K370" i="47"/>
  <c r="M370" i="47" s="1"/>
  <c r="M372" i="47"/>
  <c r="K355" i="47"/>
  <c r="M355" i="47" s="1"/>
  <c r="K371" i="47"/>
  <c r="M371" i="47" s="1"/>
  <c r="L349" i="47"/>
  <c r="M364" i="47"/>
  <c r="L363" i="47"/>
  <c r="K360" i="47"/>
  <c r="M360" i="47" s="1"/>
  <c r="M366" i="47"/>
  <c r="K367" i="47"/>
  <c r="M367" i="47" s="1"/>
  <c r="L361" i="47"/>
  <c r="L358" i="47" s="1"/>
  <c r="K362" i="47"/>
  <c r="M362" i="47" s="1"/>
  <c r="L353" i="47"/>
  <c r="K356" i="47"/>
  <c r="M356" i="47" s="1"/>
  <c r="K354" i="47"/>
  <c r="M351" i="47"/>
  <c r="M352" i="47"/>
  <c r="M345" i="47"/>
  <c r="M343" i="47"/>
  <c r="M346" i="47"/>
  <c r="M342" i="47"/>
  <c r="L341" i="47"/>
  <c r="M334" i="47"/>
  <c r="M333" i="47"/>
  <c r="M332" i="47"/>
  <c r="M331" i="47"/>
  <c r="L330" i="47"/>
  <c r="K330" i="47"/>
  <c r="M317" i="47"/>
  <c r="M316" i="47"/>
  <c r="M315" i="47"/>
  <c r="M312" i="47"/>
  <c r="L314" i="47"/>
  <c r="M318" i="47"/>
  <c r="K314" i="47"/>
  <c r="M313" i="47"/>
  <c r="M311" i="47"/>
  <c r="L309" i="47"/>
  <c r="L347" i="47" l="1"/>
  <c r="M408" i="47"/>
  <c r="K407" i="47"/>
  <c r="M407" i="47" s="1"/>
  <c r="K341" i="47"/>
  <c r="M341" i="47" s="1"/>
  <c r="L373" i="47"/>
  <c r="L368" i="47"/>
  <c r="K347" i="47"/>
  <c r="K373" i="47"/>
  <c r="M349" i="47"/>
  <c r="K368" i="47"/>
  <c r="K363" i="47"/>
  <c r="M363" i="47" s="1"/>
  <c r="M361" i="47"/>
  <c r="K358" i="47"/>
  <c r="M358" i="47" s="1"/>
  <c r="K353" i="47"/>
  <c r="M353" i="47" s="1"/>
  <c r="M354" i="47"/>
  <c r="M330" i="47"/>
  <c r="M314" i="47"/>
  <c r="M347" i="47" l="1"/>
  <c r="M373" i="47"/>
  <c r="M368" i="47"/>
  <c r="K304" i="47"/>
  <c r="N308" i="47"/>
  <c r="L308" i="47"/>
  <c r="K308" i="47"/>
  <c r="J308" i="47"/>
  <c r="H308" i="47"/>
  <c r="G308" i="47"/>
  <c r="C308" i="47"/>
  <c r="N307" i="47"/>
  <c r="L307" i="47"/>
  <c r="K307" i="47"/>
  <c r="J307" i="47"/>
  <c r="H307" i="47"/>
  <c r="G307" i="47"/>
  <c r="C307" i="47"/>
  <c r="N306" i="47"/>
  <c r="L306" i="47"/>
  <c r="K306" i="47"/>
  <c r="J306" i="47"/>
  <c r="H306" i="47"/>
  <c r="G306" i="47"/>
  <c r="C306" i="47"/>
  <c r="N305" i="47"/>
  <c r="L305" i="47"/>
  <c r="K305" i="47"/>
  <c r="J305" i="47"/>
  <c r="H305" i="47"/>
  <c r="G305" i="47"/>
  <c r="C305" i="47"/>
  <c r="L304" i="47"/>
  <c r="H304" i="47"/>
  <c r="G304" i="47"/>
  <c r="C304" i="47"/>
  <c r="N302" i="47"/>
  <c r="L302" i="47"/>
  <c r="K302" i="47"/>
  <c r="J302" i="47"/>
  <c r="H302" i="47"/>
  <c r="G302" i="47"/>
  <c r="C302" i="47"/>
  <c r="N301" i="47"/>
  <c r="L301" i="47"/>
  <c r="K301" i="47"/>
  <c r="J301" i="47"/>
  <c r="H301" i="47"/>
  <c r="G301" i="47"/>
  <c r="C301" i="47"/>
  <c r="N300" i="47"/>
  <c r="L300" i="47"/>
  <c r="K300" i="47"/>
  <c r="J300" i="47"/>
  <c r="H300" i="47"/>
  <c r="G300" i="47"/>
  <c r="C300" i="47"/>
  <c r="N299" i="47"/>
  <c r="L299" i="47"/>
  <c r="K299" i="47"/>
  <c r="J299" i="47"/>
  <c r="H299" i="47"/>
  <c r="G299" i="47"/>
  <c r="C299" i="47"/>
  <c r="N298" i="47"/>
  <c r="L298" i="47"/>
  <c r="K298" i="47"/>
  <c r="J298" i="47"/>
  <c r="H298" i="47"/>
  <c r="G298" i="47"/>
  <c r="C298" i="47"/>
  <c r="K175" i="55"/>
  <c r="I175" i="55"/>
  <c r="H175" i="55"/>
  <c r="K174" i="55"/>
  <c r="I174" i="55"/>
  <c r="H174" i="55"/>
  <c r="D174" i="55"/>
  <c r="D175" i="55" s="1"/>
  <c r="D176" i="55" s="1"/>
  <c r="D177" i="55" s="1"/>
  <c r="D178" i="55" s="1"/>
  <c r="D179" i="55" s="1"/>
  <c r="N296" i="47"/>
  <c r="L296" i="47"/>
  <c r="K296" i="47"/>
  <c r="J296" i="47"/>
  <c r="H296" i="47"/>
  <c r="G296" i="47"/>
  <c r="C296" i="47"/>
  <c r="N295" i="47"/>
  <c r="L295" i="47"/>
  <c r="K295" i="47"/>
  <c r="J295" i="47"/>
  <c r="H295" i="47"/>
  <c r="G295" i="47"/>
  <c r="C295" i="47"/>
  <c r="N294" i="47"/>
  <c r="L294" i="47"/>
  <c r="K294" i="47"/>
  <c r="J294" i="47"/>
  <c r="H294" i="47"/>
  <c r="G294" i="47"/>
  <c r="C294" i="47"/>
  <c r="N293" i="47"/>
  <c r="L293" i="47"/>
  <c r="K293" i="47"/>
  <c r="J293" i="47"/>
  <c r="H293" i="47"/>
  <c r="G293" i="47"/>
  <c r="C293" i="47"/>
  <c r="N292" i="47"/>
  <c r="L292" i="47"/>
  <c r="K292" i="47"/>
  <c r="J292" i="47"/>
  <c r="H292" i="47"/>
  <c r="G292" i="47"/>
  <c r="C292" i="47"/>
  <c r="N291" i="47"/>
  <c r="L291" i="47"/>
  <c r="K291" i="47"/>
  <c r="J291" i="47"/>
  <c r="H291" i="47"/>
  <c r="G291" i="47"/>
  <c r="C291" i="47"/>
  <c r="N290" i="47"/>
  <c r="L290" i="47"/>
  <c r="K290" i="47"/>
  <c r="J290" i="47"/>
  <c r="H290" i="47"/>
  <c r="G290" i="47"/>
  <c r="C290" i="47"/>
  <c r="L288" i="47"/>
  <c r="L287" i="47" s="1"/>
  <c r="K288" i="47"/>
  <c r="J288" i="47"/>
  <c r="H288" i="47"/>
  <c r="G288" i="47"/>
  <c r="C288" i="47"/>
  <c r="B195" i="53"/>
  <c r="I352" i="53"/>
  <c r="H352" i="53"/>
  <c r="I344" i="53"/>
  <c r="L344" i="53" s="1"/>
  <c r="N552" i="47"/>
  <c r="L552" i="47"/>
  <c r="K552" i="47"/>
  <c r="J552" i="47"/>
  <c r="H552" i="47"/>
  <c r="G552" i="47"/>
  <c r="C552" i="47"/>
  <c r="N551" i="47"/>
  <c r="L551" i="47"/>
  <c r="K551" i="47"/>
  <c r="J551" i="47"/>
  <c r="H551" i="47"/>
  <c r="G551" i="47"/>
  <c r="C551" i="47"/>
  <c r="L550" i="47"/>
  <c r="H550" i="47"/>
  <c r="G550" i="47"/>
  <c r="C550" i="47"/>
  <c r="Q549" i="47"/>
  <c r="N548" i="47"/>
  <c r="L548" i="47"/>
  <c r="K548" i="47"/>
  <c r="J548" i="47"/>
  <c r="H548" i="47"/>
  <c r="G548" i="47"/>
  <c r="C548" i="47"/>
  <c r="N547" i="47"/>
  <c r="L547" i="47"/>
  <c r="K547" i="47"/>
  <c r="J547" i="47"/>
  <c r="H547" i="47"/>
  <c r="G547" i="47"/>
  <c r="C547" i="47"/>
  <c r="L546" i="47"/>
  <c r="H546" i="47"/>
  <c r="G546" i="47"/>
  <c r="C546" i="47"/>
  <c r="Q545" i="47"/>
  <c r="N396" i="55"/>
  <c r="Q396" i="55" s="1"/>
  <c r="M396" i="55"/>
  <c r="L396" i="55"/>
  <c r="K396" i="55"/>
  <c r="I396" i="55"/>
  <c r="K542" i="47"/>
  <c r="N543" i="47"/>
  <c r="L543" i="47"/>
  <c r="K543" i="47"/>
  <c r="J543" i="47"/>
  <c r="H543" i="47"/>
  <c r="G543" i="47"/>
  <c r="C543" i="47"/>
  <c r="N544" i="47"/>
  <c r="L544" i="47"/>
  <c r="K544" i="47"/>
  <c r="J544" i="47"/>
  <c r="H544" i="47"/>
  <c r="G544" i="47"/>
  <c r="C544" i="47"/>
  <c r="L542" i="47"/>
  <c r="H542" i="47"/>
  <c r="G542" i="47"/>
  <c r="C542" i="47"/>
  <c r="Q541" i="47"/>
  <c r="N394" i="55"/>
  <c r="Q394" i="55" s="1"/>
  <c r="M394" i="55"/>
  <c r="L394" i="55"/>
  <c r="K394" i="55"/>
  <c r="I394" i="55"/>
  <c r="N540" i="47"/>
  <c r="L540" i="47"/>
  <c r="K540" i="47"/>
  <c r="J540" i="47"/>
  <c r="H540" i="47"/>
  <c r="G540" i="47"/>
  <c r="C540" i="47"/>
  <c r="L539" i="47"/>
  <c r="H539" i="47"/>
  <c r="G539" i="47"/>
  <c r="C539" i="47"/>
  <c r="Q538" i="47"/>
  <c r="K539" i="47"/>
  <c r="K536" i="47"/>
  <c r="N537" i="47"/>
  <c r="L537" i="47"/>
  <c r="K537" i="47"/>
  <c r="J537" i="47"/>
  <c r="H537" i="47"/>
  <c r="G537" i="47"/>
  <c r="C537" i="47"/>
  <c r="L536" i="47"/>
  <c r="H536" i="47"/>
  <c r="G536" i="47"/>
  <c r="C536" i="47"/>
  <c r="Q535" i="47"/>
  <c r="N391" i="55"/>
  <c r="Q391" i="55" s="1"/>
  <c r="M391" i="55"/>
  <c r="L391" i="55"/>
  <c r="K391" i="55"/>
  <c r="I391" i="55"/>
  <c r="K532" i="47"/>
  <c r="N534" i="47"/>
  <c r="L534" i="47"/>
  <c r="K534" i="47"/>
  <c r="J534" i="47"/>
  <c r="H534" i="47"/>
  <c r="G534" i="47"/>
  <c r="C534" i="47"/>
  <c r="N533" i="47"/>
  <c r="L533" i="47"/>
  <c r="K533" i="47"/>
  <c r="J533" i="47"/>
  <c r="H533" i="47"/>
  <c r="G533" i="47"/>
  <c r="C533" i="47"/>
  <c r="L532" i="47"/>
  <c r="H532" i="47"/>
  <c r="G532" i="47"/>
  <c r="C532" i="47"/>
  <c r="Q531" i="47"/>
  <c r="K528" i="47"/>
  <c r="N530" i="47"/>
  <c r="L530" i="47"/>
  <c r="K530" i="47"/>
  <c r="J530" i="47"/>
  <c r="H530" i="47"/>
  <c r="G530" i="47"/>
  <c r="C530" i="47"/>
  <c r="N529" i="47"/>
  <c r="L529" i="47"/>
  <c r="K529" i="47"/>
  <c r="J529" i="47"/>
  <c r="H529" i="47"/>
  <c r="G529" i="47"/>
  <c r="C529" i="47"/>
  <c r="L528" i="47"/>
  <c r="H528" i="47"/>
  <c r="G528" i="47"/>
  <c r="C528" i="47"/>
  <c r="Q527" i="47"/>
  <c r="N388" i="55"/>
  <c r="Q388" i="55" s="1"/>
  <c r="M388" i="55"/>
  <c r="L388" i="55"/>
  <c r="K388" i="55"/>
  <c r="I388" i="55"/>
  <c r="N526" i="47"/>
  <c r="L526" i="47"/>
  <c r="K526" i="47"/>
  <c r="J526" i="47"/>
  <c r="H526" i="47"/>
  <c r="G526" i="47"/>
  <c r="C526" i="47"/>
  <c r="N525" i="47"/>
  <c r="L525" i="47"/>
  <c r="K525" i="47"/>
  <c r="J525" i="47"/>
  <c r="H525" i="47"/>
  <c r="G525" i="47"/>
  <c r="C525" i="47"/>
  <c r="L524" i="47"/>
  <c r="H524" i="47"/>
  <c r="G524" i="47"/>
  <c r="C524" i="47"/>
  <c r="Q523" i="47"/>
  <c r="K524" i="47"/>
  <c r="K520" i="47"/>
  <c r="Q515" i="47"/>
  <c r="Q519" i="47"/>
  <c r="N522" i="47"/>
  <c r="L522" i="47"/>
  <c r="K522" i="47"/>
  <c r="J522" i="47"/>
  <c r="H522" i="47"/>
  <c r="G522" i="47"/>
  <c r="C522" i="47"/>
  <c r="N521" i="47"/>
  <c r="L521" i="47"/>
  <c r="K521" i="47"/>
  <c r="J521" i="47"/>
  <c r="H521" i="47"/>
  <c r="G521" i="47"/>
  <c r="C521" i="47"/>
  <c r="L520" i="47"/>
  <c r="H520" i="47"/>
  <c r="G520" i="47"/>
  <c r="C520" i="47"/>
  <c r="J516" i="47"/>
  <c r="C383" i="55"/>
  <c r="N518" i="47"/>
  <c r="L518" i="47"/>
  <c r="K518" i="47"/>
  <c r="J518" i="47"/>
  <c r="H518" i="47"/>
  <c r="G518" i="47"/>
  <c r="C518" i="47"/>
  <c r="N517" i="47"/>
  <c r="L517" i="47"/>
  <c r="K517" i="47"/>
  <c r="J517" i="47"/>
  <c r="H517" i="47"/>
  <c r="G517" i="47"/>
  <c r="C517" i="47"/>
  <c r="L516" i="47"/>
  <c r="H516" i="47"/>
  <c r="G516" i="47"/>
  <c r="C516" i="47"/>
  <c r="N514" i="47"/>
  <c r="L514" i="47"/>
  <c r="K514" i="47"/>
  <c r="J514" i="47"/>
  <c r="H514" i="47"/>
  <c r="G514" i="47"/>
  <c r="C514" i="47"/>
  <c r="N513" i="47"/>
  <c r="L513" i="47"/>
  <c r="K513" i="47"/>
  <c r="J513" i="47"/>
  <c r="H513" i="47"/>
  <c r="G513" i="47"/>
  <c r="C513" i="47"/>
  <c r="L512" i="47"/>
  <c r="H512" i="47"/>
  <c r="G512" i="47"/>
  <c r="C512" i="47"/>
  <c r="K512" i="47"/>
  <c r="N510" i="47"/>
  <c r="L510" i="47"/>
  <c r="K510" i="47"/>
  <c r="J510" i="47"/>
  <c r="H510" i="47"/>
  <c r="G510" i="47"/>
  <c r="C510" i="47"/>
  <c r="N509" i="47"/>
  <c r="L509" i="47"/>
  <c r="K509" i="47"/>
  <c r="J509" i="47"/>
  <c r="H509" i="47"/>
  <c r="G509" i="47"/>
  <c r="C509" i="47"/>
  <c r="L508" i="47"/>
  <c r="H508" i="47"/>
  <c r="G508" i="47"/>
  <c r="C508" i="47"/>
  <c r="N506" i="47"/>
  <c r="L506" i="47"/>
  <c r="K506" i="47"/>
  <c r="J506" i="47"/>
  <c r="H506" i="47"/>
  <c r="G506" i="47"/>
  <c r="C506" i="47"/>
  <c r="N505" i="47"/>
  <c r="L505" i="47"/>
  <c r="K505" i="47"/>
  <c r="J505" i="47"/>
  <c r="H505" i="47"/>
  <c r="G505" i="47"/>
  <c r="C505" i="47"/>
  <c r="N504" i="47"/>
  <c r="L504" i="47"/>
  <c r="K504" i="47"/>
  <c r="J504" i="47"/>
  <c r="H504" i="47"/>
  <c r="G504" i="47"/>
  <c r="C504" i="47"/>
  <c r="N503" i="47"/>
  <c r="L503" i="47"/>
  <c r="K503" i="47"/>
  <c r="J503" i="47"/>
  <c r="H503" i="47"/>
  <c r="G503" i="47"/>
  <c r="C503" i="47"/>
  <c r="N501" i="47"/>
  <c r="L501" i="47"/>
  <c r="K501" i="47"/>
  <c r="J501" i="47"/>
  <c r="H501" i="47"/>
  <c r="G501" i="47"/>
  <c r="C501" i="47"/>
  <c r="N500" i="47"/>
  <c r="L500" i="47"/>
  <c r="K500" i="47"/>
  <c r="J500" i="47"/>
  <c r="H500" i="47"/>
  <c r="G500" i="47"/>
  <c r="C500" i="47"/>
  <c r="N499" i="47"/>
  <c r="L499" i="47"/>
  <c r="K499" i="47"/>
  <c r="J499" i="47"/>
  <c r="H499" i="47"/>
  <c r="G499" i="47"/>
  <c r="C499" i="47"/>
  <c r="N498" i="47"/>
  <c r="L498" i="47"/>
  <c r="K498" i="47"/>
  <c r="J498" i="47"/>
  <c r="H498" i="47"/>
  <c r="G498" i="47"/>
  <c r="C498" i="47"/>
  <c r="N496" i="47"/>
  <c r="L496" i="47"/>
  <c r="K496" i="47"/>
  <c r="J496" i="47"/>
  <c r="H496" i="47"/>
  <c r="G496" i="47"/>
  <c r="C496" i="47"/>
  <c r="N495" i="47"/>
  <c r="L495" i="47"/>
  <c r="K495" i="47"/>
  <c r="J495" i="47"/>
  <c r="H495" i="47"/>
  <c r="G495" i="47"/>
  <c r="C495" i="47"/>
  <c r="N494" i="47"/>
  <c r="L494" i="47"/>
  <c r="K494" i="47"/>
  <c r="J494" i="47"/>
  <c r="H494" i="47"/>
  <c r="G494" i="47"/>
  <c r="C494" i="47"/>
  <c r="N493" i="47"/>
  <c r="L493" i="47"/>
  <c r="K493" i="47"/>
  <c r="J493" i="47"/>
  <c r="H493" i="47"/>
  <c r="G493" i="47"/>
  <c r="C493" i="47"/>
  <c r="N490" i="47"/>
  <c r="C490" i="47"/>
  <c r="N488" i="47"/>
  <c r="N491" i="47"/>
  <c r="C491" i="47"/>
  <c r="N489" i="47"/>
  <c r="L489" i="47"/>
  <c r="K489" i="47"/>
  <c r="J489" i="47"/>
  <c r="H489" i="47"/>
  <c r="G489" i="47"/>
  <c r="C489" i="47"/>
  <c r="L488" i="47"/>
  <c r="K488" i="47"/>
  <c r="J488" i="47"/>
  <c r="H488" i="47"/>
  <c r="G488" i="47"/>
  <c r="C488" i="47"/>
  <c r="L352" i="53" l="1"/>
  <c r="K550" i="47"/>
  <c r="K549" i="47" s="1"/>
  <c r="B288" i="53"/>
  <c r="B280" i="53"/>
  <c r="B344" i="53"/>
  <c r="B129" i="53"/>
  <c r="B271" i="53"/>
  <c r="B312" i="53"/>
  <c r="B328" i="53"/>
  <c r="B352" i="53"/>
  <c r="B296" i="53"/>
  <c r="B320" i="53"/>
  <c r="B304" i="53"/>
  <c r="B336" i="53"/>
  <c r="J304" i="47"/>
  <c r="J542" i="47"/>
  <c r="J536" i="47"/>
  <c r="M306" i="47"/>
  <c r="L303" i="47"/>
  <c r="K310" i="47"/>
  <c r="J310" i="47"/>
  <c r="J528" i="47"/>
  <c r="M307" i="47"/>
  <c r="M301" i="47"/>
  <c r="K546" i="47"/>
  <c r="M546" i="47" s="1"/>
  <c r="J546" i="47"/>
  <c r="K516" i="47"/>
  <c r="K515" i="47" s="1"/>
  <c r="M305" i="47"/>
  <c r="M304" i="47"/>
  <c r="M308" i="47"/>
  <c r="K303" i="47"/>
  <c r="M298" i="47"/>
  <c r="M299" i="47"/>
  <c r="M300" i="47"/>
  <c r="M302" i="47"/>
  <c r="K297" i="47"/>
  <c r="L297" i="47"/>
  <c r="M295" i="47"/>
  <c r="K289" i="47"/>
  <c r="L289" i="47"/>
  <c r="M293" i="47"/>
  <c r="M291" i="47"/>
  <c r="M294" i="47"/>
  <c r="M292" i="47"/>
  <c r="M296" i="47"/>
  <c r="M288" i="47"/>
  <c r="M290" i="47"/>
  <c r="K287" i="47"/>
  <c r="M287" i="47" s="1"/>
  <c r="J539" i="47"/>
  <c r="M551" i="47"/>
  <c r="J532" i="47"/>
  <c r="J524" i="47"/>
  <c r="L549" i="47"/>
  <c r="M547" i="47"/>
  <c r="M552" i="47"/>
  <c r="M548" i="47"/>
  <c r="L545" i="47"/>
  <c r="M544" i="47"/>
  <c r="M543" i="47"/>
  <c r="K541" i="47"/>
  <c r="L541" i="47"/>
  <c r="M542" i="47"/>
  <c r="L538" i="47"/>
  <c r="M539" i="47"/>
  <c r="M540" i="47"/>
  <c r="K538" i="47"/>
  <c r="M537" i="47"/>
  <c r="L535" i="47"/>
  <c r="M532" i="47"/>
  <c r="M536" i="47"/>
  <c r="K535" i="47"/>
  <c r="L531" i="47"/>
  <c r="M533" i="47"/>
  <c r="M534" i="47"/>
  <c r="K531" i="47"/>
  <c r="M529" i="47"/>
  <c r="M525" i="47"/>
  <c r="L527" i="47"/>
  <c r="M530" i="47"/>
  <c r="M528" i="47"/>
  <c r="K527" i="47"/>
  <c r="L523" i="47"/>
  <c r="M526" i="47"/>
  <c r="M524" i="47"/>
  <c r="K523" i="47"/>
  <c r="M522" i="47"/>
  <c r="M521" i="47"/>
  <c r="J520" i="47"/>
  <c r="J508" i="47"/>
  <c r="J512" i="47"/>
  <c r="K508" i="47"/>
  <c r="K507" i="47" s="1"/>
  <c r="M520" i="47"/>
  <c r="L519" i="47"/>
  <c r="K519" i="47"/>
  <c r="M517" i="47"/>
  <c r="M512" i="47"/>
  <c r="M513" i="47"/>
  <c r="L515" i="47"/>
  <c r="M518" i="47"/>
  <c r="L511" i="47"/>
  <c r="M514" i="47"/>
  <c r="K511" i="47"/>
  <c r="M509" i="47"/>
  <c r="L507" i="47"/>
  <c r="M505" i="47"/>
  <c r="M510" i="47"/>
  <c r="M500" i="47"/>
  <c r="L502" i="47"/>
  <c r="M501" i="47"/>
  <c r="M504" i="47"/>
  <c r="K502" i="47"/>
  <c r="M506" i="47"/>
  <c r="M503" i="47"/>
  <c r="L497" i="47"/>
  <c r="M499" i="47"/>
  <c r="M495" i="47"/>
  <c r="K497" i="47"/>
  <c r="M498" i="47"/>
  <c r="M494" i="47"/>
  <c r="M496" i="47"/>
  <c r="K492" i="47"/>
  <c r="L492" i="47"/>
  <c r="M493" i="47"/>
  <c r="M489" i="47"/>
  <c r="M488" i="47"/>
  <c r="J550" i="47" l="1"/>
  <c r="M550" i="47"/>
  <c r="M303" i="47"/>
  <c r="M310" i="47"/>
  <c r="K309" i="47"/>
  <c r="M309" i="47" s="1"/>
  <c r="M516" i="47"/>
  <c r="K545" i="47"/>
  <c r="M545" i="47" s="1"/>
  <c r="M297" i="47"/>
  <c r="M289" i="47"/>
  <c r="M549" i="47"/>
  <c r="M541" i="47"/>
  <c r="M538" i="47"/>
  <c r="M535" i="47"/>
  <c r="M531" i="47"/>
  <c r="M527" i="47"/>
  <c r="M523" i="47"/>
  <c r="M508" i="47"/>
  <c r="M519" i="47"/>
  <c r="M511" i="47"/>
  <c r="M515" i="47"/>
  <c r="M507" i="47"/>
  <c r="M502" i="47"/>
  <c r="M497" i="47"/>
  <c r="M492" i="47"/>
  <c r="I384" i="55" l="1"/>
  <c r="K384" i="55"/>
  <c r="L384" i="55"/>
  <c r="M384" i="55"/>
  <c r="N384" i="55"/>
  <c r="Q384" i="55" s="1"/>
  <c r="D375" i="55" l="1"/>
  <c r="D376" i="55" s="1"/>
  <c r="D377" i="55" s="1"/>
  <c r="D378" i="55" s="1"/>
  <c r="C374" i="55"/>
  <c r="C375" i="55" s="1"/>
  <c r="C373" i="55"/>
  <c r="K131" i="55"/>
  <c r="I131" i="55"/>
  <c r="H131" i="55"/>
  <c r="D131" i="55"/>
  <c r="C130" i="55"/>
  <c r="C131" i="55" s="1"/>
  <c r="K129" i="55"/>
  <c r="I129" i="55"/>
  <c r="H129" i="55"/>
  <c r="D129" i="55"/>
  <c r="C128" i="55"/>
  <c r="C129" i="55" s="1"/>
  <c r="N284" i="47"/>
  <c r="L284" i="47"/>
  <c r="K284" i="47"/>
  <c r="J284" i="47"/>
  <c r="H284" i="47"/>
  <c r="G284" i="47"/>
  <c r="C284" i="47"/>
  <c r="N283" i="47"/>
  <c r="L283" i="47"/>
  <c r="K283" i="47"/>
  <c r="J283" i="47"/>
  <c r="H283" i="47"/>
  <c r="G283" i="47"/>
  <c r="C283" i="47"/>
  <c r="N278" i="47"/>
  <c r="C278" i="47"/>
  <c r="N277" i="47"/>
  <c r="C277" i="47"/>
  <c r="N276" i="47"/>
  <c r="C276" i="47"/>
  <c r="N275" i="47"/>
  <c r="C275" i="47"/>
  <c r="N280" i="47"/>
  <c r="C280" i="47"/>
  <c r="N279" i="47"/>
  <c r="C279" i="47"/>
  <c r="N281" i="47"/>
  <c r="N274" i="47"/>
  <c r="N282" i="47"/>
  <c r="C282" i="47"/>
  <c r="C281" i="47"/>
  <c r="C274" i="47"/>
  <c r="K61" i="47" l="1"/>
  <c r="J61" i="47"/>
  <c r="D379" i="55"/>
  <c r="D380" i="55" s="1"/>
  <c r="D381" i="55" s="1"/>
  <c r="D382" i="55" s="1"/>
  <c r="D384" i="55" s="1"/>
  <c r="D385" i="55" s="1"/>
  <c r="D386" i="55" s="1"/>
  <c r="D387" i="55" s="1"/>
  <c r="C376" i="55"/>
  <c r="E375" i="55"/>
  <c r="E131" i="55"/>
  <c r="E129" i="55"/>
  <c r="M284" i="47"/>
  <c r="M283" i="47"/>
  <c r="C125" i="55"/>
  <c r="C126" i="55" s="1"/>
  <c r="C127" i="55" s="1"/>
  <c r="K126" i="55"/>
  <c r="I126" i="55"/>
  <c r="H126" i="55"/>
  <c r="K124" i="55"/>
  <c r="I124" i="55"/>
  <c r="H124" i="55"/>
  <c r="H110" i="55"/>
  <c r="I110" i="55"/>
  <c r="K110" i="55"/>
  <c r="H111" i="55"/>
  <c r="I111" i="55"/>
  <c r="K111" i="55"/>
  <c r="H112" i="55"/>
  <c r="I112" i="55"/>
  <c r="K112" i="55"/>
  <c r="K98" i="55"/>
  <c r="I98" i="55"/>
  <c r="H98" i="55"/>
  <c r="J165" i="55"/>
  <c r="B839" i="47" s="1"/>
  <c r="B840" i="47" s="1"/>
  <c r="B841" i="47" s="1"/>
  <c r="B842" i="47" s="1"/>
  <c r="B843" i="47" s="1"/>
  <c r="B844" i="47" s="1"/>
  <c r="B845" i="47" s="1"/>
  <c r="B846" i="47" s="1"/>
  <c r="B847" i="47" s="1"/>
  <c r="B848" i="47" s="1"/>
  <c r="J282" i="55"/>
  <c r="B432" i="47" s="1"/>
  <c r="B433" i="47" s="1"/>
  <c r="B434" i="47" s="1"/>
  <c r="J281" i="55"/>
  <c r="B429" i="47" s="1"/>
  <c r="B430" i="47" s="1"/>
  <c r="B431" i="47" s="1"/>
  <c r="K277" i="55"/>
  <c r="I277" i="55"/>
  <c r="H277" i="55"/>
  <c r="D280" i="55"/>
  <c r="C446" i="47"/>
  <c r="N445" i="47"/>
  <c r="L445" i="47"/>
  <c r="K445" i="47"/>
  <c r="J445" i="47"/>
  <c r="H445" i="47"/>
  <c r="G445" i="47"/>
  <c r="C445" i="47"/>
  <c r="K267" i="55"/>
  <c r="I267" i="55"/>
  <c r="H267" i="55"/>
  <c r="K266" i="55"/>
  <c r="I266" i="55"/>
  <c r="H266" i="55"/>
  <c r="K262" i="55"/>
  <c r="I262" i="55"/>
  <c r="H262" i="55"/>
  <c r="K263" i="55"/>
  <c r="I263" i="55"/>
  <c r="H263" i="55"/>
  <c r="K264" i="55"/>
  <c r="I264" i="55"/>
  <c r="H264" i="55"/>
  <c r="K261" i="55"/>
  <c r="I261" i="55"/>
  <c r="H261" i="55"/>
  <c r="K259" i="55"/>
  <c r="I259" i="55"/>
  <c r="H259" i="55"/>
  <c r="K257" i="55"/>
  <c r="I257" i="55"/>
  <c r="K256" i="55"/>
  <c r="I256" i="55"/>
  <c r="D250" i="55"/>
  <c r="K252" i="55"/>
  <c r="I252" i="55"/>
  <c r="H252" i="55"/>
  <c r="K251" i="55"/>
  <c r="I251" i="55"/>
  <c r="H251" i="55"/>
  <c r="C249" i="55"/>
  <c r="C250" i="55" s="1"/>
  <c r="K245" i="55"/>
  <c r="I245" i="55"/>
  <c r="H245" i="55"/>
  <c r="K248" i="55"/>
  <c r="I248" i="55"/>
  <c r="H248" i="55"/>
  <c r="K247" i="55"/>
  <c r="I247" i="55"/>
  <c r="H247" i="55"/>
  <c r="D243" i="55"/>
  <c r="D244" i="55" s="1"/>
  <c r="C242" i="55"/>
  <c r="C243" i="55" s="1"/>
  <c r="C244" i="55" s="1"/>
  <c r="K241" i="55"/>
  <c r="I241" i="55"/>
  <c r="H241" i="55"/>
  <c r="K240" i="55"/>
  <c r="I240" i="55"/>
  <c r="H240" i="55"/>
  <c r="N481" i="47"/>
  <c r="C481" i="47"/>
  <c r="N480" i="47"/>
  <c r="C480" i="47"/>
  <c r="N483" i="47"/>
  <c r="C483" i="47"/>
  <c r="N482" i="47"/>
  <c r="C482" i="47"/>
  <c r="N479" i="47"/>
  <c r="C479" i="47"/>
  <c r="N478" i="47"/>
  <c r="C478" i="47"/>
  <c r="K237" i="55"/>
  <c r="I237" i="55"/>
  <c r="H237" i="55"/>
  <c r="D235" i="55"/>
  <c r="D236" i="55" s="1"/>
  <c r="D238" i="55" s="1"/>
  <c r="D239" i="55" s="1"/>
  <c r="D241" i="55" s="1"/>
  <c r="D234" i="55"/>
  <c r="C233" i="55"/>
  <c r="C235" i="55" s="1"/>
  <c r="K232" i="55"/>
  <c r="I232" i="55"/>
  <c r="H232" i="55"/>
  <c r="K230" i="55"/>
  <c r="I230" i="55"/>
  <c r="H230" i="55"/>
  <c r="D227" i="55"/>
  <c r="N476" i="47"/>
  <c r="L476" i="47"/>
  <c r="K476" i="47"/>
  <c r="J476" i="47"/>
  <c r="H476" i="47"/>
  <c r="G476" i="47"/>
  <c r="C476" i="47"/>
  <c r="N475" i="47"/>
  <c r="L475" i="47"/>
  <c r="K475" i="47"/>
  <c r="J475" i="47"/>
  <c r="H475" i="47"/>
  <c r="G475" i="47"/>
  <c r="C475" i="47"/>
  <c r="N474" i="47"/>
  <c r="L474" i="47"/>
  <c r="K474" i="47"/>
  <c r="J474" i="47"/>
  <c r="H474" i="47"/>
  <c r="G474" i="47"/>
  <c r="C474" i="47"/>
  <c r="N473" i="47"/>
  <c r="L473" i="47"/>
  <c r="K473" i="47"/>
  <c r="J473" i="47"/>
  <c r="H473" i="47"/>
  <c r="G473" i="47"/>
  <c r="C473" i="47"/>
  <c r="D211" i="55"/>
  <c r="D212" i="55" s="1"/>
  <c r="D213" i="55" s="1"/>
  <c r="D214" i="55" s="1"/>
  <c r="D216" i="55"/>
  <c r="D217" i="55" s="1"/>
  <c r="D218" i="55" s="1"/>
  <c r="D219" i="55" s="1"/>
  <c r="D220" i="55" s="1"/>
  <c r="D221" i="55" s="1"/>
  <c r="D222" i="55" s="1"/>
  <c r="D223" i="55" s="1"/>
  <c r="D224" i="55" s="1"/>
  <c r="D225" i="55" s="1"/>
  <c r="N184" i="47"/>
  <c r="J881" i="47"/>
  <c r="J121" i="53"/>
  <c r="J120" i="53"/>
  <c r="I121" i="53"/>
  <c r="I120" i="53"/>
  <c r="H121" i="53"/>
  <c r="H120" i="53"/>
  <c r="C271" i="47"/>
  <c r="N272" i="47"/>
  <c r="C272" i="47"/>
  <c r="C270" i="47"/>
  <c r="K443" i="47"/>
  <c r="J952" i="47"/>
  <c r="J96" i="53"/>
  <c r="I96" i="53"/>
  <c r="H96" i="53"/>
  <c r="K451" i="47"/>
  <c r="K742" i="47"/>
  <c r="J760" i="47"/>
  <c r="K469" i="47"/>
  <c r="K653" i="47"/>
  <c r="J51" i="47"/>
  <c r="K50" i="47"/>
  <c r="K37" i="47"/>
  <c r="K747" i="47"/>
  <c r="K649" i="47"/>
  <c r="K424" i="47"/>
  <c r="J704" i="47"/>
  <c r="J705" i="47"/>
  <c r="K448" i="53"/>
  <c r="J448" i="53"/>
  <c r="I448" i="53"/>
  <c r="H448" i="53"/>
  <c r="K699" i="47"/>
  <c r="K32" i="47"/>
  <c r="K877" i="47"/>
  <c r="K425" i="47"/>
  <c r="K766" i="47"/>
  <c r="I461" i="53"/>
  <c r="L461" i="53" s="1"/>
  <c r="J170" i="53"/>
  <c r="I170" i="53"/>
  <c r="K754" i="47"/>
  <c r="K738" i="47"/>
  <c r="K731" i="47"/>
  <c r="J762" i="47"/>
  <c r="K656" i="47"/>
  <c r="J750" i="47"/>
  <c r="I750" i="53"/>
  <c r="H750" i="53"/>
  <c r="J733" i="47"/>
  <c r="J233" i="47"/>
  <c r="A76" i="28"/>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A100" i="28" s="1"/>
  <c r="A101" i="28" s="1"/>
  <c r="A102" i="28" s="1"/>
  <c r="A103" i="28" s="1"/>
  <c r="A104" i="28" s="1"/>
  <c r="A105" i="28" s="1"/>
  <c r="A106" i="28" s="1"/>
  <c r="A107" i="28" s="1"/>
  <c r="A108" i="28" s="1"/>
  <c r="A109" i="28" s="1"/>
  <c r="A110" i="28" s="1"/>
  <c r="A111" i="28" s="1"/>
  <c r="A112" i="28" s="1"/>
  <c r="A113" i="28" s="1"/>
  <c r="A114" i="28" s="1"/>
  <c r="A115" i="28" s="1"/>
  <c r="A116" i="28" s="1"/>
  <c r="A117" i="28" s="1"/>
  <c r="A118" i="28" s="1"/>
  <c r="A119" i="28" s="1"/>
  <c r="A120" i="28" s="1"/>
  <c r="A121" i="28" s="1"/>
  <c r="A122" i="28" s="1"/>
  <c r="A123" i="28" s="1"/>
  <c r="A124" i="28" s="1"/>
  <c r="A125" i="28" s="1"/>
  <c r="A126" i="28" s="1"/>
  <c r="A127" i="28" s="1"/>
  <c r="A128" i="28" s="1"/>
  <c r="A129" i="28" s="1"/>
  <c r="A130" i="28" s="1"/>
  <c r="A131" i="28" s="1"/>
  <c r="A132" i="28" s="1"/>
  <c r="A133" i="28" s="1"/>
  <c r="A134" i="28" s="1"/>
  <c r="A135" i="28" s="1"/>
  <c r="A136" i="28" s="1"/>
  <c r="A137" i="28" s="1"/>
  <c r="A138" i="28" s="1"/>
  <c r="A139" i="28" s="1"/>
  <c r="A140" i="28" s="1"/>
  <c r="A141" i="28" s="1"/>
  <c r="A142" i="28" s="1"/>
  <c r="A143" i="28" s="1"/>
  <c r="A144" i="28" s="1"/>
  <c r="A145" i="28" s="1"/>
  <c r="A146" i="28" s="1"/>
  <c r="A147" i="28" s="1"/>
  <c r="A148" i="28" s="1"/>
  <c r="A149" i="28" s="1"/>
  <c r="A150" i="28" s="1"/>
  <c r="A151" i="28" s="1"/>
  <c r="A152" i="28" s="1"/>
  <c r="A153" i="28" s="1"/>
  <c r="A154" i="28" s="1"/>
  <c r="A155" i="28" s="1"/>
  <c r="A156" i="28" s="1"/>
  <c r="A157" i="28" s="1"/>
  <c r="A158" i="28" s="1"/>
  <c r="A159" i="28" s="1"/>
  <c r="A160" i="28" s="1"/>
  <c r="A161" i="28" s="1"/>
  <c r="A162" i="28" s="1"/>
  <c r="A163" i="28" s="1"/>
  <c r="A164" i="28" s="1"/>
  <c r="A165" i="28" s="1"/>
  <c r="A166" i="28" s="1"/>
  <c r="A167" i="28" s="1"/>
  <c r="A168" i="28" s="1"/>
  <c r="A169" i="28" s="1"/>
  <c r="A170" i="28" s="1"/>
  <c r="A171" i="28" s="1"/>
  <c r="A172" i="28" s="1"/>
  <c r="A173" i="28" s="1"/>
  <c r="A174" i="28" s="1"/>
  <c r="A175" i="28" s="1"/>
  <c r="A176" i="28" s="1"/>
  <c r="A177" i="28" s="1"/>
  <c r="A178" i="28" s="1"/>
  <c r="A179" i="28" s="1"/>
  <c r="A180" i="28" s="1"/>
  <c r="A181" i="28" s="1"/>
  <c r="A182" i="28" s="1"/>
  <c r="A183" i="28" s="1"/>
  <c r="A184" i="28" s="1"/>
  <c r="A185" i="28" s="1"/>
  <c r="A186" i="28" s="1"/>
  <c r="A187" i="28" s="1"/>
  <c r="A188" i="28" s="1"/>
  <c r="A189" i="28" s="1"/>
  <c r="A190" i="28" s="1"/>
  <c r="A191" i="28" s="1"/>
  <c r="A192" i="28" s="1"/>
  <c r="A193" i="28" s="1"/>
  <c r="A194" i="28" s="1"/>
  <c r="A195" i="28" s="1"/>
  <c r="A196" i="28" s="1"/>
  <c r="A197" i="28" s="1"/>
  <c r="A198" i="28" s="1"/>
  <c r="A199" i="28" s="1"/>
  <c r="A200" i="28" s="1"/>
  <c r="A201" i="28" s="1"/>
  <c r="A202" i="28" s="1"/>
  <c r="A203" i="28" s="1"/>
  <c r="A204" i="28" s="1"/>
  <c r="A205" i="28" s="1"/>
  <c r="A206" i="28" s="1"/>
  <c r="A207" i="28" s="1"/>
  <c r="A208" i="28" s="1"/>
  <c r="A209" i="28" s="1"/>
  <c r="A210" i="28" s="1"/>
  <c r="A211" i="28" s="1"/>
  <c r="A212" i="28" s="1"/>
  <c r="A213" i="28" s="1"/>
  <c r="A214" i="28" s="1"/>
  <c r="A215" i="28" s="1"/>
  <c r="A216" i="28" s="1"/>
  <c r="A217" i="28" s="1"/>
  <c r="A218" i="28" s="1"/>
  <c r="A219" i="28" s="1"/>
  <c r="A220" i="28" s="1"/>
  <c r="A221" i="28" s="1"/>
  <c r="A222" i="28" s="1"/>
  <c r="A223" i="28" s="1"/>
  <c r="A224" i="28" s="1"/>
  <c r="A225" i="28" s="1"/>
  <c r="A226" i="28" s="1"/>
  <c r="A227" i="28" s="1"/>
  <c r="A228" i="28" s="1"/>
  <c r="A229" i="28" s="1"/>
  <c r="A230" i="28" s="1"/>
  <c r="A231" i="28" s="1"/>
  <c r="A232" i="28" s="1"/>
  <c r="A233" i="28" s="1"/>
  <c r="A234" i="28" s="1"/>
  <c r="A235" i="28" s="1"/>
  <c r="A236" i="28" s="1"/>
  <c r="A237" i="28" s="1"/>
  <c r="A238" i="28" s="1"/>
  <c r="A239" i="28" s="1"/>
  <c r="A240" i="28" s="1"/>
  <c r="A241" i="28" s="1"/>
  <c r="A242" i="28" s="1"/>
  <c r="A243" i="28" s="1"/>
  <c r="A244" i="28" s="1"/>
  <c r="A245" i="28" s="1"/>
  <c r="A246" i="28" s="1"/>
  <c r="A247" i="28" s="1"/>
  <c r="A248" i="28" s="1"/>
  <c r="A249" i="28" s="1"/>
  <c r="A250" i="28" s="1"/>
  <c r="A251" i="28" s="1"/>
  <c r="A252" i="28" s="1"/>
  <c r="A253" i="28" s="1"/>
  <c r="A254" i="28" s="1"/>
  <c r="A255" i="28" s="1"/>
  <c r="A256" i="28" s="1"/>
  <c r="A257" i="28" s="1"/>
  <c r="A258" i="28" s="1"/>
  <c r="A259" i="28" s="1"/>
  <c r="A260" i="28" s="1"/>
  <c r="A261" i="28" s="1"/>
  <c r="A262" i="28" s="1"/>
  <c r="A263" i="28" s="1"/>
  <c r="A264" i="28" s="1"/>
  <c r="A265" i="28" s="1"/>
  <c r="A266" i="28" s="1"/>
  <c r="A267" i="28" s="1"/>
  <c r="A268" i="28" s="1"/>
  <c r="A269" i="28" s="1"/>
  <c r="A270" i="28" s="1"/>
  <c r="A271" i="28" s="1"/>
  <c r="A272" i="28" s="1"/>
  <c r="A273" i="28" s="1"/>
  <c r="A274" i="28" s="1"/>
  <c r="A275" i="28" s="1"/>
  <c r="A276" i="28" s="1"/>
  <c r="A277" i="28" s="1"/>
  <c r="A278" i="28" s="1"/>
  <c r="A279" i="28" s="1"/>
  <c r="A280" i="28" s="1"/>
  <c r="A281" i="28" s="1"/>
  <c r="A282" i="28" s="1"/>
  <c r="A283" i="28" s="1"/>
  <c r="A284" i="28" s="1"/>
  <c r="A285" i="28" s="1"/>
  <c r="A286" i="28" s="1"/>
  <c r="A287" i="28" s="1"/>
  <c r="A288" i="28" s="1"/>
  <c r="A289" i="28" s="1"/>
  <c r="A290" i="28" s="1"/>
  <c r="A291" i="28" s="1"/>
  <c r="A292" i="28" s="1"/>
  <c r="A293" i="28" s="1"/>
  <c r="A294" i="28" s="1"/>
  <c r="A295" i="28" s="1"/>
  <c r="A296" i="28" s="1"/>
  <c r="A297" i="28" s="1"/>
  <c r="A298" i="28" s="1"/>
  <c r="A299" i="28" s="1"/>
  <c r="A300" i="28" s="1"/>
  <c r="A301" i="28" s="1"/>
  <c r="A302" i="28" s="1"/>
  <c r="A303" i="28" s="1"/>
  <c r="A304" i="28" s="1"/>
  <c r="A305" i="28" s="1"/>
  <c r="A306" i="28" s="1"/>
  <c r="A307" i="28" s="1"/>
  <c r="A308" i="28" s="1"/>
  <c r="A309" i="28" s="1"/>
  <c r="A310" i="28" s="1"/>
  <c r="A311" i="28" s="1"/>
  <c r="A312" i="28" s="1"/>
  <c r="A313" i="28" s="1"/>
  <c r="A314" i="28" s="1"/>
  <c r="A315" i="28" s="1"/>
  <c r="A316" i="28" s="1"/>
  <c r="A317" i="28" s="1"/>
  <c r="A318" i="28" s="1"/>
  <c r="A319" i="28" s="1"/>
  <c r="A320" i="28" s="1"/>
  <c r="A321" i="28" s="1"/>
  <c r="A322" i="28" s="1"/>
  <c r="A323" i="28" s="1"/>
  <c r="A324" i="28" s="1"/>
  <c r="A325" i="28" s="1"/>
  <c r="A326" i="28" s="1"/>
  <c r="A327" i="28" s="1"/>
  <c r="A328" i="28" s="1"/>
  <c r="A329" i="28" s="1"/>
  <c r="A330" i="28" s="1"/>
  <c r="A331" i="28" s="1"/>
  <c r="A332" i="28" s="1"/>
  <c r="A333" i="28" s="1"/>
  <c r="A334" i="28" s="1"/>
  <c r="A335" i="28" s="1"/>
  <c r="A336" i="28" s="1"/>
  <c r="A337" i="28" s="1"/>
  <c r="A338" i="28" s="1"/>
  <c r="A339" i="28" s="1"/>
  <c r="A340" i="28" s="1"/>
  <c r="A341" i="28" s="1"/>
  <c r="A342" i="28" s="1"/>
  <c r="A343" i="28" s="1"/>
  <c r="A344" i="28" s="1"/>
  <c r="A345" i="28" s="1"/>
  <c r="A346" i="28" s="1"/>
  <c r="A347" i="28" s="1"/>
  <c r="A348" i="28" s="1"/>
  <c r="A349" i="28" s="1"/>
  <c r="A350" i="28" s="1"/>
  <c r="A351" i="28" s="1"/>
  <c r="A352" i="28" s="1"/>
  <c r="A353" i="28" s="1"/>
  <c r="A354" i="28" s="1"/>
  <c r="A355" i="28" s="1"/>
  <c r="A356" i="28" s="1"/>
  <c r="A357" i="28" s="1"/>
  <c r="A358" i="28" s="1"/>
  <c r="A359" i="28" s="1"/>
  <c r="A360" i="28" s="1"/>
  <c r="A361" i="28" s="1"/>
  <c r="A362" i="28" s="1"/>
  <c r="A363" i="28" s="1"/>
  <c r="A364" i="28" s="1"/>
  <c r="A365" i="28" s="1"/>
  <c r="A366" i="28" s="1"/>
  <c r="A367" i="28" s="1"/>
  <c r="A368" i="28" s="1"/>
  <c r="A369" i="28" s="1"/>
  <c r="A370" i="28" s="1"/>
  <c r="A371" i="28" s="1"/>
  <c r="A372" i="28" s="1"/>
  <c r="A373" i="28" s="1"/>
  <c r="A374" i="28" s="1"/>
  <c r="A375" i="28" s="1"/>
  <c r="A376" i="28" s="1"/>
  <c r="A377" i="28" s="1"/>
  <c r="A378" i="28" s="1"/>
  <c r="A379" i="28" s="1"/>
  <c r="A380" i="28" s="1"/>
  <c r="A381" i="28" s="1"/>
  <c r="A382" i="28" s="1"/>
  <c r="A383" i="28" s="1"/>
  <c r="A384" i="28" s="1"/>
  <c r="A385" i="28" s="1"/>
  <c r="A386" i="28" s="1"/>
  <c r="A387" i="28" s="1"/>
  <c r="A388" i="28" s="1"/>
  <c r="A389" i="28" s="1"/>
  <c r="A390" i="28" s="1"/>
  <c r="A391" i="28" s="1"/>
  <c r="A392" i="28" s="1"/>
  <c r="A393" i="28" s="1"/>
  <c r="A394" i="28" s="1"/>
  <c r="A395" i="28" s="1"/>
  <c r="A396" i="28" s="1"/>
  <c r="A397" i="28" s="1"/>
  <c r="A398" i="28" s="1"/>
  <c r="A399" i="28" s="1"/>
  <c r="A400" i="28" s="1"/>
  <c r="A401" i="28" s="1"/>
  <c r="A402" i="28" s="1"/>
  <c r="A403" i="28" s="1"/>
  <c r="A404" i="28" s="1"/>
  <c r="A405" i="28" s="1"/>
  <c r="A406" i="28" s="1"/>
  <c r="A407" i="28" s="1"/>
  <c r="A408" i="28" s="1"/>
  <c r="A409" i="28" s="1"/>
  <c r="A410" i="28" s="1"/>
  <c r="A411" i="28" s="1"/>
  <c r="A412" i="28" s="1"/>
  <c r="A413" i="28" s="1"/>
  <c r="A414" i="28" s="1"/>
  <c r="A415" i="28" s="1"/>
  <c r="A416" i="28" s="1"/>
  <c r="A417" i="28" s="1"/>
  <c r="A418" i="28" s="1"/>
  <c r="A419" i="28" s="1"/>
  <c r="A420" i="28" s="1"/>
  <c r="A421" i="28" s="1"/>
  <c r="A422" i="28" s="1"/>
  <c r="A423" i="28" s="1"/>
  <c r="A424" i="28" s="1"/>
  <c r="A425" i="28" s="1"/>
  <c r="A426" i="28" s="1"/>
  <c r="A427" i="28" s="1"/>
  <c r="A428" i="28" s="1"/>
  <c r="A429" i="28" s="1"/>
  <c r="A430" i="28" s="1"/>
  <c r="A431" i="28" s="1"/>
  <c r="A432" i="28" s="1"/>
  <c r="A433" i="28" s="1"/>
  <c r="A434" i="28" s="1"/>
  <c r="A435" i="28" s="1"/>
  <c r="A436" i="28" s="1"/>
  <c r="A437" i="28" s="1"/>
  <c r="A438" i="28" s="1"/>
  <c r="A439" i="28" s="1"/>
  <c r="A440" i="28" s="1"/>
  <c r="A441" i="28" s="1"/>
  <c r="A442" i="28" s="1"/>
  <c r="A443" i="28" s="1"/>
  <c r="A444" i="28" s="1"/>
  <c r="A445" i="28" s="1"/>
  <c r="A446" i="28" s="1"/>
  <c r="A447" i="28" s="1"/>
  <c r="A448" i="28" s="1"/>
  <c r="A449" i="28" s="1"/>
  <c r="A450" i="28" s="1"/>
  <c r="A451" i="28" s="1"/>
  <c r="A452" i="28" s="1"/>
  <c r="A453" i="28" s="1"/>
  <c r="A454" i="28" s="1"/>
  <c r="A455" i="28" s="1"/>
  <c r="A456" i="28" s="1"/>
  <c r="A457" i="28" s="1"/>
  <c r="A458" i="28" s="1"/>
  <c r="A459" i="28" s="1"/>
  <c r="A460" i="28" s="1"/>
  <c r="A461" i="28" s="1"/>
  <c r="A462" i="28" s="1"/>
  <c r="A463" i="28" s="1"/>
  <c r="A464" i="28" s="1"/>
  <c r="A465" i="28" s="1"/>
  <c r="A466" i="28" s="1"/>
  <c r="A467" i="28" s="1"/>
  <c r="A468" i="28" s="1"/>
  <c r="A469" i="28" s="1"/>
  <c r="A470" i="28" s="1"/>
  <c r="A471" i="28" s="1"/>
  <c r="A472" i="28" s="1"/>
  <c r="A473" i="28" s="1"/>
  <c r="A474" i="28" s="1"/>
  <c r="A475" i="28" s="1"/>
  <c r="A476" i="28" s="1"/>
  <c r="A477" i="28" s="1"/>
  <c r="A478" i="28" s="1"/>
  <c r="A479" i="28" s="1"/>
  <c r="A480" i="28" s="1"/>
  <c r="A481" i="28" s="1"/>
  <c r="A482" i="28" s="1"/>
  <c r="A483" i="28" s="1"/>
  <c r="A484" i="28" s="1"/>
  <c r="A485" i="28" s="1"/>
  <c r="A486" i="28" s="1"/>
  <c r="A487" i="28" s="1"/>
  <c r="A488" i="28" s="1"/>
  <c r="A489" i="28" s="1"/>
  <c r="A490" i="28" s="1"/>
  <c r="A491" i="28" s="1"/>
  <c r="A492" i="28" s="1"/>
  <c r="A493" i="28" s="1"/>
  <c r="A494" i="28" s="1"/>
  <c r="A495" i="28" s="1"/>
  <c r="A496" i="28" s="1"/>
  <c r="A497" i="28" s="1"/>
  <c r="A498" i="28" s="1"/>
  <c r="A499" i="28" s="1"/>
  <c r="A500" i="28" s="1"/>
  <c r="A501" i="28" s="1"/>
  <c r="A502" i="28" s="1"/>
  <c r="A503" i="28" s="1"/>
  <c r="A504" i="28" s="1"/>
  <c r="A505" i="28" s="1"/>
  <c r="A506" i="28" s="1"/>
  <c r="A507" i="28" s="1"/>
  <c r="A508" i="28" s="1"/>
  <c r="A509" i="28" s="1"/>
  <c r="A510" i="28" s="1"/>
  <c r="A511" i="28" s="1"/>
  <c r="A512" i="28" s="1"/>
  <c r="A513" i="28" s="1"/>
  <c r="A514" i="28" s="1"/>
  <c r="A515" i="28" s="1"/>
  <c r="A516" i="28" s="1"/>
  <c r="A517" i="28" s="1"/>
  <c r="A518" i="28" s="1"/>
  <c r="A519" i="28" s="1"/>
  <c r="A520" i="28" s="1"/>
  <c r="A521" i="28" s="1"/>
  <c r="A522" i="28" s="1"/>
  <c r="A523" i="28" s="1"/>
  <c r="A524" i="28" s="1"/>
  <c r="A525" i="28" s="1"/>
  <c r="A526" i="28" s="1"/>
  <c r="A527" i="28" s="1"/>
  <c r="A528" i="28" s="1"/>
  <c r="A529" i="28" s="1"/>
  <c r="A530" i="28" s="1"/>
  <c r="A531" i="28" s="1"/>
  <c r="A532" i="28" s="1"/>
  <c r="A533" i="28" s="1"/>
  <c r="A534" i="28" s="1"/>
  <c r="A535" i="28" s="1"/>
  <c r="A536" i="28" s="1"/>
  <c r="A537" i="28" s="1"/>
  <c r="A538" i="28" s="1"/>
  <c r="A539" i="28" s="1"/>
  <c r="A540" i="28" s="1"/>
  <c r="A541" i="28" s="1"/>
  <c r="A542" i="28" s="1"/>
  <c r="A543" i="28" s="1"/>
  <c r="A544" i="28" s="1"/>
  <c r="A545" i="28" s="1"/>
  <c r="A546" i="28" s="1"/>
  <c r="A547" i="28" s="1"/>
  <c r="A548" i="28" s="1"/>
  <c r="A549" i="28" s="1"/>
  <c r="A550" i="28" s="1"/>
  <c r="A551" i="28" s="1"/>
  <c r="A552" i="28" s="1"/>
  <c r="A553" i="28" s="1"/>
  <c r="A554" i="28" s="1"/>
  <c r="A555" i="28" s="1"/>
  <c r="A556" i="28" s="1"/>
  <c r="A557" i="28" s="1"/>
  <c r="A558" i="28" s="1"/>
  <c r="A559" i="28" s="1"/>
  <c r="A560" i="28" s="1"/>
  <c r="A561" i="28" s="1"/>
  <c r="A562" i="28" s="1"/>
  <c r="A563" i="28" s="1"/>
  <c r="A564" i="28" s="1"/>
  <c r="A565" i="28" s="1"/>
  <c r="A566" i="28" s="1"/>
  <c r="A567" i="28" s="1"/>
  <c r="A568" i="28" s="1"/>
  <c r="A569" i="28" s="1"/>
  <c r="A570" i="28" s="1"/>
  <c r="A571" i="28" s="1"/>
  <c r="A572" i="28" s="1"/>
  <c r="A573" i="28" s="1"/>
  <c r="A574" i="28" s="1"/>
  <c r="A575" i="28" s="1"/>
  <c r="A576" i="28" s="1"/>
  <c r="A577" i="28" s="1"/>
  <c r="A578" i="28" s="1"/>
  <c r="A579" i="28" s="1"/>
  <c r="A580" i="28" s="1"/>
  <c r="A581" i="28" s="1"/>
  <c r="A582" i="28" s="1"/>
  <c r="A583" i="28" s="1"/>
  <c r="A584" i="28" s="1"/>
  <c r="A585" i="28" s="1"/>
  <c r="A586" i="28" s="1"/>
  <c r="A587" i="28" s="1"/>
  <c r="A588" i="28" s="1"/>
  <c r="A589" i="28" s="1"/>
  <c r="A590" i="28" s="1"/>
  <c r="A591" i="28" s="1"/>
  <c r="A592" i="28" s="1"/>
  <c r="A593" i="28" s="1"/>
  <c r="A594" i="28" s="1"/>
  <c r="A595" i="28" s="1"/>
  <c r="A596" i="28" s="1"/>
  <c r="A597" i="28" s="1"/>
  <c r="A598" i="28" s="1"/>
  <c r="A599" i="28" s="1"/>
  <c r="A600" i="28" s="1"/>
  <c r="A601" i="28" s="1"/>
  <c r="A602" i="28" s="1"/>
  <c r="A603" i="28" s="1"/>
  <c r="A604" i="28" s="1"/>
  <c r="A605" i="28" s="1"/>
  <c r="A606" i="28" s="1"/>
  <c r="A607" i="28" s="1"/>
  <c r="A608" i="28" s="1"/>
  <c r="A609" i="28" s="1"/>
  <c r="A610" i="28" s="1"/>
  <c r="A611" i="28" s="1"/>
  <c r="A612" i="28" s="1"/>
  <c r="A613" i="28" s="1"/>
  <c r="A614" i="28" s="1"/>
  <c r="A615" i="28" s="1"/>
  <c r="A616" i="28" s="1"/>
  <c r="A617" i="28" s="1"/>
  <c r="A618" i="28" s="1"/>
  <c r="A619" i="28" s="1"/>
  <c r="A620" i="28" s="1"/>
  <c r="A621" i="28" s="1"/>
  <c r="A622" i="28" s="1"/>
  <c r="A623" i="28" s="1"/>
  <c r="A624" i="28" s="1"/>
  <c r="A625" i="28" s="1"/>
  <c r="A626" i="28" s="1"/>
  <c r="A627" i="28" s="1"/>
  <c r="A628" i="28" s="1"/>
  <c r="A629" i="28" s="1"/>
  <c r="A630" i="28" s="1"/>
  <c r="A631" i="28" s="1"/>
  <c r="A632" i="28" s="1"/>
  <c r="A633" i="28" s="1"/>
  <c r="A634" i="28" s="1"/>
  <c r="A635" i="28" s="1"/>
  <c r="A636" i="28" s="1"/>
  <c r="A637" i="28" s="1"/>
  <c r="A638" i="28" s="1"/>
  <c r="A639" i="28" s="1"/>
  <c r="A640" i="28" s="1"/>
  <c r="A641" i="28" s="1"/>
  <c r="A642" i="28" s="1"/>
  <c r="A643" i="28" s="1"/>
  <c r="A644" i="28" s="1"/>
  <c r="A645" i="28" s="1"/>
  <c r="A646" i="28" s="1"/>
  <c r="A647" i="28" s="1"/>
  <c r="A648" i="28" s="1"/>
  <c r="A649" i="28" s="1"/>
  <c r="A650" i="28" s="1"/>
  <c r="A651" i="28" s="1"/>
  <c r="A652" i="28" s="1"/>
  <c r="A653" i="28" s="1"/>
  <c r="A654" i="28" s="1"/>
  <c r="A655" i="28" s="1"/>
  <c r="A656" i="28" s="1"/>
  <c r="A657" i="28" s="1"/>
  <c r="A658" i="28" s="1"/>
  <c r="A659" i="28" s="1"/>
  <c r="A660" i="28" s="1"/>
  <c r="A661" i="28" s="1"/>
  <c r="A662" i="28" s="1"/>
  <c r="A663" i="28" s="1"/>
  <c r="A664" i="28" s="1"/>
  <c r="A665" i="28" s="1"/>
  <c r="A666" i="28" s="1"/>
  <c r="A667" i="28" s="1"/>
  <c r="A668" i="28" s="1"/>
  <c r="A669" i="28" s="1"/>
  <c r="A670" i="28" s="1"/>
  <c r="A671" i="28" s="1"/>
  <c r="A672" i="28" s="1"/>
  <c r="A673" i="28" s="1"/>
  <c r="A674" i="28" s="1"/>
  <c r="A675" i="28" s="1"/>
  <c r="A676" i="28" s="1"/>
  <c r="A677" i="28" s="1"/>
  <c r="A678" i="28" s="1"/>
  <c r="A679" i="28" s="1"/>
  <c r="A680" i="28" s="1"/>
  <c r="A681" i="28" s="1"/>
  <c r="A682" i="28" s="1"/>
  <c r="A683" i="28" s="1"/>
  <c r="A684" i="28" s="1"/>
  <c r="A685" i="28" s="1"/>
  <c r="A686" i="28" s="1"/>
  <c r="A687" i="28" s="1"/>
  <c r="A688" i="28" s="1"/>
  <c r="A689" i="28" s="1"/>
  <c r="A690" i="28" s="1"/>
  <c r="A691" i="28" s="1"/>
  <c r="A692" i="28" s="1"/>
  <c r="A693" i="28" s="1"/>
  <c r="A694" i="28" s="1"/>
  <c r="A695" i="28" s="1"/>
  <c r="A696" i="28" s="1"/>
  <c r="A697" i="28" s="1"/>
  <c r="A698" i="28" s="1"/>
  <c r="A699" i="28" s="1"/>
  <c r="A700" i="28" s="1"/>
  <c r="A701" i="28" s="1"/>
  <c r="A702" i="28" s="1"/>
  <c r="A703" i="28" s="1"/>
  <c r="A704" i="28" s="1"/>
  <c r="A705" i="28" s="1"/>
  <c r="A706" i="28" s="1"/>
  <c r="A707" i="28" s="1"/>
  <c r="A708" i="28" s="1"/>
  <c r="A709" i="28" s="1"/>
  <c r="A710" i="28" s="1"/>
  <c r="A711" i="28" s="1"/>
  <c r="A712" i="28" s="1"/>
  <c r="A713" i="28" s="1"/>
  <c r="A714" i="28" s="1"/>
  <c r="A715" i="28" s="1"/>
  <c r="A716" i="28" s="1"/>
  <c r="A717" i="28" s="1"/>
  <c r="A718" i="28" s="1"/>
  <c r="A719" i="28" s="1"/>
  <c r="A720" i="28" s="1"/>
  <c r="A721" i="28" s="1"/>
  <c r="A722" i="28" s="1"/>
  <c r="A723" i="28" s="1"/>
  <c r="A724" i="28" s="1"/>
  <c r="A725" i="28" s="1"/>
  <c r="A726" i="28" s="1"/>
  <c r="A727" i="28" s="1"/>
  <c r="A728" i="28" s="1"/>
  <c r="A729" i="28" s="1"/>
  <c r="A730" i="28" s="1"/>
  <c r="A731" i="28" s="1"/>
  <c r="A732" i="28" s="1"/>
  <c r="A733" i="28" s="1"/>
  <c r="A734" i="28" s="1"/>
  <c r="A735" i="28" s="1"/>
  <c r="A736" i="28" s="1"/>
  <c r="A737" i="28" s="1"/>
  <c r="A738" i="28" s="1"/>
  <c r="A739" i="28" s="1"/>
  <c r="A740" i="28" s="1"/>
  <c r="A741" i="28" s="1"/>
  <c r="A742" i="28" s="1"/>
  <c r="A743" i="28" s="1"/>
  <c r="A744" i="28" s="1"/>
  <c r="A745" i="28" s="1"/>
  <c r="A746" i="28" s="1"/>
  <c r="A747" i="28" s="1"/>
  <c r="A748" i="28" s="1"/>
  <c r="A749" i="28" s="1"/>
  <c r="A750" i="28" s="1"/>
  <c r="A751" i="28" s="1"/>
  <c r="A752" i="28" s="1"/>
  <c r="A753" i="28" s="1"/>
  <c r="A754" i="28" s="1"/>
  <c r="A755" i="28" s="1"/>
  <c r="A756" i="28" s="1"/>
  <c r="A757" i="28" s="1"/>
  <c r="A758" i="28" s="1"/>
  <c r="A759" i="28" s="1"/>
  <c r="A760" i="28" s="1"/>
  <c r="A761" i="28" s="1"/>
  <c r="A762" i="28" s="1"/>
  <c r="A763" i="28" s="1"/>
  <c r="A764" i="28" s="1"/>
  <c r="A765" i="28" s="1"/>
  <c r="A766" i="28" s="1"/>
  <c r="A767" i="28" s="1"/>
  <c r="A768" i="28" s="1"/>
  <c r="A769" i="28" s="1"/>
  <c r="A770" i="28" s="1"/>
  <c r="A771" i="28" s="1"/>
  <c r="A772" i="28" s="1"/>
  <c r="A773" i="28" s="1"/>
  <c r="A774" i="28" s="1"/>
  <c r="A775" i="28" s="1"/>
  <c r="A776" i="28" s="1"/>
  <c r="A777" i="28" s="1"/>
  <c r="A778" i="28" s="1"/>
  <c r="A779" i="28" s="1"/>
  <c r="A780" i="28" s="1"/>
  <c r="A781" i="28" s="1"/>
  <c r="A782" i="28" s="1"/>
  <c r="A783" i="28" s="1"/>
  <c r="A784" i="28" s="1"/>
  <c r="A785" i="28" s="1"/>
  <c r="A786" i="28" s="1"/>
  <c r="A787" i="28" s="1"/>
  <c r="A788" i="28" s="1"/>
  <c r="A789" i="28" s="1"/>
  <c r="A790" i="28" s="1"/>
  <c r="A791" i="28" s="1"/>
  <c r="A792" i="28" s="1"/>
  <c r="A793" i="28" s="1"/>
  <c r="A794" i="28" s="1"/>
  <c r="A795" i="28" s="1"/>
  <c r="A796" i="28" s="1"/>
  <c r="A797" i="28" s="1"/>
  <c r="A798" i="28" s="1"/>
  <c r="A799" i="28" s="1"/>
  <c r="A800" i="28" s="1"/>
  <c r="A801" i="28" s="1"/>
  <c r="A802" i="28" s="1"/>
  <c r="A803" i="28" s="1"/>
  <c r="A804" i="28" s="1"/>
  <c r="A805" i="28" s="1"/>
  <c r="A806" i="28" s="1"/>
  <c r="A807" i="28" s="1"/>
  <c r="A808" i="28" s="1"/>
  <c r="A809" i="28" s="1"/>
  <c r="A810" i="28" s="1"/>
  <c r="A811" i="28" s="1"/>
  <c r="A812" i="28" s="1"/>
  <c r="A813" i="28" s="1"/>
  <c r="A814" i="28" s="1"/>
  <c r="A815" i="28" s="1"/>
  <c r="A816" i="28" s="1"/>
  <c r="A817" i="28" s="1"/>
  <c r="A818" i="28" s="1"/>
  <c r="A819" i="28" s="1"/>
  <c r="A820" i="28" s="1"/>
  <c r="A821" i="28" s="1"/>
  <c r="A822" i="28" s="1"/>
  <c r="A823" i="28" s="1"/>
  <c r="A824" i="28" s="1"/>
  <c r="A825" i="28" s="1"/>
  <c r="A826" i="28" s="1"/>
  <c r="A827" i="28" s="1"/>
  <c r="A828" i="28" s="1"/>
  <c r="A829" i="28" s="1"/>
  <c r="A830" i="28" s="1"/>
  <c r="A831" i="28" s="1"/>
  <c r="A832" i="28" s="1"/>
  <c r="A833" i="28" s="1"/>
  <c r="A834" i="28" s="1"/>
  <c r="A835" i="28" s="1"/>
  <c r="A836" i="28" s="1"/>
  <c r="A837" i="28" s="1"/>
  <c r="A838" i="28" s="1"/>
  <c r="A839" i="28" s="1"/>
  <c r="A840" i="28" s="1"/>
  <c r="A841" i="28" s="1"/>
  <c r="A842" i="28" s="1"/>
  <c r="A843" i="28" s="1"/>
  <c r="A844" i="28" s="1"/>
  <c r="A845" i="28" s="1"/>
  <c r="A846" i="28" s="1"/>
  <c r="A847" i="28" s="1"/>
  <c r="A848" i="28" s="1"/>
  <c r="A849" i="28" s="1"/>
  <c r="A850" i="28" s="1"/>
  <c r="A851" i="28" s="1"/>
  <c r="A852" i="28" s="1"/>
  <c r="A853" i="28" s="1"/>
  <c r="A854" i="28" s="1"/>
  <c r="A855" i="28" s="1"/>
  <c r="A856" i="28" s="1"/>
  <c r="A857" i="28" s="1"/>
  <c r="A858" i="28" s="1"/>
  <c r="A859" i="28" s="1"/>
  <c r="A860" i="28" s="1"/>
  <c r="A861" i="28" s="1"/>
  <c r="A862" i="28" s="1"/>
  <c r="A863" i="28" s="1"/>
  <c r="A864" i="28" s="1"/>
  <c r="A865" i="28" s="1"/>
  <c r="A866" i="28" s="1"/>
  <c r="A867" i="28" s="1"/>
  <c r="A868" i="28" s="1"/>
  <c r="A869" i="28" s="1"/>
  <c r="A870" i="28" s="1"/>
  <c r="A871" i="28" s="1"/>
  <c r="A872" i="28" s="1"/>
  <c r="A873" i="28" s="1"/>
  <c r="A874" i="28" s="1"/>
  <c r="A875" i="28" s="1"/>
  <c r="A876" i="28" s="1"/>
  <c r="A877" i="28" s="1"/>
  <c r="A878" i="28" s="1"/>
  <c r="A879" i="28" s="1"/>
  <c r="A880" i="28" s="1"/>
  <c r="A881" i="28" s="1"/>
  <c r="A882" i="28" s="1"/>
  <c r="A883" i="28" s="1"/>
  <c r="A884" i="28" s="1"/>
  <c r="A885" i="28" s="1"/>
  <c r="A886" i="28" s="1"/>
  <c r="A887" i="28" s="1"/>
  <c r="A888" i="28" s="1"/>
  <c r="A889" i="28" s="1"/>
  <c r="A890" i="28" s="1"/>
  <c r="A891" i="28" s="1"/>
  <c r="A892" i="28" s="1"/>
  <c r="A893" i="28" s="1"/>
  <c r="A894" i="28" s="1"/>
  <c r="A895" i="28" s="1"/>
  <c r="A896" i="28" s="1"/>
  <c r="A897" i="28" s="1"/>
  <c r="A898" i="28" s="1"/>
  <c r="A899" i="28" s="1"/>
  <c r="A900" i="28" s="1"/>
  <c r="A901" i="28" s="1"/>
  <c r="A902" i="28" s="1"/>
  <c r="A903" i="28" s="1"/>
  <c r="A904" i="28" s="1"/>
  <c r="A905" i="28" s="1"/>
  <c r="A906" i="28" s="1"/>
  <c r="A907" i="28" s="1"/>
  <c r="A908" i="28" s="1"/>
  <c r="A909" i="28" s="1"/>
  <c r="A910" i="28" s="1"/>
  <c r="A911" i="28" s="1"/>
  <c r="A912" i="28" s="1"/>
  <c r="A913" i="28" s="1"/>
  <c r="A914" i="28" s="1"/>
  <c r="A915" i="28" s="1"/>
  <c r="A916" i="28" s="1"/>
  <c r="A917" i="28" s="1"/>
  <c r="A918" i="28" s="1"/>
  <c r="A919" i="28" s="1"/>
  <c r="A920" i="28" s="1"/>
  <c r="A921" i="28" s="1"/>
  <c r="A922" i="28" s="1"/>
  <c r="A923" i="28" s="1"/>
  <c r="A924" i="28" s="1"/>
  <c r="A925" i="28" s="1"/>
  <c r="A926" i="28" s="1"/>
  <c r="A927" i="28" s="1"/>
  <c r="A928" i="28" s="1"/>
  <c r="A929" i="28" s="1"/>
  <c r="A930" i="28" s="1"/>
  <c r="A931" i="28" s="1"/>
  <c r="A932" i="28" s="1"/>
  <c r="A933" i="28" s="1"/>
  <c r="A934" i="28" s="1"/>
  <c r="A935" i="28" s="1"/>
  <c r="A936" i="28" s="1"/>
  <c r="A937" i="28" s="1"/>
  <c r="A938" i="28" s="1"/>
  <c r="A939" i="28" s="1"/>
  <c r="A940" i="28" s="1"/>
  <c r="A941" i="28" s="1"/>
  <c r="A942" i="28" s="1"/>
  <c r="A943" i="28" s="1"/>
  <c r="A944" i="28" s="1"/>
  <c r="A945" i="28" s="1"/>
  <c r="A946" i="28" s="1"/>
  <c r="A947" i="28" s="1"/>
  <c r="A948" i="28" s="1"/>
  <c r="A949" i="28" s="1"/>
  <c r="A950" i="28" s="1"/>
  <c r="A951" i="28" s="1"/>
  <c r="A952" i="28" s="1"/>
  <c r="A953" i="28" s="1"/>
  <c r="A954" i="28" s="1"/>
  <c r="A955" i="28" s="1"/>
  <c r="A956" i="28" s="1"/>
  <c r="A957" i="28" s="1"/>
  <c r="A958" i="28" s="1"/>
  <c r="A959" i="28" s="1"/>
  <c r="A960" i="28" s="1"/>
  <c r="A961" i="28" s="1"/>
  <c r="A962" i="28" s="1"/>
  <c r="A963" i="28" s="1"/>
  <c r="A964" i="28" s="1"/>
  <c r="A965" i="28" s="1"/>
  <c r="A966" i="28" s="1"/>
  <c r="A967" i="28" s="1"/>
  <c r="A968" i="28" s="1"/>
  <c r="A969" i="28" s="1"/>
  <c r="A970" i="28" s="1"/>
  <c r="A971" i="28" s="1"/>
  <c r="A972" i="28" s="1"/>
  <c r="A973" i="28" s="1"/>
  <c r="A974" i="28" s="1"/>
  <c r="A975" i="28" s="1"/>
  <c r="A976" i="28" s="1"/>
  <c r="A977" i="28" s="1"/>
  <c r="A978" i="28" s="1"/>
  <c r="A979" i="28" s="1"/>
  <c r="A980" i="28" s="1"/>
  <c r="A981" i="28" s="1"/>
  <c r="A982" i="28" s="1"/>
  <c r="A983" i="28" s="1"/>
  <c r="A984" i="28" s="1"/>
  <c r="A985" i="28" s="1"/>
  <c r="A986" i="28" s="1"/>
  <c r="A987" i="28" s="1"/>
  <c r="A988" i="28" s="1"/>
  <c r="A989" i="28" s="1"/>
  <c r="A990" i="28" s="1"/>
  <c r="A991" i="28" s="1"/>
  <c r="A992" i="28" s="1"/>
  <c r="A993" i="28" s="1"/>
  <c r="A994" i="28" s="1"/>
  <c r="A995" i="28" s="1"/>
  <c r="A996" i="28" s="1"/>
  <c r="A997" i="28" s="1"/>
  <c r="A998" i="28" s="1"/>
  <c r="A999" i="28" s="1"/>
  <c r="A1000" i="28" s="1"/>
  <c r="A1001" i="28" s="1"/>
  <c r="A1002" i="28" s="1"/>
  <c r="A1003" i="28" s="1"/>
  <c r="A1004" i="28" s="1"/>
  <c r="A1005" i="28" s="1"/>
  <c r="A1006" i="28" s="1"/>
  <c r="A1007" i="28" s="1"/>
  <c r="A1008" i="28" s="1"/>
  <c r="A1009" i="28" s="1"/>
  <c r="A1010" i="28" s="1"/>
  <c r="A1011" i="28" s="1"/>
  <c r="A1012" i="28" s="1"/>
  <c r="A1013" i="28" s="1"/>
  <c r="A1014" i="28" s="1"/>
  <c r="A1015" i="28" s="1"/>
  <c r="A1016" i="28" s="1"/>
  <c r="A1017" i="28" s="1"/>
  <c r="A1018" i="28" s="1"/>
  <c r="A1019" i="28" s="1"/>
  <c r="A1020" i="28" s="1"/>
  <c r="A1021" i="28" s="1"/>
  <c r="A1022" i="28" s="1"/>
  <c r="A1023" i="28" s="1"/>
  <c r="A1024" i="28" s="1"/>
  <c r="A1025" i="28" s="1"/>
  <c r="A1026" i="28" s="1"/>
  <c r="A1027" i="28" s="1"/>
  <c r="A1028" i="28" s="1"/>
  <c r="A1029" i="28" s="1"/>
  <c r="A1030" i="28" s="1"/>
  <c r="A1031" i="28" s="1"/>
  <c r="A1032" i="28" s="1"/>
  <c r="A1033" i="28" s="1"/>
  <c r="A1034" i="28" s="1"/>
  <c r="A1035" i="28" s="1"/>
  <c r="A1036" i="28" s="1"/>
  <c r="A1037" i="28" s="1"/>
  <c r="A1038" i="28" s="1"/>
  <c r="A1039" i="28" s="1"/>
  <c r="A1040" i="28" s="1"/>
  <c r="A1041" i="28" s="1"/>
  <c r="A1042" i="28" s="1"/>
  <c r="A1043" i="28" s="1"/>
  <c r="A1044" i="28" s="1"/>
  <c r="A1045" i="28" s="1"/>
  <c r="A1046" i="28" s="1"/>
  <c r="A1047" i="28" s="1"/>
  <c r="A1048" i="28" s="1"/>
  <c r="A1049" i="28" s="1"/>
  <c r="A1050" i="28" s="1"/>
  <c r="A1051" i="28" s="1"/>
  <c r="A1052" i="28" s="1"/>
  <c r="A1053" i="28" s="1"/>
  <c r="A1054" i="28" s="1"/>
  <c r="A1055" i="28" s="1"/>
  <c r="A1056" i="28" s="1"/>
  <c r="A1057" i="28" s="1"/>
  <c r="A1058" i="28" s="1"/>
  <c r="A1059" i="28" s="1"/>
  <c r="A1060" i="28" s="1"/>
  <c r="A1061" i="28" s="1"/>
  <c r="A1062" i="28" s="1"/>
  <c r="A1063" i="28" s="1"/>
  <c r="A1064" i="28" s="1"/>
  <c r="A1065" i="28" s="1"/>
  <c r="A1066" i="28" s="1"/>
  <c r="A1067" i="28" s="1"/>
  <c r="A1068" i="28" s="1"/>
  <c r="A1069" i="28" s="1"/>
  <c r="A1070" i="28" s="1"/>
  <c r="A1071" i="28" s="1"/>
  <c r="A1072" i="28" s="1"/>
  <c r="A1073" i="28" s="1"/>
  <c r="A1074" i="28" s="1"/>
  <c r="A1075" i="28" s="1"/>
  <c r="A1076" i="28" s="1"/>
  <c r="A1077" i="28" s="1"/>
  <c r="A1078" i="28" s="1"/>
  <c r="A1079" i="28" s="1"/>
  <c r="A1080" i="28" s="1"/>
  <c r="A1081" i="28" s="1"/>
  <c r="A1082" i="28" s="1"/>
  <c r="A1083" i="28" s="1"/>
  <c r="A1084" i="28" s="1"/>
  <c r="A1085" i="28" s="1"/>
  <c r="A1086" i="28" s="1"/>
  <c r="A1087" i="28" s="1"/>
  <c r="A1088" i="28" s="1"/>
  <c r="A1089" i="28" s="1"/>
  <c r="A1090" i="28" s="1"/>
  <c r="A1091" i="28" s="1"/>
  <c r="A1092" i="28" s="1"/>
  <c r="A1093" i="28" s="1"/>
  <c r="A1094" i="28" s="1"/>
  <c r="A1095" i="28" s="1"/>
  <c r="A1096" i="28" s="1"/>
  <c r="A1097" i="28" s="1"/>
  <c r="A1098" i="28" s="1"/>
  <c r="A1099" i="28" s="1"/>
  <c r="A1100" i="28" s="1"/>
  <c r="A1101" i="28" s="1"/>
  <c r="A1102" i="28" s="1"/>
  <c r="A1103" i="28" s="1"/>
  <c r="A1104" i="28" s="1"/>
  <c r="A1105" i="28" s="1"/>
  <c r="A1106" i="28" s="1"/>
  <c r="A1107" i="28" s="1"/>
  <c r="A1108" i="28" s="1"/>
  <c r="A1109" i="28" s="1"/>
  <c r="A1110" i="28" s="1"/>
  <c r="A1111" i="28" s="1"/>
  <c r="A1112" i="28" s="1"/>
  <c r="A1113" i="28" s="1"/>
  <c r="A1114" i="28" s="1"/>
  <c r="A1115" i="28" s="1"/>
  <c r="A1116" i="28" s="1"/>
  <c r="A1117" i="28" s="1"/>
  <c r="A1118" i="28" s="1"/>
  <c r="A1119" i="28" s="1"/>
  <c r="A1120" i="28" s="1"/>
  <c r="A1121" i="28" s="1"/>
  <c r="A1122" i="28" s="1"/>
  <c r="A1123" i="28" s="1"/>
  <c r="A1124" i="28" s="1"/>
  <c r="A1125" i="28" s="1"/>
  <c r="A1126" i="28" s="1"/>
  <c r="A1127" i="28" s="1"/>
  <c r="A1128" i="28" s="1"/>
  <c r="A1129" i="28" s="1"/>
  <c r="A1130" i="28" s="1"/>
  <c r="A1131" i="28" s="1"/>
  <c r="A1132" i="28" s="1"/>
  <c r="A1133" i="28" s="1"/>
  <c r="A1134" i="28" s="1"/>
  <c r="A1135" i="28" s="1"/>
  <c r="A1136" i="28" s="1"/>
  <c r="A1137" i="28" s="1"/>
  <c r="A1138" i="28" s="1"/>
  <c r="A1139" i="28" s="1"/>
  <c r="A1140" i="28" s="1"/>
  <c r="A1141" i="28" s="1"/>
  <c r="A1142" i="28" s="1"/>
  <c r="A1143" i="28" s="1"/>
  <c r="A1144" i="28" s="1"/>
  <c r="A1145" i="28" s="1"/>
  <c r="A1146" i="28" s="1"/>
  <c r="A1147" i="28" s="1"/>
  <c r="A1148" i="28" s="1"/>
  <c r="A1149" i="28" s="1"/>
  <c r="A1150" i="28" s="1"/>
  <c r="A1151" i="28" s="1"/>
  <c r="A1152" i="28" s="1"/>
  <c r="A1153" i="28" s="1"/>
  <c r="A1154" i="28" s="1"/>
  <c r="A1155" i="28" s="1"/>
  <c r="A1156" i="28" s="1"/>
  <c r="A1157" i="28" s="1"/>
  <c r="A1158" i="28" s="1"/>
  <c r="A1159" i="28" s="1"/>
  <c r="A1160" i="28" s="1"/>
  <c r="A1161" i="28" s="1"/>
  <c r="A1162" i="28" s="1"/>
  <c r="A1163" i="28" s="1"/>
  <c r="A1164" i="28" s="1"/>
  <c r="A1165" i="28" s="1"/>
  <c r="A1166" i="28" s="1"/>
  <c r="A1167" i="28" s="1"/>
  <c r="A1168" i="28" s="1"/>
  <c r="A1169" i="28" s="1"/>
  <c r="A1170" i="28" s="1"/>
  <c r="A1171" i="28" s="1"/>
  <c r="A1172" i="28" s="1"/>
  <c r="A1173" i="28" s="1"/>
  <c r="A1174" i="28" s="1"/>
  <c r="A1175" i="28" s="1"/>
  <c r="A1176" i="28" s="1"/>
  <c r="A1177" i="28" s="1"/>
  <c r="A1178" i="28" s="1"/>
  <c r="A1179" i="28" s="1"/>
  <c r="A1180" i="28" s="1"/>
  <c r="A1181" i="28" s="1"/>
  <c r="A1182" i="28" s="1"/>
  <c r="A1183" i="28" s="1"/>
  <c r="A1184" i="28" s="1"/>
  <c r="A1185" i="28" s="1"/>
  <c r="A1186" i="28" s="1"/>
  <c r="A1187" i="28" s="1"/>
  <c r="A1188" i="28" s="1"/>
  <c r="A1189" i="28" s="1"/>
  <c r="A1190" i="28" s="1"/>
  <c r="A1191" i="28" s="1"/>
  <c r="A1192" i="28" s="1"/>
  <c r="A1193" i="28" s="1"/>
  <c r="A1194" i="28" s="1"/>
  <c r="A1195" i="28" s="1"/>
  <c r="A1196" i="28" s="1"/>
  <c r="A1197" i="28" s="1"/>
  <c r="A1198" i="28" s="1"/>
  <c r="A1199" i="28" s="1"/>
  <c r="A1200" i="28" s="1"/>
  <c r="A1201" i="28" s="1"/>
  <c r="A1202" i="28" s="1"/>
  <c r="A1203" i="28" s="1"/>
  <c r="A1204" i="28" s="1"/>
  <c r="A1205" i="28" s="1"/>
  <c r="A1206" i="28" s="1"/>
  <c r="A1207" i="28" s="1"/>
  <c r="A1208" i="28" s="1"/>
  <c r="A1209" i="28" s="1"/>
  <c r="A1210" i="28" s="1"/>
  <c r="A1211" i="28" s="1"/>
  <c r="A1212" i="28" s="1"/>
  <c r="A1213" i="28" s="1"/>
  <c r="A1214" i="28" s="1"/>
  <c r="A1215" i="28" s="1"/>
  <c r="A1216" i="28" s="1"/>
  <c r="A1217" i="28" s="1"/>
  <c r="A1218" i="28" s="1"/>
  <c r="A1219" i="28" s="1"/>
  <c r="A1220" i="28" s="1"/>
  <c r="A1221" i="28" s="1"/>
  <c r="A1222" i="28" s="1"/>
  <c r="A1223" i="28" s="1"/>
  <c r="A1224" i="28" s="1"/>
  <c r="A1225" i="28" s="1"/>
  <c r="A1226" i="28" s="1"/>
  <c r="A1227" i="28" s="1"/>
  <c r="A1228" i="28" s="1"/>
  <c r="A1229" i="28" s="1"/>
  <c r="A1230" i="28" s="1"/>
  <c r="A1231" i="28" s="1"/>
  <c r="A1232" i="28" s="1"/>
  <c r="A1233" i="28" s="1"/>
  <c r="A1234" i="28" s="1"/>
  <c r="A1235" i="28" s="1"/>
  <c r="A1236" i="28" s="1"/>
  <c r="A1237" i="28" s="1"/>
  <c r="A1238" i="28" s="1"/>
  <c r="A1239" i="28" s="1"/>
  <c r="A1240" i="28" s="1"/>
  <c r="A1241" i="28" s="1"/>
  <c r="A1242" i="28" s="1"/>
  <c r="A1243" i="28" s="1"/>
  <c r="A1244" i="28" s="1"/>
  <c r="A1245" i="28" s="1"/>
  <c r="A1246" i="28" s="1"/>
  <c r="A1247" i="28" s="1"/>
  <c r="A1248" i="28" s="1"/>
  <c r="A1249" i="28" s="1"/>
  <c r="A1250" i="28" s="1"/>
  <c r="A1251" i="28" s="1"/>
  <c r="A1252" i="28" s="1"/>
  <c r="A1253" i="28" s="1"/>
  <c r="A1254" i="28" s="1"/>
  <c r="A1255" i="28" s="1"/>
  <c r="A1256" i="28" s="1"/>
  <c r="A1257" i="28" s="1"/>
  <c r="A1258" i="28" s="1"/>
  <c r="A1259" i="28" s="1"/>
  <c r="A1260" i="28" s="1"/>
  <c r="A1261" i="28" s="1"/>
  <c r="A1262" i="28" s="1"/>
  <c r="A1263" i="28" s="1"/>
  <c r="A1264" i="28" s="1"/>
  <c r="A1265" i="28" s="1"/>
  <c r="A1266" i="28" s="1"/>
  <c r="A1267" i="28" s="1"/>
  <c r="A1268" i="28" s="1"/>
  <c r="A1269" i="28" s="1"/>
  <c r="A1270" i="28" s="1"/>
  <c r="A1271" i="28" s="1"/>
  <c r="A1272" i="28" s="1"/>
  <c r="A1273" i="28" s="1"/>
  <c r="A1274" i="28" s="1"/>
  <c r="A1275" i="28" s="1"/>
  <c r="A1276" i="28" s="1"/>
  <c r="A1277" i="28" s="1"/>
  <c r="A1278" i="28" s="1"/>
  <c r="A1279" i="28" s="1"/>
  <c r="A1280" i="28" s="1"/>
  <c r="A1281" i="28" s="1"/>
  <c r="A1282" i="28" s="1"/>
  <c r="A1283" i="28" s="1"/>
  <c r="A1284" i="28" s="1"/>
  <c r="A1285" i="28" s="1"/>
  <c r="A1286" i="28" s="1"/>
  <c r="A1287" i="28" s="1"/>
  <c r="A1288" i="28" s="1"/>
  <c r="A1289" i="28" s="1"/>
  <c r="A1290" i="28" s="1"/>
  <c r="A1291" i="28" s="1"/>
  <c r="A1292" i="28" s="1"/>
  <c r="A1293" i="28" s="1"/>
  <c r="A1294" i="28" s="1"/>
  <c r="A1295" i="28" s="1"/>
  <c r="A1296" i="28" s="1"/>
  <c r="A1297" i="28" s="1"/>
  <c r="A1298" i="28" s="1"/>
  <c r="A1299" i="28" s="1"/>
  <c r="A1300" i="28" s="1"/>
  <c r="A1301" i="28" s="1"/>
  <c r="A1302" i="28" s="1"/>
  <c r="A1303" i="28" s="1"/>
  <c r="A1304" i="28" s="1"/>
  <c r="A1305" i="28" s="1"/>
  <c r="A1306" i="28" s="1"/>
  <c r="A1307" i="28" s="1"/>
  <c r="A1308" i="28" s="1"/>
  <c r="A1309" i="28" s="1"/>
  <c r="A1310" i="28" s="1"/>
  <c r="A1311" i="28" s="1"/>
  <c r="A1312" i="28" s="1"/>
  <c r="A1313" i="28" s="1"/>
  <c r="A1314" i="28" s="1"/>
  <c r="A1315" i="28" s="1"/>
  <c r="A1316" i="28" s="1"/>
  <c r="A1317" i="28" s="1"/>
  <c r="A1318" i="28" s="1"/>
  <c r="A1319" i="28" s="1"/>
  <c r="A1320" i="28" s="1"/>
  <c r="A1321" i="28" s="1"/>
  <c r="A1322" i="28" s="1"/>
  <c r="A1323" i="28" s="1"/>
  <c r="A1324" i="28" s="1"/>
  <c r="A1325" i="28" s="1"/>
  <c r="A1326" i="28" s="1"/>
  <c r="A1327" i="28" s="1"/>
  <c r="A1328" i="28" s="1"/>
  <c r="A1329" i="28" s="1"/>
  <c r="A1330" i="28" s="1"/>
  <c r="A1331" i="28" s="1"/>
  <c r="A1332" i="28" s="1"/>
  <c r="A1333" i="28" s="1"/>
  <c r="A1334" i="28" s="1"/>
  <c r="A1335" i="28" s="1"/>
  <c r="A1336" i="28" s="1"/>
  <c r="A1337" i="28" s="1"/>
  <c r="A1338" i="28" s="1"/>
  <c r="A1339" i="28" s="1"/>
  <c r="A1340" i="28" s="1"/>
  <c r="A1341" i="28" s="1"/>
  <c r="A1342" i="28" s="1"/>
  <c r="A1343" i="28" s="1"/>
  <c r="A1344" i="28" s="1"/>
  <c r="A1345" i="28" s="1"/>
  <c r="A1346" i="28" s="1"/>
  <c r="A1347" i="28" s="1"/>
  <c r="A1348" i="28" s="1"/>
  <c r="A1349" i="28" s="1"/>
  <c r="A1350" i="28" s="1"/>
  <c r="A1351" i="28" s="1"/>
  <c r="A1352" i="28" s="1"/>
  <c r="A1353" i="28" s="1"/>
  <c r="A1354" i="28" s="1"/>
  <c r="A1355" i="28" s="1"/>
  <c r="A1356" i="28" s="1"/>
  <c r="A1357" i="28" s="1"/>
  <c r="A1358" i="28" s="1"/>
  <c r="A1359" i="28" s="1"/>
  <c r="A1360" i="28" s="1"/>
  <c r="A1361" i="28" s="1"/>
  <c r="A1362" i="28" s="1"/>
  <c r="A1363" i="28" s="1"/>
  <c r="A1364" i="28" s="1"/>
  <c r="A1365" i="28" s="1"/>
  <c r="A1366" i="28" s="1"/>
  <c r="A1367" i="28" s="1"/>
  <c r="A1368" i="28" s="1"/>
  <c r="A1369" i="28" s="1"/>
  <c r="A1370" i="28" s="1"/>
  <c r="A1371" i="28" s="1"/>
  <c r="A1372" i="28" s="1"/>
  <c r="A1373" i="28" s="1"/>
  <c r="A1374" i="28" s="1"/>
  <c r="A1375" i="28" s="1"/>
  <c r="A1376" i="28" s="1"/>
  <c r="A1377" i="28" s="1"/>
  <c r="A1378" i="28" s="1"/>
  <c r="A1379" i="28" s="1"/>
  <c r="A1380" i="28" s="1"/>
  <c r="A1381" i="28" s="1"/>
  <c r="A1382" i="28" s="1"/>
  <c r="A1383" i="28" s="1"/>
  <c r="A1384" i="28" s="1"/>
  <c r="A1385" i="28" s="1"/>
  <c r="A1386" i="28" s="1"/>
  <c r="A1387" i="28" s="1"/>
  <c r="A1388" i="28" s="1"/>
  <c r="A1389" i="28" s="1"/>
  <c r="A1390" i="28" s="1"/>
  <c r="A1391" i="28" s="1"/>
  <c r="A1392" i="28" s="1"/>
  <c r="A1393" i="28" s="1"/>
  <c r="A1394" i="28" s="1"/>
  <c r="A1395" i="28" s="1"/>
  <c r="A1396" i="28" s="1"/>
  <c r="A1397" i="28" s="1"/>
  <c r="A1398" i="28" s="1"/>
  <c r="A1399" i="28" s="1"/>
  <c r="A1400" i="28" s="1"/>
  <c r="A1401" i="28" s="1"/>
  <c r="A1402" i="28" s="1"/>
  <c r="A1403" i="28" s="1"/>
  <c r="A1404" i="28" s="1"/>
  <c r="A1405" i="28" s="1"/>
  <c r="A1406" i="28" s="1"/>
  <c r="A1407" i="28" s="1"/>
  <c r="A1408" i="28" s="1"/>
  <c r="A1409" i="28" s="1"/>
  <c r="A1410" i="28" s="1"/>
  <c r="A1411" i="28" s="1"/>
  <c r="A1412" i="28" s="1"/>
  <c r="A1413" i="28" s="1"/>
  <c r="A1414" i="28" s="1"/>
  <c r="A1415" i="28" s="1"/>
  <c r="A1416" i="28" s="1"/>
  <c r="A1417" i="28" s="1"/>
  <c r="A1418" i="28" s="1"/>
  <c r="A1419" i="28" s="1"/>
  <c r="A1420" i="28" s="1"/>
  <c r="A1421" i="28" s="1"/>
  <c r="A1422" i="28" s="1"/>
  <c r="A1423" i="28" s="1"/>
  <c r="A1424" i="28" s="1"/>
  <c r="A1425" i="28" s="1"/>
  <c r="A1426" i="28" s="1"/>
  <c r="A1427" i="28" s="1"/>
  <c r="A1428" i="28" s="1"/>
  <c r="A1429" i="28" s="1"/>
  <c r="A1430" i="28" s="1"/>
  <c r="A1431" i="28" s="1"/>
  <c r="A1432" i="28" s="1"/>
  <c r="A1433" i="28" s="1"/>
  <c r="A1434" i="28" s="1"/>
  <c r="A1435" i="28" s="1"/>
  <c r="A1436" i="28" s="1"/>
  <c r="A1437" i="28" s="1"/>
  <c r="A1438" i="28" s="1"/>
  <c r="A1439" i="28" s="1"/>
  <c r="A1440" i="28" s="1"/>
  <c r="A1441" i="28" s="1"/>
  <c r="A1442" i="28" s="1"/>
  <c r="A1443" i="28" s="1"/>
  <c r="A1444" i="28" s="1"/>
  <c r="A1445" i="28" s="1"/>
  <c r="A1446" i="28" s="1"/>
  <c r="A1447" i="28" s="1"/>
  <c r="A1448" i="28" s="1"/>
  <c r="A1449" i="28" s="1"/>
  <c r="A1450" i="28" s="1"/>
  <c r="A1451" i="28" s="1"/>
  <c r="A1452" i="28" s="1"/>
  <c r="A1453" i="28" s="1"/>
  <c r="A1454" i="28" s="1"/>
  <c r="A1455" i="28" s="1"/>
  <c r="A1456" i="28" s="1"/>
  <c r="A1457" i="28" s="1"/>
  <c r="A1458" i="28" s="1"/>
  <c r="A1459" i="28" s="1"/>
  <c r="A1460" i="28" s="1"/>
  <c r="A1461" i="28" s="1"/>
  <c r="A1462" i="28" s="1"/>
  <c r="A1463" i="28" s="1"/>
  <c r="A1464" i="28" s="1"/>
  <c r="A1465" i="28" s="1"/>
  <c r="A1466" i="28" s="1"/>
  <c r="A1467" i="28" s="1"/>
  <c r="A1468" i="28" s="1"/>
  <c r="A1469" i="28" s="1"/>
  <c r="A1470" i="28" s="1"/>
  <c r="A1471" i="28" s="1"/>
  <c r="A1472" i="28" s="1"/>
  <c r="A1473" i="28" s="1"/>
  <c r="A1474" i="28" s="1"/>
  <c r="A1475" i="28" s="1"/>
  <c r="A1476" i="28" s="1"/>
  <c r="A1477" i="28" s="1"/>
  <c r="A1478" i="28" s="1"/>
  <c r="A1479" i="28" s="1"/>
  <c r="A1480" i="28" s="1"/>
  <c r="A1481" i="28" s="1"/>
  <c r="A1482" i="28" s="1"/>
  <c r="A1483" i="28" s="1"/>
  <c r="A1484" i="28" s="1"/>
  <c r="A1485" i="28" s="1"/>
  <c r="A1486" i="28" s="1"/>
  <c r="A1487" i="28" s="1"/>
  <c r="A1488" i="28" s="1"/>
  <c r="A1489" i="28" s="1"/>
  <c r="A1490" i="28" s="1"/>
  <c r="A1491" i="28" s="1"/>
  <c r="A1492" i="28" s="1"/>
  <c r="A1493" i="28" s="1"/>
  <c r="A1494" i="28" s="1"/>
  <c r="A1495" i="28" s="1"/>
  <c r="A1496" i="28" s="1"/>
  <c r="A1497" i="28" s="1"/>
  <c r="A1498" i="28" s="1"/>
  <c r="A1499" i="28" s="1"/>
  <c r="A1500" i="28" s="1"/>
  <c r="A1501" i="28" s="1"/>
  <c r="A1502" i="28" s="1"/>
  <c r="A1503" i="28" s="1"/>
  <c r="A1504" i="28" s="1"/>
  <c r="A1505" i="28" s="1"/>
  <c r="A1506" i="28" s="1"/>
  <c r="A1507" i="28" s="1"/>
  <c r="A1508" i="28" s="1"/>
  <c r="A1509" i="28" s="1"/>
  <c r="A1510" i="28" s="1"/>
  <c r="A1511" i="28" s="1"/>
  <c r="A1512" i="28" s="1"/>
  <c r="A1513" i="28" s="1"/>
  <c r="A1514" i="28" s="1"/>
  <c r="A1515" i="28" s="1"/>
  <c r="A1516" i="28" s="1"/>
  <c r="A1517" i="28" s="1"/>
  <c r="A1518" i="28" s="1"/>
  <c r="A1519" i="28" s="1"/>
  <c r="A1520" i="28" s="1"/>
  <c r="A1521" i="28" s="1"/>
  <c r="A1522" i="28" s="1"/>
  <c r="A1523" i="28" s="1"/>
  <c r="A1524" i="28" s="1"/>
  <c r="A1525" i="28" s="1"/>
  <c r="A1526" i="28" s="1"/>
  <c r="A1527" i="28" s="1"/>
  <c r="A1528" i="28" s="1"/>
  <c r="A1529" i="28" s="1"/>
  <c r="A1530" i="28" s="1"/>
  <c r="A1531" i="28" s="1"/>
  <c r="A1532" i="28" s="1"/>
  <c r="A1533" i="28" s="1"/>
  <c r="A1534" i="28" s="1"/>
  <c r="A1535" i="28" s="1"/>
  <c r="A1536" i="28" s="1"/>
  <c r="A1537" i="28" s="1"/>
  <c r="A1538" i="28" s="1"/>
  <c r="A1539" i="28" s="1"/>
  <c r="A1540" i="28" s="1"/>
  <c r="A1541" i="28" s="1"/>
  <c r="A1542" i="28" s="1"/>
  <c r="A1543" i="28" s="1"/>
  <c r="A1544" i="28" s="1"/>
  <c r="A1545" i="28" s="1"/>
  <c r="A1546" i="28" s="1"/>
  <c r="A1547" i="28" s="1"/>
  <c r="A1548" i="28" s="1"/>
  <c r="A1549" i="28" s="1"/>
  <c r="A1550" i="28" s="1"/>
  <c r="A1551" i="28" s="1"/>
  <c r="A1552" i="28" s="1"/>
  <c r="A1553" i="28" s="1"/>
  <c r="A1554" i="28" s="1"/>
  <c r="A1555" i="28" s="1"/>
  <c r="A1556" i="28" s="1"/>
  <c r="A1557" i="28" s="1"/>
  <c r="A1558" i="28" s="1"/>
  <c r="A1559" i="28" s="1"/>
  <c r="A1560" i="28" s="1"/>
  <c r="A1561" i="28" s="1"/>
  <c r="A1562" i="28" s="1"/>
  <c r="A1563" i="28" s="1"/>
  <c r="A1564" i="28" s="1"/>
  <c r="A1565" i="28" s="1"/>
  <c r="A1566" i="28" s="1"/>
  <c r="A1567" i="28" s="1"/>
  <c r="A1568" i="28" s="1"/>
  <c r="A1569" i="28" s="1"/>
  <c r="A1570" i="28" s="1"/>
  <c r="A1571" i="28" s="1"/>
  <c r="A1572" i="28" s="1"/>
  <c r="A1573" i="28" s="1"/>
  <c r="A1574" i="28" s="1"/>
  <c r="A1575" i="28" s="1"/>
  <c r="A1576" i="28" s="1"/>
  <c r="A1577" i="28" s="1"/>
  <c r="A1578" i="28" s="1"/>
  <c r="A1579" i="28" s="1"/>
  <c r="A1580" i="28" s="1"/>
  <c r="A1581" i="28" s="1"/>
  <c r="A1582" i="28" s="1"/>
  <c r="A1583" i="28" s="1"/>
  <c r="A1584" i="28" s="1"/>
  <c r="A1585" i="28" s="1"/>
  <c r="A1586" i="28" s="1"/>
  <c r="A1587" i="28" s="1"/>
  <c r="A1588" i="28" s="1"/>
  <c r="A1589" i="28" s="1"/>
  <c r="A1590" i="28" s="1"/>
  <c r="A1591" i="28" s="1"/>
  <c r="A1592" i="28" s="1"/>
  <c r="A1593" i="28" s="1"/>
  <c r="A1594" i="28" s="1"/>
  <c r="A1595" i="28" s="1"/>
  <c r="A1596" i="28" s="1"/>
  <c r="A1597" i="28" s="1"/>
  <c r="A1598" i="28" s="1"/>
  <c r="A1599" i="28" s="1"/>
  <c r="A1600" i="28" s="1"/>
  <c r="A1601" i="28" s="1"/>
  <c r="A1602" i="28" s="1"/>
  <c r="A1603" i="28" s="1"/>
  <c r="A1604" i="28" s="1"/>
  <c r="A1605" i="28" s="1"/>
  <c r="A1606" i="28" s="1"/>
  <c r="A1607" i="28" s="1"/>
  <c r="A1608" i="28" s="1"/>
  <c r="A1609" i="28" s="1"/>
  <c r="A1610" i="28" s="1"/>
  <c r="A1611" i="28" s="1"/>
  <c r="A1612" i="28" s="1"/>
  <c r="A1613" i="28" s="1"/>
  <c r="A1614" i="28" s="1"/>
  <c r="A1615" i="28" s="1"/>
  <c r="A1616" i="28" s="1"/>
  <c r="A1617" i="28" s="1"/>
  <c r="A1618" i="28" s="1"/>
  <c r="A1619" i="28" s="1"/>
  <c r="A1620" i="28" s="1"/>
  <c r="A1621" i="28" s="1"/>
  <c r="A1622" i="28" s="1"/>
  <c r="A1623" i="28" s="1"/>
  <c r="A1624" i="28" s="1"/>
  <c r="A1625" i="28" s="1"/>
  <c r="A1626" i="28" s="1"/>
  <c r="A1627" i="28" s="1"/>
  <c r="A1628" i="28" s="1"/>
  <c r="A1629" i="28" s="1"/>
  <c r="A1630" i="28" s="1"/>
  <c r="A1631" i="28" s="1"/>
  <c r="A1632" i="28" s="1"/>
  <c r="A1633" i="28" s="1"/>
  <c r="A1634" i="28" s="1"/>
  <c r="A1635" i="28" s="1"/>
  <c r="A1636" i="28" s="1"/>
  <c r="A1637" i="28" s="1"/>
  <c r="A1638" i="28" s="1"/>
  <c r="A1639" i="28" s="1"/>
  <c r="A1640" i="28" s="1"/>
  <c r="A1641" i="28" s="1"/>
  <c r="A1642" i="28" s="1"/>
  <c r="A1643" i="28" s="1"/>
  <c r="A1644" i="28" s="1"/>
  <c r="A1645" i="28" s="1"/>
  <c r="A1646" i="28" s="1"/>
  <c r="A1647" i="28" s="1"/>
  <c r="A1648" i="28" s="1"/>
  <c r="A1649" i="28" s="1"/>
  <c r="A1650" i="28" s="1"/>
  <c r="A1651" i="28" s="1"/>
  <c r="A1652" i="28" s="1"/>
  <c r="A1653" i="28" s="1"/>
  <c r="A1654" i="28" s="1"/>
  <c r="A1655" i="28" s="1"/>
  <c r="A1656" i="28" s="1"/>
  <c r="A1657" i="28" s="1"/>
  <c r="A1658" i="28" s="1"/>
  <c r="A1659" i="28" s="1"/>
  <c r="A1660" i="28" s="1"/>
  <c r="A1661" i="28" s="1"/>
  <c r="A1662" i="28" s="1"/>
  <c r="A1663" i="28" s="1"/>
  <c r="A1664" i="28" s="1"/>
  <c r="A1665" i="28" s="1"/>
  <c r="A1666" i="28" s="1"/>
  <c r="A1667" i="28" s="1"/>
  <c r="A1668" i="28" s="1"/>
  <c r="A1669" i="28" s="1"/>
  <c r="A1670" i="28" s="1"/>
  <c r="A1671" i="28" s="1"/>
  <c r="A1672" i="28" s="1"/>
  <c r="A1673" i="28" s="1"/>
  <c r="A1674" i="28" s="1"/>
  <c r="A1675" i="28" s="1"/>
  <c r="A1676" i="28" s="1"/>
  <c r="A1677" i="28" s="1"/>
  <c r="A1678" i="28" s="1"/>
  <c r="A1679" i="28" s="1"/>
  <c r="A1680" i="28" s="1"/>
  <c r="A1681" i="28" s="1"/>
  <c r="A1682" i="28" s="1"/>
  <c r="A1683" i="28" s="1"/>
  <c r="A1684" i="28" s="1"/>
  <c r="A1685" i="28" s="1"/>
  <c r="A1686" i="28" s="1"/>
  <c r="A1687" i="28" s="1"/>
  <c r="A1688" i="28" s="1"/>
  <c r="A1689" i="28" s="1"/>
  <c r="A1690" i="28" s="1"/>
  <c r="A1691" i="28" s="1"/>
  <c r="A1692" i="28" s="1"/>
  <c r="A1693" i="28" s="1"/>
  <c r="A1694" i="28" s="1"/>
  <c r="A1695" i="28" s="1"/>
  <c r="A1696" i="28" s="1"/>
  <c r="A1697" i="28" s="1"/>
  <c r="A1698" i="28" s="1"/>
  <c r="A1699" i="28" s="1"/>
  <c r="A1700" i="28" s="1"/>
  <c r="A1701" i="28" s="1"/>
  <c r="A1702" i="28" s="1"/>
  <c r="A1703" i="28" s="1"/>
  <c r="A1704" i="28" s="1"/>
  <c r="A1705" i="28" s="1"/>
  <c r="A1706" i="28" s="1"/>
  <c r="A1707" i="28" s="1"/>
  <c r="A1708" i="28" s="1"/>
  <c r="A1709" i="28" s="1"/>
  <c r="A1710" i="28" s="1"/>
  <c r="A1711" i="28" s="1"/>
  <c r="A1712" i="28" s="1"/>
  <c r="A1713" i="28" s="1"/>
  <c r="A1714" i="28" s="1"/>
  <c r="A1715" i="28" s="1"/>
  <c r="A1716" i="28" s="1"/>
  <c r="A1717" i="28" s="1"/>
  <c r="A1718" i="28" s="1"/>
  <c r="A1719" i="28" s="1"/>
  <c r="A1720" i="28" s="1"/>
  <c r="A1721" i="28" s="1"/>
  <c r="A1722" i="28" s="1"/>
  <c r="A1723" i="28" s="1"/>
  <c r="A1724" i="28" s="1"/>
  <c r="A1725" i="28" s="1"/>
  <c r="A1726" i="28" s="1"/>
  <c r="A1727" i="28" s="1"/>
  <c r="A1728" i="28" s="1"/>
  <c r="A1729" i="28" s="1"/>
  <c r="A1730" i="28" s="1"/>
  <c r="A1731" i="28" s="1"/>
  <c r="A1732" i="28" s="1"/>
  <c r="A1733" i="28" s="1"/>
  <c r="A1734" i="28" s="1"/>
  <c r="A1735" i="28" s="1"/>
  <c r="A1736" i="28" s="1"/>
  <c r="A1737" i="28" s="1"/>
  <c r="A1738" i="28" s="1"/>
  <c r="A1739" i="28" s="1"/>
  <c r="A1740" i="28" s="1"/>
  <c r="A1741" i="28" s="1"/>
  <c r="A1742" i="28" s="1"/>
  <c r="A1743" i="28" s="1"/>
  <c r="A1744" i="28" s="1"/>
  <c r="A1745" i="28" s="1"/>
  <c r="A1746" i="28" s="1"/>
  <c r="A1747" i="28" s="1"/>
  <c r="A1748" i="28" s="1"/>
  <c r="A1749" i="28" s="1"/>
  <c r="A1750" i="28" s="1"/>
  <c r="A1751" i="28" s="1"/>
  <c r="A1752" i="28" s="1"/>
  <c r="A1753" i="28" s="1"/>
  <c r="A1754" i="28" s="1"/>
  <c r="A1755" i="28" s="1"/>
  <c r="A1756" i="28" s="1"/>
  <c r="A1757" i="28" s="1"/>
  <c r="A1758" i="28" s="1"/>
  <c r="A1759" i="28" s="1"/>
  <c r="A1760" i="28" s="1"/>
  <c r="A1761" i="28" s="1"/>
  <c r="A1762" i="28" s="1"/>
  <c r="A1763" i="28" s="1"/>
  <c r="A1764" i="28" s="1"/>
  <c r="A1765" i="28" s="1"/>
  <c r="A1766" i="28" s="1"/>
  <c r="A1767" i="28" s="1"/>
  <c r="A1768" i="28" s="1"/>
  <c r="A1769" i="28" s="1"/>
  <c r="A1770" i="28" s="1"/>
  <c r="A1771" i="28" s="1"/>
  <c r="A1772" i="28" s="1"/>
  <c r="A1773" i="28" s="1"/>
  <c r="A1774" i="28" s="1"/>
  <c r="A1775" i="28" s="1"/>
  <c r="A1776" i="28" s="1"/>
  <c r="A1777" i="28" s="1"/>
  <c r="A1778" i="28" s="1"/>
  <c r="A1779" i="28" s="1"/>
  <c r="A1780" i="28" s="1"/>
  <c r="A1781" i="28" s="1"/>
  <c r="A1782" i="28" s="1"/>
  <c r="A1783" i="28" s="1"/>
  <c r="A1784" i="28" s="1"/>
  <c r="A1785" i="28" s="1"/>
  <c r="A1786" i="28" s="1"/>
  <c r="A1787" i="28" s="1"/>
  <c r="A1788" i="28" s="1"/>
  <c r="A1789" i="28" s="1"/>
  <c r="A1790" i="28" s="1"/>
  <c r="A1791" i="28" s="1"/>
  <c r="A1792" i="28" s="1"/>
  <c r="A1793" i="28" s="1"/>
  <c r="A1794" i="28" s="1"/>
  <c r="A1795" i="28" s="1"/>
  <c r="A1796" i="28" s="1"/>
  <c r="A1797" i="28" s="1"/>
  <c r="A1798" i="28" s="1"/>
  <c r="A1799" i="28" s="1"/>
  <c r="A1800" i="28" s="1"/>
  <c r="A1801" i="28" s="1"/>
  <c r="A1802" i="28" s="1"/>
  <c r="A1803" i="28" s="1"/>
  <c r="A1804" i="28" s="1"/>
  <c r="A1805" i="28" s="1"/>
  <c r="A1806" i="28" s="1"/>
  <c r="A1807" i="28" s="1"/>
  <c r="A1808" i="28" s="1"/>
  <c r="A1809" i="28" s="1"/>
  <c r="A1810" i="28" s="1"/>
  <c r="A1811" i="28" s="1"/>
  <c r="A1812" i="28" s="1"/>
  <c r="A1813" i="28" s="1"/>
  <c r="A1814" i="28" s="1"/>
  <c r="A1815" i="28" s="1"/>
  <c r="A1816" i="28" s="1"/>
  <c r="A1817" i="28" s="1"/>
  <c r="A1818" i="28" s="1"/>
  <c r="A1819" i="28" s="1"/>
  <c r="A1820" i="28" s="1"/>
  <c r="A1821" i="28" s="1"/>
  <c r="A1822" i="28" s="1"/>
  <c r="A1823" i="28" s="1"/>
  <c r="A1824" i="28" s="1"/>
  <c r="A1825" i="28" s="1"/>
  <c r="A1826" i="28" s="1"/>
  <c r="A1827" i="28" s="1"/>
  <c r="A1828" i="28" s="1"/>
  <c r="A1829" i="28" s="1"/>
  <c r="A1830" i="28" s="1"/>
  <c r="A1831" i="28" s="1"/>
  <c r="A1832" i="28" s="1"/>
  <c r="A1833" i="28" s="1"/>
  <c r="A1834" i="28" s="1"/>
  <c r="A1835" i="28" s="1"/>
  <c r="A1836" i="28" s="1"/>
  <c r="A1837" i="28" s="1"/>
  <c r="A1838" i="28" s="1"/>
  <c r="A1839" i="28" s="1"/>
  <c r="A1840" i="28" s="1"/>
  <c r="A1841" i="28" s="1"/>
  <c r="A1842" i="28" s="1"/>
  <c r="A1843" i="28" s="1"/>
  <c r="A1844" i="28" s="1"/>
  <c r="A1845" i="28" s="1"/>
  <c r="A1846" i="28" s="1"/>
  <c r="A1847" i="28" s="1"/>
  <c r="A1848" i="28" s="1"/>
  <c r="A1849" i="28" s="1"/>
  <c r="A1850" i="28" s="1"/>
  <c r="A1851" i="28" s="1"/>
  <c r="A1852" i="28" s="1"/>
  <c r="A1853" i="28" s="1"/>
  <c r="A1854" i="28" s="1"/>
  <c r="A1855" i="28" s="1"/>
  <c r="A1856" i="28" s="1"/>
  <c r="A1857" i="28" s="1"/>
  <c r="A1858" i="28" s="1"/>
  <c r="A1859" i="28" s="1"/>
  <c r="A1860" i="28" s="1"/>
  <c r="A1861" i="28" s="1"/>
  <c r="A1862" i="28" s="1"/>
  <c r="A1863" i="28" s="1"/>
  <c r="A1864" i="28" s="1"/>
  <c r="A1865" i="28" s="1"/>
  <c r="A1866" i="28" s="1"/>
  <c r="A1867" i="28" s="1"/>
  <c r="A1868" i="28" s="1"/>
  <c r="A1869" i="28" s="1"/>
  <c r="A1870" i="28" s="1"/>
  <c r="A1871" i="28" s="1"/>
  <c r="A1872" i="28" s="1"/>
  <c r="A1873" i="28" s="1"/>
  <c r="A1874" i="28" s="1"/>
  <c r="A1875" i="28" s="1"/>
  <c r="A1876" i="28" s="1"/>
  <c r="A1877" i="28" s="1"/>
  <c r="A1878" i="28" s="1"/>
  <c r="A1879" i="28" s="1"/>
  <c r="A1880" i="28" s="1"/>
  <c r="A1881" i="28" s="1"/>
  <c r="A1882" i="28" s="1"/>
  <c r="A1883" i="28" s="1"/>
  <c r="A1884" i="28" s="1"/>
  <c r="A1885" i="28" s="1"/>
  <c r="A1886" i="28" s="1"/>
  <c r="A1887" i="28" s="1"/>
  <c r="A1888" i="28" s="1"/>
  <c r="A1889" i="28" s="1"/>
  <c r="A1890" i="28" s="1"/>
  <c r="A1891" i="28" s="1"/>
  <c r="A1892" i="28" s="1"/>
  <c r="A1893" i="28" s="1"/>
  <c r="A1894" i="28" s="1"/>
  <c r="A1895" i="28" s="1"/>
  <c r="A1896" i="28" s="1"/>
  <c r="A1897" i="28" s="1"/>
  <c r="A1898" i="28" s="1"/>
  <c r="A1899" i="28" s="1"/>
  <c r="A1900" i="28" s="1"/>
  <c r="A1901" i="28" s="1"/>
  <c r="A1902" i="28" s="1"/>
  <c r="A1903" i="28" s="1"/>
  <c r="A1904" i="28" s="1"/>
  <c r="A1905" i="28" s="1"/>
  <c r="A1906" i="28" s="1"/>
  <c r="A1907" i="28" s="1"/>
  <c r="A1908" i="28" s="1"/>
  <c r="A1909" i="28" s="1"/>
  <c r="A1910" i="28" s="1"/>
  <c r="A1911" i="28" s="1"/>
  <c r="A1912" i="28" s="1"/>
  <c r="A1913" i="28" s="1"/>
  <c r="A1914" i="28" s="1"/>
  <c r="A1915" i="28" s="1"/>
  <c r="A1916" i="28" s="1"/>
  <c r="A1917" i="28" s="1"/>
  <c r="A1918" i="28" s="1"/>
  <c r="A1919" i="28" s="1"/>
  <c r="A1920" i="28" s="1"/>
  <c r="A1921" i="28" s="1"/>
  <c r="A1922" i="28" s="1"/>
  <c r="A1923" i="28" s="1"/>
  <c r="A1924" i="28" s="1"/>
  <c r="A1925" i="28" s="1"/>
  <c r="A1926" i="28" s="1"/>
  <c r="A1927" i="28" s="1"/>
  <c r="A1928" i="28" s="1"/>
  <c r="A1929" i="28" s="1"/>
  <c r="A1930" i="28" s="1"/>
  <c r="A1931" i="28" s="1"/>
  <c r="A1932" i="28" s="1"/>
  <c r="A1933" i="28" s="1"/>
  <c r="A1934" i="28" s="1"/>
  <c r="A1935" i="28" s="1"/>
  <c r="A1936" i="28" s="1"/>
  <c r="A1937" i="28" s="1"/>
  <c r="A1938" i="28" s="1"/>
  <c r="A1939" i="28" s="1"/>
  <c r="A1940" i="28" s="1"/>
  <c r="A1941" i="28" s="1"/>
  <c r="A1942" i="28" s="1"/>
  <c r="A1943" i="28" s="1"/>
  <c r="A1944" i="28" s="1"/>
  <c r="A1945" i="28" s="1"/>
  <c r="A1946" i="28" s="1"/>
  <c r="A1947" i="28" s="1"/>
  <c r="A1948" i="28" s="1"/>
  <c r="A1949" i="28" s="1"/>
  <c r="A1950" i="28" s="1"/>
  <c r="A1951" i="28" s="1"/>
  <c r="A1952" i="28" s="1"/>
  <c r="A1953" i="28" s="1"/>
  <c r="A1954" i="28" s="1"/>
  <c r="A1955" i="28" s="1"/>
  <c r="A1956" i="28" s="1"/>
  <c r="A1957" i="28" s="1"/>
  <c r="A1958" i="28" s="1"/>
  <c r="A1959" i="28" s="1"/>
  <c r="A1960" i="28" s="1"/>
  <c r="A1961" i="28" s="1"/>
  <c r="A1962" i="28" s="1"/>
  <c r="A1963" i="28" s="1"/>
  <c r="A1964" i="28" s="1"/>
  <c r="A1965" i="28" s="1"/>
  <c r="A1966" i="28" s="1"/>
  <c r="A1967" i="28" s="1"/>
  <c r="A1968" i="28" s="1"/>
  <c r="A1969" i="28" s="1"/>
  <c r="A1970" i="28" s="1"/>
  <c r="A1971" i="28" s="1"/>
  <c r="A1972" i="28" s="1"/>
  <c r="A1973" i="28" s="1"/>
  <c r="A1974" i="28" s="1"/>
  <c r="A1975" i="28" s="1"/>
  <c r="A1976" i="28" s="1"/>
  <c r="A1977" i="28" s="1"/>
  <c r="A1978" i="28" s="1"/>
  <c r="A1979" i="28" s="1"/>
  <c r="A1980" i="28" s="1"/>
  <c r="A1981" i="28" s="1"/>
  <c r="A1982" i="28" s="1"/>
  <c r="A1983" i="28" s="1"/>
  <c r="A1984" i="28" s="1"/>
  <c r="A1985" i="28" s="1"/>
  <c r="A1986" i="28" s="1"/>
  <c r="A1987" i="28" s="1"/>
  <c r="A1988" i="28" s="1"/>
  <c r="A1989" i="28" s="1"/>
  <c r="A1990" i="28" s="1"/>
  <c r="A1991" i="28" s="1"/>
  <c r="A1992" i="28" s="1"/>
  <c r="A1993" i="28" s="1"/>
  <c r="A1994" i="28" s="1"/>
  <c r="A1995" i="28" s="1"/>
  <c r="A1996" i="28" s="1"/>
  <c r="A1997" i="28" s="1"/>
  <c r="A1998" i="28" s="1"/>
  <c r="A1999" i="28" s="1"/>
  <c r="A2000" i="28" s="1"/>
  <c r="A2001" i="28" s="1"/>
  <c r="A2002" i="28" s="1"/>
  <c r="A2003" i="28" s="1"/>
  <c r="A2004" i="28" s="1"/>
  <c r="A2005" i="28" s="1"/>
  <c r="A2006" i="28" s="1"/>
  <c r="A2007" i="28" s="1"/>
  <c r="A2008" i="28" s="1"/>
  <c r="A2009" i="28" s="1"/>
  <c r="A2010" i="28" s="1"/>
  <c r="A2011" i="28" s="1"/>
  <c r="A2012" i="28" s="1"/>
  <c r="A2013" i="28" s="1"/>
  <c r="A2014" i="28" s="1"/>
  <c r="A2015" i="28" s="1"/>
  <c r="A2016" i="28" s="1"/>
  <c r="A2017" i="28" s="1"/>
  <c r="A2018" i="28" s="1"/>
  <c r="A2019" i="28" s="1"/>
  <c r="A2020" i="28" s="1"/>
  <c r="A2021" i="28" s="1"/>
  <c r="A2022" i="28" s="1"/>
  <c r="A2023" i="28" s="1"/>
  <c r="A2024" i="28" s="1"/>
  <c r="A2025" i="28" s="1"/>
  <c r="A2026" i="28" s="1"/>
  <c r="A2027" i="28" s="1"/>
  <c r="A2028" i="28" s="1"/>
  <c r="A2029" i="28" s="1"/>
  <c r="A2030" i="28" s="1"/>
  <c r="A2031" i="28" s="1"/>
  <c r="A2032" i="28" s="1"/>
  <c r="A2033" i="28" s="1"/>
  <c r="A2034" i="28" s="1"/>
  <c r="A2035" i="28" s="1"/>
  <c r="A2036" i="28" s="1"/>
  <c r="A2037" i="28" s="1"/>
  <c r="A2038" i="28" s="1"/>
  <c r="A2039" i="28" s="1"/>
  <c r="A2040" i="28" s="1"/>
  <c r="A2041" i="28" s="1"/>
  <c r="A2042" i="28" s="1"/>
  <c r="A2043" i="28" s="1"/>
  <c r="A2044" i="28" s="1"/>
  <c r="A2045" i="28" s="1"/>
  <c r="A2046" i="28" s="1"/>
  <c r="A2047" i="28" s="1"/>
  <c r="A2048" i="28" s="1"/>
  <c r="A2049" i="28" s="1"/>
  <c r="A2050" i="28" s="1"/>
  <c r="A2051" i="28" s="1"/>
  <c r="A2052" i="28" s="1"/>
  <c r="A2053" i="28" s="1"/>
  <c r="A2054" i="28" s="1"/>
  <c r="A2055" i="28" s="1"/>
  <c r="A2056" i="28" s="1"/>
  <c r="A2057" i="28" s="1"/>
  <c r="A2058" i="28" s="1"/>
  <c r="A2059" i="28" s="1"/>
  <c r="A2060" i="28" s="1"/>
  <c r="A2061" i="28" s="1"/>
  <c r="A2062" i="28" s="1"/>
  <c r="A2063" i="28" s="1"/>
  <c r="A2064" i="28" s="1"/>
  <c r="A2065" i="28" s="1"/>
  <c r="A2066" i="28" s="1"/>
  <c r="A2067" i="28" s="1"/>
  <c r="A2068" i="28" s="1"/>
  <c r="A2069" i="28" s="1"/>
  <c r="A2070" i="28" s="1"/>
  <c r="A2071" i="28" s="1"/>
  <c r="A2072" i="28" s="1"/>
  <c r="A2073" i="28" s="1"/>
  <c r="A2074" i="28" s="1"/>
  <c r="A2075" i="28" s="1"/>
  <c r="A2076" i="28" s="1"/>
  <c r="A2077" i="28" s="1"/>
  <c r="A2078" i="28" s="1"/>
  <c r="A2079" i="28" s="1"/>
  <c r="A2080" i="28" s="1"/>
  <c r="A2081" i="28" s="1"/>
  <c r="A2082" i="28" s="1"/>
  <c r="A2083" i="28" s="1"/>
  <c r="A2084" i="28" s="1"/>
  <c r="A2085" i="28" s="1"/>
  <c r="A2086" i="28" s="1"/>
  <c r="A2087" i="28" s="1"/>
  <c r="A2088" i="28" s="1"/>
  <c r="A2089" i="28" s="1"/>
  <c r="A2090" i="28" s="1"/>
  <c r="A2091" i="28" s="1"/>
  <c r="A2092" i="28" s="1"/>
  <c r="A2093" i="28" s="1"/>
  <c r="A2094" i="28" s="1"/>
  <c r="A2095" i="28" s="1"/>
  <c r="A2096" i="28" s="1"/>
  <c r="A2097" i="28" s="1"/>
  <c r="A2098" i="28" s="1"/>
  <c r="A2099" i="28" s="1"/>
  <c r="A2100" i="28" s="1"/>
  <c r="A2101" i="28" s="1"/>
  <c r="A2102" i="28" s="1"/>
  <c r="A2103" i="28" s="1"/>
  <c r="A2104" i="28" s="1"/>
  <c r="A2105" i="28" s="1"/>
  <c r="A2106" i="28" s="1"/>
  <c r="A2107" i="28" s="1"/>
  <c r="A2108" i="28" s="1"/>
  <c r="A2109" i="28" s="1"/>
  <c r="A2110" i="28" s="1"/>
  <c r="A2111" i="28" s="1"/>
  <c r="A2112" i="28" s="1"/>
  <c r="A2113" i="28" s="1"/>
  <c r="A2114" i="28" s="1"/>
  <c r="A2115" i="28" s="1"/>
  <c r="A2116" i="28" s="1"/>
  <c r="A2117" i="28" s="1"/>
  <c r="A2118" i="28" s="1"/>
  <c r="A2119" i="28" s="1"/>
  <c r="A2120" i="28" s="1"/>
  <c r="A2121" i="28" s="1"/>
  <c r="A2122" i="28" s="1"/>
  <c r="A2123" i="28" s="1"/>
  <c r="A2124" i="28" s="1"/>
  <c r="A2125" i="28" s="1"/>
  <c r="A2126" i="28" s="1"/>
  <c r="A2127" i="28" s="1"/>
  <c r="A2128" i="28" s="1"/>
  <c r="A2129" i="28" s="1"/>
  <c r="A2130" i="28" s="1"/>
  <c r="A2131" i="28" s="1"/>
  <c r="A2132" i="28" s="1"/>
  <c r="A2133" i="28" s="1"/>
  <c r="A2134" i="28" s="1"/>
  <c r="A2135" i="28" s="1"/>
  <c r="A2136" i="28" s="1"/>
  <c r="A2137" i="28" s="1"/>
  <c r="A2138" i="28" s="1"/>
  <c r="A2139" i="28" s="1"/>
  <c r="A2140" i="28" s="1"/>
  <c r="A2141" i="28" s="1"/>
  <c r="A2142" i="28" s="1"/>
  <c r="A2143" i="28" s="1"/>
  <c r="A2144" i="28" s="1"/>
  <c r="A2145" i="28" s="1"/>
  <c r="A2146" i="28" s="1"/>
  <c r="A2147" i="28" s="1"/>
  <c r="A2148" i="28" s="1"/>
  <c r="A2149" i="28" s="1"/>
  <c r="A2150" i="28" s="1"/>
  <c r="A2151" i="28" s="1"/>
  <c r="A2152" i="28" s="1"/>
  <c r="A2153" i="28" s="1"/>
  <c r="A2154" i="28" s="1"/>
  <c r="A2155" i="28" s="1"/>
  <c r="A2156" i="28" s="1"/>
  <c r="A2157" i="28" s="1"/>
  <c r="A2158" i="28" s="1"/>
  <c r="A2159" i="28" s="1"/>
  <c r="A2160" i="28" s="1"/>
  <c r="A2161" i="28" s="1"/>
  <c r="A2162" i="28" s="1"/>
  <c r="A2163" i="28" s="1"/>
  <c r="A2164" i="28" s="1"/>
  <c r="A2165" i="28" s="1"/>
  <c r="A2166" i="28" s="1"/>
  <c r="A2167" i="28" s="1"/>
  <c r="A2168" i="28" s="1"/>
  <c r="A2169" i="28" s="1"/>
  <c r="A2170" i="28" s="1"/>
  <c r="A2171" i="28" s="1"/>
  <c r="A2172" i="28" s="1"/>
  <c r="A2173" i="28" s="1"/>
  <c r="A2174" i="28" s="1"/>
  <c r="A2175" i="28" s="1"/>
  <c r="A2176" i="28" s="1"/>
  <c r="A2177" i="28" s="1"/>
  <c r="A2178" i="28" s="1"/>
  <c r="A2179" i="28" s="1"/>
  <c r="A2180" i="28" s="1"/>
  <c r="A2181" i="28" s="1"/>
  <c r="A2182" i="28" s="1"/>
  <c r="A2183" i="28" s="1"/>
  <c r="A2184" i="28" s="1"/>
  <c r="A2185" i="28" s="1"/>
  <c r="A2186" i="28" s="1"/>
  <c r="A2187" i="28" s="1"/>
  <c r="A2188" i="28" s="1"/>
  <c r="A2189" i="28" s="1"/>
  <c r="A2190" i="28" s="1"/>
  <c r="A2191" i="28" s="1"/>
  <c r="A2192" i="28" s="1"/>
  <c r="A2193" i="28" s="1"/>
  <c r="A2194" i="28" s="1"/>
  <c r="A2195" i="28" s="1"/>
  <c r="A2196" i="28" s="1"/>
  <c r="A2197" i="28" s="1"/>
  <c r="A2198" i="28" s="1"/>
  <c r="A2199" i="28" s="1"/>
  <c r="A2200" i="28" s="1"/>
  <c r="A2201" i="28" s="1"/>
  <c r="A2202" i="28" s="1"/>
  <c r="A2203" i="28" s="1"/>
  <c r="A2204" i="28" s="1"/>
  <c r="A2205" i="28" s="1"/>
  <c r="A2206" i="28" s="1"/>
  <c r="A2207" i="28" s="1"/>
  <c r="A2208" i="28" s="1"/>
  <c r="A2209" i="28" s="1"/>
  <c r="A2210" i="28" s="1"/>
  <c r="A2211" i="28" s="1"/>
  <c r="A2212" i="28" s="1"/>
  <c r="A2213" i="28" s="1"/>
  <c r="A2214" i="28" s="1"/>
  <c r="A2215" i="28" s="1"/>
  <c r="A2216" i="28" s="1"/>
  <c r="A2217" i="28" s="1"/>
  <c r="A2218" i="28" s="1"/>
  <c r="A2219" i="28" s="1"/>
  <c r="A2220" i="28" s="1"/>
  <c r="A2221" i="28" s="1"/>
  <c r="A2222" i="28" s="1"/>
  <c r="A2223" i="28" s="1"/>
  <c r="A2224" i="28" s="1"/>
  <c r="A2225" i="28" s="1"/>
  <c r="A2226" i="28" s="1"/>
  <c r="A2227" i="28" s="1"/>
  <c r="A2228" i="28" s="1"/>
  <c r="A2229" i="28" s="1"/>
  <c r="A2230" i="28" s="1"/>
  <c r="A2231" i="28" s="1"/>
  <c r="A2232" i="28" s="1"/>
  <c r="A2233" i="28" s="1"/>
  <c r="A2234" i="28" s="1"/>
  <c r="A2235" i="28" s="1"/>
  <c r="A2236" i="28" s="1"/>
  <c r="A2237" i="28" s="1"/>
  <c r="A2238" i="28" s="1"/>
  <c r="A2239" i="28" s="1"/>
  <c r="A2240" i="28" s="1"/>
  <c r="A2241" i="28" s="1"/>
  <c r="A2242" i="28" s="1"/>
  <c r="A2243" i="28" s="1"/>
  <c r="A2244" i="28" s="1"/>
  <c r="A2245" i="28" s="1"/>
  <c r="A2246" i="28" s="1"/>
  <c r="A2247" i="28" s="1"/>
  <c r="A2248" i="28" s="1"/>
  <c r="A2249" i="28" s="1"/>
  <c r="A2250" i="28" s="1"/>
  <c r="A2251" i="28" s="1"/>
  <c r="A2252" i="28" s="1"/>
  <c r="A2253" i="28" s="1"/>
  <c r="A2254" i="28" s="1"/>
  <c r="A2255" i="28" s="1"/>
  <c r="A2256" i="28" s="1"/>
  <c r="A2257" i="28" s="1"/>
  <c r="A2258" i="28" s="1"/>
  <c r="A2259" i="28" s="1"/>
  <c r="A2260" i="28" s="1"/>
  <c r="A2261" i="28" s="1"/>
  <c r="A2262" i="28" s="1"/>
  <c r="A2263" i="28" s="1"/>
  <c r="A2264" i="28" s="1"/>
  <c r="A2265" i="28" s="1"/>
  <c r="A2266" i="28" s="1"/>
  <c r="A2267" i="28" s="1"/>
  <c r="A2268" i="28" s="1"/>
  <c r="A2269" i="28" s="1"/>
  <c r="A2270" i="28" s="1"/>
  <c r="A2271" i="28" s="1"/>
  <c r="A2272" i="28" s="1"/>
  <c r="A2273" i="28" s="1"/>
  <c r="A2274" i="28" s="1"/>
  <c r="A2275" i="28" s="1"/>
  <c r="A2276" i="28" s="1"/>
  <c r="A2277" i="28" s="1"/>
  <c r="A2278" i="28" s="1"/>
  <c r="A2279" i="28" s="1"/>
  <c r="A2280" i="28" s="1"/>
  <c r="A2281" i="28" s="1"/>
  <c r="A2282" i="28" s="1"/>
  <c r="A2283" i="28" s="1"/>
  <c r="A2284" i="28" s="1"/>
  <c r="A2285" i="28" s="1"/>
  <c r="A2286" i="28" s="1"/>
  <c r="A2287" i="28" s="1"/>
  <c r="A2288" i="28" s="1"/>
  <c r="A2289" i="28" s="1"/>
  <c r="A2290" i="28" s="1"/>
  <c r="A2291" i="28" s="1"/>
  <c r="A2292" i="28" s="1"/>
  <c r="A2293" i="28" s="1"/>
  <c r="A2294" i="28" s="1"/>
  <c r="A2295" i="28" s="1"/>
  <c r="A2296" i="28" s="1"/>
  <c r="A2297" i="28" s="1"/>
  <c r="A2298" i="28" s="1"/>
  <c r="A2299" i="28" s="1"/>
  <c r="A2300" i="28" s="1"/>
  <c r="A2301" i="28" s="1"/>
  <c r="A2302" i="28" s="1"/>
  <c r="A2303" i="28" s="1"/>
  <c r="A2304" i="28" s="1"/>
  <c r="A2305" i="28" s="1"/>
  <c r="A2306" i="28" s="1"/>
  <c r="A2307" i="28" s="1"/>
  <c r="A2308" i="28" s="1"/>
  <c r="A2309" i="28" s="1"/>
  <c r="A2310" i="28" s="1"/>
  <c r="A2311" i="28" s="1"/>
  <c r="A2312" i="28" s="1"/>
  <c r="A2313" i="28" s="1"/>
  <c r="A2314" i="28" s="1"/>
  <c r="A2315" i="28" s="1"/>
  <c r="A2316" i="28" s="1"/>
  <c r="A2317" i="28" s="1"/>
  <c r="A2318" i="28" s="1"/>
  <c r="A2319" i="28" s="1"/>
  <c r="A2320" i="28" s="1"/>
  <c r="A2321" i="28" s="1"/>
  <c r="A2322" i="28" s="1"/>
  <c r="A2323" i="28" s="1"/>
  <c r="A2324" i="28" s="1"/>
  <c r="A2325" i="28" s="1"/>
  <c r="A2326" i="28" s="1"/>
  <c r="A2327" i="28" s="1"/>
  <c r="A2328" i="28" s="1"/>
  <c r="A2329" i="28" s="1"/>
  <c r="A2330" i="28" s="1"/>
  <c r="A2331" i="28" s="1"/>
  <c r="A2332" i="28" s="1"/>
  <c r="A2333" i="28" s="1"/>
  <c r="A2334" i="28" s="1"/>
  <c r="A2335" i="28" s="1"/>
  <c r="A2336" i="28" s="1"/>
  <c r="A2337" i="28" s="1"/>
  <c r="A2338" i="28" s="1"/>
  <c r="A2339" i="28" s="1"/>
  <c r="A2340" i="28" s="1"/>
  <c r="A2341" i="28" s="1"/>
  <c r="A2342" i="28" s="1"/>
  <c r="A2343" i="28" s="1"/>
  <c r="A2344" i="28" s="1"/>
  <c r="A2345" i="28" s="1"/>
  <c r="A2346" i="28" s="1"/>
  <c r="A2347" i="28" s="1"/>
  <c r="A2348" i="28" s="1"/>
  <c r="A2349" i="28" s="1"/>
  <c r="A2350" i="28" s="1"/>
  <c r="A2351" i="28" s="1"/>
  <c r="A2352" i="28" s="1"/>
  <c r="A2353" i="28" s="1"/>
  <c r="A2354" i="28" s="1"/>
  <c r="A2355" i="28" s="1"/>
  <c r="A2356" i="28" s="1"/>
  <c r="A2357" i="28" s="1"/>
  <c r="A2358" i="28" s="1"/>
  <c r="A2359" i="28" s="1"/>
  <c r="A2360" i="28" s="1"/>
  <c r="A2361" i="28" s="1"/>
  <c r="A2362" i="28" s="1"/>
  <c r="A2363" i="28" s="1"/>
  <c r="A2364" i="28" s="1"/>
  <c r="A2365" i="28" s="1"/>
  <c r="A2366" i="28" s="1"/>
  <c r="A2367" i="28" s="1"/>
  <c r="A2368" i="28" s="1"/>
  <c r="A2369" i="28" s="1"/>
  <c r="A2370" i="28" s="1"/>
  <c r="A2371" i="28" s="1"/>
  <c r="A2372" i="28" s="1"/>
  <c r="A2373" i="28" s="1"/>
  <c r="A2374" i="28" s="1"/>
  <c r="A2375" i="28" s="1"/>
  <c r="A2376" i="28" s="1"/>
  <c r="A2377" i="28" s="1"/>
  <c r="A2378" i="28" s="1"/>
  <c r="A2379" i="28" s="1"/>
  <c r="A2380" i="28" s="1"/>
  <c r="A2381" i="28" s="1"/>
  <c r="A2382" i="28" s="1"/>
  <c r="A2383" i="28" s="1"/>
  <c r="A2384" i="28" s="1"/>
  <c r="A2385" i="28" s="1"/>
  <c r="A2386" i="28" s="1"/>
  <c r="A2387" i="28" s="1"/>
  <c r="A2388" i="28" s="1"/>
  <c r="A2389" i="28" s="1"/>
  <c r="A2390" i="28" s="1"/>
  <c r="A2391" i="28" s="1"/>
  <c r="A2392" i="28" s="1"/>
  <c r="A2393" i="28" s="1"/>
  <c r="A2394" i="28" s="1"/>
  <c r="A2395" i="28" s="1"/>
  <c r="A2396" i="28" s="1"/>
  <c r="A2397" i="28" s="1"/>
  <c r="A2398" i="28" s="1"/>
  <c r="A2399" i="28" s="1"/>
  <c r="A2400" i="28" s="1"/>
  <c r="A2401" i="28" s="1"/>
  <c r="A2402" i="28" s="1"/>
  <c r="A2403" i="28" s="1"/>
  <c r="A2404" i="28" s="1"/>
  <c r="A2405" i="28" s="1"/>
  <c r="A2406" i="28" s="1"/>
  <c r="A2407" i="28" s="1"/>
  <c r="A2408" i="28" s="1"/>
  <c r="A2409" i="28" s="1"/>
  <c r="A2410" i="28" s="1"/>
  <c r="A2411" i="28" s="1"/>
  <c r="A2412" i="28" s="1"/>
  <c r="A2413" i="28" s="1"/>
  <c r="A2414" i="28" s="1"/>
  <c r="A2415" i="28" s="1"/>
  <c r="A2416" i="28" s="1"/>
  <c r="A2417" i="28" s="1"/>
  <c r="A2418" i="28" s="1"/>
  <c r="A2419" i="28" s="1"/>
  <c r="A2420" i="28" s="1"/>
  <c r="A2421" i="28" s="1"/>
  <c r="A2422" i="28" s="1"/>
  <c r="A2423" i="28" s="1"/>
  <c r="A2424" i="28" s="1"/>
  <c r="A2425" i="28" s="1"/>
  <c r="A2426" i="28" s="1"/>
  <c r="A2427" i="28" s="1"/>
  <c r="A2428" i="28" s="1"/>
  <c r="A2429" i="28" s="1"/>
  <c r="A2430" i="28" s="1"/>
  <c r="A2431" i="28" s="1"/>
  <c r="A2432" i="28" s="1"/>
  <c r="A2433" i="28" s="1"/>
  <c r="A2434" i="28" s="1"/>
  <c r="A2435" i="28" s="1"/>
  <c r="A2436" i="28" s="1"/>
  <c r="A2437" i="28" s="1"/>
  <c r="A2438" i="28" s="1"/>
  <c r="A2439" i="28" s="1"/>
  <c r="A2440" i="28" s="1"/>
  <c r="A2441" i="28" s="1"/>
  <c r="A2442" i="28" s="1"/>
  <c r="A2443" i="28" s="1"/>
  <c r="A2444" i="28" s="1"/>
  <c r="A2445" i="28" s="1"/>
  <c r="A2446" i="28" s="1"/>
  <c r="A2447" i="28" s="1"/>
  <c r="A2448" i="28" s="1"/>
  <c r="A2449" i="28" s="1"/>
  <c r="A2450" i="28" s="1"/>
  <c r="A2451" i="28" s="1"/>
  <c r="A2452" i="28" s="1"/>
  <c r="A2453" i="28" s="1"/>
  <c r="A2454" i="28" s="1"/>
  <c r="A2455" i="28" s="1"/>
  <c r="A2456" i="28" s="1"/>
  <c r="A2457" i="28" s="1"/>
  <c r="A2458" i="28" s="1"/>
  <c r="A2459" i="28" s="1"/>
  <c r="A2460" i="28" s="1"/>
  <c r="A2461" i="28" s="1"/>
  <c r="A2462" i="28" s="1"/>
  <c r="A2463" i="28" s="1"/>
  <c r="A2464" i="28" s="1"/>
  <c r="A2465" i="28" s="1"/>
  <c r="A2466" i="28" s="1"/>
  <c r="A2467" i="28" s="1"/>
  <c r="A2468" i="28" s="1"/>
  <c r="A2469" i="28" s="1"/>
  <c r="A2470" i="28" s="1"/>
  <c r="A2471" i="28" s="1"/>
  <c r="A2472" i="28" s="1"/>
  <c r="A2473" i="28" s="1"/>
  <c r="A2474" i="28" s="1"/>
  <c r="A2475" i="28" s="1"/>
  <c r="A2476" i="28" s="1"/>
  <c r="A2477" i="28" s="1"/>
  <c r="A2478" i="28" s="1"/>
  <c r="A2479" i="28" s="1"/>
  <c r="A2480" i="28" s="1"/>
  <c r="A2481" i="28" s="1"/>
  <c r="A2482" i="28" s="1"/>
  <c r="A2483" i="28" s="1"/>
  <c r="A2484" i="28" s="1"/>
  <c r="A2485" i="28" s="1"/>
  <c r="A2486" i="28" s="1"/>
  <c r="A2487" i="28" s="1"/>
  <c r="A2488" i="28" s="1"/>
  <c r="A2489" i="28" s="1"/>
  <c r="A2490" i="28" s="1"/>
  <c r="A2491" i="28" s="1"/>
  <c r="A2492" i="28" s="1"/>
  <c r="A2493" i="28" s="1"/>
  <c r="A2494" i="28" s="1"/>
  <c r="A2495" i="28" s="1"/>
  <c r="A2496" i="28" s="1"/>
  <c r="A2497" i="28" s="1"/>
  <c r="A2498" i="28" s="1"/>
  <c r="A2499" i="28" s="1"/>
  <c r="A2500" i="28" s="1"/>
  <c r="A2501" i="28" s="1"/>
  <c r="A2502" i="28" s="1"/>
  <c r="A2503" i="28" s="1"/>
  <c r="A2504" i="28" s="1"/>
  <c r="A2505" i="28" s="1"/>
  <c r="A2506" i="28" s="1"/>
  <c r="A2507" i="28" s="1"/>
  <c r="A2508" i="28" s="1"/>
  <c r="A2509" i="28" s="1"/>
  <c r="A2510" i="28" s="1"/>
  <c r="A2511" i="28" s="1"/>
  <c r="A2512" i="28" s="1"/>
  <c r="A2513" i="28" s="1"/>
  <c r="A2514" i="28" s="1"/>
  <c r="A2515" i="28" s="1"/>
  <c r="A2516" i="28" s="1"/>
  <c r="A2517" i="28" s="1"/>
  <c r="A2518" i="28" s="1"/>
  <c r="A2519" i="28" s="1"/>
  <c r="A2520" i="28" s="1"/>
  <c r="A2521" i="28" s="1"/>
  <c r="A2522" i="28" s="1"/>
  <c r="A2523" i="28" s="1"/>
  <c r="A2524" i="28" s="1"/>
  <c r="A2525" i="28" s="1"/>
  <c r="A2526" i="28" s="1"/>
  <c r="A2527" i="28" s="1"/>
  <c r="A2528" i="28" s="1"/>
  <c r="A2529" i="28" s="1"/>
  <c r="A2530" i="28" s="1"/>
  <c r="A2531" i="28" s="1"/>
  <c r="A2532" i="28" s="1"/>
  <c r="A2533" i="28" s="1"/>
  <c r="A2534" i="28" s="1"/>
  <c r="A2535" i="28" s="1"/>
  <c r="A2536" i="28" s="1"/>
  <c r="A2537" i="28" s="1"/>
  <c r="A2538" i="28" s="1"/>
  <c r="A2539" i="28" s="1"/>
  <c r="A2540" i="28" s="1"/>
  <c r="A2541" i="28" s="1"/>
  <c r="A2542" i="28" s="1"/>
  <c r="A2543" i="28" s="1"/>
  <c r="A2544" i="28" s="1"/>
  <c r="A2545" i="28" s="1"/>
  <c r="A2546" i="28" s="1"/>
  <c r="A2547" i="28" s="1"/>
  <c r="A2548" i="28" s="1"/>
  <c r="A2549" i="28" s="1"/>
  <c r="A2550" i="28" s="1"/>
  <c r="A2551" i="28" s="1"/>
  <c r="A2552" i="28" s="1"/>
  <c r="A2553" i="28" s="1"/>
  <c r="A2554" i="28" s="1"/>
  <c r="A2555" i="28" s="1"/>
  <c r="A2556" i="28" s="1"/>
  <c r="A2557" i="28" s="1"/>
  <c r="A2558" i="28" s="1"/>
  <c r="A2559" i="28" s="1"/>
  <c r="A2560" i="28" s="1"/>
  <c r="A2561" i="28" s="1"/>
  <c r="A2562" i="28" s="1"/>
  <c r="A2563" i="28" s="1"/>
  <c r="A2564" i="28" s="1"/>
  <c r="A2565" i="28" s="1"/>
  <c r="A2566" i="28" s="1"/>
  <c r="A2567" i="28" s="1"/>
  <c r="A2568" i="28" s="1"/>
  <c r="A2569" i="28" s="1"/>
  <c r="A2570" i="28" s="1"/>
  <c r="A2571" i="28" s="1"/>
  <c r="A2572" i="28" s="1"/>
  <c r="A2573" i="28" s="1"/>
  <c r="A2574" i="28" s="1"/>
  <c r="A2575" i="28" s="1"/>
  <c r="A2576" i="28" s="1"/>
  <c r="A2577" i="28" s="1"/>
  <c r="A2578" i="28" s="1"/>
  <c r="A2579" i="28" s="1"/>
  <c r="A2580" i="28" s="1"/>
  <c r="A2581" i="28" s="1"/>
  <c r="A2582" i="28" s="1"/>
  <c r="A2583" i="28" s="1"/>
  <c r="A2584" i="28" s="1"/>
  <c r="A2585" i="28" s="1"/>
  <c r="A2586" i="28" s="1"/>
  <c r="A2587" i="28" s="1"/>
  <c r="A2588" i="28" s="1"/>
  <c r="A2589" i="28" s="1"/>
  <c r="A2590" i="28" s="1"/>
  <c r="A2591" i="28" s="1"/>
  <c r="A2592" i="28" s="1"/>
  <c r="A2593" i="28" s="1"/>
  <c r="A2594" i="28" s="1"/>
  <c r="A2595" i="28" s="1"/>
  <c r="A2596" i="28" s="1"/>
  <c r="A2597" i="28" s="1"/>
  <c r="A2598" i="28" s="1"/>
  <c r="A2599" i="28" s="1"/>
  <c r="A2600" i="28" s="1"/>
  <c r="A2601" i="28" s="1"/>
  <c r="A2602" i="28" s="1"/>
  <c r="A2603" i="28" s="1"/>
  <c r="A2604" i="28" s="1"/>
  <c r="A2605" i="28" s="1"/>
  <c r="A2606" i="28" s="1"/>
  <c r="A2607" i="28" s="1"/>
  <c r="A2608" i="28" s="1"/>
  <c r="A2609" i="28" s="1"/>
  <c r="A2610" i="28" s="1"/>
  <c r="A2611" i="28" s="1"/>
  <c r="A2612" i="28" s="1"/>
  <c r="A2613" i="28" s="1"/>
  <c r="A2614" i="28" s="1"/>
  <c r="A2615" i="28" s="1"/>
  <c r="A2616" i="28" s="1"/>
  <c r="A2617" i="28" s="1"/>
  <c r="A2618" i="28" s="1"/>
  <c r="A2619" i="28" s="1"/>
  <c r="A2620" i="28" s="1"/>
  <c r="A2621" i="28" s="1"/>
  <c r="A2622" i="28" s="1"/>
  <c r="A2623" i="28" s="1"/>
  <c r="A2624" i="28" s="1"/>
  <c r="A2625" i="28" s="1"/>
  <c r="A2626" i="28" s="1"/>
  <c r="A2627" i="28" s="1"/>
  <c r="A2628" i="28" s="1"/>
  <c r="A2629" i="28" s="1"/>
  <c r="A2630" i="28" s="1"/>
  <c r="A2631" i="28" s="1"/>
  <c r="A2632" i="28" s="1"/>
  <c r="A2633" i="28" s="1"/>
  <c r="A2634" i="28" s="1"/>
  <c r="A2635" i="28" s="1"/>
  <c r="A2636" i="28" s="1"/>
  <c r="A2637" i="28" s="1"/>
  <c r="A2638" i="28" s="1"/>
  <c r="A2639" i="28" s="1"/>
  <c r="A2640" i="28" s="1"/>
  <c r="A2641" i="28" s="1"/>
  <c r="A2642" i="28" s="1"/>
  <c r="A2643" i="28" s="1"/>
  <c r="A2644" i="28" s="1"/>
  <c r="A2645" i="28" s="1"/>
  <c r="A2646" i="28" s="1"/>
  <c r="A2647" i="28" s="1"/>
  <c r="A2648" i="28" s="1"/>
  <c r="A2649" i="28" s="1"/>
  <c r="A2650" i="28" s="1"/>
  <c r="A2651" i="28" s="1"/>
  <c r="A2652" i="28" s="1"/>
  <c r="A2653" i="28" s="1"/>
  <c r="A2654" i="28" s="1"/>
  <c r="A2655" i="28" s="1"/>
  <c r="A2656" i="28" s="1"/>
  <c r="A2657" i="28" s="1"/>
  <c r="A2658" i="28" s="1"/>
  <c r="A2659" i="28" s="1"/>
  <c r="A2660" i="28" s="1"/>
  <c r="A2661" i="28" s="1"/>
  <c r="A2662" i="28" s="1"/>
  <c r="A2663" i="28" s="1"/>
  <c r="A2664" i="28" s="1"/>
  <c r="A2665" i="28" s="1"/>
  <c r="A2666" i="28" s="1"/>
  <c r="A2667" i="28" s="1"/>
  <c r="A2668" i="28" s="1"/>
  <c r="A2669" i="28" s="1"/>
  <c r="A2670" i="28" s="1"/>
  <c r="A2671" i="28" s="1"/>
  <c r="A2672" i="28" s="1"/>
  <c r="A2673" i="28" s="1"/>
  <c r="A2674" i="28" s="1"/>
  <c r="A2675" i="28" s="1"/>
  <c r="A2676" i="28" s="1"/>
  <c r="A2677" i="28" s="1"/>
  <c r="A2678" i="28" s="1"/>
  <c r="A2679" i="28" s="1"/>
  <c r="A2680" i="28" s="1"/>
  <c r="A2681" i="28" s="1"/>
  <c r="A2682" i="28" s="1"/>
  <c r="A2683" i="28" s="1"/>
  <c r="A2684" i="28" s="1"/>
  <c r="A2685" i="28" s="1"/>
  <c r="A2686" i="28" s="1"/>
  <c r="A2687" i="28" s="1"/>
  <c r="A2688" i="28" s="1"/>
  <c r="A2689" i="28" s="1"/>
  <c r="A2690" i="28" s="1"/>
  <c r="A2691" i="28" s="1"/>
  <c r="A2692" i="28" s="1"/>
  <c r="A2693" i="28" s="1"/>
  <c r="A2694" i="28" s="1"/>
  <c r="A2695" i="28" s="1"/>
  <c r="A2696" i="28" s="1"/>
  <c r="A2697" i="28" s="1"/>
  <c r="A2698" i="28" s="1"/>
  <c r="A2699" i="28" s="1"/>
  <c r="A2700" i="28" s="1"/>
  <c r="A2701" i="28" s="1"/>
  <c r="A2702" i="28" s="1"/>
  <c r="A2703" i="28" s="1"/>
  <c r="A2704" i="28" s="1"/>
  <c r="A2705" i="28" s="1"/>
  <c r="A2706" i="28" s="1"/>
  <c r="A2707" i="28" s="1"/>
  <c r="A2708" i="28" s="1"/>
  <c r="A2709" i="28" s="1"/>
  <c r="A2710" i="28" s="1"/>
  <c r="A2711" i="28" s="1"/>
  <c r="A2712" i="28" s="1"/>
  <c r="A2713" i="28" s="1"/>
  <c r="A2714" i="28" s="1"/>
  <c r="A2715" i="28" s="1"/>
  <c r="A2716" i="28" s="1"/>
  <c r="A2717" i="28" s="1"/>
  <c r="A2718" i="28" s="1"/>
  <c r="A2719" i="28" s="1"/>
  <c r="A2720" i="28" s="1"/>
  <c r="A2721" i="28" s="1"/>
  <c r="A2722" i="28" s="1"/>
  <c r="A2723" i="28" s="1"/>
  <c r="A2724" i="28" s="1"/>
  <c r="A2725" i="28" s="1"/>
  <c r="A2726" i="28" s="1"/>
  <c r="A2727" i="28" s="1"/>
  <c r="A2728" i="28" s="1"/>
  <c r="A2729" i="28" s="1"/>
  <c r="A2730" i="28" s="1"/>
  <c r="A2731" i="28" s="1"/>
  <c r="A2732" i="28" s="1"/>
  <c r="A2733" i="28" s="1"/>
  <c r="A2734" i="28" s="1"/>
  <c r="A2735" i="28" s="1"/>
  <c r="A2736" i="28" s="1"/>
  <c r="A2737" i="28" s="1"/>
  <c r="A2738" i="28" s="1"/>
  <c r="A2739" i="28" s="1"/>
  <c r="A2740" i="28" s="1"/>
  <c r="A2741" i="28" s="1"/>
  <c r="A2742" i="28" s="1"/>
  <c r="A2743" i="28" s="1"/>
  <c r="A2744" i="28" s="1"/>
  <c r="A2745" i="28" s="1"/>
  <c r="A2746" i="28" s="1"/>
  <c r="A2747" i="28" s="1"/>
  <c r="A2748" i="28" s="1"/>
  <c r="A2749" i="28" s="1"/>
  <c r="A2750" i="28" s="1"/>
  <c r="A2751" i="28" s="1"/>
  <c r="A2752" i="28" s="1"/>
  <c r="A2753" i="28" s="1"/>
  <c r="A2754" i="28" s="1"/>
  <c r="A2755" i="28" s="1"/>
  <c r="A2756" i="28" s="1"/>
  <c r="A2757" i="28" s="1"/>
  <c r="A2758" i="28" s="1"/>
  <c r="A2759" i="28" s="1"/>
  <c r="A2760" i="28" s="1"/>
  <c r="A2761" i="28" s="1"/>
  <c r="A2762" i="28" s="1"/>
  <c r="A2763" i="28" s="1"/>
  <c r="A2764" i="28" s="1"/>
  <c r="A2765" i="28" s="1"/>
  <c r="A2766" i="28" s="1"/>
  <c r="A2767" i="28" s="1"/>
  <c r="A2768" i="28" s="1"/>
  <c r="A2769" i="28" s="1"/>
  <c r="A2770" i="28" s="1"/>
  <c r="A2771" i="28" s="1"/>
  <c r="A2772" i="28" s="1"/>
  <c r="A2773" i="28" s="1"/>
  <c r="A2774" i="28" s="1"/>
  <c r="A2775" i="28" s="1"/>
  <c r="A2776" i="28" s="1"/>
  <c r="A2777" i="28" s="1"/>
  <c r="A2778" i="28" s="1"/>
  <c r="A2779" i="28" s="1"/>
  <c r="A2780" i="28" s="1"/>
  <c r="A2781" i="28" s="1"/>
  <c r="A2782" i="28" s="1"/>
  <c r="A2783" i="28" s="1"/>
  <c r="A2784" i="28" s="1"/>
  <c r="A2785" i="28" s="1"/>
  <c r="A2786" i="28" s="1"/>
  <c r="A2787" i="28" s="1"/>
  <c r="A2788" i="28" s="1"/>
  <c r="A2789" i="28" s="1"/>
  <c r="A2790" i="28" s="1"/>
  <c r="A2791" i="28" s="1"/>
  <c r="A2792" i="28" s="1"/>
  <c r="A2793" i="28" s="1"/>
  <c r="A2794" i="28" s="1"/>
  <c r="A2795" i="28" s="1"/>
  <c r="A2796" i="28" s="1"/>
  <c r="A2797" i="28" s="1"/>
  <c r="A2798" i="28" s="1"/>
  <c r="A2799" i="28" s="1"/>
  <c r="A2800" i="28" s="1"/>
  <c r="A2801" i="28" s="1"/>
  <c r="A2802" i="28" s="1"/>
  <c r="A2803" i="28" s="1"/>
  <c r="A2804" i="28" s="1"/>
  <c r="A2805" i="28" s="1"/>
  <c r="A2806" i="28" s="1"/>
  <c r="A2807" i="28" s="1"/>
  <c r="A2808" i="28" s="1"/>
  <c r="A2809" i="28" s="1"/>
  <c r="A2810" i="28" s="1"/>
  <c r="A2811" i="28" s="1"/>
  <c r="A2812" i="28" s="1"/>
  <c r="A2813" i="28" s="1"/>
  <c r="A2814" i="28" s="1"/>
  <c r="A2815" i="28" s="1"/>
  <c r="A2816" i="28" s="1"/>
  <c r="A2817" i="28" s="1"/>
  <c r="A2818" i="28" s="1"/>
  <c r="A2819" i="28" s="1"/>
  <c r="A2820" i="28" s="1"/>
  <c r="A2821" i="28" s="1"/>
  <c r="A2822" i="28" s="1"/>
  <c r="A2823" i="28" s="1"/>
  <c r="A2824" i="28" s="1"/>
  <c r="A2825" i="28" s="1"/>
  <c r="A2826" i="28" s="1"/>
  <c r="A2827" i="28" s="1"/>
  <c r="A2828" i="28" s="1"/>
  <c r="A2829" i="28" s="1"/>
  <c r="A2830" i="28" s="1"/>
  <c r="A2831" i="28" s="1"/>
  <c r="A2832" i="28" s="1"/>
  <c r="A2833" i="28" s="1"/>
  <c r="A2834" i="28" s="1"/>
  <c r="A2835" i="28" s="1"/>
  <c r="A2836" i="28" s="1"/>
  <c r="A2837" i="28" s="1"/>
  <c r="A2838" i="28" s="1"/>
  <c r="A2839" i="28" s="1"/>
  <c r="A2840" i="28" s="1"/>
  <c r="A2841" i="28" s="1"/>
  <c r="A2842" i="28" s="1"/>
  <c r="A2843" i="28" s="1"/>
  <c r="A2844" i="28" s="1"/>
  <c r="A2845" i="28" s="1"/>
  <c r="A2846" i="28" s="1"/>
  <c r="A2847" i="28" s="1"/>
  <c r="A2848" i="28" s="1"/>
  <c r="A2849" i="28" s="1"/>
  <c r="A2850" i="28" s="1"/>
  <c r="A2851" i="28" s="1"/>
  <c r="A2852" i="28" s="1"/>
  <c r="A2853" i="28" s="1"/>
  <c r="A2854" i="28" s="1"/>
  <c r="A2855" i="28" s="1"/>
  <c r="A2856" i="28" s="1"/>
  <c r="A2857" i="28" s="1"/>
  <c r="A2858" i="28" s="1"/>
  <c r="A2859" i="28" s="1"/>
  <c r="A2860" i="28" s="1"/>
  <c r="A2861" i="28" s="1"/>
  <c r="A2862" i="28" s="1"/>
  <c r="A2863" i="28" s="1"/>
  <c r="A2864" i="28" s="1"/>
  <c r="A2865" i="28" s="1"/>
  <c r="A2866" i="28" s="1"/>
  <c r="A2867" i="28" s="1"/>
  <c r="A2868" i="28" s="1"/>
  <c r="A2869" i="28" s="1"/>
  <c r="A2870" i="28" s="1"/>
  <c r="A2871" i="28" s="1"/>
  <c r="A2872" i="28" s="1"/>
  <c r="A2873" i="28" s="1"/>
  <c r="A2874" i="28" s="1"/>
  <c r="A2875" i="28" s="1"/>
  <c r="A2876" i="28" s="1"/>
  <c r="A2877" i="28" s="1"/>
  <c r="A2878" i="28" s="1"/>
  <c r="A2879" i="28" s="1"/>
  <c r="A2880" i="28" s="1"/>
  <c r="A2881" i="28" s="1"/>
  <c r="A2882" i="28" s="1"/>
  <c r="A2883" i="28" s="1"/>
  <c r="A2884" i="28" s="1"/>
  <c r="A2885" i="28" s="1"/>
  <c r="A2886" i="28" s="1"/>
  <c r="A2887" i="28" s="1"/>
  <c r="A2888" i="28" s="1"/>
  <c r="A2889" i="28" s="1"/>
  <c r="A2890" i="28" s="1"/>
  <c r="A2891" i="28" s="1"/>
  <c r="A2892" i="28" s="1"/>
  <c r="A2893" i="28" s="1"/>
  <c r="A2894" i="28" s="1"/>
  <c r="A2895" i="28" s="1"/>
  <c r="A2896" i="28" s="1"/>
  <c r="A2897" i="28" s="1"/>
  <c r="A2898" i="28" s="1"/>
  <c r="A2899" i="28" s="1"/>
  <c r="A2900" i="28" s="1"/>
  <c r="A2901" i="28" s="1"/>
  <c r="A2902" i="28" s="1"/>
  <c r="A2903" i="28" s="1"/>
  <c r="A2904" i="28" s="1"/>
  <c r="A2905" i="28" s="1"/>
  <c r="A2906" i="28" s="1"/>
  <c r="A2907" i="28" s="1"/>
  <c r="A2908" i="28" s="1"/>
  <c r="A2909" i="28" s="1"/>
  <c r="A2910" i="28" s="1"/>
  <c r="A2911" i="28" s="1"/>
  <c r="A2912" i="28" s="1"/>
  <c r="A2913" i="28" s="1"/>
  <c r="A2914" i="28" s="1"/>
  <c r="A2915" i="28" s="1"/>
  <c r="A2916" i="28" s="1"/>
  <c r="A2917" i="28" s="1"/>
  <c r="A2918" i="28" s="1"/>
  <c r="A2919" i="28" s="1"/>
  <c r="A2920" i="28" s="1"/>
  <c r="A2921" i="28" s="1"/>
  <c r="A2922" i="28" s="1"/>
  <c r="A2923" i="28" s="1"/>
  <c r="A2924" i="28" s="1"/>
  <c r="A2925" i="28" s="1"/>
  <c r="A2926" i="28" s="1"/>
  <c r="A2927" i="28" s="1"/>
  <c r="A2928" i="28" s="1"/>
  <c r="A2929" i="28" s="1"/>
  <c r="A2930" i="28" s="1"/>
  <c r="A2931" i="28" s="1"/>
  <c r="A2932" i="28" s="1"/>
  <c r="A2933" i="28" s="1"/>
  <c r="A2934" i="28" s="1"/>
  <c r="A2935" i="28" s="1"/>
  <c r="A2936" i="28" s="1"/>
  <c r="A2937" i="28" s="1"/>
  <c r="A2938" i="28" s="1"/>
  <c r="A2939" i="28" s="1"/>
  <c r="A2940" i="28" s="1"/>
  <c r="A2941" i="28" s="1"/>
  <c r="A2942" i="28" s="1"/>
  <c r="A2943" i="28" s="1"/>
  <c r="A2944" i="28" s="1"/>
  <c r="A2945" i="28" s="1"/>
  <c r="A2946" i="28" s="1"/>
  <c r="A2947" i="28" s="1"/>
  <c r="A2948" i="28" s="1"/>
  <c r="A2949" i="28" s="1"/>
  <c r="A2950" i="28" s="1"/>
  <c r="A2951" i="28" s="1"/>
  <c r="A2952" i="28" s="1"/>
  <c r="A2953" i="28" s="1"/>
  <c r="A2954" i="28" s="1"/>
  <c r="A2955" i="28" s="1"/>
  <c r="A2956" i="28" s="1"/>
  <c r="A2957" i="28" s="1"/>
  <c r="A2958" i="28" s="1"/>
  <c r="A2959" i="28" s="1"/>
  <c r="A2960" i="28" s="1"/>
  <c r="A2961" i="28" s="1"/>
  <c r="A2962" i="28" s="1"/>
  <c r="A2963" i="28" s="1"/>
  <c r="A2964" i="28" s="1"/>
  <c r="A2965" i="28" s="1"/>
  <c r="A2966" i="28" s="1"/>
  <c r="A2967" i="28" s="1"/>
  <c r="A2968" i="28" s="1"/>
  <c r="A2969" i="28" s="1"/>
  <c r="A2970" i="28" s="1"/>
  <c r="A2971" i="28" s="1"/>
  <c r="A2972" i="28" s="1"/>
  <c r="A2973" i="28" s="1"/>
  <c r="A2974" i="28" s="1"/>
  <c r="A2975" i="28" s="1"/>
  <c r="A2976" i="28" s="1"/>
  <c r="A2977" i="28" s="1"/>
  <c r="A2978" i="28" s="1"/>
  <c r="A2979" i="28" s="1"/>
  <c r="A2980" i="28" s="1"/>
  <c r="A2981" i="28" s="1"/>
  <c r="A2982" i="28" s="1"/>
  <c r="A2983" i="28" s="1"/>
  <c r="A2984" i="28" s="1"/>
  <c r="A2985" i="28" s="1"/>
  <c r="A2986" i="28" s="1"/>
  <c r="A2987" i="28" s="1"/>
  <c r="A2988" i="28" s="1"/>
  <c r="A2989" i="28" s="1"/>
  <c r="A2990" i="28" s="1"/>
  <c r="A2991" i="28" s="1"/>
  <c r="A2992" i="28" s="1"/>
  <c r="A2993" i="28" s="1"/>
  <c r="A2994" i="28" s="1"/>
  <c r="A2995" i="28" s="1"/>
  <c r="A2996" i="28" s="1"/>
  <c r="A2997" i="28" s="1"/>
  <c r="A2998" i="28" s="1"/>
  <c r="A2999" i="28" s="1"/>
  <c r="A3000" i="28" s="1"/>
  <c r="A3001" i="28" s="1"/>
  <c r="A3002" i="28" s="1"/>
  <c r="A3003" i="28" s="1"/>
  <c r="A3004" i="28" s="1"/>
  <c r="A3005" i="28" s="1"/>
  <c r="A3006" i="28" s="1"/>
  <c r="A3007" i="28" s="1"/>
  <c r="A3008" i="28" s="1"/>
  <c r="A3009" i="28" s="1"/>
  <c r="A3010" i="28" s="1"/>
  <c r="A3011" i="28" s="1"/>
  <c r="A3012" i="28" s="1"/>
  <c r="A3013" i="28" s="1"/>
  <c r="A3014" i="28" s="1"/>
  <c r="A3015" i="28" s="1"/>
  <c r="A3016" i="28" s="1"/>
  <c r="A3017" i="28" s="1"/>
  <c r="A3018" i="28" s="1"/>
  <c r="A3019" i="28" s="1"/>
  <c r="A3020" i="28" s="1"/>
  <c r="A3021" i="28" s="1"/>
  <c r="A3022" i="28" s="1"/>
  <c r="A3023" i="28" s="1"/>
  <c r="A3024" i="28" s="1"/>
  <c r="A3025" i="28" s="1"/>
  <c r="A3026" i="28" s="1"/>
  <c r="A3027" i="28" s="1"/>
  <c r="A3028" i="28" s="1"/>
  <c r="A3029" i="28" s="1"/>
  <c r="A3030" i="28" s="1"/>
  <c r="A3031" i="28" s="1"/>
  <c r="A3032" i="28" s="1"/>
  <c r="A3033" i="28" s="1"/>
  <c r="A3034" i="28" s="1"/>
  <c r="A3035" i="28" s="1"/>
  <c r="A3036" i="28" s="1"/>
  <c r="A3037" i="28" s="1"/>
  <c r="A3038" i="28" s="1"/>
  <c r="A3039" i="28" s="1"/>
  <c r="A3040" i="28" s="1"/>
  <c r="A3041" i="28" s="1"/>
  <c r="A3042" i="28" s="1"/>
  <c r="A3043" i="28" s="1"/>
  <c r="A3044" i="28" s="1"/>
  <c r="A3045" i="28" s="1"/>
  <c r="A3046" i="28" s="1"/>
  <c r="A3047" i="28" s="1"/>
  <c r="A3048" i="28" s="1"/>
  <c r="A3049" i="28" s="1"/>
  <c r="A3050" i="28" s="1"/>
  <c r="A3051" i="28" s="1"/>
  <c r="A3052" i="28" s="1"/>
  <c r="A3053" i="28" s="1"/>
  <c r="A3054" i="28" s="1"/>
  <c r="A3055" i="28" s="1"/>
  <c r="A3056" i="28" s="1"/>
  <c r="A3057" i="28" s="1"/>
  <c r="A3058" i="28" s="1"/>
  <c r="A3059" i="28" s="1"/>
  <c r="A3060" i="28" s="1"/>
  <c r="A3061" i="28" s="1"/>
  <c r="A3062" i="28" s="1"/>
  <c r="A3063" i="28" s="1"/>
  <c r="A3064" i="28" s="1"/>
  <c r="A3065" i="28" s="1"/>
  <c r="A3066" i="28" s="1"/>
  <c r="A3067" i="28" s="1"/>
  <c r="A3068" i="28" s="1"/>
  <c r="A3069" i="28" s="1"/>
  <c r="A3070" i="28" s="1"/>
  <c r="A3071" i="28" s="1"/>
  <c r="A3072" i="28" s="1"/>
  <c r="A3073" i="28" s="1"/>
  <c r="A3074" i="28" s="1"/>
  <c r="A3075" i="28" s="1"/>
  <c r="A3076" i="28" s="1"/>
  <c r="A3077" i="28" s="1"/>
  <c r="A3078" i="28" s="1"/>
  <c r="A3079" i="28" s="1"/>
  <c r="A3080" i="28" s="1"/>
  <c r="A3081" i="28" s="1"/>
  <c r="A3082" i="28" s="1"/>
  <c r="A3083" i="28" s="1"/>
  <c r="A3084" i="28" s="1"/>
  <c r="A3085" i="28" s="1"/>
  <c r="A3086" i="28" s="1"/>
  <c r="A3087" i="28" s="1"/>
  <c r="A3088" i="28" s="1"/>
  <c r="A3089" i="28" s="1"/>
  <c r="A3090" i="28" s="1"/>
  <c r="A3091" i="28" s="1"/>
  <c r="A3092" i="28" s="1"/>
  <c r="A3093" i="28" s="1"/>
  <c r="A3094" i="28" s="1"/>
  <c r="A3095" i="28" s="1"/>
  <c r="A3096" i="28" s="1"/>
  <c r="A3097" i="28" s="1"/>
  <c r="A3098" i="28" s="1"/>
  <c r="A3099" i="28" s="1"/>
  <c r="A3100" i="28" s="1"/>
  <c r="A3101" i="28" s="1"/>
  <c r="A3102" i="28" s="1"/>
  <c r="A3103" i="28" s="1"/>
  <c r="A3104" i="28" s="1"/>
  <c r="A3105" i="28" s="1"/>
  <c r="A3106" i="28" s="1"/>
  <c r="A3107" i="28" s="1"/>
  <c r="A3108" i="28" s="1"/>
  <c r="A3109" i="28" s="1"/>
  <c r="A3110" i="28" s="1"/>
  <c r="A3111" i="28" s="1"/>
  <c r="A3112" i="28" s="1"/>
  <c r="A3113" i="28" s="1"/>
  <c r="A3114" i="28" s="1"/>
  <c r="A3115" i="28" s="1"/>
  <c r="A3116" i="28" s="1"/>
  <c r="A3117" i="28" s="1"/>
  <c r="A3118" i="28" s="1"/>
  <c r="A3119" i="28" s="1"/>
  <c r="A3120" i="28" s="1"/>
  <c r="A3121" i="28" s="1"/>
  <c r="A3122" i="28" s="1"/>
  <c r="A3123" i="28" s="1"/>
  <c r="A3124" i="28" s="1"/>
  <c r="A3125" i="28" s="1"/>
  <c r="A3126" i="28" s="1"/>
  <c r="A3127" i="28" s="1"/>
  <c r="A3128" i="28" s="1"/>
  <c r="A3129" i="28" s="1"/>
  <c r="A3130" i="28" s="1"/>
  <c r="A3131" i="28" s="1"/>
  <c r="A3132" i="28" s="1"/>
  <c r="A3133" i="28" s="1"/>
  <c r="A3134" i="28" s="1"/>
  <c r="A3135" i="28" s="1"/>
  <c r="A3136" i="28" s="1"/>
  <c r="A3137" i="28" s="1"/>
  <c r="A3138" i="28" s="1"/>
  <c r="A3139" i="28" s="1"/>
  <c r="A3140" i="28" s="1"/>
  <c r="A3141" i="28" s="1"/>
  <c r="A3142" i="28" s="1"/>
  <c r="A3143" i="28" s="1"/>
  <c r="A3144" i="28" s="1"/>
  <c r="A3145" i="28" s="1"/>
  <c r="A3146" i="28" s="1"/>
  <c r="A3147" i="28" s="1"/>
  <c r="A3148" i="28" s="1"/>
  <c r="A3149" i="28" s="1"/>
  <c r="A3150" i="28" s="1"/>
  <c r="A3151" i="28" s="1"/>
  <c r="A3152" i="28" s="1"/>
  <c r="A3153" i="28" s="1"/>
  <c r="A3154" i="28" s="1"/>
  <c r="A3155" i="28" s="1"/>
  <c r="A3156" i="28" s="1"/>
  <c r="A3157" i="28" s="1"/>
  <c r="A3158" i="28" s="1"/>
  <c r="A3159" i="28" s="1"/>
  <c r="A3160" i="28" s="1"/>
  <c r="A3161" i="28" s="1"/>
  <c r="A3162" i="28" s="1"/>
  <c r="A3163" i="28" s="1"/>
  <c r="A3164" i="28" s="1"/>
  <c r="A3165" i="28" s="1"/>
  <c r="A3166" i="28" s="1"/>
  <c r="A3167" i="28" s="1"/>
  <c r="A3168" i="28" s="1"/>
  <c r="A3169" i="28" s="1"/>
  <c r="A3170" i="28" s="1"/>
  <c r="A3171" i="28" s="1"/>
  <c r="A3172" i="28" s="1"/>
  <c r="A3173" i="28" s="1"/>
  <c r="A3174" i="28" s="1"/>
  <c r="A3175" i="28" s="1"/>
  <c r="A3176" i="28" s="1"/>
  <c r="A3177" i="28" s="1"/>
  <c r="A3178" i="28" s="1"/>
  <c r="A3179" i="28" s="1"/>
  <c r="A3180" i="28" s="1"/>
  <c r="A3181" i="28" s="1"/>
  <c r="A3182" i="28" s="1"/>
  <c r="A3183" i="28" s="1"/>
  <c r="A3184" i="28" s="1"/>
  <c r="A3185" i="28" s="1"/>
  <c r="A3186" i="28" s="1"/>
  <c r="A3187" i="28" s="1"/>
  <c r="A3188" i="28" s="1"/>
  <c r="A3189" i="28" s="1"/>
  <c r="A3190" i="28" s="1"/>
  <c r="A3191" i="28" s="1"/>
  <c r="A3192" i="28" s="1"/>
  <c r="A3193" i="28" s="1"/>
  <c r="A3194" i="28" s="1"/>
  <c r="A3195" i="28" s="1"/>
  <c r="A3196" i="28" s="1"/>
  <c r="A3197" i="28" s="1"/>
  <c r="A3198" i="28" s="1"/>
  <c r="A3199" i="28" s="1"/>
  <c r="A3200" i="28" s="1"/>
  <c r="A3201" i="28" s="1"/>
  <c r="A3202" i="28" s="1"/>
  <c r="A3203" i="28" s="1"/>
  <c r="A3204" i="28" s="1"/>
  <c r="A3205" i="28" s="1"/>
  <c r="A3206" i="28" s="1"/>
  <c r="A3207" i="28" s="1"/>
  <c r="A3208" i="28" s="1"/>
  <c r="A3209" i="28" s="1"/>
  <c r="A3210" i="28" s="1"/>
  <c r="A3211" i="28" s="1"/>
  <c r="A3212" i="28" s="1"/>
  <c r="A3213" i="28" s="1"/>
  <c r="A3214" i="28" s="1"/>
  <c r="A3215" i="28" s="1"/>
  <c r="A3216" i="28" s="1"/>
  <c r="A3217" i="28" s="1"/>
  <c r="A3218" i="28" s="1"/>
  <c r="A3219" i="28" s="1"/>
  <c r="A3220" i="28" s="1"/>
  <c r="A3221" i="28" s="1"/>
  <c r="A3222" i="28" s="1"/>
  <c r="A3223" i="28" s="1"/>
  <c r="A3224" i="28" s="1"/>
  <c r="A3225" i="28" s="1"/>
  <c r="A3226" i="28" s="1"/>
  <c r="A3227" i="28" s="1"/>
  <c r="A3228" i="28" s="1"/>
  <c r="A3229" i="28" s="1"/>
  <c r="A3230" i="28" s="1"/>
  <c r="A3231" i="28" s="1"/>
  <c r="A3232" i="28" s="1"/>
  <c r="A3233" i="28" s="1"/>
  <c r="A3234" i="28" s="1"/>
  <c r="A3235" i="28" s="1"/>
  <c r="A3236" i="28" s="1"/>
  <c r="A3237" i="28" s="1"/>
  <c r="A3238" i="28" s="1"/>
  <c r="A3239" i="28" s="1"/>
  <c r="A3240" i="28" s="1"/>
  <c r="A3241" i="28" s="1"/>
  <c r="A3242" i="28" s="1"/>
  <c r="A3243" i="28" s="1"/>
  <c r="A3244" i="28" s="1"/>
  <c r="A3245" i="28" s="1"/>
  <c r="A3246" i="28" s="1"/>
  <c r="A3247" i="28" s="1"/>
  <c r="A3248" i="28" s="1"/>
  <c r="A3249" i="28" s="1"/>
  <c r="A3250" i="28" s="1"/>
  <c r="A3251" i="28" s="1"/>
  <c r="A3252" i="28" s="1"/>
  <c r="A3253" i="28" s="1"/>
  <c r="A3254" i="28" s="1"/>
  <c r="A3255" i="28" s="1"/>
  <c r="A3256" i="28" s="1"/>
  <c r="A3257" i="28" s="1"/>
  <c r="A3258" i="28" s="1"/>
  <c r="A3259" i="28" s="1"/>
  <c r="A3260" i="28" s="1"/>
  <c r="A3261" i="28" s="1"/>
  <c r="A3262" i="28" s="1"/>
  <c r="A3263" i="28" s="1"/>
  <c r="A3264" i="28" s="1"/>
  <c r="A3265" i="28" s="1"/>
  <c r="A3266" i="28" s="1"/>
  <c r="A3267" i="28" s="1"/>
  <c r="A3268" i="28" s="1"/>
  <c r="A3269" i="28" s="1"/>
  <c r="A3270" i="28" s="1"/>
  <c r="A3271" i="28" s="1"/>
  <c r="A3272" i="28" s="1"/>
  <c r="A3273" i="28" s="1"/>
  <c r="A3274" i="28" s="1"/>
  <c r="A3275" i="28" s="1"/>
  <c r="A3276" i="28" s="1"/>
  <c r="A3277" i="28" s="1"/>
  <c r="A3278" i="28" s="1"/>
  <c r="A3279" i="28" s="1"/>
  <c r="A3280" i="28" s="1"/>
  <c r="A3281" i="28" s="1"/>
  <c r="A3282" i="28" s="1"/>
  <c r="A3283" i="28" s="1"/>
  <c r="A3284" i="28" s="1"/>
  <c r="A3285" i="28" s="1"/>
  <c r="A3286" i="28" s="1"/>
  <c r="A3287" i="28" s="1"/>
  <c r="A3288" i="28" s="1"/>
  <c r="A3289" i="28" s="1"/>
  <c r="A3290" i="28" s="1"/>
  <c r="A3291" i="28" s="1"/>
  <c r="A3292" i="28" s="1"/>
  <c r="A3293" i="28" s="1"/>
  <c r="A3294" i="28" s="1"/>
  <c r="A3295" i="28" s="1"/>
  <c r="A3296" i="28" s="1"/>
  <c r="A3297" i="28" s="1"/>
  <c r="A3298" i="28" s="1"/>
  <c r="A3299" i="28" s="1"/>
  <c r="A3300" i="28" s="1"/>
  <c r="A3301" i="28" s="1"/>
  <c r="A3302" i="28" s="1"/>
  <c r="A3303" i="28" s="1"/>
  <c r="A3304" i="28" s="1"/>
  <c r="A3305" i="28" s="1"/>
  <c r="A3306" i="28" s="1"/>
  <c r="A3307" i="28" s="1"/>
  <c r="A3308" i="28" s="1"/>
  <c r="A3309" i="28" s="1"/>
  <c r="A3310" i="28" s="1"/>
  <c r="A3311" i="28" s="1"/>
  <c r="A3312" i="28" s="1"/>
  <c r="A3313" i="28" s="1"/>
  <c r="A3314" i="28" s="1"/>
  <c r="A3315" i="28" s="1"/>
  <c r="A3316" i="28" s="1"/>
  <c r="A3317" i="28" s="1"/>
  <c r="A3318" i="28" s="1"/>
  <c r="A3319" i="28" s="1"/>
  <c r="A3320" i="28" s="1"/>
  <c r="A3321" i="28" s="1"/>
  <c r="A3322" i="28" s="1"/>
  <c r="A3323" i="28" s="1"/>
  <c r="A3324" i="28" s="1"/>
  <c r="A3325" i="28" s="1"/>
  <c r="A3326" i="28" s="1"/>
  <c r="A3327" i="28" s="1"/>
  <c r="A3328" i="28" s="1"/>
  <c r="A3329" i="28" s="1"/>
  <c r="A3330" i="28" s="1"/>
  <c r="A3331" i="28" s="1"/>
  <c r="A3332" i="28" s="1"/>
  <c r="A3333" i="28" s="1"/>
  <c r="A3334" i="28" s="1"/>
  <c r="A3335" i="28" s="1"/>
  <c r="A3336" i="28" s="1"/>
  <c r="A3337" i="28" s="1"/>
  <c r="A3338" i="28" s="1"/>
  <c r="A3339" i="28" s="1"/>
  <c r="A3340" i="28" s="1"/>
  <c r="A3341" i="28" s="1"/>
  <c r="A3342" i="28" s="1"/>
  <c r="A3343" i="28" s="1"/>
  <c r="A3344" i="28" s="1"/>
  <c r="A3345" i="28" s="1"/>
  <c r="A3346" i="28" s="1"/>
  <c r="A3347" i="28" s="1"/>
  <c r="A3348" i="28" s="1"/>
  <c r="A3349" i="28" s="1"/>
  <c r="A3350" i="28" s="1"/>
  <c r="A3351" i="28" s="1"/>
  <c r="A3352" i="28" s="1"/>
  <c r="A3353" i="28" s="1"/>
  <c r="A3354" i="28" s="1"/>
  <c r="A3355" i="28" s="1"/>
  <c r="A3356" i="28" s="1"/>
  <c r="A3357" i="28" s="1"/>
  <c r="A3358" i="28" s="1"/>
  <c r="A3359" i="28" s="1"/>
  <c r="A3360" i="28" s="1"/>
  <c r="A3361" i="28" s="1"/>
  <c r="A3362" i="28" s="1"/>
  <c r="A3363" i="28" s="1"/>
  <c r="A3364" i="28" s="1"/>
  <c r="A3365" i="28" s="1"/>
  <c r="A3366" i="28" s="1"/>
  <c r="A3367" i="28" s="1"/>
  <c r="A3368" i="28" s="1"/>
  <c r="A3369" i="28" s="1"/>
  <c r="A3370" i="28" s="1"/>
  <c r="A3371" i="28" s="1"/>
  <c r="A3372" i="28" s="1"/>
  <c r="A3373" i="28" s="1"/>
  <c r="A3374" i="28" s="1"/>
  <c r="A3375" i="28" s="1"/>
  <c r="A3376" i="28" s="1"/>
  <c r="A3377" i="28" s="1"/>
  <c r="A3378" i="28" s="1"/>
  <c r="A3379" i="28" s="1"/>
  <c r="A3380" i="28" s="1"/>
  <c r="A3381" i="28" s="1"/>
  <c r="A3382" i="28" s="1"/>
  <c r="A3383" i="28" s="1"/>
  <c r="A3384" i="28" s="1"/>
  <c r="A3385" i="28" s="1"/>
  <c r="A3386" i="28" s="1"/>
  <c r="A3387" i="28" s="1"/>
  <c r="A3388" i="28" s="1"/>
  <c r="A3389" i="28" s="1"/>
  <c r="A3390" i="28" s="1"/>
  <c r="A3391" i="28" s="1"/>
  <c r="A3392" i="28" s="1"/>
  <c r="A3393" i="28" s="1"/>
  <c r="A3394" i="28" s="1"/>
  <c r="A3395" i="28" s="1"/>
  <c r="A3396" i="28" s="1"/>
  <c r="A3397" i="28" s="1"/>
  <c r="A3398" i="28" s="1"/>
  <c r="A3399" i="28" s="1"/>
  <c r="A3400" i="28" s="1"/>
  <c r="A3401" i="28" s="1"/>
  <c r="A3402" i="28" s="1"/>
  <c r="A3403" i="28" s="1"/>
  <c r="A3404" i="28" s="1"/>
  <c r="A3405" i="28" s="1"/>
  <c r="A3406" i="28" s="1"/>
  <c r="A3407" i="28" s="1"/>
  <c r="A3408" i="28" s="1"/>
  <c r="A3409" i="28" s="1"/>
  <c r="A3410" i="28" s="1"/>
  <c r="A3411" i="28" s="1"/>
  <c r="A3412" i="28" s="1"/>
  <c r="A3413" i="28" s="1"/>
  <c r="A3414" i="28" s="1"/>
  <c r="A3415" i="28" s="1"/>
  <c r="A3416" i="28" s="1"/>
  <c r="A3417" i="28" s="1"/>
  <c r="A3418" i="28" s="1"/>
  <c r="A3419" i="28" s="1"/>
  <c r="A3420" i="28" s="1"/>
  <c r="A3421" i="28" s="1"/>
  <c r="A3422" i="28" s="1"/>
  <c r="A3423" i="28" s="1"/>
  <c r="A3424" i="28" s="1"/>
  <c r="A3425" i="28" s="1"/>
  <c r="A3426" i="28" s="1"/>
  <c r="A3427" i="28" s="1"/>
  <c r="A3428" i="28" s="1"/>
  <c r="A3429" i="28" s="1"/>
  <c r="A3430" i="28" s="1"/>
  <c r="A3431" i="28" s="1"/>
  <c r="A3432" i="28" s="1"/>
  <c r="A3433" i="28" s="1"/>
  <c r="A3434" i="28" s="1"/>
  <c r="A3435" i="28" s="1"/>
  <c r="A3436" i="28" s="1"/>
  <c r="A3437" i="28" s="1"/>
  <c r="A3438" i="28" s="1"/>
  <c r="A3439" i="28" s="1"/>
  <c r="A3440" i="28" s="1"/>
  <c r="A3441" i="28" s="1"/>
  <c r="A3442" i="28" s="1"/>
  <c r="A3443" i="28" s="1"/>
  <c r="A3444" i="28" s="1"/>
  <c r="A3445" i="28" s="1"/>
  <c r="A3446" i="28" s="1"/>
  <c r="A3447" i="28" s="1"/>
  <c r="A3448" i="28" s="1"/>
  <c r="A3449" i="28" s="1"/>
  <c r="A3450" i="28" s="1"/>
  <c r="A3451" i="28" s="1"/>
  <c r="A3452" i="28" s="1"/>
  <c r="A3453" i="28" s="1"/>
  <c r="A3454" i="28" s="1"/>
  <c r="A3455" i="28" s="1"/>
  <c r="A3456" i="28" s="1"/>
  <c r="A3457" i="28" s="1"/>
  <c r="A3458" i="28" s="1"/>
  <c r="A3459" i="28" s="1"/>
  <c r="A3460" i="28" s="1"/>
  <c r="A3461" i="28" s="1"/>
  <c r="A3462" i="28" s="1"/>
  <c r="A3463" i="28" s="1"/>
  <c r="A3464" i="28" s="1"/>
  <c r="A3465" i="28" s="1"/>
  <c r="A3466" i="28" s="1"/>
  <c r="A3467" i="28" s="1"/>
  <c r="A3468" i="28" s="1"/>
  <c r="A3469" i="28" s="1"/>
  <c r="A3470" i="28" s="1"/>
  <c r="A3471" i="28" s="1"/>
  <c r="A3472" i="28" s="1"/>
  <c r="A3473" i="28" s="1"/>
  <c r="A3474" i="28" s="1"/>
  <c r="A3475" i="28" s="1"/>
  <c r="A3476" i="28" s="1"/>
  <c r="A3477" i="28" s="1"/>
  <c r="A3478" i="28" s="1"/>
  <c r="A3479" i="28" s="1"/>
  <c r="A3480" i="28" s="1"/>
  <c r="A3481" i="28" s="1"/>
  <c r="A3482" i="28" s="1"/>
  <c r="A3483" i="28" s="1"/>
  <c r="A3484" i="28" s="1"/>
  <c r="A3485" i="28" s="1"/>
  <c r="A3486" i="28" s="1"/>
  <c r="A3487" i="28" s="1"/>
  <c r="A3488" i="28" s="1"/>
  <c r="A3489" i="28" s="1"/>
  <c r="A3490" i="28" s="1"/>
  <c r="A3491" i="28" s="1"/>
  <c r="A3492" i="28" s="1"/>
  <c r="A3493" i="28" s="1"/>
  <c r="A3494" i="28" s="1"/>
  <c r="A3495" i="28" s="1"/>
  <c r="A3496" i="28" s="1"/>
  <c r="A3497" i="28" s="1"/>
  <c r="A3498" i="28" s="1"/>
  <c r="A3499" i="28" s="1"/>
  <c r="A3500" i="28" s="1"/>
  <c r="A3501" i="28" s="1"/>
  <c r="A3502" i="28" s="1"/>
  <c r="A3503" i="28" s="1"/>
  <c r="A3504" i="28" s="1"/>
  <c r="A3505" i="28" s="1"/>
  <c r="A3506" i="28" s="1"/>
  <c r="A3507" i="28" s="1"/>
  <c r="A3508" i="28" s="1"/>
  <c r="A3509" i="28" s="1"/>
  <c r="A3510" i="28" s="1"/>
  <c r="A3511" i="28" s="1"/>
  <c r="A3512" i="28" s="1"/>
  <c r="A3513" i="28" s="1"/>
  <c r="A3514" i="28" s="1"/>
  <c r="A3515" i="28" s="1"/>
  <c r="A3516" i="28" s="1"/>
  <c r="A3517" i="28" s="1"/>
  <c r="A3518" i="28" s="1"/>
  <c r="A3519" i="28" s="1"/>
  <c r="A3520" i="28" s="1"/>
  <c r="A3521" i="28" s="1"/>
  <c r="A3522" i="28" s="1"/>
  <c r="A3523" i="28" s="1"/>
  <c r="A3524" i="28" s="1"/>
  <c r="A3525" i="28" s="1"/>
  <c r="A3526" i="28" s="1"/>
  <c r="A3527" i="28" s="1"/>
  <c r="A3528" i="28" s="1"/>
  <c r="A3529" i="28" s="1"/>
  <c r="A3530" i="28" s="1"/>
  <c r="A3531" i="28" s="1"/>
  <c r="A3532" i="28" s="1"/>
  <c r="A3533" i="28" s="1"/>
  <c r="A3534" i="28" s="1"/>
  <c r="A3535" i="28" s="1"/>
  <c r="A3536" i="28" s="1"/>
  <c r="A3537" i="28" s="1"/>
  <c r="A3538" i="28" s="1"/>
  <c r="A3539" i="28" s="1"/>
  <c r="A3540" i="28" s="1"/>
  <c r="A3541" i="28" s="1"/>
  <c r="A3542" i="28" s="1"/>
  <c r="A3543" i="28" s="1"/>
  <c r="A3544" i="28" s="1"/>
  <c r="A3545" i="28" s="1"/>
  <c r="A3546" i="28" s="1"/>
  <c r="A3547" i="28" s="1"/>
  <c r="A3548" i="28" s="1"/>
  <c r="A3549" i="28" s="1"/>
  <c r="A3550" i="28" s="1"/>
  <c r="A3551" i="28" s="1"/>
  <c r="A3552" i="28" s="1"/>
  <c r="A3553" i="28" s="1"/>
  <c r="A3554" i="28" s="1"/>
  <c r="A3555" i="28" s="1"/>
  <c r="A3556" i="28" s="1"/>
  <c r="A3557" i="28" s="1"/>
  <c r="A3558" i="28" s="1"/>
  <c r="A3559" i="28" s="1"/>
  <c r="A3560" i="28" s="1"/>
  <c r="A3561" i="28" s="1"/>
  <c r="A3562" i="28" s="1"/>
  <c r="A3563" i="28" s="1"/>
  <c r="A3564" i="28" s="1"/>
  <c r="A3565" i="28" s="1"/>
  <c r="A3566" i="28" s="1"/>
  <c r="A3567" i="28" s="1"/>
  <c r="A3568" i="28" s="1"/>
  <c r="A3569" i="28" s="1"/>
  <c r="A3570" i="28" s="1"/>
  <c r="A3571" i="28" s="1"/>
  <c r="A3572" i="28" s="1"/>
  <c r="A3573" i="28" s="1"/>
  <c r="A3574" i="28" s="1"/>
  <c r="A3575" i="28" s="1"/>
  <c r="A3576" i="28" s="1"/>
  <c r="A3577" i="28" s="1"/>
  <c r="A3578" i="28" s="1"/>
  <c r="A3579" i="28" s="1"/>
  <c r="A3580" i="28" s="1"/>
  <c r="A3581" i="28" s="1"/>
  <c r="A3582" i="28" s="1"/>
  <c r="A3583" i="28" s="1"/>
  <c r="A3584" i="28" s="1"/>
  <c r="A3585" i="28" s="1"/>
  <c r="A3586" i="28" s="1"/>
  <c r="A3587" i="28" s="1"/>
  <c r="A3588" i="28" s="1"/>
  <c r="A3589" i="28" s="1"/>
  <c r="A3590" i="28" s="1"/>
  <c r="A3591" i="28" s="1"/>
  <c r="A3592" i="28" s="1"/>
  <c r="A3593" i="28" s="1"/>
  <c r="A3594" i="28" s="1"/>
  <c r="A3595" i="28" s="1"/>
  <c r="A3596" i="28" s="1"/>
  <c r="A3597" i="28" s="1"/>
  <c r="A3598" i="28" s="1"/>
  <c r="A3599" i="28" s="1"/>
  <c r="A3600" i="28" s="1"/>
  <c r="A3601" i="28" s="1"/>
  <c r="A3602" i="28" s="1"/>
  <c r="A3603" i="28" s="1"/>
  <c r="A3604" i="28" s="1"/>
  <c r="A3605" i="28" s="1"/>
  <c r="A3606" i="28" s="1"/>
  <c r="A3607" i="28" s="1"/>
  <c r="A3608" i="28" s="1"/>
  <c r="A3609" i="28" s="1"/>
  <c r="A3610" i="28" s="1"/>
  <c r="A3611" i="28" s="1"/>
  <c r="A3612" i="28" s="1"/>
  <c r="A3613" i="28" s="1"/>
  <c r="A3614" i="28" s="1"/>
  <c r="A3615" i="28" s="1"/>
  <c r="A3616" i="28" s="1"/>
  <c r="A3617" i="28" s="1"/>
  <c r="A3618" i="28" s="1"/>
  <c r="A3619" i="28" s="1"/>
  <c r="A3620" i="28" s="1"/>
  <c r="A3621" i="28" s="1"/>
  <c r="A3622" i="28" s="1"/>
  <c r="A3623" i="28" s="1"/>
  <c r="A3624" i="28" s="1"/>
  <c r="A3625" i="28" s="1"/>
  <c r="A3626" i="28" s="1"/>
  <c r="A3627" i="28" s="1"/>
  <c r="A3628" i="28" s="1"/>
  <c r="A3629" i="28" s="1"/>
  <c r="A3630" i="28" s="1"/>
  <c r="A3631" i="28" s="1"/>
  <c r="A3632" i="28" s="1"/>
  <c r="A3633" i="28" s="1"/>
  <c r="A3634" i="28" s="1"/>
  <c r="A3635" i="28" s="1"/>
  <c r="A3636" i="28" s="1"/>
  <c r="A3637" i="28" s="1"/>
  <c r="A3638" i="28" s="1"/>
  <c r="A3639" i="28" s="1"/>
  <c r="A3640" i="28" s="1"/>
  <c r="A3641" i="28" s="1"/>
  <c r="A3642" i="28" s="1"/>
  <c r="A3643" i="28" s="1"/>
  <c r="A3644" i="28" s="1"/>
  <c r="A3645" i="28" s="1"/>
  <c r="A3646" i="28" s="1"/>
  <c r="A3647" i="28" s="1"/>
  <c r="A3648" i="28" s="1"/>
  <c r="A3649" i="28" s="1"/>
  <c r="A3650" i="28" s="1"/>
  <c r="A3651" i="28" s="1"/>
  <c r="A3652" i="28" s="1"/>
  <c r="A3653" i="28" s="1"/>
  <c r="A3654" i="28" s="1"/>
  <c r="A3655" i="28" s="1"/>
  <c r="A3656" i="28" s="1"/>
  <c r="A3657" i="28" s="1"/>
  <c r="A3658" i="28" s="1"/>
  <c r="A3659" i="28" s="1"/>
  <c r="A3660" i="28" s="1"/>
  <c r="A3661" i="28" s="1"/>
  <c r="A3662" i="28" s="1"/>
  <c r="A3663" i="28" s="1"/>
  <c r="A3664" i="28" s="1"/>
  <c r="A3665" i="28" s="1"/>
  <c r="A3666" i="28" s="1"/>
  <c r="A3667" i="28" s="1"/>
  <c r="A3668" i="28" s="1"/>
  <c r="A3669" i="28" s="1"/>
  <c r="A3670" i="28" s="1"/>
  <c r="A3671" i="28" s="1"/>
  <c r="A3672" i="28" s="1"/>
  <c r="A3673" i="28" s="1"/>
  <c r="A3674" i="28" s="1"/>
  <c r="A3675" i="28" s="1"/>
  <c r="A3676" i="28" s="1"/>
  <c r="A3677" i="28" s="1"/>
  <c r="A3678" i="28" s="1"/>
  <c r="A3679" i="28" s="1"/>
  <c r="A3680" i="28" s="1"/>
  <c r="A3681" i="28" s="1"/>
  <c r="A3682" i="28" s="1"/>
  <c r="A3683" i="28" s="1"/>
  <c r="A3684" i="28" s="1"/>
  <c r="A3685" i="28" s="1"/>
  <c r="A3686" i="28" s="1"/>
  <c r="A3687" i="28" s="1"/>
  <c r="A3688" i="28" s="1"/>
  <c r="A3689" i="28" s="1"/>
  <c r="A3690" i="28" s="1"/>
  <c r="A3691" i="28" s="1"/>
  <c r="A3692" i="28" s="1"/>
  <c r="A3693" i="28" s="1"/>
  <c r="A3694" i="28" s="1"/>
  <c r="A3695" i="28" s="1"/>
  <c r="A3696" i="28" s="1"/>
  <c r="A3697" i="28" s="1"/>
  <c r="A3698" i="28" s="1"/>
  <c r="A3699" i="28" s="1"/>
  <c r="A3700" i="28" s="1"/>
  <c r="A3701" i="28" s="1"/>
  <c r="A3702" i="28" s="1"/>
  <c r="A3703" i="28" s="1"/>
  <c r="A3704" i="28" s="1"/>
  <c r="A3705" i="28" s="1"/>
  <c r="A3706" i="28" s="1"/>
  <c r="A3707" i="28" s="1"/>
  <c r="A3708" i="28" s="1"/>
  <c r="A3709" i="28" s="1"/>
  <c r="A3710" i="28" s="1"/>
  <c r="A3711" i="28" s="1"/>
  <c r="A3712" i="28" s="1"/>
  <c r="A3713" i="28" s="1"/>
  <c r="A3714" i="28" s="1"/>
  <c r="A3715" i="28" s="1"/>
  <c r="A3716" i="28" s="1"/>
  <c r="A3717" i="28" s="1"/>
  <c r="A3718" i="28" s="1"/>
  <c r="A3719" i="28" s="1"/>
  <c r="A3720" i="28" s="1"/>
  <c r="A3721" i="28" s="1"/>
  <c r="A3722" i="28" s="1"/>
  <c r="A3723" i="28" s="1"/>
  <c r="A3724" i="28" s="1"/>
  <c r="A3725" i="28" s="1"/>
  <c r="A3726" i="28" s="1"/>
  <c r="A3727" i="28" s="1"/>
  <c r="A3728" i="28" s="1"/>
  <c r="A3729" i="28" s="1"/>
  <c r="A3730" i="28" s="1"/>
  <c r="A3731" i="28" s="1"/>
  <c r="A3732" i="28" s="1"/>
  <c r="A3733" i="28" s="1"/>
  <c r="A3734" i="28" s="1"/>
  <c r="A3735" i="28" s="1"/>
  <c r="A3736" i="28" s="1"/>
  <c r="A3737" i="28" s="1"/>
  <c r="A3738" i="28" s="1"/>
  <c r="A3739" i="28" s="1"/>
  <c r="A3740" i="28" s="1"/>
  <c r="A3741" i="28" s="1"/>
  <c r="A3742" i="28" s="1"/>
  <c r="A3743" i="28" s="1"/>
  <c r="A3744" i="28" s="1"/>
  <c r="A3745" i="28" s="1"/>
  <c r="A3746" i="28" s="1"/>
  <c r="A3747" i="28" s="1"/>
  <c r="A3748" i="28" s="1"/>
  <c r="A3749" i="28" s="1"/>
  <c r="A3750" i="28" s="1"/>
  <c r="A3751" i="28" s="1"/>
  <c r="A3752" i="28" s="1"/>
  <c r="A3753" i="28" s="1"/>
  <c r="A3754" i="28" s="1"/>
  <c r="A3755" i="28" s="1"/>
  <c r="A3756" i="28" s="1"/>
  <c r="A3757" i="28" s="1"/>
  <c r="A3758" i="28" s="1"/>
  <c r="A3759" i="28" s="1"/>
  <c r="A3760" i="28" s="1"/>
  <c r="A3761" i="28" s="1"/>
  <c r="A3762" i="28" s="1"/>
  <c r="A3763" i="28" s="1"/>
  <c r="A3764" i="28" s="1"/>
  <c r="A3765" i="28" s="1"/>
  <c r="A3766" i="28" s="1"/>
  <c r="A3767" i="28" s="1"/>
  <c r="A3768" i="28" s="1"/>
  <c r="A3769" i="28" s="1"/>
  <c r="A3770" i="28" s="1"/>
  <c r="A3771" i="28" s="1"/>
  <c r="A3772" i="28" s="1"/>
  <c r="A3773" i="28" s="1"/>
  <c r="A3774" i="28" s="1"/>
  <c r="A3775" i="28" s="1"/>
  <c r="A3776" i="28" s="1"/>
  <c r="A3777" i="28" s="1"/>
  <c r="A3778" i="28" s="1"/>
  <c r="A3779" i="28" s="1"/>
  <c r="A3780" i="28" s="1"/>
  <c r="A3781" i="28" s="1"/>
  <c r="A3782" i="28" s="1"/>
  <c r="A3783" i="28" s="1"/>
  <c r="A3784" i="28" s="1"/>
  <c r="A3785" i="28" s="1"/>
  <c r="A3786" i="28" s="1"/>
  <c r="A3787" i="28" s="1"/>
  <c r="A3788" i="28" s="1"/>
  <c r="A3789" i="28" s="1"/>
  <c r="A3790" i="28" s="1"/>
  <c r="A3791" i="28" s="1"/>
  <c r="A3792" i="28" s="1"/>
  <c r="A3793" i="28" s="1"/>
  <c r="A3794" i="28" s="1"/>
  <c r="A3795" i="28" s="1"/>
  <c r="A3796" i="28" s="1"/>
  <c r="A3797" i="28" s="1"/>
  <c r="A3798" i="28" s="1"/>
  <c r="A3799" i="28" s="1"/>
  <c r="A3800" i="28" s="1"/>
  <c r="A3801" i="28" s="1"/>
  <c r="A3802" i="28" s="1"/>
  <c r="A3803" i="28" s="1"/>
  <c r="A3804" i="28" s="1"/>
  <c r="A3805" i="28" s="1"/>
  <c r="A3806" i="28" s="1"/>
  <c r="A3807" i="28" s="1"/>
  <c r="A3808" i="28" s="1"/>
  <c r="A3809" i="28" s="1"/>
  <c r="A3810" i="28" s="1"/>
  <c r="A3811" i="28" s="1"/>
  <c r="A3812" i="28" s="1"/>
  <c r="A3813" i="28" s="1"/>
  <c r="A3814" i="28" s="1"/>
  <c r="A3815" i="28" s="1"/>
  <c r="A3816" i="28" s="1"/>
  <c r="A3817" i="28" s="1"/>
  <c r="A3818" i="28" s="1"/>
  <c r="A3819" i="28" s="1"/>
  <c r="A3820" i="28" s="1"/>
  <c r="A3821" i="28" s="1"/>
  <c r="A3822" i="28" s="1"/>
  <c r="A3823" i="28" s="1"/>
  <c r="A3824" i="28" s="1"/>
  <c r="A3825" i="28" s="1"/>
  <c r="A3826" i="28" s="1"/>
  <c r="A3827" i="28" s="1"/>
  <c r="A3828" i="28" s="1"/>
  <c r="A3829" i="28" s="1"/>
  <c r="A3830" i="28" s="1"/>
  <c r="A3831" i="28" s="1"/>
  <c r="A3832" i="28" s="1"/>
  <c r="A3833" i="28" s="1"/>
  <c r="A3834" i="28" s="1"/>
  <c r="A3835" i="28" s="1"/>
  <c r="A3836" i="28" s="1"/>
  <c r="A3837" i="28" s="1"/>
  <c r="A3838" i="28" s="1"/>
  <c r="A3839" i="28" s="1"/>
  <c r="A3840" i="28" s="1"/>
  <c r="A3841" i="28" s="1"/>
  <c r="A3842" i="28" s="1"/>
  <c r="A3843" i="28" s="1"/>
  <c r="A3844" i="28" s="1"/>
  <c r="A3845" i="28" s="1"/>
  <c r="A3846" i="28" s="1"/>
  <c r="A3847" i="28" s="1"/>
  <c r="A3848" i="28" s="1"/>
  <c r="A3849" i="28" s="1"/>
  <c r="A3850" i="28" s="1"/>
  <c r="A3851" i="28" s="1"/>
  <c r="A3852" i="28" s="1"/>
  <c r="A3853" i="28" s="1"/>
  <c r="A3854" i="28" s="1"/>
  <c r="A3855" i="28" s="1"/>
  <c r="A3856" i="28" s="1"/>
  <c r="A3857" i="28" s="1"/>
  <c r="A3858" i="28" s="1"/>
  <c r="A3859" i="28" s="1"/>
  <c r="A3860" i="28" s="1"/>
  <c r="A3861" i="28" s="1"/>
  <c r="A3862" i="28" s="1"/>
  <c r="A3863" i="28" s="1"/>
  <c r="A3864" i="28" s="1"/>
  <c r="A3865" i="28" s="1"/>
  <c r="A3866" i="28" s="1"/>
  <c r="A3867" i="28" s="1"/>
  <c r="A3868" i="28" s="1"/>
  <c r="A3869" i="28" s="1"/>
  <c r="A3870" i="28" s="1"/>
  <c r="A3871" i="28" s="1"/>
  <c r="A3872" i="28" s="1"/>
  <c r="A3873" i="28" s="1"/>
  <c r="A3874" i="28" s="1"/>
  <c r="A3875" i="28" s="1"/>
  <c r="A3876" i="28" s="1"/>
  <c r="A3877" i="28" s="1"/>
  <c r="A3878" i="28" s="1"/>
  <c r="A3879" i="28" s="1"/>
  <c r="A3880" i="28" s="1"/>
  <c r="A3881" i="28" s="1"/>
  <c r="A3882" i="28" s="1"/>
  <c r="A3883" i="28" s="1"/>
  <c r="A3884" i="28" s="1"/>
  <c r="A3885" i="28" s="1"/>
  <c r="A3886" i="28" s="1"/>
  <c r="A3887" i="28" s="1"/>
  <c r="A3888" i="28" s="1"/>
  <c r="A3889" i="28" s="1"/>
  <c r="A3890" i="28" s="1"/>
  <c r="A3891" i="28" s="1"/>
  <c r="A3892" i="28" s="1"/>
  <c r="A3893" i="28" s="1"/>
  <c r="A3894" i="28" s="1"/>
  <c r="A3895" i="28" s="1"/>
  <c r="A3896" i="28" s="1"/>
  <c r="A3897" i="28" s="1"/>
  <c r="A3898" i="28" s="1"/>
  <c r="A3899" i="28" s="1"/>
  <c r="A3900" i="28" s="1"/>
  <c r="A3901" i="28" s="1"/>
  <c r="A3902" i="28" s="1"/>
  <c r="A3903" i="28" s="1"/>
  <c r="A3904" i="28" s="1"/>
  <c r="A3905" i="28" s="1"/>
  <c r="A3906" i="28" s="1"/>
  <c r="A3907" i="28" s="1"/>
  <c r="A3908" i="28" s="1"/>
  <c r="A3909" i="28" s="1"/>
  <c r="A3910" i="28" s="1"/>
  <c r="A3911" i="28" s="1"/>
  <c r="A3912" i="28" s="1"/>
  <c r="A3913" i="28" s="1"/>
  <c r="A3914" i="28" s="1"/>
  <c r="A3915" i="28" s="1"/>
  <c r="A3916" i="28" s="1"/>
  <c r="A3917" i="28" s="1"/>
  <c r="A3918" i="28" s="1"/>
  <c r="A3919" i="28" s="1"/>
  <c r="A3920" i="28" s="1"/>
  <c r="A3921" i="28" s="1"/>
  <c r="A3922" i="28" s="1"/>
  <c r="A3923" i="28" s="1"/>
  <c r="A3924" i="28" s="1"/>
  <c r="A3925" i="28" s="1"/>
  <c r="A3926" i="28" s="1"/>
  <c r="A3927" i="28" s="1"/>
  <c r="A3928" i="28" s="1"/>
  <c r="A3929" i="28" s="1"/>
  <c r="A3930" i="28" s="1"/>
  <c r="A3931" i="28" s="1"/>
  <c r="A3932" i="28" s="1"/>
  <c r="A3933" i="28" s="1"/>
  <c r="A3934" i="28" s="1"/>
  <c r="A3935" i="28" s="1"/>
  <c r="A3936" i="28" s="1"/>
  <c r="A3937" i="28" s="1"/>
  <c r="A3938" i="28" s="1"/>
  <c r="A3939" i="28" s="1"/>
  <c r="A3940" i="28" s="1"/>
  <c r="A3941" i="28" s="1"/>
  <c r="A3942" i="28" s="1"/>
  <c r="A3943" i="28" s="1"/>
  <c r="A3944" i="28" s="1"/>
  <c r="A3945" i="28" s="1"/>
  <c r="A3946" i="28" s="1"/>
  <c r="A3947" i="28" s="1"/>
  <c r="A3948" i="28" s="1"/>
  <c r="A3949" i="28" s="1"/>
  <c r="A3950" i="28" s="1"/>
  <c r="A3951" i="28" s="1"/>
  <c r="A3952" i="28" s="1"/>
  <c r="A3953" i="28" s="1"/>
  <c r="A3954" i="28" s="1"/>
  <c r="A3955" i="28" s="1"/>
  <c r="A3956" i="28" s="1"/>
  <c r="A3957" i="28" s="1"/>
  <c r="A3958" i="28" s="1"/>
  <c r="A3959" i="28" s="1"/>
  <c r="A3960" i="28" s="1"/>
  <c r="A3961" i="28" s="1"/>
  <c r="A3962" i="28" s="1"/>
  <c r="A3963" i="28" s="1"/>
  <c r="A3964" i="28" s="1"/>
  <c r="A3965" i="28" s="1"/>
  <c r="A3966" i="28" s="1"/>
  <c r="A3967" i="28" s="1"/>
  <c r="A3968" i="28" s="1"/>
  <c r="A3969" i="28" s="1"/>
  <c r="A3970" i="28" s="1"/>
  <c r="A3971" i="28" s="1"/>
  <c r="A3972" i="28" s="1"/>
  <c r="A3973" i="28" s="1"/>
  <c r="A3974" i="28" s="1"/>
  <c r="A3975" i="28" s="1"/>
  <c r="A3976" i="28" s="1"/>
  <c r="A3977" i="28" s="1"/>
  <c r="A3978" i="28" s="1"/>
  <c r="A3979" i="28" s="1"/>
  <c r="A3980" i="28" s="1"/>
  <c r="A3981" i="28" s="1"/>
  <c r="A3982" i="28" s="1"/>
  <c r="A3983" i="28" s="1"/>
  <c r="A3984" i="28" s="1"/>
  <c r="A3985" i="28" s="1"/>
  <c r="A3986" i="28" s="1"/>
  <c r="A3987" i="28" s="1"/>
  <c r="A3988" i="28" s="1"/>
  <c r="A3989" i="28" s="1"/>
  <c r="A3990" i="28" s="1"/>
  <c r="A3991" i="28" s="1"/>
  <c r="A3992" i="28" s="1"/>
  <c r="A3993" i="28" s="1"/>
  <c r="A3994" i="28" s="1"/>
  <c r="A3995" i="28" s="1"/>
  <c r="A3996" i="28" s="1"/>
  <c r="A3997" i="28" s="1"/>
  <c r="A3998" i="28" s="1"/>
  <c r="A3999" i="28" s="1"/>
  <c r="A4000" i="28" s="1"/>
  <c r="A4001" i="28" s="1"/>
  <c r="A4002" i="28" s="1"/>
  <c r="A4003" i="28" s="1"/>
  <c r="A4004" i="28" s="1"/>
  <c r="A4005" i="28" s="1"/>
  <c r="A4006" i="28" s="1"/>
  <c r="A4007" i="28" s="1"/>
  <c r="A4008" i="28" s="1"/>
  <c r="A4009" i="28" s="1"/>
  <c r="A4010" i="28" s="1"/>
  <c r="A4011" i="28" s="1"/>
  <c r="A4012" i="28" s="1"/>
  <c r="A4013" i="28" s="1"/>
  <c r="A4014" i="28" s="1"/>
  <c r="A4015" i="28" s="1"/>
  <c r="A4016" i="28" s="1"/>
  <c r="A4017" i="28" s="1"/>
  <c r="A4018" i="28" s="1"/>
  <c r="A4019" i="28" s="1"/>
  <c r="A4020" i="28" s="1"/>
  <c r="A4021" i="28" s="1"/>
  <c r="A4022" i="28" s="1"/>
  <c r="A4023" i="28" s="1"/>
  <c r="A4024" i="28" s="1"/>
  <c r="A4025" i="28" s="1"/>
  <c r="A4026" i="28" s="1"/>
  <c r="A4027" i="28" s="1"/>
  <c r="A4028" i="28" s="1"/>
  <c r="A4029" i="28" s="1"/>
  <c r="A4030" i="28" s="1"/>
  <c r="A4031" i="28" s="1"/>
  <c r="A4032" i="28" s="1"/>
  <c r="A4033" i="28" s="1"/>
  <c r="A4034" i="28" s="1"/>
  <c r="A4035" i="28" s="1"/>
  <c r="A4036" i="28" s="1"/>
  <c r="A4037" i="28" s="1"/>
  <c r="A4038" i="28" s="1"/>
  <c r="A4039" i="28" s="1"/>
  <c r="A4040" i="28" s="1"/>
  <c r="A4041" i="28" s="1"/>
  <c r="A4042" i="28" s="1"/>
  <c r="A4043" i="28" s="1"/>
  <c r="A4044" i="28" s="1"/>
  <c r="A4045" i="28" s="1"/>
  <c r="A4046" i="28" s="1"/>
  <c r="A4047" i="28" s="1"/>
  <c r="A4048" i="28" s="1"/>
  <c r="A4049" i="28" s="1"/>
  <c r="A4050" i="28" s="1"/>
  <c r="A4051" i="28" s="1"/>
  <c r="A4052" i="28" s="1"/>
  <c r="A4053" i="28" s="1"/>
  <c r="A4054" i="28" s="1"/>
  <c r="A4055" i="28" s="1"/>
  <c r="A4056" i="28" s="1"/>
  <c r="A4057" i="28" s="1"/>
  <c r="A4058" i="28" s="1"/>
  <c r="A4059" i="28" s="1"/>
  <c r="A4060" i="28" s="1"/>
  <c r="A4061" i="28" s="1"/>
  <c r="A4062" i="28" s="1"/>
  <c r="A4063" i="28" s="1"/>
  <c r="A4064" i="28" s="1"/>
  <c r="A4065" i="28" s="1"/>
  <c r="A4066" i="28" s="1"/>
  <c r="A4067" i="28" s="1"/>
  <c r="A4068" i="28" s="1"/>
  <c r="A4069" i="28" s="1"/>
  <c r="A4070" i="28" s="1"/>
  <c r="A4071" i="28" s="1"/>
  <c r="A4072" i="28" s="1"/>
  <c r="A4073" i="28" s="1"/>
  <c r="A4074" i="28" s="1"/>
  <c r="A4075" i="28" s="1"/>
  <c r="A4076" i="28" s="1"/>
  <c r="A4077" i="28" s="1"/>
  <c r="A4078" i="28" s="1"/>
  <c r="A4079" i="28" s="1"/>
  <c r="A4080" i="28" s="1"/>
  <c r="A4081" i="28" s="1"/>
  <c r="A4082" i="28" s="1"/>
  <c r="A4083" i="28" s="1"/>
  <c r="A4084" i="28" s="1"/>
  <c r="A4085" i="28" s="1"/>
  <c r="A4086" i="28" s="1"/>
  <c r="A4087" i="28" s="1"/>
  <c r="A4088" i="28" s="1"/>
  <c r="A4089" i="28" s="1"/>
  <c r="A4090" i="28" s="1"/>
  <c r="A4091" i="28" s="1"/>
  <c r="A4092" i="28" s="1"/>
  <c r="A4093" i="28" s="1"/>
  <c r="A4094" i="28" s="1"/>
  <c r="A4095" i="28" s="1"/>
  <c r="A4096" i="28" s="1"/>
  <c r="A4097" i="28" s="1"/>
  <c r="A4098" i="28" s="1"/>
  <c r="A4099" i="28" s="1"/>
  <c r="A4100" i="28" s="1"/>
  <c r="A4101" i="28" s="1"/>
  <c r="A4102" i="28" s="1"/>
  <c r="A4103" i="28" s="1"/>
  <c r="A4104" i="28" s="1"/>
  <c r="A4105" i="28" s="1"/>
  <c r="A4106" i="28" s="1"/>
  <c r="A4107" i="28" s="1"/>
  <c r="A4108" i="28" s="1"/>
  <c r="A4109" i="28" s="1"/>
  <c r="A4110" i="28" s="1"/>
  <c r="A4111" i="28" s="1"/>
  <c r="A4112" i="28" s="1"/>
  <c r="A4113" i="28" s="1"/>
  <c r="A4114" i="28" s="1"/>
  <c r="A4115" i="28" s="1"/>
  <c r="A4116" i="28" s="1"/>
  <c r="A4117" i="28" s="1"/>
  <c r="A4118" i="28" s="1"/>
  <c r="A4119" i="28" s="1"/>
  <c r="A4120" i="28" s="1"/>
  <c r="A4121" i="28" s="1"/>
  <c r="A4122" i="28" s="1"/>
  <c r="A4123" i="28" s="1"/>
  <c r="A4124" i="28" s="1"/>
  <c r="A4125" i="28" s="1"/>
  <c r="A4126" i="28" s="1"/>
  <c r="A4127" i="28" s="1"/>
  <c r="A4128" i="28" s="1"/>
  <c r="A4129" i="28" s="1"/>
  <c r="A4130" i="28" s="1"/>
  <c r="A4131" i="28" s="1"/>
  <c r="A4132" i="28" s="1"/>
  <c r="A4133" i="28" s="1"/>
  <c r="A4134" i="28" s="1"/>
  <c r="A4135" i="28" s="1"/>
  <c r="A4136" i="28" s="1"/>
  <c r="A4137" i="28" s="1"/>
  <c r="A4138" i="28" s="1"/>
  <c r="A4139" i="28" s="1"/>
  <c r="A4140" i="28" s="1"/>
  <c r="A4141" i="28" s="1"/>
  <c r="A4142" i="28" s="1"/>
  <c r="A4143" i="28" s="1"/>
  <c r="A4144" i="28" s="1"/>
  <c r="A4145" i="28" s="1"/>
  <c r="A4146" i="28" s="1"/>
  <c r="A4147" i="28" s="1"/>
  <c r="A4148" i="28" s="1"/>
  <c r="A4149" i="28" s="1"/>
  <c r="A4150" i="28" s="1"/>
  <c r="A4151" i="28" s="1"/>
  <c r="A4152" i="28" s="1"/>
  <c r="A4153" i="28" s="1"/>
  <c r="A4154" i="28" s="1"/>
  <c r="A4155" i="28" s="1"/>
  <c r="A4156" i="28" s="1"/>
  <c r="A4157" i="28" s="1"/>
  <c r="A4158" i="28" s="1"/>
  <c r="A4159" i="28" s="1"/>
  <c r="A4160" i="28" s="1"/>
  <c r="A4161" i="28" s="1"/>
  <c r="A4162" i="28" s="1"/>
  <c r="A4163" i="28" s="1"/>
  <c r="A4164" i="28" s="1"/>
  <c r="A4165" i="28" s="1"/>
  <c r="A4166" i="28" s="1"/>
  <c r="A4167" i="28" s="1"/>
  <c r="A4168" i="28" s="1"/>
  <c r="A4169" i="28" s="1"/>
  <c r="A4170" i="28" s="1"/>
  <c r="A4171" i="28" s="1"/>
  <c r="A4172" i="28" s="1"/>
  <c r="A4173" i="28" s="1"/>
  <c r="A4174" i="28" s="1"/>
  <c r="A4175" i="28" s="1"/>
  <c r="A4176" i="28" s="1"/>
  <c r="A4177" i="28" s="1"/>
  <c r="A4178" i="28" s="1"/>
  <c r="A4179" i="28" s="1"/>
  <c r="A4180" i="28" s="1"/>
  <c r="A4181" i="28" s="1"/>
  <c r="A4182" i="28" s="1"/>
  <c r="A4183" i="28" s="1"/>
  <c r="A4184" i="28" s="1"/>
  <c r="A4185" i="28" s="1"/>
  <c r="A4186" i="28" s="1"/>
  <c r="A4187" i="28" s="1"/>
  <c r="A4188" i="28" s="1"/>
  <c r="A4189" i="28" s="1"/>
  <c r="A4190" i="28" s="1"/>
  <c r="A4191" i="28" s="1"/>
  <c r="A4192" i="28" s="1"/>
  <c r="A4193" i="28" s="1"/>
  <c r="A4194" i="28" s="1"/>
  <c r="A4195" i="28" s="1"/>
  <c r="A4196" i="28" s="1"/>
  <c r="A4197" i="28" s="1"/>
  <c r="A4198" i="28" s="1"/>
  <c r="A4199" i="28" s="1"/>
  <c r="A4200" i="28" s="1"/>
  <c r="A4201" i="28" s="1"/>
  <c r="A4202" i="28" s="1"/>
  <c r="A4203" i="28" s="1"/>
  <c r="A4204" i="28" s="1"/>
  <c r="A4205" i="28" s="1"/>
  <c r="A4206" i="28" s="1"/>
  <c r="A4207" i="28" s="1"/>
  <c r="A4208" i="28" s="1"/>
  <c r="A4209" i="28" s="1"/>
  <c r="A4210" i="28" s="1"/>
  <c r="A4211" i="28" s="1"/>
  <c r="A4212" i="28" s="1"/>
  <c r="A4213" i="28" s="1"/>
  <c r="A4214" i="28" s="1"/>
  <c r="A4215" i="28" s="1"/>
  <c r="A4216" i="28" s="1"/>
  <c r="A4217" i="28" s="1"/>
  <c r="A4218" i="28" s="1"/>
  <c r="A4219" i="28" s="1"/>
  <c r="A4220" i="28" s="1"/>
  <c r="A4221" i="28" s="1"/>
  <c r="A4222" i="28" s="1"/>
  <c r="A4223" i="28" s="1"/>
  <c r="A4224" i="28" s="1"/>
  <c r="A4225" i="28" s="1"/>
  <c r="A4226" i="28" s="1"/>
  <c r="A4227" i="28" s="1"/>
  <c r="A4228" i="28" s="1"/>
  <c r="A4229" i="28" s="1"/>
  <c r="A4230" i="28" s="1"/>
  <c r="A4231" i="28" s="1"/>
  <c r="A4232" i="28" s="1"/>
  <c r="A4233" i="28" s="1"/>
  <c r="A4234" i="28" s="1"/>
  <c r="A4235" i="28" s="1"/>
  <c r="A4236" i="28" s="1"/>
  <c r="A4237" i="28" s="1"/>
  <c r="A4238" i="28" s="1"/>
  <c r="A4239" i="28" s="1"/>
  <c r="A4240" i="28" s="1"/>
  <c r="A4241" i="28" s="1"/>
  <c r="A4242" i="28" s="1"/>
  <c r="A4243" i="28" s="1"/>
  <c r="A4244" i="28" s="1"/>
  <c r="A4245" i="28" s="1"/>
  <c r="A4246" i="28" s="1"/>
  <c r="A4247" i="28" s="1"/>
  <c r="A4248" i="28" s="1"/>
  <c r="A4249" i="28" s="1"/>
  <c r="A4250" i="28" s="1"/>
  <c r="A4251" i="28" s="1"/>
  <c r="A4252" i="28" s="1"/>
  <c r="A4253" i="28" s="1"/>
  <c r="A4254" i="28" s="1"/>
  <c r="A4255" i="28" s="1"/>
  <c r="A4256" i="28" s="1"/>
  <c r="A4257" i="28" s="1"/>
  <c r="A4258" i="28" s="1"/>
  <c r="A4259" i="28" s="1"/>
  <c r="A4260" i="28" s="1"/>
  <c r="A4261" i="28" s="1"/>
  <c r="A4262" i="28" s="1"/>
  <c r="A4263" i="28" s="1"/>
  <c r="A4264" i="28" s="1"/>
  <c r="A4265" i="28" s="1"/>
  <c r="A4266" i="28" s="1"/>
  <c r="A4267" i="28" s="1"/>
  <c r="A4268" i="28" s="1"/>
  <c r="A4269" i="28" s="1"/>
  <c r="A4270" i="28" s="1"/>
  <c r="A4271" i="28" s="1"/>
  <c r="A4272" i="28" s="1"/>
  <c r="A4273" i="28" s="1"/>
  <c r="A4274" i="28" s="1"/>
  <c r="A4275" i="28" s="1"/>
  <c r="A4276" i="28" s="1"/>
  <c r="A4277" i="28" s="1"/>
  <c r="A4278" i="28" s="1"/>
  <c r="A4279" i="28" s="1"/>
  <c r="A4280" i="28" s="1"/>
  <c r="A4281" i="28" s="1"/>
  <c r="A4282" i="28" s="1"/>
  <c r="A4283" i="28" s="1"/>
  <c r="A4284" i="28" s="1"/>
  <c r="A4285" i="28" s="1"/>
  <c r="A4286" i="28" s="1"/>
  <c r="A4287" i="28" s="1"/>
  <c r="A4288" i="28" s="1"/>
  <c r="A4289" i="28" s="1"/>
  <c r="A4290" i="28" s="1"/>
  <c r="A4291" i="28" s="1"/>
  <c r="A4292" i="28" s="1"/>
  <c r="A4293" i="28" s="1"/>
  <c r="A4294" i="28" s="1"/>
  <c r="A4295" i="28" s="1"/>
  <c r="A4296" i="28" s="1"/>
  <c r="A4297" i="28" s="1"/>
  <c r="A4298" i="28" s="1"/>
  <c r="A4299" i="28" s="1"/>
  <c r="A4300" i="28" s="1"/>
  <c r="A4301" i="28" s="1"/>
  <c r="A4302" i="28" s="1"/>
  <c r="A4303" i="28" s="1"/>
  <c r="A4304" i="28" s="1"/>
  <c r="A4305" i="28" s="1"/>
  <c r="A4306" i="28" s="1"/>
  <c r="A4307" i="28" s="1"/>
  <c r="A4308" i="28" s="1"/>
  <c r="A4309" i="28" s="1"/>
  <c r="A4310" i="28" s="1"/>
  <c r="A4311" i="28" s="1"/>
  <c r="A4312" i="28" s="1"/>
  <c r="A4313" i="28" s="1"/>
  <c r="A4314" i="28" s="1"/>
  <c r="A4315" i="28" s="1"/>
  <c r="A4316" i="28" s="1"/>
  <c r="A4317" i="28" s="1"/>
  <c r="A4318" i="28" s="1"/>
  <c r="A4319" i="28" s="1"/>
  <c r="A4320" i="28" s="1"/>
  <c r="A4321" i="28" s="1"/>
  <c r="A4322" i="28" s="1"/>
  <c r="A4323" i="28" s="1"/>
  <c r="A4324" i="28" s="1"/>
  <c r="A4325" i="28" s="1"/>
  <c r="A4326" i="28" s="1"/>
  <c r="A4327" i="28" s="1"/>
  <c r="A4328" i="28" s="1"/>
  <c r="A4329" i="28" s="1"/>
  <c r="A4330" i="28" s="1"/>
  <c r="A4331" i="28" s="1"/>
  <c r="A4332" i="28" s="1"/>
  <c r="A4333" i="28" s="1"/>
  <c r="A4334" i="28" s="1"/>
  <c r="A4335" i="28" s="1"/>
  <c r="A4336" i="28" s="1"/>
  <c r="A4337" i="28" s="1"/>
  <c r="A4338" i="28" s="1"/>
  <c r="A4339" i="28" s="1"/>
  <c r="A4340" i="28" s="1"/>
  <c r="A4341" i="28" s="1"/>
  <c r="A4342" i="28" s="1"/>
  <c r="A4343" i="28" s="1"/>
  <c r="A4344" i="28" s="1"/>
  <c r="A4345" i="28" s="1"/>
  <c r="A4346" i="28" s="1"/>
  <c r="A4347" i="28" s="1"/>
  <c r="A4348" i="28" s="1"/>
  <c r="A4349" i="28" s="1"/>
  <c r="A4350" i="28" s="1"/>
  <c r="A4351" i="28" s="1"/>
  <c r="A4352" i="28" s="1"/>
  <c r="A4353" i="28" s="1"/>
  <c r="A4354" i="28" s="1"/>
  <c r="A4355" i="28" s="1"/>
  <c r="A4356" i="28" s="1"/>
  <c r="A4357" i="28" s="1"/>
  <c r="A4358" i="28" s="1"/>
  <c r="A4359" i="28" s="1"/>
  <c r="A4360" i="28" s="1"/>
  <c r="A4361" i="28" s="1"/>
  <c r="A4362" i="28" s="1"/>
  <c r="A4363" i="28" s="1"/>
  <c r="A4364" i="28" s="1"/>
  <c r="A4365" i="28" s="1"/>
  <c r="A4366" i="28" s="1"/>
  <c r="A4367" i="28" s="1"/>
  <c r="A4368" i="28" s="1"/>
  <c r="A4369" i="28" s="1"/>
  <c r="A4370" i="28" s="1"/>
  <c r="A4371" i="28" s="1"/>
  <c r="A4372" i="28" s="1"/>
  <c r="A4373" i="28" s="1"/>
  <c r="A4374" i="28" s="1"/>
  <c r="A4375" i="28" s="1"/>
  <c r="A4376" i="28" s="1"/>
  <c r="A4377" i="28" s="1"/>
  <c r="A4378" i="28" s="1"/>
  <c r="A4379" i="28" s="1"/>
  <c r="A4380" i="28" s="1"/>
  <c r="A4381" i="28" s="1"/>
  <c r="A4382" i="28" s="1"/>
  <c r="A4383" i="28" s="1"/>
  <c r="A4384" i="28" s="1"/>
  <c r="A4385" i="28" s="1"/>
  <c r="A4386" i="28" s="1"/>
  <c r="A4387" i="28" s="1"/>
  <c r="A4388" i="28" s="1"/>
  <c r="A4389" i="28" s="1"/>
  <c r="A4390" i="28" s="1"/>
  <c r="A4391" i="28" s="1"/>
  <c r="A4392" i="28" s="1"/>
  <c r="A4393" i="28" s="1"/>
  <c r="A4394" i="28" s="1"/>
  <c r="A4395" i="28" s="1"/>
  <c r="A4396" i="28" s="1"/>
  <c r="A4397" i="28" s="1"/>
  <c r="A4398" i="28" s="1"/>
  <c r="A4399" i="28" s="1"/>
  <c r="A4400" i="28" s="1"/>
  <c r="A4401" i="28" s="1"/>
  <c r="A4402" i="28" s="1"/>
  <c r="A4403" i="28" s="1"/>
  <c r="A4404" i="28" s="1"/>
  <c r="A4405" i="28" s="1"/>
  <c r="A4406" i="28" s="1"/>
  <c r="A4407" i="28" s="1"/>
  <c r="A4408" i="28" s="1"/>
  <c r="A4409" i="28" s="1"/>
  <c r="A4410" i="28" s="1"/>
  <c r="A4411" i="28" s="1"/>
  <c r="A4412" i="28" s="1"/>
  <c r="A4413" i="28" s="1"/>
  <c r="A4414" i="28" s="1"/>
  <c r="A4415" i="28" s="1"/>
  <c r="A4416" i="28" s="1"/>
  <c r="A4417" i="28" s="1"/>
  <c r="A4418" i="28" s="1"/>
  <c r="A4419" i="28" s="1"/>
  <c r="A4420" i="28" s="1"/>
  <c r="A4421" i="28" s="1"/>
  <c r="A4422" i="28" s="1"/>
  <c r="A4423" i="28" s="1"/>
  <c r="A4424" i="28" s="1"/>
  <c r="A4425" i="28" s="1"/>
  <c r="A4426" i="28" s="1"/>
  <c r="A4427" i="28" s="1"/>
  <c r="A4428" i="28" s="1"/>
  <c r="A4429" i="28" s="1"/>
  <c r="A4430" i="28" s="1"/>
  <c r="A4431" i="28" s="1"/>
  <c r="A4432" i="28" s="1"/>
  <c r="A4433" i="28" s="1"/>
  <c r="A4434" i="28" s="1"/>
  <c r="A4435" i="28" s="1"/>
  <c r="A4436" i="28" s="1"/>
  <c r="A4437" i="28" s="1"/>
  <c r="A4438" i="28" s="1"/>
  <c r="A4439" i="28" s="1"/>
  <c r="A4440" i="28" s="1"/>
  <c r="A4441" i="28" s="1"/>
  <c r="A4442" i="28" s="1"/>
  <c r="A4443" i="28" s="1"/>
  <c r="A4444" i="28" s="1"/>
  <c r="A4445" i="28" s="1"/>
  <c r="A4446" i="28" s="1"/>
  <c r="A4447" i="28" s="1"/>
  <c r="A4448" i="28" s="1"/>
  <c r="A4449" i="28" s="1"/>
  <c r="A4450" i="28" s="1"/>
  <c r="A4451" i="28" s="1"/>
  <c r="A4452" i="28" s="1"/>
  <c r="A4453" i="28" s="1"/>
  <c r="A4454" i="28" s="1"/>
  <c r="A4455" i="28" s="1"/>
  <c r="A4456" i="28" s="1"/>
  <c r="A4457" i="28" s="1"/>
  <c r="A4458" i="28" s="1"/>
  <c r="A4459" i="28" s="1"/>
  <c r="A4460" i="28" s="1"/>
  <c r="A4461" i="28" s="1"/>
  <c r="A4462" i="28" s="1"/>
  <c r="A4463" i="28" s="1"/>
  <c r="A4464" i="28" s="1"/>
  <c r="A4465" i="28" s="1"/>
  <c r="A4466" i="28" s="1"/>
  <c r="A4467" i="28" s="1"/>
  <c r="A4468" i="28" s="1"/>
  <c r="A4469" i="28" s="1"/>
  <c r="A4470" i="28" s="1"/>
  <c r="A4471" i="28" s="1"/>
  <c r="A4472" i="28" s="1"/>
  <c r="A4473" i="28" s="1"/>
  <c r="A4474" i="28" s="1"/>
  <c r="A4475" i="28" s="1"/>
  <c r="A4476" i="28" s="1"/>
  <c r="A4477" i="28" s="1"/>
  <c r="A4478" i="28" s="1"/>
  <c r="A4479" i="28" s="1"/>
  <c r="A4480" i="28" s="1"/>
  <c r="A4481" i="28" s="1"/>
  <c r="A4482" i="28" s="1"/>
  <c r="A4483" i="28" s="1"/>
  <c r="A4484" i="28" s="1"/>
  <c r="A4485" i="28" s="1"/>
  <c r="A4486" i="28" s="1"/>
  <c r="A4487" i="28" s="1"/>
  <c r="A4488" i="28" s="1"/>
  <c r="A4489" i="28" s="1"/>
  <c r="A4490" i="28" s="1"/>
  <c r="A4491" i="28" s="1"/>
  <c r="A4492" i="28" s="1"/>
  <c r="A4493" i="28" s="1"/>
  <c r="A4494" i="28" s="1"/>
  <c r="A4495" i="28" s="1"/>
  <c r="A4496" i="28" s="1"/>
  <c r="A4497" i="28" s="1"/>
  <c r="A4498" i="28" s="1"/>
  <c r="A4499" i="28" s="1"/>
  <c r="A4500" i="28" s="1"/>
  <c r="A4501" i="28" s="1"/>
  <c r="A4502" i="28" s="1"/>
  <c r="A4503" i="28" s="1"/>
  <c r="A4504" i="28" s="1"/>
  <c r="A4505" i="28" s="1"/>
  <c r="A4506" i="28" s="1"/>
  <c r="A4507" i="28" s="1"/>
  <c r="A4508" i="28" s="1"/>
  <c r="A4509" i="28" s="1"/>
  <c r="A4510" i="28" s="1"/>
  <c r="A4511" i="28" s="1"/>
  <c r="A4512" i="28" s="1"/>
  <c r="A4513" i="28" s="1"/>
  <c r="A4514" i="28" s="1"/>
  <c r="A4515" i="28" s="1"/>
  <c r="A4516" i="28" s="1"/>
  <c r="A4517" i="28" s="1"/>
  <c r="A4518" i="28" s="1"/>
  <c r="A4519" i="28" s="1"/>
  <c r="A4520" i="28" s="1"/>
  <c r="A4521" i="28" s="1"/>
  <c r="A4522" i="28" s="1"/>
  <c r="A4523" i="28" s="1"/>
  <c r="A4524" i="28" s="1"/>
  <c r="A4525" i="28" s="1"/>
  <c r="A4526" i="28" s="1"/>
  <c r="A4527" i="28" s="1"/>
  <c r="A4528" i="28" s="1"/>
  <c r="A4529" i="28" s="1"/>
  <c r="A4530" i="28" s="1"/>
  <c r="A4531" i="28" s="1"/>
  <c r="A4532" i="28" s="1"/>
  <c r="A4533" i="28" s="1"/>
  <c r="A4534" i="28" s="1"/>
  <c r="A4535" i="28" s="1"/>
  <c r="A4536" i="28" s="1"/>
  <c r="A4537" i="28" s="1"/>
  <c r="A4538" i="28" s="1"/>
  <c r="A4539" i="28" s="1"/>
  <c r="A4540" i="28" s="1"/>
  <c r="A4541" i="28" s="1"/>
  <c r="A4542" i="28" s="1"/>
  <c r="A4543" i="28" s="1"/>
  <c r="A4544" i="28" s="1"/>
  <c r="A4545" i="28" s="1"/>
  <c r="A4546" i="28" s="1"/>
  <c r="A4547" i="28" s="1"/>
  <c r="A4548" i="28" s="1"/>
  <c r="A4549" i="28" s="1"/>
  <c r="A4550" i="28" s="1"/>
  <c r="A4551" i="28" s="1"/>
  <c r="A4552" i="28" s="1"/>
  <c r="A4553" i="28" s="1"/>
  <c r="A4554" i="28" s="1"/>
  <c r="A4555" i="28" s="1"/>
  <c r="A4556" i="28" s="1"/>
  <c r="A4557" i="28" s="1"/>
  <c r="A4558" i="28" s="1"/>
  <c r="A4559" i="28" s="1"/>
  <c r="A4560" i="28" s="1"/>
  <c r="A4561" i="28" s="1"/>
  <c r="A4562" i="28" s="1"/>
  <c r="A4563" i="28" s="1"/>
  <c r="A4564" i="28" s="1"/>
  <c r="A4565" i="28" s="1"/>
  <c r="A4566" i="28" s="1"/>
  <c r="A4567" i="28" s="1"/>
  <c r="A4568" i="28" s="1"/>
  <c r="A4569" i="28" s="1"/>
  <c r="A4570" i="28" s="1"/>
  <c r="A4571" i="28" s="1"/>
  <c r="A4572" i="28" s="1"/>
  <c r="A4573" i="28" s="1"/>
  <c r="A4574" i="28" s="1"/>
  <c r="A4575" i="28" s="1"/>
  <c r="A4576" i="28" s="1"/>
  <c r="A4577" i="28" s="1"/>
  <c r="A4578" i="28" s="1"/>
  <c r="A4579" i="28" s="1"/>
  <c r="A4580" i="28" s="1"/>
  <c r="A4581" i="28" s="1"/>
  <c r="A4582" i="28" s="1"/>
  <c r="A4583" i="28" s="1"/>
  <c r="A4584" i="28" s="1"/>
  <c r="A4585" i="28" s="1"/>
  <c r="A4586" i="28" s="1"/>
  <c r="A4587" i="28" s="1"/>
  <c r="A4588" i="28" s="1"/>
  <c r="A4589" i="28" s="1"/>
  <c r="A4590" i="28" s="1"/>
  <c r="A4591" i="28" s="1"/>
  <c r="A4592" i="28" s="1"/>
  <c r="A4593" i="28" s="1"/>
  <c r="A4594" i="28" s="1"/>
  <c r="A4595" i="28" s="1"/>
  <c r="A4596" i="28" s="1"/>
  <c r="A4597" i="28" s="1"/>
  <c r="A4598" i="28" s="1"/>
  <c r="A4599" i="28" s="1"/>
  <c r="A4600" i="28" s="1"/>
  <c r="A4601" i="28" s="1"/>
  <c r="A4602" i="28" s="1"/>
  <c r="A4603" i="28" s="1"/>
  <c r="A4604" i="28" s="1"/>
  <c r="A4605" i="28" s="1"/>
  <c r="A4606" i="28" s="1"/>
  <c r="A4607" i="28" s="1"/>
  <c r="A4608" i="28" s="1"/>
  <c r="A4609" i="28" s="1"/>
  <c r="A4610" i="28" s="1"/>
  <c r="A4611" i="28" s="1"/>
  <c r="A4612" i="28" s="1"/>
  <c r="A4613" i="28" s="1"/>
  <c r="A4614" i="28" s="1"/>
  <c r="A4615" i="28" s="1"/>
  <c r="A4616" i="28" s="1"/>
  <c r="A4617" i="28" s="1"/>
  <c r="A4618" i="28" s="1"/>
  <c r="A4619" i="28" s="1"/>
  <c r="A4620" i="28" s="1"/>
  <c r="A4621" i="28" s="1"/>
  <c r="A4622" i="28" s="1"/>
  <c r="A4623" i="28" s="1"/>
  <c r="A4624" i="28" s="1"/>
  <c r="A4625" i="28" s="1"/>
  <c r="A4626" i="28" s="1"/>
  <c r="A4627" i="28" s="1"/>
  <c r="A4628" i="28" s="1"/>
  <c r="A4629" i="28" s="1"/>
  <c r="A4630" i="28" s="1"/>
  <c r="A4631" i="28" s="1"/>
  <c r="A4632" i="28" s="1"/>
  <c r="A4633" i="28" s="1"/>
  <c r="A4634" i="28" s="1"/>
  <c r="A4635" i="28" s="1"/>
  <c r="A4636" i="28" s="1"/>
  <c r="A4637" i="28" s="1"/>
  <c r="A4638" i="28" s="1"/>
  <c r="A4639" i="28" s="1"/>
  <c r="A4640" i="28" s="1"/>
  <c r="A4641" i="28" s="1"/>
  <c r="A4642" i="28" s="1"/>
  <c r="A4643" i="28" s="1"/>
  <c r="A4644" i="28" s="1"/>
  <c r="A4645" i="28" s="1"/>
  <c r="A4646" i="28" s="1"/>
  <c r="A4647" i="28" s="1"/>
  <c r="A4648" i="28" s="1"/>
  <c r="A4649" i="28" s="1"/>
  <c r="A4650" i="28" s="1"/>
  <c r="A4651" i="28" s="1"/>
  <c r="A4652" i="28" s="1"/>
  <c r="A4653" i="28" s="1"/>
  <c r="A4654" i="28" s="1"/>
  <c r="A4655" i="28" s="1"/>
  <c r="A4656" i="28" s="1"/>
  <c r="A4657" i="28" s="1"/>
  <c r="A4658" i="28" s="1"/>
  <c r="A4659" i="28" s="1"/>
  <c r="A4660" i="28" s="1"/>
  <c r="A4661" i="28" s="1"/>
  <c r="A4662" i="28" s="1"/>
  <c r="A4663" i="28" s="1"/>
  <c r="A4664" i="28" s="1"/>
  <c r="A4665" i="28" s="1"/>
  <c r="A4666" i="28" s="1"/>
  <c r="A4667" i="28" s="1"/>
  <c r="A4668" i="28" s="1"/>
  <c r="A4669" i="28" s="1"/>
  <c r="A4670" i="28" s="1"/>
  <c r="A4671" i="28" s="1"/>
  <c r="A4672" i="28" s="1"/>
  <c r="A4673" i="28" s="1"/>
  <c r="A4674" i="28" s="1"/>
  <c r="A4675" i="28" s="1"/>
  <c r="A4676" i="28" s="1"/>
  <c r="A4677" i="28" s="1"/>
  <c r="A4678" i="28" s="1"/>
  <c r="A4679" i="28" s="1"/>
  <c r="A4680" i="28" s="1"/>
  <c r="A4681" i="28" s="1"/>
  <c r="A4682" i="28" s="1"/>
  <c r="A4683" i="28" s="1"/>
  <c r="A4684" i="28" s="1"/>
  <c r="A4685" i="28" s="1"/>
  <c r="A4686" i="28" s="1"/>
  <c r="A4687" i="28" s="1"/>
  <c r="A4688" i="28" s="1"/>
  <c r="A4689" i="28" s="1"/>
  <c r="A4690" i="28" s="1"/>
  <c r="A4691" i="28" s="1"/>
  <c r="A4692" i="28" s="1"/>
  <c r="A4693" i="28" s="1"/>
  <c r="A4694" i="28" s="1"/>
  <c r="A4695" i="28" s="1"/>
  <c r="A4696" i="28" s="1"/>
  <c r="A4697" i="28" s="1"/>
  <c r="A4698" i="28" s="1"/>
  <c r="A4699" i="28" s="1"/>
  <c r="A4700" i="28" s="1"/>
  <c r="A4701" i="28" s="1"/>
  <c r="A4702" i="28" s="1"/>
  <c r="A4703" i="28" s="1"/>
  <c r="A4704" i="28" s="1"/>
  <c r="A4705" i="28" s="1"/>
  <c r="A4706" i="28" s="1"/>
  <c r="A4707" i="28" s="1"/>
  <c r="A4708" i="28" s="1"/>
  <c r="A4709" i="28" s="1"/>
  <c r="A4710" i="28" s="1"/>
  <c r="A4711" i="28" s="1"/>
  <c r="A4712" i="28" s="1"/>
  <c r="A4713" i="28" s="1"/>
  <c r="A4714" i="28" s="1"/>
  <c r="A4715" i="28" s="1"/>
  <c r="A4716" i="28" s="1"/>
  <c r="A4717" i="28" s="1"/>
  <c r="A4718" i="28" s="1"/>
  <c r="A4719" i="28" s="1"/>
  <c r="A4720" i="28" s="1"/>
  <c r="A4721" i="28" s="1"/>
  <c r="A4722" i="28" s="1"/>
  <c r="A4723" i="28" s="1"/>
  <c r="A4724" i="28" s="1"/>
  <c r="A4725" i="28" s="1"/>
  <c r="A4726" i="28" s="1"/>
  <c r="A4727" i="28" s="1"/>
  <c r="A4728" i="28" s="1"/>
  <c r="A4729" i="28" s="1"/>
  <c r="A4730" i="28" s="1"/>
  <c r="A4731" i="28" s="1"/>
  <c r="A4732" i="28" s="1"/>
  <c r="A4733" i="28" s="1"/>
  <c r="A4734" i="28" s="1"/>
  <c r="A4735" i="28" s="1"/>
  <c r="A4736" i="28" s="1"/>
  <c r="A4737" i="28" s="1"/>
  <c r="A4738" i="28" s="1"/>
  <c r="A4739" i="28" s="1"/>
  <c r="A4740" i="28" s="1"/>
  <c r="A4741" i="28" s="1"/>
  <c r="A4742" i="28" s="1"/>
  <c r="A4743" i="28" s="1"/>
  <c r="A4744" i="28" s="1"/>
  <c r="A4745" i="28" s="1"/>
  <c r="A4746" i="28" s="1"/>
  <c r="A4747" i="28" s="1"/>
  <c r="A4748" i="28" s="1"/>
  <c r="A4749" i="28" s="1"/>
  <c r="A4750" i="28" s="1"/>
  <c r="A4751" i="28" s="1"/>
  <c r="A4752" i="28" s="1"/>
  <c r="A4753" i="28" s="1"/>
  <c r="A4754" i="28" s="1"/>
  <c r="A4755" i="28" s="1"/>
  <c r="A4756" i="28" s="1"/>
  <c r="A4757" i="28" s="1"/>
  <c r="A4758" i="28" s="1"/>
  <c r="A4759" i="28" s="1"/>
  <c r="A4760" i="28" s="1"/>
  <c r="A4761" i="28" s="1"/>
  <c r="A4762" i="28" s="1"/>
  <c r="A4763" i="28" s="1"/>
  <c r="A4764" i="28" s="1"/>
  <c r="A4765" i="28" s="1"/>
  <c r="A4766" i="28" s="1"/>
  <c r="A4767" i="28" s="1"/>
  <c r="A4768" i="28" s="1"/>
  <c r="A4769" i="28" s="1"/>
  <c r="A4770" i="28" s="1"/>
  <c r="A4771" i="28" s="1"/>
  <c r="A4772" i="28" s="1"/>
  <c r="A4773" i="28" s="1"/>
  <c r="A4774" i="28" s="1"/>
  <c r="A4775" i="28" s="1"/>
  <c r="A4776" i="28" s="1"/>
  <c r="A4777" i="28" s="1"/>
  <c r="A4778" i="28" s="1"/>
  <c r="A4779" i="28" s="1"/>
  <c r="A4780" i="28" s="1"/>
  <c r="A4781" i="28" s="1"/>
  <c r="A4782" i="28" s="1"/>
  <c r="A4783" i="28" s="1"/>
  <c r="A4784" i="28" s="1"/>
  <c r="A4785" i="28" s="1"/>
  <c r="A4786" i="28" s="1"/>
  <c r="A4787" i="28" s="1"/>
  <c r="A4788" i="28" s="1"/>
  <c r="A4789" i="28" s="1"/>
  <c r="A4790" i="28" s="1"/>
  <c r="A4791" i="28" s="1"/>
  <c r="A4792" i="28" s="1"/>
  <c r="A4793" i="28" s="1"/>
  <c r="A4794" i="28" s="1"/>
  <c r="A4795" i="28" s="1"/>
  <c r="A4796" i="28" s="1"/>
  <c r="A4797" i="28" s="1"/>
  <c r="A4798" i="28" s="1"/>
  <c r="A4799" i="28" s="1"/>
  <c r="A4800" i="28" s="1"/>
  <c r="A4801" i="28" s="1"/>
  <c r="A4802" i="28" s="1"/>
  <c r="A4803" i="28" s="1"/>
  <c r="A4804" i="28" s="1"/>
  <c r="A4805" i="28" s="1"/>
  <c r="A4806" i="28" s="1"/>
  <c r="A4807" i="28" s="1"/>
  <c r="A4808" i="28" s="1"/>
  <c r="A4809" i="28" s="1"/>
  <c r="A4810" i="28" s="1"/>
  <c r="A4811" i="28" s="1"/>
  <c r="A4812" i="28" s="1"/>
  <c r="A4813" i="28" s="1"/>
  <c r="A4814" i="28" s="1"/>
  <c r="A4815" i="28" s="1"/>
  <c r="A4816" i="28" s="1"/>
  <c r="A4817" i="28" s="1"/>
  <c r="A4818" i="28" s="1"/>
  <c r="A4819" i="28" s="1"/>
  <c r="A4820" i="28" s="1"/>
  <c r="A4821" i="28" s="1"/>
  <c r="A4822" i="28" s="1"/>
  <c r="A4823" i="28" s="1"/>
  <c r="A4824" i="28" s="1"/>
  <c r="A4825" i="28" s="1"/>
  <c r="A4826" i="28" s="1"/>
  <c r="A4827" i="28" s="1"/>
  <c r="A4828" i="28" s="1"/>
  <c r="A4829" i="28" s="1"/>
  <c r="A4830" i="28" s="1"/>
  <c r="A4831" i="28" s="1"/>
  <c r="A4832" i="28" s="1"/>
  <c r="A4833" i="28" s="1"/>
  <c r="A4834" i="28" s="1"/>
  <c r="A4835" i="28" s="1"/>
  <c r="A4836" i="28" s="1"/>
  <c r="A4837" i="28" s="1"/>
  <c r="A4838" i="28" s="1"/>
  <c r="A4839" i="28" s="1"/>
  <c r="A4840" i="28" s="1"/>
  <c r="A4841" i="28" s="1"/>
  <c r="A4842" i="28" s="1"/>
  <c r="A4843" i="28" s="1"/>
  <c r="A4844" i="28" s="1"/>
  <c r="A4845" i="28" s="1"/>
  <c r="A4846" i="28" s="1"/>
  <c r="A4847" i="28" s="1"/>
  <c r="A4848" i="28" s="1"/>
  <c r="A4849" i="28" s="1"/>
  <c r="A4850" i="28" s="1"/>
  <c r="A4851" i="28" s="1"/>
  <c r="A4852" i="28" s="1"/>
  <c r="A4853" i="28" s="1"/>
  <c r="A4854" i="28" s="1"/>
  <c r="A4855" i="28" s="1"/>
  <c r="A4856" i="28" s="1"/>
  <c r="A4857" i="28" s="1"/>
  <c r="A4858" i="28" s="1"/>
  <c r="A4859" i="28" s="1"/>
  <c r="A4860" i="28" s="1"/>
  <c r="A4861" i="28" s="1"/>
  <c r="A4862" i="28" s="1"/>
  <c r="A4863" i="28" s="1"/>
  <c r="A4864" i="28" s="1"/>
  <c r="A4865" i="28" s="1"/>
  <c r="A4866" i="28" s="1"/>
  <c r="A4867" i="28" s="1"/>
  <c r="A4868" i="28" s="1"/>
  <c r="A4869" i="28" s="1"/>
  <c r="A4870" i="28" s="1"/>
  <c r="A4871" i="28" s="1"/>
  <c r="A4872" i="28" s="1"/>
  <c r="A4873" i="28" s="1"/>
  <c r="A4874" i="28" s="1"/>
  <c r="A4875" i="28" s="1"/>
  <c r="A4876" i="28" s="1"/>
  <c r="A4877" i="28" s="1"/>
  <c r="A4878" i="28" s="1"/>
  <c r="A4879" i="28" s="1"/>
  <c r="A4880" i="28" s="1"/>
  <c r="A4881" i="28" s="1"/>
  <c r="A4882" i="28" s="1"/>
  <c r="A4883" i="28" s="1"/>
  <c r="A4884" i="28" s="1"/>
  <c r="A4885" i="28" s="1"/>
  <c r="A4886" i="28" s="1"/>
  <c r="A4887" i="28" s="1"/>
  <c r="A4888" i="28" s="1"/>
  <c r="A4889" i="28" s="1"/>
  <c r="A4890" i="28" s="1"/>
  <c r="A4891" i="28" s="1"/>
  <c r="A4892" i="28" s="1"/>
  <c r="A4893" i="28" s="1"/>
  <c r="A4894" i="28" s="1"/>
  <c r="A4895" i="28" s="1"/>
  <c r="A4896" i="28" s="1"/>
  <c r="A4897" i="28" s="1"/>
  <c r="A4898" i="28" s="1"/>
  <c r="A4899" i="28" s="1"/>
  <c r="A4900" i="28" s="1"/>
  <c r="A4901" i="28" s="1"/>
  <c r="A4902" i="28" s="1"/>
  <c r="A4903" i="28" s="1"/>
  <c r="A4904" i="28" s="1"/>
  <c r="A4905" i="28" s="1"/>
  <c r="A4906" i="28" s="1"/>
  <c r="A4907" i="28" s="1"/>
  <c r="A4908" i="28" s="1"/>
  <c r="A4909" i="28" s="1"/>
  <c r="A4910" i="28" s="1"/>
  <c r="A4911" i="28" s="1"/>
  <c r="A4912" i="28" s="1"/>
  <c r="A4913" i="28" s="1"/>
  <c r="A4914" i="28" s="1"/>
  <c r="A4915" i="28" s="1"/>
  <c r="A4916" i="28" s="1"/>
  <c r="A4917" i="28" s="1"/>
  <c r="A4918" i="28" s="1"/>
  <c r="A4919" i="28" s="1"/>
  <c r="A4920" i="28" s="1"/>
  <c r="A4921" i="28" s="1"/>
  <c r="A4922" i="28" s="1"/>
  <c r="A4923" i="28" s="1"/>
  <c r="A4924" i="28" s="1"/>
  <c r="A4925" i="28" s="1"/>
  <c r="A4926" i="28" s="1"/>
  <c r="A4927" i="28" s="1"/>
  <c r="A4928" i="28" s="1"/>
  <c r="A4929" i="28" s="1"/>
  <c r="A4930" i="28" s="1"/>
  <c r="A4931" i="28" s="1"/>
  <c r="A4932" i="28" s="1"/>
  <c r="A4933" i="28" s="1"/>
  <c r="A4934" i="28" s="1"/>
  <c r="A4935" i="28" s="1"/>
  <c r="A4936" i="28" s="1"/>
  <c r="A4937" i="28" s="1"/>
  <c r="A4938" i="28" s="1"/>
  <c r="A4939" i="28" s="1"/>
  <c r="A4940" i="28" s="1"/>
  <c r="A4941" i="28" s="1"/>
  <c r="A4942" i="28" s="1"/>
  <c r="A4943" i="28" s="1"/>
  <c r="A4944" i="28" s="1"/>
  <c r="A4945" i="28" s="1"/>
  <c r="A4946" i="28" s="1"/>
  <c r="A4947" i="28" s="1"/>
  <c r="A4948" i="28" s="1"/>
  <c r="A4949" i="28" s="1"/>
  <c r="A4950" i="28" s="1"/>
  <c r="A4951" i="28" s="1"/>
  <c r="A4952" i="28" s="1"/>
  <c r="A4953" i="28" s="1"/>
  <c r="A4954" i="28" s="1"/>
  <c r="A4955" i="28" s="1"/>
  <c r="A4956" i="28" s="1"/>
  <c r="A4957" i="28" s="1"/>
  <c r="A4958" i="28" s="1"/>
  <c r="A4959" i="28" s="1"/>
  <c r="A4960" i="28" s="1"/>
  <c r="A4961" i="28" s="1"/>
  <c r="A4962" i="28" s="1"/>
  <c r="A4963" i="28" s="1"/>
  <c r="A4964" i="28" s="1"/>
  <c r="A4965" i="28" s="1"/>
  <c r="A4966" i="28" s="1"/>
  <c r="A4967" i="28" s="1"/>
  <c r="A4968" i="28" s="1"/>
  <c r="A4969" i="28" s="1"/>
  <c r="A4970" i="28" s="1"/>
  <c r="A4971" i="28" s="1"/>
  <c r="A4972" i="28" s="1"/>
  <c r="A4973" i="28" s="1"/>
  <c r="A4974" i="28" s="1"/>
  <c r="A4975" i="28" s="1"/>
  <c r="A4976" i="28" s="1"/>
  <c r="A4977" i="28" s="1"/>
  <c r="A4978" i="28" s="1"/>
  <c r="A4979" i="28" s="1"/>
  <c r="A4980" i="28" s="1"/>
  <c r="A4981" i="28" s="1"/>
  <c r="A4982" i="28" s="1"/>
  <c r="A4983" i="28" s="1"/>
  <c r="A4984" i="28" s="1"/>
  <c r="A4985" i="28" s="1"/>
  <c r="A4986" i="28" s="1"/>
  <c r="A4987" i="28" s="1"/>
  <c r="A4988" i="28" s="1"/>
  <c r="A4989" i="28" s="1"/>
  <c r="A4990" i="28" s="1"/>
  <c r="A4991" i="28" s="1"/>
  <c r="A4992" i="28" s="1"/>
  <c r="A4993" i="28" s="1"/>
  <c r="A4994" i="28" s="1"/>
  <c r="A4995" i="28" s="1"/>
  <c r="A4996" i="28" s="1"/>
  <c r="A4997" i="28" s="1"/>
  <c r="A4998" i="28" s="1"/>
  <c r="A4999" i="28" s="1"/>
  <c r="A5000" i="28" s="1"/>
  <c r="A5001" i="28" s="1"/>
  <c r="A5002" i="28" s="1"/>
  <c r="A5003" i="28" s="1"/>
  <c r="A5004" i="28" s="1"/>
  <c r="A5005" i="28" s="1"/>
  <c r="A5006" i="28" s="1"/>
  <c r="A5007" i="28" s="1"/>
  <c r="A5008" i="28" s="1"/>
  <c r="A5009" i="28" s="1"/>
  <c r="A5010" i="28" s="1"/>
  <c r="A5011" i="28" s="1"/>
  <c r="A5012" i="28" s="1"/>
  <c r="A5013" i="28" s="1"/>
  <c r="A5014" i="28" s="1"/>
  <c r="A5015" i="28" s="1"/>
  <c r="A5016" i="28" s="1"/>
  <c r="A5017" i="28" s="1"/>
  <c r="A5018" i="28" s="1"/>
  <c r="A5019" i="28" s="1"/>
  <c r="A5020" i="28" s="1"/>
  <c r="A5021" i="28" s="1"/>
  <c r="A5022" i="28" s="1"/>
  <c r="A5023" i="28" s="1"/>
  <c r="A5024" i="28" s="1"/>
  <c r="A5025" i="28" s="1"/>
  <c r="A5026" i="28" s="1"/>
  <c r="A5027" i="28" s="1"/>
  <c r="A5028" i="28" s="1"/>
  <c r="A5029" i="28" s="1"/>
  <c r="A5030" i="28" s="1"/>
  <c r="A5031" i="28" s="1"/>
  <c r="A5032" i="28" s="1"/>
  <c r="A5033" i="28" s="1"/>
  <c r="A5034" i="28" s="1"/>
  <c r="A5035" i="28" s="1"/>
  <c r="A5036" i="28" s="1"/>
  <c r="A5037" i="28" s="1"/>
  <c r="A5038" i="28" s="1"/>
  <c r="A5039" i="28" s="1"/>
  <c r="A5040" i="28" s="1"/>
  <c r="A5041" i="28" s="1"/>
  <c r="A5042" i="28" s="1"/>
  <c r="A5043" i="28" s="1"/>
  <c r="A5044" i="28" s="1"/>
  <c r="A5045" i="28" s="1"/>
  <c r="A5046" i="28" s="1"/>
  <c r="A5047" i="28" s="1"/>
  <c r="A5048" i="28" s="1"/>
  <c r="A5049" i="28" s="1"/>
  <c r="A5050" i="28" s="1"/>
  <c r="A5051" i="28" s="1"/>
  <c r="A5052" i="28" s="1"/>
  <c r="A5053" i="28" s="1"/>
  <c r="A5054" i="28" s="1"/>
  <c r="A5055" i="28" s="1"/>
  <c r="A5056" i="28" s="1"/>
  <c r="A5057" i="28" s="1"/>
  <c r="A5058" i="28" s="1"/>
  <c r="A5059" i="28" s="1"/>
  <c r="A5060" i="28" s="1"/>
  <c r="A5061" i="28" s="1"/>
  <c r="A5062" i="28" s="1"/>
  <c r="A5063" i="28" s="1"/>
  <c r="A5064" i="28" s="1"/>
  <c r="A5065" i="28" s="1"/>
  <c r="A5066" i="28" s="1"/>
  <c r="A5067" i="28" s="1"/>
  <c r="A5068" i="28" s="1"/>
  <c r="A5069" i="28" s="1"/>
  <c r="A5070" i="28" s="1"/>
  <c r="A5071" i="28" s="1"/>
  <c r="A5072" i="28" s="1"/>
  <c r="A5073" i="28" s="1"/>
  <c r="A5074" i="28" s="1"/>
  <c r="A5075" i="28" s="1"/>
  <c r="A5076" i="28" s="1"/>
  <c r="A5077" i="28" s="1"/>
  <c r="A5078" i="28" s="1"/>
  <c r="A5079" i="28" s="1"/>
  <c r="A5080" i="28" s="1"/>
  <c r="A5081" i="28" s="1"/>
  <c r="A5082" i="28" s="1"/>
  <c r="A5083" i="28" s="1"/>
  <c r="A5084" i="28" s="1"/>
  <c r="A5085" i="28" s="1"/>
  <c r="A5086" i="28" s="1"/>
  <c r="A5087" i="28" s="1"/>
  <c r="A5088" i="28" s="1"/>
  <c r="A5089" i="28" s="1"/>
  <c r="A5090" i="28" s="1"/>
  <c r="A5091" i="28" s="1"/>
  <c r="A5092" i="28" s="1"/>
  <c r="A5093" i="28" s="1"/>
  <c r="A5094" i="28" s="1"/>
  <c r="A5095" i="28" s="1"/>
  <c r="A5096" i="28" s="1"/>
  <c r="A5097" i="28" s="1"/>
  <c r="A5098" i="28" s="1"/>
  <c r="A5099" i="28" s="1"/>
  <c r="A5100" i="28" s="1"/>
  <c r="A5101" i="28" s="1"/>
  <c r="A5102" i="28" s="1"/>
  <c r="A5103" i="28" s="1"/>
  <c r="A5104" i="28" s="1"/>
  <c r="A5105" i="28" s="1"/>
  <c r="A5106" i="28" s="1"/>
  <c r="A5107" i="28" s="1"/>
  <c r="A5108" i="28" s="1"/>
  <c r="A5109" i="28" s="1"/>
  <c r="A5110" i="28" s="1"/>
  <c r="A5111" i="28" s="1"/>
  <c r="A5112" i="28" s="1"/>
  <c r="A5113" i="28" s="1"/>
  <c r="A5114" i="28" s="1"/>
  <c r="A5115" i="28" s="1"/>
  <c r="A5116" i="28" s="1"/>
  <c r="A5117" i="28" s="1"/>
  <c r="A5118" i="28" s="1"/>
  <c r="A5119" i="28" s="1"/>
  <c r="A5120" i="28" s="1"/>
  <c r="A5121" i="28" s="1"/>
  <c r="A5122" i="28" s="1"/>
  <c r="A5123" i="28" s="1"/>
  <c r="A5124" i="28" s="1"/>
  <c r="A5125" i="28" s="1"/>
  <c r="A5126" i="28" s="1"/>
  <c r="A5127" i="28" s="1"/>
  <c r="A5128" i="28" s="1"/>
  <c r="A5129" i="28" s="1"/>
  <c r="A5130" i="28" s="1"/>
  <c r="A5131" i="28" s="1"/>
  <c r="A5132" i="28" s="1"/>
  <c r="A5133" i="28" s="1"/>
  <c r="A5134" i="28" s="1"/>
  <c r="A5135" i="28" s="1"/>
  <c r="A5136" i="28" s="1"/>
  <c r="A5137" i="28" s="1"/>
  <c r="A5138" i="28" s="1"/>
  <c r="A5139" i="28" s="1"/>
  <c r="A5140" i="28" s="1"/>
  <c r="A5141" i="28" s="1"/>
  <c r="A5142" i="28" s="1"/>
  <c r="A5143" i="28" s="1"/>
  <c r="A5144" i="28" s="1"/>
  <c r="A5145" i="28" s="1"/>
  <c r="A5146" i="28" s="1"/>
  <c r="A5147" i="28" s="1"/>
  <c r="A5148" i="28" s="1"/>
  <c r="A5149" i="28" s="1"/>
  <c r="A5150" i="28" s="1"/>
  <c r="A5151" i="28" s="1"/>
  <c r="A5152" i="28" s="1"/>
  <c r="A5153" i="28" s="1"/>
  <c r="A5154" i="28" s="1"/>
  <c r="A5155" i="28" s="1"/>
  <c r="A5156" i="28" s="1"/>
  <c r="A5157" i="28" s="1"/>
  <c r="A5158" i="28" s="1"/>
  <c r="A5159" i="28" s="1"/>
  <c r="A5160" i="28" s="1"/>
  <c r="A5161" i="28" s="1"/>
  <c r="A5162" i="28" s="1"/>
  <c r="A5163" i="28" s="1"/>
  <c r="A5164" i="28" s="1"/>
  <c r="A5165" i="28" s="1"/>
  <c r="A5166" i="28" s="1"/>
  <c r="A5167" i="28" s="1"/>
  <c r="A5168" i="28" s="1"/>
  <c r="A5169" i="28" s="1"/>
  <c r="A5170" i="28" s="1"/>
  <c r="A5171" i="28" s="1"/>
  <c r="A5172" i="28" s="1"/>
  <c r="A5173" i="28" s="1"/>
  <c r="A5174" i="28" s="1"/>
  <c r="A5175" i="28" s="1"/>
  <c r="A5176" i="28" s="1"/>
  <c r="A5177" i="28" s="1"/>
  <c r="A5178" i="28" s="1"/>
  <c r="A5179" i="28" s="1"/>
  <c r="A5180" i="28" s="1"/>
  <c r="A5181" i="28" s="1"/>
  <c r="A5182" i="28" s="1"/>
  <c r="A5183" i="28" s="1"/>
  <c r="A5184" i="28" s="1"/>
  <c r="A5185" i="28" s="1"/>
  <c r="A5186" i="28" s="1"/>
  <c r="A5187" i="28" s="1"/>
  <c r="A5188" i="28" s="1"/>
  <c r="A5189" i="28" s="1"/>
  <c r="A5190" i="28" s="1"/>
  <c r="A5191" i="28" s="1"/>
  <c r="A5192" i="28" s="1"/>
  <c r="A5193" i="28" s="1"/>
  <c r="A5194" i="28" s="1"/>
  <c r="A5195" i="28" s="1"/>
  <c r="A5196" i="28" s="1"/>
  <c r="A5197" i="28" s="1"/>
  <c r="A5198" i="28" s="1"/>
  <c r="A5199" i="28" s="1"/>
  <c r="A5200" i="28" s="1"/>
  <c r="A5201" i="28" s="1"/>
  <c r="A5202" i="28" s="1"/>
  <c r="A5203" i="28" s="1"/>
  <c r="A6" i="28"/>
  <c r="A7" i="28" s="1"/>
  <c r="A8" i="28" s="1"/>
  <c r="A9" i="28" s="1"/>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5" i="28"/>
  <c r="N286" i="47"/>
  <c r="L286" i="47"/>
  <c r="L285" i="47" s="1"/>
  <c r="K286" i="47"/>
  <c r="K285" i="47" s="1"/>
  <c r="J286" i="47"/>
  <c r="H286" i="47"/>
  <c r="G286" i="47"/>
  <c r="C286" i="47"/>
  <c r="N395" i="47"/>
  <c r="L395" i="47"/>
  <c r="K395" i="47"/>
  <c r="J395" i="47"/>
  <c r="H395" i="47"/>
  <c r="G395" i="47"/>
  <c r="C395" i="47"/>
  <c r="N394" i="47"/>
  <c r="L394" i="47"/>
  <c r="K394" i="47"/>
  <c r="J394" i="47"/>
  <c r="H394" i="47"/>
  <c r="G394" i="47"/>
  <c r="C394" i="47"/>
  <c r="N393" i="47"/>
  <c r="L393" i="47"/>
  <c r="K393" i="47"/>
  <c r="J393" i="47"/>
  <c r="H393" i="47"/>
  <c r="G393" i="47"/>
  <c r="C393" i="47"/>
  <c r="N392" i="47"/>
  <c r="L392" i="47"/>
  <c r="K392" i="47"/>
  <c r="J392" i="47"/>
  <c r="H392" i="47"/>
  <c r="G392" i="47"/>
  <c r="C392" i="47"/>
  <c r="N391" i="47"/>
  <c r="L391" i="47"/>
  <c r="K391" i="47"/>
  <c r="J391" i="47"/>
  <c r="H391" i="47"/>
  <c r="G391" i="47"/>
  <c r="C391" i="47"/>
  <c r="L390" i="47"/>
  <c r="H390" i="47"/>
  <c r="G390" i="47"/>
  <c r="C390" i="47"/>
  <c r="N389" i="47"/>
  <c r="L389" i="47"/>
  <c r="K389" i="47"/>
  <c r="J389" i="47"/>
  <c r="H389" i="47"/>
  <c r="G389" i="47"/>
  <c r="C389" i="47"/>
  <c r="N388" i="47"/>
  <c r="L388" i="47"/>
  <c r="K388" i="47"/>
  <c r="J388" i="47"/>
  <c r="H388" i="47"/>
  <c r="G388" i="47"/>
  <c r="C388" i="47"/>
  <c r="N40" i="47"/>
  <c r="L40" i="47"/>
  <c r="K40" i="47"/>
  <c r="J40" i="47"/>
  <c r="H40" i="47"/>
  <c r="G40" i="47"/>
  <c r="C40" i="47"/>
  <c r="N39" i="47"/>
  <c r="L39" i="47"/>
  <c r="K39" i="47"/>
  <c r="J39" i="47"/>
  <c r="H39" i="47"/>
  <c r="G39" i="47"/>
  <c r="C39" i="47"/>
  <c r="L952" i="47"/>
  <c r="L951" i="47" s="1"/>
  <c r="H952" i="47"/>
  <c r="G952" i="47"/>
  <c r="C952" i="47"/>
  <c r="N950" i="47"/>
  <c r="L950" i="47"/>
  <c r="K950" i="47"/>
  <c r="J950" i="47"/>
  <c r="H950" i="47"/>
  <c r="G950" i="47"/>
  <c r="C950" i="47"/>
  <c r="N949" i="47"/>
  <c r="L949" i="47"/>
  <c r="K949" i="47"/>
  <c r="J949" i="47"/>
  <c r="H949" i="47"/>
  <c r="G949" i="47"/>
  <c r="C949" i="47"/>
  <c r="N948" i="47"/>
  <c r="L948" i="47"/>
  <c r="K948" i="47"/>
  <c r="J948" i="47"/>
  <c r="H948" i="47"/>
  <c r="G948" i="47"/>
  <c r="C948" i="47"/>
  <c r="N947" i="47"/>
  <c r="L947" i="47"/>
  <c r="K947" i="47"/>
  <c r="J947" i="47"/>
  <c r="H947" i="47"/>
  <c r="G947" i="47"/>
  <c r="C947" i="47"/>
  <c r="N946" i="47"/>
  <c r="L946" i="47"/>
  <c r="K946" i="47"/>
  <c r="J946" i="47"/>
  <c r="H946" i="47"/>
  <c r="G946" i="47"/>
  <c r="C946" i="47"/>
  <c r="N945" i="47"/>
  <c r="L945" i="47"/>
  <c r="K945" i="47"/>
  <c r="J945" i="47"/>
  <c r="H945" i="47"/>
  <c r="G945" i="47"/>
  <c r="C945" i="47"/>
  <c r="N944" i="47"/>
  <c r="L944" i="47"/>
  <c r="K944" i="47"/>
  <c r="J944" i="47"/>
  <c r="H944" i="47"/>
  <c r="G944" i="47"/>
  <c r="C944" i="47"/>
  <c r="N943" i="47"/>
  <c r="L943" i="47"/>
  <c r="K943" i="47"/>
  <c r="J943" i="47"/>
  <c r="H943" i="47"/>
  <c r="G943" i="47"/>
  <c r="C943" i="47"/>
  <c r="N942" i="47"/>
  <c r="L942" i="47"/>
  <c r="K942" i="47"/>
  <c r="J942" i="47"/>
  <c r="H942" i="47"/>
  <c r="G942" i="47"/>
  <c r="C942" i="47"/>
  <c r="N940" i="47"/>
  <c r="L940" i="47"/>
  <c r="K940" i="47"/>
  <c r="J940" i="47"/>
  <c r="H940" i="47"/>
  <c r="G940" i="47"/>
  <c r="C940" i="47"/>
  <c r="N939" i="47"/>
  <c r="L939" i="47"/>
  <c r="K939" i="47"/>
  <c r="J939" i="47"/>
  <c r="H939" i="47"/>
  <c r="G939" i="47"/>
  <c r="C939" i="47"/>
  <c r="N938" i="47"/>
  <c r="L938" i="47"/>
  <c r="K938" i="47"/>
  <c r="J938" i="47"/>
  <c r="H938" i="47"/>
  <c r="G938" i="47"/>
  <c r="C938" i="47"/>
  <c r="N937" i="47"/>
  <c r="L937" i="47"/>
  <c r="K937" i="47"/>
  <c r="J937" i="47"/>
  <c r="H937" i="47"/>
  <c r="G937" i="47"/>
  <c r="C937" i="47"/>
  <c r="N936" i="47"/>
  <c r="L936" i="47"/>
  <c r="K936" i="47"/>
  <c r="J936" i="47"/>
  <c r="H936" i="47"/>
  <c r="G936" i="47"/>
  <c r="C936" i="47"/>
  <c r="N934" i="47"/>
  <c r="L934" i="47"/>
  <c r="K934" i="47"/>
  <c r="J934" i="47"/>
  <c r="H934" i="47"/>
  <c r="G934" i="47"/>
  <c r="C934" i="47"/>
  <c r="N933" i="47"/>
  <c r="L933" i="47"/>
  <c r="K933" i="47"/>
  <c r="J933" i="47"/>
  <c r="H933" i="47"/>
  <c r="G933" i="47"/>
  <c r="C933" i="47"/>
  <c r="N932" i="47"/>
  <c r="L932" i="47"/>
  <c r="K932" i="47"/>
  <c r="J932" i="47"/>
  <c r="H932" i="47"/>
  <c r="G932" i="47"/>
  <c r="C932" i="47"/>
  <c r="N931" i="47"/>
  <c r="L931" i="47"/>
  <c r="K931" i="47"/>
  <c r="J931" i="47"/>
  <c r="H931" i="47"/>
  <c r="G931" i="47"/>
  <c r="C931" i="47"/>
  <c r="N930" i="47"/>
  <c r="L930" i="47"/>
  <c r="K930" i="47"/>
  <c r="J930" i="47"/>
  <c r="H930" i="47"/>
  <c r="G930" i="47"/>
  <c r="C930" i="47"/>
  <c r="J928" i="47"/>
  <c r="I928" i="47"/>
  <c r="L928" i="47" s="1"/>
  <c r="H928" i="47"/>
  <c r="G928" i="47"/>
  <c r="C928" i="47"/>
  <c r="N928" i="47" s="1"/>
  <c r="J927" i="47"/>
  <c r="I927" i="47"/>
  <c r="L927" i="47" s="1"/>
  <c r="H927" i="47"/>
  <c r="G927" i="47"/>
  <c r="C927" i="47"/>
  <c r="N927" i="47" s="1"/>
  <c r="J890" i="47"/>
  <c r="I890" i="47"/>
  <c r="H890" i="47"/>
  <c r="G890" i="47"/>
  <c r="C890" i="47"/>
  <c r="N890" i="47" s="1"/>
  <c r="L889" i="47"/>
  <c r="K889" i="47"/>
  <c r="J889" i="47"/>
  <c r="H889" i="47"/>
  <c r="G889" i="47"/>
  <c r="C889" i="47"/>
  <c r="N889" i="47" s="1"/>
  <c r="L888" i="47"/>
  <c r="K888" i="47"/>
  <c r="J888" i="47"/>
  <c r="H888" i="47"/>
  <c r="G888" i="47"/>
  <c r="C888" i="47"/>
  <c r="N888" i="47" s="1"/>
  <c r="L887" i="47"/>
  <c r="K887" i="47"/>
  <c r="J887" i="47"/>
  <c r="H887" i="47"/>
  <c r="G887" i="47"/>
  <c r="C887" i="47"/>
  <c r="N887" i="47" s="1"/>
  <c r="L886" i="47"/>
  <c r="K886" i="47"/>
  <c r="J886" i="47"/>
  <c r="H886" i="47"/>
  <c r="G886" i="47"/>
  <c r="C886" i="47"/>
  <c r="N886" i="47" s="1"/>
  <c r="J885" i="47"/>
  <c r="I885" i="47"/>
  <c r="K885" i="47" s="1"/>
  <c r="H885" i="47"/>
  <c r="G885" i="47"/>
  <c r="C885" i="47"/>
  <c r="N885" i="47" s="1"/>
  <c r="L883" i="47"/>
  <c r="K883" i="47"/>
  <c r="J883" i="47"/>
  <c r="H883" i="47"/>
  <c r="G883" i="47"/>
  <c r="C883" i="47"/>
  <c r="N883" i="47" s="1"/>
  <c r="L882" i="47"/>
  <c r="K882" i="47"/>
  <c r="J882" i="47"/>
  <c r="H882" i="47"/>
  <c r="G882" i="47"/>
  <c r="C882" i="47"/>
  <c r="N882" i="47" s="1"/>
  <c r="L881" i="47"/>
  <c r="H881" i="47"/>
  <c r="G881" i="47"/>
  <c r="C881" i="47"/>
  <c r="L879" i="47"/>
  <c r="K879" i="47"/>
  <c r="J879" i="47"/>
  <c r="H879" i="47"/>
  <c r="G879" i="47"/>
  <c r="C879" i="47"/>
  <c r="N879" i="47" s="1"/>
  <c r="I878" i="47"/>
  <c r="H878" i="47"/>
  <c r="G878" i="47"/>
  <c r="C878" i="47"/>
  <c r="L877" i="47"/>
  <c r="H877" i="47"/>
  <c r="G877" i="47"/>
  <c r="C877" i="47"/>
  <c r="J871" i="47"/>
  <c r="I871" i="47"/>
  <c r="L871" i="47" s="1"/>
  <c r="H871" i="47"/>
  <c r="G871" i="47"/>
  <c r="C871" i="47"/>
  <c r="N871" i="47" s="1"/>
  <c r="J870" i="47"/>
  <c r="I870" i="47"/>
  <c r="K870" i="47" s="1"/>
  <c r="H870" i="47"/>
  <c r="G870" i="47"/>
  <c r="C870" i="47"/>
  <c r="N870" i="47" s="1"/>
  <c r="I869" i="47"/>
  <c r="L869" i="47" s="1"/>
  <c r="H869" i="47"/>
  <c r="G869" i="47"/>
  <c r="C869" i="47"/>
  <c r="L868" i="47"/>
  <c r="H868" i="47"/>
  <c r="G868" i="47"/>
  <c r="C868" i="47"/>
  <c r="N862" i="47"/>
  <c r="J862" i="47"/>
  <c r="K862" i="47"/>
  <c r="H862" i="47"/>
  <c r="G862" i="47"/>
  <c r="C862" i="47"/>
  <c r="L861" i="47"/>
  <c r="H861" i="47"/>
  <c r="G861" i="47"/>
  <c r="C861" i="47"/>
  <c r="N854" i="47"/>
  <c r="L854" i="47"/>
  <c r="K854" i="47"/>
  <c r="J854" i="47"/>
  <c r="H854" i="47"/>
  <c r="G854" i="47"/>
  <c r="C854" i="47"/>
  <c r="N853" i="47"/>
  <c r="L853" i="47"/>
  <c r="K853" i="47"/>
  <c r="J853" i="47"/>
  <c r="H853" i="47"/>
  <c r="G853" i="47"/>
  <c r="C853" i="47"/>
  <c r="N852" i="47"/>
  <c r="L852" i="47"/>
  <c r="K852" i="47"/>
  <c r="J852" i="47"/>
  <c r="H852" i="47"/>
  <c r="G852" i="47"/>
  <c r="C852" i="47"/>
  <c r="N851" i="47"/>
  <c r="L851" i="47"/>
  <c r="K851" i="47"/>
  <c r="J851" i="47"/>
  <c r="H851" i="47"/>
  <c r="G851" i="47"/>
  <c r="C851" i="47"/>
  <c r="N850" i="47"/>
  <c r="L850" i="47"/>
  <c r="K850" i="47"/>
  <c r="J850" i="47"/>
  <c r="H850" i="47"/>
  <c r="G850" i="47"/>
  <c r="C850" i="47"/>
  <c r="N848" i="47"/>
  <c r="L848" i="47"/>
  <c r="K848" i="47"/>
  <c r="J848" i="47"/>
  <c r="H848" i="47"/>
  <c r="G848" i="47"/>
  <c r="C848" i="47"/>
  <c r="N847" i="47"/>
  <c r="L847" i="47"/>
  <c r="K847" i="47"/>
  <c r="J847" i="47"/>
  <c r="H847" i="47"/>
  <c r="G847" i="47"/>
  <c r="C847" i="47"/>
  <c r="N846" i="47"/>
  <c r="L846" i="47"/>
  <c r="K846" i="47"/>
  <c r="J846" i="47"/>
  <c r="H846" i="47"/>
  <c r="G846" i="47"/>
  <c r="C846" i="47"/>
  <c r="N845" i="47"/>
  <c r="L845" i="47"/>
  <c r="K845" i="47"/>
  <c r="J845" i="47"/>
  <c r="H845" i="47"/>
  <c r="G845" i="47"/>
  <c r="C845" i="47"/>
  <c r="N844" i="47"/>
  <c r="L844" i="47"/>
  <c r="K844" i="47"/>
  <c r="J844" i="47"/>
  <c r="H844" i="47"/>
  <c r="G844" i="47"/>
  <c r="C844" i="47"/>
  <c r="N843" i="47"/>
  <c r="L843" i="47"/>
  <c r="K843" i="47"/>
  <c r="J843" i="47"/>
  <c r="H843" i="47"/>
  <c r="G843" i="47"/>
  <c r="C843" i="47"/>
  <c r="N842" i="47"/>
  <c r="L842" i="47"/>
  <c r="K842" i="47"/>
  <c r="J842" i="47"/>
  <c r="H842" i="47"/>
  <c r="G842" i="47"/>
  <c r="C842" i="47"/>
  <c r="N841" i="47"/>
  <c r="L841" i="47"/>
  <c r="K841" i="47"/>
  <c r="J841" i="47"/>
  <c r="H841" i="47"/>
  <c r="G841" i="47"/>
  <c r="C841" i="47"/>
  <c r="N840" i="47"/>
  <c r="L840" i="47"/>
  <c r="K840" i="47"/>
  <c r="J840" i="47"/>
  <c r="H840" i="47"/>
  <c r="G840" i="47"/>
  <c r="C840" i="47"/>
  <c r="N838" i="47"/>
  <c r="L838" i="47"/>
  <c r="K838" i="47"/>
  <c r="J838" i="47"/>
  <c r="H838" i="47"/>
  <c r="G838" i="47"/>
  <c r="C838" i="47"/>
  <c r="N837" i="47"/>
  <c r="L837" i="47"/>
  <c r="K837" i="47"/>
  <c r="J837" i="47"/>
  <c r="H837" i="47"/>
  <c r="G837" i="47"/>
  <c r="C837" i="47"/>
  <c r="N836" i="47"/>
  <c r="L836" i="47"/>
  <c r="K836" i="47"/>
  <c r="J836" i="47"/>
  <c r="H836" i="47"/>
  <c r="G836" i="47"/>
  <c r="C836" i="47"/>
  <c r="N835" i="47"/>
  <c r="L835" i="47"/>
  <c r="K835" i="47"/>
  <c r="J835" i="47"/>
  <c r="H835" i="47"/>
  <c r="G835" i="47"/>
  <c r="C835" i="47"/>
  <c r="N834" i="47"/>
  <c r="L834" i="47"/>
  <c r="K834" i="47"/>
  <c r="J834" i="47"/>
  <c r="H834" i="47"/>
  <c r="G834" i="47"/>
  <c r="C834" i="47"/>
  <c r="N833" i="47"/>
  <c r="L833" i="47"/>
  <c r="K833" i="47"/>
  <c r="J833" i="47"/>
  <c r="H833" i="47"/>
  <c r="G833" i="47"/>
  <c r="C833" i="47"/>
  <c r="N832" i="47"/>
  <c r="L832" i="47"/>
  <c r="K832" i="47"/>
  <c r="J832" i="47"/>
  <c r="H832" i="47"/>
  <c r="G832" i="47"/>
  <c r="C832" i="47"/>
  <c r="N768" i="47"/>
  <c r="L768" i="47"/>
  <c r="K768" i="47"/>
  <c r="J768" i="47"/>
  <c r="H768" i="47"/>
  <c r="G768" i="47"/>
  <c r="C768" i="47"/>
  <c r="N767" i="47"/>
  <c r="L767" i="47"/>
  <c r="K767" i="47"/>
  <c r="J767" i="47"/>
  <c r="H767" i="47"/>
  <c r="G767" i="47"/>
  <c r="C767" i="47"/>
  <c r="L766" i="47"/>
  <c r="H766" i="47"/>
  <c r="G766" i="47"/>
  <c r="C766" i="47"/>
  <c r="N764" i="47"/>
  <c r="L764" i="47"/>
  <c r="K764" i="47"/>
  <c r="J764" i="47"/>
  <c r="H764" i="47"/>
  <c r="G764" i="47"/>
  <c r="C764" i="47"/>
  <c r="N763" i="47"/>
  <c r="L763" i="47"/>
  <c r="K763" i="47"/>
  <c r="J763" i="47"/>
  <c r="H763" i="47"/>
  <c r="G763" i="47"/>
  <c r="C763" i="47"/>
  <c r="L762" i="47"/>
  <c r="H762" i="47"/>
  <c r="G762" i="47"/>
  <c r="C762" i="47"/>
  <c r="L760" i="47"/>
  <c r="H760" i="47"/>
  <c r="G760" i="47"/>
  <c r="C760" i="47"/>
  <c r="L759" i="47"/>
  <c r="H759" i="47"/>
  <c r="G759" i="47"/>
  <c r="C759" i="47"/>
  <c r="N758" i="47"/>
  <c r="L758" i="47"/>
  <c r="K758" i="47"/>
  <c r="J758" i="47"/>
  <c r="H758" i="47"/>
  <c r="G758" i="47"/>
  <c r="C758" i="47"/>
  <c r="N757" i="47"/>
  <c r="L757" i="47"/>
  <c r="K757" i="47"/>
  <c r="J757" i="47"/>
  <c r="H757" i="47"/>
  <c r="G757" i="47"/>
  <c r="C757" i="47"/>
  <c r="N755" i="47"/>
  <c r="L755" i="47"/>
  <c r="K755" i="47"/>
  <c r="J755" i="47"/>
  <c r="H755" i="47"/>
  <c r="G755" i="47"/>
  <c r="C755" i="47"/>
  <c r="L754" i="47"/>
  <c r="H754" i="47"/>
  <c r="G754" i="47"/>
  <c r="C754" i="47"/>
  <c r="N753" i="47"/>
  <c r="L753" i="47"/>
  <c r="K753" i="47"/>
  <c r="J753" i="47"/>
  <c r="H753" i="47"/>
  <c r="G753" i="47"/>
  <c r="C753" i="47"/>
  <c r="N751" i="47"/>
  <c r="L751" i="47"/>
  <c r="K751" i="47"/>
  <c r="J751" i="47"/>
  <c r="H751" i="47"/>
  <c r="G751" i="47"/>
  <c r="C751" i="47"/>
  <c r="L750" i="47"/>
  <c r="H750" i="47"/>
  <c r="G750" i="47"/>
  <c r="C750" i="47"/>
  <c r="N749" i="47"/>
  <c r="L749" i="47"/>
  <c r="K749" i="47"/>
  <c r="J749" i="47"/>
  <c r="H749" i="47"/>
  <c r="G749" i="47"/>
  <c r="C749" i="47"/>
  <c r="L747" i="47"/>
  <c r="H747" i="47"/>
  <c r="G747" i="47"/>
  <c r="C747" i="47"/>
  <c r="N746" i="47"/>
  <c r="L746" i="47"/>
  <c r="K746" i="47"/>
  <c r="J746" i="47"/>
  <c r="H746" i="47"/>
  <c r="G746" i="47"/>
  <c r="C746" i="47"/>
  <c r="N745" i="47"/>
  <c r="L745" i="47"/>
  <c r="K745" i="47"/>
  <c r="J745" i="47"/>
  <c r="H745" i="47"/>
  <c r="G745" i="47"/>
  <c r="C745" i="47"/>
  <c r="B517" i="53"/>
  <c r="N743" i="47"/>
  <c r="L743" i="47"/>
  <c r="K743" i="47"/>
  <c r="J743" i="47"/>
  <c r="H743" i="47"/>
  <c r="G743" i="47"/>
  <c r="C743" i="47"/>
  <c r="L742" i="47"/>
  <c r="H742" i="47"/>
  <c r="G742" i="47"/>
  <c r="C742" i="47"/>
  <c r="N740" i="47"/>
  <c r="L740" i="47"/>
  <c r="K740" i="47"/>
  <c r="J740" i="47"/>
  <c r="H740" i="47"/>
  <c r="G740" i="47"/>
  <c r="C740" i="47"/>
  <c r="N739" i="47"/>
  <c r="L739" i="47"/>
  <c r="K739" i="47"/>
  <c r="J739" i="47"/>
  <c r="H739" i="47"/>
  <c r="G739" i="47"/>
  <c r="C739" i="47"/>
  <c r="L738" i="47"/>
  <c r="H738" i="47"/>
  <c r="G738" i="47"/>
  <c r="C738" i="47"/>
  <c r="N736" i="47"/>
  <c r="L736" i="47"/>
  <c r="K736" i="47"/>
  <c r="J736" i="47"/>
  <c r="H736" i="47"/>
  <c r="G736" i="47"/>
  <c r="C736" i="47"/>
  <c r="N735" i="47"/>
  <c r="L735" i="47"/>
  <c r="K735" i="47"/>
  <c r="J735" i="47"/>
  <c r="H735" i="47"/>
  <c r="G735" i="47"/>
  <c r="C735" i="47"/>
  <c r="N734" i="47"/>
  <c r="L734" i="47"/>
  <c r="K734" i="47"/>
  <c r="J734" i="47"/>
  <c r="H734" i="47"/>
  <c r="G734" i="47"/>
  <c r="C734" i="47"/>
  <c r="L733" i="47"/>
  <c r="H733" i="47"/>
  <c r="G733" i="47"/>
  <c r="C733" i="47"/>
  <c r="L731" i="47"/>
  <c r="H731" i="47"/>
  <c r="G731" i="47"/>
  <c r="C731" i="47"/>
  <c r="N730" i="47"/>
  <c r="L730" i="47"/>
  <c r="K730" i="47"/>
  <c r="J730" i="47"/>
  <c r="H730" i="47"/>
  <c r="G730" i="47"/>
  <c r="C730" i="47"/>
  <c r="N729" i="47"/>
  <c r="L729" i="47"/>
  <c r="K729" i="47"/>
  <c r="J729" i="47"/>
  <c r="H729" i="47"/>
  <c r="G729" i="47"/>
  <c r="C729" i="47"/>
  <c r="B485" i="53"/>
  <c r="N727" i="47"/>
  <c r="L727" i="47"/>
  <c r="K727" i="47"/>
  <c r="J727" i="47"/>
  <c r="H727" i="47"/>
  <c r="G727" i="47"/>
  <c r="C727" i="47"/>
  <c r="L726" i="47"/>
  <c r="H726" i="47"/>
  <c r="G726" i="47"/>
  <c r="C726" i="47"/>
  <c r="N725" i="47"/>
  <c r="L725" i="47"/>
  <c r="K725" i="47"/>
  <c r="J725" i="47"/>
  <c r="H725" i="47"/>
  <c r="G725" i="47"/>
  <c r="C725" i="47"/>
  <c r="N724" i="47"/>
  <c r="L724" i="47"/>
  <c r="K724" i="47"/>
  <c r="J724" i="47"/>
  <c r="H724" i="47"/>
  <c r="G724" i="47"/>
  <c r="C724" i="47"/>
  <c r="N723" i="47"/>
  <c r="L723" i="47"/>
  <c r="K723" i="47"/>
  <c r="J723" i="47"/>
  <c r="H723" i="47"/>
  <c r="G723" i="47"/>
  <c r="C723" i="47"/>
  <c r="N721" i="47"/>
  <c r="L721" i="47"/>
  <c r="K721" i="47"/>
  <c r="J721" i="47"/>
  <c r="H721" i="47"/>
  <c r="G721" i="47"/>
  <c r="C721" i="47"/>
  <c r="N720" i="47"/>
  <c r="L720" i="47"/>
  <c r="K720" i="47"/>
  <c r="J720" i="47"/>
  <c r="H720" i="47"/>
  <c r="G720" i="47"/>
  <c r="C720" i="47"/>
  <c r="N719" i="47"/>
  <c r="L719" i="47"/>
  <c r="K719" i="47"/>
  <c r="J719" i="47"/>
  <c r="H719" i="47"/>
  <c r="G719" i="47"/>
  <c r="C719" i="47"/>
  <c r="N717" i="47"/>
  <c r="L717" i="47"/>
  <c r="K717" i="47"/>
  <c r="J717" i="47"/>
  <c r="H717" i="47"/>
  <c r="G717" i="47"/>
  <c r="C717" i="47"/>
  <c r="N716" i="47"/>
  <c r="L716" i="47"/>
  <c r="K716" i="47"/>
  <c r="J716" i="47"/>
  <c r="H716" i="47"/>
  <c r="G716" i="47"/>
  <c r="C716" i="47"/>
  <c r="N715" i="47"/>
  <c r="L715" i="47"/>
  <c r="K715" i="47"/>
  <c r="J715" i="47"/>
  <c r="H715" i="47"/>
  <c r="G715" i="47"/>
  <c r="C715" i="47"/>
  <c r="N713" i="47"/>
  <c r="L713" i="47"/>
  <c r="K713" i="47"/>
  <c r="J713" i="47"/>
  <c r="H713" i="47"/>
  <c r="G713" i="47"/>
  <c r="C713" i="47"/>
  <c r="N712" i="47"/>
  <c r="L712" i="47"/>
  <c r="K712" i="47"/>
  <c r="J712" i="47"/>
  <c r="H712" i="47"/>
  <c r="G712" i="47"/>
  <c r="C712" i="47"/>
  <c r="N711" i="47"/>
  <c r="L711" i="47"/>
  <c r="K711" i="47"/>
  <c r="J711" i="47"/>
  <c r="H711" i="47"/>
  <c r="G711" i="47"/>
  <c r="C711" i="47"/>
  <c r="N709" i="47"/>
  <c r="L709" i="47"/>
  <c r="K709" i="47"/>
  <c r="J709" i="47"/>
  <c r="H709" i="47"/>
  <c r="G709" i="47"/>
  <c r="C709" i="47"/>
  <c r="N708" i="47"/>
  <c r="L708" i="47"/>
  <c r="K708" i="47"/>
  <c r="J708" i="47"/>
  <c r="H708" i="47"/>
  <c r="G708" i="47"/>
  <c r="C708" i="47"/>
  <c r="N707" i="47"/>
  <c r="L707" i="47"/>
  <c r="K707" i="47"/>
  <c r="J707" i="47"/>
  <c r="H707" i="47"/>
  <c r="G707" i="47"/>
  <c r="C707" i="47"/>
  <c r="I705" i="47"/>
  <c r="H705" i="47"/>
  <c r="G705" i="47"/>
  <c r="C705" i="47"/>
  <c r="L704" i="47"/>
  <c r="H704" i="47"/>
  <c r="G704" i="47"/>
  <c r="C704" i="47"/>
  <c r="N703" i="47"/>
  <c r="L703" i="47"/>
  <c r="K703" i="47"/>
  <c r="J703" i="47"/>
  <c r="H703" i="47"/>
  <c r="G703" i="47"/>
  <c r="C703" i="47"/>
  <c r="N702" i="47"/>
  <c r="L702" i="47"/>
  <c r="K702" i="47"/>
  <c r="J702" i="47"/>
  <c r="H702" i="47"/>
  <c r="G702" i="47"/>
  <c r="C702" i="47"/>
  <c r="N701" i="47"/>
  <c r="L701" i="47"/>
  <c r="K701" i="47"/>
  <c r="J701" i="47"/>
  <c r="H701" i="47"/>
  <c r="G701" i="47"/>
  <c r="C701" i="47"/>
  <c r="L699" i="47"/>
  <c r="H699" i="47"/>
  <c r="G699" i="47"/>
  <c r="C699" i="47"/>
  <c r="N698" i="47"/>
  <c r="L698" i="47"/>
  <c r="K698" i="47"/>
  <c r="J698" i="47"/>
  <c r="H698" i="47"/>
  <c r="G698" i="47"/>
  <c r="C698" i="47"/>
  <c r="N697" i="47"/>
  <c r="L697" i="47"/>
  <c r="K697" i="47"/>
  <c r="J697" i="47"/>
  <c r="H697" i="47"/>
  <c r="G697" i="47"/>
  <c r="C697" i="47"/>
  <c r="B451" i="53"/>
  <c r="L695" i="47"/>
  <c r="H695" i="47"/>
  <c r="G695" i="47"/>
  <c r="C695" i="47"/>
  <c r="N694" i="47"/>
  <c r="L694" i="47"/>
  <c r="K694" i="47"/>
  <c r="J694" i="47"/>
  <c r="H694" i="47"/>
  <c r="G694" i="47"/>
  <c r="C694" i="47"/>
  <c r="N693" i="47"/>
  <c r="L693" i="47"/>
  <c r="K693" i="47"/>
  <c r="J693" i="47"/>
  <c r="H693" i="47"/>
  <c r="G693" i="47"/>
  <c r="C693" i="47"/>
  <c r="B450" i="53"/>
  <c r="B469" i="53"/>
  <c r="N674" i="47"/>
  <c r="J674" i="47"/>
  <c r="I674" i="47"/>
  <c r="H674" i="47"/>
  <c r="G674" i="47"/>
  <c r="C674" i="47"/>
  <c r="N673" i="47"/>
  <c r="J673" i="47"/>
  <c r="I673" i="47"/>
  <c r="H673" i="47"/>
  <c r="G673" i="47"/>
  <c r="C673" i="47"/>
  <c r="N672" i="47"/>
  <c r="J672" i="47"/>
  <c r="I672" i="47"/>
  <c r="L672" i="47" s="1"/>
  <c r="H672" i="47"/>
  <c r="G672" i="47"/>
  <c r="C672" i="47"/>
  <c r="N671" i="47"/>
  <c r="J671" i="47"/>
  <c r="I671" i="47"/>
  <c r="H671" i="47"/>
  <c r="G671" i="47"/>
  <c r="C671" i="47"/>
  <c r="L670" i="47"/>
  <c r="H670" i="47"/>
  <c r="G670" i="47"/>
  <c r="C670" i="47"/>
  <c r="L668" i="47"/>
  <c r="H668" i="47"/>
  <c r="G668" i="47"/>
  <c r="C668" i="47"/>
  <c r="N667" i="47"/>
  <c r="L667" i="47"/>
  <c r="K667" i="47"/>
  <c r="J667" i="47"/>
  <c r="H667" i="47"/>
  <c r="G667" i="47"/>
  <c r="C667" i="47"/>
  <c r="N666" i="47"/>
  <c r="L666" i="47"/>
  <c r="K666" i="47"/>
  <c r="J666" i="47"/>
  <c r="H666" i="47"/>
  <c r="G666" i="47"/>
  <c r="C666" i="47"/>
  <c r="N665" i="47"/>
  <c r="L665" i="47"/>
  <c r="K665" i="47"/>
  <c r="J665" i="47"/>
  <c r="H665" i="47"/>
  <c r="G665" i="47"/>
  <c r="C665" i="47"/>
  <c r="B449" i="53"/>
  <c r="N663" i="47"/>
  <c r="L663" i="47"/>
  <c r="K663" i="47"/>
  <c r="J663" i="47"/>
  <c r="H663" i="47"/>
  <c r="G663" i="47"/>
  <c r="C663" i="47"/>
  <c r="N662" i="47"/>
  <c r="L662" i="47"/>
  <c r="K662" i="47"/>
  <c r="J662" i="47"/>
  <c r="H662" i="47"/>
  <c r="G662" i="47"/>
  <c r="C662" i="47"/>
  <c r="L661" i="47"/>
  <c r="H661" i="47"/>
  <c r="G661" i="47"/>
  <c r="C661" i="47"/>
  <c r="N660" i="47"/>
  <c r="L660" i="47"/>
  <c r="K660" i="47"/>
  <c r="J660" i="47"/>
  <c r="H660" i="47"/>
  <c r="G660" i="47"/>
  <c r="C660" i="47"/>
  <c r="N659" i="47"/>
  <c r="L659" i="47"/>
  <c r="K659" i="47"/>
  <c r="J659" i="47"/>
  <c r="H659" i="47"/>
  <c r="G659" i="47"/>
  <c r="C659" i="47"/>
  <c r="N657" i="47"/>
  <c r="L657" i="47"/>
  <c r="K657" i="47"/>
  <c r="J657" i="47"/>
  <c r="H657" i="47"/>
  <c r="G657" i="47"/>
  <c r="C657" i="47"/>
  <c r="L656" i="47"/>
  <c r="H656" i="47"/>
  <c r="G656" i="47"/>
  <c r="C656" i="47"/>
  <c r="N654" i="47"/>
  <c r="L654" i="47"/>
  <c r="K654" i="47"/>
  <c r="J654" i="47"/>
  <c r="H654" i="47"/>
  <c r="G654" i="47"/>
  <c r="C654" i="47"/>
  <c r="L653" i="47"/>
  <c r="H653" i="47"/>
  <c r="G653" i="47"/>
  <c r="C653" i="47"/>
  <c r="N651" i="47"/>
  <c r="L651" i="47"/>
  <c r="K651" i="47"/>
  <c r="J651" i="47"/>
  <c r="H651" i="47"/>
  <c r="G651" i="47"/>
  <c r="C651" i="47"/>
  <c r="N650" i="47"/>
  <c r="L650" i="47"/>
  <c r="K650" i="47"/>
  <c r="J650" i="47"/>
  <c r="H650" i="47"/>
  <c r="G650" i="47"/>
  <c r="C650" i="47"/>
  <c r="L649" i="47"/>
  <c r="H649" i="47"/>
  <c r="G649" i="47"/>
  <c r="C649" i="47"/>
  <c r="N647" i="47"/>
  <c r="L647" i="47"/>
  <c r="K647" i="47"/>
  <c r="J647" i="47"/>
  <c r="H647" i="47"/>
  <c r="G647" i="47"/>
  <c r="C647" i="47"/>
  <c r="N646" i="47"/>
  <c r="L646" i="47"/>
  <c r="K646" i="47"/>
  <c r="J646" i="47"/>
  <c r="H646" i="47"/>
  <c r="G646" i="47"/>
  <c r="C646" i="47"/>
  <c r="L645" i="47"/>
  <c r="H645" i="47"/>
  <c r="G645" i="47"/>
  <c r="C645" i="47"/>
  <c r="N471" i="47"/>
  <c r="L471" i="47"/>
  <c r="K471" i="47"/>
  <c r="J471" i="47"/>
  <c r="H471" i="47"/>
  <c r="G471" i="47"/>
  <c r="C471" i="47"/>
  <c r="N470" i="47"/>
  <c r="L470" i="47"/>
  <c r="K470" i="47"/>
  <c r="J470" i="47"/>
  <c r="H470" i="47"/>
  <c r="G470" i="47"/>
  <c r="C470" i="47"/>
  <c r="L469" i="47"/>
  <c r="H469" i="47"/>
  <c r="G469" i="47"/>
  <c r="C469" i="47"/>
  <c r="Q467" i="47"/>
  <c r="N467" i="47"/>
  <c r="L467" i="47"/>
  <c r="K467" i="47"/>
  <c r="J467" i="47"/>
  <c r="H467" i="47"/>
  <c r="G467" i="47"/>
  <c r="C467" i="47"/>
  <c r="N466" i="47"/>
  <c r="L466" i="47"/>
  <c r="K466" i="47"/>
  <c r="J466" i="47"/>
  <c r="H466" i="47"/>
  <c r="G466" i="47"/>
  <c r="C466" i="47"/>
  <c r="N465" i="47"/>
  <c r="L465" i="47"/>
  <c r="K465" i="47"/>
  <c r="J465" i="47"/>
  <c r="H465" i="47"/>
  <c r="G465" i="47"/>
  <c r="C465" i="47"/>
  <c r="N464" i="47"/>
  <c r="L464" i="47"/>
  <c r="K464" i="47"/>
  <c r="J464" i="47"/>
  <c r="H464" i="47"/>
  <c r="G464" i="47"/>
  <c r="C464" i="47"/>
  <c r="N463" i="47"/>
  <c r="L463" i="47"/>
  <c r="K463" i="47"/>
  <c r="J463" i="47"/>
  <c r="H463" i="47"/>
  <c r="G463" i="47"/>
  <c r="C463" i="47"/>
  <c r="Q462" i="47"/>
  <c r="N462" i="47"/>
  <c r="L462" i="47"/>
  <c r="K462" i="47"/>
  <c r="J462" i="47"/>
  <c r="H462" i="47"/>
  <c r="G462" i="47"/>
  <c r="C462" i="47"/>
  <c r="Q461" i="47"/>
  <c r="N461" i="47"/>
  <c r="L461" i="47"/>
  <c r="K461" i="47"/>
  <c r="J461" i="47"/>
  <c r="H461" i="47"/>
  <c r="G461" i="47"/>
  <c r="C461" i="47"/>
  <c r="Q460" i="47"/>
  <c r="N460" i="47"/>
  <c r="L460" i="47"/>
  <c r="K460" i="47"/>
  <c r="J460" i="47"/>
  <c r="H460" i="47"/>
  <c r="G460" i="47"/>
  <c r="C460" i="47"/>
  <c r="N459" i="47"/>
  <c r="L459" i="47"/>
  <c r="K459" i="47"/>
  <c r="J459" i="47"/>
  <c r="H459" i="47"/>
  <c r="G459" i="47"/>
  <c r="C459" i="47"/>
  <c r="N458" i="47"/>
  <c r="L458" i="47"/>
  <c r="K458" i="47"/>
  <c r="J458" i="47"/>
  <c r="H458" i="47"/>
  <c r="G458" i="47"/>
  <c r="C458" i="47"/>
  <c r="N457" i="47"/>
  <c r="L457" i="47"/>
  <c r="K457" i="47"/>
  <c r="J457" i="47"/>
  <c r="H457" i="47"/>
  <c r="G457" i="47"/>
  <c r="C457" i="47"/>
  <c r="N456" i="47"/>
  <c r="L456" i="47"/>
  <c r="K456" i="47"/>
  <c r="J456" i="47"/>
  <c r="H456" i="47"/>
  <c r="G456" i="47"/>
  <c r="C456" i="47"/>
  <c r="N455" i="47"/>
  <c r="L455" i="47"/>
  <c r="K455" i="47"/>
  <c r="J455" i="47"/>
  <c r="H455" i="47"/>
  <c r="G455" i="47"/>
  <c r="C455" i="47"/>
  <c r="N454" i="47"/>
  <c r="L454" i="47"/>
  <c r="K454" i="47"/>
  <c r="J454" i="47"/>
  <c r="H454" i="47"/>
  <c r="G454" i="47"/>
  <c r="C454" i="47"/>
  <c r="N453" i="47"/>
  <c r="L453" i="47"/>
  <c r="K453" i="47"/>
  <c r="J453" i="47"/>
  <c r="H453" i="47"/>
  <c r="G453" i="47"/>
  <c r="C453" i="47"/>
  <c r="L451" i="47"/>
  <c r="H451" i="47"/>
  <c r="G451" i="47"/>
  <c r="C451" i="47"/>
  <c r="N450" i="47"/>
  <c r="L450" i="47"/>
  <c r="K450" i="47"/>
  <c r="J450" i="47"/>
  <c r="H450" i="47"/>
  <c r="G450" i="47"/>
  <c r="C450" i="47"/>
  <c r="N449" i="47"/>
  <c r="L449" i="47"/>
  <c r="K449" i="47"/>
  <c r="J449" i="47"/>
  <c r="H449" i="47"/>
  <c r="G449" i="47"/>
  <c r="C449" i="47"/>
  <c r="N448" i="47"/>
  <c r="L448" i="47"/>
  <c r="K448" i="47"/>
  <c r="J448" i="47"/>
  <c r="H448" i="47"/>
  <c r="G448" i="47"/>
  <c r="C448" i="47"/>
  <c r="B255" i="53"/>
  <c r="L443" i="47"/>
  <c r="H443" i="47"/>
  <c r="G443" i="47"/>
  <c r="C443" i="47"/>
  <c r="N442" i="47"/>
  <c r="L442" i="47"/>
  <c r="K442" i="47"/>
  <c r="J442" i="47"/>
  <c r="H442" i="47"/>
  <c r="G442" i="47"/>
  <c r="C442" i="47"/>
  <c r="B247" i="53"/>
  <c r="N434" i="47"/>
  <c r="L434" i="47"/>
  <c r="K434" i="47"/>
  <c r="J434" i="47"/>
  <c r="H434" i="47"/>
  <c r="G434" i="47"/>
  <c r="C434" i="47"/>
  <c r="N433" i="47"/>
  <c r="L433" i="47"/>
  <c r="K433" i="47"/>
  <c r="J433" i="47"/>
  <c r="H433" i="47"/>
  <c r="G433" i="47"/>
  <c r="C433" i="47"/>
  <c r="N431" i="47"/>
  <c r="L431" i="47"/>
  <c r="K431" i="47"/>
  <c r="J431" i="47"/>
  <c r="H431" i="47"/>
  <c r="G431" i="47"/>
  <c r="C431" i="47"/>
  <c r="N430" i="47"/>
  <c r="L430" i="47"/>
  <c r="K430" i="47"/>
  <c r="J430" i="47"/>
  <c r="H430" i="47"/>
  <c r="G430" i="47"/>
  <c r="C430" i="47"/>
  <c r="N428" i="47"/>
  <c r="L428" i="47"/>
  <c r="K428" i="47"/>
  <c r="J428" i="47"/>
  <c r="H428" i="47"/>
  <c r="G428" i="47"/>
  <c r="C428" i="47"/>
  <c r="N427" i="47"/>
  <c r="L427" i="47"/>
  <c r="K427" i="47"/>
  <c r="J427" i="47"/>
  <c r="H427" i="47"/>
  <c r="G427" i="47"/>
  <c r="C427" i="47"/>
  <c r="N426" i="47"/>
  <c r="L426" i="47"/>
  <c r="K426" i="47"/>
  <c r="J426" i="47"/>
  <c r="H426" i="47"/>
  <c r="G426" i="47"/>
  <c r="C426" i="47"/>
  <c r="L425" i="47"/>
  <c r="H425" i="47"/>
  <c r="G425" i="47"/>
  <c r="C425" i="47"/>
  <c r="L424" i="47"/>
  <c r="H424" i="47"/>
  <c r="G424" i="47"/>
  <c r="C424" i="47"/>
  <c r="N423" i="47"/>
  <c r="L423" i="47"/>
  <c r="K423" i="47"/>
  <c r="J423" i="47"/>
  <c r="H423" i="47"/>
  <c r="G423" i="47"/>
  <c r="C423" i="47"/>
  <c r="N422" i="47"/>
  <c r="L422" i="47"/>
  <c r="K422" i="47"/>
  <c r="J422" i="47"/>
  <c r="H422" i="47"/>
  <c r="G422" i="47"/>
  <c r="C422" i="47"/>
  <c r="N421" i="47"/>
  <c r="L421" i="47"/>
  <c r="K421" i="47"/>
  <c r="J421" i="47"/>
  <c r="H421" i="47"/>
  <c r="G421" i="47"/>
  <c r="C421" i="47"/>
  <c r="N420" i="47"/>
  <c r="L420" i="47"/>
  <c r="K420" i="47"/>
  <c r="J420" i="47"/>
  <c r="H420" i="47"/>
  <c r="G420" i="47"/>
  <c r="C420" i="47"/>
  <c r="N268" i="47"/>
  <c r="L268" i="47"/>
  <c r="K268" i="47"/>
  <c r="J268" i="47"/>
  <c r="H268" i="47"/>
  <c r="G268" i="47"/>
  <c r="C268" i="47"/>
  <c r="N267" i="47"/>
  <c r="L267" i="47"/>
  <c r="K267" i="47"/>
  <c r="J267" i="47"/>
  <c r="H267" i="47"/>
  <c r="G267" i="47"/>
  <c r="C267" i="47"/>
  <c r="N265" i="47"/>
  <c r="L265" i="47"/>
  <c r="K265" i="47"/>
  <c r="J265" i="47"/>
  <c r="H265" i="47"/>
  <c r="G265" i="47"/>
  <c r="C265" i="47"/>
  <c r="N264" i="47"/>
  <c r="L264" i="47"/>
  <c r="K264" i="47"/>
  <c r="J264" i="47"/>
  <c r="H264" i="47"/>
  <c r="G264" i="47"/>
  <c r="C264" i="47"/>
  <c r="N263" i="47"/>
  <c r="L263" i="47"/>
  <c r="K263" i="47"/>
  <c r="J263" i="47"/>
  <c r="H263" i="47"/>
  <c r="G263" i="47"/>
  <c r="C263" i="47"/>
  <c r="N262" i="47"/>
  <c r="L262" i="47"/>
  <c r="K262" i="47"/>
  <c r="J262" i="47"/>
  <c r="H262" i="47"/>
  <c r="G262" i="47"/>
  <c r="C262" i="47"/>
  <c r="N261" i="47"/>
  <c r="L261" i="47"/>
  <c r="K261" i="47"/>
  <c r="J261" i="47"/>
  <c r="H261" i="47"/>
  <c r="G261" i="47"/>
  <c r="C261" i="47"/>
  <c r="N260" i="47"/>
  <c r="L260" i="47"/>
  <c r="K260" i="47"/>
  <c r="J260" i="47"/>
  <c r="H260" i="47"/>
  <c r="G260" i="47"/>
  <c r="C260" i="47"/>
  <c r="N259" i="47"/>
  <c r="L259" i="47"/>
  <c r="K259" i="47"/>
  <c r="J259" i="47"/>
  <c r="H259" i="47"/>
  <c r="G259" i="47"/>
  <c r="C259" i="47"/>
  <c r="L258" i="47"/>
  <c r="H258" i="47"/>
  <c r="G258" i="47"/>
  <c r="C258" i="47"/>
  <c r="N257" i="47"/>
  <c r="L257" i="47"/>
  <c r="K257" i="47"/>
  <c r="J257" i="47"/>
  <c r="H257" i="47"/>
  <c r="G257" i="47"/>
  <c r="C257" i="47"/>
  <c r="N255" i="47"/>
  <c r="L255" i="47"/>
  <c r="L254" i="47" s="1"/>
  <c r="K255" i="47"/>
  <c r="J255" i="47"/>
  <c r="H255" i="47"/>
  <c r="G255" i="47"/>
  <c r="C255" i="47"/>
  <c r="N249" i="47"/>
  <c r="L249" i="47"/>
  <c r="K249" i="47"/>
  <c r="J249" i="47"/>
  <c r="H249" i="47"/>
  <c r="G249" i="47"/>
  <c r="C249" i="47"/>
  <c r="N248" i="47"/>
  <c r="L248" i="47"/>
  <c r="K248" i="47"/>
  <c r="J248" i="47"/>
  <c r="H248" i="47"/>
  <c r="G248" i="47"/>
  <c r="C248" i="47"/>
  <c r="N247" i="47"/>
  <c r="L247" i="47"/>
  <c r="K247" i="47"/>
  <c r="J247" i="47"/>
  <c r="H247" i="47"/>
  <c r="G247" i="47"/>
  <c r="C247" i="47"/>
  <c r="N245" i="47"/>
  <c r="L245" i="47"/>
  <c r="K245" i="47"/>
  <c r="J245" i="47"/>
  <c r="H245" i="47"/>
  <c r="G245" i="47"/>
  <c r="C245" i="47"/>
  <c r="N244" i="47"/>
  <c r="L244" i="47"/>
  <c r="K244" i="47"/>
  <c r="J244" i="47"/>
  <c r="H244" i="47"/>
  <c r="G244" i="47"/>
  <c r="C244" i="47"/>
  <c r="N243" i="47"/>
  <c r="L243" i="47"/>
  <c r="K243" i="47"/>
  <c r="J243" i="47"/>
  <c r="H243" i="47"/>
  <c r="G243" i="47"/>
  <c r="C243" i="47"/>
  <c r="N241" i="47"/>
  <c r="L241" i="47"/>
  <c r="K241" i="47"/>
  <c r="J241" i="47"/>
  <c r="H241" i="47"/>
  <c r="G241" i="47"/>
  <c r="C241" i="47"/>
  <c r="N240" i="47"/>
  <c r="L240" i="47"/>
  <c r="K240" i="47"/>
  <c r="J240" i="47"/>
  <c r="H240" i="47"/>
  <c r="G240" i="47"/>
  <c r="C240" i="47"/>
  <c r="N239" i="47"/>
  <c r="L239" i="47"/>
  <c r="K239" i="47"/>
  <c r="J239" i="47"/>
  <c r="H239" i="47"/>
  <c r="G239" i="47"/>
  <c r="C239" i="47"/>
  <c r="Q238" i="47"/>
  <c r="L233" i="47"/>
  <c r="L232" i="47" s="1"/>
  <c r="H233" i="47"/>
  <c r="G233" i="47"/>
  <c r="C233" i="47"/>
  <c r="B112" i="53"/>
  <c r="N231" i="47"/>
  <c r="L231" i="47"/>
  <c r="K231" i="47"/>
  <c r="J231" i="47"/>
  <c r="H231" i="47"/>
  <c r="G231" i="47"/>
  <c r="C231" i="47"/>
  <c r="N230" i="47"/>
  <c r="L230" i="47"/>
  <c r="K230" i="47"/>
  <c r="J230" i="47"/>
  <c r="H230" i="47"/>
  <c r="G230" i="47"/>
  <c r="C230" i="47"/>
  <c r="N229" i="47"/>
  <c r="L229" i="47"/>
  <c r="K229" i="47"/>
  <c r="J229" i="47"/>
  <c r="H229" i="47"/>
  <c r="G229" i="47"/>
  <c r="C229" i="47"/>
  <c r="N228" i="47"/>
  <c r="L228" i="47"/>
  <c r="K228" i="47"/>
  <c r="J228" i="47"/>
  <c r="H228" i="47"/>
  <c r="G228" i="47"/>
  <c r="C228" i="47"/>
  <c r="N227" i="47"/>
  <c r="L227" i="47"/>
  <c r="K227" i="47"/>
  <c r="J227" i="47"/>
  <c r="H227" i="47"/>
  <c r="G227" i="47"/>
  <c r="C227" i="47"/>
  <c r="N226" i="47"/>
  <c r="L226" i="47"/>
  <c r="K226" i="47"/>
  <c r="J226" i="47"/>
  <c r="H226" i="47"/>
  <c r="G226" i="47"/>
  <c r="C226" i="47"/>
  <c r="N224" i="47"/>
  <c r="J224" i="47"/>
  <c r="I224" i="47"/>
  <c r="H224" i="47"/>
  <c r="G224" i="47"/>
  <c r="C224" i="47"/>
  <c r="N223" i="47"/>
  <c r="J223" i="47"/>
  <c r="I223" i="47"/>
  <c r="L223" i="47" s="1"/>
  <c r="H223" i="47"/>
  <c r="G223" i="47"/>
  <c r="C223" i="47"/>
  <c r="L212" i="47"/>
  <c r="H212" i="47"/>
  <c r="G212" i="47"/>
  <c r="C212" i="47"/>
  <c r="N211" i="47"/>
  <c r="L211" i="47"/>
  <c r="K211" i="47"/>
  <c r="J211" i="47"/>
  <c r="H211" i="47"/>
  <c r="G211" i="47"/>
  <c r="C211" i="47"/>
  <c r="N210" i="47"/>
  <c r="L210" i="47"/>
  <c r="K210" i="47"/>
  <c r="J210" i="47"/>
  <c r="H210" i="47"/>
  <c r="G210" i="47"/>
  <c r="C210" i="47"/>
  <c r="N208" i="47"/>
  <c r="L208" i="47"/>
  <c r="K208" i="47"/>
  <c r="J208" i="47"/>
  <c r="H208" i="47"/>
  <c r="G208" i="47"/>
  <c r="C208" i="47"/>
  <c r="N207" i="47"/>
  <c r="L207" i="47"/>
  <c r="K207" i="47"/>
  <c r="J207" i="47"/>
  <c r="H207" i="47"/>
  <c r="G207" i="47"/>
  <c r="C207" i="47"/>
  <c r="N206" i="47"/>
  <c r="L206" i="47"/>
  <c r="K206" i="47"/>
  <c r="J206" i="47"/>
  <c r="H206" i="47"/>
  <c r="G206" i="47"/>
  <c r="C206" i="47"/>
  <c r="N205" i="47"/>
  <c r="L205" i="47"/>
  <c r="K205" i="47"/>
  <c r="J205" i="47"/>
  <c r="H205" i="47"/>
  <c r="G205" i="47"/>
  <c r="C205" i="47"/>
  <c r="N204" i="47"/>
  <c r="L204" i="47"/>
  <c r="K204" i="47"/>
  <c r="J204" i="47"/>
  <c r="H204" i="47"/>
  <c r="G204" i="47"/>
  <c r="C204" i="47"/>
  <c r="N203" i="47"/>
  <c r="L203" i="47"/>
  <c r="K203" i="47"/>
  <c r="J203" i="47"/>
  <c r="H203" i="47"/>
  <c r="G203" i="47"/>
  <c r="C203" i="47"/>
  <c r="N202" i="47"/>
  <c r="L202" i="47"/>
  <c r="K202" i="47"/>
  <c r="J202" i="47"/>
  <c r="H202" i="47"/>
  <c r="G202" i="47"/>
  <c r="C202" i="47"/>
  <c r="N200" i="47"/>
  <c r="L200" i="47"/>
  <c r="K200" i="47"/>
  <c r="J200" i="47"/>
  <c r="H200" i="47"/>
  <c r="G200" i="47"/>
  <c r="C200" i="47"/>
  <c r="N199" i="47"/>
  <c r="L199" i="47"/>
  <c r="K199" i="47"/>
  <c r="J199" i="47"/>
  <c r="H199" i="47"/>
  <c r="G199" i="47"/>
  <c r="C199" i="47"/>
  <c r="N198" i="47"/>
  <c r="L198" i="47"/>
  <c r="K198" i="47"/>
  <c r="J198" i="47"/>
  <c r="H198" i="47"/>
  <c r="G198" i="47"/>
  <c r="C198" i="47"/>
  <c r="N197" i="47"/>
  <c r="L197" i="47"/>
  <c r="K197" i="47"/>
  <c r="J197" i="47"/>
  <c r="H197" i="47"/>
  <c r="G197" i="47"/>
  <c r="C197" i="47"/>
  <c r="N195" i="47"/>
  <c r="J195" i="47"/>
  <c r="H195" i="47"/>
  <c r="G195" i="47"/>
  <c r="C195" i="47"/>
  <c r="N194" i="47"/>
  <c r="J194" i="47"/>
  <c r="K194" i="47"/>
  <c r="H194" i="47"/>
  <c r="G194" i="47"/>
  <c r="C194" i="47"/>
  <c r="N193" i="47"/>
  <c r="L193" i="47"/>
  <c r="K193" i="47"/>
  <c r="J193" i="47"/>
  <c r="H193" i="47"/>
  <c r="G193" i="47"/>
  <c r="C193" i="47"/>
  <c r="N191" i="47"/>
  <c r="L191" i="47"/>
  <c r="K191" i="47"/>
  <c r="J191" i="47"/>
  <c r="H191" i="47"/>
  <c r="G191" i="47"/>
  <c r="C191" i="47"/>
  <c r="N190" i="47"/>
  <c r="L190" i="47"/>
  <c r="K190" i="47"/>
  <c r="J190" i="47"/>
  <c r="H190" i="47"/>
  <c r="G190" i="47"/>
  <c r="C190" i="47"/>
  <c r="N189" i="47"/>
  <c r="L189" i="47"/>
  <c r="K189" i="47"/>
  <c r="J189" i="47"/>
  <c r="H189" i="47"/>
  <c r="G189" i="47"/>
  <c r="C189" i="47"/>
  <c r="N187" i="47"/>
  <c r="L187" i="47"/>
  <c r="K187" i="47"/>
  <c r="J187" i="47"/>
  <c r="H187" i="47"/>
  <c r="G187" i="47"/>
  <c r="C187" i="47"/>
  <c r="N186" i="47"/>
  <c r="L186" i="47"/>
  <c r="K186" i="47"/>
  <c r="J186" i="47"/>
  <c r="H186" i="47"/>
  <c r="G186" i="47"/>
  <c r="C186" i="47"/>
  <c r="J184" i="47"/>
  <c r="I184" i="47"/>
  <c r="H184" i="47"/>
  <c r="G184" i="47"/>
  <c r="C184" i="47"/>
  <c r="N182" i="47"/>
  <c r="J182" i="47"/>
  <c r="H182" i="47"/>
  <c r="G182" i="47"/>
  <c r="C182" i="47"/>
  <c r="N181" i="47"/>
  <c r="J181" i="47"/>
  <c r="I181" i="47"/>
  <c r="I182" i="47" s="1"/>
  <c r="L182" i="47" s="1"/>
  <c r="H181" i="47"/>
  <c r="G181" i="47"/>
  <c r="C181" i="47"/>
  <c r="N180" i="47"/>
  <c r="J180" i="47"/>
  <c r="I180" i="47"/>
  <c r="K180" i="47" s="1"/>
  <c r="H180" i="47"/>
  <c r="G180" i="47"/>
  <c r="C180" i="47"/>
  <c r="N179" i="47"/>
  <c r="L179" i="47"/>
  <c r="K179" i="47"/>
  <c r="J179" i="47"/>
  <c r="H179" i="47"/>
  <c r="G179" i="47"/>
  <c r="C179" i="47"/>
  <c r="N178" i="47"/>
  <c r="J178" i="47"/>
  <c r="I178" i="47"/>
  <c r="L178" i="47" s="1"/>
  <c r="H178" i="47"/>
  <c r="G178" i="47"/>
  <c r="C178" i="47"/>
  <c r="N177" i="47"/>
  <c r="L177" i="47"/>
  <c r="K177" i="47"/>
  <c r="J177" i="47"/>
  <c r="H177" i="47"/>
  <c r="G177" i="47"/>
  <c r="C177" i="47"/>
  <c r="N176" i="47"/>
  <c r="L176" i="47"/>
  <c r="K176" i="47"/>
  <c r="J176" i="47"/>
  <c r="H176" i="47"/>
  <c r="G176" i="47"/>
  <c r="C176" i="47"/>
  <c r="N175" i="47"/>
  <c r="L175" i="47"/>
  <c r="K175" i="47"/>
  <c r="J175" i="47"/>
  <c r="H175" i="47"/>
  <c r="G175" i="47"/>
  <c r="C175" i="47"/>
  <c r="N174" i="47"/>
  <c r="L174" i="47"/>
  <c r="K174" i="47"/>
  <c r="J174" i="47"/>
  <c r="H174" i="47"/>
  <c r="G174" i="47"/>
  <c r="C174" i="47"/>
  <c r="N173" i="47"/>
  <c r="L173" i="47"/>
  <c r="K173" i="47"/>
  <c r="J173" i="47"/>
  <c r="H173" i="47"/>
  <c r="G173" i="47"/>
  <c r="C173" i="47"/>
  <c r="N171" i="47"/>
  <c r="L171" i="47"/>
  <c r="K171" i="47"/>
  <c r="J171" i="47"/>
  <c r="H171" i="47"/>
  <c r="G171" i="47"/>
  <c r="C171" i="47"/>
  <c r="N170" i="47"/>
  <c r="L170" i="47"/>
  <c r="K170" i="47"/>
  <c r="J170" i="47"/>
  <c r="H170" i="47"/>
  <c r="G170" i="47"/>
  <c r="C170" i="47"/>
  <c r="N169" i="47"/>
  <c r="L169" i="47"/>
  <c r="K169" i="47"/>
  <c r="J169" i="47"/>
  <c r="H169" i="47"/>
  <c r="G169" i="47"/>
  <c r="C169" i="47"/>
  <c r="L167" i="47"/>
  <c r="H167" i="47"/>
  <c r="G167" i="47"/>
  <c r="C167" i="47"/>
  <c r="N166" i="47"/>
  <c r="L166" i="47"/>
  <c r="K166" i="47"/>
  <c r="J166" i="47"/>
  <c r="H166" i="47"/>
  <c r="G166" i="47"/>
  <c r="C166" i="47"/>
  <c r="N164" i="47"/>
  <c r="L164" i="47"/>
  <c r="K164" i="47"/>
  <c r="K163" i="47" s="1"/>
  <c r="J164" i="47"/>
  <c r="H164" i="47"/>
  <c r="G164" i="47"/>
  <c r="C164" i="47"/>
  <c r="N162" i="47"/>
  <c r="L162" i="47"/>
  <c r="K162" i="47"/>
  <c r="J162" i="47"/>
  <c r="H162" i="47"/>
  <c r="G162" i="47"/>
  <c r="C162" i="47"/>
  <c r="N161" i="47"/>
  <c r="L161" i="47"/>
  <c r="K161" i="47"/>
  <c r="J161" i="47"/>
  <c r="H161" i="47"/>
  <c r="G161" i="47"/>
  <c r="C161" i="47"/>
  <c r="N160" i="47"/>
  <c r="L160" i="47"/>
  <c r="K160" i="47"/>
  <c r="J160" i="47"/>
  <c r="H160" i="47"/>
  <c r="G160" i="47"/>
  <c r="C160" i="47"/>
  <c r="N159" i="47"/>
  <c r="L159" i="47"/>
  <c r="K159" i="47"/>
  <c r="J159" i="47"/>
  <c r="H159" i="47"/>
  <c r="G159" i="47"/>
  <c r="C159" i="47"/>
  <c r="N158" i="47"/>
  <c r="L158" i="47"/>
  <c r="K158" i="47"/>
  <c r="J158" i="47"/>
  <c r="H158" i="47"/>
  <c r="G158" i="47"/>
  <c r="C158" i="47"/>
  <c r="N157" i="47"/>
  <c r="L157" i="47"/>
  <c r="K157" i="47"/>
  <c r="J157" i="47"/>
  <c r="H157" i="47"/>
  <c r="G157" i="47"/>
  <c r="C157" i="47"/>
  <c r="N58" i="47"/>
  <c r="C58" i="47"/>
  <c r="N57" i="47"/>
  <c r="I57" i="47"/>
  <c r="C57" i="47"/>
  <c r="N56" i="47"/>
  <c r="L56" i="47"/>
  <c r="K56" i="47"/>
  <c r="J56" i="47"/>
  <c r="H56" i="47"/>
  <c r="G56" i="47"/>
  <c r="C56" i="47"/>
  <c r="N54" i="47"/>
  <c r="L54" i="47"/>
  <c r="K54" i="47"/>
  <c r="J54" i="47"/>
  <c r="H54" i="47"/>
  <c r="G54" i="47"/>
  <c r="C54" i="47"/>
  <c r="N53" i="47"/>
  <c r="L53" i="47"/>
  <c r="K53" i="47"/>
  <c r="J53" i="47"/>
  <c r="H53" i="47"/>
  <c r="G53" i="47"/>
  <c r="C53" i="47"/>
  <c r="N52" i="47"/>
  <c r="L52" i="47"/>
  <c r="K52" i="47"/>
  <c r="J52" i="47"/>
  <c r="H52" i="47"/>
  <c r="G52" i="47"/>
  <c r="C52" i="47"/>
  <c r="L51" i="47"/>
  <c r="H51" i="47"/>
  <c r="G51" i="47"/>
  <c r="C51" i="47"/>
  <c r="L50" i="47"/>
  <c r="H50" i="47"/>
  <c r="G50" i="47"/>
  <c r="C50" i="47"/>
  <c r="N49" i="47"/>
  <c r="L49" i="47"/>
  <c r="K49" i="47"/>
  <c r="J49" i="47"/>
  <c r="H49" i="47"/>
  <c r="G49" i="47"/>
  <c r="C49" i="47"/>
  <c r="L37" i="47"/>
  <c r="H37" i="47"/>
  <c r="G37" i="47"/>
  <c r="C37" i="47"/>
  <c r="N36" i="47"/>
  <c r="L36" i="47"/>
  <c r="K36" i="47"/>
  <c r="J36" i="47"/>
  <c r="H36" i="47"/>
  <c r="G36" i="47"/>
  <c r="C36" i="47"/>
  <c r="N35" i="47"/>
  <c r="L35" i="47"/>
  <c r="K35" i="47"/>
  <c r="J35" i="47"/>
  <c r="H35" i="47"/>
  <c r="G35" i="47"/>
  <c r="C35" i="47"/>
  <c r="N34" i="47"/>
  <c r="L34" i="47"/>
  <c r="K34" i="47"/>
  <c r="J34" i="47"/>
  <c r="H34" i="47"/>
  <c r="G34" i="47"/>
  <c r="C34" i="47"/>
  <c r="B19" i="53"/>
  <c r="L32" i="47"/>
  <c r="H32" i="47"/>
  <c r="G32" i="47"/>
  <c r="C32" i="47"/>
  <c r="N31" i="47"/>
  <c r="L31" i="47"/>
  <c r="K31" i="47"/>
  <c r="J31" i="47"/>
  <c r="H31" i="47"/>
  <c r="G31" i="47"/>
  <c r="C31" i="47"/>
  <c r="N30" i="47"/>
  <c r="L30" i="47"/>
  <c r="K30" i="47"/>
  <c r="J30" i="47"/>
  <c r="H30" i="47"/>
  <c r="G30" i="47"/>
  <c r="C30" i="47"/>
  <c r="N29" i="47"/>
  <c r="L29" i="47"/>
  <c r="K29" i="47"/>
  <c r="J29" i="47"/>
  <c r="H29" i="47"/>
  <c r="G29" i="47"/>
  <c r="C29" i="47"/>
  <c r="B11" i="53"/>
  <c r="N27" i="47"/>
  <c r="L27" i="47"/>
  <c r="K27" i="47"/>
  <c r="J27" i="47"/>
  <c r="H27" i="47"/>
  <c r="G27" i="47"/>
  <c r="C27" i="47"/>
  <c r="N26" i="47"/>
  <c r="L26" i="47"/>
  <c r="K26" i="47"/>
  <c r="J26" i="47"/>
  <c r="H26" i="47"/>
  <c r="G26" i="47"/>
  <c r="C26" i="47"/>
  <c r="N25" i="47"/>
  <c r="L25" i="47"/>
  <c r="K25" i="47"/>
  <c r="J25" i="47"/>
  <c r="H25" i="47"/>
  <c r="G25" i="47"/>
  <c r="C25" i="47"/>
  <c r="N23" i="47"/>
  <c r="L23" i="47"/>
  <c r="K23" i="47"/>
  <c r="J23" i="47"/>
  <c r="H23" i="47"/>
  <c r="G23" i="47"/>
  <c r="C23" i="47"/>
  <c r="N22" i="47"/>
  <c r="L22" i="47"/>
  <c r="K22" i="47"/>
  <c r="J22" i="47"/>
  <c r="H22" i="47"/>
  <c r="G22" i="47"/>
  <c r="C22" i="47"/>
  <c r="N21" i="47"/>
  <c r="L21" i="47"/>
  <c r="K21" i="47"/>
  <c r="J21" i="47"/>
  <c r="H21" i="47"/>
  <c r="G21" i="47"/>
  <c r="C21" i="47"/>
  <c r="N20" i="47"/>
  <c r="L20" i="47"/>
  <c r="K20" i="47"/>
  <c r="J20" i="47"/>
  <c r="H20" i="47"/>
  <c r="G20" i="47"/>
  <c r="C20" i="47"/>
  <c r="N19" i="47"/>
  <c r="L19" i="47"/>
  <c r="K19" i="47"/>
  <c r="J19" i="47"/>
  <c r="H19" i="47"/>
  <c r="G19" i="47"/>
  <c r="C19" i="47"/>
  <c r="N18" i="47"/>
  <c r="L18" i="47"/>
  <c r="K18" i="47"/>
  <c r="J18" i="47"/>
  <c r="H18" i="47"/>
  <c r="G18" i="47"/>
  <c r="C18" i="47"/>
  <c r="N17" i="47"/>
  <c r="L17" i="47"/>
  <c r="K17" i="47"/>
  <c r="J17" i="47"/>
  <c r="H17" i="47"/>
  <c r="G17" i="47"/>
  <c r="C17" i="47"/>
  <c r="N16" i="47"/>
  <c r="L16" i="47"/>
  <c r="K16" i="47"/>
  <c r="J16" i="47"/>
  <c r="H16" i="47"/>
  <c r="G16" i="47"/>
  <c r="C16" i="47"/>
  <c r="N15" i="47"/>
  <c r="L15" i="47"/>
  <c r="K15" i="47"/>
  <c r="J15" i="47"/>
  <c r="H15" i="47"/>
  <c r="G15" i="47"/>
  <c r="C15" i="47"/>
  <c r="B14" i="47"/>
  <c r="B15" i="47" s="1"/>
  <c r="B16" i="47" s="1"/>
  <c r="B17" i="47" s="1"/>
  <c r="B18" i="47" s="1"/>
  <c r="B19" i="47" s="1"/>
  <c r="B20" i="47" s="1"/>
  <c r="B21" i="47" s="1"/>
  <c r="B22" i="47" s="1"/>
  <c r="B23" i="47" s="1"/>
  <c r="F4" i="47"/>
  <c r="F3" i="47"/>
  <c r="N2" i="47"/>
  <c r="F2" i="47"/>
  <c r="F1" i="47"/>
  <c r="N11" i="40"/>
  <c r="R5" i="40"/>
  <c r="H4" i="40"/>
  <c r="H3" i="40"/>
  <c r="H2" i="40"/>
  <c r="H1" i="40"/>
  <c r="C481" i="52"/>
  <c r="C480" i="52"/>
  <c r="C479" i="52"/>
  <c r="C478" i="52"/>
  <c r="C477" i="52"/>
  <c r="C476" i="52"/>
  <c r="C475" i="52"/>
  <c r="C474" i="52"/>
  <c r="C473" i="52"/>
  <c r="C472" i="52"/>
  <c r="C471" i="52"/>
  <c r="C470" i="52"/>
  <c r="C469" i="52"/>
  <c r="C468" i="52"/>
  <c r="C467" i="52"/>
  <c r="C466" i="52"/>
  <c r="C465" i="52"/>
  <c r="C464" i="52"/>
  <c r="C463" i="52"/>
  <c r="C462" i="52"/>
  <c r="C461" i="52"/>
  <c r="C460" i="52"/>
  <c r="C459" i="52"/>
  <c r="C458" i="52"/>
  <c r="C457" i="52"/>
  <c r="C456" i="52"/>
  <c r="C455" i="52"/>
  <c r="C454" i="52"/>
  <c r="C453" i="52"/>
  <c r="C452" i="52"/>
  <c r="C451" i="52"/>
  <c r="C450" i="52"/>
  <c r="C449" i="52"/>
  <c r="C448" i="52"/>
  <c r="C447" i="52"/>
  <c r="C446" i="52"/>
  <c r="C445" i="52"/>
  <c r="C444" i="52"/>
  <c r="C443" i="52"/>
  <c r="C442" i="52"/>
  <c r="C441" i="52"/>
  <c r="C440" i="52"/>
  <c r="C439" i="52"/>
  <c r="C438" i="52"/>
  <c r="C437" i="52"/>
  <c r="C436" i="52"/>
  <c r="C435" i="52"/>
  <c r="C434" i="52"/>
  <c r="C433" i="52"/>
  <c r="C432" i="52"/>
  <c r="C431" i="52"/>
  <c r="C430" i="52"/>
  <c r="C429" i="52"/>
  <c r="C428" i="52"/>
  <c r="C427" i="52"/>
  <c r="C426" i="52"/>
  <c r="C425" i="52"/>
  <c r="C424" i="52"/>
  <c r="C423" i="52"/>
  <c r="C422" i="52"/>
  <c r="C421" i="52"/>
  <c r="C420" i="52"/>
  <c r="C419" i="52"/>
  <c r="C418" i="52"/>
  <c r="C417" i="52"/>
  <c r="C416" i="52"/>
  <c r="C415" i="52"/>
  <c r="C414" i="52"/>
  <c r="C413" i="52"/>
  <c r="C412" i="52"/>
  <c r="C411" i="52"/>
  <c r="C410" i="52"/>
  <c r="C409" i="52"/>
  <c r="C408" i="52"/>
  <c r="C407" i="52"/>
  <c r="C406" i="52"/>
  <c r="C405" i="52"/>
  <c r="C404" i="52"/>
  <c r="C403" i="52"/>
  <c r="C402" i="52"/>
  <c r="C401" i="52"/>
  <c r="C400" i="52"/>
  <c r="C399" i="52"/>
  <c r="C398" i="52"/>
  <c r="C397" i="52"/>
  <c r="C396" i="52"/>
  <c r="C395" i="52"/>
  <c r="C394" i="52"/>
  <c r="C393" i="52"/>
  <c r="C392" i="52"/>
  <c r="C391" i="52"/>
  <c r="C390" i="52"/>
  <c r="C389" i="52"/>
  <c r="C388" i="52"/>
  <c r="C387" i="52"/>
  <c r="C386" i="52"/>
  <c r="C385" i="52"/>
  <c r="C384" i="52"/>
  <c r="C383" i="52"/>
  <c r="C382" i="52"/>
  <c r="C381" i="52"/>
  <c r="C380" i="52"/>
  <c r="C379" i="52"/>
  <c r="C378" i="52"/>
  <c r="C377" i="52"/>
  <c r="C376" i="52"/>
  <c r="C375" i="52"/>
  <c r="C374" i="52"/>
  <c r="C373" i="52"/>
  <c r="C372" i="52"/>
  <c r="C371" i="52"/>
  <c r="C370" i="52"/>
  <c r="C369" i="52"/>
  <c r="C368" i="52"/>
  <c r="C367" i="52"/>
  <c r="C366" i="52"/>
  <c r="C365" i="52"/>
  <c r="C364" i="52"/>
  <c r="C363" i="52"/>
  <c r="C362" i="52"/>
  <c r="C361" i="52"/>
  <c r="C360" i="52"/>
  <c r="C359" i="52"/>
  <c r="C358" i="52"/>
  <c r="C357" i="52"/>
  <c r="C356" i="52"/>
  <c r="C355" i="52"/>
  <c r="C354" i="52"/>
  <c r="C353" i="52"/>
  <c r="C352" i="52"/>
  <c r="C351" i="52"/>
  <c r="C350" i="52"/>
  <c r="C349" i="52"/>
  <c r="C348" i="52"/>
  <c r="C347" i="52"/>
  <c r="C346" i="52"/>
  <c r="C345" i="52"/>
  <c r="C344" i="52"/>
  <c r="C343" i="52"/>
  <c r="C342" i="52"/>
  <c r="C341" i="52"/>
  <c r="C340" i="52"/>
  <c r="C339" i="52"/>
  <c r="C338" i="52"/>
  <c r="C337" i="52"/>
  <c r="C336" i="52"/>
  <c r="C335" i="52"/>
  <c r="C334" i="52"/>
  <c r="C333" i="52"/>
  <c r="C332" i="52"/>
  <c r="C331" i="52"/>
  <c r="C330" i="52"/>
  <c r="C329" i="52"/>
  <c r="C328" i="52"/>
  <c r="C327" i="52"/>
  <c r="C326" i="52"/>
  <c r="C325" i="52"/>
  <c r="C324" i="52"/>
  <c r="C323" i="52"/>
  <c r="C322" i="52"/>
  <c r="C321" i="52"/>
  <c r="C320" i="52"/>
  <c r="C319" i="52"/>
  <c r="C318" i="52"/>
  <c r="C317" i="52"/>
  <c r="C316" i="52"/>
  <c r="C315" i="52"/>
  <c r="C314" i="52"/>
  <c r="C313" i="52"/>
  <c r="C312" i="52"/>
  <c r="C311" i="52"/>
  <c r="C310" i="52"/>
  <c r="C309" i="52"/>
  <c r="C308" i="52"/>
  <c r="C307" i="52"/>
  <c r="C306" i="52"/>
  <c r="C305" i="52"/>
  <c r="C304" i="52"/>
  <c r="C303" i="52"/>
  <c r="C302" i="52"/>
  <c r="C301" i="52"/>
  <c r="C300" i="52"/>
  <c r="C299" i="52"/>
  <c r="C298" i="52"/>
  <c r="C297" i="52"/>
  <c r="C296" i="52"/>
  <c r="C295" i="52"/>
  <c r="C294" i="52"/>
  <c r="C293" i="52"/>
  <c r="C292" i="52"/>
  <c r="C291" i="52"/>
  <c r="C290" i="52"/>
  <c r="C289" i="52"/>
  <c r="C288" i="52"/>
  <c r="C287" i="52"/>
  <c r="C286" i="52"/>
  <c r="C285" i="52"/>
  <c r="C284" i="52"/>
  <c r="C283" i="52"/>
  <c r="C282" i="52"/>
  <c r="C281" i="52"/>
  <c r="C280" i="52"/>
  <c r="C279" i="52"/>
  <c r="C278" i="52"/>
  <c r="C277" i="52"/>
  <c r="C276" i="52"/>
  <c r="C275" i="52"/>
  <c r="C274" i="52"/>
  <c r="C273" i="52"/>
  <c r="C272" i="52"/>
  <c r="C271" i="52"/>
  <c r="C270" i="52"/>
  <c r="C269" i="52"/>
  <c r="C268" i="52"/>
  <c r="C267" i="52"/>
  <c r="C266" i="52"/>
  <c r="C265" i="52"/>
  <c r="C264" i="52"/>
  <c r="C263" i="52"/>
  <c r="C262" i="52"/>
  <c r="C261" i="52"/>
  <c r="C260" i="52"/>
  <c r="C259" i="52"/>
  <c r="C258" i="52"/>
  <c r="C257" i="52"/>
  <c r="C256" i="52"/>
  <c r="C255" i="52"/>
  <c r="C254" i="52"/>
  <c r="C253" i="52"/>
  <c r="C252" i="52"/>
  <c r="C251" i="52"/>
  <c r="C250" i="52"/>
  <c r="C249" i="52"/>
  <c r="C248" i="52"/>
  <c r="C247" i="52"/>
  <c r="C246" i="52"/>
  <c r="C245" i="52"/>
  <c r="C244" i="52"/>
  <c r="C243" i="52"/>
  <c r="C242" i="52"/>
  <c r="C241" i="52"/>
  <c r="C240" i="52"/>
  <c r="C239" i="52"/>
  <c r="C238" i="52"/>
  <c r="C237" i="52"/>
  <c r="C236" i="52"/>
  <c r="C235" i="52"/>
  <c r="C234" i="52"/>
  <c r="C233" i="52"/>
  <c r="C232" i="52"/>
  <c r="C231" i="52"/>
  <c r="C230" i="52"/>
  <c r="C229" i="52"/>
  <c r="C228" i="52"/>
  <c r="C227" i="52"/>
  <c r="C226" i="52"/>
  <c r="C225" i="52"/>
  <c r="C224" i="52"/>
  <c r="C223" i="52"/>
  <c r="C222" i="52"/>
  <c r="C221" i="52"/>
  <c r="C220" i="52"/>
  <c r="C219" i="52"/>
  <c r="C218" i="52"/>
  <c r="C217" i="52"/>
  <c r="C216" i="52"/>
  <c r="C215" i="52"/>
  <c r="C214" i="52"/>
  <c r="C213" i="52"/>
  <c r="C212" i="52"/>
  <c r="C211" i="52"/>
  <c r="C210" i="52"/>
  <c r="C209" i="52"/>
  <c r="C208" i="52"/>
  <c r="C207" i="52"/>
  <c r="C206" i="52"/>
  <c r="C205" i="52"/>
  <c r="C204" i="52"/>
  <c r="C203" i="52"/>
  <c r="C202" i="52"/>
  <c r="C201" i="52"/>
  <c r="C200" i="52"/>
  <c r="C199" i="52"/>
  <c r="C198" i="52"/>
  <c r="C197" i="52"/>
  <c r="C196" i="52"/>
  <c r="C195" i="52"/>
  <c r="C194" i="52"/>
  <c r="C193" i="52"/>
  <c r="C192" i="52"/>
  <c r="C191" i="52"/>
  <c r="C190" i="52"/>
  <c r="C189" i="52"/>
  <c r="C188" i="52"/>
  <c r="C187" i="52"/>
  <c r="C186" i="52"/>
  <c r="C185" i="52"/>
  <c r="C184" i="52"/>
  <c r="C183" i="52"/>
  <c r="C182" i="52"/>
  <c r="C181" i="52"/>
  <c r="C180" i="52"/>
  <c r="C179" i="52"/>
  <c r="C178" i="52"/>
  <c r="C177" i="52"/>
  <c r="C176" i="52"/>
  <c r="C175" i="52"/>
  <c r="C174" i="52"/>
  <c r="C173" i="52"/>
  <c r="C172" i="52"/>
  <c r="C171" i="52"/>
  <c r="C170" i="52"/>
  <c r="C169" i="52"/>
  <c r="C168" i="52"/>
  <c r="C167" i="52"/>
  <c r="C166" i="52"/>
  <c r="C165" i="52"/>
  <c r="C164" i="52"/>
  <c r="C163" i="52"/>
  <c r="C162" i="52"/>
  <c r="C161" i="52"/>
  <c r="C160" i="52"/>
  <c r="C159" i="52"/>
  <c r="C158" i="52"/>
  <c r="C157" i="52"/>
  <c r="C156" i="52"/>
  <c r="C155" i="52"/>
  <c r="C154" i="52"/>
  <c r="C153" i="52"/>
  <c r="C152" i="52"/>
  <c r="C151" i="52"/>
  <c r="C150" i="52"/>
  <c r="C149" i="52"/>
  <c r="C148" i="52"/>
  <c r="C147" i="52"/>
  <c r="C146" i="52"/>
  <c r="C145" i="52"/>
  <c r="C144" i="52"/>
  <c r="C143" i="52"/>
  <c r="C142" i="52"/>
  <c r="C141" i="52"/>
  <c r="C140" i="52"/>
  <c r="C139" i="52"/>
  <c r="C138" i="52"/>
  <c r="C137" i="52"/>
  <c r="C136" i="52"/>
  <c r="C135" i="52"/>
  <c r="C134" i="52"/>
  <c r="C133" i="52"/>
  <c r="C132" i="52"/>
  <c r="C131" i="52"/>
  <c r="C130" i="52"/>
  <c r="C129" i="52"/>
  <c r="C128" i="52"/>
  <c r="C127" i="52"/>
  <c r="C126" i="52"/>
  <c r="C125" i="52"/>
  <c r="C124" i="52"/>
  <c r="C123" i="52"/>
  <c r="C122" i="52"/>
  <c r="C121" i="52"/>
  <c r="C120" i="52"/>
  <c r="C119" i="52"/>
  <c r="C118" i="52"/>
  <c r="C117" i="52"/>
  <c r="C116" i="52"/>
  <c r="C115" i="52"/>
  <c r="C114" i="52"/>
  <c r="C113" i="52"/>
  <c r="C112" i="52"/>
  <c r="C111" i="52"/>
  <c r="C110" i="52"/>
  <c r="C109" i="52"/>
  <c r="C108" i="52"/>
  <c r="C107" i="52"/>
  <c r="C106" i="52"/>
  <c r="C105" i="52"/>
  <c r="C104" i="52"/>
  <c r="C103" i="52"/>
  <c r="C102" i="52"/>
  <c r="C101" i="52"/>
  <c r="C100" i="52"/>
  <c r="C99" i="52"/>
  <c r="C98" i="52"/>
  <c r="C97" i="52"/>
  <c r="C96" i="52"/>
  <c r="C95" i="52"/>
  <c r="C94" i="52"/>
  <c r="C93" i="52"/>
  <c r="C92" i="52"/>
  <c r="C91" i="52"/>
  <c r="C90" i="52"/>
  <c r="C89" i="52"/>
  <c r="C88" i="52"/>
  <c r="C87" i="52"/>
  <c r="C86" i="52"/>
  <c r="C85" i="52"/>
  <c r="C84" i="52"/>
  <c r="C83" i="52"/>
  <c r="C82" i="52"/>
  <c r="C81" i="52"/>
  <c r="C80" i="52"/>
  <c r="C79" i="52"/>
  <c r="C78" i="52"/>
  <c r="C77" i="52"/>
  <c r="C76" i="52"/>
  <c r="C75" i="52"/>
  <c r="C74" i="52"/>
  <c r="C73" i="52"/>
  <c r="C72" i="52"/>
  <c r="C71" i="52"/>
  <c r="C70" i="52"/>
  <c r="C69" i="52"/>
  <c r="C68" i="52"/>
  <c r="C67" i="52"/>
  <c r="C66" i="52"/>
  <c r="C65" i="52"/>
  <c r="C64" i="52"/>
  <c r="C63" i="52"/>
  <c r="C62" i="52"/>
  <c r="C61" i="52"/>
  <c r="C60" i="52"/>
  <c r="C59" i="52"/>
  <c r="C58" i="52"/>
  <c r="C57" i="52"/>
  <c r="C56" i="52"/>
  <c r="C55" i="52"/>
  <c r="C54" i="52"/>
  <c r="C53" i="52"/>
  <c r="C52" i="52"/>
  <c r="C51" i="52"/>
  <c r="C50" i="52"/>
  <c r="C49" i="52"/>
  <c r="C48" i="52"/>
  <c r="C47" i="52"/>
  <c r="C46" i="52"/>
  <c r="C45" i="52"/>
  <c r="C44" i="52"/>
  <c r="C43" i="52"/>
  <c r="C42" i="52"/>
  <c r="C41" i="52"/>
  <c r="C40" i="52"/>
  <c r="C39" i="52"/>
  <c r="C38" i="52"/>
  <c r="C37" i="52"/>
  <c r="C36" i="52"/>
  <c r="C35" i="52"/>
  <c r="C34" i="52"/>
  <c r="C33" i="52"/>
  <c r="C32" i="52"/>
  <c r="C31" i="52"/>
  <c r="N5" i="52"/>
  <c r="F4" i="52"/>
  <c r="N3" i="52"/>
  <c r="F3" i="52"/>
  <c r="F2" i="52"/>
  <c r="F1" i="52"/>
  <c r="D473" i="55"/>
  <c r="C472" i="55"/>
  <c r="C473" i="55" s="1"/>
  <c r="C471" i="55"/>
  <c r="K461" i="55"/>
  <c r="I461" i="55"/>
  <c r="H461" i="55"/>
  <c r="D461" i="55"/>
  <c r="D462" i="55" s="1"/>
  <c r="D463" i="55" s="1"/>
  <c r="C460" i="55"/>
  <c r="C461" i="55" s="1"/>
  <c r="C462" i="55" s="1"/>
  <c r="C463" i="55" s="1"/>
  <c r="D465" i="55"/>
  <c r="D466" i="55" s="1"/>
  <c r="D467" i="55" s="1"/>
  <c r="D468" i="55" s="1"/>
  <c r="D469" i="55" s="1"/>
  <c r="D470" i="55" s="1"/>
  <c r="C464" i="55"/>
  <c r="C465" i="55" s="1"/>
  <c r="C466" i="55" s="1"/>
  <c r="C467" i="55" s="1"/>
  <c r="C459" i="55"/>
  <c r="D453" i="55"/>
  <c r="D454" i="55" s="1"/>
  <c r="D455" i="55" s="1"/>
  <c r="D456" i="55" s="1"/>
  <c r="D457" i="55" s="1"/>
  <c r="D458" i="55" s="1"/>
  <c r="C452" i="55"/>
  <c r="C453" i="55" s="1"/>
  <c r="K451" i="55"/>
  <c r="I451" i="55"/>
  <c r="H451" i="55"/>
  <c r="D451" i="55"/>
  <c r="C450" i="55"/>
  <c r="C451" i="55" s="1"/>
  <c r="C426" i="55"/>
  <c r="K422" i="55"/>
  <c r="I422" i="55"/>
  <c r="H422" i="55"/>
  <c r="K421" i="55"/>
  <c r="I421" i="55"/>
  <c r="H421" i="55"/>
  <c r="K420" i="55"/>
  <c r="I420" i="55"/>
  <c r="H420" i="55"/>
  <c r="D420" i="55"/>
  <c r="C419" i="55"/>
  <c r="C420" i="55" s="1"/>
  <c r="C421" i="55" s="1"/>
  <c r="D417" i="55"/>
  <c r="D418" i="55" s="1"/>
  <c r="C416" i="55"/>
  <c r="C417" i="55" s="1"/>
  <c r="C418" i="55" s="1"/>
  <c r="K413" i="55"/>
  <c r="I413" i="55"/>
  <c r="H413" i="55"/>
  <c r="K412" i="55"/>
  <c r="I412" i="55"/>
  <c r="H412" i="55"/>
  <c r="D412" i="55"/>
  <c r="D413" i="55" s="1"/>
  <c r="D414" i="55" s="1"/>
  <c r="D415" i="55" s="1"/>
  <c r="C411" i="55"/>
  <c r="C412" i="55" s="1"/>
  <c r="K410" i="55"/>
  <c r="I410" i="55"/>
  <c r="H410" i="55"/>
  <c r="K409" i="55"/>
  <c r="I409" i="55"/>
  <c r="H409" i="55"/>
  <c r="K408" i="55"/>
  <c r="I408" i="55"/>
  <c r="H408" i="55"/>
  <c r="D408" i="55"/>
  <c r="D409" i="55" s="1"/>
  <c r="D410" i="55" s="1"/>
  <c r="C407" i="55"/>
  <c r="C408" i="55" s="1"/>
  <c r="K406" i="55"/>
  <c r="I406" i="55"/>
  <c r="H406" i="55"/>
  <c r="K404" i="55"/>
  <c r="I404" i="55"/>
  <c r="H404" i="55"/>
  <c r="K403" i="55"/>
  <c r="I403" i="55"/>
  <c r="H403" i="55"/>
  <c r="K402" i="55"/>
  <c r="I402" i="55"/>
  <c r="H402" i="55"/>
  <c r="D401" i="55"/>
  <c r="D402" i="55" s="1"/>
  <c r="D403" i="55" s="1"/>
  <c r="D404" i="55" s="1"/>
  <c r="D405" i="55" s="1"/>
  <c r="D406" i="55" s="1"/>
  <c r="C400" i="55"/>
  <c r="C401" i="55" s="1"/>
  <c r="C399" i="55"/>
  <c r="K333" i="55"/>
  <c r="I333" i="55"/>
  <c r="H333" i="55"/>
  <c r="K310" i="55"/>
  <c r="I310" i="55"/>
  <c r="H310" i="55"/>
  <c r="K304" i="55"/>
  <c r="I304" i="55"/>
  <c r="H304" i="55"/>
  <c r="K303" i="55"/>
  <c r="I303" i="55"/>
  <c r="H303" i="55"/>
  <c r="K301" i="55"/>
  <c r="I301" i="55"/>
  <c r="H301" i="55"/>
  <c r="K299" i="55"/>
  <c r="I299" i="55"/>
  <c r="H299" i="55"/>
  <c r="K292" i="55"/>
  <c r="I292" i="55"/>
  <c r="H292" i="55"/>
  <c r="K291" i="55"/>
  <c r="I291" i="55"/>
  <c r="H291" i="55"/>
  <c r="K290" i="55"/>
  <c r="I290" i="55"/>
  <c r="H290" i="55"/>
  <c r="K289" i="55"/>
  <c r="I289" i="55"/>
  <c r="H289" i="55"/>
  <c r="C285" i="55"/>
  <c r="C280" i="55" s="1"/>
  <c r="D281" i="55"/>
  <c r="D282" i="55" s="1"/>
  <c r="C278" i="55"/>
  <c r="C281" i="55" s="1"/>
  <c r="D276" i="55"/>
  <c r="D277" i="55" s="1"/>
  <c r="C275" i="55"/>
  <c r="C276" i="55" s="1"/>
  <c r="C277" i="55" s="1"/>
  <c r="D274" i="55"/>
  <c r="C273" i="55"/>
  <c r="C274" i="55" s="1"/>
  <c r="C272" i="55"/>
  <c r="K271" i="55"/>
  <c r="I271" i="55"/>
  <c r="H271" i="55"/>
  <c r="K270" i="55"/>
  <c r="I270" i="55"/>
  <c r="H270" i="55"/>
  <c r="K269" i="55"/>
  <c r="I269" i="55"/>
  <c r="H269" i="55"/>
  <c r="C253" i="55"/>
  <c r="C254" i="55" s="1"/>
  <c r="C255" i="55" s="1"/>
  <c r="C256" i="55" s="1"/>
  <c r="C257" i="55" s="1"/>
  <c r="C258" i="55" s="1"/>
  <c r="C259" i="55" s="1"/>
  <c r="C260" i="55" s="1"/>
  <c r="C261" i="55" s="1"/>
  <c r="C262" i="55" s="1"/>
  <c r="C263" i="55" s="1"/>
  <c r="C264" i="55" s="1"/>
  <c r="C265" i="55" s="1"/>
  <c r="C266" i="55" s="1"/>
  <c r="C267" i="55" s="1"/>
  <c r="C268" i="55" s="1"/>
  <c r="C269" i="55" s="1"/>
  <c r="C270" i="55" s="1"/>
  <c r="C271" i="55" s="1"/>
  <c r="D228" i="55"/>
  <c r="D230" i="55" s="1"/>
  <c r="D232" i="55" s="1"/>
  <c r="C226" i="55"/>
  <c r="C228" i="55" s="1"/>
  <c r="C230" i="55" s="1"/>
  <c r="K225" i="55"/>
  <c r="I225" i="55"/>
  <c r="H225" i="55"/>
  <c r="H224" i="55"/>
  <c r="I217" i="55"/>
  <c r="C215" i="55"/>
  <c r="C216" i="55" s="1"/>
  <c r="K214" i="55"/>
  <c r="I214" i="55"/>
  <c r="H214" i="55"/>
  <c r="K212" i="55"/>
  <c r="I212" i="55"/>
  <c r="H212" i="55"/>
  <c r="C210" i="55"/>
  <c r="C209" i="55"/>
  <c r="C196" i="55"/>
  <c r="C197" i="55" s="1"/>
  <c r="C193" i="55"/>
  <c r="K191" i="55"/>
  <c r="I191" i="55"/>
  <c r="H191" i="55"/>
  <c r="K190" i="55"/>
  <c r="I190" i="55"/>
  <c r="H190" i="55"/>
  <c r="D190" i="55"/>
  <c r="D191" i="55" s="1"/>
  <c r="D192" i="55" s="1"/>
  <c r="C189" i="55"/>
  <c r="C190" i="55" s="1"/>
  <c r="K183" i="55"/>
  <c r="I183" i="55"/>
  <c r="H183" i="55"/>
  <c r="K182" i="55"/>
  <c r="I182" i="55"/>
  <c r="H182" i="55"/>
  <c r="D182" i="55"/>
  <c r="D183" i="55" s="1"/>
  <c r="D184" i="55" s="1"/>
  <c r="D185" i="55" s="1"/>
  <c r="C181" i="55"/>
  <c r="C182" i="55" s="1"/>
  <c r="C180" i="55"/>
  <c r="K176" i="55"/>
  <c r="I176" i="55"/>
  <c r="H176" i="55"/>
  <c r="C173" i="55"/>
  <c r="C172" i="55"/>
  <c r="K169" i="55"/>
  <c r="I169" i="55"/>
  <c r="H169" i="55"/>
  <c r="D169" i="55"/>
  <c r="D170" i="55" s="1"/>
  <c r="D171" i="55" s="1"/>
  <c r="C168" i="55"/>
  <c r="C169" i="55" s="1"/>
  <c r="D167" i="55"/>
  <c r="C166" i="55"/>
  <c r="C167" i="55" s="1"/>
  <c r="D165" i="55"/>
  <c r="C164" i="55"/>
  <c r="C165" i="55" s="1"/>
  <c r="C163" i="55"/>
  <c r="D156" i="55"/>
  <c r="D157" i="55" s="1"/>
  <c r="D158" i="55" s="1"/>
  <c r="D159" i="55" s="1"/>
  <c r="D160" i="55" s="1"/>
  <c r="C155" i="55"/>
  <c r="C156" i="55" s="1"/>
  <c r="C152" i="55"/>
  <c r="C153" i="55" s="1"/>
  <c r="D146" i="55"/>
  <c r="D147" i="55" s="1"/>
  <c r="D148" i="55" s="1"/>
  <c r="D149" i="55" s="1"/>
  <c r="C145" i="55"/>
  <c r="C146" i="55" s="1"/>
  <c r="C147" i="55" s="1"/>
  <c r="C148" i="55" s="1"/>
  <c r="D142" i="55"/>
  <c r="D143" i="55" s="1"/>
  <c r="D144" i="55" s="1"/>
  <c r="C141" i="55"/>
  <c r="C142" i="55" s="1"/>
  <c r="C143" i="55" s="1"/>
  <c r="D136" i="55"/>
  <c r="D137" i="55" s="1"/>
  <c r="D138" i="55" s="1"/>
  <c r="D139" i="55" s="1"/>
  <c r="D140" i="55" s="1"/>
  <c r="C135" i="55"/>
  <c r="C134" i="55"/>
  <c r="K133" i="55"/>
  <c r="I133" i="55"/>
  <c r="H133" i="55"/>
  <c r="D133" i="55"/>
  <c r="C132" i="55"/>
  <c r="C133" i="55" s="1"/>
  <c r="K123" i="55"/>
  <c r="I123" i="55"/>
  <c r="H123" i="55"/>
  <c r="K122" i="55"/>
  <c r="I122" i="55"/>
  <c r="H122" i="55"/>
  <c r="D122" i="55"/>
  <c r="D123" i="55" s="1"/>
  <c r="C121" i="55"/>
  <c r="C122" i="55" s="1"/>
  <c r="C120" i="55"/>
  <c r="K117" i="55"/>
  <c r="I117" i="55"/>
  <c r="H117" i="55"/>
  <c r="K115" i="55"/>
  <c r="I115" i="55"/>
  <c r="H115" i="55"/>
  <c r="D114" i="55"/>
  <c r="D115" i="55" s="1"/>
  <c r="D116" i="55" s="1"/>
  <c r="D117" i="55" s="1"/>
  <c r="D118" i="55" s="1"/>
  <c r="D119" i="55" s="1"/>
  <c r="C113" i="55"/>
  <c r="C114" i="55" s="1"/>
  <c r="C115" i="55" s="1"/>
  <c r="K108" i="55"/>
  <c r="I108" i="55"/>
  <c r="H108" i="55"/>
  <c r="K106" i="55"/>
  <c r="I106" i="55"/>
  <c r="H106" i="55"/>
  <c r="K105" i="55"/>
  <c r="I105" i="55"/>
  <c r="H105" i="55"/>
  <c r="K104" i="55"/>
  <c r="I104" i="55"/>
  <c r="H104" i="55"/>
  <c r="K103" i="55"/>
  <c r="I103" i="55"/>
  <c r="H103" i="55"/>
  <c r="K102" i="55"/>
  <c r="I102" i="55"/>
  <c r="H102" i="55"/>
  <c r="K101" i="55"/>
  <c r="I101" i="55"/>
  <c r="H101" i="55"/>
  <c r="D100" i="55"/>
  <c r="D101" i="55" s="1"/>
  <c r="D102" i="55" s="1"/>
  <c r="D103" i="55" s="1"/>
  <c r="D104" i="55" s="1"/>
  <c r="D105" i="55" s="1"/>
  <c r="D106" i="55" s="1"/>
  <c r="D107" i="55" s="1"/>
  <c r="D108" i="55" s="1"/>
  <c r="D109" i="55" s="1"/>
  <c r="D110" i="55" s="1"/>
  <c r="D111" i="55" s="1"/>
  <c r="D112" i="55" s="1"/>
  <c r="C99" i="55"/>
  <c r="C100" i="55" s="1"/>
  <c r="K96" i="55"/>
  <c r="I96" i="55"/>
  <c r="H96" i="55"/>
  <c r="K94" i="55"/>
  <c r="I94" i="55"/>
  <c r="H94" i="55"/>
  <c r="K92" i="55"/>
  <c r="I92" i="55"/>
  <c r="H92" i="55"/>
  <c r="D91" i="55"/>
  <c r="D92" i="55" s="1"/>
  <c r="D93" i="55" s="1"/>
  <c r="D94" i="55" s="1"/>
  <c r="D95" i="55" s="1"/>
  <c r="D96" i="55" s="1"/>
  <c r="D97" i="55" s="1"/>
  <c r="D98" i="55" s="1"/>
  <c r="C90" i="55"/>
  <c r="C91" i="55" s="1"/>
  <c r="C89" i="55"/>
  <c r="K84" i="55"/>
  <c r="I84" i="55"/>
  <c r="H84" i="55"/>
  <c r="D81" i="55"/>
  <c r="D82" i="55" s="1"/>
  <c r="D83" i="55" s="1"/>
  <c r="D84" i="55" s="1"/>
  <c r="C80" i="55"/>
  <c r="C81" i="55" s="1"/>
  <c r="K79" i="55"/>
  <c r="I79" i="55"/>
  <c r="H79" i="55"/>
  <c r="K78" i="55"/>
  <c r="I78" i="55"/>
  <c r="H78" i="55"/>
  <c r="K77" i="55"/>
  <c r="I77" i="55"/>
  <c r="H77" i="55"/>
  <c r="K76" i="55"/>
  <c r="I76" i="55"/>
  <c r="H76" i="55"/>
  <c r="K75" i="55"/>
  <c r="I75" i="55"/>
  <c r="H75" i="55"/>
  <c r="K73" i="55"/>
  <c r="I73" i="55"/>
  <c r="H73" i="55"/>
  <c r="K72" i="55"/>
  <c r="I72" i="55"/>
  <c r="H72" i="55"/>
  <c r="K71" i="55"/>
  <c r="I71" i="55"/>
  <c r="H71" i="55"/>
  <c r="D77" i="55"/>
  <c r="D78" i="55" s="1"/>
  <c r="D79" i="55" s="1"/>
  <c r="C69" i="55"/>
  <c r="C70" i="55" s="1"/>
  <c r="K68" i="55"/>
  <c r="I68" i="55"/>
  <c r="H68" i="55"/>
  <c r="K67" i="55"/>
  <c r="I67" i="55"/>
  <c r="H67" i="55"/>
  <c r="D67" i="55"/>
  <c r="D68" i="55" s="1"/>
  <c r="C66" i="55"/>
  <c r="C67" i="55" s="1"/>
  <c r="C68" i="55" s="1"/>
  <c r="K65" i="55"/>
  <c r="I65" i="55"/>
  <c r="H65" i="55"/>
  <c r="D63" i="55"/>
  <c r="C62" i="55"/>
  <c r="C63" i="55" s="1"/>
  <c r="C55" i="55"/>
  <c r="K54" i="55"/>
  <c r="I54" i="55"/>
  <c r="H54" i="55"/>
  <c r="Q52" i="55"/>
  <c r="Q48" i="55"/>
  <c r="K47" i="55"/>
  <c r="I47" i="55"/>
  <c r="H47" i="55"/>
  <c r="Q46" i="55"/>
  <c r="C37" i="55"/>
  <c r="C38" i="55" s="1"/>
  <c r="C39" i="55" s="1"/>
  <c r="C36" i="55"/>
  <c r="D32" i="55"/>
  <c r="D33" i="55" s="1"/>
  <c r="D34" i="55" s="1"/>
  <c r="D35" i="55" s="1"/>
  <c r="C31" i="55"/>
  <c r="C32" i="55" s="1"/>
  <c r="K30" i="55"/>
  <c r="I30" i="55"/>
  <c r="H30" i="55"/>
  <c r="D29" i="55"/>
  <c r="D30" i="55" s="1"/>
  <c r="C28" i="55"/>
  <c r="C29" i="55" s="1"/>
  <c r="K27" i="55"/>
  <c r="I27" i="55"/>
  <c r="H27" i="55"/>
  <c r="K26" i="55"/>
  <c r="I26" i="55"/>
  <c r="H26" i="55"/>
  <c r="D24" i="55"/>
  <c r="C22" i="55"/>
  <c r="C23" i="55" s="1"/>
  <c r="D21" i="55"/>
  <c r="C20" i="55"/>
  <c r="C21" i="55" s="1"/>
  <c r="K19" i="55"/>
  <c r="I19" i="55"/>
  <c r="H19" i="55"/>
  <c r="K18" i="55"/>
  <c r="I18" i="55"/>
  <c r="H18" i="55"/>
  <c r="D14" i="55"/>
  <c r="D15" i="55" s="1"/>
  <c r="D16" i="55" s="1"/>
  <c r="D17" i="55" s="1"/>
  <c r="D18" i="55" s="1"/>
  <c r="D19" i="55" s="1"/>
  <c r="C13" i="55"/>
  <c r="C14" i="55" s="1"/>
  <c r="C15" i="55" s="1"/>
  <c r="C12" i="55"/>
  <c r="N5" i="55"/>
  <c r="G4" i="55"/>
  <c r="G3" i="55"/>
  <c r="G2" i="55"/>
  <c r="G1" i="55"/>
  <c r="BD59" i="57"/>
  <c r="BD57"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BG53" i="57"/>
  <c r="BD52" i="57"/>
  <c r="BB52" i="57"/>
  <c r="BA52" i="57"/>
  <c r="AZ52" i="57"/>
  <c r="AY52" i="57"/>
  <c r="AX52" i="57"/>
  <c r="AW52" i="57"/>
  <c r="AV52" i="57"/>
  <c r="AU52" i="57"/>
  <c r="AT52" i="57"/>
  <c r="AS52" i="57"/>
  <c r="AR52" i="57"/>
  <c r="AQ52" i="57"/>
  <c r="AP52" i="57"/>
  <c r="AO52" i="57"/>
  <c r="AN52" i="57"/>
  <c r="AM52" i="57"/>
  <c r="AL52" i="57"/>
  <c r="AK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G52" i="57"/>
  <c r="F52" i="57"/>
  <c r="BG51" i="57"/>
  <c r="BD50" i="57"/>
  <c r="BB50" i="57"/>
  <c r="BA50" i="57"/>
  <c r="AZ50" i="57"/>
  <c r="AY50" i="57"/>
  <c r="AX50" i="57"/>
  <c r="AW50" i="57"/>
  <c r="AV50" i="57"/>
  <c r="AU50" i="57"/>
  <c r="AT50" i="57"/>
  <c r="AS50" i="57"/>
  <c r="AR50" i="57"/>
  <c r="AQ50" i="57"/>
  <c r="AP50" i="57"/>
  <c r="AO50" i="57"/>
  <c r="AN50" i="57"/>
  <c r="AM50" i="57"/>
  <c r="AL50" i="57"/>
  <c r="AK50" i="57"/>
  <c r="AH50" i="57"/>
  <c r="AG50" i="57"/>
  <c r="AF50" i="57"/>
  <c r="AE50" i="57"/>
  <c r="AD50" i="57"/>
  <c r="AC50" i="57"/>
  <c r="AB50" i="57"/>
  <c r="AA50" i="57"/>
  <c r="Z50" i="57"/>
  <c r="Y50" i="57"/>
  <c r="X50" i="57"/>
  <c r="W50" i="57"/>
  <c r="V50" i="57"/>
  <c r="U50" i="57"/>
  <c r="T50" i="57"/>
  <c r="S50" i="57"/>
  <c r="R50" i="57"/>
  <c r="Q50" i="57"/>
  <c r="P50" i="57"/>
  <c r="O50" i="57"/>
  <c r="M50" i="57"/>
  <c r="L50" i="57"/>
  <c r="K50" i="57"/>
  <c r="J50" i="57"/>
  <c r="I50" i="57"/>
  <c r="BG49" i="57"/>
  <c r="BD48" i="57"/>
  <c r="BB48" i="57"/>
  <c r="BA48" i="57"/>
  <c r="AZ48" i="57"/>
  <c r="AY48" i="57"/>
  <c r="AX48" i="57"/>
  <c r="AW48" i="57"/>
  <c r="AV48" i="57"/>
  <c r="AU48" i="57"/>
  <c r="AT48" i="57"/>
  <c r="AS48" i="57"/>
  <c r="AR48" i="57"/>
  <c r="AQ48" i="57"/>
  <c r="AP48" i="57"/>
  <c r="AO48" i="57"/>
  <c r="AN48" i="57"/>
  <c r="AM48" i="57"/>
  <c r="AL48" i="57"/>
  <c r="AK48" i="57"/>
  <c r="AH48" i="57"/>
  <c r="AG48" i="57"/>
  <c r="AF48" i="57"/>
  <c r="AE48" i="57"/>
  <c r="AD48" i="57"/>
  <c r="AC48" i="57"/>
  <c r="AB48" i="57"/>
  <c r="AA48" i="57"/>
  <c r="Z48" i="57"/>
  <c r="Y48" i="57"/>
  <c r="X48" i="57"/>
  <c r="W48" i="57"/>
  <c r="V48" i="57"/>
  <c r="U48" i="57"/>
  <c r="T48" i="57"/>
  <c r="S48" i="57"/>
  <c r="R48" i="57"/>
  <c r="Q48" i="57"/>
  <c r="P48" i="57"/>
  <c r="O48" i="57"/>
  <c r="L48" i="57"/>
  <c r="K48" i="57"/>
  <c r="J48" i="57"/>
  <c r="I48" i="57"/>
  <c r="E48" i="57"/>
  <c r="BG47" i="57"/>
  <c r="BD46" i="57"/>
  <c r="BB46" i="57"/>
  <c r="BA46" i="57"/>
  <c r="AZ46" i="57"/>
  <c r="AY46" i="57"/>
  <c r="AX46" i="57"/>
  <c r="AW46" i="57"/>
  <c r="AV46" i="57"/>
  <c r="AU46" i="57"/>
  <c r="AT46" i="57"/>
  <c r="AS46" i="57"/>
  <c r="AR46" i="57"/>
  <c r="AQ46" i="57"/>
  <c r="AP46" i="57"/>
  <c r="AO46" i="57"/>
  <c r="AN46" i="57"/>
  <c r="AM46" i="57"/>
  <c r="AL46" i="57"/>
  <c r="AK46" i="57"/>
  <c r="AH46" i="57"/>
  <c r="AG46" i="57"/>
  <c r="AF46" i="57"/>
  <c r="AE46" i="57"/>
  <c r="AD46" i="57"/>
  <c r="AC46" i="57"/>
  <c r="AB46" i="57"/>
  <c r="AA46" i="57"/>
  <c r="Z46" i="57"/>
  <c r="Y46" i="57"/>
  <c r="X46" i="57"/>
  <c r="W46" i="57"/>
  <c r="V46" i="57"/>
  <c r="U46" i="57"/>
  <c r="T46" i="57"/>
  <c r="S46" i="57"/>
  <c r="R46" i="57"/>
  <c r="Q46" i="57"/>
  <c r="P46" i="57"/>
  <c r="O46" i="57"/>
  <c r="L46" i="57"/>
  <c r="K46" i="57"/>
  <c r="J46" i="57"/>
  <c r="I46" i="57"/>
  <c r="G46" i="57"/>
  <c r="F46" i="57"/>
  <c r="E46" i="57"/>
  <c r="BG45" i="57"/>
  <c r="BD44" i="57"/>
  <c r="BB44" i="57"/>
  <c r="BA44" i="57"/>
  <c r="AZ44" i="57"/>
  <c r="AY44" i="57"/>
  <c r="AX44" i="57"/>
  <c r="AW44" i="57"/>
  <c r="AV44" i="57"/>
  <c r="AU44" i="57"/>
  <c r="AT44" i="57"/>
  <c r="AS44" i="57"/>
  <c r="AR44" i="57"/>
  <c r="AQ44" i="57"/>
  <c r="AP44" i="57"/>
  <c r="AO44" i="57"/>
  <c r="AN44" i="57"/>
  <c r="AM44" i="57"/>
  <c r="AL44" i="57"/>
  <c r="AK44" i="57"/>
  <c r="AH44" i="57"/>
  <c r="AG44" i="57"/>
  <c r="AF44" i="57"/>
  <c r="AE44" i="57"/>
  <c r="AD44" i="57"/>
  <c r="AC44" i="57"/>
  <c r="AB44" i="57"/>
  <c r="AA44" i="57"/>
  <c r="Z44" i="57"/>
  <c r="Y44" i="57"/>
  <c r="X44" i="57"/>
  <c r="W44" i="57"/>
  <c r="V44" i="57"/>
  <c r="U44" i="57"/>
  <c r="T44" i="57"/>
  <c r="S44" i="57"/>
  <c r="R44" i="57"/>
  <c r="Q44" i="57"/>
  <c r="P44" i="57"/>
  <c r="O44" i="57"/>
  <c r="L44" i="57"/>
  <c r="K44" i="57"/>
  <c r="J44" i="57"/>
  <c r="I44" i="57"/>
  <c r="F44" i="57"/>
  <c r="E44" i="57"/>
  <c r="BG43" i="57"/>
  <c r="BD42" i="57"/>
  <c r="BB42" i="57"/>
  <c r="BA42" i="57"/>
  <c r="AZ42" i="57"/>
  <c r="AY42" i="57"/>
  <c r="AX42" i="57"/>
  <c r="AW42" i="57"/>
  <c r="AV42" i="57"/>
  <c r="AU42" i="57"/>
  <c r="AT42" i="57"/>
  <c r="AS42" i="57"/>
  <c r="AR42" i="57"/>
  <c r="AQ42" i="57"/>
  <c r="AP42" i="57"/>
  <c r="AO42" i="57"/>
  <c r="AN42" i="57"/>
  <c r="AM42" i="57"/>
  <c r="AL42" i="57"/>
  <c r="AK42" i="57"/>
  <c r="AH42" i="57"/>
  <c r="AG42" i="57"/>
  <c r="AF42" i="57"/>
  <c r="AE42" i="57"/>
  <c r="AD42" i="57"/>
  <c r="AC42" i="57"/>
  <c r="AB42" i="57"/>
  <c r="AA42" i="57"/>
  <c r="Z42" i="57"/>
  <c r="Y42" i="57"/>
  <c r="X42" i="57"/>
  <c r="W42" i="57"/>
  <c r="V42" i="57"/>
  <c r="U42" i="57"/>
  <c r="T42" i="57"/>
  <c r="S42" i="57"/>
  <c r="R42" i="57"/>
  <c r="Q42" i="57"/>
  <c r="P42" i="57"/>
  <c r="O42" i="57"/>
  <c r="K42" i="57"/>
  <c r="J42" i="57"/>
  <c r="I42" i="57"/>
  <c r="BG41" i="57"/>
  <c r="BD40" i="57"/>
  <c r="BB40" i="57"/>
  <c r="BA40" i="57"/>
  <c r="AZ40" i="57"/>
  <c r="AY40" i="57"/>
  <c r="AX40" i="57"/>
  <c r="AW40" i="57"/>
  <c r="AV40" i="57"/>
  <c r="AU40" i="57"/>
  <c r="AT40" i="57"/>
  <c r="AS40" i="57"/>
  <c r="AR40" i="57"/>
  <c r="AQ40" i="57"/>
  <c r="AP40" i="57"/>
  <c r="AO40" i="57"/>
  <c r="AN40" i="57"/>
  <c r="AM40" i="57"/>
  <c r="AL40" i="57"/>
  <c r="AK40" i="57"/>
  <c r="AH40" i="57"/>
  <c r="AG40" i="57"/>
  <c r="AF40" i="57"/>
  <c r="AE40" i="57"/>
  <c r="AD40" i="57"/>
  <c r="AC40" i="57"/>
  <c r="AB40" i="57"/>
  <c r="AA40" i="57"/>
  <c r="Z40" i="57"/>
  <c r="Y40" i="57"/>
  <c r="X40" i="57"/>
  <c r="W40" i="57"/>
  <c r="V40" i="57"/>
  <c r="U40" i="57"/>
  <c r="T40" i="57"/>
  <c r="S40" i="57"/>
  <c r="R40" i="57"/>
  <c r="Q40" i="57"/>
  <c r="P40" i="57"/>
  <c r="O40" i="57"/>
  <c r="N40" i="57"/>
  <c r="H40" i="57"/>
  <c r="E40" i="57"/>
  <c r="BG39" i="57"/>
  <c r="BD38" i="57"/>
  <c r="BB38" i="57"/>
  <c r="BA38" i="57"/>
  <c r="AZ38" i="57"/>
  <c r="AY38" i="57"/>
  <c r="AX38" i="57"/>
  <c r="AW38" i="57"/>
  <c r="AV38" i="57"/>
  <c r="AU38" i="57"/>
  <c r="AT38" i="57"/>
  <c r="AS38" i="57"/>
  <c r="AR38" i="57"/>
  <c r="AQ38" i="57"/>
  <c r="AP38" i="57"/>
  <c r="AO38" i="57"/>
  <c r="AN38" i="57"/>
  <c r="AM38" i="57"/>
  <c r="AL38" i="57"/>
  <c r="AK38" i="57"/>
  <c r="AH38" i="57"/>
  <c r="AG38" i="57"/>
  <c r="AF38" i="57"/>
  <c r="AE38" i="57"/>
  <c r="AD38" i="57"/>
  <c r="AC38" i="57"/>
  <c r="AB38" i="57"/>
  <c r="AA38" i="57"/>
  <c r="Z38" i="57"/>
  <c r="Y38" i="57"/>
  <c r="X38" i="57"/>
  <c r="W38" i="57"/>
  <c r="V38" i="57"/>
  <c r="U38" i="57"/>
  <c r="T38" i="57"/>
  <c r="S38" i="57"/>
  <c r="R38" i="57"/>
  <c r="Q38" i="57"/>
  <c r="P38" i="57"/>
  <c r="O38" i="57"/>
  <c r="N38" i="57"/>
  <c r="E38" i="57"/>
  <c r="BG37" i="57"/>
  <c r="BD36" i="57"/>
  <c r="BB36" i="57"/>
  <c r="BA36" i="57"/>
  <c r="AZ36" i="57"/>
  <c r="AY36" i="57"/>
  <c r="AX36" i="57"/>
  <c r="AW36" i="57"/>
  <c r="AV36" i="57"/>
  <c r="AU36" i="57"/>
  <c r="AT36" i="57"/>
  <c r="AS36" i="57"/>
  <c r="AR36" i="57"/>
  <c r="AQ36" i="57"/>
  <c r="AP36" i="57"/>
  <c r="AO36" i="57"/>
  <c r="AN36" i="57"/>
  <c r="AM36" i="57"/>
  <c r="AL36" i="57"/>
  <c r="AK36" i="57"/>
  <c r="AH36" i="57"/>
  <c r="AG36" i="57"/>
  <c r="AF36" i="57"/>
  <c r="AE36" i="57"/>
  <c r="AD36" i="57"/>
  <c r="AC36" i="57"/>
  <c r="AB36" i="57"/>
  <c r="AA36" i="57"/>
  <c r="Z36" i="57"/>
  <c r="Y36" i="57"/>
  <c r="X36" i="57"/>
  <c r="W36" i="57"/>
  <c r="V36" i="57"/>
  <c r="U36" i="57"/>
  <c r="T36" i="57"/>
  <c r="S36" i="57"/>
  <c r="R36" i="57"/>
  <c r="Q36" i="57"/>
  <c r="P36" i="57"/>
  <c r="O36" i="57"/>
  <c r="M36" i="57"/>
  <c r="L36" i="57"/>
  <c r="K36" i="57"/>
  <c r="J36" i="57"/>
  <c r="I36" i="57"/>
  <c r="G36" i="57"/>
  <c r="F36" i="57"/>
  <c r="E36" i="57"/>
  <c r="BG35" i="57"/>
  <c r="BD34" i="57"/>
  <c r="BB34" i="57"/>
  <c r="BA34" i="57"/>
  <c r="AZ34" i="57"/>
  <c r="AY34" i="57"/>
  <c r="AX34" i="57"/>
  <c r="AW34" i="57"/>
  <c r="AV34" i="57"/>
  <c r="AU34" i="57"/>
  <c r="AT34" i="57"/>
  <c r="AS34" i="57"/>
  <c r="AR34" i="57"/>
  <c r="AQ34" i="57"/>
  <c r="AP34" i="57"/>
  <c r="AO34" i="57"/>
  <c r="AN34" i="57"/>
  <c r="AM34" i="57"/>
  <c r="AL34" i="57"/>
  <c r="AK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E34" i="57"/>
  <c r="BG33" i="57"/>
  <c r="BD32" i="57"/>
  <c r="BB32" i="57"/>
  <c r="BA32" i="57"/>
  <c r="AZ32" i="57"/>
  <c r="AY32" i="57"/>
  <c r="AX32" i="57"/>
  <c r="AW32" i="57"/>
  <c r="AV32" i="57"/>
  <c r="AU32" i="57"/>
  <c r="AT32" i="57"/>
  <c r="AS32" i="57"/>
  <c r="AR32" i="57"/>
  <c r="AQ32" i="57"/>
  <c r="AP32" i="57"/>
  <c r="AO32" i="57"/>
  <c r="AN32" i="57"/>
  <c r="AM32" i="57"/>
  <c r="AL32" i="57"/>
  <c r="AK32" i="57"/>
  <c r="AH32" i="57"/>
  <c r="AG32" i="57"/>
  <c r="AF32" i="57"/>
  <c r="AE32" i="57"/>
  <c r="AD32" i="57"/>
  <c r="AC32" i="57"/>
  <c r="AB32" i="57"/>
  <c r="AA32" i="57"/>
  <c r="Z32" i="57"/>
  <c r="Y32" i="57"/>
  <c r="X32" i="57"/>
  <c r="W32" i="57"/>
  <c r="V32" i="57"/>
  <c r="U32" i="57"/>
  <c r="T32" i="57"/>
  <c r="S32" i="57"/>
  <c r="R32" i="57"/>
  <c r="Q32" i="57"/>
  <c r="P32" i="57"/>
  <c r="O32" i="57"/>
  <c r="N32" i="57"/>
  <c r="M32" i="57"/>
  <c r="I32" i="57"/>
  <c r="G32" i="57"/>
  <c r="F32" i="57"/>
  <c r="E32" i="57"/>
  <c r="BG31" i="57"/>
  <c r="BD30" i="57"/>
  <c r="BB30" i="57"/>
  <c r="BA30" i="57"/>
  <c r="AZ30" i="57"/>
  <c r="AY30" i="57"/>
  <c r="AX30" i="57"/>
  <c r="AW30" i="57"/>
  <c r="AV30" i="57"/>
  <c r="AU30" i="57"/>
  <c r="AT30" i="57"/>
  <c r="AS30" i="57"/>
  <c r="AR30" i="57"/>
  <c r="AQ30" i="57"/>
  <c r="AP30" i="57"/>
  <c r="AO30" i="57"/>
  <c r="AN30" i="57"/>
  <c r="AM30" i="57"/>
  <c r="AL30" i="57"/>
  <c r="AK30" i="57"/>
  <c r="AH30" i="57"/>
  <c r="AG30" i="57"/>
  <c r="AF30" i="57"/>
  <c r="AE30" i="57"/>
  <c r="AD30" i="57"/>
  <c r="AC30" i="57"/>
  <c r="AB30" i="57"/>
  <c r="AA30" i="57"/>
  <c r="Z30" i="57"/>
  <c r="Y30" i="57"/>
  <c r="X30" i="57"/>
  <c r="W30" i="57"/>
  <c r="V30" i="57"/>
  <c r="U30" i="57"/>
  <c r="T30" i="57"/>
  <c r="S30" i="57"/>
  <c r="R30" i="57"/>
  <c r="Q30" i="57"/>
  <c r="P30" i="57"/>
  <c r="O30" i="57"/>
  <c r="N30" i="57"/>
  <c r="I30" i="57"/>
  <c r="H30" i="57"/>
  <c r="G30" i="57"/>
  <c r="E30" i="57"/>
  <c r="BG29" i="57"/>
  <c r="BD28" i="57"/>
  <c r="BB28" i="57"/>
  <c r="BA28" i="57"/>
  <c r="AZ28" i="57"/>
  <c r="AY28" i="57"/>
  <c r="AX28" i="57"/>
  <c r="AW28" i="57"/>
  <c r="AV28" i="57"/>
  <c r="AU28" i="57"/>
  <c r="AT28" i="57"/>
  <c r="AS28" i="57"/>
  <c r="AR28" i="57"/>
  <c r="AQ28" i="57"/>
  <c r="AP28" i="57"/>
  <c r="AO28" i="57"/>
  <c r="AN28" i="57"/>
  <c r="AM28" i="57"/>
  <c r="AL28" i="57"/>
  <c r="AK28" i="57"/>
  <c r="AH28" i="57"/>
  <c r="AG28" i="57"/>
  <c r="AF28" i="57"/>
  <c r="AE28" i="57"/>
  <c r="AD28" i="57"/>
  <c r="AC28" i="57"/>
  <c r="AB28" i="57"/>
  <c r="AA28" i="57"/>
  <c r="Z28" i="57"/>
  <c r="Y28" i="57"/>
  <c r="X28" i="57"/>
  <c r="W28" i="57"/>
  <c r="V28" i="57"/>
  <c r="U28" i="57"/>
  <c r="T28" i="57"/>
  <c r="S28" i="57"/>
  <c r="R28" i="57"/>
  <c r="Q28" i="57"/>
  <c r="P28" i="57"/>
  <c r="O28" i="57"/>
  <c r="N28" i="57"/>
  <c r="M28" i="57"/>
  <c r="L28" i="57"/>
  <c r="F28" i="57"/>
  <c r="E28" i="57"/>
  <c r="BG27" i="57"/>
  <c r="BD26" i="57"/>
  <c r="BB26" i="57"/>
  <c r="BA26" i="57"/>
  <c r="AZ26" i="57"/>
  <c r="AY26" i="57"/>
  <c r="AX26" i="57"/>
  <c r="AW26" i="57"/>
  <c r="AV26" i="57"/>
  <c r="AU26" i="57"/>
  <c r="AT26" i="57"/>
  <c r="AS26" i="57"/>
  <c r="AR26" i="57"/>
  <c r="AQ26" i="57"/>
  <c r="AP26" i="57"/>
  <c r="AO26" i="57"/>
  <c r="AN26" i="57"/>
  <c r="AM26" i="57"/>
  <c r="AL26" i="57"/>
  <c r="AK26" i="57"/>
  <c r="AH26" i="57"/>
  <c r="AG26" i="57"/>
  <c r="AF26" i="57"/>
  <c r="AE26" i="57"/>
  <c r="AD26" i="57"/>
  <c r="AC26" i="57"/>
  <c r="AB26" i="57"/>
  <c r="AA26" i="57"/>
  <c r="Z26" i="57"/>
  <c r="Y26" i="57"/>
  <c r="X26" i="57"/>
  <c r="W26" i="57"/>
  <c r="V26" i="57"/>
  <c r="U26" i="57"/>
  <c r="T26" i="57"/>
  <c r="S26" i="57"/>
  <c r="R26" i="57"/>
  <c r="Q26" i="57"/>
  <c r="P26" i="57"/>
  <c r="O26" i="57"/>
  <c r="M26" i="57"/>
  <c r="L26" i="57"/>
  <c r="K26" i="57"/>
  <c r="J26" i="57"/>
  <c r="I26" i="57"/>
  <c r="E26" i="57"/>
  <c r="BG25" i="57"/>
  <c r="BD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E24" i="57"/>
  <c r="BG23" i="57"/>
  <c r="BD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E22" i="57"/>
  <c r="BG21" i="57"/>
  <c r="BD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BG19" i="57"/>
  <c r="BD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F18" i="57"/>
  <c r="BG17" i="57"/>
  <c r="BD16" i="57"/>
  <c r="AH16" i="57"/>
  <c r="AG16" i="57"/>
  <c r="AF16" i="57"/>
  <c r="AE16" i="57"/>
  <c r="AD16" i="57"/>
  <c r="AC16" i="57"/>
  <c r="AB16" i="57"/>
  <c r="AA16" i="57"/>
  <c r="Z16" i="57"/>
  <c r="Y16" i="57"/>
  <c r="X16" i="57"/>
  <c r="W16" i="57"/>
  <c r="V16" i="57"/>
  <c r="U16" i="57"/>
  <c r="T16" i="57"/>
  <c r="S16" i="57"/>
  <c r="R16" i="57"/>
  <c r="Q16" i="57"/>
  <c r="P16" i="57"/>
  <c r="O16" i="57"/>
  <c r="N16" i="57"/>
  <c r="M16" i="57"/>
  <c r="L16" i="57"/>
  <c r="K16" i="57"/>
  <c r="J16" i="57"/>
  <c r="I16" i="57"/>
  <c r="H16" i="57"/>
  <c r="G16" i="57"/>
  <c r="F16" i="57"/>
  <c r="BD14" i="57"/>
  <c r="BB14" i="57"/>
  <c r="BA14" i="57"/>
  <c r="AZ14" i="57"/>
  <c r="AY14" i="57"/>
  <c r="AX14" i="57"/>
  <c r="AW14" i="57"/>
  <c r="AV14" i="57"/>
  <c r="AU14" i="57"/>
  <c r="AT14" i="57"/>
  <c r="AS14" i="57"/>
  <c r="AR14" i="57"/>
  <c r="AQ14" i="57"/>
  <c r="AP14" i="57"/>
  <c r="AO14" i="57"/>
  <c r="AN14" i="57"/>
  <c r="AM14" i="57"/>
  <c r="AL14" i="57"/>
  <c r="AK14" i="57"/>
  <c r="AH14" i="57"/>
  <c r="AG14" i="57"/>
  <c r="AF14" i="57"/>
  <c r="AE14" i="57"/>
  <c r="AD14" i="57"/>
  <c r="AC14" i="57"/>
  <c r="AB14" i="57"/>
  <c r="AA14" i="57"/>
  <c r="Z14" i="57"/>
  <c r="Y14" i="57"/>
  <c r="X14" i="57"/>
  <c r="W14" i="57"/>
  <c r="V14" i="57"/>
  <c r="U14" i="57"/>
  <c r="T14" i="57"/>
  <c r="S14" i="57"/>
  <c r="R14" i="57"/>
  <c r="Q14" i="57"/>
  <c r="C14" i="57"/>
  <c r="BC5" i="57"/>
  <c r="D5" i="57"/>
  <c r="D4" i="57"/>
  <c r="D3" i="57"/>
  <c r="D2" i="57"/>
  <c r="D1" i="57"/>
  <c r="B34" i="56"/>
  <c r="H33" i="56"/>
  <c r="B33" i="56"/>
  <c r="H32" i="56"/>
  <c r="B32" i="56"/>
  <c r="B12" i="56"/>
  <c r="I4" i="56"/>
  <c r="B4" i="56"/>
  <c r="B3" i="56"/>
  <c r="B2" i="56"/>
  <c r="B1" i="56"/>
  <c r="BD139" i="35"/>
  <c r="BD137" i="35"/>
  <c r="AJ136" i="35"/>
  <c r="AI136" i="35"/>
  <c r="BG135" i="35"/>
  <c r="BB134" i="35"/>
  <c r="BA134" i="35"/>
  <c r="AZ134" i="35"/>
  <c r="AY134" i="35"/>
  <c r="AX134" i="35"/>
  <c r="AW134" i="35"/>
  <c r="AV134" i="35"/>
  <c r="AU134" i="35"/>
  <c r="AT134" i="35"/>
  <c r="AS134" i="35"/>
  <c r="AR134" i="35"/>
  <c r="AQ134" i="35"/>
  <c r="AP134" i="35"/>
  <c r="AO134" i="35"/>
  <c r="AN134" i="35"/>
  <c r="AM134" i="35"/>
  <c r="AL134" i="35"/>
  <c r="AK134" i="35"/>
  <c r="AH134" i="35"/>
  <c r="AG134" i="35"/>
  <c r="AF134" i="35"/>
  <c r="AE134" i="35"/>
  <c r="AD134" i="35"/>
  <c r="AC134" i="35"/>
  <c r="AB134" i="35"/>
  <c r="AA134" i="35"/>
  <c r="Z134" i="35"/>
  <c r="Y134" i="35"/>
  <c r="X134" i="35"/>
  <c r="W134" i="35"/>
  <c r="V134" i="35"/>
  <c r="U134" i="35"/>
  <c r="T134" i="35"/>
  <c r="S134" i="35"/>
  <c r="R134" i="35"/>
  <c r="Q134" i="35"/>
  <c r="P134" i="35"/>
  <c r="O134" i="35"/>
  <c r="N134" i="35"/>
  <c r="M134" i="35"/>
  <c r="L134" i="35"/>
  <c r="K134" i="35"/>
  <c r="J134" i="35"/>
  <c r="I134" i="35"/>
  <c r="H134" i="35"/>
  <c r="G134" i="35"/>
  <c r="F134" i="35"/>
  <c r="E134" i="35"/>
  <c r="BG133" i="35"/>
  <c r="BB132" i="35"/>
  <c r="BA132" i="35"/>
  <c r="AZ132" i="35"/>
  <c r="AY132" i="35"/>
  <c r="AX132" i="35"/>
  <c r="AW132" i="35"/>
  <c r="AV132" i="35"/>
  <c r="AU132" i="35"/>
  <c r="AT132" i="35"/>
  <c r="AS132" i="35"/>
  <c r="AR132" i="35"/>
  <c r="AQ132" i="35"/>
  <c r="AP132" i="35"/>
  <c r="AO132" i="35"/>
  <c r="AN132" i="35"/>
  <c r="AM132" i="35"/>
  <c r="AL132" i="35"/>
  <c r="AK132" i="35"/>
  <c r="AH132" i="35"/>
  <c r="AG132" i="35"/>
  <c r="AF132" i="35"/>
  <c r="AE132" i="35"/>
  <c r="AD132" i="35"/>
  <c r="AC132" i="35"/>
  <c r="AB132" i="35"/>
  <c r="AA132" i="35"/>
  <c r="Z132" i="35"/>
  <c r="Y132" i="35"/>
  <c r="X132" i="35"/>
  <c r="W132" i="35"/>
  <c r="V132" i="35"/>
  <c r="U132" i="35"/>
  <c r="T132" i="35"/>
  <c r="S132" i="35"/>
  <c r="R132" i="35"/>
  <c r="Q132" i="35"/>
  <c r="P132" i="35"/>
  <c r="O132" i="35"/>
  <c r="N132" i="35"/>
  <c r="M132" i="35"/>
  <c r="L132" i="35"/>
  <c r="K132" i="35"/>
  <c r="J132" i="35"/>
  <c r="I132" i="35"/>
  <c r="H132" i="35"/>
  <c r="G132" i="35"/>
  <c r="F132" i="35"/>
  <c r="E132" i="35"/>
  <c r="BG131" i="35"/>
  <c r="BB130" i="35"/>
  <c r="BA130" i="35"/>
  <c r="AZ130" i="35"/>
  <c r="AY130" i="35"/>
  <c r="AX130" i="35"/>
  <c r="AW130" i="35"/>
  <c r="AV130" i="35"/>
  <c r="AU130" i="35"/>
  <c r="AT130" i="35"/>
  <c r="AS130" i="35"/>
  <c r="AR130" i="35"/>
  <c r="AQ130" i="35"/>
  <c r="AP130" i="35"/>
  <c r="AO130" i="35"/>
  <c r="AN130" i="35"/>
  <c r="AM130" i="35"/>
  <c r="AL130" i="35"/>
  <c r="AK130" i="35"/>
  <c r="AH130" i="35"/>
  <c r="AG130" i="35"/>
  <c r="AF130" i="35"/>
  <c r="AE130" i="35"/>
  <c r="AD130" i="35"/>
  <c r="AC130" i="35"/>
  <c r="AB130" i="35"/>
  <c r="AA130" i="35"/>
  <c r="Z130" i="35"/>
  <c r="Y130" i="35"/>
  <c r="X130" i="35"/>
  <c r="W130" i="35"/>
  <c r="V130" i="35"/>
  <c r="U130" i="35"/>
  <c r="T130" i="35"/>
  <c r="S130" i="35"/>
  <c r="R130" i="35"/>
  <c r="Q130" i="35"/>
  <c r="P130" i="35"/>
  <c r="O130" i="35"/>
  <c r="N130" i="35"/>
  <c r="M130" i="35"/>
  <c r="L130" i="35"/>
  <c r="K130" i="35"/>
  <c r="J130" i="35"/>
  <c r="I130" i="35"/>
  <c r="H130" i="35"/>
  <c r="G130" i="35"/>
  <c r="F130" i="35"/>
  <c r="E130" i="35"/>
  <c r="BG129" i="35"/>
  <c r="BB128" i="35"/>
  <c r="BA128" i="35"/>
  <c r="AZ128" i="35"/>
  <c r="AY128" i="35"/>
  <c r="AX128" i="35"/>
  <c r="AW128" i="35"/>
  <c r="AV128" i="35"/>
  <c r="AU128" i="35"/>
  <c r="AT128" i="35"/>
  <c r="AS128" i="35"/>
  <c r="AR128" i="35"/>
  <c r="AQ128" i="35"/>
  <c r="AP128" i="35"/>
  <c r="AO128" i="35"/>
  <c r="AN128" i="35"/>
  <c r="AM128" i="35"/>
  <c r="AL128" i="35"/>
  <c r="AK128" i="35"/>
  <c r="AH128" i="35"/>
  <c r="AG128" i="35"/>
  <c r="AF128" i="35"/>
  <c r="AE128" i="35"/>
  <c r="AD128" i="35"/>
  <c r="AC128" i="35"/>
  <c r="AB128" i="35"/>
  <c r="AA128" i="35"/>
  <c r="Z128" i="35"/>
  <c r="Y128" i="35"/>
  <c r="X128" i="35"/>
  <c r="W128" i="35"/>
  <c r="V128" i="35"/>
  <c r="U128" i="35"/>
  <c r="T128" i="35"/>
  <c r="S128" i="35"/>
  <c r="R128" i="35"/>
  <c r="Q128" i="35"/>
  <c r="P128" i="35"/>
  <c r="O128" i="35"/>
  <c r="N128" i="35"/>
  <c r="M128" i="35"/>
  <c r="L128" i="35"/>
  <c r="K128" i="35"/>
  <c r="J128" i="35"/>
  <c r="I128" i="35"/>
  <c r="H128" i="35"/>
  <c r="G128" i="35"/>
  <c r="F128" i="35"/>
  <c r="E128" i="35"/>
  <c r="BG127" i="35"/>
  <c r="BB126" i="35"/>
  <c r="BA126" i="35"/>
  <c r="AZ126" i="35"/>
  <c r="AY126" i="35"/>
  <c r="AX126" i="35"/>
  <c r="AW126" i="35"/>
  <c r="AV126" i="35"/>
  <c r="AU126" i="35"/>
  <c r="AT126" i="35"/>
  <c r="AS126" i="35"/>
  <c r="AR126" i="35"/>
  <c r="AQ126" i="35"/>
  <c r="AP126" i="35"/>
  <c r="AO126" i="35"/>
  <c r="AN126" i="35"/>
  <c r="AM126" i="35"/>
  <c r="AL126" i="35"/>
  <c r="AK126" i="35"/>
  <c r="AH126" i="35"/>
  <c r="AG126" i="35"/>
  <c r="AF126" i="35"/>
  <c r="AE126" i="35"/>
  <c r="AD126" i="35"/>
  <c r="AC126" i="35"/>
  <c r="AB126" i="35"/>
  <c r="AA126" i="35"/>
  <c r="Z126" i="35"/>
  <c r="Y126" i="35"/>
  <c r="X126" i="35"/>
  <c r="W126" i="35"/>
  <c r="V126" i="35"/>
  <c r="U126" i="35"/>
  <c r="T126" i="35"/>
  <c r="S126" i="35"/>
  <c r="R126" i="35"/>
  <c r="Q126" i="35"/>
  <c r="P126" i="35"/>
  <c r="O126" i="35"/>
  <c r="N126" i="35"/>
  <c r="M126" i="35"/>
  <c r="L126" i="35"/>
  <c r="K126" i="35"/>
  <c r="J126" i="35"/>
  <c r="I126" i="35"/>
  <c r="H126" i="35"/>
  <c r="G126" i="35"/>
  <c r="F126" i="35"/>
  <c r="E126" i="35"/>
  <c r="BG125" i="35"/>
  <c r="BB124" i="35"/>
  <c r="BA124" i="35"/>
  <c r="AZ124" i="35"/>
  <c r="AY124" i="35"/>
  <c r="AX124" i="35"/>
  <c r="AW124" i="35"/>
  <c r="AV124" i="35"/>
  <c r="AU124" i="35"/>
  <c r="AT124" i="35"/>
  <c r="AS124" i="35"/>
  <c r="AR124" i="35"/>
  <c r="AQ124" i="35"/>
  <c r="AP124" i="35"/>
  <c r="AO124" i="35"/>
  <c r="AN124" i="35"/>
  <c r="AM124" i="35"/>
  <c r="AL124" i="35"/>
  <c r="AK124" i="35"/>
  <c r="AH124" i="35"/>
  <c r="AG124" i="35"/>
  <c r="AF124" i="35"/>
  <c r="AE124" i="35"/>
  <c r="AD124" i="35"/>
  <c r="AC124" i="35"/>
  <c r="AB124" i="35"/>
  <c r="AA124" i="35"/>
  <c r="Z124" i="35"/>
  <c r="Y124" i="35"/>
  <c r="X124" i="35"/>
  <c r="W124" i="35"/>
  <c r="V124" i="35"/>
  <c r="U124" i="35"/>
  <c r="T124" i="35"/>
  <c r="S124" i="35"/>
  <c r="R124" i="35"/>
  <c r="Q124" i="35"/>
  <c r="P124" i="35"/>
  <c r="O124" i="35"/>
  <c r="N124" i="35"/>
  <c r="M124" i="35"/>
  <c r="L124" i="35"/>
  <c r="K124" i="35"/>
  <c r="J124" i="35"/>
  <c r="I124" i="35"/>
  <c r="H124" i="35"/>
  <c r="G124" i="35"/>
  <c r="F124" i="35"/>
  <c r="E124" i="35"/>
  <c r="BG123" i="35"/>
  <c r="BB122" i="35"/>
  <c r="BA122" i="35"/>
  <c r="AZ122" i="35"/>
  <c r="AY122" i="35"/>
  <c r="AX122" i="35"/>
  <c r="AW122" i="35"/>
  <c r="AV122" i="35"/>
  <c r="AU122" i="35"/>
  <c r="AT122" i="35"/>
  <c r="AS122" i="35"/>
  <c r="AR122" i="35"/>
  <c r="AQ122" i="35"/>
  <c r="AP122" i="35"/>
  <c r="AO122" i="35"/>
  <c r="AN122" i="35"/>
  <c r="AM122" i="35"/>
  <c r="AL122" i="35"/>
  <c r="AK122" i="35"/>
  <c r="AH122" i="35"/>
  <c r="AG122" i="35"/>
  <c r="AF122" i="35"/>
  <c r="AE122" i="35"/>
  <c r="AD122" i="35"/>
  <c r="AC122" i="35"/>
  <c r="AB122" i="35"/>
  <c r="AA122" i="35"/>
  <c r="Z122" i="35"/>
  <c r="Y122" i="35"/>
  <c r="X122" i="35"/>
  <c r="W122" i="35"/>
  <c r="V122" i="35"/>
  <c r="U122" i="35"/>
  <c r="T122" i="35"/>
  <c r="S122" i="35"/>
  <c r="R122" i="35"/>
  <c r="Q122" i="35"/>
  <c r="P122" i="35"/>
  <c r="O122" i="35"/>
  <c r="N122" i="35"/>
  <c r="M122" i="35"/>
  <c r="L122" i="35"/>
  <c r="K122" i="35"/>
  <c r="J122" i="35"/>
  <c r="I122" i="35"/>
  <c r="H122" i="35"/>
  <c r="G122" i="35"/>
  <c r="F122" i="35"/>
  <c r="E122" i="35"/>
  <c r="BG121" i="35"/>
  <c r="BB120" i="35"/>
  <c r="BA120" i="35"/>
  <c r="AZ120" i="35"/>
  <c r="AY120" i="35"/>
  <c r="AX120" i="35"/>
  <c r="AW120" i="35"/>
  <c r="AV120" i="35"/>
  <c r="AU120" i="35"/>
  <c r="AT120" i="35"/>
  <c r="AS120" i="35"/>
  <c r="AR120" i="35"/>
  <c r="AQ120" i="35"/>
  <c r="AP120" i="35"/>
  <c r="AO120" i="35"/>
  <c r="AN120" i="35"/>
  <c r="AM120" i="35"/>
  <c r="AL120" i="35"/>
  <c r="AK120" i="35"/>
  <c r="AH120" i="35"/>
  <c r="AG120" i="35"/>
  <c r="AF120" i="35"/>
  <c r="AE120" i="35"/>
  <c r="AD120" i="35"/>
  <c r="AC120" i="35"/>
  <c r="AB120" i="35"/>
  <c r="AA120" i="35"/>
  <c r="Z120" i="35"/>
  <c r="Y120" i="35"/>
  <c r="X120" i="35"/>
  <c r="W120" i="35"/>
  <c r="V120" i="35"/>
  <c r="U120" i="35"/>
  <c r="T120" i="35"/>
  <c r="S120" i="35"/>
  <c r="R120" i="35"/>
  <c r="Q120" i="35"/>
  <c r="P120" i="35"/>
  <c r="O120" i="35"/>
  <c r="N120" i="35"/>
  <c r="M120" i="35"/>
  <c r="L120" i="35"/>
  <c r="K120" i="35"/>
  <c r="J120" i="35"/>
  <c r="I120" i="35"/>
  <c r="H120" i="35"/>
  <c r="G120" i="35"/>
  <c r="F120" i="35"/>
  <c r="E120" i="35"/>
  <c r="BG119" i="35"/>
  <c r="BB118" i="35"/>
  <c r="BA118" i="35"/>
  <c r="AZ118" i="35"/>
  <c r="AY118" i="35"/>
  <c r="AX118" i="35"/>
  <c r="AW118" i="35"/>
  <c r="AV118" i="35"/>
  <c r="AU118" i="35"/>
  <c r="AT118" i="35"/>
  <c r="AS118" i="35"/>
  <c r="AR118" i="35"/>
  <c r="AQ118" i="35"/>
  <c r="AP118" i="35"/>
  <c r="AO118" i="35"/>
  <c r="AN118" i="35"/>
  <c r="AM118" i="35"/>
  <c r="AL118" i="35"/>
  <c r="AK118" i="35"/>
  <c r="AH118" i="35"/>
  <c r="AG118" i="35"/>
  <c r="AF118" i="35"/>
  <c r="AE118" i="35"/>
  <c r="AD118" i="35"/>
  <c r="AC118" i="35"/>
  <c r="AB118" i="35"/>
  <c r="AA118" i="35"/>
  <c r="Z118" i="35"/>
  <c r="Y118" i="35"/>
  <c r="X118" i="35"/>
  <c r="W118" i="35"/>
  <c r="V118" i="35"/>
  <c r="U118" i="35"/>
  <c r="T118" i="35"/>
  <c r="S118" i="35"/>
  <c r="R118" i="35"/>
  <c r="Q118" i="35"/>
  <c r="P118" i="35"/>
  <c r="O118" i="35"/>
  <c r="N118" i="35"/>
  <c r="M118" i="35"/>
  <c r="L118" i="35"/>
  <c r="K118" i="35"/>
  <c r="J118" i="35"/>
  <c r="I118" i="35"/>
  <c r="H118" i="35"/>
  <c r="G118" i="35"/>
  <c r="F118" i="35"/>
  <c r="E118" i="35"/>
  <c r="BG117" i="35"/>
  <c r="BB116" i="35"/>
  <c r="BA116" i="35"/>
  <c r="AZ116" i="35"/>
  <c r="AY116" i="35"/>
  <c r="AX116" i="35"/>
  <c r="AW116" i="35"/>
  <c r="AV116" i="35"/>
  <c r="AU116" i="35"/>
  <c r="AT116" i="35"/>
  <c r="AS116" i="35"/>
  <c r="AR116" i="35"/>
  <c r="AQ116" i="35"/>
  <c r="AP116" i="35"/>
  <c r="AO116" i="35"/>
  <c r="AN116" i="35"/>
  <c r="AM116" i="35"/>
  <c r="AL116" i="35"/>
  <c r="AK116" i="35"/>
  <c r="AH116" i="35"/>
  <c r="AG116" i="35"/>
  <c r="AF116" i="35"/>
  <c r="AE116" i="35"/>
  <c r="AD116" i="35"/>
  <c r="AC116" i="35"/>
  <c r="AB116" i="35"/>
  <c r="AA116" i="35"/>
  <c r="Z116" i="35"/>
  <c r="Y116" i="35"/>
  <c r="X116" i="35"/>
  <c r="W116" i="35"/>
  <c r="V116" i="35"/>
  <c r="U116" i="35"/>
  <c r="T116" i="35"/>
  <c r="S116" i="35"/>
  <c r="R116" i="35"/>
  <c r="Q116" i="35"/>
  <c r="P116" i="35"/>
  <c r="O116" i="35"/>
  <c r="N116" i="35"/>
  <c r="M116" i="35"/>
  <c r="L116" i="35"/>
  <c r="K116" i="35"/>
  <c r="J116" i="35"/>
  <c r="I116" i="35"/>
  <c r="H116" i="35"/>
  <c r="G116" i="35"/>
  <c r="F116" i="35"/>
  <c r="E116" i="35"/>
  <c r="BG115" i="35"/>
  <c r="BB114" i="35"/>
  <c r="BA114" i="35"/>
  <c r="AZ114" i="35"/>
  <c r="AY114" i="35"/>
  <c r="AX114" i="35"/>
  <c r="AW114" i="35"/>
  <c r="AV114" i="35"/>
  <c r="AU114" i="35"/>
  <c r="AT114" i="35"/>
  <c r="AS114" i="35"/>
  <c r="AR114" i="35"/>
  <c r="AQ114" i="35"/>
  <c r="AP114" i="35"/>
  <c r="AO114" i="35"/>
  <c r="AN114" i="35"/>
  <c r="AM114" i="35"/>
  <c r="AL114" i="35"/>
  <c r="AK114" i="35"/>
  <c r="AH114" i="35"/>
  <c r="AG114" i="35"/>
  <c r="AF114" i="35"/>
  <c r="AE114" i="35"/>
  <c r="AD114" i="35"/>
  <c r="AC114" i="35"/>
  <c r="AB114" i="35"/>
  <c r="AA114" i="35"/>
  <c r="Z114" i="35"/>
  <c r="Y114" i="35"/>
  <c r="X114" i="35"/>
  <c r="W114" i="35"/>
  <c r="V114" i="35"/>
  <c r="U114" i="35"/>
  <c r="T114" i="35"/>
  <c r="S114" i="35"/>
  <c r="R114" i="35"/>
  <c r="Q114" i="35"/>
  <c r="P114" i="35"/>
  <c r="O114" i="35"/>
  <c r="N114" i="35"/>
  <c r="M114" i="35"/>
  <c r="L114" i="35"/>
  <c r="K114" i="35"/>
  <c r="J114" i="35"/>
  <c r="I114" i="35"/>
  <c r="H114" i="35"/>
  <c r="G114" i="35"/>
  <c r="F114" i="35"/>
  <c r="E114" i="35"/>
  <c r="BG113" i="35"/>
  <c r="BB112" i="35"/>
  <c r="BA112" i="35"/>
  <c r="AZ112" i="35"/>
  <c r="AY112" i="35"/>
  <c r="AX112" i="35"/>
  <c r="AW112" i="35"/>
  <c r="AV112" i="35"/>
  <c r="AU112" i="35"/>
  <c r="AT112" i="35"/>
  <c r="AS112" i="35"/>
  <c r="AR112" i="35"/>
  <c r="AQ112" i="35"/>
  <c r="AP112" i="35"/>
  <c r="AO112" i="35"/>
  <c r="AN112" i="35"/>
  <c r="AM112" i="35"/>
  <c r="AL112" i="35"/>
  <c r="AK112" i="35"/>
  <c r="AH112" i="35"/>
  <c r="AG112" i="35"/>
  <c r="AF112" i="35"/>
  <c r="AE112" i="35"/>
  <c r="AD112" i="35"/>
  <c r="AC112" i="35"/>
  <c r="AB112" i="35"/>
  <c r="AA112" i="35"/>
  <c r="Z112" i="35"/>
  <c r="Y112" i="35"/>
  <c r="X112" i="35"/>
  <c r="W112" i="35"/>
  <c r="V112" i="35"/>
  <c r="U112" i="35"/>
  <c r="T112" i="35"/>
  <c r="S112" i="35"/>
  <c r="R112" i="35"/>
  <c r="Q112" i="35"/>
  <c r="P112" i="35"/>
  <c r="O112" i="35"/>
  <c r="N112" i="35"/>
  <c r="M112" i="35"/>
  <c r="L112" i="35"/>
  <c r="K112" i="35"/>
  <c r="J112" i="35"/>
  <c r="I112" i="35"/>
  <c r="H112" i="35"/>
  <c r="G112" i="35"/>
  <c r="F112" i="35"/>
  <c r="E112" i="35"/>
  <c r="BG111" i="35"/>
  <c r="BB110" i="35"/>
  <c r="BA110" i="35"/>
  <c r="AZ110" i="35"/>
  <c r="AY110" i="35"/>
  <c r="AX110" i="35"/>
  <c r="AW110" i="35"/>
  <c r="AV110" i="35"/>
  <c r="AU110" i="35"/>
  <c r="AT110" i="35"/>
  <c r="AS110" i="35"/>
  <c r="AR110" i="35"/>
  <c r="AQ110" i="35"/>
  <c r="AP110" i="35"/>
  <c r="AO110" i="35"/>
  <c r="AN110" i="35"/>
  <c r="AM110" i="35"/>
  <c r="AL110" i="35"/>
  <c r="AK110" i="35"/>
  <c r="AH110" i="35"/>
  <c r="AG110" i="35"/>
  <c r="AF110" i="35"/>
  <c r="AE110" i="35"/>
  <c r="AD110" i="35"/>
  <c r="AC110" i="35"/>
  <c r="AB110" i="35"/>
  <c r="AA110" i="35"/>
  <c r="Z110" i="35"/>
  <c r="Y110" i="35"/>
  <c r="X110" i="35"/>
  <c r="W110" i="35"/>
  <c r="V110" i="35"/>
  <c r="U110" i="35"/>
  <c r="T110" i="35"/>
  <c r="S110" i="35"/>
  <c r="R110" i="35"/>
  <c r="Q110" i="35"/>
  <c r="P110" i="35"/>
  <c r="O110" i="35"/>
  <c r="N110" i="35"/>
  <c r="M110" i="35"/>
  <c r="L110" i="35"/>
  <c r="K110" i="35"/>
  <c r="J110" i="35"/>
  <c r="I110" i="35"/>
  <c r="H110" i="35"/>
  <c r="G110" i="35"/>
  <c r="F110" i="35"/>
  <c r="E110" i="35"/>
  <c r="BG109" i="35"/>
  <c r="BB108" i="35"/>
  <c r="BA108" i="35"/>
  <c r="AZ108" i="35"/>
  <c r="AY108" i="35"/>
  <c r="AX108" i="35"/>
  <c r="AW108" i="35"/>
  <c r="AV108" i="35"/>
  <c r="AU108" i="35"/>
  <c r="AT108" i="35"/>
  <c r="AS108" i="35"/>
  <c r="AR108" i="35"/>
  <c r="AQ108" i="35"/>
  <c r="AP108" i="35"/>
  <c r="AO108" i="35"/>
  <c r="AN108" i="35"/>
  <c r="AM108" i="35"/>
  <c r="AL108" i="35"/>
  <c r="AK108" i="35"/>
  <c r="AH108" i="35"/>
  <c r="AG108" i="35"/>
  <c r="AF108" i="35"/>
  <c r="AE108" i="35"/>
  <c r="AD108" i="35"/>
  <c r="AC108" i="35"/>
  <c r="AB108" i="35"/>
  <c r="AA108" i="35"/>
  <c r="Z108" i="35"/>
  <c r="Y108" i="35"/>
  <c r="X108" i="35"/>
  <c r="W108" i="35"/>
  <c r="V108" i="35"/>
  <c r="U108" i="35"/>
  <c r="T108" i="35"/>
  <c r="S108" i="35"/>
  <c r="R108" i="35"/>
  <c r="Q108" i="35"/>
  <c r="P108" i="35"/>
  <c r="O108" i="35"/>
  <c r="N108" i="35"/>
  <c r="M108" i="35"/>
  <c r="L108" i="35"/>
  <c r="K108" i="35"/>
  <c r="J108" i="35"/>
  <c r="I108" i="35"/>
  <c r="H108" i="35"/>
  <c r="G108" i="35"/>
  <c r="F108" i="35"/>
  <c r="E108" i="35"/>
  <c r="BG107" i="35"/>
  <c r="BB106" i="35"/>
  <c r="BA106" i="35"/>
  <c r="AZ106" i="35"/>
  <c r="AY106" i="35"/>
  <c r="AX106" i="35"/>
  <c r="AW106" i="35"/>
  <c r="AV106" i="35"/>
  <c r="AU106" i="35"/>
  <c r="AT106" i="35"/>
  <c r="AS106" i="35"/>
  <c r="AR106" i="35"/>
  <c r="AQ106" i="35"/>
  <c r="AP106" i="35"/>
  <c r="AO106" i="35"/>
  <c r="AN106" i="35"/>
  <c r="AM106" i="35"/>
  <c r="AL106" i="35"/>
  <c r="AK106" i="35"/>
  <c r="AH106" i="35"/>
  <c r="AG106" i="35"/>
  <c r="AF106" i="35"/>
  <c r="AE106" i="35"/>
  <c r="AD106" i="35"/>
  <c r="AC106" i="35"/>
  <c r="AB106" i="35"/>
  <c r="AA106" i="35"/>
  <c r="Z106" i="35"/>
  <c r="Y106" i="35"/>
  <c r="X106" i="35"/>
  <c r="W106" i="35"/>
  <c r="V106" i="35"/>
  <c r="U106" i="35"/>
  <c r="T106" i="35"/>
  <c r="S106" i="35"/>
  <c r="R106" i="35"/>
  <c r="Q106" i="35"/>
  <c r="P106" i="35"/>
  <c r="O106" i="35"/>
  <c r="N106" i="35"/>
  <c r="M106" i="35"/>
  <c r="L106" i="35"/>
  <c r="K106" i="35"/>
  <c r="J106" i="35"/>
  <c r="I106" i="35"/>
  <c r="H106" i="35"/>
  <c r="G106" i="35"/>
  <c r="F106" i="35"/>
  <c r="E106" i="35"/>
  <c r="BG105" i="35"/>
  <c r="BB104" i="35"/>
  <c r="BA104" i="35"/>
  <c r="AZ104" i="35"/>
  <c r="AY104" i="35"/>
  <c r="AX104" i="35"/>
  <c r="AW104" i="35"/>
  <c r="AV104" i="35"/>
  <c r="AU104" i="35"/>
  <c r="AT104" i="35"/>
  <c r="AS104" i="35"/>
  <c r="AR104" i="35"/>
  <c r="AQ104" i="35"/>
  <c r="AP104" i="35"/>
  <c r="AO104" i="35"/>
  <c r="AN104" i="35"/>
  <c r="AM104" i="35"/>
  <c r="AL104" i="35"/>
  <c r="AK104" i="35"/>
  <c r="AH104" i="35"/>
  <c r="AG104" i="35"/>
  <c r="AF104" i="35"/>
  <c r="AE104" i="35"/>
  <c r="AD104" i="35"/>
  <c r="AC104" i="35"/>
  <c r="AB104" i="35"/>
  <c r="AA104" i="35"/>
  <c r="Z104" i="35"/>
  <c r="Y104" i="35"/>
  <c r="X104" i="35"/>
  <c r="W104" i="35"/>
  <c r="V104" i="35"/>
  <c r="U104" i="35"/>
  <c r="T104" i="35"/>
  <c r="S104" i="35"/>
  <c r="R104" i="35"/>
  <c r="Q104" i="35"/>
  <c r="P104" i="35"/>
  <c r="O104" i="35"/>
  <c r="N104" i="35"/>
  <c r="M104" i="35"/>
  <c r="L104" i="35"/>
  <c r="K104" i="35"/>
  <c r="J104" i="35"/>
  <c r="I104" i="35"/>
  <c r="H104" i="35"/>
  <c r="G104" i="35"/>
  <c r="F104" i="35"/>
  <c r="E104" i="35"/>
  <c r="BG103" i="35"/>
  <c r="BB102" i="35"/>
  <c r="BA102" i="35"/>
  <c r="AZ102" i="35"/>
  <c r="AY102" i="35"/>
  <c r="AX102" i="35"/>
  <c r="AW102" i="35"/>
  <c r="AV102" i="35"/>
  <c r="AU102" i="35"/>
  <c r="AT102" i="35"/>
  <c r="AS102" i="35"/>
  <c r="AR102" i="35"/>
  <c r="AQ102" i="35"/>
  <c r="AP102" i="35"/>
  <c r="AO102" i="35"/>
  <c r="AN102" i="35"/>
  <c r="AM102" i="35"/>
  <c r="AL102" i="35"/>
  <c r="AK102" i="35"/>
  <c r="AH102" i="35"/>
  <c r="AG102" i="35"/>
  <c r="AF102" i="35"/>
  <c r="AE102" i="35"/>
  <c r="AD102" i="35"/>
  <c r="AC102" i="35"/>
  <c r="AB102" i="35"/>
  <c r="AA102" i="35"/>
  <c r="Z102" i="35"/>
  <c r="Y102" i="35"/>
  <c r="X102" i="35"/>
  <c r="W102" i="35"/>
  <c r="V102" i="35"/>
  <c r="U102" i="35"/>
  <c r="T102" i="35"/>
  <c r="S102" i="35"/>
  <c r="R102" i="35"/>
  <c r="Q102" i="35"/>
  <c r="P102" i="35"/>
  <c r="O102" i="35"/>
  <c r="N102" i="35"/>
  <c r="M102" i="35"/>
  <c r="L102" i="35"/>
  <c r="K102" i="35"/>
  <c r="J102" i="35"/>
  <c r="I102" i="35"/>
  <c r="H102" i="35"/>
  <c r="G102" i="35"/>
  <c r="F102" i="35"/>
  <c r="E102" i="35"/>
  <c r="BG101" i="35"/>
  <c r="BB100" i="35"/>
  <c r="BA100" i="35"/>
  <c r="AZ100" i="35"/>
  <c r="AY100" i="35"/>
  <c r="AX100" i="35"/>
  <c r="AW100" i="35"/>
  <c r="AV100" i="35"/>
  <c r="AU100" i="35"/>
  <c r="AT100" i="35"/>
  <c r="AS100" i="35"/>
  <c r="AR100" i="35"/>
  <c r="AQ100" i="35"/>
  <c r="AP100" i="35"/>
  <c r="AO100" i="35"/>
  <c r="AN100" i="35"/>
  <c r="AM100" i="35"/>
  <c r="AL100" i="35"/>
  <c r="AK100" i="35"/>
  <c r="AH100" i="35"/>
  <c r="AG100" i="35"/>
  <c r="AF100" i="35"/>
  <c r="AE100" i="35"/>
  <c r="AD100" i="35"/>
  <c r="AC100" i="35"/>
  <c r="AB100" i="35"/>
  <c r="AA100" i="35"/>
  <c r="Z100" i="35"/>
  <c r="Y100" i="35"/>
  <c r="X100" i="35"/>
  <c r="W100" i="35"/>
  <c r="V100" i="35"/>
  <c r="U100" i="35"/>
  <c r="T100" i="35"/>
  <c r="S100" i="35"/>
  <c r="R100" i="35"/>
  <c r="Q100" i="35"/>
  <c r="P100" i="35"/>
  <c r="O100" i="35"/>
  <c r="N100" i="35"/>
  <c r="M100" i="35"/>
  <c r="L100" i="35"/>
  <c r="K100" i="35"/>
  <c r="J100" i="35"/>
  <c r="I100" i="35"/>
  <c r="H100" i="35"/>
  <c r="G100" i="35"/>
  <c r="F100" i="35"/>
  <c r="E100" i="35"/>
  <c r="BG99" i="35"/>
  <c r="BB98" i="35"/>
  <c r="BA98" i="35"/>
  <c r="AZ98" i="35"/>
  <c r="AY98" i="35"/>
  <c r="AX98" i="35"/>
  <c r="AW98" i="35"/>
  <c r="AV98" i="35"/>
  <c r="AU98" i="35"/>
  <c r="AT98" i="35"/>
  <c r="AS98" i="35"/>
  <c r="AR98" i="35"/>
  <c r="AQ98" i="35"/>
  <c r="AP98" i="35"/>
  <c r="AO98" i="35"/>
  <c r="AN98" i="35"/>
  <c r="AM98" i="35"/>
  <c r="AL98" i="35"/>
  <c r="AK98" i="35"/>
  <c r="AH98" i="35"/>
  <c r="AG98" i="35"/>
  <c r="AF98" i="35"/>
  <c r="AE98" i="35"/>
  <c r="AD98" i="35"/>
  <c r="AC98" i="35"/>
  <c r="AB98" i="35"/>
  <c r="AA98" i="35"/>
  <c r="Z98" i="35"/>
  <c r="Y98" i="35"/>
  <c r="X98" i="35"/>
  <c r="W98" i="35"/>
  <c r="V98" i="35"/>
  <c r="U98" i="35"/>
  <c r="T98" i="35"/>
  <c r="S98" i="35"/>
  <c r="R98" i="35"/>
  <c r="Q98" i="35"/>
  <c r="P98" i="35"/>
  <c r="O98" i="35"/>
  <c r="N98" i="35"/>
  <c r="M98" i="35"/>
  <c r="L98" i="35"/>
  <c r="K98" i="35"/>
  <c r="J98" i="35"/>
  <c r="I98" i="35"/>
  <c r="H98" i="35"/>
  <c r="G98" i="35"/>
  <c r="F98" i="35"/>
  <c r="E98" i="35"/>
  <c r="BG97" i="35"/>
  <c r="BB96" i="35"/>
  <c r="BA96" i="35"/>
  <c r="AZ96" i="35"/>
  <c r="AY96" i="35"/>
  <c r="AX96" i="35"/>
  <c r="AW96" i="35"/>
  <c r="AV96" i="35"/>
  <c r="AU96" i="35"/>
  <c r="AT96" i="35"/>
  <c r="AS96" i="35"/>
  <c r="AR96" i="35"/>
  <c r="AQ96" i="35"/>
  <c r="AP96" i="35"/>
  <c r="AO96" i="35"/>
  <c r="AN96" i="35"/>
  <c r="AM96" i="35"/>
  <c r="AL96" i="35"/>
  <c r="AK96" i="35"/>
  <c r="AH96" i="35"/>
  <c r="AG96" i="35"/>
  <c r="AF96" i="35"/>
  <c r="AE96" i="35"/>
  <c r="AD96" i="35"/>
  <c r="AC96" i="35"/>
  <c r="AB96" i="35"/>
  <c r="AA96" i="35"/>
  <c r="Z96" i="35"/>
  <c r="Y96" i="35"/>
  <c r="X96" i="35"/>
  <c r="W96" i="35"/>
  <c r="V96" i="35"/>
  <c r="U96" i="35"/>
  <c r="T96" i="35"/>
  <c r="S96" i="35"/>
  <c r="R96" i="35"/>
  <c r="Q96" i="35"/>
  <c r="P96" i="35"/>
  <c r="O96" i="35"/>
  <c r="N96" i="35"/>
  <c r="M96" i="35"/>
  <c r="L96" i="35"/>
  <c r="K96" i="35"/>
  <c r="J96" i="35"/>
  <c r="I96" i="35"/>
  <c r="H96" i="35"/>
  <c r="G96" i="35"/>
  <c r="F96" i="35"/>
  <c r="E96" i="35"/>
  <c r="BG95" i="35"/>
  <c r="BB94" i="35"/>
  <c r="BA94" i="35"/>
  <c r="AZ94" i="35"/>
  <c r="AY94" i="35"/>
  <c r="AX94" i="35"/>
  <c r="AW94" i="35"/>
  <c r="AV94" i="35"/>
  <c r="AU94" i="35"/>
  <c r="AT94" i="35"/>
  <c r="AS94" i="35"/>
  <c r="AR94" i="35"/>
  <c r="AQ94" i="35"/>
  <c r="AP94" i="35"/>
  <c r="AO94" i="35"/>
  <c r="AN94" i="35"/>
  <c r="AM94" i="35"/>
  <c r="AL94" i="35"/>
  <c r="AK94" i="35"/>
  <c r="AH94" i="35"/>
  <c r="AG94" i="35"/>
  <c r="AF94" i="35"/>
  <c r="AE94" i="35"/>
  <c r="AD94" i="35"/>
  <c r="AC94" i="35"/>
  <c r="AB94" i="35"/>
  <c r="AA94" i="35"/>
  <c r="Z94" i="35"/>
  <c r="Y94" i="35"/>
  <c r="X94" i="35"/>
  <c r="W94" i="35"/>
  <c r="V94" i="35"/>
  <c r="U94" i="35"/>
  <c r="T94" i="35"/>
  <c r="S94" i="35"/>
  <c r="R94" i="35"/>
  <c r="Q94" i="35"/>
  <c r="P94" i="35"/>
  <c r="O94" i="35"/>
  <c r="N94" i="35"/>
  <c r="M94" i="35"/>
  <c r="L94" i="35"/>
  <c r="K94" i="35"/>
  <c r="J94" i="35"/>
  <c r="I94" i="35"/>
  <c r="H94" i="35"/>
  <c r="G94" i="35"/>
  <c r="F94" i="35"/>
  <c r="E94" i="35"/>
  <c r="BG93" i="35"/>
  <c r="BB92" i="35"/>
  <c r="BA92" i="35"/>
  <c r="AZ92" i="35"/>
  <c r="AY92" i="35"/>
  <c r="AX92" i="35"/>
  <c r="AW92" i="35"/>
  <c r="AV92" i="35"/>
  <c r="AU92" i="35"/>
  <c r="AT92" i="35"/>
  <c r="AS92" i="35"/>
  <c r="AR92" i="35"/>
  <c r="AQ92" i="35"/>
  <c r="AP92" i="35"/>
  <c r="AO92" i="35"/>
  <c r="AN92" i="35"/>
  <c r="AM92" i="35"/>
  <c r="AL92" i="35"/>
  <c r="AK92" i="35"/>
  <c r="AH92" i="35"/>
  <c r="AG92" i="35"/>
  <c r="AF92" i="35"/>
  <c r="AE92" i="35"/>
  <c r="AD92" i="35"/>
  <c r="AC92" i="35"/>
  <c r="AB92" i="35"/>
  <c r="AA92" i="35"/>
  <c r="Z92" i="35"/>
  <c r="Y92" i="35"/>
  <c r="X92" i="35"/>
  <c r="W92" i="35"/>
  <c r="V92" i="35"/>
  <c r="U92" i="35"/>
  <c r="T92" i="35"/>
  <c r="S92" i="35"/>
  <c r="R92" i="35"/>
  <c r="Q92" i="35"/>
  <c r="P92" i="35"/>
  <c r="O92" i="35"/>
  <c r="N92" i="35"/>
  <c r="M92" i="35"/>
  <c r="L92" i="35"/>
  <c r="K92" i="35"/>
  <c r="J92" i="35"/>
  <c r="I92" i="35"/>
  <c r="H92" i="35"/>
  <c r="G92" i="35"/>
  <c r="F92" i="35"/>
  <c r="E92" i="35"/>
  <c r="BG91" i="35"/>
  <c r="BB90" i="35"/>
  <c r="BA90" i="35"/>
  <c r="AZ90" i="35"/>
  <c r="AY90" i="35"/>
  <c r="AX90" i="35"/>
  <c r="AW90" i="35"/>
  <c r="AV90" i="35"/>
  <c r="AU90" i="35"/>
  <c r="AT90" i="35"/>
  <c r="AS90" i="35"/>
  <c r="AR90" i="35"/>
  <c r="AQ90" i="35"/>
  <c r="AP90" i="35"/>
  <c r="AO90" i="35"/>
  <c r="AN90" i="35"/>
  <c r="AM90" i="35"/>
  <c r="AL90" i="35"/>
  <c r="AK90" i="35"/>
  <c r="AH90" i="35"/>
  <c r="AG90" i="35"/>
  <c r="AF90" i="35"/>
  <c r="AE90" i="35"/>
  <c r="AD90" i="35"/>
  <c r="AC90" i="35"/>
  <c r="AB90" i="35"/>
  <c r="AA90" i="35"/>
  <c r="Z90" i="35"/>
  <c r="Y90" i="35"/>
  <c r="X90" i="35"/>
  <c r="W90" i="35"/>
  <c r="V90" i="35"/>
  <c r="U90" i="35"/>
  <c r="T90" i="35"/>
  <c r="S90" i="35"/>
  <c r="R90" i="35"/>
  <c r="Q90" i="35"/>
  <c r="P90" i="35"/>
  <c r="O90" i="35"/>
  <c r="N90" i="35"/>
  <c r="M90" i="35"/>
  <c r="L90" i="35"/>
  <c r="K90" i="35"/>
  <c r="J90" i="35"/>
  <c r="I90" i="35"/>
  <c r="H90" i="35"/>
  <c r="G90" i="35"/>
  <c r="F90" i="35"/>
  <c r="E90" i="35"/>
  <c r="BG89" i="35"/>
  <c r="BB88" i="35"/>
  <c r="BA88" i="35"/>
  <c r="AZ88" i="35"/>
  <c r="AY88" i="35"/>
  <c r="AX88" i="35"/>
  <c r="AW88" i="35"/>
  <c r="AV88" i="35"/>
  <c r="AU88" i="35"/>
  <c r="AT88" i="35"/>
  <c r="AS88" i="35"/>
  <c r="AR88" i="35"/>
  <c r="AQ88" i="35"/>
  <c r="AP88" i="35"/>
  <c r="AO88" i="35"/>
  <c r="AN88" i="35"/>
  <c r="AM88" i="35"/>
  <c r="AL88" i="35"/>
  <c r="AK88" i="35"/>
  <c r="AH88" i="35"/>
  <c r="AG88" i="35"/>
  <c r="AF88" i="35"/>
  <c r="AE88" i="35"/>
  <c r="AD88" i="35"/>
  <c r="AC88" i="35"/>
  <c r="AB88" i="35"/>
  <c r="AA88" i="35"/>
  <c r="Z88" i="35"/>
  <c r="Y88" i="35"/>
  <c r="X88" i="35"/>
  <c r="W88" i="35"/>
  <c r="V88" i="35"/>
  <c r="U88" i="35"/>
  <c r="T88" i="35"/>
  <c r="S88" i="35"/>
  <c r="R88" i="35"/>
  <c r="Q88" i="35"/>
  <c r="P88" i="35"/>
  <c r="O88" i="35"/>
  <c r="N88" i="35"/>
  <c r="M88" i="35"/>
  <c r="L88" i="35"/>
  <c r="K88" i="35"/>
  <c r="J88" i="35"/>
  <c r="I88" i="35"/>
  <c r="H88" i="35"/>
  <c r="G88" i="35"/>
  <c r="F88" i="35"/>
  <c r="E88" i="35"/>
  <c r="BG87" i="35"/>
  <c r="BB86" i="35"/>
  <c r="BA86" i="35"/>
  <c r="AZ86" i="35"/>
  <c r="AY86" i="35"/>
  <c r="AX86" i="35"/>
  <c r="AW86" i="35"/>
  <c r="AV86" i="35"/>
  <c r="AU86" i="35"/>
  <c r="AT86" i="35"/>
  <c r="AS86" i="35"/>
  <c r="AR86" i="35"/>
  <c r="AQ86" i="35"/>
  <c r="AP86" i="35"/>
  <c r="AO86" i="35"/>
  <c r="AN86" i="35"/>
  <c r="AM86" i="35"/>
  <c r="AL86" i="35"/>
  <c r="AK86" i="35"/>
  <c r="AH86" i="35"/>
  <c r="AG86" i="35"/>
  <c r="AF86" i="35"/>
  <c r="AE86" i="35"/>
  <c r="AD86" i="35"/>
  <c r="AC86" i="35"/>
  <c r="AB86" i="35"/>
  <c r="AA86" i="35"/>
  <c r="Z86" i="35"/>
  <c r="Y86" i="35"/>
  <c r="X86" i="35"/>
  <c r="W86" i="35"/>
  <c r="V86" i="35"/>
  <c r="U86" i="35"/>
  <c r="T86" i="35"/>
  <c r="S86" i="35"/>
  <c r="R86" i="35"/>
  <c r="Q86" i="35"/>
  <c r="P86" i="35"/>
  <c r="O86" i="35"/>
  <c r="N86" i="35"/>
  <c r="M86" i="35"/>
  <c r="L86" i="35"/>
  <c r="K86" i="35"/>
  <c r="J86" i="35"/>
  <c r="I86" i="35"/>
  <c r="H86" i="35"/>
  <c r="G86" i="35"/>
  <c r="F86" i="35"/>
  <c r="E86" i="35"/>
  <c r="BG85" i="35"/>
  <c r="BB84" i="35"/>
  <c r="BA84" i="35"/>
  <c r="AZ84" i="35"/>
  <c r="AY84" i="35"/>
  <c r="AX84" i="35"/>
  <c r="AW84" i="35"/>
  <c r="AV84" i="35"/>
  <c r="AU84" i="35"/>
  <c r="AT84" i="35"/>
  <c r="AS84" i="35"/>
  <c r="AR84" i="35"/>
  <c r="AQ84" i="35"/>
  <c r="AP84" i="35"/>
  <c r="AO84" i="35"/>
  <c r="AN84" i="35"/>
  <c r="AM84" i="35"/>
  <c r="AL84" i="35"/>
  <c r="AK84" i="35"/>
  <c r="AH84" i="35"/>
  <c r="AG84" i="35"/>
  <c r="AF84" i="35"/>
  <c r="AE84" i="35"/>
  <c r="AD84" i="35"/>
  <c r="AC84" i="35"/>
  <c r="AB84" i="35"/>
  <c r="AA84" i="35"/>
  <c r="Z84" i="35"/>
  <c r="Y84" i="35"/>
  <c r="X84" i="35"/>
  <c r="W84" i="35"/>
  <c r="V84" i="35"/>
  <c r="U84" i="35"/>
  <c r="T84" i="35"/>
  <c r="S84" i="35"/>
  <c r="R84" i="35"/>
  <c r="Q84" i="35"/>
  <c r="P84" i="35"/>
  <c r="O84" i="35"/>
  <c r="N84" i="35"/>
  <c r="M84" i="35"/>
  <c r="L84" i="35"/>
  <c r="K84" i="35"/>
  <c r="J84" i="35"/>
  <c r="I84" i="35"/>
  <c r="H84" i="35"/>
  <c r="G84" i="35"/>
  <c r="F84" i="35"/>
  <c r="E84" i="35"/>
  <c r="BG83" i="35"/>
  <c r="BB82" i="35"/>
  <c r="BA82" i="35"/>
  <c r="AZ82" i="35"/>
  <c r="AY82" i="35"/>
  <c r="AX82" i="35"/>
  <c r="AW82" i="35"/>
  <c r="AV82" i="35"/>
  <c r="AU82" i="35"/>
  <c r="AT82" i="35"/>
  <c r="AS82" i="35"/>
  <c r="AR82" i="35"/>
  <c r="AQ82" i="35"/>
  <c r="AP82" i="35"/>
  <c r="AO82" i="35"/>
  <c r="AN82" i="35"/>
  <c r="AM82" i="35"/>
  <c r="AL82" i="35"/>
  <c r="AK82" i="35"/>
  <c r="AH82" i="35"/>
  <c r="AG82" i="35"/>
  <c r="AF82" i="35"/>
  <c r="AE82" i="35"/>
  <c r="AD82" i="35"/>
  <c r="AC82" i="35"/>
  <c r="AB82" i="35"/>
  <c r="AA82" i="35"/>
  <c r="Z82" i="35"/>
  <c r="Y82" i="35"/>
  <c r="X82" i="35"/>
  <c r="W82" i="35"/>
  <c r="V82" i="35"/>
  <c r="U82" i="35"/>
  <c r="T82" i="35"/>
  <c r="S82" i="35"/>
  <c r="R82" i="35"/>
  <c r="Q82" i="35"/>
  <c r="P82" i="35"/>
  <c r="O82" i="35"/>
  <c r="N82" i="35"/>
  <c r="M82" i="35"/>
  <c r="L82" i="35"/>
  <c r="K82" i="35"/>
  <c r="J82" i="35"/>
  <c r="I82" i="35"/>
  <c r="H82" i="35"/>
  <c r="G82" i="35"/>
  <c r="F82" i="35"/>
  <c r="E82" i="35"/>
  <c r="BG81" i="35"/>
  <c r="BB80" i="35"/>
  <c r="BA80" i="35"/>
  <c r="AZ80" i="35"/>
  <c r="AY80" i="35"/>
  <c r="AX80" i="35"/>
  <c r="AW80" i="35"/>
  <c r="AV80" i="35"/>
  <c r="AU80" i="35"/>
  <c r="AT80" i="35"/>
  <c r="AS80" i="35"/>
  <c r="AR80" i="35"/>
  <c r="AQ80" i="35"/>
  <c r="AP80" i="35"/>
  <c r="AO80" i="35"/>
  <c r="AN80" i="35"/>
  <c r="AM80" i="35"/>
  <c r="AL80" i="35"/>
  <c r="AK80" i="35"/>
  <c r="AH80" i="35"/>
  <c r="AG80" i="35"/>
  <c r="AF80" i="35"/>
  <c r="AE80" i="35"/>
  <c r="AD80" i="35"/>
  <c r="AC80" i="35"/>
  <c r="AB80" i="35"/>
  <c r="AA80" i="35"/>
  <c r="Z80" i="35"/>
  <c r="Y80" i="35"/>
  <c r="X80" i="35"/>
  <c r="W80" i="35"/>
  <c r="V80" i="35"/>
  <c r="U80" i="35"/>
  <c r="T80" i="35"/>
  <c r="S80" i="35"/>
  <c r="R80" i="35"/>
  <c r="Q80" i="35"/>
  <c r="P80" i="35"/>
  <c r="O80" i="35"/>
  <c r="N80" i="35"/>
  <c r="M80" i="35"/>
  <c r="L80" i="35"/>
  <c r="K80" i="35"/>
  <c r="J80" i="35"/>
  <c r="I80" i="35"/>
  <c r="H80" i="35"/>
  <c r="G80" i="35"/>
  <c r="F80" i="35"/>
  <c r="E80" i="35"/>
  <c r="BG79" i="35"/>
  <c r="BB78" i="35"/>
  <c r="BA78" i="35"/>
  <c r="AZ78" i="35"/>
  <c r="AY78" i="35"/>
  <c r="AX78" i="35"/>
  <c r="AW78" i="35"/>
  <c r="AV78" i="35"/>
  <c r="AU78" i="35"/>
  <c r="AT78" i="35"/>
  <c r="AS78" i="35"/>
  <c r="AR78" i="35"/>
  <c r="AQ78" i="35"/>
  <c r="AP78" i="35"/>
  <c r="AO78" i="35"/>
  <c r="AN78" i="35"/>
  <c r="AM78" i="35"/>
  <c r="AL78" i="35"/>
  <c r="AK78" i="35"/>
  <c r="AH78" i="35"/>
  <c r="AG78" i="35"/>
  <c r="AF78" i="35"/>
  <c r="AE78" i="35"/>
  <c r="AD78" i="35"/>
  <c r="AC78" i="35"/>
  <c r="AB78" i="35"/>
  <c r="AA78" i="35"/>
  <c r="Z78" i="35"/>
  <c r="Y78" i="35"/>
  <c r="X78" i="35"/>
  <c r="W78" i="35"/>
  <c r="V78" i="35"/>
  <c r="U78" i="35"/>
  <c r="T78" i="35"/>
  <c r="S78" i="35"/>
  <c r="R78" i="35"/>
  <c r="Q78" i="35"/>
  <c r="P78" i="35"/>
  <c r="O78" i="35"/>
  <c r="N78" i="35"/>
  <c r="M78" i="35"/>
  <c r="L78" i="35"/>
  <c r="K78" i="35"/>
  <c r="J78" i="35"/>
  <c r="I78" i="35"/>
  <c r="H78" i="35"/>
  <c r="G78" i="35"/>
  <c r="F78" i="35"/>
  <c r="E78" i="35"/>
  <c r="BG77" i="35"/>
  <c r="BB76" i="35"/>
  <c r="BA76" i="35"/>
  <c r="AZ76" i="35"/>
  <c r="AY76" i="35"/>
  <c r="AX76" i="35"/>
  <c r="AW76" i="35"/>
  <c r="AV76" i="35"/>
  <c r="AU76" i="35"/>
  <c r="AT76" i="35"/>
  <c r="AS76" i="35"/>
  <c r="AR76" i="35"/>
  <c r="AQ76" i="35"/>
  <c r="AP76" i="35"/>
  <c r="AO76" i="35"/>
  <c r="AN76" i="35"/>
  <c r="AM76" i="35"/>
  <c r="AL76" i="35"/>
  <c r="AK76" i="35"/>
  <c r="AH76" i="35"/>
  <c r="AG76" i="35"/>
  <c r="AF76" i="35"/>
  <c r="AE76" i="35"/>
  <c r="AD76" i="35"/>
  <c r="AC76" i="35"/>
  <c r="AB76" i="35"/>
  <c r="AA76" i="35"/>
  <c r="Z76" i="35"/>
  <c r="Y76" i="35"/>
  <c r="X76" i="35"/>
  <c r="W76" i="35"/>
  <c r="V76" i="35"/>
  <c r="U76" i="35"/>
  <c r="T76" i="35"/>
  <c r="S76" i="35"/>
  <c r="R76" i="35"/>
  <c r="Q76" i="35"/>
  <c r="P76" i="35"/>
  <c r="O76" i="35"/>
  <c r="N76" i="35"/>
  <c r="M76" i="35"/>
  <c r="L76" i="35"/>
  <c r="K76" i="35"/>
  <c r="J76" i="35"/>
  <c r="I76" i="35"/>
  <c r="H76" i="35"/>
  <c r="G76" i="35"/>
  <c r="F76" i="35"/>
  <c r="E76" i="35"/>
  <c r="C76" i="35"/>
  <c r="BG75" i="35"/>
  <c r="BG74" i="35"/>
  <c r="BB73" i="35"/>
  <c r="BA73" i="35"/>
  <c r="AZ73" i="35"/>
  <c r="AY73" i="35"/>
  <c r="AX73" i="35"/>
  <c r="AW73" i="35"/>
  <c r="AV73" i="35"/>
  <c r="AU73" i="35"/>
  <c r="AT73" i="35"/>
  <c r="AS73" i="35"/>
  <c r="AR73" i="35"/>
  <c r="AQ73" i="35"/>
  <c r="AP73" i="35"/>
  <c r="AO73" i="35"/>
  <c r="AN73" i="35"/>
  <c r="AM73" i="35"/>
  <c r="AL73" i="35"/>
  <c r="AK73" i="35"/>
  <c r="AH73" i="35"/>
  <c r="AG73" i="35"/>
  <c r="AF73" i="35"/>
  <c r="AE73" i="35"/>
  <c r="AD73" i="35"/>
  <c r="AC73" i="35"/>
  <c r="AB73" i="35"/>
  <c r="AA73" i="35"/>
  <c r="Z73" i="35"/>
  <c r="Y73" i="35"/>
  <c r="X73" i="35"/>
  <c r="W73" i="35"/>
  <c r="V73" i="35"/>
  <c r="U73" i="35"/>
  <c r="T73" i="35"/>
  <c r="S73" i="35"/>
  <c r="R73" i="35"/>
  <c r="Q73" i="35"/>
  <c r="P73" i="35"/>
  <c r="O73" i="35"/>
  <c r="N73" i="35"/>
  <c r="M73" i="35"/>
  <c r="L73" i="35"/>
  <c r="K73" i="35"/>
  <c r="J73" i="35"/>
  <c r="I73" i="35"/>
  <c r="H73" i="35"/>
  <c r="G73" i="35"/>
  <c r="F73" i="35"/>
  <c r="E73" i="35"/>
  <c r="BG72" i="35"/>
  <c r="BB71" i="35"/>
  <c r="BA71" i="35"/>
  <c r="AZ71" i="35"/>
  <c r="AY71" i="35"/>
  <c r="AX71" i="35"/>
  <c r="AW71" i="35"/>
  <c r="AV71" i="35"/>
  <c r="AU71" i="35"/>
  <c r="AT71" i="35"/>
  <c r="AS71" i="35"/>
  <c r="AR71" i="35"/>
  <c r="AQ71" i="35"/>
  <c r="AP71" i="35"/>
  <c r="AO71" i="35"/>
  <c r="AN71" i="35"/>
  <c r="AM71" i="35"/>
  <c r="AL71" i="35"/>
  <c r="AK71" i="35"/>
  <c r="AH71" i="35"/>
  <c r="AG71" i="35"/>
  <c r="AF71" i="35"/>
  <c r="AE71" i="35"/>
  <c r="AD71" i="35"/>
  <c r="AC71" i="35"/>
  <c r="AB71" i="35"/>
  <c r="AA71" i="35"/>
  <c r="Z71" i="35"/>
  <c r="Y71" i="35"/>
  <c r="X71" i="35"/>
  <c r="W71" i="35"/>
  <c r="V71" i="35"/>
  <c r="U71" i="35"/>
  <c r="T71" i="35"/>
  <c r="S71" i="35"/>
  <c r="R71" i="35"/>
  <c r="Q71" i="35"/>
  <c r="P71" i="35"/>
  <c r="O71" i="35"/>
  <c r="N71" i="35"/>
  <c r="M71" i="35"/>
  <c r="L71" i="35"/>
  <c r="K71" i="35"/>
  <c r="J71" i="35"/>
  <c r="I71" i="35"/>
  <c r="H71" i="35"/>
  <c r="G71" i="35"/>
  <c r="F71" i="35"/>
  <c r="E71" i="35"/>
  <c r="BG70" i="35"/>
  <c r="BB69" i="35"/>
  <c r="BA69" i="35"/>
  <c r="AZ69" i="35"/>
  <c r="AY69" i="35"/>
  <c r="AX69" i="35"/>
  <c r="AW69" i="35"/>
  <c r="AV69" i="35"/>
  <c r="AU69" i="35"/>
  <c r="AT69" i="35"/>
  <c r="AS69" i="35"/>
  <c r="AR69" i="35"/>
  <c r="AQ69" i="35"/>
  <c r="AP69" i="35"/>
  <c r="AO69" i="35"/>
  <c r="AN69" i="35"/>
  <c r="AM69" i="35"/>
  <c r="AL69" i="35"/>
  <c r="AK69" i="35"/>
  <c r="AH69" i="35"/>
  <c r="AG69" i="35"/>
  <c r="AF69" i="35"/>
  <c r="AE69" i="35"/>
  <c r="AD69" i="35"/>
  <c r="AC69" i="35"/>
  <c r="AB69" i="35"/>
  <c r="AA69" i="35"/>
  <c r="Z69" i="35"/>
  <c r="Y69" i="35"/>
  <c r="X69" i="35"/>
  <c r="W69" i="35"/>
  <c r="V69" i="35"/>
  <c r="U69" i="35"/>
  <c r="T69" i="35"/>
  <c r="S69" i="35"/>
  <c r="R69" i="35"/>
  <c r="Q69" i="35"/>
  <c r="P69" i="35"/>
  <c r="O69" i="35"/>
  <c r="N69" i="35"/>
  <c r="M69" i="35"/>
  <c r="L69" i="35"/>
  <c r="K69" i="35"/>
  <c r="J69" i="35"/>
  <c r="I69" i="35"/>
  <c r="H69" i="35"/>
  <c r="G69" i="35"/>
  <c r="F69" i="35"/>
  <c r="E69" i="35"/>
  <c r="BG68" i="35"/>
  <c r="BB67" i="35"/>
  <c r="BA67" i="35"/>
  <c r="AZ67" i="35"/>
  <c r="AY67" i="35"/>
  <c r="AX67" i="35"/>
  <c r="AW67" i="35"/>
  <c r="AV67" i="35"/>
  <c r="AU67" i="35"/>
  <c r="AT67" i="35"/>
  <c r="AS67" i="35"/>
  <c r="AR67" i="35"/>
  <c r="AQ67" i="35"/>
  <c r="AP67" i="35"/>
  <c r="AO67" i="35"/>
  <c r="AN67" i="35"/>
  <c r="AM67" i="35"/>
  <c r="AL67" i="35"/>
  <c r="AK67" i="35"/>
  <c r="AH67" i="35"/>
  <c r="AG67" i="35"/>
  <c r="AF67" i="35"/>
  <c r="AE67" i="35"/>
  <c r="AD67" i="35"/>
  <c r="AC67" i="35"/>
  <c r="AB67" i="35"/>
  <c r="AA67" i="35"/>
  <c r="Z67" i="35"/>
  <c r="Y67" i="35"/>
  <c r="X67" i="35"/>
  <c r="W67" i="35"/>
  <c r="V67" i="35"/>
  <c r="U67" i="35"/>
  <c r="T67" i="35"/>
  <c r="S67" i="35"/>
  <c r="R67" i="35"/>
  <c r="Q67" i="35"/>
  <c r="P67" i="35"/>
  <c r="O67" i="35"/>
  <c r="N67" i="35"/>
  <c r="M67" i="35"/>
  <c r="L67" i="35"/>
  <c r="K67" i="35"/>
  <c r="J67" i="35"/>
  <c r="I67" i="35"/>
  <c r="H67" i="35"/>
  <c r="G67" i="35"/>
  <c r="F67" i="35"/>
  <c r="E67" i="35"/>
  <c r="BG66" i="35"/>
  <c r="BB65" i="35"/>
  <c r="BA65" i="35"/>
  <c r="AZ65" i="35"/>
  <c r="AY65" i="35"/>
  <c r="AX65" i="35"/>
  <c r="AW65" i="35"/>
  <c r="AV65" i="35"/>
  <c r="AU65" i="35"/>
  <c r="AT65" i="35"/>
  <c r="AS65" i="35"/>
  <c r="AR65" i="35"/>
  <c r="AQ65" i="35"/>
  <c r="AP65" i="35"/>
  <c r="AO65" i="35"/>
  <c r="AN65" i="35"/>
  <c r="AM65" i="35"/>
  <c r="AL65" i="35"/>
  <c r="AK65" i="35"/>
  <c r="AH65" i="35"/>
  <c r="AG65" i="35"/>
  <c r="AF65" i="35"/>
  <c r="AE65" i="35"/>
  <c r="AD65" i="35"/>
  <c r="AC65" i="35"/>
  <c r="AB65" i="35"/>
  <c r="AA65" i="35"/>
  <c r="Z65" i="35"/>
  <c r="Y65" i="35"/>
  <c r="X65" i="35"/>
  <c r="W65" i="35"/>
  <c r="V65" i="35"/>
  <c r="U65" i="35"/>
  <c r="T65" i="35"/>
  <c r="S65" i="35"/>
  <c r="R65" i="35"/>
  <c r="Q65" i="35"/>
  <c r="P65" i="35"/>
  <c r="O65" i="35"/>
  <c r="N65" i="35"/>
  <c r="M65" i="35"/>
  <c r="L65" i="35"/>
  <c r="K65" i="35"/>
  <c r="J65" i="35"/>
  <c r="I65" i="35"/>
  <c r="H65" i="35"/>
  <c r="G65" i="35"/>
  <c r="F65" i="35"/>
  <c r="E65" i="35"/>
  <c r="BG64" i="35"/>
  <c r="BB63" i="35"/>
  <c r="BA63" i="35"/>
  <c r="AZ63" i="35"/>
  <c r="AY63" i="35"/>
  <c r="AX63" i="35"/>
  <c r="AW63" i="35"/>
  <c r="AV63" i="35"/>
  <c r="AU63" i="35"/>
  <c r="AT63" i="35"/>
  <c r="AS63" i="35"/>
  <c r="AR63" i="35"/>
  <c r="AQ63" i="35"/>
  <c r="AP63" i="35"/>
  <c r="AO63" i="35"/>
  <c r="AN63" i="35"/>
  <c r="AM63" i="35"/>
  <c r="AL63" i="35"/>
  <c r="AK63" i="35"/>
  <c r="AH63" i="35"/>
  <c r="AG63" i="35"/>
  <c r="AF63" i="35"/>
  <c r="AE63" i="35"/>
  <c r="AD63" i="35"/>
  <c r="AC63" i="35"/>
  <c r="AB63" i="35"/>
  <c r="AA63" i="35"/>
  <c r="Z63" i="35"/>
  <c r="Y63" i="35"/>
  <c r="X63" i="35"/>
  <c r="W63" i="35"/>
  <c r="V63" i="35"/>
  <c r="U63" i="35"/>
  <c r="T63" i="35"/>
  <c r="S63" i="35"/>
  <c r="R63" i="35"/>
  <c r="Q63" i="35"/>
  <c r="P63" i="35"/>
  <c r="O63" i="35"/>
  <c r="N63" i="35"/>
  <c r="M63" i="35"/>
  <c r="L63" i="35"/>
  <c r="K63" i="35"/>
  <c r="J63" i="35"/>
  <c r="I63" i="35"/>
  <c r="H63" i="35"/>
  <c r="G63" i="35"/>
  <c r="F63" i="35"/>
  <c r="E63" i="35"/>
  <c r="BG62" i="35"/>
  <c r="BB61" i="35"/>
  <c r="BA61" i="35"/>
  <c r="AZ61" i="35"/>
  <c r="AY61" i="35"/>
  <c r="AX61" i="35"/>
  <c r="AW61" i="35"/>
  <c r="AV61" i="35"/>
  <c r="AU61" i="35"/>
  <c r="AT61" i="35"/>
  <c r="AS61" i="35"/>
  <c r="AR61" i="35"/>
  <c r="AQ61" i="35"/>
  <c r="AP61" i="35"/>
  <c r="AO61" i="35"/>
  <c r="AN61" i="35"/>
  <c r="AM61" i="35"/>
  <c r="AL61" i="35"/>
  <c r="AK61" i="35"/>
  <c r="AH61" i="35"/>
  <c r="AG61" i="35"/>
  <c r="AF61" i="35"/>
  <c r="AE61" i="35"/>
  <c r="AD61" i="35"/>
  <c r="AC61" i="35"/>
  <c r="AB61" i="35"/>
  <c r="AA61" i="35"/>
  <c r="Z61" i="35"/>
  <c r="Y61" i="35"/>
  <c r="X61" i="35"/>
  <c r="W61" i="35"/>
  <c r="V61" i="35"/>
  <c r="U61" i="35"/>
  <c r="T61" i="35"/>
  <c r="S61" i="35"/>
  <c r="R61" i="35"/>
  <c r="Q61" i="35"/>
  <c r="P61" i="35"/>
  <c r="O61" i="35"/>
  <c r="N61" i="35"/>
  <c r="M61" i="35"/>
  <c r="L61" i="35"/>
  <c r="K61" i="35"/>
  <c r="J61" i="35"/>
  <c r="I61" i="35"/>
  <c r="H61" i="35"/>
  <c r="G61" i="35"/>
  <c r="F61" i="35"/>
  <c r="E61" i="35"/>
  <c r="BG60" i="35"/>
  <c r="BB59" i="35"/>
  <c r="BA59" i="35"/>
  <c r="AZ59" i="35"/>
  <c r="AY59" i="35"/>
  <c r="AX59" i="35"/>
  <c r="AW59" i="35"/>
  <c r="AV59" i="35"/>
  <c r="AU59" i="35"/>
  <c r="AT59" i="35"/>
  <c r="AS59" i="35"/>
  <c r="AR59" i="35"/>
  <c r="AQ59" i="35"/>
  <c r="AP59" i="35"/>
  <c r="AO59" i="35"/>
  <c r="AN59" i="35"/>
  <c r="AM59" i="35"/>
  <c r="AL59" i="35"/>
  <c r="AK59" i="35"/>
  <c r="AH59" i="35"/>
  <c r="AG59" i="35"/>
  <c r="AF59" i="35"/>
  <c r="AE59" i="35"/>
  <c r="AD59" i="35"/>
  <c r="AC59" i="35"/>
  <c r="AB59" i="35"/>
  <c r="AA59" i="35"/>
  <c r="Z59" i="35"/>
  <c r="Y59" i="35"/>
  <c r="X59" i="35"/>
  <c r="W59" i="35"/>
  <c r="V59" i="35"/>
  <c r="U59" i="35"/>
  <c r="T59" i="35"/>
  <c r="S59" i="35"/>
  <c r="R59" i="35"/>
  <c r="Q59" i="35"/>
  <c r="P59" i="35"/>
  <c r="O59" i="35"/>
  <c r="N59" i="35"/>
  <c r="M59" i="35"/>
  <c r="L59" i="35"/>
  <c r="K59" i="35"/>
  <c r="J59" i="35"/>
  <c r="I59" i="35"/>
  <c r="H59" i="35"/>
  <c r="G59" i="35"/>
  <c r="F59" i="35"/>
  <c r="E59" i="35"/>
  <c r="BG58" i="35"/>
  <c r="BB57" i="35"/>
  <c r="BA57" i="35"/>
  <c r="AZ57" i="35"/>
  <c r="AY57" i="35"/>
  <c r="AX57" i="35"/>
  <c r="AW57" i="35"/>
  <c r="AV57" i="35"/>
  <c r="AU57" i="35"/>
  <c r="AT57" i="35"/>
  <c r="AS57" i="35"/>
  <c r="AR57" i="35"/>
  <c r="AQ57" i="35"/>
  <c r="AP57" i="35"/>
  <c r="AO57" i="35"/>
  <c r="AN57" i="35"/>
  <c r="AM57" i="35"/>
  <c r="AL57" i="35"/>
  <c r="AK57" i="35"/>
  <c r="AH57" i="35"/>
  <c r="AG57" i="35"/>
  <c r="AF57" i="35"/>
  <c r="AE57" i="35"/>
  <c r="AD57" i="35"/>
  <c r="AC57" i="35"/>
  <c r="AB57" i="35"/>
  <c r="AA57" i="35"/>
  <c r="Z57" i="35"/>
  <c r="Y57" i="35"/>
  <c r="X57" i="35"/>
  <c r="W57" i="35"/>
  <c r="V57" i="35"/>
  <c r="U57" i="35"/>
  <c r="T57" i="35"/>
  <c r="S57" i="35"/>
  <c r="R57" i="35"/>
  <c r="Q57" i="35"/>
  <c r="P57" i="35"/>
  <c r="O57" i="35"/>
  <c r="N57" i="35"/>
  <c r="M57" i="35"/>
  <c r="L57" i="35"/>
  <c r="K57" i="35"/>
  <c r="J57" i="35"/>
  <c r="I57" i="35"/>
  <c r="H57" i="35"/>
  <c r="G57" i="35"/>
  <c r="F57" i="35"/>
  <c r="E57" i="35"/>
  <c r="BG56" i="35"/>
  <c r="BB55" i="35"/>
  <c r="BA55" i="35"/>
  <c r="AZ55" i="35"/>
  <c r="AY55" i="35"/>
  <c r="AX55" i="35"/>
  <c r="AW55" i="35"/>
  <c r="AV55" i="35"/>
  <c r="AU55" i="35"/>
  <c r="AT55" i="35"/>
  <c r="AS55" i="35"/>
  <c r="AR55" i="35"/>
  <c r="AQ55" i="35"/>
  <c r="AP55" i="35"/>
  <c r="AO55" i="35"/>
  <c r="AN55" i="35"/>
  <c r="AM55" i="35"/>
  <c r="AL55" i="35"/>
  <c r="AK55" i="35"/>
  <c r="AH55" i="35"/>
  <c r="AG55" i="35"/>
  <c r="AF55" i="35"/>
  <c r="AE55" i="35"/>
  <c r="AD55" i="35"/>
  <c r="AC55" i="35"/>
  <c r="AB55" i="35"/>
  <c r="AA55" i="35"/>
  <c r="Z55" i="35"/>
  <c r="Y55" i="35"/>
  <c r="X55" i="35"/>
  <c r="W55" i="35"/>
  <c r="V55" i="35"/>
  <c r="U55" i="35"/>
  <c r="T55" i="35"/>
  <c r="S55" i="35"/>
  <c r="R55" i="35"/>
  <c r="Q55" i="35"/>
  <c r="P55" i="35"/>
  <c r="O55" i="35"/>
  <c r="N55" i="35"/>
  <c r="M55" i="35"/>
  <c r="L55" i="35"/>
  <c r="K55" i="35"/>
  <c r="J55" i="35"/>
  <c r="I55" i="35"/>
  <c r="H55" i="35"/>
  <c r="G55" i="35"/>
  <c r="F55" i="35"/>
  <c r="E55" i="35"/>
  <c r="BG54" i="35"/>
  <c r="BB53" i="35"/>
  <c r="BA53" i="35"/>
  <c r="AZ53" i="35"/>
  <c r="AY53" i="35"/>
  <c r="AX53" i="35"/>
  <c r="AW53" i="35"/>
  <c r="AV53" i="35"/>
  <c r="AU53" i="35"/>
  <c r="AT53" i="35"/>
  <c r="AS53" i="35"/>
  <c r="AR53" i="35"/>
  <c r="AQ53" i="35"/>
  <c r="AP53" i="35"/>
  <c r="AO53" i="35"/>
  <c r="AN53" i="35"/>
  <c r="AM53" i="35"/>
  <c r="AL53" i="35"/>
  <c r="AK53" i="35"/>
  <c r="AH53" i="35"/>
  <c r="AG53" i="35"/>
  <c r="AF53" i="35"/>
  <c r="AE53" i="35"/>
  <c r="AD53" i="35"/>
  <c r="AC53" i="35"/>
  <c r="AB53" i="35"/>
  <c r="AA53" i="35"/>
  <c r="Z53" i="35"/>
  <c r="Y53" i="35"/>
  <c r="X53" i="35"/>
  <c r="W53" i="35"/>
  <c r="V53" i="35"/>
  <c r="U53" i="35"/>
  <c r="T53" i="35"/>
  <c r="S53" i="35"/>
  <c r="R53" i="35"/>
  <c r="Q53" i="35"/>
  <c r="P53" i="35"/>
  <c r="O53" i="35"/>
  <c r="N53" i="35"/>
  <c r="M53" i="35"/>
  <c r="L53" i="35"/>
  <c r="K53" i="35"/>
  <c r="J53" i="35"/>
  <c r="I53" i="35"/>
  <c r="H53" i="35"/>
  <c r="G53" i="35"/>
  <c r="F53" i="35"/>
  <c r="E53" i="35"/>
  <c r="BG52" i="35"/>
  <c r="BB51" i="35"/>
  <c r="BA51" i="35"/>
  <c r="AZ51" i="35"/>
  <c r="AY51" i="35"/>
  <c r="AX51" i="35"/>
  <c r="AW51" i="35"/>
  <c r="AV51" i="35"/>
  <c r="AU51" i="35"/>
  <c r="AT51" i="35"/>
  <c r="AS51" i="35"/>
  <c r="AR51" i="35"/>
  <c r="AQ51" i="35"/>
  <c r="AP51" i="35"/>
  <c r="AO51" i="35"/>
  <c r="AN51" i="35"/>
  <c r="AM51" i="35"/>
  <c r="AL51" i="35"/>
  <c r="AK51" i="35"/>
  <c r="AH51" i="35"/>
  <c r="AG51" i="35"/>
  <c r="AF51" i="35"/>
  <c r="AE51" i="35"/>
  <c r="AD51" i="35"/>
  <c r="AC51" i="35"/>
  <c r="AB51" i="35"/>
  <c r="AA51" i="35"/>
  <c r="Z51" i="35"/>
  <c r="Y51" i="35"/>
  <c r="X51" i="35"/>
  <c r="W51" i="35"/>
  <c r="V51" i="35"/>
  <c r="U51" i="35"/>
  <c r="T51" i="35"/>
  <c r="S51" i="35"/>
  <c r="R51" i="35"/>
  <c r="Q51" i="35"/>
  <c r="P51" i="35"/>
  <c r="O51" i="35"/>
  <c r="N51" i="35"/>
  <c r="M51" i="35"/>
  <c r="L51" i="35"/>
  <c r="K51" i="35"/>
  <c r="J51" i="35"/>
  <c r="I51" i="35"/>
  <c r="H51" i="35"/>
  <c r="G51" i="35"/>
  <c r="F51" i="35"/>
  <c r="E51" i="35"/>
  <c r="BG50" i="35"/>
  <c r="BB49" i="35"/>
  <c r="BA49" i="35"/>
  <c r="AZ49" i="35"/>
  <c r="AY49" i="35"/>
  <c r="AX49" i="35"/>
  <c r="AW49" i="35"/>
  <c r="AV49" i="35"/>
  <c r="AU49" i="35"/>
  <c r="AT49" i="35"/>
  <c r="AS49" i="35"/>
  <c r="AR49" i="35"/>
  <c r="AQ49" i="35"/>
  <c r="AP49" i="35"/>
  <c r="AO49" i="35"/>
  <c r="AN49" i="35"/>
  <c r="AM49" i="35"/>
  <c r="AL49" i="35"/>
  <c r="AK49" i="35"/>
  <c r="AH49" i="35"/>
  <c r="AG49" i="35"/>
  <c r="AF49" i="35"/>
  <c r="AE49" i="35"/>
  <c r="AD49" i="35"/>
  <c r="AC49" i="35"/>
  <c r="AB49" i="35"/>
  <c r="AA49" i="35"/>
  <c r="Z49" i="35"/>
  <c r="Y49" i="35"/>
  <c r="X49" i="35"/>
  <c r="W49" i="35"/>
  <c r="V49" i="35"/>
  <c r="U49" i="35"/>
  <c r="T49" i="35"/>
  <c r="S49" i="35"/>
  <c r="R49" i="35"/>
  <c r="Q49" i="35"/>
  <c r="P49" i="35"/>
  <c r="O49" i="35"/>
  <c r="N49" i="35"/>
  <c r="M49" i="35"/>
  <c r="L49" i="35"/>
  <c r="K49" i="35"/>
  <c r="J49" i="35"/>
  <c r="I49" i="35"/>
  <c r="H49" i="35"/>
  <c r="G49" i="35"/>
  <c r="F49" i="35"/>
  <c r="E49" i="35"/>
  <c r="BG48" i="35"/>
  <c r="BB47" i="35"/>
  <c r="BA47" i="35"/>
  <c r="AZ47" i="35"/>
  <c r="AY47" i="35"/>
  <c r="AX47" i="35"/>
  <c r="AW47" i="35"/>
  <c r="AV47" i="35"/>
  <c r="AU47" i="35"/>
  <c r="AT47" i="35"/>
  <c r="AS47" i="35"/>
  <c r="AR47" i="35"/>
  <c r="AQ47" i="35"/>
  <c r="AP47" i="35"/>
  <c r="AO47" i="35"/>
  <c r="AN47" i="35"/>
  <c r="AM47" i="35"/>
  <c r="AL47" i="35"/>
  <c r="AK47" i="35"/>
  <c r="AH47" i="35"/>
  <c r="AG47" i="35"/>
  <c r="AF47" i="35"/>
  <c r="AE47" i="35"/>
  <c r="AD47" i="35"/>
  <c r="AC47" i="35"/>
  <c r="AB47" i="35"/>
  <c r="AA47" i="35"/>
  <c r="Z47" i="35"/>
  <c r="Y47" i="35"/>
  <c r="X47" i="35"/>
  <c r="W47" i="35"/>
  <c r="V47" i="35"/>
  <c r="U47" i="35"/>
  <c r="T47" i="35"/>
  <c r="S47" i="35"/>
  <c r="R47" i="35"/>
  <c r="Q47" i="35"/>
  <c r="P47" i="35"/>
  <c r="O47" i="35"/>
  <c r="N47" i="35"/>
  <c r="M47" i="35"/>
  <c r="L47" i="35"/>
  <c r="K47" i="35"/>
  <c r="J47" i="35"/>
  <c r="I47" i="35"/>
  <c r="H47" i="35"/>
  <c r="G47" i="35"/>
  <c r="F47" i="35"/>
  <c r="E47" i="35"/>
  <c r="BG46" i="35"/>
  <c r="BB45" i="35"/>
  <c r="BA45" i="35"/>
  <c r="AZ45" i="35"/>
  <c r="AY45" i="35"/>
  <c r="AX45" i="35"/>
  <c r="AW45" i="35"/>
  <c r="AV45" i="35"/>
  <c r="AU45" i="35"/>
  <c r="AT45" i="35"/>
  <c r="AS45" i="35"/>
  <c r="AR45" i="35"/>
  <c r="AQ45" i="35"/>
  <c r="AP45" i="35"/>
  <c r="AO45" i="35"/>
  <c r="AN45" i="35"/>
  <c r="AM45" i="35"/>
  <c r="AL45" i="35"/>
  <c r="AK45" i="35"/>
  <c r="AH45" i="35"/>
  <c r="AG45" i="35"/>
  <c r="AF45" i="35"/>
  <c r="AE45" i="35"/>
  <c r="AD45" i="35"/>
  <c r="AC45" i="35"/>
  <c r="AB45" i="35"/>
  <c r="AA45" i="35"/>
  <c r="Z45" i="35"/>
  <c r="Y45" i="35"/>
  <c r="X45" i="35"/>
  <c r="W45" i="35"/>
  <c r="V45" i="35"/>
  <c r="U45" i="35"/>
  <c r="T45" i="35"/>
  <c r="S45" i="35"/>
  <c r="R45" i="35"/>
  <c r="Q45" i="35"/>
  <c r="P45" i="35"/>
  <c r="O45" i="35"/>
  <c r="N45" i="35"/>
  <c r="M45" i="35"/>
  <c r="L45" i="35"/>
  <c r="K45" i="35"/>
  <c r="J45" i="35"/>
  <c r="I45" i="35"/>
  <c r="H45" i="35"/>
  <c r="G45" i="35"/>
  <c r="F45" i="35"/>
  <c r="E45" i="35"/>
  <c r="BG44" i="35"/>
  <c r="BB43" i="35"/>
  <c r="BA43" i="35"/>
  <c r="AZ43" i="35"/>
  <c r="AY43" i="35"/>
  <c r="AX43" i="35"/>
  <c r="AW43" i="35"/>
  <c r="AV43" i="35"/>
  <c r="AU43" i="35"/>
  <c r="AT43" i="35"/>
  <c r="AS43" i="35"/>
  <c r="AR43" i="35"/>
  <c r="AQ43" i="35"/>
  <c r="AP43" i="35"/>
  <c r="AO43" i="35"/>
  <c r="AN43" i="35"/>
  <c r="AM43" i="35"/>
  <c r="AL43" i="35"/>
  <c r="AK43" i="35"/>
  <c r="AH43" i="35"/>
  <c r="AG43" i="35"/>
  <c r="AF43" i="35"/>
  <c r="AE43" i="35"/>
  <c r="AD43" i="35"/>
  <c r="AC43" i="35"/>
  <c r="AB43" i="35"/>
  <c r="AA43" i="35"/>
  <c r="Z43" i="35"/>
  <c r="Y43" i="35"/>
  <c r="X43" i="35"/>
  <c r="W43" i="35"/>
  <c r="V43" i="35"/>
  <c r="U43" i="35"/>
  <c r="T43" i="35"/>
  <c r="S43" i="35"/>
  <c r="R43" i="35"/>
  <c r="Q43" i="35"/>
  <c r="P43" i="35"/>
  <c r="O43" i="35"/>
  <c r="N43" i="35"/>
  <c r="M43" i="35"/>
  <c r="L43" i="35"/>
  <c r="K43" i="35"/>
  <c r="J43" i="35"/>
  <c r="I43" i="35"/>
  <c r="H43" i="35"/>
  <c r="G43" i="35"/>
  <c r="F43" i="35"/>
  <c r="E43" i="35"/>
  <c r="BG42" i="35"/>
  <c r="BB41" i="35"/>
  <c r="BA41" i="35"/>
  <c r="AZ41" i="35"/>
  <c r="AY41" i="35"/>
  <c r="AX41" i="35"/>
  <c r="AW41" i="35"/>
  <c r="AV41" i="35"/>
  <c r="AU41" i="35"/>
  <c r="AT41" i="35"/>
  <c r="AS41" i="35"/>
  <c r="AR41" i="35"/>
  <c r="AQ41" i="35"/>
  <c r="AP41" i="35"/>
  <c r="AO41" i="35"/>
  <c r="AN41" i="35"/>
  <c r="AM41" i="35"/>
  <c r="AL41" i="35"/>
  <c r="AK41" i="35"/>
  <c r="AH41" i="35"/>
  <c r="AG41" i="35"/>
  <c r="AF41" i="35"/>
  <c r="AE41" i="35"/>
  <c r="AD41" i="35"/>
  <c r="AC41" i="35"/>
  <c r="AB41" i="35"/>
  <c r="AA41" i="35"/>
  <c r="Z41" i="35"/>
  <c r="Y41" i="35"/>
  <c r="X41" i="35"/>
  <c r="W41" i="35"/>
  <c r="V41" i="35"/>
  <c r="U41" i="35"/>
  <c r="T41" i="35"/>
  <c r="S41" i="35"/>
  <c r="R41" i="35"/>
  <c r="Q41" i="35"/>
  <c r="P41" i="35"/>
  <c r="O41" i="35"/>
  <c r="N41" i="35"/>
  <c r="M41" i="35"/>
  <c r="L41" i="35"/>
  <c r="K41" i="35"/>
  <c r="J41" i="35"/>
  <c r="I41" i="35"/>
  <c r="H41" i="35"/>
  <c r="G41" i="35"/>
  <c r="F41" i="35"/>
  <c r="E41" i="35"/>
  <c r="BG40" i="35"/>
  <c r="BB39" i="35"/>
  <c r="BA39" i="35"/>
  <c r="AZ39" i="35"/>
  <c r="AY39" i="35"/>
  <c r="AX39" i="35"/>
  <c r="AW39" i="35"/>
  <c r="AV39" i="35"/>
  <c r="AU39" i="35"/>
  <c r="AT39" i="35"/>
  <c r="AS39" i="35"/>
  <c r="AR39" i="35"/>
  <c r="AQ39" i="35"/>
  <c r="AP39" i="35"/>
  <c r="AO39" i="35"/>
  <c r="AN39" i="35"/>
  <c r="AM39" i="35"/>
  <c r="AL39" i="35"/>
  <c r="AK39" i="35"/>
  <c r="AH39" i="35"/>
  <c r="AG39" i="35"/>
  <c r="AF39" i="35"/>
  <c r="AE39" i="35"/>
  <c r="AD39" i="35"/>
  <c r="AC39" i="35"/>
  <c r="AB39" i="35"/>
  <c r="AA39" i="35"/>
  <c r="Z39" i="35"/>
  <c r="Y39" i="35"/>
  <c r="X39" i="35"/>
  <c r="W39" i="35"/>
  <c r="V39" i="35"/>
  <c r="U39" i="35"/>
  <c r="T39" i="35"/>
  <c r="S39" i="35"/>
  <c r="R39" i="35"/>
  <c r="Q39" i="35"/>
  <c r="P39" i="35"/>
  <c r="O39" i="35"/>
  <c r="N39" i="35"/>
  <c r="M39" i="35"/>
  <c r="L39" i="35"/>
  <c r="K39" i="35"/>
  <c r="J39" i="35"/>
  <c r="I39" i="35"/>
  <c r="H39" i="35"/>
  <c r="G39" i="35"/>
  <c r="F39" i="35"/>
  <c r="E39" i="35"/>
  <c r="BG38" i="35"/>
  <c r="BB37" i="35"/>
  <c r="BA37" i="35"/>
  <c r="AZ37" i="35"/>
  <c r="AY37" i="35"/>
  <c r="AX37" i="35"/>
  <c r="AW37" i="35"/>
  <c r="AV37" i="35"/>
  <c r="AU37" i="35"/>
  <c r="AT37" i="35"/>
  <c r="AS37" i="35"/>
  <c r="AR37" i="35"/>
  <c r="AQ37" i="35"/>
  <c r="AP37" i="35"/>
  <c r="AO37" i="35"/>
  <c r="AN37" i="35"/>
  <c r="AM37" i="35"/>
  <c r="AL37" i="35"/>
  <c r="AK37" i="35"/>
  <c r="AH37" i="35"/>
  <c r="AG37" i="35"/>
  <c r="AF37" i="35"/>
  <c r="AE37" i="35"/>
  <c r="AD37" i="35"/>
  <c r="AC37" i="35"/>
  <c r="AB37" i="35"/>
  <c r="AA37" i="35"/>
  <c r="Z37" i="35"/>
  <c r="Y37" i="35"/>
  <c r="X37" i="35"/>
  <c r="W37" i="35"/>
  <c r="V37" i="35"/>
  <c r="U37" i="35"/>
  <c r="T37" i="35"/>
  <c r="S37" i="35"/>
  <c r="R37" i="35"/>
  <c r="Q37" i="35"/>
  <c r="P37" i="35"/>
  <c r="O37" i="35"/>
  <c r="N37" i="35"/>
  <c r="M37" i="35"/>
  <c r="L37" i="35"/>
  <c r="K37" i="35"/>
  <c r="J37" i="35"/>
  <c r="I37" i="35"/>
  <c r="H37" i="35"/>
  <c r="G37" i="35"/>
  <c r="F37" i="35"/>
  <c r="E37" i="35"/>
  <c r="BG36" i="35"/>
  <c r="BB35" i="35"/>
  <c r="BA35" i="35"/>
  <c r="AZ35" i="35"/>
  <c r="AY35" i="35"/>
  <c r="AX35" i="35"/>
  <c r="AW35" i="35"/>
  <c r="AV35" i="35"/>
  <c r="AU35" i="35"/>
  <c r="AT35" i="35"/>
  <c r="AS35" i="35"/>
  <c r="AR35" i="35"/>
  <c r="AQ35" i="35"/>
  <c r="AP35" i="35"/>
  <c r="AO35" i="35"/>
  <c r="AN35" i="35"/>
  <c r="AM35" i="35"/>
  <c r="AL35" i="35"/>
  <c r="AK35" i="35"/>
  <c r="AH35" i="35"/>
  <c r="AG35" i="35"/>
  <c r="AF35" i="35"/>
  <c r="AE35" i="35"/>
  <c r="AD35" i="35"/>
  <c r="AC35" i="35"/>
  <c r="AB35" i="35"/>
  <c r="AA35" i="35"/>
  <c r="Z35" i="35"/>
  <c r="Y35" i="35"/>
  <c r="X35" i="35"/>
  <c r="W35" i="35"/>
  <c r="V35" i="35"/>
  <c r="U35" i="35"/>
  <c r="T35" i="35"/>
  <c r="S35" i="35"/>
  <c r="R35" i="35"/>
  <c r="Q35" i="35"/>
  <c r="P35" i="35"/>
  <c r="O35" i="35"/>
  <c r="N35" i="35"/>
  <c r="M35" i="35"/>
  <c r="L35" i="35"/>
  <c r="K35" i="35"/>
  <c r="J35" i="35"/>
  <c r="I35" i="35"/>
  <c r="H35" i="35"/>
  <c r="G35" i="35"/>
  <c r="F35" i="35"/>
  <c r="E35" i="35"/>
  <c r="BG34" i="35"/>
  <c r="BB33" i="35"/>
  <c r="BA33" i="35"/>
  <c r="AZ33" i="35"/>
  <c r="AY33" i="35"/>
  <c r="AX33" i="35"/>
  <c r="AW33" i="35"/>
  <c r="AV33" i="35"/>
  <c r="AU33" i="35"/>
  <c r="AT33" i="35"/>
  <c r="AS33" i="35"/>
  <c r="AR33" i="35"/>
  <c r="AQ33" i="35"/>
  <c r="AP33" i="35"/>
  <c r="AO33" i="35"/>
  <c r="AN33" i="35"/>
  <c r="AM33" i="35"/>
  <c r="AL33" i="35"/>
  <c r="AK33" i="35"/>
  <c r="AH33" i="35"/>
  <c r="AG33" i="35"/>
  <c r="AF33" i="35"/>
  <c r="AE33" i="35"/>
  <c r="AD33" i="35"/>
  <c r="AC33" i="35"/>
  <c r="AB33" i="35"/>
  <c r="AA33" i="35"/>
  <c r="Z33" i="35"/>
  <c r="Y33" i="35"/>
  <c r="X33" i="35"/>
  <c r="W33" i="35"/>
  <c r="V33" i="35"/>
  <c r="U33" i="35"/>
  <c r="T33" i="35"/>
  <c r="S33" i="35"/>
  <c r="R33" i="35"/>
  <c r="Q33" i="35"/>
  <c r="P33" i="35"/>
  <c r="O33" i="35"/>
  <c r="N33" i="35"/>
  <c r="M33" i="35"/>
  <c r="L33" i="35"/>
  <c r="K33" i="35"/>
  <c r="J33" i="35"/>
  <c r="I33" i="35"/>
  <c r="H33" i="35"/>
  <c r="G33" i="35"/>
  <c r="F33" i="35"/>
  <c r="E33" i="35"/>
  <c r="BG32" i="35"/>
  <c r="BB31" i="35"/>
  <c r="BA31" i="35"/>
  <c r="AZ31" i="35"/>
  <c r="AY31" i="35"/>
  <c r="AX31" i="35"/>
  <c r="AW31" i="35"/>
  <c r="AV31" i="35"/>
  <c r="AU31" i="35"/>
  <c r="AT31" i="35"/>
  <c r="AS31" i="35"/>
  <c r="AR31" i="35"/>
  <c r="AQ31" i="35"/>
  <c r="AP31" i="35"/>
  <c r="AO31" i="35"/>
  <c r="AN31" i="35"/>
  <c r="AM31" i="35"/>
  <c r="AL31" i="35"/>
  <c r="AK31" i="35"/>
  <c r="AH31" i="35"/>
  <c r="AG31" i="35"/>
  <c r="AF31" i="35"/>
  <c r="AE31" i="35"/>
  <c r="AD31" i="35"/>
  <c r="AC31" i="35"/>
  <c r="AB31" i="35"/>
  <c r="AA31" i="35"/>
  <c r="Z31" i="35"/>
  <c r="Y31" i="35"/>
  <c r="X31" i="35"/>
  <c r="W31" i="35"/>
  <c r="V31" i="35"/>
  <c r="U31" i="35"/>
  <c r="T31" i="35"/>
  <c r="S31" i="35"/>
  <c r="R31" i="35"/>
  <c r="Q31" i="35"/>
  <c r="P31" i="35"/>
  <c r="O31" i="35"/>
  <c r="N31" i="35"/>
  <c r="M31" i="35"/>
  <c r="L31" i="35"/>
  <c r="K31" i="35"/>
  <c r="J31" i="35"/>
  <c r="I31" i="35"/>
  <c r="H31" i="35"/>
  <c r="G31" i="35"/>
  <c r="F31" i="35"/>
  <c r="E31" i="35"/>
  <c r="BG30" i="35"/>
  <c r="BB29" i="35"/>
  <c r="BA29" i="35"/>
  <c r="AZ29" i="35"/>
  <c r="AY29" i="35"/>
  <c r="AX29" i="35"/>
  <c r="AW29" i="35"/>
  <c r="AV29" i="35"/>
  <c r="AU29" i="35"/>
  <c r="AT29" i="35"/>
  <c r="AS29" i="35"/>
  <c r="AR29" i="35"/>
  <c r="AQ29" i="35"/>
  <c r="AP29" i="35"/>
  <c r="AO29" i="35"/>
  <c r="AN29" i="35"/>
  <c r="AM29" i="35"/>
  <c r="AL29" i="35"/>
  <c r="AK29" i="35"/>
  <c r="AH29" i="35"/>
  <c r="AG29" i="35"/>
  <c r="AF29" i="35"/>
  <c r="AE29" i="35"/>
  <c r="AD29" i="35"/>
  <c r="AC29" i="35"/>
  <c r="AB29" i="35"/>
  <c r="AA29" i="35"/>
  <c r="Z29" i="35"/>
  <c r="Y29" i="35"/>
  <c r="X29" i="35"/>
  <c r="W29" i="35"/>
  <c r="V29" i="35"/>
  <c r="U29" i="35"/>
  <c r="T29" i="35"/>
  <c r="S29" i="35"/>
  <c r="R29" i="35"/>
  <c r="Q29" i="35"/>
  <c r="P29" i="35"/>
  <c r="O29" i="35"/>
  <c r="N29" i="35"/>
  <c r="M29" i="35"/>
  <c r="L29" i="35"/>
  <c r="K29" i="35"/>
  <c r="J29" i="35"/>
  <c r="I29" i="35"/>
  <c r="H29" i="35"/>
  <c r="G29" i="35"/>
  <c r="F29" i="35"/>
  <c r="E29" i="35"/>
  <c r="BG28" i="35"/>
  <c r="BB27" i="35"/>
  <c r="BA27" i="35"/>
  <c r="AZ27" i="35"/>
  <c r="AY27" i="35"/>
  <c r="AX27" i="35"/>
  <c r="AW27" i="35"/>
  <c r="AV27" i="35"/>
  <c r="AU27" i="35"/>
  <c r="AT27" i="35"/>
  <c r="AS27" i="35"/>
  <c r="AR27" i="35"/>
  <c r="AQ27" i="35"/>
  <c r="AP27" i="35"/>
  <c r="AO27" i="35"/>
  <c r="AN27" i="35"/>
  <c r="AM27" i="35"/>
  <c r="AL27" i="35"/>
  <c r="AK27" i="35"/>
  <c r="AH27" i="35"/>
  <c r="AG27" i="35"/>
  <c r="AF27" i="35"/>
  <c r="AE27" i="35"/>
  <c r="AD27" i="35"/>
  <c r="AC27" i="35"/>
  <c r="AB27" i="35"/>
  <c r="AA27" i="35"/>
  <c r="Z27" i="35"/>
  <c r="Y27" i="35"/>
  <c r="X27" i="35"/>
  <c r="W27" i="35"/>
  <c r="V27" i="35"/>
  <c r="U27" i="35"/>
  <c r="T27" i="35"/>
  <c r="S27" i="35"/>
  <c r="R27" i="35"/>
  <c r="Q27" i="35"/>
  <c r="P27" i="35"/>
  <c r="O27" i="35"/>
  <c r="N27" i="35"/>
  <c r="M27" i="35"/>
  <c r="L27" i="35"/>
  <c r="K27" i="35"/>
  <c r="J27" i="35"/>
  <c r="I27" i="35"/>
  <c r="H27" i="35"/>
  <c r="G27" i="35"/>
  <c r="F27" i="35"/>
  <c r="E27" i="35"/>
  <c r="BG26" i="35"/>
  <c r="AH25" i="35"/>
  <c r="AG25" i="35"/>
  <c r="AF25" i="35"/>
  <c r="AE25" i="35"/>
  <c r="AD25" i="35"/>
  <c r="AC25" i="35"/>
  <c r="AB25" i="35"/>
  <c r="AA25" i="35"/>
  <c r="Z25" i="35"/>
  <c r="Y25" i="35"/>
  <c r="X25" i="35"/>
  <c r="W25" i="35"/>
  <c r="V25" i="35"/>
  <c r="U25" i="35"/>
  <c r="T25" i="35"/>
  <c r="S25" i="35"/>
  <c r="R25" i="35"/>
  <c r="Q25" i="35"/>
  <c r="P25" i="35"/>
  <c r="O25" i="35"/>
  <c r="N25" i="35"/>
  <c r="M25" i="35"/>
  <c r="L25" i="35"/>
  <c r="K25" i="35"/>
  <c r="J25" i="35"/>
  <c r="I25" i="35"/>
  <c r="H25" i="35"/>
  <c r="G25" i="35"/>
  <c r="F25" i="35"/>
  <c r="E25" i="35"/>
  <c r="BG24" i="35"/>
  <c r="AH23" i="35"/>
  <c r="AG23" i="35"/>
  <c r="AF23" i="35"/>
  <c r="AE23" i="35"/>
  <c r="AD23" i="35"/>
  <c r="AC23" i="35"/>
  <c r="AB23" i="35"/>
  <c r="AA23" i="35"/>
  <c r="Z23" i="35"/>
  <c r="Y23" i="35"/>
  <c r="X23" i="35"/>
  <c r="W23" i="35"/>
  <c r="V23" i="35"/>
  <c r="U23" i="35"/>
  <c r="T23" i="35"/>
  <c r="S23" i="35"/>
  <c r="R23" i="35"/>
  <c r="Q23" i="35"/>
  <c r="P23" i="35"/>
  <c r="O23" i="35"/>
  <c r="N23" i="35"/>
  <c r="M23" i="35"/>
  <c r="L23" i="35"/>
  <c r="K23" i="35"/>
  <c r="J23" i="35"/>
  <c r="I23" i="35"/>
  <c r="H23" i="35"/>
  <c r="G23" i="35"/>
  <c r="F23" i="35"/>
  <c r="E23" i="35"/>
  <c r="BG22" i="35"/>
  <c r="AH21" i="35"/>
  <c r="AG21" i="35"/>
  <c r="AF21" i="35"/>
  <c r="AE21" i="35"/>
  <c r="AD21" i="35"/>
  <c r="AC21" i="35"/>
  <c r="AB21" i="35"/>
  <c r="AA21" i="35"/>
  <c r="Z21" i="35"/>
  <c r="Y21" i="35"/>
  <c r="X21" i="35"/>
  <c r="W21" i="35"/>
  <c r="V21" i="35"/>
  <c r="U21" i="35"/>
  <c r="T21" i="35"/>
  <c r="S21" i="35"/>
  <c r="R21" i="35"/>
  <c r="Q21" i="35"/>
  <c r="P21" i="35"/>
  <c r="O21" i="35"/>
  <c r="N21" i="35"/>
  <c r="M21" i="35"/>
  <c r="L21" i="35"/>
  <c r="K21" i="35"/>
  <c r="J21" i="35"/>
  <c r="I21" i="35"/>
  <c r="H21" i="35"/>
  <c r="G21" i="35"/>
  <c r="F21" i="35"/>
  <c r="E21" i="35"/>
  <c r="BG20" i="35"/>
  <c r="AH19" i="35"/>
  <c r="AG19" i="35"/>
  <c r="AF19" i="35"/>
  <c r="AE19" i="35"/>
  <c r="AD19" i="35"/>
  <c r="AC19" i="35"/>
  <c r="AB19" i="35"/>
  <c r="AA19" i="35"/>
  <c r="Z19" i="35"/>
  <c r="Y19" i="35"/>
  <c r="X19" i="35"/>
  <c r="W19" i="35"/>
  <c r="V19" i="35"/>
  <c r="U19" i="35"/>
  <c r="T19" i="35"/>
  <c r="S19" i="35"/>
  <c r="R19" i="35"/>
  <c r="Q19" i="35"/>
  <c r="P19" i="35"/>
  <c r="O19" i="35"/>
  <c r="N19" i="35"/>
  <c r="M19" i="35"/>
  <c r="L19" i="35"/>
  <c r="K19" i="35"/>
  <c r="J19" i="35"/>
  <c r="I19" i="35"/>
  <c r="H19" i="35"/>
  <c r="G19" i="35"/>
  <c r="F19" i="35"/>
  <c r="E19" i="35"/>
  <c r="BG18" i="35"/>
  <c r="AH17" i="35"/>
  <c r="AG17" i="35"/>
  <c r="AF17" i="35"/>
  <c r="AE17" i="35"/>
  <c r="AD17" i="35"/>
  <c r="AC17" i="35"/>
  <c r="AB17" i="35"/>
  <c r="AA17" i="35"/>
  <c r="Z17" i="35"/>
  <c r="Y17" i="35"/>
  <c r="X17" i="35"/>
  <c r="W17" i="35"/>
  <c r="V17" i="35"/>
  <c r="U17" i="35"/>
  <c r="T17" i="35"/>
  <c r="S17" i="35"/>
  <c r="R17" i="35"/>
  <c r="Q17" i="35"/>
  <c r="P17" i="35"/>
  <c r="O17" i="35"/>
  <c r="N17" i="35"/>
  <c r="M17" i="35"/>
  <c r="L17" i="35"/>
  <c r="K17" i="35"/>
  <c r="J17" i="35"/>
  <c r="I17" i="35"/>
  <c r="H17" i="35"/>
  <c r="G17" i="35"/>
  <c r="F17" i="35"/>
  <c r="E17" i="35"/>
  <c r="BG16" i="35"/>
  <c r="BB15" i="35"/>
  <c r="BA15" i="35"/>
  <c r="AZ15" i="35"/>
  <c r="AY15" i="35"/>
  <c r="AX15" i="35"/>
  <c r="AW15" i="35"/>
  <c r="AV15" i="35"/>
  <c r="AU15" i="35"/>
  <c r="AT15" i="35"/>
  <c r="AS15" i="35"/>
  <c r="AR15" i="35"/>
  <c r="AQ15" i="35"/>
  <c r="AP15" i="35"/>
  <c r="AO15" i="35"/>
  <c r="AN15" i="35"/>
  <c r="AM15" i="35"/>
  <c r="AL15" i="35"/>
  <c r="AK15" i="35"/>
  <c r="AH15" i="35"/>
  <c r="AG15" i="35"/>
  <c r="AF15" i="35"/>
  <c r="AE15" i="35"/>
  <c r="AD15" i="35"/>
  <c r="AC15" i="35"/>
  <c r="AB15" i="35"/>
  <c r="AA15" i="35"/>
  <c r="Z15" i="35"/>
  <c r="Y15" i="35"/>
  <c r="X15" i="35"/>
  <c r="W15" i="35"/>
  <c r="V15" i="35"/>
  <c r="U15" i="35"/>
  <c r="T15" i="35"/>
  <c r="S15" i="35"/>
  <c r="R15" i="35"/>
  <c r="Q15" i="35"/>
  <c r="P15" i="35"/>
  <c r="O15" i="35"/>
  <c r="N15" i="35"/>
  <c r="M15" i="35"/>
  <c r="L15" i="35"/>
  <c r="K15" i="35"/>
  <c r="J15" i="35"/>
  <c r="I15" i="35"/>
  <c r="H15" i="35"/>
  <c r="G15" i="35"/>
  <c r="F15" i="35"/>
  <c r="E15" i="35"/>
  <c r="C15" i="35"/>
  <c r="BC9" i="35"/>
  <c r="BD5" i="35"/>
  <c r="D5" i="35"/>
  <c r="D4" i="35"/>
  <c r="BD3" i="35"/>
  <c r="D3" i="35"/>
  <c r="BD2" i="35"/>
  <c r="D2" i="35"/>
  <c r="D1" i="35"/>
  <c r="C85" i="19"/>
  <c r="B85" i="19"/>
  <c r="H73" i="19"/>
  <c r="F73" i="19"/>
  <c r="B73" i="19"/>
  <c r="H72" i="19"/>
  <c r="F72" i="19"/>
  <c r="B72" i="19"/>
  <c r="H71" i="19"/>
  <c r="F71" i="19"/>
  <c r="B71" i="19"/>
  <c r="H70" i="19"/>
  <c r="F70" i="19"/>
  <c r="B70" i="19"/>
  <c r="H69" i="19"/>
  <c r="F69" i="19"/>
  <c r="B69" i="19"/>
  <c r="H68" i="19"/>
  <c r="F68" i="19"/>
  <c r="B68" i="19"/>
  <c r="H67" i="19"/>
  <c r="G67" i="19"/>
  <c r="F67" i="19"/>
  <c r="B67" i="19"/>
  <c r="H66" i="19"/>
  <c r="F66" i="19"/>
  <c r="B66" i="19"/>
  <c r="H65" i="19"/>
  <c r="F65" i="19"/>
  <c r="B65" i="19"/>
  <c r="H64" i="19"/>
  <c r="F64" i="19"/>
  <c r="B64" i="19"/>
  <c r="H63" i="19"/>
  <c r="F63" i="19"/>
  <c r="B63" i="19"/>
  <c r="H62" i="19"/>
  <c r="F62" i="19"/>
  <c r="B62" i="19"/>
  <c r="H61" i="19"/>
  <c r="F61" i="19"/>
  <c r="B61" i="19"/>
  <c r="H60" i="19"/>
  <c r="F60" i="19"/>
  <c r="B60" i="19"/>
  <c r="H59" i="19"/>
  <c r="F59" i="19"/>
  <c r="B59" i="19"/>
  <c r="H58" i="19"/>
  <c r="F58" i="19"/>
  <c r="B58" i="19"/>
  <c r="H57" i="19"/>
  <c r="F57" i="19"/>
  <c r="B57" i="19"/>
  <c r="H56" i="19"/>
  <c r="F56" i="19"/>
  <c r="B56" i="19"/>
  <c r="H55" i="19"/>
  <c r="F55" i="19"/>
  <c r="B55" i="19"/>
  <c r="H54" i="19"/>
  <c r="F54" i="19"/>
  <c r="B54" i="19"/>
  <c r="H53" i="19"/>
  <c r="F53" i="19"/>
  <c r="B53" i="19"/>
  <c r="H52" i="19"/>
  <c r="F52" i="19"/>
  <c r="B52" i="19"/>
  <c r="H51" i="19"/>
  <c r="F51" i="19"/>
  <c r="F77" i="19" s="1"/>
  <c r="B51" i="19"/>
  <c r="H50" i="19"/>
  <c r="F50" i="19"/>
  <c r="B50" i="19"/>
  <c r="H49" i="19"/>
  <c r="F49" i="19"/>
  <c r="B49" i="19"/>
  <c r="H48" i="19"/>
  <c r="F48" i="19"/>
  <c r="B48" i="19"/>
  <c r="H47" i="19"/>
  <c r="F47" i="19"/>
  <c r="B47" i="19"/>
  <c r="H46" i="19"/>
  <c r="F46" i="19"/>
  <c r="B46" i="19"/>
  <c r="H45" i="19"/>
  <c r="F45" i="19"/>
  <c r="B45" i="19"/>
  <c r="H44" i="19"/>
  <c r="F44" i="19"/>
  <c r="B44" i="19"/>
  <c r="H42" i="19"/>
  <c r="F42" i="19"/>
  <c r="B42" i="19"/>
  <c r="H41" i="19"/>
  <c r="F41" i="19"/>
  <c r="B41" i="19"/>
  <c r="H40" i="19"/>
  <c r="F40" i="19"/>
  <c r="B40" i="19"/>
  <c r="H39" i="19"/>
  <c r="F39" i="19"/>
  <c r="B39" i="19"/>
  <c r="H38" i="19"/>
  <c r="F38" i="19"/>
  <c r="B38" i="19"/>
  <c r="H37" i="19"/>
  <c r="F37" i="19"/>
  <c r="B37" i="19"/>
  <c r="H36" i="19"/>
  <c r="G36" i="19"/>
  <c r="F36" i="19"/>
  <c r="B36" i="19"/>
  <c r="H35" i="19"/>
  <c r="F35" i="19"/>
  <c r="B35" i="19"/>
  <c r="H34" i="19"/>
  <c r="F34" i="19"/>
  <c r="B34" i="19"/>
  <c r="H33" i="19"/>
  <c r="F33" i="19"/>
  <c r="B33" i="19"/>
  <c r="B31" i="19"/>
  <c r="B30" i="19"/>
  <c r="B29" i="19"/>
  <c r="B28" i="19"/>
  <c r="B27" i="19"/>
  <c r="B26" i="19"/>
  <c r="B25" i="19"/>
  <c r="B24" i="19"/>
  <c r="B23" i="19"/>
  <c r="B22" i="19"/>
  <c r="B21" i="19"/>
  <c r="B20" i="19"/>
  <c r="B19" i="19"/>
  <c r="B18" i="19"/>
  <c r="B17" i="19"/>
  <c r="B16" i="19"/>
  <c r="B15" i="19"/>
  <c r="B14" i="19"/>
  <c r="H13" i="19"/>
  <c r="BC78" i="35" s="1"/>
  <c r="F13" i="19"/>
  <c r="BD78" i="35" s="1"/>
  <c r="B13" i="19"/>
  <c r="B12" i="19"/>
  <c r="I4" i="19"/>
  <c r="B4" i="19"/>
  <c r="I3" i="19"/>
  <c r="B3" i="19"/>
  <c r="I2" i="19"/>
  <c r="B2" i="19"/>
  <c r="B1" i="19"/>
  <c r="C36" i="34"/>
  <c r="I24" i="34"/>
  <c r="H24" i="34"/>
  <c r="G24" i="34"/>
  <c r="E24" i="34"/>
  <c r="D24" i="34"/>
  <c r="C23" i="34"/>
  <c r="C22" i="34"/>
  <c r="D17" i="34"/>
  <c r="C17" i="34"/>
  <c r="F16" i="34"/>
  <c r="C16" i="34"/>
  <c r="F15" i="34"/>
  <c r="C15" i="34"/>
  <c r="F14" i="34"/>
  <c r="C14" i="34"/>
  <c r="F13" i="34"/>
  <c r="C13" i="34"/>
  <c r="F12" i="34"/>
  <c r="C12" i="34"/>
  <c r="I5" i="34"/>
  <c r="B4" i="34"/>
  <c r="I3" i="34"/>
  <c r="F3" i="34"/>
  <c r="B3" i="34"/>
  <c r="I2" i="34"/>
  <c r="B2" i="34"/>
  <c r="B1" i="34"/>
  <c r="I24" i="21"/>
  <c r="H24" i="21"/>
  <c r="G24" i="21"/>
  <c r="D17" i="21"/>
  <c r="D24" i="21" s="1"/>
  <c r="F16" i="21"/>
  <c r="C16" i="21"/>
  <c r="F15" i="21"/>
  <c r="C15" i="21"/>
  <c r="F14" i="21"/>
  <c r="C14" i="21"/>
  <c r="F13" i="21"/>
  <c r="C13" i="21"/>
  <c r="F12" i="21"/>
  <c r="C12" i="21"/>
  <c r="I5" i="21"/>
  <c r="B5" i="21"/>
  <c r="B4" i="21"/>
  <c r="I3" i="21"/>
  <c r="B3" i="21"/>
  <c r="B2" i="21"/>
  <c r="B1" i="21"/>
  <c r="D21" i="15"/>
  <c r="B5" i="19" s="1"/>
  <c r="D19" i="15"/>
  <c r="R4" i="40" s="1"/>
  <c r="E19" i="37"/>
  <c r="E18" i="37"/>
  <c r="E17" i="37"/>
  <c r="E16" i="37"/>
  <c r="E15" i="37"/>
  <c r="E14" i="37"/>
  <c r="E13" i="37"/>
  <c r="E12" i="37"/>
  <c r="E11" i="37"/>
  <c r="E10" i="37"/>
  <c r="E9" i="37"/>
  <c r="K210" i="40" l="1"/>
  <c r="K27" i="40"/>
  <c r="K294" i="40"/>
  <c r="K31" i="40"/>
  <c r="K45" i="40"/>
  <c r="K288" i="40"/>
  <c r="K240" i="40"/>
  <c r="K14" i="40"/>
  <c r="K83" i="40"/>
  <c r="K252" i="40"/>
  <c r="K32" i="40"/>
  <c r="K77" i="40"/>
  <c r="K227" i="40"/>
  <c r="C65" i="55"/>
  <c r="C64" i="55"/>
  <c r="D65" i="55"/>
  <c r="D64" i="55"/>
  <c r="H51" i="55"/>
  <c r="K51" i="55"/>
  <c r="N1" i="55"/>
  <c r="BD1" i="35"/>
  <c r="C17" i="21"/>
  <c r="C22" i="21" s="1"/>
  <c r="C23" i="21" s="1"/>
  <c r="I1" i="34"/>
  <c r="R1" i="40"/>
  <c r="I1" i="19"/>
  <c r="I1" i="21"/>
  <c r="N1" i="52"/>
  <c r="BC1" i="57"/>
  <c r="I1" i="56"/>
  <c r="E24" i="21"/>
  <c r="E277" i="55"/>
  <c r="L120" i="53"/>
  <c r="F5" i="52"/>
  <c r="G5" i="55"/>
  <c r="H5" i="40"/>
  <c r="F5" i="47"/>
  <c r="I369" i="55" s="1"/>
  <c r="B5" i="56"/>
  <c r="G179" i="52"/>
  <c r="L79" i="52"/>
  <c r="L65" i="52"/>
  <c r="H128" i="52"/>
  <c r="D25" i="55"/>
  <c r="L750" i="53"/>
  <c r="L448" i="53"/>
  <c r="L121" i="53"/>
  <c r="L170" i="53"/>
  <c r="L96" i="53"/>
  <c r="K668" i="47"/>
  <c r="K664" i="47" s="1"/>
  <c r="J670" i="47"/>
  <c r="K695" i="47"/>
  <c r="K692" i="47" s="1"/>
  <c r="K645" i="47"/>
  <c r="K644" i="47" s="1"/>
  <c r="K614" i="47"/>
  <c r="J614" i="47"/>
  <c r="H313" i="55"/>
  <c r="H312" i="55"/>
  <c r="J643" i="47"/>
  <c r="H643" i="47"/>
  <c r="L643" i="47"/>
  <c r="L639" i="47" s="1"/>
  <c r="K643" i="47"/>
  <c r="H638" i="47"/>
  <c r="L638" i="47"/>
  <c r="K638" i="47"/>
  <c r="J638" i="47"/>
  <c r="H362" i="55"/>
  <c r="I334" i="55"/>
  <c r="L823" i="47"/>
  <c r="L822" i="47" s="1"/>
  <c r="K823" i="47"/>
  <c r="J823" i="47"/>
  <c r="L819" i="47"/>
  <c r="L818" i="47" s="1"/>
  <c r="K819" i="47"/>
  <c r="J819" i="47"/>
  <c r="L814" i="47"/>
  <c r="L813" i="47" s="1"/>
  <c r="K814" i="47"/>
  <c r="J814" i="47"/>
  <c r="L809" i="47"/>
  <c r="L808" i="47" s="1"/>
  <c r="K809" i="47"/>
  <c r="J809" i="47"/>
  <c r="I331" i="55"/>
  <c r="I357" i="55"/>
  <c r="H356" i="55"/>
  <c r="I354" i="55"/>
  <c r="I352" i="55"/>
  <c r="I350" i="55"/>
  <c r="I345" i="55"/>
  <c r="H352" i="55"/>
  <c r="H350" i="55"/>
  <c r="I347" i="55"/>
  <c r="L804" i="47"/>
  <c r="L803" i="47" s="1"/>
  <c r="I355" i="55"/>
  <c r="I353" i="55"/>
  <c r="K804" i="47"/>
  <c r="I361" i="55"/>
  <c r="H355" i="55"/>
  <c r="J804" i="47"/>
  <c r="H361" i="55"/>
  <c r="H353" i="55"/>
  <c r="I341" i="55"/>
  <c r="K341" i="55"/>
  <c r="L794" i="47"/>
  <c r="L793" i="47" s="1"/>
  <c r="L799" i="47"/>
  <c r="L798" i="47" s="1"/>
  <c r="K794" i="47"/>
  <c r="K799" i="47"/>
  <c r="J794" i="47"/>
  <c r="J799" i="47"/>
  <c r="L792" i="47"/>
  <c r="L790" i="47" s="1"/>
  <c r="K792" i="47"/>
  <c r="J792" i="47"/>
  <c r="H302" i="55"/>
  <c r="I302" i="55"/>
  <c r="K314" i="55"/>
  <c r="H315" i="55"/>
  <c r="I315" i="55"/>
  <c r="H316" i="55"/>
  <c r="H314" i="55"/>
  <c r="H331" i="55"/>
  <c r="I316" i="55"/>
  <c r="J789" i="47"/>
  <c r="L785" i="47"/>
  <c r="G785" i="47"/>
  <c r="G789" i="47"/>
  <c r="L787" i="47"/>
  <c r="L788" i="47"/>
  <c r="K785" i="47"/>
  <c r="J786" i="47"/>
  <c r="K787" i="47"/>
  <c r="L786" i="47"/>
  <c r="L789" i="47"/>
  <c r="K788" i="47"/>
  <c r="J785" i="47"/>
  <c r="H787" i="47"/>
  <c r="J787" i="47"/>
  <c r="K786" i="47"/>
  <c r="K789" i="47"/>
  <c r="J788" i="47"/>
  <c r="H785" i="47"/>
  <c r="H788" i="47"/>
  <c r="G787" i="47"/>
  <c r="H786" i="47"/>
  <c r="H789" i="47"/>
  <c r="G788" i="47"/>
  <c r="G786" i="47"/>
  <c r="K316" i="55"/>
  <c r="K315" i="55"/>
  <c r="I320" i="55"/>
  <c r="I328" i="55"/>
  <c r="K322" i="55"/>
  <c r="H320" i="55"/>
  <c r="H328" i="55"/>
  <c r="H318" i="55"/>
  <c r="I322" i="55"/>
  <c r="H321" i="55"/>
  <c r="H322" i="55"/>
  <c r="H329" i="55"/>
  <c r="K321" i="55"/>
  <c r="I317" i="55"/>
  <c r="I318" i="55"/>
  <c r="I321" i="55"/>
  <c r="H317" i="55"/>
  <c r="I329" i="55"/>
  <c r="I314" i="55"/>
  <c r="L683" i="47"/>
  <c r="L679" i="47"/>
  <c r="K682" i="47"/>
  <c r="J682" i="47"/>
  <c r="K691" i="47"/>
  <c r="J691" i="47"/>
  <c r="L596" i="47"/>
  <c r="L597" i="47"/>
  <c r="K596" i="47"/>
  <c r="L599" i="47"/>
  <c r="L600" i="47"/>
  <c r="K597" i="47"/>
  <c r="J596" i="47"/>
  <c r="G599" i="47"/>
  <c r="K599" i="47"/>
  <c r="L598" i="47"/>
  <c r="L601" i="47"/>
  <c r="K600" i="47"/>
  <c r="J597" i="47"/>
  <c r="H596" i="47"/>
  <c r="J599" i="47"/>
  <c r="K598" i="47"/>
  <c r="K601" i="47"/>
  <c r="J600" i="47"/>
  <c r="H597" i="47"/>
  <c r="G596" i="47"/>
  <c r="H599" i="47"/>
  <c r="J598" i="47"/>
  <c r="J601" i="47"/>
  <c r="H600" i="47"/>
  <c r="G597" i="47"/>
  <c r="H598" i="47"/>
  <c r="H601" i="47"/>
  <c r="G600" i="47"/>
  <c r="G598" i="47"/>
  <c r="G601" i="47"/>
  <c r="B448" i="53"/>
  <c r="B239" i="53"/>
  <c r="B477" i="53"/>
  <c r="B501" i="53"/>
  <c r="B525" i="53"/>
  <c r="B557" i="53"/>
  <c r="B565" i="53"/>
  <c r="B750" i="53"/>
  <c r="B35" i="53"/>
  <c r="B452" i="53"/>
  <c r="B453" i="53"/>
  <c r="B693" i="53"/>
  <c r="B416" i="53"/>
  <c r="B461" i="53"/>
  <c r="B775" i="53"/>
  <c r="B509" i="53"/>
  <c r="B533" i="53"/>
  <c r="B766" i="53"/>
  <c r="B170" i="53"/>
  <c r="B223" i="53"/>
  <c r="B440" i="53"/>
  <c r="B121" i="53"/>
  <c r="B424" i="53"/>
  <c r="B541" i="53"/>
  <c r="B726" i="53"/>
  <c r="B493" i="53"/>
  <c r="B549" i="53"/>
  <c r="E289" i="55"/>
  <c r="L579" i="47"/>
  <c r="L576" i="47" s="1"/>
  <c r="K579" i="47"/>
  <c r="J579" i="47"/>
  <c r="H579" i="47"/>
  <c r="G579" i="47"/>
  <c r="H228" i="55"/>
  <c r="L555" i="47"/>
  <c r="L557" i="47"/>
  <c r="G559" i="47"/>
  <c r="K555" i="47"/>
  <c r="J555" i="47"/>
  <c r="H558" i="47"/>
  <c r="G558" i="47"/>
  <c r="L559" i="47"/>
  <c r="L556" i="47"/>
  <c r="G555" i="47"/>
  <c r="K559" i="47"/>
  <c r="L558" i="47"/>
  <c r="H555" i="47"/>
  <c r="H557" i="47"/>
  <c r="G557" i="47"/>
  <c r="J559" i="47"/>
  <c r="K558" i="47"/>
  <c r="K557" i="47"/>
  <c r="H559" i="47"/>
  <c r="J558" i="47"/>
  <c r="J557" i="47"/>
  <c r="I228" i="55"/>
  <c r="I201" i="55"/>
  <c r="H201" i="55"/>
  <c r="K201" i="55"/>
  <c r="I284" i="55"/>
  <c r="H284" i="55"/>
  <c r="K284" i="55"/>
  <c r="D186" i="55"/>
  <c r="D187" i="55" s="1"/>
  <c r="D188" i="55" s="1"/>
  <c r="K283" i="55"/>
  <c r="I283" i="55"/>
  <c r="H283" i="55"/>
  <c r="D279" i="55"/>
  <c r="D283" i="55"/>
  <c r="D284" i="55" s="1"/>
  <c r="K704" i="47"/>
  <c r="M704" i="47" s="1"/>
  <c r="J695" i="47"/>
  <c r="J451" i="47"/>
  <c r="J37" i="47"/>
  <c r="J424" i="47"/>
  <c r="K762" i="47"/>
  <c r="K761" i="47" s="1"/>
  <c r="J747" i="47"/>
  <c r="K51" i="47"/>
  <c r="M51" i="47" s="1"/>
  <c r="J649" i="47"/>
  <c r="K59" i="47"/>
  <c r="M59" i="47" s="1"/>
  <c r="K187" i="40" s="1"/>
  <c r="M61" i="47"/>
  <c r="K86" i="55"/>
  <c r="I86" i="55"/>
  <c r="I60" i="55"/>
  <c r="H86" i="55"/>
  <c r="H60" i="55"/>
  <c r="J738" i="47"/>
  <c r="K750" i="47"/>
  <c r="M750" i="47" s="1"/>
  <c r="K233" i="47"/>
  <c r="K232" i="47" s="1"/>
  <c r="M232" i="47" s="1"/>
  <c r="K260" i="40" s="1"/>
  <c r="J645" i="47"/>
  <c r="K952" i="47"/>
  <c r="M952" i="47" s="1"/>
  <c r="J443" i="47"/>
  <c r="J653" i="47"/>
  <c r="J699" i="47"/>
  <c r="K760" i="47"/>
  <c r="M760" i="47" s="1"/>
  <c r="J469" i="47"/>
  <c r="J32" i="47"/>
  <c r="J668" i="47"/>
  <c r="J754" i="47"/>
  <c r="H429" i="55"/>
  <c r="I444" i="55"/>
  <c r="I439" i="55"/>
  <c r="I436" i="55"/>
  <c r="H444" i="55"/>
  <c r="H439" i="55"/>
  <c r="H436" i="55"/>
  <c r="I441" i="55"/>
  <c r="H443" i="55"/>
  <c r="I429" i="55"/>
  <c r="I443" i="55"/>
  <c r="H441" i="55"/>
  <c r="I438" i="55"/>
  <c r="H438" i="55"/>
  <c r="K444" i="55"/>
  <c r="K429" i="55"/>
  <c r="G15" i="56"/>
  <c r="G16" i="56"/>
  <c r="G17" i="56"/>
  <c r="G18" i="56"/>
  <c r="G23" i="56"/>
  <c r="H258" i="55"/>
  <c r="I428" i="55"/>
  <c r="H428" i="55"/>
  <c r="K428" i="55"/>
  <c r="I258" i="55"/>
  <c r="K258" i="55"/>
  <c r="AX67" i="57"/>
  <c r="AP67" i="57"/>
  <c r="AQ67" i="57"/>
  <c r="AY67" i="57"/>
  <c r="AR67" i="57"/>
  <c r="AZ67" i="57"/>
  <c r="T67" i="57"/>
  <c r="AB67" i="57"/>
  <c r="AO67" i="57"/>
  <c r="AW67" i="57"/>
  <c r="U67" i="57"/>
  <c r="AD67" i="57"/>
  <c r="W67" i="57"/>
  <c r="AF67" i="57"/>
  <c r="AS67" i="57"/>
  <c r="Q67" i="57"/>
  <c r="Y67" i="57"/>
  <c r="AG67" i="57"/>
  <c r="AL67" i="57"/>
  <c r="AT67" i="57"/>
  <c r="BB67" i="57"/>
  <c r="AC67" i="57"/>
  <c r="V67" i="57"/>
  <c r="O67" i="57"/>
  <c r="X67" i="57"/>
  <c r="AK67" i="57"/>
  <c r="R67" i="57"/>
  <c r="Z67" i="57"/>
  <c r="AH67" i="57"/>
  <c r="AM67" i="57"/>
  <c r="AU67" i="57"/>
  <c r="AE67" i="57"/>
  <c r="P67" i="57"/>
  <c r="BA67" i="57"/>
  <c r="S67" i="57"/>
  <c r="AA67" i="57"/>
  <c r="AN67" i="57"/>
  <c r="AV67" i="57"/>
  <c r="C71" i="55"/>
  <c r="C72" i="55" s="1"/>
  <c r="C73" i="55" s="1"/>
  <c r="C74" i="55" s="1"/>
  <c r="E70" i="55"/>
  <c r="C154" i="55"/>
  <c r="E154" i="55" s="1"/>
  <c r="E153" i="55"/>
  <c r="K670" i="47"/>
  <c r="M670" i="47" s="1"/>
  <c r="J759" i="47"/>
  <c r="J50" i="47"/>
  <c r="J731" i="47"/>
  <c r="K733" i="47"/>
  <c r="M733" i="47" s="1"/>
  <c r="J766" i="47"/>
  <c r="J212" i="47"/>
  <c r="K212" i="47"/>
  <c r="M212" i="47" s="1"/>
  <c r="J425" i="47"/>
  <c r="I447" i="55"/>
  <c r="K447" i="55"/>
  <c r="H447" i="55"/>
  <c r="I449" i="55"/>
  <c r="H449" i="55"/>
  <c r="L956" i="47"/>
  <c r="L955" i="47" s="1"/>
  <c r="K956" i="47"/>
  <c r="K955" i="47" s="1"/>
  <c r="J956" i="47"/>
  <c r="H956" i="47"/>
  <c r="G956" i="47"/>
  <c r="I456" i="55"/>
  <c r="H456" i="55"/>
  <c r="I455" i="55"/>
  <c r="H455" i="55"/>
  <c r="K456" i="55"/>
  <c r="I457" i="55"/>
  <c r="H457" i="55"/>
  <c r="I458" i="55"/>
  <c r="H458" i="55"/>
  <c r="J869" i="47"/>
  <c r="J864" i="47"/>
  <c r="K864" i="47"/>
  <c r="H140" i="55"/>
  <c r="I470" i="55"/>
  <c r="H470" i="55"/>
  <c r="I469" i="55"/>
  <c r="H469" i="55"/>
  <c r="K470" i="55"/>
  <c r="C468" i="55"/>
  <c r="E467" i="55"/>
  <c r="I157" i="55"/>
  <c r="G19" i="56"/>
  <c r="G27" i="56"/>
  <c r="G12" i="56"/>
  <c r="G20" i="56"/>
  <c r="G28" i="56"/>
  <c r="G13" i="56"/>
  <c r="G21" i="56"/>
  <c r="G29" i="56"/>
  <c r="G14" i="56"/>
  <c r="G22" i="56"/>
  <c r="K162" i="55"/>
  <c r="I162" i="55"/>
  <c r="H162" i="55"/>
  <c r="D421" i="55"/>
  <c r="D422" i="55" s="1"/>
  <c r="K140" i="55"/>
  <c r="H157" i="55"/>
  <c r="I140" i="55"/>
  <c r="K157" i="55"/>
  <c r="H159" i="55"/>
  <c r="I143" i="55"/>
  <c r="K153" i="55"/>
  <c r="H143" i="55"/>
  <c r="H148" i="55"/>
  <c r="I153" i="55"/>
  <c r="I149" i="55"/>
  <c r="H151" i="55"/>
  <c r="K160" i="55"/>
  <c r="H153" i="55"/>
  <c r="H149" i="55"/>
  <c r="I160" i="55"/>
  <c r="K151" i="55"/>
  <c r="H160" i="55"/>
  <c r="I151" i="55"/>
  <c r="I148" i="55"/>
  <c r="I159" i="55"/>
  <c r="K143" i="55"/>
  <c r="I139" i="55"/>
  <c r="H139" i="55"/>
  <c r="K138" i="55"/>
  <c r="I138" i="55"/>
  <c r="K137" i="55"/>
  <c r="H138" i="55"/>
  <c r="I137" i="55"/>
  <c r="K139" i="55"/>
  <c r="H137" i="55"/>
  <c r="E143" i="55"/>
  <c r="C144" i="55"/>
  <c r="E144" i="55" s="1"/>
  <c r="C149" i="55"/>
  <c r="E149" i="55" s="1"/>
  <c r="E148" i="55"/>
  <c r="G137" i="47"/>
  <c r="J137" i="47"/>
  <c r="L139" i="47"/>
  <c r="K139" i="47"/>
  <c r="L138" i="47"/>
  <c r="J139" i="47"/>
  <c r="K138" i="47"/>
  <c r="L137" i="47"/>
  <c r="G139" i="47"/>
  <c r="H139" i="47"/>
  <c r="J138" i="47"/>
  <c r="K137" i="47"/>
  <c r="G138" i="47"/>
  <c r="H137" i="47"/>
  <c r="H138" i="47"/>
  <c r="G135" i="47"/>
  <c r="J135" i="47"/>
  <c r="L136" i="47"/>
  <c r="K136" i="47"/>
  <c r="L135" i="47"/>
  <c r="J136" i="47"/>
  <c r="K135" i="47"/>
  <c r="G136" i="47"/>
  <c r="H135" i="47"/>
  <c r="H136" i="47"/>
  <c r="J656" i="47"/>
  <c r="J878" i="47"/>
  <c r="J877" i="47"/>
  <c r="J742" i="47"/>
  <c r="K759" i="47"/>
  <c r="M759" i="47" s="1"/>
  <c r="K881" i="47"/>
  <c r="K880" i="47" s="1"/>
  <c r="G116" i="47"/>
  <c r="G115" i="47"/>
  <c r="H114" i="47"/>
  <c r="J113" i="47"/>
  <c r="G117" i="47"/>
  <c r="G114" i="47"/>
  <c r="H113" i="47"/>
  <c r="K115" i="47"/>
  <c r="J116" i="47"/>
  <c r="H116" i="47"/>
  <c r="L118" i="47"/>
  <c r="G113" i="47"/>
  <c r="L115" i="47"/>
  <c r="H117" i="47"/>
  <c r="J114" i="47"/>
  <c r="K118" i="47"/>
  <c r="L117" i="47"/>
  <c r="L114" i="47"/>
  <c r="K114" i="47"/>
  <c r="K113" i="47"/>
  <c r="J118" i="47"/>
  <c r="K117" i="47"/>
  <c r="L116" i="47"/>
  <c r="G118" i="47"/>
  <c r="L113" i="47"/>
  <c r="H118" i="47"/>
  <c r="J117" i="47"/>
  <c r="K116" i="47"/>
  <c r="J115" i="47"/>
  <c r="H115" i="47"/>
  <c r="L110" i="47"/>
  <c r="L108" i="47"/>
  <c r="K107" i="47"/>
  <c r="L111" i="47"/>
  <c r="K110" i="47"/>
  <c r="K108" i="47"/>
  <c r="J107" i="47"/>
  <c r="L112" i="47"/>
  <c r="K111" i="47"/>
  <c r="J110" i="47"/>
  <c r="J108" i="47"/>
  <c r="H107" i="47"/>
  <c r="K112" i="47"/>
  <c r="J111" i="47"/>
  <c r="H110" i="47"/>
  <c r="H108" i="47"/>
  <c r="G107" i="47"/>
  <c r="J112" i="47"/>
  <c r="H111" i="47"/>
  <c r="G110" i="47"/>
  <c r="G108" i="47"/>
  <c r="H112" i="47"/>
  <c r="G111" i="47"/>
  <c r="G112" i="47"/>
  <c r="L107" i="47"/>
  <c r="G109" i="47"/>
  <c r="H109" i="47"/>
  <c r="H41" i="55"/>
  <c r="I41" i="55"/>
  <c r="C40" i="55"/>
  <c r="C41" i="55" s="1"/>
  <c r="I208" i="55"/>
  <c r="H208" i="55"/>
  <c r="L384" i="47"/>
  <c r="L383" i="47" s="1"/>
  <c r="K384" i="47"/>
  <c r="J384" i="47"/>
  <c r="H384" i="47"/>
  <c r="G384" i="47"/>
  <c r="H207" i="55"/>
  <c r="K207" i="55"/>
  <c r="I207" i="55"/>
  <c r="I205" i="55"/>
  <c r="I203" i="55"/>
  <c r="I202" i="55"/>
  <c r="H205" i="55"/>
  <c r="H203" i="55"/>
  <c r="H202" i="55"/>
  <c r="K206" i="55"/>
  <c r="K204" i="55"/>
  <c r="I206" i="55"/>
  <c r="I204" i="55"/>
  <c r="H206" i="55"/>
  <c r="H204" i="55"/>
  <c r="K205" i="55"/>
  <c r="K203" i="55"/>
  <c r="K202" i="55"/>
  <c r="I199" i="55"/>
  <c r="H199" i="55"/>
  <c r="I200" i="55"/>
  <c r="H200" i="55"/>
  <c r="K199" i="55"/>
  <c r="H198" i="55"/>
  <c r="I198" i="55"/>
  <c r="K198" i="55"/>
  <c r="D206" i="55"/>
  <c r="D207" i="55" s="1"/>
  <c r="D208" i="55" s="1"/>
  <c r="L337" i="47"/>
  <c r="K336" i="47"/>
  <c r="L338" i="47"/>
  <c r="K337" i="47"/>
  <c r="J336" i="47"/>
  <c r="L340" i="47"/>
  <c r="L339" i="47"/>
  <c r="K338" i="47"/>
  <c r="J337" i="47"/>
  <c r="H336" i="47"/>
  <c r="G338" i="47"/>
  <c r="K340" i="47"/>
  <c r="K339" i="47"/>
  <c r="J338" i="47"/>
  <c r="H337" i="47"/>
  <c r="G336" i="47"/>
  <c r="J340" i="47"/>
  <c r="J339" i="47"/>
  <c r="H338" i="47"/>
  <c r="G337" i="47"/>
  <c r="H340" i="47"/>
  <c r="H339" i="47"/>
  <c r="G340" i="47"/>
  <c r="G339" i="47"/>
  <c r="L336" i="47"/>
  <c r="I192" i="55"/>
  <c r="H192" i="55"/>
  <c r="K192" i="55"/>
  <c r="I188" i="55"/>
  <c r="H188" i="55"/>
  <c r="J328" i="47"/>
  <c r="J329" i="47"/>
  <c r="L329" i="47"/>
  <c r="H329" i="47"/>
  <c r="K329" i="47"/>
  <c r="L328" i="47"/>
  <c r="K328" i="47"/>
  <c r="G329" i="47"/>
  <c r="H328" i="47"/>
  <c r="G328" i="47"/>
  <c r="G325" i="47"/>
  <c r="H324" i="47"/>
  <c r="J323" i="47"/>
  <c r="H322" i="47"/>
  <c r="G321" i="47"/>
  <c r="H325" i="47"/>
  <c r="G324" i="47"/>
  <c r="H323" i="47"/>
  <c r="G322" i="47"/>
  <c r="K325" i="47"/>
  <c r="H320" i="47"/>
  <c r="J324" i="47"/>
  <c r="L327" i="47"/>
  <c r="G323" i="47"/>
  <c r="L320" i="47"/>
  <c r="J326" i="47"/>
  <c r="K321" i="47"/>
  <c r="G326" i="47"/>
  <c r="K327" i="47"/>
  <c r="L326" i="47"/>
  <c r="K320" i="47"/>
  <c r="L324" i="47"/>
  <c r="J322" i="47"/>
  <c r="J327" i="47"/>
  <c r="K326" i="47"/>
  <c r="L325" i="47"/>
  <c r="L321" i="47"/>
  <c r="J320" i="47"/>
  <c r="H327" i="47"/>
  <c r="L322" i="47"/>
  <c r="H321" i="47"/>
  <c r="K323" i="47"/>
  <c r="G327" i="47"/>
  <c r="H326" i="47"/>
  <c r="J325" i="47"/>
  <c r="K324" i="47"/>
  <c r="L323" i="47"/>
  <c r="K322" i="47"/>
  <c r="J321" i="47"/>
  <c r="G320" i="47"/>
  <c r="K187" i="55"/>
  <c r="I187" i="55"/>
  <c r="H187" i="55"/>
  <c r="K186" i="55"/>
  <c r="I186" i="55"/>
  <c r="H186" i="55"/>
  <c r="H185" i="55"/>
  <c r="K185" i="55"/>
  <c r="I185" i="55"/>
  <c r="H178" i="55"/>
  <c r="I178" i="55"/>
  <c r="H179" i="55"/>
  <c r="I179" i="55"/>
  <c r="K178" i="55"/>
  <c r="K179" i="55"/>
  <c r="C174" i="55"/>
  <c r="C175" i="55" s="1"/>
  <c r="C176" i="55" s="1"/>
  <c r="C177" i="55" s="1"/>
  <c r="C178" i="55" s="1"/>
  <c r="C179" i="55" s="1"/>
  <c r="H398" i="55"/>
  <c r="I398" i="55"/>
  <c r="K398" i="55"/>
  <c r="H177" i="55"/>
  <c r="I177" i="55"/>
  <c r="D388" i="55"/>
  <c r="H397" i="55"/>
  <c r="I397" i="55"/>
  <c r="K397" i="55"/>
  <c r="H395" i="55"/>
  <c r="I395" i="55"/>
  <c r="K395" i="55"/>
  <c r="H392" i="55"/>
  <c r="H393" i="55"/>
  <c r="I393" i="55"/>
  <c r="K393" i="55"/>
  <c r="I392" i="55"/>
  <c r="K392" i="55"/>
  <c r="H390" i="55"/>
  <c r="I390" i="55"/>
  <c r="K390" i="55"/>
  <c r="H389" i="55"/>
  <c r="I389" i="55"/>
  <c r="K389" i="55"/>
  <c r="I386" i="55"/>
  <c r="K386" i="55"/>
  <c r="H387" i="55"/>
  <c r="I387" i="55"/>
  <c r="K387" i="55"/>
  <c r="H386" i="55"/>
  <c r="H382" i="55"/>
  <c r="I382" i="55"/>
  <c r="K382" i="55"/>
  <c r="K385" i="55"/>
  <c r="I385" i="55"/>
  <c r="H385" i="55"/>
  <c r="I381" i="55"/>
  <c r="K381" i="55"/>
  <c r="H381" i="55"/>
  <c r="H378" i="55"/>
  <c r="K379" i="55"/>
  <c r="K377" i="55"/>
  <c r="I379" i="55"/>
  <c r="I377" i="55"/>
  <c r="K378" i="55"/>
  <c r="H379" i="55"/>
  <c r="H377" i="55"/>
  <c r="I376" i="55"/>
  <c r="I378" i="55"/>
  <c r="H376" i="55"/>
  <c r="H491" i="47"/>
  <c r="G491" i="47"/>
  <c r="L490" i="47"/>
  <c r="K490" i="47"/>
  <c r="L491" i="47"/>
  <c r="J490" i="47"/>
  <c r="K491" i="47"/>
  <c r="H490" i="47"/>
  <c r="J491" i="47"/>
  <c r="G490" i="47"/>
  <c r="H127" i="55"/>
  <c r="I127" i="55"/>
  <c r="C377" i="55"/>
  <c r="E376" i="55"/>
  <c r="K258" i="47"/>
  <c r="M258" i="47" s="1"/>
  <c r="J258" i="47"/>
  <c r="C136" i="55"/>
  <c r="E136" i="55" s="1"/>
  <c r="C137" i="55"/>
  <c r="L478" i="47"/>
  <c r="L279" i="47"/>
  <c r="K281" i="47"/>
  <c r="H274" i="47"/>
  <c r="G274" i="47"/>
  <c r="K282" i="47"/>
  <c r="H279" i="47"/>
  <c r="G278" i="47"/>
  <c r="L281" i="47"/>
  <c r="L280" i="47"/>
  <c r="K279" i="47"/>
  <c r="L282" i="47"/>
  <c r="J281" i="47"/>
  <c r="K280" i="47"/>
  <c r="H281" i="47"/>
  <c r="J274" i="47"/>
  <c r="L278" i="47"/>
  <c r="L277" i="47"/>
  <c r="L276" i="47"/>
  <c r="L275" i="47"/>
  <c r="J279" i="47"/>
  <c r="J282" i="47"/>
  <c r="L274" i="47"/>
  <c r="K274" i="47"/>
  <c r="K278" i="47"/>
  <c r="K277" i="47"/>
  <c r="K276" i="47"/>
  <c r="K275" i="47"/>
  <c r="J280" i="47"/>
  <c r="G281" i="47"/>
  <c r="G277" i="47"/>
  <c r="J278" i="47"/>
  <c r="J277" i="47"/>
  <c r="J276" i="47"/>
  <c r="J275" i="47"/>
  <c r="H280" i="47"/>
  <c r="G279" i="47"/>
  <c r="H282" i="47"/>
  <c r="G275" i="47"/>
  <c r="H278" i="47"/>
  <c r="H277" i="47"/>
  <c r="H276" i="47"/>
  <c r="H275" i="47"/>
  <c r="G280" i="47"/>
  <c r="G282" i="47"/>
  <c r="G276" i="47"/>
  <c r="H221" i="55"/>
  <c r="E280" i="55"/>
  <c r="D124" i="55"/>
  <c r="H361" i="52"/>
  <c r="L13" i="52"/>
  <c r="L32" i="52"/>
  <c r="H39" i="52"/>
  <c r="G66" i="52"/>
  <c r="K102" i="52"/>
  <c r="L481" i="52"/>
  <c r="H15" i="52"/>
  <c r="G61" i="52"/>
  <c r="L124" i="52"/>
  <c r="H283" i="52"/>
  <c r="H20" i="52"/>
  <c r="H197" i="52"/>
  <c r="L26" i="52"/>
  <c r="L57" i="52"/>
  <c r="K69" i="52"/>
  <c r="G120" i="52"/>
  <c r="H21" i="52"/>
  <c r="K296" i="52"/>
  <c r="L92" i="52"/>
  <c r="J114" i="52"/>
  <c r="J134" i="52"/>
  <c r="J156" i="52"/>
  <c r="G193" i="52"/>
  <c r="H32" i="52"/>
  <c r="K45" i="52"/>
  <c r="L28" i="52"/>
  <c r="K42" i="52"/>
  <c r="J62" i="52"/>
  <c r="G74" i="52"/>
  <c r="G110" i="52"/>
  <c r="K282" i="52"/>
  <c r="H14" i="52"/>
  <c r="L20" i="52"/>
  <c r="H28" i="52"/>
  <c r="K32" i="52"/>
  <c r="J35" i="52"/>
  <c r="G42" i="52"/>
  <c r="K50" i="52"/>
  <c r="J54" i="52"/>
  <c r="K74" i="52"/>
  <c r="H79" i="52"/>
  <c r="H83" i="52"/>
  <c r="G87" i="52"/>
  <c r="J92" i="52"/>
  <c r="H96" i="52"/>
  <c r="J106" i="52"/>
  <c r="L110" i="52"/>
  <c r="H124" i="52"/>
  <c r="J138" i="52"/>
  <c r="G143" i="52"/>
  <c r="G152" i="52"/>
  <c r="K174" i="52"/>
  <c r="K247" i="52"/>
  <c r="K314" i="52"/>
  <c r="L15" i="52"/>
  <c r="H23" i="52"/>
  <c r="G29" i="52"/>
  <c r="H36" i="52"/>
  <c r="J39" i="52"/>
  <c r="H47" i="52"/>
  <c r="G51" i="52"/>
  <c r="L55" i="52"/>
  <c r="G59" i="52"/>
  <c r="H71" i="52"/>
  <c r="K84" i="52"/>
  <c r="K88" i="52"/>
  <c r="J116" i="52"/>
  <c r="J120" i="52"/>
  <c r="J130" i="52"/>
  <c r="L134" i="52"/>
  <c r="L144" i="52"/>
  <c r="G149" i="52"/>
  <c r="L153" i="52"/>
  <c r="G158" i="52"/>
  <c r="J175" i="52"/>
  <c r="L181" i="52"/>
  <c r="J206" i="52"/>
  <c r="J221" i="52"/>
  <c r="H278" i="52"/>
  <c r="J310" i="52"/>
  <c r="G330" i="52"/>
  <c r="H16" i="52"/>
  <c r="L23" i="52"/>
  <c r="J30" i="52"/>
  <c r="L33" i="52"/>
  <c r="L47" i="52"/>
  <c r="J59" i="52"/>
  <c r="J67" i="52"/>
  <c r="J76" i="52"/>
  <c r="K98" i="52"/>
  <c r="J108" i="52"/>
  <c r="G112" i="52"/>
  <c r="J140" i="52"/>
  <c r="J149" i="52"/>
  <c r="K164" i="52"/>
  <c r="G189" i="52"/>
  <c r="K194" i="52"/>
  <c r="H257" i="52"/>
  <c r="K291" i="52"/>
  <c r="L304" i="52"/>
  <c r="K479" i="52"/>
  <c r="H478" i="52"/>
  <c r="K475" i="52"/>
  <c r="H474" i="52"/>
  <c r="K471" i="52"/>
  <c r="H470" i="52"/>
  <c r="K467" i="52"/>
  <c r="H466" i="52"/>
  <c r="K463" i="52"/>
  <c r="H462" i="52"/>
  <c r="K459" i="52"/>
  <c r="H458" i="52"/>
  <c r="K455" i="52"/>
  <c r="H454" i="52"/>
  <c r="K451" i="52"/>
  <c r="H450" i="52"/>
  <c r="K447" i="52"/>
  <c r="H446" i="52"/>
  <c r="K443" i="52"/>
  <c r="H442" i="52"/>
  <c r="K439" i="52"/>
  <c r="H438" i="52"/>
  <c r="K435" i="52"/>
  <c r="H434" i="52"/>
  <c r="K431" i="52"/>
  <c r="H430" i="52"/>
  <c r="K427" i="52"/>
  <c r="H426" i="52"/>
  <c r="K423" i="52"/>
  <c r="H422" i="52"/>
  <c r="K419" i="52"/>
  <c r="H418" i="52"/>
  <c r="K415" i="52"/>
  <c r="H414" i="52"/>
  <c r="K411" i="52"/>
  <c r="H410" i="52"/>
  <c r="K407" i="52"/>
  <c r="H406" i="52"/>
  <c r="K403" i="52"/>
  <c r="H402" i="52"/>
  <c r="K399" i="52"/>
  <c r="H398" i="52"/>
  <c r="K395" i="52"/>
  <c r="H394" i="52"/>
  <c r="K391" i="52"/>
  <c r="H390" i="52"/>
  <c r="K387" i="52"/>
  <c r="H386" i="52"/>
  <c r="K383" i="52"/>
  <c r="H382" i="52"/>
  <c r="K379" i="52"/>
  <c r="H378" i="52"/>
  <c r="K375" i="52"/>
  <c r="H374" i="52"/>
  <c r="K371" i="52"/>
  <c r="H370" i="52"/>
  <c r="K367" i="52"/>
  <c r="H366" i="52"/>
  <c r="K363" i="52"/>
  <c r="H362" i="52"/>
  <c r="K359" i="52"/>
  <c r="H358" i="52"/>
  <c r="K355" i="52"/>
  <c r="H354" i="52"/>
  <c r="K351" i="52"/>
  <c r="H350" i="52"/>
  <c r="K347" i="52"/>
  <c r="H346" i="52"/>
  <c r="K343" i="52"/>
  <c r="H342" i="52"/>
  <c r="K339" i="52"/>
  <c r="H338" i="52"/>
  <c r="K335" i="52"/>
  <c r="H334" i="52"/>
  <c r="K331" i="52"/>
  <c r="H330" i="52"/>
  <c r="K327" i="52"/>
  <c r="H326" i="52"/>
  <c r="K323" i="52"/>
  <c r="H322" i="52"/>
  <c r="K319" i="52"/>
  <c r="H318" i="52"/>
  <c r="K315" i="52"/>
  <c r="J481" i="52"/>
  <c r="G480" i="52"/>
  <c r="K478" i="52"/>
  <c r="G477" i="52"/>
  <c r="L475" i="52"/>
  <c r="G474" i="52"/>
  <c r="L472" i="52"/>
  <c r="H471" i="52"/>
  <c r="L469" i="52"/>
  <c r="J468" i="52"/>
  <c r="J465" i="52"/>
  <c r="G464" i="52"/>
  <c r="K462" i="52"/>
  <c r="G461" i="52"/>
  <c r="L459" i="52"/>
  <c r="G458" i="52"/>
  <c r="L456" i="52"/>
  <c r="H455" i="52"/>
  <c r="L453" i="52"/>
  <c r="J452" i="52"/>
  <c r="J449" i="52"/>
  <c r="G448" i="52"/>
  <c r="K446" i="52"/>
  <c r="G445" i="52"/>
  <c r="L443" i="52"/>
  <c r="G442" i="52"/>
  <c r="L440" i="52"/>
  <c r="H439" i="52"/>
  <c r="L437" i="52"/>
  <c r="J436" i="52"/>
  <c r="J433" i="52"/>
  <c r="G432" i="52"/>
  <c r="K430" i="52"/>
  <c r="G429" i="52"/>
  <c r="L427" i="52"/>
  <c r="G426" i="52"/>
  <c r="L424" i="52"/>
  <c r="H423" i="52"/>
  <c r="L421" i="52"/>
  <c r="J420" i="52"/>
  <c r="J417" i="52"/>
  <c r="G416" i="52"/>
  <c r="K414" i="52"/>
  <c r="G413" i="52"/>
  <c r="L411" i="52"/>
  <c r="G410" i="52"/>
  <c r="L408" i="52"/>
  <c r="H407" i="52"/>
  <c r="L405" i="52"/>
  <c r="J404" i="52"/>
  <c r="J401" i="52"/>
  <c r="G400" i="52"/>
  <c r="K398" i="52"/>
  <c r="G397" i="52"/>
  <c r="L395" i="52"/>
  <c r="G394" i="52"/>
  <c r="L392" i="52"/>
  <c r="H391" i="52"/>
  <c r="L389" i="52"/>
  <c r="J388" i="52"/>
  <c r="J385" i="52"/>
  <c r="G384" i="52"/>
  <c r="K382" i="52"/>
  <c r="G381" i="52"/>
  <c r="L379" i="52"/>
  <c r="G378" i="52"/>
  <c r="L376" i="52"/>
  <c r="H375" i="52"/>
  <c r="L373" i="52"/>
  <c r="J372" i="52"/>
  <c r="J369" i="52"/>
  <c r="G368" i="52"/>
  <c r="K366" i="52"/>
  <c r="G365" i="52"/>
  <c r="L363" i="52"/>
  <c r="G362" i="52"/>
  <c r="L360" i="52"/>
  <c r="H359" i="52"/>
  <c r="J479" i="52"/>
  <c r="K476" i="52"/>
  <c r="G475" i="52"/>
  <c r="K473" i="52"/>
  <c r="H472" i="52"/>
  <c r="L470" i="52"/>
  <c r="H469" i="52"/>
  <c r="J466" i="52"/>
  <c r="J463" i="52"/>
  <c r="K460" i="52"/>
  <c r="G459" i="52"/>
  <c r="K457" i="52"/>
  <c r="H456" i="52"/>
  <c r="L454" i="52"/>
  <c r="H453" i="52"/>
  <c r="J450" i="52"/>
  <c r="J447" i="52"/>
  <c r="K444" i="52"/>
  <c r="G443" i="52"/>
  <c r="K441" i="52"/>
  <c r="H440" i="52"/>
  <c r="L438" i="52"/>
  <c r="H437" i="52"/>
  <c r="J434" i="52"/>
  <c r="J431" i="52"/>
  <c r="K428" i="52"/>
  <c r="G427" i="52"/>
  <c r="K425" i="52"/>
  <c r="H424" i="52"/>
  <c r="L422" i="52"/>
  <c r="H421" i="52"/>
  <c r="J418" i="52"/>
  <c r="J415" i="52"/>
  <c r="K412" i="52"/>
  <c r="G411" i="52"/>
  <c r="K409" i="52"/>
  <c r="H408" i="52"/>
  <c r="L406" i="52"/>
  <c r="H405" i="52"/>
  <c r="J402" i="52"/>
  <c r="J399" i="52"/>
  <c r="K396" i="52"/>
  <c r="G395" i="52"/>
  <c r="K393" i="52"/>
  <c r="H392" i="52"/>
  <c r="L390" i="52"/>
  <c r="H389" i="52"/>
  <c r="J386" i="52"/>
  <c r="J383" i="52"/>
  <c r="K380" i="52"/>
  <c r="G379" i="52"/>
  <c r="K377" i="52"/>
  <c r="H376" i="52"/>
  <c r="L374" i="52"/>
  <c r="H373" i="52"/>
  <c r="J370" i="52"/>
  <c r="J367" i="52"/>
  <c r="K364" i="52"/>
  <c r="G363" i="52"/>
  <c r="K361" i="52"/>
  <c r="H360" i="52"/>
  <c r="L358" i="52"/>
  <c r="H357" i="52"/>
  <c r="J354" i="52"/>
  <c r="J351" i="52"/>
  <c r="K348" i="52"/>
  <c r="G347" i="52"/>
  <c r="K345" i="52"/>
  <c r="H344" i="52"/>
  <c r="L342" i="52"/>
  <c r="H341" i="52"/>
  <c r="J338" i="52"/>
  <c r="J335" i="52"/>
  <c r="K332" i="52"/>
  <c r="G331" i="52"/>
  <c r="K329" i="52"/>
  <c r="H328" i="52"/>
  <c r="L326" i="52"/>
  <c r="H325" i="52"/>
  <c r="J322" i="52"/>
  <c r="J319" i="52"/>
  <c r="K316" i="52"/>
  <c r="G315" i="52"/>
  <c r="L313" i="52"/>
  <c r="J312" i="52"/>
  <c r="G311" i="52"/>
  <c r="L309" i="52"/>
  <c r="J308" i="52"/>
  <c r="G307" i="52"/>
  <c r="L305" i="52"/>
  <c r="J304" i="52"/>
  <c r="G303" i="52"/>
  <c r="L301" i="52"/>
  <c r="J300" i="52"/>
  <c r="G299" i="52"/>
  <c r="L297" i="52"/>
  <c r="J296" i="52"/>
  <c r="G295" i="52"/>
  <c r="L293" i="52"/>
  <c r="J292" i="52"/>
  <c r="G291" i="52"/>
  <c r="L289" i="52"/>
  <c r="J288" i="52"/>
  <c r="G287" i="52"/>
  <c r="L285" i="52"/>
  <c r="J284" i="52"/>
  <c r="G283" i="52"/>
  <c r="L281" i="52"/>
  <c r="J280" i="52"/>
  <c r="G279" i="52"/>
  <c r="L277" i="52"/>
  <c r="J276" i="52"/>
  <c r="G275" i="52"/>
  <c r="L273" i="52"/>
  <c r="J272" i="52"/>
  <c r="G271" i="52"/>
  <c r="L269" i="52"/>
  <c r="J268" i="52"/>
  <c r="G267" i="52"/>
  <c r="L265" i="52"/>
  <c r="J264" i="52"/>
  <c r="G263" i="52"/>
  <c r="L261" i="52"/>
  <c r="J260" i="52"/>
  <c r="G259" i="52"/>
  <c r="L257" i="52"/>
  <c r="J256" i="52"/>
  <c r="G255" i="52"/>
  <c r="L253" i="52"/>
  <c r="J252" i="52"/>
  <c r="G251" i="52"/>
  <c r="L249" i="52"/>
  <c r="J248" i="52"/>
  <c r="G247" i="52"/>
  <c r="L245" i="52"/>
  <c r="J244" i="52"/>
  <c r="G243" i="52"/>
  <c r="L241" i="52"/>
  <c r="J240" i="52"/>
  <c r="G239" i="52"/>
  <c r="L237" i="52"/>
  <c r="J236" i="52"/>
  <c r="G235" i="52"/>
  <c r="L233" i="52"/>
  <c r="J232" i="52"/>
  <c r="G231" i="52"/>
  <c r="L229" i="52"/>
  <c r="J228" i="52"/>
  <c r="G227" i="52"/>
  <c r="L225" i="52"/>
  <c r="J224" i="52"/>
  <c r="G223" i="52"/>
  <c r="L221" i="52"/>
  <c r="J220" i="52"/>
  <c r="G219" i="52"/>
  <c r="L217" i="52"/>
  <c r="J216" i="52"/>
  <c r="G215" i="52"/>
  <c r="L213" i="52"/>
  <c r="J212" i="52"/>
  <c r="G211" i="52"/>
  <c r="L209" i="52"/>
  <c r="J208" i="52"/>
  <c r="G207" i="52"/>
  <c r="L205" i="52"/>
  <c r="J204" i="52"/>
  <c r="G203" i="52"/>
  <c r="L201" i="52"/>
  <c r="J200" i="52"/>
  <c r="G199" i="52"/>
  <c r="H481" i="52"/>
  <c r="L479" i="52"/>
  <c r="L477" i="52"/>
  <c r="G476" i="52"/>
  <c r="G472" i="52"/>
  <c r="G470" i="52"/>
  <c r="H468" i="52"/>
  <c r="L466" i="52"/>
  <c r="G463" i="52"/>
  <c r="J461" i="52"/>
  <c r="J459" i="52"/>
  <c r="J457" i="52"/>
  <c r="L455" i="52"/>
  <c r="K453" i="52"/>
  <c r="G450" i="52"/>
  <c r="K448" i="52"/>
  <c r="L446" i="52"/>
  <c r="G441" i="52"/>
  <c r="G439" i="52"/>
  <c r="G437" i="52"/>
  <c r="J435" i="52"/>
  <c r="L433" i="52"/>
  <c r="H432" i="52"/>
  <c r="G430" i="52"/>
  <c r="J428" i="52"/>
  <c r="K426" i="52"/>
  <c r="K424" i="52"/>
  <c r="K422" i="52"/>
  <c r="M422" i="52" s="1"/>
  <c r="L420" i="52"/>
  <c r="G419" i="52"/>
  <c r="H417" i="52"/>
  <c r="L415" i="52"/>
  <c r="L413" i="52"/>
  <c r="G412" i="52"/>
  <c r="G408" i="52"/>
  <c r="G406" i="52"/>
  <c r="H404" i="52"/>
  <c r="L402" i="52"/>
  <c r="G399" i="52"/>
  <c r="J397" i="52"/>
  <c r="J395" i="52"/>
  <c r="J393" i="52"/>
  <c r="L391" i="52"/>
  <c r="K389" i="52"/>
  <c r="G386" i="52"/>
  <c r="K384" i="52"/>
  <c r="L382" i="52"/>
  <c r="G377" i="52"/>
  <c r="G375" i="52"/>
  <c r="G373" i="52"/>
  <c r="J371" i="52"/>
  <c r="L369" i="52"/>
  <c r="H368" i="52"/>
  <c r="G366" i="52"/>
  <c r="J364" i="52"/>
  <c r="K362" i="52"/>
  <c r="K360" i="52"/>
  <c r="K358" i="52"/>
  <c r="J355" i="52"/>
  <c r="L353" i="52"/>
  <c r="J352" i="52"/>
  <c r="L350" i="52"/>
  <c r="H349" i="52"/>
  <c r="L347" i="52"/>
  <c r="J344" i="52"/>
  <c r="K342" i="52"/>
  <c r="J339" i="52"/>
  <c r="L337" i="52"/>
  <c r="J336" i="52"/>
  <c r="L334" i="52"/>
  <c r="H333" i="52"/>
  <c r="L331" i="52"/>
  <c r="J328" i="52"/>
  <c r="K326" i="52"/>
  <c r="J323" i="52"/>
  <c r="L321" i="52"/>
  <c r="J320" i="52"/>
  <c r="L318" i="52"/>
  <c r="H317" i="52"/>
  <c r="L315" i="52"/>
  <c r="G314" i="52"/>
  <c r="K312" i="52"/>
  <c r="J309" i="52"/>
  <c r="J306" i="52"/>
  <c r="J303" i="52"/>
  <c r="L480" i="52"/>
  <c r="H477" i="52"/>
  <c r="H475" i="52"/>
  <c r="H473" i="52"/>
  <c r="J471" i="52"/>
  <c r="J469" i="52"/>
  <c r="L467" i="52"/>
  <c r="M467" i="52" s="1"/>
  <c r="J464" i="52"/>
  <c r="J462" i="52"/>
  <c r="L460" i="52"/>
  <c r="L458" i="52"/>
  <c r="H451" i="52"/>
  <c r="K449" i="52"/>
  <c r="H444" i="52"/>
  <c r="J442" i="52"/>
  <c r="J440" i="52"/>
  <c r="J438" i="52"/>
  <c r="K436" i="52"/>
  <c r="G433" i="52"/>
  <c r="H431" i="52"/>
  <c r="K429" i="52"/>
  <c r="L425" i="52"/>
  <c r="G420" i="52"/>
  <c r="K418" i="52"/>
  <c r="L416" i="52"/>
  <c r="H413" i="52"/>
  <c r="H411" i="52"/>
  <c r="H409" i="52"/>
  <c r="J407" i="52"/>
  <c r="J405" i="52"/>
  <c r="L403" i="52"/>
  <c r="M403" i="52" s="1"/>
  <c r="J400" i="52"/>
  <c r="J398" i="52"/>
  <c r="L396" i="52"/>
  <c r="L394" i="52"/>
  <c r="H387" i="52"/>
  <c r="K385" i="52"/>
  <c r="H380" i="52"/>
  <c r="J378" i="52"/>
  <c r="J376" i="52"/>
  <c r="J374" i="52"/>
  <c r="K372" i="52"/>
  <c r="G369" i="52"/>
  <c r="H367" i="52"/>
  <c r="K365" i="52"/>
  <c r="L361" i="52"/>
  <c r="J356" i="52"/>
  <c r="H353" i="52"/>
  <c r="G350" i="52"/>
  <c r="L348" i="52"/>
  <c r="H345" i="52"/>
  <c r="L343" i="52"/>
  <c r="J340" i="52"/>
  <c r="H337" i="52"/>
  <c r="G334" i="52"/>
  <c r="L332" i="52"/>
  <c r="H329" i="52"/>
  <c r="L327" i="52"/>
  <c r="J324" i="52"/>
  <c r="G481" i="52"/>
  <c r="L476" i="52"/>
  <c r="J474" i="52"/>
  <c r="G469" i="52"/>
  <c r="G467" i="52"/>
  <c r="G465" i="52"/>
  <c r="J460" i="52"/>
  <c r="J453" i="52"/>
  <c r="L451" i="52"/>
  <c r="H449" i="52"/>
  <c r="H447" i="52"/>
  <c r="J445" i="52"/>
  <c r="H443" i="52"/>
  <c r="G438" i="52"/>
  <c r="L431" i="52"/>
  <c r="H429" i="52"/>
  <c r="J424" i="52"/>
  <c r="G422" i="52"/>
  <c r="L417" i="52"/>
  <c r="H415" i="52"/>
  <c r="J413" i="52"/>
  <c r="L410" i="52"/>
  <c r="K408" i="52"/>
  <c r="M408" i="52" s="1"/>
  <c r="J403" i="52"/>
  <c r="K401" i="52"/>
  <c r="L399" i="52"/>
  <c r="H397" i="52"/>
  <c r="K394" i="52"/>
  <c r="J392" i="52"/>
  <c r="G390" i="52"/>
  <c r="G388" i="52"/>
  <c r="L381" i="52"/>
  <c r="J377" i="52"/>
  <c r="H372" i="52"/>
  <c r="K370" i="52"/>
  <c r="J368" i="52"/>
  <c r="L365" i="52"/>
  <c r="J363" i="52"/>
  <c r="G361" i="52"/>
  <c r="G355" i="52"/>
  <c r="G353" i="52"/>
  <c r="H351" i="52"/>
  <c r="J349" i="52"/>
  <c r="H347" i="52"/>
  <c r="J345" i="52"/>
  <c r="H343" i="52"/>
  <c r="J341" i="52"/>
  <c r="L339" i="52"/>
  <c r="K337" i="52"/>
  <c r="L333" i="52"/>
  <c r="L325" i="52"/>
  <c r="G324" i="52"/>
  <c r="G322" i="52"/>
  <c r="K320" i="52"/>
  <c r="K318" i="52"/>
  <c r="H313" i="52"/>
  <c r="K311" i="52"/>
  <c r="G310" i="52"/>
  <c r="H308" i="52"/>
  <c r="L306" i="52"/>
  <c r="G305" i="52"/>
  <c r="K303" i="52"/>
  <c r="H300" i="52"/>
  <c r="L298" i="52"/>
  <c r="H297" i="52"/>
  <c r="L295" i="52"/>
  <c r="H294" i="52"/>
  <c r="L292" i="52"/>
  <c r="H291" i="52"/>
  <c r="K289" i="52"/>
  <c r="G288" i="52"/>
  <c r="K286" i="52"/>
  <c r="G285" i="52"/>
  <c r="K283" i="52"/>
  <c r="G282" i="52"/>
  <c r="K280" i="52"/>
  <c r="J277" i="52"/>
  <c r="J274" i="52"/>
  <c r="J271" i="52"/>
  <c r="H268" i="52"/>
  <c r="L266" i="52"/>
  <c r="H265" i="52"/>
  <c r="L263" i="52"/>
  <c r="H262" i="52"/>
  <c r="L260" i="52"/>
  <c r="H259" i="52"/>
  <c r="K257" i="52"/>
  <c r="G256" i="52"/>
  <c r="K254" i="52"/>
  <c r="G253" i="52"/>
  <c r="K251" i="52"/>
  <c r="G250" i="52"/>
  <c r="K248" i="52"/>
  <c r="J245" i="52"/>
  <c r="J242" i="52"/>
  <c r="J239" i="52"/>
  <c r="H236" i="52"/>
  <c r="L234" i="52"/>
  <c r="H233" i="52"/>
  <c r="L231" i="52"/>
  <c r="H230" i="52"/>
  <c r="L228" i="52"/>
  <c r="H227" i="52"/>
  <c r="K225" i="52"/>
  <c r="G224" i="52"/>
  <c r="K222" i="52"/>
  <c r="G221" i="52"/>
  <c r="K219" i="52"/>
  <c r="G218" i="52"/>
  <c r="K216" i="52"/>
  <c r="J213" i="52"/>
  <c r="J210" i="52"/>
  <c r="J207" i="52"/>
  <c r="H204" i="52"/>
  <c r="L202" i="52"/>
  <c r="H201" i="52"/>
  <c r="L199" i="52"/>
  <c r="H198" i="52"/>
  <c r="K195" i="52"/>
  <c r="H194" i="52"/>
  <c r="K191" i="52"/>
  <c r="H190" i="52"/>
  <c r="K187" i="52"/>
  <c r="H186" i="52"/>
  <c r="K183" i="52"/>
  <c r="H182" i="52"/>
  <c r="K179" i="52"/>
  <c r="H178" i="52"/>
  <c r="K175" i="52"/>
  <c r="H174" i="52"/>
  <c r="K171" i="52"/>
  <c r="H170" i="52"/>
  <c r="K167" i="52"/>
  <c r="H166" i="52"/>
  <c r="K163" i="52"/>
  <c r="H162" i="52"/>
  <c r="K159" i="52"/>
  <c r="H158" i="52"/>
  <c r="K155" i="52"/>
  <c r="H154" i="52"/>
  <c r="K151" i="52"/>
  <c r="H150" i="52"/>
  <c r="K147" i="52"/>
  <c r="H146" i="52"/>
  <c r="K143" i="52"/>
  <c r="H142" i="52"/>
  <c r="K139" i="52"/>
  <c r="H138" i="52"/>
  <c r="K135" i="52"/>
  <c r="H134" i="52"/>
  <c r="K131" i="52"/>
  <c r="H130" i="52"/>
  <c r="K127" i="52"/>
  <c r="H126" i="52"/>
  <c r="K123" i="52"/>
  <c r="H122" i="52"/>
  <c r="K119" i="52"/>
  <c r="H118" i="52"/>
  <c r="K115" i="52"/>
  <c r="H114" i="52"/>
  <c r="K111" i="52"/>
  <c r="H110" i="52"/>
  <c r="K107" i="52"/>
  <c r="H106" i="52"/>
  <c r="K103" i="52"/>
  <c r="H102" i="52"/>
  <c r="K99" i="52"/>
  <c r="H98" i="52"/>
  <c r="K95" i="52"/>
  <c r="H94" i="52"/>
  <c r="J480" i="52"/>
  <c r="G478" i="52"/>
  <c r="J473" i="52"/>
  <c r="K468" i="52"/>
  <c r="G466" i="52"/>
  <c r="K464" i="52"/>
  <c r="G457" i="52"/>
  <c r="L452" i="52"/>
  <c r="L448" i="52"/>
  <c r="J446" i="52"/>
  <c r="L444" i="52"/>
  <c r="K442" i="52"/>
  <c r="J437" i="52"/>
  <c r="G435" i="52"/>
  <c r="L430" i="52"/>
  <c r="M430" i="52" s="1"/>
  <c r="H428" i="52"/>
  <c r="L423" i="52"/>
  <c r="J421" i="52"/>
  <c r="H419" i="52"/>
  <c r="L414" i="52"/>
  <c r="J412" i="52"/>
  <c r="L407" i="52"/>
  <c r="L398" i="52"/>
  <c r="H396" i="52"/>
  <c r="L393" i="52"/>
  <c r="J391" i="52"/>
  <c r="G389" i="52"/>
  <c r="J387" i="52"/>
  <c r="G385" i="52"/>
  <c r="G383" i="52"/>
  <c r="H381" i="52"/>
  <c r="K376" i="52"/>
  <c r="L371" i="52"/>
  <c r="K369" i="52"/>
  <c r="M369" i="52" s="1"/>
  <c r="G367" i="52"/>
  <c r="L362" i="52"/>
  <c r="G360" i="52"/>
  <c r="H356" i="52"/>
  <c r="K354" i="52"/>
  <c r="K352" i="52"/>
  <c r="K350" i="52"/>
  <c r="J348" i="52"/>
  <c r="K346" i="52"/>
  <c r="L344" i="52"/>
  <c r="J342" i="52"/>
  <c r="L340" i="52"/>
  <c r="G335" i="52"/>
  <c r="G333" i="52"/>
  <c r="G329" i="52"/>
  <c r="G327" i="52"/>
  <c r="G325" i="52"/>
  <c r="H323" i="52"/>
  <c r="J321" i="52"/>
  <c r="H316" i="52"/>
  <c r="J314" i="52"/>
  <c r="L312" i="52"/>
  <c r="H309" i="52"/>
  <c r="L307" i="52"/>
  <c r="G306" i="52"/>
  <c r="K304" i="52"/>
  <c r="L302" i="52"/>
  <c r="H301" i="52"/>
  <c r="L299" i="52"/>
  <c r="H298" i="52"/>
  <c r="L296" i="52"/>
  <c r="M296" i="52" s="1"/>
  <c r="H295" i="52"/>
  <c r="K293" i="52"/>
  <c r="G292" i="52"/>
  <c r="K290" i="52"/>
  <c r="G289" i="52"/>
  <c r="K287" i="52"/>
  <c r="G286" i="52"/>
  <c r="K284" i="52"/>
  <c r="J281" i="52"/>
  <c r="J278" i="52"/>
  <c r="J275" i="52"/>
  <c r="H272" i="52"/>
  <c r="L270" i="52"/>
  <c r="H269" i="52"/>
  <c r="L267" i="52"/>
  <c r="H266" i="52"/>
  <c r="L264" i="52"/>
  <c r="H263" i="52"/>
  <c r="K261" i="52"/>
  <c r="G260" i="52"/>
  <c r="K258" i="52"/>
  <c r="G257" i="52"/>
  <c r="K255" i="52"/>
  <c r="G254" i="52"/>
  <c r="K252" i="52"/>
  <c r="J249" i="52"/>
  <c r="J246" i="52"/>
  <c r="J243" i="52"/>
  <c r="H240" i="52"/>
  <c r="L238" i="52"/>
  <c r="H237" i="52"/>
  <c r="L235" i="52"/>
  <c r="H234" i="52"/>
  <c r="L232" i="52"/>
  <c r="H231" i="52"/>
  <c r="K229" i="52"/>
  <c r="G228" i="52"/>
  <c r="K226" i="52"/>
  <c r="G225" i="52"/>
  <c r="K223" i="52"/>
  <c r="G222" i="52"/>
  <c r="K220" i="52"/>
  <c r="J217" i="52"/>
  <c r="J214" i="52"/>
  <c r="J211" i="52"/>
  <c r="H208" i="52"/>
  <c r="L206" i="52"/>
  <c r="H205" i="52"/>
  <c r="L203" i="52"/>
  <c r="H202" i="52"/>
  <c r="L200" i="52"/>
  <c r="H199" i="52"/>
  <c r="L197" i="52"/>
  <c r="J196" i="52"/>
  <c r="G195" i="52"/>
  <c r="L193" i="52"/>
  <c r="J192" i="52"/>
  <c r="G191" i="52"/>
  <c r="K481" i="52"/>
  <c r="L478" i="52"/>
  <c r="J470" i="52"/>
  <c r="H467" i="52"/>
  <c r="L464" i="52"/>
  <c r="H459" i="52"/>
  <c r="K456" i="52"/>
  <c r="J454" i="52"/>
  <c r="G449" i="52"/>
  <c r="G446" i="52"/>
  <c r="H435" i="52"/>
  <c r="H427" i="52"/>
  <c r="K421" i="52"/>
  <c r="J416" i="52"/>
  <c r="K413" i="52"/>
  <c r="J410" i="52"/>
  <c r="G407" i="52"/>
  <c r="L404" i="52"/>
  <c r="G402" i="52"/>
  <c r="H400" i="52"/>
  <c r="H393" i="52"/>
  <c r="K390" i="52"/>
  <c r="H385" i="52"/>
  <c r="J380" i="52"/>
  <c r="G372" i="52"/>
  <c r="H369" i="52"/>
  <c r="J366" i="52"/>
  <c r="J360" i="52"/>
  <c r="G356" i="52"/>
  <c r="K353" i="52"/>
  <c r="G351" i="52"/>
  <c r="H348" i="52"/>
  <c r="G343" i="52"/>
  <c r="K340" i="52"/>
  <c r="K338" i="52"/>
  <c r="H336" i="52"/>
  <c r="J331" i="52"/>
  <c r="L329" i="52"/>
  <c r="H327" i="52"/>
  <c r="L324" i="52"/>
  <c r="K322" i="52"/>
  <c r="G320" i="52"/>
  <c r="J478" i="52"/>
  <c r="J475" i="52"/>
  <c r="K472" i="52"/>
  <c r="H464" i="52"/>
  <c r="L461" i="52"/>
  <c r="J456" i="52"/>
  <c r="G454" i="52"/>
  <c r="J451" i="52"/>
  <c r="J443" i="52"/>
  <c r="K440" i="52"/>
  <c r="K437" i="52"/>
  <c r="L432" i="52"/>
  <c r="L429" i="52"/>
  <c r="G424" i="52"/>
  <c r="G421" i="52"/>
  <c r="L418" i="52"/>
  <c r="H416" i="52"/>
  <c r="K404" i="52"/>
  <c r="J396" i="52"/>
  <c r="G393" i="52"/>
  <c r="J390" i="52"/>
  <c r="L387" i="52"/>
  <c r="J382" i="52"/>
  <c r="G380" i="52"/>
  <c r="L377" i="52"/>
  <c r="K374" i="52"/>
  <c r="H363" i="52"/>
  <c r="L357" i="52"/>
  <c r="J353" i="52"/>
  <c r="G348" i="52"/>
  <c r="L345" i="52"/>
  <c r="H340" i="52"/>
  <c r="G338" i="52"/>
  <c r="G336" i="52"/>
  <c r="K333" i="52"/>
  <c r="M333" i="52" s="1"/>
  <c r="H331" i="52"/>
  <c r="J329" i="52"/>
  <c r="K324" i="52"/>
  <c r="M324" i="52" s="1"/>
  <c r="L317" i="52"/>
  <c r="K313" i="52"/>
  <c r="J311" i="52"/>
  <c r="K309" i="52"/>
  <c r="J307" i="52"/>
  <c r="H305" i="52"/>
  <c r="G301" i="52"/>
  <c r="H299" i="52"/>
  <c r="G297" i="52"/>
  <c r="G293" i="52"/>
  <c r="G281" i="52"/>
  <c r="J279" i="52"/>
  <c r="K277" i="52"/>
  <c r="G274" i="52"/>
  <c r="K272" i="52"/>
  <c r="J270" i="52"/>
  <c r="L268" i="52"/>
  <c r="K266" i="52"/>
  <c r="K264" i="52"/>
  <c r="K262" i="52"/>
  <c r="K260" i="52"/>
  <c r="J258" i="52"/>
  <c r="K256" i="52"/>
  <c r="J254" i="52"/>
  <c r="H252" i="52"/>
  <c r="K250" i="52"/>
  <c r="L248" i="52"/>
  <c r="G245" i="52"/>
  <c r="K243" i="52"/>
  <c r="K241" i="52"/>
  <c r="G238" i="52"/>
  <c r="G236" i="52"/>
  <c r="G234" i="52"/>
  <c r="G232" i="52"/>
  <c r="G230" i="52"/>
  <c r="G226" i="52"/>
  <c r="H218" i="52"/>
  <c r="G216" i="52"/>
  <c r="K214" i="52"/>
  <c r="L212" i="52"/>
  <c r="H209" i="52"/>
  <c r="K207" i="52"/>
  <c r="K205" i="52"/>
  <c r="K203" i="52"/>
  <c r="K201" i="52"/>
  <c r="K199" i="52"/>
  <c r="K197" i="52"/>
  <c r="G196" i="52"/>
  <c r="J194" i="52"/>
  <c r="L192" i="52"/>
  <c r="J189" i="52"/>
  <c r="G188" i="52"/>
  <c r="K186" i="52"/>
  <c r="G185" i="52"/>
  <c r="L183" i="52"/>
  <c r="G182" i="52"/>
  <c r="L180" i="52"/>
  <c r="H179" i="52"/>
  <c r="L177" i="52"/>
  <c r="J176" i="52"/>
  <c r="J173" i="52"/>
  <c r="G172" i="52"/>
  <c r="K170" i="52"/>
  <c r="G169" i="52"/>
  <c r="L167" i="52"/>
  <c r="G166" i="52"/>
  <c r="L164" i="52"/>
  <c r="M164" i="52" s="1"/>
  <c r="H163" i="52"/>
  <c r="L161" i="52"/>
  <c r="J160" i="52"/>
  <c r="J157" i="52"/>
  <c r="G156" i="52"/>
  <c r="K154" i="52"/>
  <c r="G153" i="52"/>
  <c r="L151" i="52"/>
  <c r="G150" i="52"/>
  <c r="L148" i="52"/>
  <c r="H147" i="52"/>
  <c r="L145" i="52"/>
  <c r="J144" i="52"/>
  <c r="J141" i="52"/>
  <c r="G140" i="52"/>
  <c r="K138" i="52"/>
  <c r="G137" i="52"/>
  <c r="L135" i="52"/>
  <c r="G134" i="52"/>
  <c r="L132" i="52"/>
  <c r="H131" i="52"/>
  <c r="L129" i="52"/>
  <c r="J128" i="52"/>
  <c r="J125" i="52"/>
  <c r="G124" i="52"/>
  <c r="K122" i="52"/>
  <c r="G121" i="52"/>
  <c r="L119" i="52"/>
  <c r="G118" i="52"/>
  <c r="L116" i="52"/>
  <c r="H115" i="52"/>
  <c r="L113" i="52"/>
  <c r="J112" i="52"/>
  <c r="J109" i="52"/>
  <c r="G108" i="52"/>
  <c r="K106" i="52"/>
  <c r="G105" i="52"/>
  <c r="L103" i="52"/>
  <c r="G102" i="52"/>
  <c r="L100" i="52"/>
  <c r="H99" i="52"/>
  <c r="L97" i="52"/>
  <c r="J96" i="52"/>
  <c r="J93" i="52"/>
  <c r="G92" i="52"/>
  <c r="L90" i="52"/>
  <c r="J89" i="52"/>
  <c r="G88" i="52"/>
  <c r="L86" i="52"/>
  <c r="J85" i="52"/>
  <c r="G84" i="52"/>
  <c r="L82" i="52"/>
  <c r="J81" i="52"/>
  <c r="G80" i="52"/>
  <c r="L78" i="52"/>
  <c r="J77" i="52"/>
  <c r="G76" i="52"/>
  <c r="L74" i="52"/>
  <c r="J73" i="52"/>
  <c r="G72" i="52"/>
  <c r="L70" i="52"/>
  <c r="J69" i="52"/>
  <c r="G68" i="52"/>
  <c r="L66" i="52"/>
  <c r="J65" i="52"/>
  <c r="G64" i="52"/>
  <c r="L62" i="52"/>
  <c r="J61" i="52"/>
  <c r="G60" i="52"/>
  <c r="L58" i="52"/>
  <c r="J57" i="52"/>
  <c r="G56" i="52"/>
  <c r="L54" i="52"/>
  <c r="J53" i="52"/>
  <c r="G52" i="52"/>
  <c r="L50" i="52"/>
  <c r="J49" i="52"/>
  <c r="G48" i="52"/>
  <c r="L46" i="52"/>
  <c r="J45" i="52"/>
  <c r="G44" i="52"/>
  <c r="L42" i="52"/>
  <c r="J41" i="52"/>
  <c r="G40" i="52"/>
  <c r="L38" i="52"/>
  <c r="J37" i="52"/>
  <c r="G36" i="52"/>
  <c r="L34" i="52"/>
  <c r="J33" i="52"/>
  <c r="G32" i="52"/>
  <c r="L30" i="52"/>
  <c r="H29" i="52"/>
  <c r="K27" i="52"/>
  <c r="G26" i="52"/>
  <c r="K23" i="52"/>
  <c r="G22" i="52"/>
  <c r="K19" i="52"/>
  <c r="G18" i="52"/>
  <c r="K15" i="52"/>
  <c r="G14" i="52"/>
  <c r="J12" i="52"/>
  <c r="K480" i="52"/>
  <c r="M480" i="52" s="1"/>
  <c r="J472" i="52"/>
  <c r="K469" i="52"/>
  <c r="K466" i="52"/>
  <c r="K461" i="52"/>
  <c r="K458" i="52"/>
  <c r="G456" i="52"/>
  <c r="G451" i="52"/>
  <c r="J448" i="52"/>
  <c r="L445" i="52"/>
  <c r="G440" i="52"/>
  <c r="L434" i="52"/>
  <c r="K432" i="52"/>
  <c r="J429" i="52"/>
  <c r="L426" i="52"/>
  <c r="G418" i="52"/>
  <c r="L412" i="52"/>
  <c r="L409" i="52"/>
  <c r="K406" i="52"/>
  <c r="G404" i="52"/>
  <c r="L401" i="52"/>
  <c r="H399" i="52"/>
  <c r="G396" i="52"/>
  <c r="G387" i="52"/>
  <c r="L384" i="52"/>
  <c r="G382" i="52"/>
  <c r="H377" i="52"/>
  <c r="G374" i="52"/>
  <c r="H371" i="52"/>
  <c r="L368" i="52"/>
  <c r="J365" i="52"/>
  <c r="L359" i="52"/>
  <c r="K357" i="52"/>
  <c r="L355" i="52"/>
  <c r="J350" i="52"/>
  <c r="G345" i="52"/>
  <c r="G342" i="52"/>
  <c r="G340" i="52"/>
  <c r="J333" i="52"/>
  <c r="J326" i="52"/>
  <c r="H324" i="52"/>
  <c r="K321" i="52"/>
  <c r="L319" i="52"/>
  <c r="K317" i="52"/>
  <c r="J315" i="52"/>
  <c r="J313" i="52"/>
  <c r="H311" i="52"/>
  <c r="G309" i="52"/>
  <c r="H307" i="52"/>
  <c r="K302" i="52"/>
  <c r="M302" i="52" s="1"/>
  <c r="L294" i="52"/>
  <c r="L290" i="52"/>
  <c r="L288" i="52"/>
  <c r="L286" i="52"/>
  <c r="L284" i="52"/>
  <c r="L282" i="52"/>
  <c r="H279" i="52"/>
  <c r="H277" i="52"/>
  <c r="L275" i="52"/>
  <c r="G272" i="52"/>
  <c r="H270" i="52"/>
  <c r="K268" i="52"/>
  <c r="J266" i="52"/>
  <c r="H264" i="52"/>
  <c r="J262" i="52"/>
  <c r="H260" i="52"/>
  <c r="H258" i="52"/>
  <c r="H256" i="52"/>
  <c r="H254" i="52"/>
  <c r="G252" i="52"/>
  <c r="J250" i="52"/>
  <c r="H248" i="52"/>
  <c r="L246" i="52"/>
  <c r="H243" i="52"/>
  <c r="J241" i="52"/>
  <c r="L239" i="52"/>
  <c r="L227" i="52"/>
  <c r="L223" i="52"/>
  <c r="M223" i="52" s="1"/>
  <c r="K221" i="52"/>
  <c r="L219" i="52"/>
  <c r="H214" i="52"/>
  <c r="K212" i="52"/>
  <c r="L210" i="52"/>
  <c r="G209" i="52"/>
  <c r="H207" i="52"/>
  <c r="H480" i="52"/>
  <c r="K477" i="52"/>
  <c r="L474" i="52"/>
  <c r="L463" i="52"/>
  <c r="H461" i="52"/>
  <c r="J458" i="52"/>
  <c r="G453" i="52"/>
  <c r="H448" i="52"/>
  <c r="K445" i="52"/>
  <c r="L442" i="52"/>
  <c r="L436" i="52"/>
  <c r="K434" i="52"/>
  <c r="J432" i="52"/>
  <c r="J426" i="52"/>
  <c r="J423" i="52"/>
  <c r="K420" i="52"/>
  <c r="G415" i="52"/>
  <c r="H412" i="52"/>
  <c r="J409" i="52"/>
  <c r="J406" i="52"/>
  <c r="H401" i="52"/>
  <c r="K392" i="52"/>
  <c r="J389" i="52"/>
  <c r="J384" i="52"/>
  <c r="J379" i="52"/>
  <c r="G371" i="52"/>
  <c r="K368" i="52"/>
  <c r="H365" i="52"/>
  <c r="J362" i="52"/>
  <c r="J359" i="52"/>
  <c r="J357" i="52"/>
  <c r="H355" i="52"/>
  <c r="L352" i="52"/>
  <c r="J347" i="52"/>
  <c r="J337" i="52"/>
  <c r="L335" i="52"/>
  <c r="J477" i="52"/>
  <c r="K474" i="52"/>
  <c r="L471" i="52"/>
  <c r="L468" i="52"/>
  <c r="L465" i="52"/>
  <c r="H463" i="52"/>
  <c r="J455" i="52"/>
  <c r="L450" i="52"/>
  <c r="H445" i="52"/>
  <c r="L439" i="52"/>
  <c r="H436" i="52"/>
  <c r="G434" i="52"/>
  <c r="L428" i="52"/>
  <c r="G423" i="52"/>
  <c r="H420" i="52"/>
  <c r="K417" i="52"/>
  <c r="G409" i="52"/>
  <c r="H403" i="52"/>
  <c r="G401" i="52"/>
  <c r="G398" i="52"/>
  <c r="H395" i="52"/>
  <c r="G392" i="52"/>
  <c r="L386" i="52"/>
  <c r="H384" i="52"/>
  <c r="K381" i="52"/>
  <c r="H379" i="52"/>
  <c r="G376" i="52"/>
  <c r="K373" i="52"/>
  <c r="G359" i="52"/>
  <c r="G357" i="52"/>
  <c r="H352" i="52"/>
  <c r="L349" i="52"/>
  <c r="K344" i="52"/>
  <c r="L341" i="52"/>
  <c r="H339" i="52"/>
  <c r="G337" i="52"/>
  <c r="H335" i="52"/>
  <c r="J332" i="52"/>
  <c r="K330" i="52"/>
  <c r="K328" i="52"/>
  <c r="L323" i="52"/>
  <c r="G321" i="52"/>
  <c r="G319" i="52"/>
  <c r="G317" i="52"/>
  <c r="L310" i="52"/>
  <c r="L308" i="52"/>
  <c r="K306" i="52"/>
  <c r="H304" i="52"/>
  <c r="H302" i="52"/>
  <c r="K300" i="52"/>
  <c r="J298" i="52"/>
  <c r="H296" i="52"/>
  <c r="J294" i="52"/>
  <c r="H292" i="52"/>
  <c r="H290" i="52"/>
  <c r="H288" i="52"/>
  <c r="H286" i="52"/>
  <c r="G284" i="52"/>
  <c r="J282" i="52"/>
  <c r="H280" i="52"/>
  <c r="L278" i="52"/>
  <c r="H275" i="52"/>
  <c r="J273" i="52"/>
  <c r="L271" i="52"/>
  <c r="L259" i="52"/>
  <c r="L255" i="52"/>
  <c r="K253" i="52"/>
  <c r="L251" i="52"/>
  <c r="H246" i="52"/>
  <c r="K244" i="52"/>
  <c r="L242" i="52"/>
  <c r="G241" i="52"/>
  <c r="H239" i="52"/>
  <c r="J237" i="52"/>
  <c r="J235" i="52"/>
  <c r="J233" i="52"/>
  <c r="J231" i="52"/>
  <c r="H229" i="52"/>
  <c r="J227" i="52"/>
  <c r="H225" i="52"/>
  <c r="H223" i="52"/>
  <c r="H221" i="52"/>
  <c r="H219" i="52"/>
  <c r="H217" i="52"/>
  <c r="K215" i="52"/>
  <c r="G212" i="52"/>
  <c r="H210" i="52"/>
  <c r="L208" i="52"/>
  <c r="K206" i="52"/>
  <c r="L198" i="52"/>
  <c r="G197" i="52"/>
  <c r="J195" i="52"/>
  <c r="K193" i="52"/>
  <c r="M193" i="52" s="1"/>
  <c r="G192" i="52"/>
  <c r="J190" i="52"/>
  <c r="J187" i="52"/>
  <c r="K184" i="52"/>
  <c r="G183" i="52"/>
  <c r="K181" i="52"/>
  <c r="H180" i="52"/>
  <c r="L178" i="52"/>
  <c r="H177" i="52"/>
  <c r="J174" i="52"/>
  <c r="J171" i="52"/>
  <c r="K168" i="52"/>
  <c r="G167" i="52"/>
  <c r="K165" i="52"/>
  <c r="H164" i="52"/>
  <c r="L162" i="52"/>
  <c r="H161" i="52"/>
  <c r="J158" i="52"/>
  <c r="J155" i="52"/>
  <c r="K152" i="52"/>
  <c r="G151" i="52"/>
  <c r="K149" i="52"/>
  <c r="H148" i="52"/>
  <c r="L146" i="52"/>
  <c r="H145" i="52"/>
  <c r="J142" i="52"/>
  <c r="J139" i="52"/>
  <c r="K136" i="52"/>
  <c r="G135" i="52"/>
  <c r="K133" i="52"/>
  <c r="H132" i="52"/>
  <c r="L130" i="52"/>
  <c r="H129" i="52"/>
  <c r="J126" i="52"/>
  <c r="J123" i="52"/>
  <c r="K120" i="52"/>
  <c r="G119" i="52"/>
  <c r="K117" i="52"/>
  <c r="H116" i="52"/>
  <c r="L114" i="52"/>
  <c r="H113" i="52"/>
  <c r="J110" i="52"/>
  <c r="J107" i="52"/>
  <c r="K104" i="52"/>
  <c r="G103" i="52"/>
  <c r="K101" i="52"/>
  <c r="H100" i="52"/>
  <c r="L98" i="52"/>
  <c r="M98" i="52" s="1"/>
  <c r="H97" i="52"/>
  <c r="J94" i="52"/>
  <c r="K91" i="52"/>
  <c r="H90" i="52"/>
  <c r="K87" i="52"/>
  <c r="H86" i="52"/>
  <c r="K83" i="52"/>
  <c r="H82" i="52"/>
  <c r="K79" i="52"/>
  <c r="M79" i="52" s="1"/>
  <c r="H78" i="52"/>
  <c r="K75" i="52"/>
  <c r="H74" i="52"/>
  <c r="K71" i="52"/>
  <c r="H70" i="52"/>
  <c r="K67" i="52"/>
  <c r="H66" i="52"/>
  <c r="K63" i="52"/>
  <c r="H62" i="52"/>
  <c r="K59" i="52"/>
  <c r="H58" i="52"/>
  <c r="K55" i="52"/>
  <c r="H54" i="52"/>
  <c r="K51" i="52"/>
  <c r="H50" i="52"/>
  <c r="K47" i="52"/>
  <c r="H46" i="52"/>
  <c r="K43" i="52"/>
  <c r="H42" i="52"/>
  <c r="K39" i="52"/>
  <c r="H38" i="52"/>
  <c r="K35" i="52"/>
  <c r="H34" i="52"/>
  <c r="K31" i="52"/>
  <c r="H30" i="52"/>
  <c r="K28" i="52"/>
  <c r="G27" i="52"/>
  <c r="K24" i="52"/>
  <c r="G23" i="52"/>
  <c r="K20" i="52"/>
  <c r="G19" i="52"/>
  <c r="J17" i="52"/>
  <c r="G15" i="52"/>
  <c r="J13" i="52"/>
  <c r="G479" i="52"/>
  <c r="J476" i="52"/>
  <c r="L473" i="52"/>
  <c r="H465" i="52"/>
  <c r="L462" i="52"/>
  <c r="G460" i="52"/>
  <c r="H457" i="52"/>
  <c r="H452" i="52"/>
  <c r="G447" i="52"/>
  <c r="J444" i="52"/>
  <c r="J441" i="52"/>
  <c r="K433" i="52"/>
  <c r="H425" i="52"/>
  <c r="J422" i="52"/>
  <c r="L419" i="52"/>
  <c r="G414" i="52"/>
  <c r="J408" i="52"/>
  <c r="G405" i="52"/>
  <c r="L400" i="52"/>
  <c r="L397" i="52"/>
  <c r="L449" i="52"/>
  <c r="J381" i="52"/>
  <c r="L372" i="52"/>
  <c r="L367" i="52"/>
  <c r="J358" i="52"/>
  <c r="L354" i="52"/>
  <c r="G346" i="52"/>
  <c r="K341" i="52"/>
  <c r="J318" i="52"/>
  <c r="H310" i="52"/>
  <c r="H306" i="52"/>
  <c r="L303" i="52"/>
  <c r="G298" i="52"/>
  <c r="K295" i="52"/>
  <c r="G290" i="52"/>
  <c r="J287" i="52"/>
  <c r="H282" i="52"/>
  <c r="L279" i="52"/>
  <c r="L274" i="52"/>
  <c r="L272" i="52"/>
  <c r="K269" i="52"/>
  <c r="H267" i="52"/>
  <c r="G264" i="52"/>
  <c r="J261" i="52"/>
  <c r="L258" i="52"/>
  <c r="J255" i="52"/>
  <c r="L252" i="52"/>
  <c r="K249" i="52"/>
  <c r="J247" i="52"/>
  <c r="H242" i="52"/>
  <c r="G237" i="52"/>
  <c r="K234" i="52"/>
  <c r="M234" i="52" s="1"/>
  <c r="G229" i="52"/>
  <c r="J226" i="52"/>
  <c r="K218" i="52"/>
  <c r="K213" i="52"/>
  <c r="H211" i="52"/>
  <c r="K208" i="52"/>
  <c r="J203" i="52"/>
  <c r="G201" i="52"/>
  <c r="K198" i="52"/>
  <c r="K196" i="52"/>
  <c r="G194" i="52"/>
  <c r="J188" i="52"/>
  <c r="J186" i="52"/>
  <c r="L184" i="52"/>
  <c r="L182" i="52"/>
  <c r="H175" i="52"/>
  <c r="K173" i="52"/>
  <c r="H168" i="52"/>
  <c r="J166" i="52"/>
  <c r="J164" i="52"/>
  <c r="J162" i="52"/>
  <c r="K160" i="52"/>
  <c r="G157" i="52"/>
  <c r="H155" i="52"/>
  <c r="K153" i="52"/>
  <c r="M153" i="52" s="1"/>
  <c r="L149" i="52"/>
  <c r="G144" i="52"/>
  <c r="K142" i="52"/>
  <c r="L140" i="52"/>
  <c r="H137" i="52"/>
  <c r="H135" i="52"/>
  <c r="H133" i="52"/>
  <c r="J131" i="52"/>
  <c r="J129" i="52"/>
  <c r="L127" i="52"/>
  <c r="J124" i="52"/>
  <c r="J122" i="52"/>
  <c r="L120" i="52"/>
  <c r="L118" i="52"/>
  <c r="H111" i="52"/>
  <c r="K109" i="52"/>
  <c r="H104" i="52"/>
  <c r="J102" i="52"/>
  <c r="J100" i="52"/>
  <c r="J98" i="52"/>
  <c r="K96" i="52"/>
  <c r="G93" i="52"/>
  <c r="J91" i="52"/>
  <c r="L89" i="52"/>
  <c r="H88" i="52"/>
  <c r="J86" i="52"/>
  <c r="L84" i="52"/>
  <c r="G83" i="52"/>
  <c r="K438" i="52"/>
  <c r="H433" i="52"/>
  <c r="G428" i="52"/>
  <c r="G417" i="52"/>
  <c r="L385" i="52"/>
  <c r="G358" i="52"/>
  <c r="G354" i="52"/>
  <c r="K349" i="52"/>
  <c r="G341" i="52"/>
  <c r="L336" i="52"/>
  <c r="H332" i="52"/>
  <c r="K325" i="52"/>
  <c r="M325" i="52" s="1"/>
  <c r="H321" i="52"/>
  <c r="G318" i="52"/>
  <c r="H315" i="52"/>
  <c r="H312" i="52"/>
  <c r="H303" i="52"/>
  <c r="L300" i="52"/>
  <c r="J295" i="52"/>
  <c r="K292" i="52"/>
  <c r="H287" i="52"/>
  <c r="H284" i="52"/>
  <c r="K279" i="52"/>
  <c r="L276" i="52"/>
  <c r="K274" i="52"/>
  <c r="J269" i="52"/>
  <c r="H261" i="52"/>
  <c r="G258" i="52"/>
  <c r="H255" i="52"/>
  <c r="H249" i="52"/>
  <c r="H247" i="52"/>
  <c r="L244" i="52"/>
  <c r="G242" i="52"/>
  <c r="K239" i="52"/>
  <c r="M239" i="52" s="1"/>
  <c r="J234" i="52"/>
  <c r="K231" i="52"/>
  <c r="H226" i="52"/>
  <c r="J223" i="52"/>
  <c r="L220" i="52"/>
  <c r="J218" i="52"/>
  <c r="L215" i="52"/>
  <c r="H213" i="52"/>
  <c r="G208" i="52"/>
  <c r="J205" i="52"/>
  <c r="H203" i="52"/>
  <c r="J198" i="52"/>
  <c r="H196" i="52"/>
  <c r="L191" i="52"/>
  <c r="L189" i="52"/>
  <c r="H188" i="52"/>
  <c r="G186" i="52"/>
  <c r="J184" i="52"/>
  <c r="K182" i="52"/>
  <c r="K180" i="52"/>
  <c r="K178" i="52"/>
  <c r="L176" i="52"/>
  <c r="G175" i="52"/>
  <c r="H173" i="52"/>
  <c r="L171" i="52"/>
  <c r="L169" i="52"/>
  <c r="G168" i="52"/>
  <c r="G164" i="52"/>
  <c r="G162" i="52"/>
  <c r="H160" i="52"/>
  <c r="L158" i="52"/>
  <c r="H479" i="52"/>
  <c r="G473" i="52"/>
  <c r="G468" i="52"/>
  <c r="L457" i="52"/>
  <c r="K452" i="52"/>
  <c r="J411" i="52"/>
  <c r="K405" i="52"/>
  <c r="K400" i="52"/>
  <c r="J394" i="52"/>
  <c r="L388" i="52"/>
  <c r="L380" i="52"/>
  <c r="L375" i="52"/>
  <c r="L366" i="52"/>
  <c r="G349" i="52"/>
  <c r="K336" i="52"/>
  <c r="G332" i="52"/>
  <c r="L328" i="52"/>
  <c r="J325" i="52"/>
  <c r="G312" i="52"/>
  <c r="K305" i="52"/>
  <c r="G300" i="52"/>
  <c r="K297" i="52"/>
  <c r="M297" i="52" s="1"/>
  <c r="J289" i="52"/>
  <c r="K281" i="52"/>
  <c r="K276" i="52"/>
  <c r="H274" i="52"/>
  <c r="K271" i="52"/>
  <c r="G269" i="52"/>
  <c r="G266" i="52"/>
  <c r="K263" i="52"/>
  <c r="G261" i="52"/>
  <c r="J251" i="52"/>
  <c r="G249" i="52"/>
  <c r="H244" i="52"/>
  <c r="L236" i="52"/>
  <c r="K228" i="52"/>
  <c r="H220" i="52"/>
  <c r="J215" i="52"/>
  <c r="G213" i="52"/>
  <c r="K210" i="52"/>
  <c r="M210" i="52" s="1"/>
  <c r="G205" i="52"/>
  <c r="K200" i="52"/>
  <c r="G198" i="52"/>
  <c r="J193" i="52"/>
  <c r="J191" i="52"/>
  <c r="K189" i="52"/>
  <c r="H184" i="52"/>
  <c r="J182" i="52"/>
  <c r="J180" i="52"/>
  <c r="J178" i="52"/>
  <c r="K176" i="52"/>
  <c r="G173" i="52"/>
  <c r="H171" i="52"/>
  <c r="K169" i="52"/>
  <c r="L165" i="52"/>
  <c r="G160" i="52"/>
  <c r="K158" i="52"/>
  <c r="L156" i="52"/>
  <c r="G462" i="52"/>
  <c r="G452" i="52"/>
  <c r="L447" i="52"/>
  <c r="L441" i="52"/>
  <c r="J427" i="52"/>
  <c r="K416" i="52"/>
  <c r="K388" i="52"/>
  <c r="J375" i="52"/>
  <c r="L370" i="52"/>
  <c r="M370" i="52" s="1"/>
  <c r="J361" i="52"/>
  <c r="G344" i="52"/>
  <c r="G328" i="52"/>
  <c r="L320" i="52"/>
  <c r="J317" i="52"/>
  <c r="L314" i="52"/>
  <c r="K308" i="52"/>
  <c r="J305" i="52"/>
  <c r="J302" i="52"/>
  <c r="J297" i="52"/>
  <c r="K294" i="52"/>
  <c r="L291" i="52"/>
  <c r="H289" i="52"/>
  <c r="J286" i="52"/>
  <c r="L283" i="52"/>
  <c r="H281" i="52"/>
  <c r="K278" i="52"/>
  <c r="H276" i="52"/>
  <c r="H271" i="52"/>
  <c r="J263" i="52"/>
  <c r="J257" i="52"/>
  <c r="L254" i="52"/>
  <c r="H251" i="52"/>
  <c r="K246" i="52"/>
  <c r="G244" i="52"/>
  <c r="H241" i="52"/>
  <c r="K238" i="52"/>
  <c r="K236" i="52"/>
  <c r="K233" i="52"/>
  <c r="L230" i="52"/>
  <c r="H228" i="52"/>
  <c r="J225" i="52"/>
  <c r="L222" i="52"/>
  <c r="G220" i="52"/>
  <c r="K217" i="52"/>
  <c r="H215" i="52"/>
  <c r="G210" i="52"/>
  <c r="L207" i="52"/>
  <c r="K202" i="52"/>
  <c r="H200" i="52"/>
  <c r="L195" i="52"/>
  <c r="H193" i="52"/>
  <c r="H191" i="52"/>
  <c r="H189" i="52"/>
  <c r="L187" i="52"/>
  <c r="L185" i="52"/>
  <c r="G184" i="52"/>
  <c r="G180" i="52"/>
  <c r="G178" i="52"/>
  <c r="H176" i="52"/>
  <c r="L174" i="52"/>
  <c r="G171" i="52"/>
  <c r="J169" i="52"/>
  <c r="J167" i="52"/>
  <c r="J165" i="52"/>
  <c r="L163" i="52"/>
  <c r="K161" i="52"/>
  <c r="H476" i="52"/>
  <c r="H460" i="52"/>
  <c r="K450" i="52"/>
  <c r="L435" i="52"/>
  <c r="J430" i="52"/>
  <c r="J425" i="52"/>
  <c r="J419" i="52"/>
  <c r="J414" i="52"/>
  <c r="K397" i="52"/>
  <c r="G391" i="52"/>
  <c r="K378" i="52"/>
  <c r="J373" i="52"/>
  <c r="H364" i="52"/>
  <c r="L351" i="52"/>
  <c r="L346" i="52"/>
  <c r="L338" i="52"/>
  <c r="J334" i="52"/>
  <c r="J330" i="52"/>
  <c r="H319" i="52"/>
  <c r="J316" i="52"/>
  <c r="K310" i="52"/>
  <c r="K307" i="52"/>
  <c r="G304" i="52"/>
  <c r="K301" i="52"/>
  <c r="G296" i="52"/>
  <c r="J293" i="52"/>
  <c r="J285" i="52"/>
  <c r="G280" i="52"/>
  <c r="K275" i="52"/>
  <c r="G273" i="52"/>
  <c r="G270" i="52"/>
  <c r="K267" i="52"/>
  <c r="G265" i="52"/>
  <c r="G262" i="52"/>
  <c r="J259" i="52"/>
  <c r="L256" i="52"/>
  <c r="H253" i="52"/>
  <c r="H250" i="52"/>
  <c r="L247" i="52"/>
  <c r="M247" i="52" s="1"/>
  <c r="K245" i="52"/>
  <c r="K240" i="52"/>
  <c r="H235" i="52"/>
  <c r="K232" i="52"/>
  <c r="K224" i="52"/>
  <c r="L216" i="52"/>
  <c r="G214" i="52"/>
  <c r="L211" i="52"/>
  <c r="J209" i="52"/>
  <c r="H206" i="52"/>
  <c r="G204" i="52"/>
  <c r="J199" i="52"/>
  <c r="L194" i="52"/>
  <c r="K192" i="52"/>
  <c r="K190" i="52"/>
  <c r="L188" i="52"/>
  <c r="H185" i="52"/>
  <c r="H183" i="52"/>
  <c r="H181" i="52"/>
  <c r="J179" i="52"/>
  <c r="J177" i="52"/>
  <c r="L175" i="52"/>
  <c r="M175" i="52" s="1"/>
  <c r="J172" i="52"/>
  <c r="J170" i="52"/>
  <c r="L168" i="52"/>
  <c r="L166" i="52"/>
  <c r="H159" i="52"/>
  <c r="K157" i="52"/>
  <c r="H152" i="52"/>
  <c r="J150" i="52"/>
  <c r="J148" i="52"/>
  <c r="J146" i="52"/>
  <c r="K144" i="52"/>
  <c r="G141" i="52"/>
  <c r="J467" i="52"/>
  <c r="K454" i="52"/>
  <c r="H314" i="52"/>
  <c r="J299" i="52"/>
  <c r="G294" i="52"/>
  <c r="J290" i="52"/>
  <c r="K285" i="52"/>
  <c r="G277" i="52"/>
  <c r="J267" i="52"/>
  <c r="L262" i="52"/>
  <c r="L250" i="52"/>
  <c r="K237" i="52"/>
  <c r="H232" i="52"/>
  <c r="J219" i="52"/>
  <c r="J201" i="52"/>
  <c r="K185" i="52"/>
  <c r="J181" i="52"/>
  <c r="K177" i="52"/>
  <c r="G174" i="52"/>
  <c r="H167" i="52"/>
  <c r="L155" i="52"/>
  <c r="J153" i="52"/>
  <c r="H151" i="52"/>
  <c r="K146" i="52"/>
  <c r="H144" i="52"/>
  <c r="G142" i="52"/>
  <c r="H140" i="52"/>
  <c r="G138" i="52"/>
  <c r="H136" i="52"/>
  <c r="K129" i="52"/>
  <c r="J127" i="52"/>
  <c r="L125" i="52"/>
  <c r="L121" i="52"/>
  <c r="J117" i="52"/>
  <c r="L115" i="52"/>
  <c r="K113" i="52"/>
  <c r="H108" i="52"/>
  <c r="G106" i="52"/>
  <c r="J104" i="52"/>
  <c r="K97" i="52"/>
  <c r="L95" i="52"/>
  <c r="H92" i="52"/>
  <c r="G90" i="52"/>
  <c r="J88" i="52"/>
  <c r="G86" i="52"/>
  <c r="J84" i="52"/>
  <c r="J82" i="52"/>
  <c r="L80" i="52"/>
  <c r="G79" i="52"/>
  <c r="H77" i="52"/>
  <c r="L75" i="52"/>
  <c r="J72" i="52"/>
  <c r="K70" i="52"/>
  <c r="H67" i="52"/>
  <c r="K65" i="52"/>
  <c r="G62" i="52"/>
  <c r="K60" i="52"/>
  <c r="G57" i="52"/>
  <c r="J55" i="52"/>
  <c r="L53" i="52"/>
  <c r="H52" i="52"/>
  <c r="J50" i="52"/>
  <c r="L48" i="52"/>
  <c r="G47" i="52"/>
  <c r="H45" i="52"/>
  <c r="L43" i="52"/>
  <c r="J40" i="52"/>
  <c r="K38" i="52"/>
  <c r="H35" i="52"/>
  <c r="K33" i="52"/>
  <c r="M33" i="52" s="1"/>
  <c r="G30" i="52"/>
  <c r="G28" i="52"/>
  <c r="H25" i="52"/>
  <c r="L22" i="52"/>
  <c r="G20" i="52"/>
  <c r="L17" i="52"/>
  <c r="L14" i="52"/>
  <c r="L12" i="52"/>
  <c r="K334" i="52"/>
  <c r="G323" i="52"/>
  <c r="H285" i="52"/>
  <c r="H245" i="52"/>
  <c r="L240" i="52"/>
  <c r="K227" i="52"/>
  <c r="L214" i="52"/>
  <c r="K209" i="52"/>
  <c r="L204" i="52"/>
  <c r="L196" i="52"/>
  <c r="H192" i="52"/>
  <c r="K188" i="52"/>
  <c r="J185" i="52"/>
  <c r="G181" i="52"/>
  <c r="G177" i="52"/>
  <c r="L170" i="52"/>
  <c r="J163" i="52"/>
  <c r="L160" i="52"/>
  <c r="L157" i="52"/>
  <c r="G155" i="52"/>
  <c r="H153" i="52"/>
  <c r="K148" i="52"/>
  <c r="G146" i="52"/>
  <c r="G136" i="52"/>
  <c r="L133" i="52"/>
  <c r="L131" i="52"/>
  <c r="G129" i="52"/>
  <c r="H127" i="52"/>
  <c r="K125" i="52"/>
  <c r="L123" i="52"/>
  <c r="K121" i="52"/>
  <c r="J119" i="52"/>
  <c r="H117" i="52"/>
  <c r="J115" i="52"/>
  <c r="J113" i="52"/>
  <c r="L111" i="52"/>
  <c r="L109" i="52"/>
  <c r="G104" i="52"/>
  <c r="L101" i="52"/>
  <c r="L99" i="52"/>
  <c r="J97" i="52"/>
  <c r="J95" i="52"/>
  <c r="L93" i="52"/>
  <c r="H84" i="52"/>
  <c r="G82" i="52"/>
  <c r="K80" i="52"/>
  <c r="G77" i="52"/>
  <c r="J75" i="52"/>
  <c r="L73" i="52"/>
  <c r="H72" i="52"/>
  <c r="J70" i="52"/>
  <c r="L68" i="52"/>
  <c r="G67" i="52"/>
  <c r="H65" i="52"/>
  <c r="L63" i="52"/>
  <c r="J60" i="52"/>
  <c r="K58" i="52"/>
  <c r="H55" i="52"/>
  <c r="K53" i="52"/>
  <c r="G50" i="52"/>
  <c r="K48" i="52"/>
  <c r="G45" i="52"/>
  <c r="J43" i="52"/>
  <c r="L41" i="52"/>
  <c r="H40" i="52"/>
  <c r="J38" i="52"/>
  <c r="L36" i="52"/>
  <c r="G35" i="52"/>
  <c r="H33" i="52"/>
  <c r="L31" i="52"/>
  <c r="L29" i="52"/>
  <c r="L27" i="52"/>
  <c r="L24" i="52"/>
  <c r="K22" i="52"/>
  <c r="L19" i="52"/>
  <c r="K17" i="52"/>
  <c r="K14" i="52"/>
  <c r="K12" i="52"/>
  <c r="G471" i="52"/>
  <c r="J439" i="52"/>
  <c r="L378" i="52"/>
  <c r="L364" i="52"/>
  <c r="J346" i="52"/>
  <c r="G313" i="52"/>
  <c r="G308" i="52"/>
  <c r="G302" i="52"/>
  <c r="K298" i="52"/>
  <c r="H293" i="52"/>
  <c r="L280" i="52"/>
  <c r="G276" i="52"/>
  <c r="G240" i="52"/>
  <c r="J222" i="52"/>
  <c r="L218" i="52"/>
  <c r="K204" i="52"/>
  <c r="G200" i="52"/>
  <c r="L173" i="52"/>
  <c r="G170" i="52"/>
  <c r="K166" i="52"/>
  <c r="M166" i="52" s="1"/>
  <c r="G163" i="52"/>
  <c r="H157" i="52"/>
  <c r="L150" i="52"/>
  <c r="G148" i="52"/>
  <c r="L143" i="52"/>
  <c r="L141" i="52"/>
  <c r="L139" i="52"/>
  <c r="L137" i="52"/>
  <c r="J133" i="52"/>
  <c r="G131" i="52"/>
  <c r="G127" i="52"/>
  <c r="H125" i="52"/>
  <c r="H123" i="52"/>
  <c r="J121" i="52"/>
  <c r="H119" i="52"/>
  <c r="G117" i="52"/>
  <c r="G115" i="52"/>
  <c r="G113" i="52"/>
  <c r="J111" i="52"/>
  <c r="H109" i="52"/>
  <c r="L107" i="52"/>
  <c r="L105" i="52"/>
  <c r="J101" i="52"/>
  <c r="J99" i="52"/>
  <c r="G97" i="52"/>
  <c r="H95" i="52"/>
  <c r="K93" i="52"/>
  <c r="L91" i="52"/>
  <c r="K89" i="52"/>
  <c r="L87" i="52"/>
  <c r="L85" i="52"/>
  <c r="J80" i="52"/>
  <c r="K78" i="52"/>
  <c r="H75" i="52"/>
  <c r="K73" i="52"/>
  <c r="G70" i="52"/>
  <c r="K68" i="52"/>
  <c r="G65" i="52"/>
  <c r="J63" i="52"/>
  <c r="L61" i="52"/>
  <c r="H60" i="52"/>
  <c r="J58" i="52"/>
  <c r="L56" i="52"/>
  <c r="G55" i="52"/>
  <c r="H53" i="52"/>
  <c r="L51" i="52"/>
  <c r="J48" i="52"/>
  <c r="K46" i="52"/>
  <c r="H43" i="52"/>
  <c r="K41" i="52"/>
  <c r="G38" i="52"/>
  <c r="K36" i="52"/>
  <c r="G33" i="52"/>
  <c r="J31" i="52"/>
  <c r="K29" i="52"/>
  <c r="J27" i="52"/>
  <c r="J24" i="52"/>
  <c r="J22" i="52"/>
  <c r="J19" i="52"/>
  <c r="H17" i="52"/>
  <c r="J14" i="52"/>
  <c r="H12" i="52"/>
  <c r="K465" i="52"/>
  <c r="G444" i="52"/>
  <c r="G425" i="52"/>
  <c r="K410" i="52"/>
  <c r="G403" i="52"/>
  <c r="L383" i="52"/>
  <c r="G370" i="52"/>
  <c r="G364" i="52"/>
  <c r="G352" i="52"/>
  <c r="G339" i="52"/>
  <c r="J327" i="52"/>
  <c r="L322" i="52"/>
  <c r="L316" i="52"/>
  <c r="K288" i="52"/>
  <c r="K270" i="52"/>
  <c r="K265" i="52"/>
  <c r="G248" i="52"/>
  <c r="K235" i="52"/>
  <c r="K230" i="52"/>
  <c r="L226" i="52"/>
  <c r="H222" i="52"/>
  <c r="H195" i="52"/>
  <c r="H187" i="52"/>
  <c r="G176" i="52"/>
  <c r="L159" i="52"/>
  <c r="L154" i="52"/>
  <c r="L152" i="52"/>
  <c r="K150" i="52"/>
  <c r="K145" i="52"/>
  <c r="J143" i="52"/>
  <c r="K141" i="52"/>
  <c r="H139" i="52"/>
  <c r="K137" i="52"/>
  <c r="J135" i="52"/>
  <c r="G133" i="52"/>
  <c r="L128" i="52"/>
  <c r="G125" i="52"/>
  <c r="G123" i="52"/>
  <c r="H121" i="52"/>
  <c r="G111" i="52"/>
  <c r="G109" i="52"/>
  <c r="H107" i="52"/>
  <c r="K105" i="52"/>
  <c r="J103" i="52"/>
  <c r="H101" i="52"/>
  <c r="G99" i="52"/>
  <c r="G95" i="52"/>
  <c r="H93" i="52"/>
  <c r="H91" i="52"/>
  <c r="H89" i="52"/>
  <c r="J87" i="52"/>
  <c r="K85" i="52"/>
  <c r="L83" i="52"/>
  <c r="L81" i="52"/>
  <c r="H80" i="52"/>
  <c r="J78" i="52"/>
  <c r="L76" i="52"/>
  <c r="G75" i="52"/>
  <c r="H73" i="52"/>
  <c r="L71" i="52"/>
  <c r="J68" i="52"/>
  <c r="K66" i="52"/>
  <c r="H63" i="52"/>
  <c r="K61" i="52"/>
  <c r="G58" i="52"/>
  <c r="K56" i="52"/>
  <c r="G53" i="52"/>
  <c r="J51" i="52"/>
  <c r="L49" i="52"/>
  <c r="H48" i="52"/>
  <c r="J46" i="52"/>
  <c r="L44" i="52"/>
  <c r="G43" i="52"/>
  <c r="H41" i="52"/>
  <c r="L39" i="52"/>
  <c r="J36" i="52"/>
  <c r="K34" i="52"/>
  <c r="M34" i="52" s="1"/>
  <c r="H31" i="52"/>
  <c r="J29" i="52"/>
  <c r="H27" i="52"/>
  <c r="H24" i="52"/>
  <c r="H22" i="52"/>
  <c r="H19" i="52"/>
  <c r="G17" i="52"/>
  <c r="K470" i="52"/>
  <c r="G431" i="52"/>
  <c r="H388" i="52"/>
  <c r="H383" i="52"/>
  <c r="G316" i="52"/>
  <c r="J301" i="52"/>
  <c r="J283" i="52"/>
  <c r="J265" i="52"/>
  <c r="K259" i="52"/>
  <c r="J253" i="52"/>
  <c r="L243" i="52"/>
  <c r="J230" i="52"/>
  <c r="G217" i="52"/>
  <c r="H212" i="52"/>
  <c r="L190" i="52"/>
  <c r="G187" i="52"/>
  <c r="J183" i="52"/>
  <c r="L179" i="52"/>
  <c r="L172" i="52"/>
  <c r="H169" i="52"/>
  <c r="H165" i="52"/>
  <c r="K162" i="52"/>
  <c r="J159" i="52"/>
  <c r="K156" i="52"/>
  <c r="J154" i="52"/>
  <c r="J152" i="52"/>
  <c r="L147" i="52"/>
  <c r="J145" i="52"/>
  <c r="H143" i="52"/>
  <c r="H141" i="52"/>
  <c r="G139" i="52"/>
  <c r="J137" i="52"/>
  <c r="K130" i="52"/>
  <c r="K128" i="52"/>
  <c r="L126" i="52"/>
  <c r="K118" i="52"/>
  <c r="K116" i="52"/>
  <c r="K114" i="52"/>
  <c r="L112" i="52"/>
  <c r="G107" i="52"/>
  <c r="J105" i="52"/>
  <c r="H103" i="52"/>
  <c r="G101" i="52"/>
  <c r="L96" i="52"/>
  <c r="G91" i="52"/>
  <c r="G89" i="52"/>
  <c r="H87" i="52"/>
  <c r="H85" i="52"/>
  <c r="J83" i="52"/>
  <c r="K81" i="52"/>
  <c r="M81" i="52" s="1"/>
  <c r="G78" i="52"/>
  <c r="K76" i="52"/>
  <c r="G73" i="52"/>
  <c r="J71" i="52"/>
  <c r="L69" i="52"/>
  <c r="H68" i="52"/>
  <c r="J66" i="52"/>
  <c r="L64" i="52"/>
  <c r="G63" i="52"/>
  <c r="H61" i="52"/>
  <c r="L59" i="52"/>
  <c r="J56" i="52"/>
  <c r="K54" i="52"/>
  <c r="H51" i="52"/>
  <c r="K49" i="52"/>
  <c r="M49" i="52" s="1"/>
  <c r="G46" i="52"/>
  <c r="G455" i="52"/>
  <c r="G436" i="52"/>
  <c r="K356" i="52"/>
  <c r="J343" i="52"/>
  <c r="L330" i="52"/>
  <c r="H320" i="52"/>
  <c r="J291" i="52"/>
  <c r="G278" i="52"/>
  <c r="K273" i="52"/>
  <c r="G268" i="52"/>
  <c r="K242" i="52"/>
  <c r="H238" i="52"/>
  <c r="G233" i="52"/>
  <c r="J229" i="52"/>
  <c r="L224" i="52"/>
  <c r="H216" i="52"/>
  <c r="K211" i="52"/>
  <c r="G206" i="52"/>
  <c r="G202" i="52"/>
  <c r="J197" i="52"/>
  <c r="L186" i="52"/>
  <c r="H172" i="52"/>
  <c r="J168" i="52"/>
  <c r="J161" i="52"/>
  <c r="H156" i="52"/>
  <c r="H149" i="52"/>
  <c r="G147" i="52"/>
  <c r="K140" i="52"/>
  <c r="L138" i="52"/>
  <c r="L136" i="52"/>
  <c r="K134" i="52"/>
  <c r="J132" i="52"/>
  <c r="G130" i="52"/>
  <c r="G128" i="52"/>
  <c r="G126" i="52"/>
  <c r="K124" i="52"/>
  <c r="G122" i="52"/>
  <c r="H120" i="52"/>
  <c r="G116" i="52"/>
  <c r="G114" i="52"/>
  <c r="H112" i="52"/>
  <c r="K110" i="52"/>
  <c r="K108" i="52"/>
  <c r="L106" i="52"/>
  <c r="L102" i="52"/>
  <c r="M102" i="52" s="1"/>
  <c r="K100" i="52"/>
  <c r="G98" i="52"/>
  <c r="G96" i="52"/>
  <c r="K94" i="52"/>
  <c r="K92" i="52"/>
  <c r="K90" i="52"/>
  <c r="L88" i="52"/>
  <c r="G81" i="52"/>
  <c r="J79" i="52"/>
  <c r="L77" i="52"/>
  <c r="H76" i="52"/>
  <c r="J74" i="52"/>
  <c r="L72" i="52"/>
  <c r="G71" i="52"/>
  <c r="H69" i="52"/>
  <c r="L67" i="52"/>
  <c r="J64" i="52"/>
  <c r="K62" i="52"/>
  <c r="H59" i="52"/>
  <c r="K57" i="52"/>
  <c r="G54" i="52"/>
  <c r="K52" i="52"/>
  <c r="G49" i="52"/>
  <c r="J47" i="52"/>
  <c r="L45" i="52"/>
  <c r="H44" i="52"/>
  <c r="J42" i="52"/>
  <c r="L40" i="52"/>
  <c r="G39" i="52"/>
  <c r="H37" i="52"/>
  <c r="L35" i="52"/>
  <c r="J32" i="52"/>
  <c r="K30" i="52"/>
  <c r="J28" i="52"/>
  <c r="J26" i="52"/>
  <c r="J23" i="52"/>
  <c r="J20" i="52"/>
  <c r="J18" i="52"/>
  <c r="J15" i="52"/>
  <c r="H13" i="52"/>
  <c r="G12" i="52"/>
  <c r="H18" i="52"/>
  <c r="G24" i="52"/>
  <c r="G37" i="52"/>
  <c r="K40" i="52"/>
  <c r="J44" i="52"/>
  <c r="J52" i="52"/>
  <c r="H56" i="52"/>
  <c r="H64" i="52"/>
  <c r="K72" i="52"/>
  <c r="H81" i="52"/>
  <c r="G85" i="52"/>
  <c r="G94" i="52"/>
  <c r="L104" i="52"/>
  <c r="L108" i="52"/>
  <c r="K112" i="52"/>
  <c r="M112" i="52" s="1"/>
  <c r="L117" i="52"/>
  <c r="K126" i="52"/>
  <c r="G145" i="52"/>
  <c r="G154" i="52"/>
  <c r="G159" i="52"/>
  <c r="H273" i="52"/>
  <c r="L311" i="52"/>
  <c r="G13" i="52"/>
  <c r="K18" i="52"/>
  <c r="H26" i="52"/>
  <c r="G31" i="52"/>
  <c r="G34" i="52"/>
  <c r="K37" i="52"/>
  <c r="K44" i="52"/>
  <c r="L52" i="52"/>
  <c r="L60" i="52"/>
  <c r="K64" i="52"/>
  <c r="K77" i="52"/>
  <c r="M77" i="52" s="1"/>
  <c r="J90" i="52"/>
  <c r="L94" i="52"/>
  <c r="L122" i="52"/>
  <c r="G132" i="52"/>
  <c r="J136" i="52"/>
  <c r="G165" i="52"/>
  <c r="K172" i="52"/>
  <c r="G190" i="52"/>
  <c r="J202" i="52"/>
  <c r="J238" i="52"/>
  <c r="K299" i="52"/>
  <c r="G326" i="52"/>
  <c r="L356" i="52"/>
  <c r="K386" i="52"/>
  <c r="K13" i="52"/>
  <c r="L18" i="52"/>
  <c r="K26" i="52"/>
  <c r="J34" i="52"/>
  <c r="L37" i="52"/>
  <c r="G41" i="52"/>
  <c r="H49" i="52"/>
  <c r="H57" i="52"/>
  <c r="G69" i="52"/>
  <c r="K82" i="52"/>
  <c r="K86" i="52"/>
  <c r="M86" i="52" s="1"/>
  <c r="G100" i="52"/>
  <c r="H105" i="52"/>
  <c r="J118" i="52"/>
  <c r="K132" i="52"/>
  <c r="L142" i="52"/>
  <c r="J151" i="52"/>
  <c r="H224" i="52"/>
  <c r="G246" i="52"/>
  <c r="L287" i="52"/>
  <c r="K402" i="52"/>
  <c r="H441" i="52"/>
  <c r="G446" i="47"/>
  <c r="H446" i="47"/>
  <c r="J446" i="47"/>
  <c r="K446" i="47"/>
  <c r="K444" i="47" s="1"/>
  <c r="L446" i="47"/>
  <c r="L444" i="47" s="1"/>
  <c r="H280" i="55"/>
  <c r="I280" i="55"/>
  <c r="M445" i="47"/>
  <c r="H244" i="55"/>
  <c r="H279" i="55"/>
  <c r="H238" i="55"/>
  <c r="I244" i="55"/>
  <c r="I279" i="55"/>
  <c r="I238" i="55"/>
  <c r="H255" i="55"/>
  <c r="I221" i="55"/>
  <c r="H235" i="55"/>
  <c r="I255" i="55"/>
  <c r="I235" i="55"/>
  <c r="H300" i="55"/>
  <c r="E254" i="55"/>
  <c r="D251" i="55"/>
  <c r="D252" i="55" s="1"/>
  <c r="D245" i="55"/>
  <c r="D246" i="55"/>
  <c r="D247" i="55" s="1"/>
  <c r="D248" i="55" s="1"/>
  <c r="C246" i="55"/>
  <c r="C247" i="55" s="1"/>
  <c r="C248" i="55" s="1"/>
  <c r="C245" i="55"/>
  <c r="E243" i="55"/>
  <c r="D240" i="55"/>
  <c r="G483" i="47"/>
  <c r="G480" i="47"/>
  <c r="G482" i="47"/>
  <c r="H483" i="47"/>
  <c r="H480" i="47"/>
  <c r="G481" i="47"/>
  <c r="G479" i="47"/>
  <c r="H482" i="47"/>
  <c r="J483" i="47"/>
  <c r="J480" i="47"/>
  <c r="H481" i="47"/>
  <c r="G478" i="47"/>
  <c r="H479" i="47"/>
  <c r="J482" i="47"/>
  <c r="K483" i="47"/>
  <c r="K480" i="47"/>
  <c r="J481" i="47"/>
  <c r="H478" i="47"/>
  <c r="J479" i="47"/>
  <c r="K482" i="47"/>
  <c r="L483" i="47"/>
  <c r="L480" i="47"/>
  <c r="K481" i="47"/>
  <c r="J478" i="47"/>
  <c r="K479" i="47"/>
  <c r="L482" i="47"/>
  <c r="L481" i="47"/>
  <c r="K478" i="47"/>
  <c r="L479" i="47"/>
  <c r="M475" i="47"/>
  <c r="C234" i="55"/>
  <c r="E234" i="55" s="1"/>
  <c r="C236" i="55"/>
  <c r="E235" i="55"/>
  <c r="C237" i="55"/>
  <c r="E230" i="55"/>
  <c r="D237" i="55"/>
  <c r="C231" i="55"/>
  <c r="D231" i="55"/>
  <c r="C232" i="55"/>
  <c r="E232" i="55" s="1"/>
  <c r="C229" i="55"/>
  <c r="D229" i="55"/>
  <c r="C227" i="55"/>
  <c r="E227" i="55" s="1"/>
  <c r="M473" i="47"/>
  <c r="M474" i="47"/>
  <c r="L472" i="47"/>
  <c r="K472" i="47"/>
  <c r="M476" i="47"/>
  <c r="I454" i="55"/>
  <c r="H294" i="55"/>
  <c r="I34" i="55"/>
  <c r="H147" i="55"/>
  <c r="I21" i="55"/>
  <c r="I281" i="55"/>
  <c r="H49" i="55"/>
  <c r="I309" i="55"/>
  <c r="H282" i="55"/>
  <c r="H15" i="55"/>
  <c r="I197" i="55"/>
  <c r="H296" i="55"/>
  <c r="I417" i="55"/>
  <c r="H418" i="55"/>
  <c r="I49" i="55"/>
  <c r="I15" i="55"/>
  <c r="H23" i="55"/>
  <c r="H32" i="55"/>
  <c r="H53" i="55"/>
  <c r="H63" i="55"/>
  <c r="I136" i="55"/>
  <c r="H154" i="55"/>
  <c r="I296" i="55"/>
  <c r="H463" i="55"/>
  <c r="I418" i="55"/>
  <c r="I142" i="55"/>
  <c r="I23" i="55"/>
  <c r="H29" i="55"/>
  <c r="I32" i="55"/>
  <c r="I53" i="55"/>
  <c r="I63" i="55"/>
  <c r="I144" i="55"/>
  <c r="I154" i="55"/>
  <c r="I158" i="55"/>
  <c r="H298" i="55"/>
  <c r="H311" i="55"/>
  <c r="H358" i="55"/>
  <c r="H466" i="55"/>
  <c r="I170" i="55"/>
  <c r="H24" i="55"/>
  <c r="H33" i="55"/>
  <c r="I305" i="55"/>
  <c r="I358" i="55"/>
  <c r="I466" i="55"/>
  <c r="H219" i="55"/>
  <c r="I29" i="55"/>
  <c r="I17" i="55"/>
  <c r="I24" i="55"/>
  <c r="I33" i="55"/>
  <c r="I35" i="55"/>
  <c r="H82" i="55"/>
  <c r="H306" i="55"/>
  <c r="H17" i="55"/>
  <c r="H35" i="55"/>
  <c r="H21" i="55"/>
  <c r="H34" i="55"/>
  <c r="H146" i="55"/>
  <c r="I307" i="55"/>
  <c r="H454" i="55"/>
  <c r="C211" i="55"/>
  <c r="E216" i="55"/>
  <c r="C217" i="55"/>
  <c r="C218" i="55" s="1"/>
  <c r="E466" i="55"/>
  <c r="E32" i="55"/>
  <c r="E142" i="55"/>
  <c r="E408" i="55"/>
  <c r="E473" i="55"/>
  <c r="E461" i="55"/>
  <c r="K271" i="47"/>
  <c r="K861" i="47"/>
  <c r="M861" i="47" s="1"/>
  <c r="J861" i="47"/>
  <c r="L885" i="47"/>
  <c r="M885" i="47" s="1"/>
  <c r="L194" i="47"/>
  <c r="M194" i="47" s="1"/>
  <c r="L870" i="47"/>
  <c r="L867" i="47" s="1"/>
  <c r="K705" i="47"/>
  <c r="L705" i="47"/>
  <c r="L700" i="47" s="1"/>
  <c r="E67" i="55"/>
  <c r="E182" i="55"/>
  <c r="C92" i="55"/>
  <c r="E92" i="55" s="1"/>
  <c r="E91" i="55"/>
  <c r="E165" i="55"/>
  <c r="C170" i="55"/>
  <c r="C171" i="55" s="1"/>
  <c r="E171" i="55" s="1"/>
  <c r="E169" i="55"/>
  <c r="E418" i="55"/>
  <c r="E68" i="55"/>
  <c r="E451" i="55"/>
  <c r="E228" i="55"/>
  <c r="E114" i="55"/>
  <c r="E420" i="55"/>
  <c r="E147" i="55"/>
  <c r="E21" i="55"/>
  <c r="E146" i="55"/>
  <c r="K686" i="47"/>
  <c r="L180" i="47"/>
  <c r="M180" i="47" s="1"/>
  <c r="L862" i="47"/>
  <c r="M862" i="47" s="1"/>
  <c r="K869" i="47"/>
  <c r="M869" i="47" s="1"/>
  <c r="M393" i="47"/>
  <c r="M843" i="47"/>
  <c r="L878" i="47"/>
  <c r="K878" i="47"/>
  <c r="K876" i="47" s="1"/>
  <c r="I359" i="55"/>
  <c r="H307" i="55"/>
  <c r="I297" i="55"/>
  <c r="I293" i="55"/>
  <c r="I223" i="55"/>
  <c r="H197" i="55"/>
  <c r="H170" i="55"/>
  <c r="I156" i="55"/>
  <c r="H144" i="55"/>
  <c r="I463" i="55"/>
  <c r="H359" i="55"/>
  <c r="I306" i="55"/>
  <c r="I300" i="55"/>
  <c r="H297" i="55"/>
  <c r="H293" i="55"/>
  <c r="I282" i="55"/>
  <c r="H223" i="55"/>
  <c r="H156" i="55"/>
  <c r="I146" i="55"/>
  <c r="I473" i="55"/>
  <c r="I465" i="55"/>
  <c r="I453" i="55"/>
  <c r="H417" i="55"/>
  <c r="H309" i="55"/>
  <c r="H305" i="55"/>
  <c r="I295" i="55"/>
  <c r="H281" i="55"/>
  <c r="I274" i="55"/>
  <c r="I220" i="55"/>
  <c r="H217" i="55"/>
  <c r="I165" i="55"/>
  <c r="H158" i="55"/>
  <c r="H142" i="55"/>
  <c r="H473" i="55"/>
  <c r="H465" i="55"/>
  <c r="H453" i="55"/>
  <c r="I308" i="55"/>
  <c r="H295" i="55"/>
  <c r="I276" i="55"/>
  <c r="H274" i="55"/>
  <c r="H220" i="55"/>
  <c r="I171" i="55"/>
  <c r="I167" i="55"/>
  <c r="H165" i="55"/>
  <c r="H136" i="55"/>
  <c r="I311" i="55"/>
  <c r="H308" i="55"/>
  <c r="I298" i="55"/>
  <c r="I294" i="55"/>
  <c r="H276" i="55"/>
  <c r="I224" i="55"/>
  <c r="I219" i="55"/>
  <c r="H171" i="55"/>
  <c r="H167" i="55"/>
  <c r="I147" i="55"/>
  <c r="I82" i="55"/>
  <c r="K195" i="47"/>
  <c r="L195" i="47"/>
  <c r="G272" i="47"/>
  <c r="L271" i="47"/>
  <c r="L270" i="47"/>
  <c r="L272" i="47"/>
  <c r="H271" i="47"/>
  <c r="K272" i="47"/>
  <c r="G271" i="47"/>
  <c r="J272" i="47"/>
  <c r="H270" i="47"/>
  <c r="H272" i="47"/>
  <c r="G270" i="47"/>
  <c r="K181" i="47"/>
  <c r="L181" i="47"/>
  <c r="L674" i="47"/>
  <c r="K674" i="47"/>
  <c r="L673" i="47"/>
  <c r="K673" i="47"/>
  <c r="L184" i="47"/>
  <c r="L183" i="47" s="1"/>
  <c r="K184" i="47"/>
  <c r="K183" i="47" s="1"/>
  <c r="K432" i="47"/>
  <c r="M392" i="47"/>
  <c r="M32" i="47"/>
  <c r="M285" i="47"/>
  <c r="K152" i="40" s="1"/>
  <c r="M395" i="47"/>
  <c r="K266" i="47"/>
  <c r="M424" i="47"/>
  <c r="M746" i="47"/>
  <c r="M262" i="47"/>
  <c r="M459" i="47"/>
  <c r="M649" i="47"/>
  <c r="M740" i="47"/>
  <c r="M768" i="47"/>
  <c r="M17" i="47"/>
  <c r="M286" i="47"/>
  <c r="M179" i="47"/>
  <c r="M442" i="47"/>
  <c r="M457" i="47"/>
  <c r="M257" i="47"/>
  <c r="K38" i="47"/>
  <c r="E133" i="55"/>
  <c r="E190" i="55"/>
  <c r="C191" i="55"/>
  <c r="C116" i="55"/>
  <c r="E115" i="55"/>
  <c r="E23" i="55"/>
  <c r="C24" i="55"/>
  <c r="C25" i="55" s="1"/>
  <c r="C26" i="55" s="1"/>
  <c r="C27" i="55" s="1"/>
  <c r="E63" i="55"/>
  <c r="C101" i="55"/>
  <c r="E100" i="55"/>
  <c r="C157" i="55"/>
  <c r="E156" i="55"/>
  <c r="C30" i="55"/>
  <c r="E30" i="55" s="1"/>
  <c r="E29" i="55"/>
  <c r="C123" i="55"/>
  <c r="C124" i="55" s="1"/>
  <c r="E122" i="55"/>
  <c r="C82" i="55"/>
  <c r="E81" i="55"/>
  <c r="E15" i="55"/>
  <c r="C16" i="55"/>
  <c r="E167" i="55"/>
  <c r="C183" i="55"/>
  <c r="E417" i="55"/>
  <c r="C33" i="55"/>
  <c r="C34" i="55" s="1"/>
  <c r="C35" i="55" s="1"/>
  <c r="E276" i="55"/>
  <c r="C402" i="55"/>
  <c r="E401" i="55"/>
  <c r="E14" i="55"/>
  <c r="E274" i="55"/>
  <c r="E268" i="55"/>
  <c r="C282" i="55"/>
  <c r="C283" i="55" s="1"/>
  <c r="E281" i="55"/>
  <c r="C454" i="55"/>
  <c r="E453" i="55"/>
  <c r="D127" i="55"/>
  <c r="E412" i="55"/>
  <c r="C413" i="55"/>
  <c r="E465" i="55"/>
  <c r="C409" i="55"/>
  <c r="M193" i="47"/>
  <c r="K429" i="47"/>
  <c r="K447" i="47"/>
  <c r="M451" i="47"/>
  <c r="L429" i="47"/>
  <c r="L165" i="47"/>
  <c r="L57" i="47" s="1"/>
  <c r="K188" i="47"/>
  <c r="M230" i="47"/>
  <c r="L737" i="47"/>
  <c r="M854" i="47"/>
  <c r="M932" i="47"/>
  <c r="L929" i="47"/>
  <c r="M944" i="47"/>
  <c r="M20" i="47"/>
  <c r="M27" i="47"/>
  <c r="M29" i="47"/>
  <c r="M190" i="47"/>
  <c r="M229" i="47"/>
  <c r="M465" i="47"/>
  <c r="M702" i="47"/>
  <c r="M764" i="47"/>
  <c r="M853" i="47"/>
  <c r="M36" i="47"/>
  <c r="M205" i="47"/>
  <c r="M245" i="47"/>
  <c r="L38" i="47"/>
  <c r="M388" i="47"/>
  <c r="M394" i="47"/>
  <c r="M30" i="47"/>
  <c r="M158" i="47"/>
  <c r="M239" i="47"/>
  <c r="M462" i="47"/>
  <c r="M463" i="47"/>
  <c r="M471" i="47"/>
  <c r="M656" i="47"/>
  <c r="M663" i="47"/>
  <c r="M666" i="47"/>
  <c r="M721" i="47"/>
  <c r="M164" i="47"/>
  <c r="L468" i="47"/>
  <c r="L692" i="47"/>
  <c r="M931" i="47"/>
  <c r="M943" i="47"/>
  <c r="M40" i="47"/>
  <c r="F75" i="19"/>
  <c r="L163" i="47"/>
  <c r="M163" i="47" s="1"/>
  <c r="K88" i="40" s="1"/>
  <c r="M176" i="47"/>
  <c r="M449" i="47"/>
  <c r="M852" i="47"/>
  <c r="M227" i="47"/>
  <c r="M469" i="47"/>
  <c r="M708" i="47"/>
  <c r="L714" i="47"/>
  <c r="M161" i="47"/>
  <c r="M203" i="47"/>
  <c r="M260" i="47"/>
  <c r="M659" i="47"/>
  <c r="M766" i="47"/>
  <c r="M31" i="47"/>
  <c r="M247" i="47"/>
  <c r="L246" i="47"/>
  <c r="M434" i="47"/>
  <c r="M727" i="47"/>
  <c r="M838" i="47"/>
  <c r="M391" i="47"/>
  <c r="J136" i="35"/>
  <c r="R136" i="35"/>
  <c r="Z136" i="35"/>
  <c r="AH136" i="35"/>
  <c r="AR136" i="35"/>
  <c r="AZ136" i="35"/>
  <c r="M461" i="47"/>
  <c r="M15" i="47"/>
  <c r="M37" i="47"/>
  <c r="M204" i="47"/>
  <c r="M228" i="47"/>
  <c r="M268" i="47"/>
  <c r="M21" i="47"/>
  <c r="M22" i="47"/>
  <c r="M35" i="47"/>
  <c r="M53" i="47"/>
  <c r="M162" i="47"/>
  <c r="M177" i="47"/>
  <c r="M200" i="47"/>
  <c r="M211" i="47"/>
  <c r="M226" i="47"/>
  <c r="M264" i="47"/>
  <c r="L266" i="47"/>
  <c r="M421" i="47"/>
  <c r="K33" i="47"/>
  <c r="L201" i="47"/>
  <c r="L33" i="47"/>
  <c r="M171" i="47"/>
  <c r="M173" i="47"/>
  <c r="M175" i="47"/>
  <c r="M186" i="47"/>
  <c r="M208" i="47"/>
  <c r="M443" i="47"/>
  <c r="K24" i="47"/>
  <c r="M170" i="47"/>
  <c r="L168" i="47"/>
  <c r="M197" i="47"/>
  <c r="M207" i="47"/>
  <c r="M240" i="47"/>
  <c r="M244" i="47"/>
  <c r="M248" i="47"/>
  <c r="L441" i="47"/>
  <c r="M699" i="47"/>
  <c r="M729" i="47"/>
  <c r="M458" i="47"/>
  <c r="M735" i="47"/>
  <c r="M753" i="47"/>
  <c r="L765" i="47"/>
  <c r="M837" i="47"/>
  <c r="M883" i="47"/>
  <c r="M930" i="47"/>
  <c r="M39" i="47"/>
  <c r="M450" i="47"/>
  <c r="M467" i="47"/>
  <c r="M651" i="47"/>
  <c r="M653" i="47"/>
  <c r="M665" i="47"/>
  <c r="M717" i="47"/>
  <c r="M719" i="47"/>
  <c r="L732" i="47"/>
  <c r="M743" i="47"/>
  <c r="M834" i="47"/>
  <c r="M938" i="47"/>
  <c r="M948" i="47"/>
  <c r="M455" i="47"/>
  <c r="M466" i="47"/>
  <c r="M647" i="47"/>
  <c r="M693" i="47"/>
  <c r="M703" i="47"/>
  <c r="M847" i="47"/>
  <c r="M431" i="47"/>
  <c r="M448" i="47"/>
  <c r="K935" i="47"/>
  <c r="M428" i="47"/>
  <c r="M430" i="47"/>
  <c r="L432" i="47"/>
  <c r="M464" i="47"/>
  <c r="K728" i="47"/>
  <c r="M731" i="47"/>
  <c r="L880" i="47"/>
  <c r="M888" i="47"/>
  <c r="L935" i="47"/>
  <c r="M945" i="47"/>
  <c r="F17" i="19"/>
  <c r="BD86" i="35" s="1"/>
  <c r="AT136" i="35"/>
  <c r="N136" i="35"/>
  <c r="AN136" i="35"/>
  <c r="G136" i="35"/>
  <c r="O136" i="35"/>
  <c r="W136" i="35"/>
  <c r="AE136" i="35"/>
  <c r="AO136" i="35"/>
  <c r="AW136" i="35"/>
  <c r="AL136" i="35"/>
  <c r="H136" i="35"/>
  <c r="X136" i="35"/>
  <c r="AP136" i="35"/>
  <c r="T136" i="35"/>
  <c r="F136" i="35"/>
  <c r="AD136" i="35"/>
  <c r="F76" i="19"/>
  <c r="P136" i="35"/>
  <c r="AF136" i="35"/>
  <c r="AX136" i="35"/>
  <c r="I136" i="35"/>
  <c r="Q136" i="35"/>
  <c r="Y136" i="35"/>
  <c r="AG136" i="35"/>
  <c r="AQ136" i="35"/>
  <c r="AY136" i="35"/>
  <c r="K136" i="35"/>
  <c r="S136" i="35"/>
  <c r="AA136" i="35"/>
  <c r="AK136" i="35"/>
  <c r="AS136" i="35"/>
  <c r="BA136" i="35"/>
  <c r="BB136" i="35"/>
  <c r="L136" i="35"/>
  <c r="E136" i="35"/>
  <c r="E138" i="35" s="1"/>
  <c r="M136" i="35"/>
  <c r="U136" i="35"/>
  <c r="AC136" i="35"/>
  <c r="AM136" i="35"/>
  <c r="AU136" i="35"/>
  <c r="AB136" i="35"/>
  <c r="V136" i="35"/>
  <c r="AV136" i="35"/>
  <c r="M16" i="47"/>
  <c r="M34" i="47"/>
  <c r="M54" i="47"/>
  <c r="M189" i="47"/>
  <c r="L188" i="47"/>
  <c r="M697" i="47"/>
  <c r="K696" i="47"/>
  <c r="L696" i="47"/>
  <c r="M698" i="47"/>
  <c r="L14" i="47"/>
  <c r="M23" i="47"/>
  <c r="M52" i="47"/>
  <c r="M259" i="47"/>
  <c r="K156" i="47"/>
  <c r="M249" i="47"/>
  <c r="M255" i="47"/>
  <c r="K254" i="47"/>
  <c r="M254" i="47" s="1"/>
  <c r="K65" i="40" s="1"/>
  <c r="K28" i="47"/>
  <c r="L256" i="47"/>
  <c r="M19" i="47"/>
  <c r="M26" i="47"/>
  <c r="L28" i="47"/>
  <c r="M50" i="47"/>
  <c r="M166" i="47"/>
  <c r="M210" i="47"/>
  <c r="M18" i="47"/>
  <c r="M159" i="47"/>
  <c r="M191" i="47"/>
  <c r="M198" i="47"/>
  <c r="K246" i="47"/>
  <c r="M745" i="47"/>
  <c r="K744" i="47"/>
  <c r="L196" i="47"/>
  <c r="L209" i="47"/>
  <c r="L58" i="47" s="1"/>
  <c r="M423" i="47"/>
  <c r="M694" i="47"/>
  <c r="L744" i="47"/>
  <c r="M187" i="47"/>
  <c r="M185" i="47" s="1"/>
  <c r="K138" i="40" s="1"/>
  <c r="M206" i="47"/>
  <c r="M265" i="47"/>
  <c r="M422" i="47"/>
  <c r="L185" i="47"/>
  <c r="M231" i="47"/>
  <c r="L238" i="47"/>
  <c r="M263" i="47"/>
  <c r="K419" i="47"/>
  <c r="M420" i="47"/>
  <c r="L447" i="47"/>
  <c r="L706" i="47"/>
  <c r="M715" i="47"/>
  <c r="K714" i="47"/>
  <c r="L225" i="47"/>
  <c r="M243" i="47"/>
  <c r="M267" i="47"/>
  <c r="L419" i="47"/>
  <c r="M174" i="47"/>
  <c r="M199" i="47"/>
  <c r="L242" i="47"/>
  <c r="M261" i="47"/>
  <c r="M425" i="47"/>
  <c r="M654" i="47"/>
  <c r="M667" i="47"/>
  <c r="M701" i="47"/>
  <c r="L652" i="47"/>
  <c r="L658" i="47"/>
  <c r="L710" i="47"/>
  <c r="K468" i="47"/>
  <c r="L648" i="47"/>
  <c r="M755" i="47"/>
  <c r="L756" i="47"/>
  <c r="L644" i="47"/>
  <c r="M660" i="47"/>
  <c r="L728" i="47"/>
  <c r="L741" i="47"/>
  <c r="M754" i="47"/>
  <c r="M763" i="47"/>
  <c r="M835" i="47"/>
  <c r="M836" i="47"/>
  <c r="L761" i="47"/>
  <c r="M427" i="47"/>
  <c r="M433" i="47"/>
  <c r="L452" i="47"/>
  <c r="M460" i="47"/>
  <c r="M709" i="47"/>
  <c r="M720" i="47"/>
  <c r="M736" i="47"/>
  <c r="M833" i="47"/>
  <c r="K831" i="47"/>
  <c r="M832" i="47"/>
  <c r="M707" i="47"/>
  <c r="M712" i="47"/>
  <c r="M713" i="47"/>
  <c r="M716" i="47"/>
  <c r="L718" i="47"/>
  <c r="M725" i="47"/>
  <c r="M734" i="47"/>
  <c r="M747" i="47"/>
  <c r="M850" i="47"/>
  <c r="K849" i="47"/>
  <c r="L839" i="47"/>
  <c r="M848" i="47"/>
  <c r="M389" i="47"/>
  <c r="M940" i="47"/>
  <c r="M942" i="47"/>
  <c r="M950" i="47"/>
  <c r="M730" i="47"/>
  <c r="L752" i="47"/>
  <c r="M758" i="47"/>
  <c r="M889" i="47"/>
  <c r="K929" i="47"/>
  <c r="M939" i="47"/>
  <c r="L941" i="47"/>
  <c r="M949" i="47"/>
  <c r="M842" i="47"/>
  <c r="M877" i="47"/>
  <c r="M887" i="47"/>
  <c r="M934" i="47"/>
  <c r="M937" i="47"/>
  <c r="M947" i="47"/>
  <c r="M841" i="47"/>
  <c r="M851" i="47"/>
  <c r="M886" i="47"/>
  <c r="M933" i="47"/>
  <c r="M946" i="47"/>
  <c r="BF78" i="35"/>
  <c r="BC17" i="35"/>
  <c r="BD17" i="35"/>
  <c r="F14" i="19"/>
  <c r="F30" i="19"/>
  <c r="F24" i="19"/>
  <c r="F16" i="19"/>
  <c r="F20" i="19"/>
  <c r="F28" i="19"/>
  <c r="B187" i="53"/>
  <c r="L24" i="47"/>
  <c r="H57" i="47"/>
  <c r="M157" i="47"/>
  <c r="L224" i="47"/>
  <c r="L222" i="47" s="1"/>
  <c r="K224" i="47"/>
  <c r="L48" i="47"/>
  <c r="L156" i="47"/>
  <c r="M169" i="47"/>
  <c r="K168" i="47"/>
  <c r="K185" i="47"/>
  <c r="M49" i="47"/>
  <c r="M202" i="47"/>
  <c r="K201" i="47"/>
  <c r="M56" i="47"/>
  <c r="K14" i="47"/>
  <c r="M160" i="47"/>
  <c r="H58" i="47"/>
  <c r="G58" i="47"/>
  <c r="M25" i="47"/>
  <c r="G57" i="47"/>
  <c r="K196" i="47"/>
  <c r="K178" i="47"/>
  <c r="M178" i="47" s="1"/>
  <c r="K225" i="47"/>
  <c r="K238" i="47"/>
  <c r="K242" i="47"/>
  <c r="K182" i="47"/>
  <c r="M182" i="47" s="1"/>
  <c r="K223" i="47"/>
  <c r="M241" i="47"/>
  <c r="M426" i="47"/>
  <c r="M657" i="47"/>
  <c r="L655" i="47"/>
  <c r="K441" i="47"/>
  <c r="M453" i="47"/>
  <c r="K452" i="47"/>
  <c r="L671" i="47"/>
  <c r="K671" i="47"/>
  <c r="M454" i="47"/>
  <c r="M749" i="47"/>
  <c r="M646" i="47"/>
  <c r="M650" i="47"/>
  <c r="K648" i="47"/>
  <c r="M470" i="47"/>
  <c r="K655" i="47"/>
  <c r="M662" i="47"/>
  <c r="L664" i="47"/>
  <c r="K706" i="47"/>
  <c r="M456" i="47"/>
  <c r="M723" i="47"/>
  <c r="L748" i="47"/>
  <c r="M751" i="47"/>
  <c r="L722" i="47"/>
  <c r="M739" i="47"/>
  <c r="M882" i="47"/>
  <c r="M711" i="47"/>
  <c r="K737" i="47"/>
  <c r="M742" i="47"/>
  <c r="M757" i="47"/>
  <c r="K710" i="47"/>
  <c r="M738" i="47"/>
  <c r="K741" i="47"/>
  <c r="K752" i="47"/>
  <c r="K652" i="47"/>
  <c r="K718" i="47"/>
  <c r="K672" i="47"/>
  <c r="M672" i="47" s="1"/>
  <c r="M724" i="47"/>
  <c r="K871" i="47"/>
  <c r="M936" i="47"/>
  <c r="L926" i="47"/>
  <c r="M840" i="47"/>
  <c r="L849" i="47"/>
  <c r="M846" i="47"/>
  <c r="M879" i="47"/>
  <c r="K839" i="47"/>
  <c r="M845" i="47"/>
  <c r="K890" i="47"/>
  <c r="L890" i="47"/>
  <c r="K765" i="47"/>
  <c r="M767" i="47"/>
  <c r="L831" i="47"/>
  <c r="M844" i="47"/>
  <c r="K927" i="47"/>
  <c r="K941" i="47"/>
  <c r="K928" i="47"/>
  <c r="M928" i="47" s="1"/>
  <c r="L387" i="47"/>
  <c r="BD56" i="57"/>
  <c r="N4" i="55"/>
  <c r="N4" i="52"/>
  <c r="I5" i="19"/>
  <c r="BD4" i="35"/>
  <c r="I4" i="34"/>
  <c r="N1" i="47"/>
  <c r="I4" i="21"/>
  <c r="BC4" i="57"/>
  <c r="I5" i="56"/>
  <c r="L55" i="40" l="1"/>
  <c r="L29" i="40"/>
  <c r="L88" i="40"/>
  <c r="L134" i="40"/>
  <c r="M134" i="40" s="1"/>
  <c r="N134" i="40" s="1"/>
  <c r="L156" i="40"/>
  <c r="M156" i="40" s="1"/>
  <c r="N156" i="40" s="1"/>
  <c r="L65" i="40"/>
  <c r="M65" i="40" s="1"/>
  <c r="N65" i="40" s="1"/>
  <c r="L59" i="40"/>
  <c r="M59" i="40" s="1"/>
  <c r="N59" i="40" s="1"/>
  <c r="L154" i="40"/>
  <c r="M154" i="40" s="1"/>
  <c r="N154" i="40" s="1"/>
  <c r="L186" i="40"/>
  <c r="M186" i="40" s="1"/>
  <c r="N186" i="40" s="1"/>
  <c r="L190" i="40"/>
  <c r="M190" i="40" s="1"/>
  <c r="N190" i="40" s="1"/>
  <c r="L70" i="40"/>
  <c r="M70" i="40" s="1"/>
  <c r="N70" i="40" s="1"/>
  <c r="L197" i="40"/>
  <c r="M197" i="40" s="1"/>
  <c r="N197" i="40" s="1"/>
  <c r="L63" i="40"/>
  <c r="M63" i="40" s="1"/>
  <c r="N63" i="40" s="1"/>
  <c r="L211" i="40"/>
  <c r="L30" i="40"/>
  <c r="L245" i="40"/>
  <c r="L23" i="40"/>
  <c r="L193" i="40"/>
  <c r="M193" i="40" s="1"/>
  <c r="N193" i="40" s="1"/>
  <c r="L34" i="40"/>
  <c r="M34" i="40" s="1"/>
  <c r="N34" i="40" s="1"/>
  <c r="L284" i="40"/>
  <c r="M284" i="40" s="1"/>
  <c r="N284" i="40" s="1"/>
  <c r="L96" i="40"/>
  <c r="M96" i="40" s="1"/>
  <c r="N96" i="40" s="1"/>
  <c r="L301" i="40"/>
  <c r="M301" i="40" s="1"/>
  <c r="N301" i="40" s="1"/>
  <c r="L52" i="40"/>
  <c r="M52" i="40" s="1"/>
  <c r="N52" i="40" s="1"/>
  <c r="L214" i="40"/>
  <c r="M214" i="40" s="1"/>
  <c r="N214" i="40" s="1"/>
  <c r="L234" i="40"/>
  <c r="L218" i="40"/>
  <c r="M218" i="40" s="1"/>
  <c r="N218" i="40" s="1"/>
  <c r="L194" i="40"/>
  <c r="L170" i="40"/>
  <c r="L142" i="40"/>
  <c r="L304" i="40"/>
  <c r="M304" i="40" s="1"/>
  <c r="N304" i="40" s="1"/>
  <c r="L183" i="40"/>
  <c r="M183" i="40" s="1"/>
  <c r="N183" i="40" s="1"/>
  <c r="L184" i="40"/>
  <c r="L295" i="40"/>
  <c r="M295" i="40" s="1"/>
  <c r="N295" i="40" s="1"/>
  <c r="L221" i="40"/>
  <c r="L305" i="40"/>
  <c r="L175" i="40"/>
  <c r="L22" i="40"/>
  <c r="M22" i="40" s="1"/>
  <c r="N22" i="40" s="1"/>
  <c r="L48" i="40"/>
  <c r="L53" i="40"/>
  <c r="L43" i="40"/>
  <c r="L112" i="40"/>
  <c r="M112" i="40" s="1"/>
  <c r="N112" i="40" s="1"/>
  <c r="L120" i="40"/>
  <c r="M120" i="40" s="1"/>
  <c r="N120" i="40" s="1"/>
  <c r="L268" i="40"/>
  <c r="L87" i="40"/>
  <c r="L81" i="40"/>
  <c r="M81" i="40" s="1"/>
  <c r="N81" i="40" s="1"/>
  <c r="L39" i="40"/>
  <c r="L47" i="40"/>
  <c r="L265" i="40"/>
  <c r="M265" i="40" s="1"/>
  <c r="N265" i="40" s="1"/>
  <c r="L185" i="40"/>
  <c r="M185" i="40" s="1"/>
  <c r="N185" i="40" s="1"/>
  <c r="L207" i="40"/>
  <c r="M207" i="40" s="1"/>
  <c r="N207" i="40" s="1"/>
  <c r="L205" i="40"/>
  <c r="M205" i="40" s="1"/>
  <c r="N205" i="40" s="1"/>
  <c r="L145" i="40"/>
  <c r="L44" i="40"/>
  <c r="L192" i="40"/>
  <c r="L270" i="40"/>
  <c r="M270" i="40" s="1"/>
  <c r="N270" i="40" s="1"/>
  <c r="L231" i="40"/>
  <c r="M231" i="40" s="1"/>
  <c r="N231" i="40" s="1"/>
  <c r="L249" i="40"/>
  <c r="M249" i="40" s="1"/>
  <c r="N249" i="40" s="1"/>
  <c r="L179" i="40"/>
  <c r="M179" i="40" s="1"/>
  <c r="N179" i="40" s="1"/>
  <c r="L271" i="40"/>
  <c r="L69" i="40"/>
  <c r="M69" i="40" s="1"/>
  <c r="N69" i="40" s="1"/>
  <c r="L257" i="40"/>
  <c r="L150" i="40"/>
  <c r="L82" i="40"/>
  <c r="M82" i="40" s="1"/>
  <c r="N82" i="40" s="1"/>
  <c r="L94" i="40"/>
  <c r="M94" i="40" s="1"/>
  <c r="N94" i="40" s="1"/>
  <c r="L285" i="40"/>
  <c r="L272" i="40"/>
  <c r="M272" i="40" s="1"/>
  <c r="N272" i="40" s="1"/>
  <c r="L208" i="40"/>
  <c r="L157" i="40"/>
  <c r="L288" i="40"/>
  <c r="M288" i="40" s="1"/>
  <c r="N288" i="40" s="1"/>
  <c r="L291" i="40"/>
  <c r="M291" i="40" s="1"/>
  <c r="N291" i="40" s="1"/>
  <c r="L210" i="40"/>
  <c r="M210" i="40" s="1"/>
  <c r="N210" i="40" s="1"/>
  <c r="L239" i="40"/>
  <c r="L213" i="40"/>
  <c r="L26" i="40"/>
  <c r="M26" i="40" s="1"/>
  <c r="N26" i="40" s="1"/>
  <c r="L133" i="40"/>
  <c r="M133" i="40" s="1"/>
  <c r="N133" i="40" s="1"/>
  <c r="L14" i="40"/>
  <c r="L110" i="40"/>
  <c r="M110" i="40" s="1"/>
  <c r="N110" i="40" s="1"/>
  <c r="L86" i="40"/>
  <c r="M86" i="40" s="1"/>
  <c r="N86" i="40" s="1"/>
  <c r="L61" i="40"/>
  <c r="M61" i="40" s="1"/>
  <c r="N61" i="40" s="1"/>
  <c r="L127" i="40"/>
  <c r="M127" i="40" s="1"/>
  <c r="N127" i="40" s="1"/>
  <c r="L50" i="40"/>
  <c r="M50" i="40" s="1"/>
  <c r="N50" i="40" s="1"/>
  <c r="L140" i="40"/>
  <c r="M140" i="40" s="1"/>
  <c r="N140" i="40" s="1"/>
  <c r="L54" i="40"/>
  <c r="M54" i="40" s="1"/>
  <c r="N54" i="40" s="1"/>
  <c r="L253" i="40"/>
  <c r="M253" i="40" s="1"/>
  <c r="N253" i="40" s="1"/>
  <c r="L84" i="40"/>
  <c r="M84" i="40" s="1"/>
  <c r="N84" i="40" s="1"/>
  <c r="L107" i="40"/>
  <c r="L111" i="40"/>
  <c r="M111" i="40" s="1"/>
  <c r="N111" i="40" s="1"/>
  <c r="L46" i="40"/>
  <c r="L238" i="40"/>
  <c r="M238" i="40" s="1"/>
  <c r="N238" i="40" s="1"/>
  <c r="L151" i="40"/>
  <c r="L166" i="40"/>
  <c r="M166" i="40" s="1"/>
  <c r="N166" i="40" s="1"/>
  <c r="L242" i="40"/>
  <c r="M242" i="40" s="1"/>
  <c r="N242" i="40" s="1"/>
  <c r="L173" i="40"/>
  <c r="L256" i="40"/>
  <c r="L66" i="40"/>
  <c r="M66" i="40" s="1"/>
  <c r="N66" i="40" s="1"/>
  <c r="L172" i="40"/>
  <c r="L248" i="40"/>
  <c r="M248" i="40" s="1"/>
  <c r="N248" i="40" s="1"/>
  <c r="L296" i="40"/>
  <c r="M296" i="40" s="1"/>
  <c r="N296" i="40" s="1"/>
  <c r="L251" i="40"/>
  <c r="M251" i="40" s="1"/>
  <c r="N251" i="40" s="1"/>
  <c r="L294" i="40"/>
  <c r="L116" i="40"/>
  <c r="M116" i="40" s="1"/>
  <c r="N116" i="40" s="1"/>
  <c r="L262" i="40"/>
  <c r="M262" i="40" s="1"/>
  <c r="N262" i="40" s="1"/>
  <c r="L299" i="40"/>
  <c r="L40" i="40"/>
  <c r="L293" i="40"/>
  <c r="L209" i="40"/>
  <c r="M209" i="40" s="1"/>
  <c r="N209" i="40" s="1"/>
  <c r="L292" i="40"/>
  <c r="M292" i="40" s="1"/>
  <c r="N292" i="40" s="1"/>
  <c r="L287" i="40"/>
  <c r="L216" i="40"/>
  <c r="L137" i="40"/>
  <c r="L25" i="40"/>
  <c r="M25" i="40" s="1"/>
  <c r="N25" i="40" s="1"/>
  <c r="L138" i="40"/>
  <c r="M138" i="40" s="1"/>
  <c r="N138" i="40" s="1"/>
  <c r="L38" i="40"/>
  <c r="M38" i="40" s="1"/>
  <c r="N38" i="40" s="1"/>
  <c r="L36" i="40"/>
  <c r="L128" i="40"/>
  <c r="M128" i="40" s="1"/>
  <c r="N128" i="40" s="1"/>
  <c r="L162" i="40"/>
  <c r="M162" i="40" s="1"/>
  <c r="N162" i="40" s="1"/>
  <c r="L108" i="40"/>
  <c r="L71" i="40"/>
  <c r="L76" i="40"/>
  <c r="M76" i="40" s="1"/>
  <c r="N76" i="40" s="1"/>
  <c r="L109" i="40"/>
  <c r="L176" i="40"/>
  <c r="M176" i="40" s="1"/>
  <c r="N176" i="40" s="1"/>
  <c r="L104" i="40"/>
  <c r="M104" i="40" s="1"/>
  <c r="N104" i="40" s="1"/>
  <c r="L223" i="40"/>
  <c r="M223" i="40" s="1"/>
  <c r="N223" i="40" s="1"/>
  <c r="L31" i="40"/>
  <c r="L198" i="40"/>
  <c r="M198" i="40" s="1"/>
  <c r="N198" i="40" s="1"/>
  <c r="L21" i="40"/>
  <c r="L115" i="40"/>
  <c r="M115" i="40" s="1"/>
  <c r="N115" i="40" s="1"/>
  <c r="L164" i="40"/>
  <c r="L243" i="40"/>
  <c r="M243" i="40" s="1"/>
  <c r="N243" i="40" s="1"/>
  <c r="L281" i="40"/>
  <c r="L255" i="40"/>
  <c r="L181" i="40"/>
  <c r="L56" i="40"/>
  <c r="L125" i="40"/>
  <c r="M125" i="40" s="1"/>
  <c r="N125" i="40" s="1"/>
  <c r="L62" i="40"/>
  <c r="L263" i="40"/>
  <c r="L222" i="40"/>
  <c r="L72" i="40"/>
  <c r="M72" i="40" s="1"/>
  <c r="N72" i="40" s="1"/>
  <c r="L182" i="40"/>
  <c r="L144" i="40"/>
  <c r="M144" i="40" s="1"/>
  <c r="N144" i="40" s="1"/>
  <c r="L225" i="40"/>
  <c r="L297" i="40"/>
  <c r="L283" i="40"/>
  <c r="M283" i="40" s="1"/>
  <c r="N283" i="40" s="1"/>
  <c r="L273" i="40"/>
  <c r="M273" i="40" s="1"/>
  <c r="N273" i="40" s="1"/>
  <c r="L188" i="40"/>
  <c r="L136" i="40"/>
  <c r="L93" i="40"/>
  <c r="L41" i="40"/>
  <c r="M41" i="40" s="1"/>
  <c r="N41" i="40" s="1"/>
  <c r="L13" i="40"/>
  <c r="L79" i="40"/>
  <c r="M79" i="40" s="1"/>
  <c r="N79" i="40" s="1"/>
  <c r="L123" i="40"/>
  <c r="M123" i="40" s="1"/>
  <c r="N123" i="40" s="1"/>
  <c r="L51" i="40"/>
  <c r="M51" i="40" s="1"/>
  <c r="N51" i="40" s="1"/>
  <c r="L95" i="40"/>
  <c r="L143" i="40"/>
  <c r="M143" i="40" s="1"/>
  <c r="N143" i="40" s="1"/>
  <c r="L146" i="40"/>
  <c r="M146" i="40" s="1"/>
  <c r="N146" i="40" s="1"/>
  <c r="L160" i="40"/>
  <c r="M160" i="40" s="1"/>
  <c r="N160" i="40" s="1"/>
  <c r="L130" i="40"/>
  <c r="M130" i="40" s="1"/>
  <c r="N130" i="40" s="1"/>
  <c r="L57" i="40"/>
  <c r="M57" i="40" s="1"/>
  <c r="N57" i="40" s="1"/>
  <c r="L196" i="40"/>
  <c r="M196" i="40" s="1"/>
  <c r="N196" i="40" s="1"/>
  <c r="L20" i="40"/>
  <c r="L74" i="40"/>
  <c r="M74" i="40" s="1"/>
  <c r="N74" i="40" s="1"/>
  <c r="L78" i="40"/>
  <c r="M78" i="40" s="1"/>
  <c r="N78" i="40" s="1"/>
  <c r="L203" i="40"/>
  <c r="L275" i="40"/>
  <c r="L191" i="40"/>
  <c r="M191" i="40" s="1"/>
  <c r="N191" i="40" s="1"/>
  <c r="L149" i="40"/>
  <c r="L152" i="40"/>
  <c r="M152" i="40" s="1"/>
  <c r="N152" i="40" s="1"/>
  <c r="L45" i="40"/>
  <c r="M45" i="40" s="1"/>
  <c r="N45" i="40" s="1"/>
  <c r="L49" i="40"/>
  <c r="L100" i="40"/>
  <c r="M100" i="40" s="1"/>
  <c r="N100" i="40" s="1"/>
  <c r="L228" i="40"/>
  <c r="M228" i="40" s="1"/>
  <c r="N228" i="40" s="1"/>
  <c r="L237" i="40"/>
  <c r="L246" i="40"/>
  <c r="M246" i="40" s="1"/>
  <c r="N246" i="40" s="1"/>
  <c r="L75" i="40"/>
  <c r="L180" i="40"/>
  <c r="L101" i="40"/>
  <c r="L266" i="40"/>
  <c r="M266" i="40" s="1"/>
  <c r="N266" i="40" s="1"/>
  <c r="L118" i="40"/>
  <c r="M118" i="40" s="1"/>
  <c r="N118" i="40" s="1"/>
  <c r="L19" i="40"/>
  <c r="M19" i="40" s="1"/>
  <c r="N19" i="40" s="1"/>
  <c r="L147" i="40"/>
  <c r="M147" i="40" s="1"/>
  <c r="N147" i="40" s="1"/>
  <c r="L121" i="40"/>
  <c r="M121" i="40" s="1"/>
  <c r="N121" i="40" s="1"/>
  <c r="L85" i="40"/>
  <c r="L132" i="40"/>
  <c r="M132" i="40" s="1"/>
  <c r="N132" i="40" s="1"/>
  <c r="L32" i="40"/>
  <c r="M32" i="40" s="1"/>
  <c r="N32" i="40" s="1"/>
  <c r="L60" i="40"/>
  <c r="M60" i="40" s="1"/>
  <c r="N60" i="40" s="1"/>
  <c r="L58" i="40"/>
  <c r="M58" i="40" s="1"/>
  <c r="N58" i="40" s="1"/>
  <c r="L102" i="40"/>
  <c r="M102" i="40" s="1"/>
  <c r="N102" i="40" s="1"/>
  <c r="L230" i="40"/>
  <c r="M230" i="40" s="1"/>
  <c r="N230" i="40" s="1"/>
  <c r="L233" i="40"/>
  <c r="M233" i="40" s="1"/>
  <c r="N233" i="40" s="1"/>
  <c r="L18" i="40"/>
  <c r="L92" i="40"/>
  <c r="M92" i="40" s="1"/>
  <c r="N92" i="40" s="1"/>
  <c r="L224" i="40"/>
  <c r="M224" i="40" s="1"/>
  <c r="N224" i="40" s="1"/>
  <c r="L129" i="40"/>
  <c r="L117" i="40"/>
  <c r="L171" i="40"/>
  <c r="L37" i="40"/>
  <c r="M37" i="40" s="1"/>
  <c r="N37" i="40" s="1"/>
  <c r="L226" i="40"/>
  <c r="L259" i="40"/>
  <c r="L83" i="40"/>
  <c r="M83" i="40" s="1"/>
  <c r="N83" i="40" s="1"/>
  <c r="L189" i="40"/>
  <c r="L167" i="40"/>
  <c r="L261" i="40"/>
  <c r="M261" i="40" s="1"/>
  <c r="N261" i="40" s="1"/>
  <c r="L267" i="40"/>
  <c r="L236" i="40"/>
  <c r="L77" i="40"/>
  <c r="M77" i="40" s="1"/>
  <c r="N77" i="40" s="1"/>
  <c r="L67" i="40"/>
  <c r="L240" i="40"/>
  <c r="M240" i="40" s="1"/>
  <c r="N240" i="40" s="1"/>
  <c r="L247" i="40"/>
  <c r="L220" i="40"/>
  <c r="L280" i="40"/>
  <c r="M280" i="40" s="1"/>
  <c r="N280" i="40" s="1"/>
  <c r="L201" i="40"/>
  <c r="M201" i="40" s="1"/>
  <c r="N201" i="40" s="1"/>
  <c r="L300" i="40"/>
  <c r="L165" i="40"/>
  <c r="L17" i="40"/>
  <c r="L103" i="40"/>
  <c r="M103" i="40" s="1"/>
  <c r="N103" i="40" s="1"/>
  <c r="L35" i="40"/>
  <c r="M35" i="40" s="1"/>
  <c r="N35" i="40" s="1"/>
  <c r="L105" i="40"/>
  <c r="M105" i="40" s="1"/>
  <c r="N105" i="40" s="1"/>
  <c r="L80" i="40"/>
  <c r="L89" i="40"/>
  <c r="L73" i="40"/>
  <c r="M73" i="40" s="1"/>
  <c r="N73" i="40" s="1"/>
  <c r="L148" i="40"/>
  <c r="L282" i="40"/>
  <c r="L279" i="40"/>
  <c r="M279" i="40" s="1"/>
  <c r="N279" i="40" s="1"/>
  <c r="L98" i="40"/>
  <c r="M98" i="40" s="1"/>
  <c r="N98" i="40" s="1"/>
  <c r="L202" i="40"/>
  <c r="L91" i="40"/>
  <c r="L155" i="40"/>
  <c r="L178" i="40"/>
  <c r="M178" i="40" s="1"/>
  <c r="N178" i="40" s="1"/>
  <c r="L177" i="40"/>
  <c r="M177" i="40" s="1"/>
  <c r="N177" i="40" s="1"/>
  <c r="L199" i="40"/>
  <c r="M199" i="40" s="1"/>
  <c r="N199" i="40" s="1"/>
  <c r="L158" i="40"/>
  <c r="M158" i="40" s="1"/>
  <c r="N158" i="40" s="1"/>
  <c r="L159" i="40"/>
  <c r="L244" i="40"/>
  <c r="M244" i="40" s="1"/>
  <c r="N244" i="40" s="1"/>
  <c r="L215" i="40"/>
  <c r="L227" i="40"/>
  <c r="M227" i="40" s="1"/>
  <c r="N227" i="40" s="1"/>
  <c r="L64" i="40"/>
  <c r="L124" i="40"/>
  <c r="L229" i="40"/>
  <c r="L219" i="40"/>
  <c r="M219" i="40" s="1"/>
  <c r="N219" i="40" s="1"/>
  <c r="L99" i="40"/>
  <c r="L289" i="40"/>
  <c r="L90" i="40"/>
  <c r="L106" i="40"/>
  <c r="L286" i="40"/>
  <c r="M286" i="40" s="1"/>
  <c r="N286" i="40" s="1"/>
  <c r="L277" i="40"/>
  <c r="M277" i="40" s="1"/>
  <c r="N277" i="40" s="1"/>
  <c r="L204" i="40"/>
  <c r="L306" i="40"/>
  <c r="M306" i="40" s="1"/>
  <c r="N306" i="40" s="1"/>
  <c r="L269" i="40"/>
  <c r="M269" i="40" s="1"/>
  <c r="N269" i="40" s="1"/>
  <c r="L258" i="40"/>
  <c r="L200" i="40"/>
  <c r="L187" i="40"/>
  <c r="L33" i="40"/>
  <c r="M33" i="40" s="1"/>
  <c r="N33" i="40" s="1"/>
  <c r="L42" i="40"/>
  <c r="L114" i="40"/>
  <c r="M114" i="40" s="1"/>
  <c r="N114" i="40" s="1"/>
  <c r="L126" i="40"/>
  <c r="M126" i="40" s="1"/>
  <c r="N126" i="40" s="1"/>
  <c r="L141" i="40"/>
  <c r="M141" i="40" s="1"/>
  <c r="N141" i="40" s="1"/>
  <c r="L28" i="40"/>
  <c r="L97" i="40"/>
  <c r="M97" i="40" s="1"/>
  <c r="N97" i="40" s="1"/>
  <c r="L12" i="40"/>
  <c r="L27" i="40"/>
  <c r="M27" i="40" s="1"/>
  <c r="N27" i="40" s="1"/>
  <c r="L235" i="40"/>
  <c r="M235" i="40" s="1"/>
  <c r="N235" i="40" s="1"/>
  <c r="L174" i="40"/>
  <c r="M174" i="40" s="1"/>
  <c r="N174" i="40" s="1"/>
  <c r="L119" i="40"/>
  <c r="L15" i="40"/>
  <c r="L206" i="40"/>
  <c r="M206" i="40" s="1"/>
  <c r="N206" i="40" s="1"/>
  <c r="L16" i="40"/>
  <c r="L169" i="40"/>
  <c r="M169" i="40" s="1"/>
  <c r="N169" i="40" s="1"/>
  <c r="L168" i="40"/>
  <c r="M168" i="40" s="1"/>
  <c r="N168" i="40" s="1"/>
  <c r="L232" i="40"/>
  <c r="L264" i="40"/>
  <c r="L135" i="40"/>
  <c r="L131" i="40"/>
  <c r="L274" i="40"/>
  <c r="M274" i="40" s="1"/>
  <c r="N274" i="40" s="1"/>
  <c r="L195" i="40"/>
  <c r="M195" i="40" s="1"/>
  <c r="N195" i="40" s="1"/>
  <c r="L122" i="40"/>
  <c r="L241" i="40"/>
  <c r="M241" i="40" s="1"/>
  <c r="N241" i="40" s="1"/>
  <c r="L212" i="40"/>
  <c r="M212" i="40" s="1"/>
  <c r="N212" i="40" s="1"/>
  <c r="L153" i="40"/>
  <c r="L254" i="40"/>
  <c r="L68" i="40"/>
  <c r="L276" i="40"/>
  <c r="M276" i="40" s="1"/>
  <c r="N276" i="40" s="1"/>
  <c r="L302" i="40"/>
  <c r="M302" i="40" s="1"/>
  <c r="N302" i="40" s="1"/>
  <c r="L113" i="40"/>
  <c r="L307" i="40"/>
  <c r="M307" i="40" s="1"/>
  <c r="N307" i="40" s="1"/>
  <c r="L217" i="40"/>
  <c r="M217" i="40" s="1"/>
  <c r="N217" i="40" s="1"/>
  <c r="L250" i="40"/>
  <c r="L161" i="40"/>
  <c r="L298" i="40"/>
  <c r="L139" i="40"/>
  <c r="M139" i="40" s="1"/>
  <c r="N139" i="40" s="1"/>
  <c r="L290" i="40"/>
  <c r="M290" i="40" s="1"/>
  <c r="N290" i="40" s="1"/>
  <c r="L260" i="40"/>
  <c r="M260" i="40" s="1"/>
  <c r="N260" i="40" s="1"/>
  <c r="L252" i="40"/>
  <c r="M252" i="40" s="1"/>
  <c r="N252" i="40" s="1"/>
  <c r="L163" i="40"/>
  <c r="L278" i="40"/>
  <c r="M278" i="40" s="1"/>
  <c r="N278" i="40" s="1"/>
  <c r="L303" i="40"/>
  <c r="M303" i="40" s="1"/>
  <c r="N303" i="40" s="1"/>
  <c r="M14" i="40"/>
  <c r="N14" i="40" s="1"/>
  <c r="M88" i="40"/>
  <c r="N88" i="40" s="1"/>
  <c r="M31" i="40"/>
  <c r="N31" i="40" s="1"/>
  <c r="M294" i="40"/>
  <c r="N294" i="40" s="1"/>
  <c r="M187" i="40"/>
  <c r="N187" i="40" s="1"/>
  <c r="K44" i="40"/>
  <c r="K23" i="40"/>
  <c r="M23" i="40" s="1"/>
  <c r="N23" i="40" s="1"/>
  <c r="K200" i="40"/>
  <c r="K239" i="40"/>
  <c r="M239" i="40" s="1"/>
  <c r="N239" i="40" s="1"/>
  <c r="K117" i="40"/>
  <c r="M117" i="40" s="1"/>
  <c r="N117" i="40" s="1"/>
  <c r="K331" i="55"/>
  <c r="I362" i="55"/>
  <c r="I51" i="55"/>
  <c r="K13" i="40"/>
  <c r="K180" i="40"/>
  <c r="K43" i="40"/>
  <c r="K30" i="40"/>
  <c r="K47" i="40"/>
  <c r="K271" i="40"/>
  <c r="M271" i="40" s="1"/>
  <c r="N271" i="40" s="1"/>
  <c r="K75" i="40"/>
  <c r="M75" i="40" s="1"/>
  <c r="N75" i="40" s="1"/>
  <c r="K87" i="40"/>
  <c r="M87" i="40" s="1"/>
  <c r="N87" i="40" s="1"/>
  <c r="K275" i="40"/>
  <c r="M275" i="40" s="1"/>
  <c r="N275" i="40" s="1"/>
  <c r="K305" i="40"/>
  <c r="M305" i="40" s="1"/>
  <c r="N305" i="40" s="1"/>
  <c r="K254" i="40"/>
  <c r="K247" i="40"/>
  <c r="M247" i="40" s="1"/>
  <c r="N247" i="40" s="1"/>
  <c r="K39" i="40"/>
  <c r="M39" i="40" s="1"/>
  <c r="N39" i="40" s="1"/>
  <c r="K20" i="40"/>
  <c r="K175" i="40"/>
  <c r="M175" i="40" s="1"/>
  <c r="N175" i="40" s="1"/>
  <c r="K256" i="40"/>
  <c r="M256" i="40" s="1"/>
  <c r="N256" i="40" s="1"/>
  <c r="K173" i="40"/>
  <c r="K282" i="40"/>
  <c r="M282" i="40" s="1"/>
  <c r="N282" i="40" s="1"/>
  <c r="H354" i="55"/>
  <c r="H357" i="55"/>
  <c r="I313" i="55"/>
  <c r="K159" i="40"/>
  <c r="K64" i="40"/>
  <c r="M64" i="40" s="1"/>
  <c r="N64" i="40" s="1"/>
  <c r="K192" i="40"/>
  <c r="M192" i="40" s="1"/>
  <c r="N192" i="40" s="1"/>
  <c r="K15" i="40"/>
  <c r="K155" i="40"/>
  <c r="M155" i="40" s="1"/>
  <c r="N155" i="40" s="1"/>
  <c r="K167" i="40"/>
  <c r="M167" i="40" s="1"/>
  <c r="N167" i="40" s="1"/>
  <c r="K289" i="40"/>
  <c r="M289" i="40" s="1"/>
  <c r="N289" i="40" s="1"/>
  <c r="K267" i="40"/>
  <c r="M267" i="40" s="1"/>
  <c r="N267" i="40" s="1"/>
  <c r="K64" i="55"/>
  <c r="H345" i="55"/>
  <c r="K354" i="55"/>
  <c r="H334" i="55"/>
  <c r="I312" i="55"/>
  <c r="K90" i="40"/>
  <c r="M90" i="40" s="1"/>
  <c r="N90" i="40" s="1"/>
  <c r="K36" i="40"/>
  <c r="M36" i="40" s="1"/>
  <c r="N36" i="40" s="1"/>
  <c r="K194" i="40"/>
  <c r="M194" i="40" s="1"/>
  <c r="N194" i="40" s="1"/>
  <c r="K62" i="40"/>
  <c r="K49" i="40"/>
  <c r="M49" i="40" s="1"/>
  <c r="N49" i="40" s="1"/>
  <c r="K203" i="40"/>
  <c r="M203" i="40" s="1"/>
  <c r="N203" i="40" s="1"/>
  <c r="K42" i="40"/>
  <c r="K263" i="40"/>
  <c r="K107" i="40"/>
  <c r="M107" i="40" s="1"/>
  <c r="N107" i="40" s="1"/>
  <c r="H347" i="55"/>
  <c r="H341" i="55"/>
  <c r="I356" i="55"/>
  <c r="K215" i="40"/>
  <c r="M215" i="40" s="1"/>
  <c r="N215" i="40" s="1"/>
  <c r="K297" i="40"/>
  <c r="M297" i="40" s="1"/>
  <c r="N297" i="40" s="1"/>
  <c r="K151" i="40"/>
  <c r="M151" i="40" s="1"/>
  <c r="N151" i="40" s="1"/>
  <c r="K80" i="40"/>
  <c r="M80" i="40" s="1"/>
  <c r="N80" i="40" s="1"/>
  <c r="K68" i="40"/>
  <c r="K17" i="40"/>
  <c r="M17" i="40" s="1"/>
  <c r="N17" i="40" s="1"/>
  <c r="K182" i="40"/>
  <c r="M182" i="40" s="1"/>
  <c r="N182" i="40" s="1"/>
  <c r="K287" i="40"/>
  <c r="M287" i="40" s="1"/>
  <c r="N287" i="40" s="1"/>
  <c r="H64" i="55"/>
  <c r="K293" i="40"/>
  <c r="M293" i="40" s="1"/>
  <c r="N293" i="40" s="1"/>
  <c r="K129" i="40"/>
  <c r="M129" i="40" s="1"/>
  <c r="N129" i="40" s="1"/>
  <c r="K234" i="40"/>
  <c r="M234" i="40" s="1"/>
  <c r="N234" i="40" s="1"/>
  <c r="K131" i="40"/>
  <c r="K18" i="40"/>
  <c r="M18" i="40" s="1"/>
  <c r="N18" i="40" s="1"/>
  <c r="K184" i="40"/>
  <c r="K225" i="40"/>
  <c r="M225" i="40" s="1"/>
  <c r="N225" i="40" s="1"/>
  <c r="K220" i="40"/>
  <c r="M220" i="40" s="1"/>
  <c r="N220" i="40" s="1"/>
  <c r="K56" i="40"/>
  <c r="I64" i="55"/>
  <c r="L133" i="55"/>
  <c r="M133" i="55" s="1"/>
  <c r="N133" i="55" s="1"/>
  <c r="Q133" i="55" s="1"/>
  <c r="L39" i="55"/>
  <c r="M39" i="55" s="1"/>
  <c r="N39" i="55" s="1"/>
  <c r="Q39" i="55" s="1"/>
  <c r="L292" i="55"/>
  <c r="M292" i="55" s="1"/>
  <c r="N292" i="55" s="1"/>
  <c r="Q292" i="55" s="1"/>
  <c r="L271" i="55"/>
  <c r="M271" i="55" s="1"/>
  <c r="N271" i="55" s="1"/>
  <c r="Q271" i="55" s="1"/>
  <c r="L402" i="55"/>
  <c r="M402" i="55" s="1"/>
  <c r="N402" i="55" s="1"/>
  <c r="Q402" i="55" s="1"/>
  <c r="L149" i="55"/>
  <c r="L346" i="55"/>
  <c r="M346" i="55" s="1"/>
  <c r="N346" i="55" s="1"/>
  <c r="Q346" i="55" s="1"/>
  <c r="L220" i="55"/>
  <c r="L78" i="55"/>
  <c r="M78" i="55" s="1"/>
  <c r="N78" i="55" s="1"/>
  <c r="Q78" i="55" s="1"/>
  <c r="L102" i="55"/>
  <c r="M102" i="55" s="1"/>
  <c r="N102" i="55" s="1"/>
  <c r="Q102" i="55" s="1"/>
  <c r="L314" i="55"/>
  <c r="L431" i="55"/>
  <c r="M431" i="55" s="1"/>
  <c r="N431" i="55" s="1"/>
  <c r="Q431" i="55" s="1"/>
  <c r="L156" i="55"/>
  <c r="L122" i="55"/>
  <c r="M122" i="55" s="1"/>
  <c r="N122" i="55" s="1"/>
  <c r="Q122" i="55" s="1"/>
  <c r="L276" i="55"/>
  <c r="L247" i="55"/>
  <c r="M247" i="55" s="1"/>
  <c r="N247" i="55" s="1"/>
  <c r="Q247" i="55" s="1"/>
  <c r="L378" i="55"/>
  <c r="L195" i="55"/>
  <c r="M195" i="55" s="1"/>
  <c r="N195" i="55" s="1"/>
  <c r="Q195" i="55" s="1"/>
  <c r="L422" i="55"/>
  <c r="M422" i="55" s="1"/>
  <c r="N422" i="55" s="1"/>
  <c r="Q422" i="55" s="1"/>
  <c r="L126" i="55"/>
  <c r="M126" i="55" s="1"/>
  <c r="N126" i="55" s="1"/>
  <c r="Q126" i="55" s="1"/>
  <c r="L420" i="55"/>
  <c r="M420" i="55" s="1"/>
  <c r="N420" i="55" s="1"/>
  <c r="Q420" i="55" s="1"/>
  <c r="L65" i="55"/>
  <c r="M65" i="55" s="1"/>
  <c r="N65" i="55" s="1"/>
  <c r="Q65" i="55" s="1"/>
  <c r="K475" i="55"/>
  <c r="L237" i="55"/>
  <c r="M237" i="55" s="1"/>
  <c r="N237" i="55" s="1"/>
  <c r="Q237" i="55" s="1"/>
  <c r="L60" i="55"/>
  <c r="L92" i="55"/>
  <c r="M92" i="55" s="1"/>
  <c r="N92" i="55" s="1"/>
  <c r="Q92" i="55" s="1"/>
  <c r="L72" i="55"/>
  <c r="M72" i="55" s="1"/>
  <c r="N72" i="55" s="1"/>
  <c r="Q72" i="55" s="1"/>
  <c r="L291" i="55"/>
  <c r="M291" i="55" s="1"/>
  <c r="N291" i="55" s="1"/>
  <c r="Q291" i="55" s="1"/>
  <c r="L293" i="55"/>
  <c r="L453" i="55"/>
  <c r="L153" i="55"/>
  <c r="L112" i="55"/>
  <c r="M112" i="55" s="1"/>
  <c r="N112" i="55" s="1"/>
  <c r="Q112" i="55" s="1"/>
  <c r="L430" i="55"/>
  <c r="M430" i="55" s="1"/>
  <c r="N430" i="55" s="1"/>
  <c r="Q430" i="55" s="1"/>
  <c r="L86" i="55"/>
  <c r="L47" i="55"/>
  <c r="M47" i="55" s="1"/>
  <c r="N47" i="55" s="1"/>
  <c r="Q47" i="55" s="1"/>
  <c r="L26" i="55"/>
  <c r="M26" i="55" s="1"/>
  <c r="N26" i="55" s="1"/>
  <c r="Q26" i="55" s="1"/>
  <c r="L300" i="55"/>
  <c r="L454" i="55"/>
  <c r="L259" i="55"/>
  <c r="M259" i="55" s="1"/>
  <c r="N259" i="55" s="1"/>
  <c r="Q259" i="55" s="1"/>
  <c r="L390" i="55"/>
  <c r="L160" i="55"/>
  <c r="M160" i="55" s="1"/>
  <c r="N160" i="55" s="1"/>
  <c r="Q160" i="55" s="1"/>
  <c r="L49" i="55"/>
  <c r="L68" i="55"/>
  <c r="M68" i="55" s="1"/>
  <c r="N68" i="55" s="1"/>
  <c r="Q68" i="55" s="1"/>
  <c r="L21" i="55"/>
  <c r="L358" i="55"/>
  <c r="L96" i="55"/>
  <c r="M96" i="55" s="1"/>
  <c r="N96" i="55" s="1"/>
  <c r="Q96" i="55" s="1"/>
  <c r="L224" i="55"/>
  <c r="L307" i="55"/>
  <c r="L18" i="55"/>
  <c r="M18" i="55" s="1"/>
  <c r="N18" i="55" s="1"/>
  <c r="Q18" i="55" s="1"/>
  <c r="L23" i="55"/>
  <c r="L255" i="55"/>
  <c r="L387" i="55"/>
  <c r="M387" i="55" s="1"/>
  <c r="N387" i="55" s="1"/>
  <c r="Q387" i="55" s="1"/>
  <c r="L199" i="55"/>
  <c r="L204" i="55"/>
  <c r="L138" i="55"/>
  <c r="L455" i="55"/>
  <c r="L449" i="55"/>
  <c r="L287" i="55"/>
  <c r="M287" i="55" s="1"/>
  <c r="N287" i="55" s="1"/>
  <c r="L190" i="55"/>
  <c r="M190" i="55" s="1"/>
  <c r="N190" i="55" s="1"/>
  <c r="Q190" i="55" s="1"/>
  <c r="L29" i="55"/>
  <c r="L225" i="55"/>
  <c r="M225" i="55" s="1"/>
  <c r="N225" i="55" s="1"/>
  <c r="Q225" i="55" s="1"/>
  <c r="L198" i="55"/>
  <c r="M198" i="55" s="1"/>
  <c r="N198" i="55" s="1"/>
  <c r="Q198" i="55" s="1"/>
  <c r="L269" i="55"/>
  <c r="M269" i="55" s="1"/>
  <c r="N269" i="55" s="1"/>
  <c r="Q269" i="55" s="1"/>
  <c r="L32" i="55"/>
  <c r="L177" i="55"/>
  <c r="L466" i="55"/>
  <c r="L170" i="55"/>
  <c r="L53" i="55"/>
  <c r="L296" i="55"/>
  <c r="L306" i="55"/>
  <c r="L289" i="55"/>
  <c r="M289" i="55" s="1"/>
  <c r="N289" i="55" s="1"/>
  <c r="Q289" i="55" s="1"/>
  <c r="L465" i="55"/>
  <c r="L303" i="55"/>
  <c r="M303" i="55" s="1"/>
  <c r="N303" i="55" s="1"/>
  <c r="Q303" i="55" s="1"/>
  <c r="L136" i="55"/>
  <c r="L295" i="55"/>
  <c r="L412" i="55"/>
  <c r="M412" i="55" s="1"/>
  <c r="N412" i="55" s="1"/>
  <c r="Q412" i="55" s="1"/>
  <c r="L144" i="55"/>
  <c r="L461" i="55"/>
  <c r="M461" i="55" s="1"/>
  <c r="N461" i="55" s="1"/>
  <c r="Q461" i="55" s="1"/>
  <c r="L158" i="55"/>
  <c r="L35" i="55"/>
  <c r="L223" i="55"/>
  <c r="L84" i="55"/>
  <c r="M84" i="55" s="1"/>
  <c r="N84" i="55" s="1"/>
  <c r="Q84" i="55" s="1"/>
  <c r="L331" i="55"/>
  <c r="L299" i="55"/>
  <c r="M299" i="55" s="1"/>
  <c r="N299" i="55" s="1"/>
  <c r="Q299" i="55" s="1"/>
  <c r="L274" i="55"/>
  <c r="L304" i="55"/>
  <c r="M304" i="55" s="1"/>
  <c r="N304" i="55" s="1"/>
  <c r="Q304" i="55" s="1"/>
  <c r="L312" i="55"/>
  <c r="L154" i="55"/>
  <c r="L418" i="55"/>
  <c r="L263" i="55"/>
  <c r="M263" i="55" s="1"/>
  <c r="N263" i="55" s="1"/>
  <c r="Q263" i="55" s="1"/>
  <c r="L381" i="55"/>
  <c r="M381" i="55" s="1"/>
  <c r="N381" i="55" s="1"/>
  <c r="Q381" i="55" s="1"/>
  <c r="L207" i="55"/>
  <c r="L468" i="55"/>
  <c r="M468" i="55" s="1"/>
  <c r="N468" i="55" s="1"/>
  <c r="Q468" i="55" s="1"/>
  <c r="L435" i="55"/>
  <c r="M435" i="55" s="1"/>
  <c r="N435" i="55" s="1"/>
  <c r="Q435" i="55" s="1"/>
  <c r="L462" i="55"/>
  <c r="M462" i="55" s="1"/>
  <c r="N462" i="55" s="1"/>
  <c r="Q462" i="55" s="1"/>
  <c r="L329" i="55"/>
  <c r="L140" i="55"/>
  <c r="M140" i="55" s="1"/>
  <c r="N140" i="55" s="1"/>
  <c r="Q140" i="55" s="1"/>
  <c r="L228" i="55"/>
  <c r="L171" i="55"/>
  <c r="L183" i="55"/>
  <c r="M183" i="55" s="1"/>
  <c r="N183" i="55" s="1"/>
  <c r="Q183" i="55" s="1"/>
  <c r="L71" i="55"/>
  <c r="M71" i="55" s="1"/>
  <c r="N71" i="55" s="1"/>
  <c r="Q71" i="55" s="1"/>
  <c r="L301" i="55"/>
  <c r="M301" i="55" s="1"/>
  <c r="N301" i="55" s="1"/>
  <c r="Q301" i="55" s="1"/>
  <c r="L473" i="55"/>
  <c r="L302" i="55"/>
  <c r="L24" i="55"/>
  <c r="L79" i="55"/>
  <c r="M79" i="55" s="1"/>
  <c r="N79" i="55" s="1"/>
  <c r="Q79" i="55" s="1"/>
  <c r="L463" i="55"/>
  <c r="L408" i="55"/>
  <c r="M408" i="55" s="1"/>
  <c r="N408" i="55" s="1"/>
  <c r="Q408" i="55" s="1"/>
  <c r="L146" i="55"/>
  <c r="L76" i="55"/>
  <c r="M76" i="55" s="1"/>
  <c r="N76" i="55" s="1"/>
  <c r="Q76" i="55" s="1"/>
  <c r="L308" i="55"/>
  <c r="L238" i="55"/>
  <c r="L179" i="55"/>
  <c r="M179" i="55" s="1"/>
  <c r="N179" i="55" s="1"/>
  <c r="Q179" i="55" s="1"/>
  <c r="L456" i="55"/>
  <c r="L445" i="55"/>
  <c r="M445" i="55" s="1"/>
  <c r="N445" i="55" s="1"/>
  <c r="Q445" i="55" s="1"/>
  <c r="L320" i="55"/>
  <c r="L338" i="55"/>
  <c r="M338" i="55" s="1"/>
  <c r="N338" i="55" s="1"/>
  <c r="Q338" i="55" s="1"/>
  <c r="L290" i="55"/>
  <c r="M290" i="55" s="1"/>
  <c r="N290" i="55" s="1"/>
  <c r="Q290" i="55" s="1"/>
  <c r="L115" i="55"/>
  <c r="M115" i="55" s="1"/>
  <c r="N115" i="55" s="1"/>
  <c r="Q115" i="55" s="1"/>
  <c r="L106" i="55"/>
  <c r="M106" i="55" s="1"/>
  <c r="N106" i="55" s="1"/>
  <c r="Q106" i="55" s="1"/>
  <c r="L214" i="55"/>
  <c r="M214" i="55" s="1"/>
  <c r="N214" i="55" s="1"/>
  <c r="Q214" i="55" s="1"/>
  <c r="L123" i="55"/>
  <c r="M123" i="55" s="1"/>
  <c r="N123" i="55" s="1"/>
  <c r="Q123" i="55" s="1"/>
  <c r="L219" i="55"/>
  <c r="L73" i="55"/>
  <c r="M73" i="55" s="1"/>
  <c r="N73" i="55" s="1"/>
  <c r="Q73" i="55" s="1"/>
  <c r="L217" i="55"/>
  <c r="L279" i="55"/>
  <c r="L94" i="55"/>
  <c r="M94" i="55" s="1"/>
  <c r="N94" i="55" s="1"/>
  <c r="Q94" i="55" s="1"/>
  <c r="L191" i="55"/>
  <c r="M191" i="55" s="1"/>
  <c r="N191" i="55" s="1"/>
  <c r="L410" i="55"/>
  <c r="M410" i="55" s="1"/>
  <c r="N410" i="55" s="1"/>
  <c r="Q410" i="55" s="1"/>
  <c r="L157" i="55"/>
  <c r="L316" i="55"/>
  <c r="M316" i="55" s="1"/>
  <c r="N316" i="55" s="1"/>
  <c r="Q316" i="55" s="1"/>
  <c r="L101" i="55"/>
  <c r="M101" i="55" s="1"/>
  <c r="N101" i="55" s="1"/>
  <c r="Q101" i="55" s="1"/>
  <c r="L127" i="55"/>
  <c r="L30" i="55"/>
  <c r="M30" i="55" s="1"/>
  <c r="N30" i="55" s="1"/>
  <c r="Q30" i="55" s="1"/>
  <c r="L63" i="55"/>
  <c r="L409" i="55"/>
  <c r="M409" i="55" s="1"/>
  <c r="N409" i="55" s="1"/>
  <c r="Q409" i="55" s="1"/>
  <c r="L309" i="55"/>
  <c r="L294" i="55"/>
  <c r="L313" i="55"/>
  <c r="L359" i="55"/>
  <c r="L413" i="55"/>
  <c r="M413" i="55" s="1"/>
  <c r="N413" i="55" s="1"/>
  <c r="Q413" i="55" s="1"/>
  <c r="L105" i="55"/>
  <c r="M105" i="55" s="1"/>
  <c r="N105" i="55" s="1"/>
  <c r="Q105" i="55" s="1"/>
  <c r="L33" i="55"/>
  <c r="L241" i="55"/>
  <c r="M241" i="55" s="1"/>
  <c r="N241" i="55" s="1"/>
  <c r="Q241" i="55" s="1"/>
  <c r="L252" i="55"/>
  <c r="M252" i="55" s="1"/>
  <c r="N252" i="55" s="1"/>
  <c r="Q252" i="55" s="1"/>
  <c r="L414" i="55"/>
  <c r="M414" i="55" s="1"/>
  <c r="N414" i="55" s="1"/>
  <c r="Q414" i="55" s="1"/>
  <c r="L440" i="55"/>
  <c r="M440" i="55" s="1"/>
  <c r="N440" i="55" s="1"/>
  <c r="Q440" i="55" s="1"/>
  <c r="L323" i="55"/>
  <c r="M323" i="55" s="1"/>
  <c r="N323" i="55" s="1"/>
  <c r="Q323" i="55" s="1"/>
  <c r="L221" i="55"/>
  <c r="L310" i="55"/>
  <c r="M310" i="55" s="1"/>
  <c r="N310" i="55" s="1"/>
  <c r="Q310" i="55" s="1"/>
  <c r="L421" i="55"/>
  <c r="M421" i="55" s="1"/>
  <c r="N421" i="55" s="1"/>
  <c r="Q421" i="55" s="1"/>
  <c r="L167" i="55"/>
  <c r="L398" i="55"/>
  <c r="M398" i="55" s="1"/>
  <c r="N398" i="55" s="1"/>
  <c r="Q398" i="55" s="1"/>
  <c r="L197" i="55"/>
  <c r="L104" i="55"/>
  <c r="M104" i="55" s="1"/>
  <c r="N104" i="55" s="1"/>
  <c r="Q104" i="55" s="1"/>
  <c r="L297" i="55"/>
  <c r="L165" i="55"/>
  <c r="L212" i="55"/>
  <c r="M212" i="55" s="1"/>
  <c r="N212" i="55" s="1"/>
  <c r="Q212" i="55" s="1"/>
  <c r="L403" i="55"/>
  <c r="M403" i="55" s="1"/>
  <c r="N403" i="55" s="1"/>
  <c r="Q403" i="55" s="1"/>
  <c r="L305" i="55"/>
  <c r="L281" i="55"/>
  <c r="L334" i="55"/>
  <c r="L333" i="55"/>
  <c r="M333" i="55" s="1"/>
  <c r="N333" i="55" s="1"/>
  <c r="Q333" i="55" s="1"/>
  <c r="L82" i="55"/>
  <c r="L169" i="55"/>
  <c r="M169" i="55" s="1"/>
  <c r="N169" i="55" s="1"/>
  <c r="Q169" i="55" s="1"/>
  <c r="L406" i="55"/>
  <c r="M406" i="55" s="1"/>
  <c r="N406" i="55" s="1"/>
  <c r="Q406" i="55" s="1"/>
  <c r="L142" i="55"/>
  <c r="L311" i="55"/>
  <c r="L67" i="55"/>
  <c r="M67" i="55" s="1"/>
  <c r="N67" i="55" s="1"/>
  <c r="Q67" i="55" s="1"/>
  <c r="L282" i="55"/>
  <c r="L117" i="55"/>
  <c r="M117" i="55" s="1"/>
  <c r="N117" i="55" s="1"/>
  <c r="Q117" i="55" s="1"/>
  <c r="L17" i="55"/>
  <c r="L147" i="55"/>
  <c r="L19" i="55"/>
  <c r="M19" i="55" s="1"/>
  <c r="N19" i="55" s="1"/>
  <c r="Q19" i="55" s="1"/>
  <c r="L451" i="55"/>
  <c r="M451" i="55" s="1"/>
  <c r="N451" i="55" s="1"/>
  <c r="Q451" i="55" s="1"/>
  <c r="L315" i="55"/>
  <c r="M315" i="55" s="1"/>
  <c r="N315" i="55" s="1"/>
  <c r="Q315" i="55" s="1"/>
  <c r="L298" i="55"/>
  <c r="L417" i="55"/>
  <c r="L34" i="55"/>
  <c r="L25" i="55"/>
  <c r="L404" i="55"/>
  <c r="M404" i="55" s="1"/>
  <c r="N404" i="55" s="1"/>
  <c r="Q404" i="55" s="1"/>
  <c r="L245" i="55"/>
  <c r="M245" i="55" s="1"/>
  <c r="N245" i="55" s="1"/>
  <c r="Q245" i="55" s="1"/>
  <c r="L124" i="55"/>
  <c r="M124" i="55" s="1"/>
  <c r="N124" i="55" s="1"/>
  <c r="Q124" i="55" s="1"/>
  <c r="L376" i="55"/>
  <c r="L174" i="55"/>
  <c r="M174" i="55" s="1"/>
  <c r="N174" i="55" s="1"/>
  <c r="Q174" i="55" s="1"/>
  <c r="L436" i="55"/>
  <c r="L284" i="55"/>
  <c r="L328" i="55"/>
  <c r="L339" i="55"/>
  <c r="M339" i="55" s="1"/>
  <c r="N339" i="55" s="1"/>
  <c r="Q339" i="55" s="1"/>
  <c r="L182" i="55"/>
  <c r="M182" i="55" s="1"/>
  <c r="N182" i="55" s="1"/>
  <c r="Q182" i="55" s="1"/>
  <c r="L176" i="55"/>
  <c r="M176" i="55" s="1"/>
  <c r="N176" i="55" s="1"/>
  <c r="Q176" i="55" s="1"/>
  <c r="L235" i="55"/>
  <c r="L264" i="55"/>
  <c r="M264" i="55" s="1"/>
  <c r="N264" i="55" s="1"/>
  <c r="Q264" i="55" s="1"/>
  <c r="L379" i="55"/>
  <c r="L386" i="55"/>
  <c r="M386" i="55" s="1"/>
  <c r="N386" i="55" s="1"/>
  <c r="Q386" i="55" s="1"/>
  <c r="L192" i="55"/>
  <c r="M192" i="55" s="1"/>
  <c r="N192" i="55" s="1"/>
  <c r="Q192" i="55" s="1"/>
  <c r="L202" i="55"/>
  <c r="L151" i="55"/>
  <c r="M151" i="55" s="1"/>
  <c r="N151" i="55" s="1"/>
  <c r="Q151" i="55" s="1"/>
  <c r="L162" i="55"/>
  <c r="M162" i="55" s="1"/>
  <c r="N162" i="55" s="1"/>
  <c r="Q162" i="55" s="1"/>
  <c r="L469" i="55"/>
  <c r="L458" i="55"/>
  <c r="L447" i="55"/>
  <c r="M447" i="55" s="1"/>
  <c r="N447" i="55" s="1"/>
  <c r="Q447" i="55" s="1"/>
  <c r="L27" i="55"/>
  <c r="M27" i="55" s="1"/>
  <c r="N27" i="55" s="1"/>
  <c r="Q27" i="55" s="1"/>
  <c r="L433" i="55"/>
  <c r="M433" i="55" s="1"/>
  <c r="N433" i="55" s="1"/>
  <c r="Q433" i="55" s="1"/>
  <c r="L439" i="55"/>
  <c r="L441" i="55"/>
  <c r="L59" i="55"/>
  <c r="M59" i="55" s="1"/>
  <c r="N59" i="55" s="1"/>
  <c r="Q59" i="55" s="1"/>
  <c r="L325" i="55"/>
  <c r="M325" i="55" s="1"/>
  <c r="N325" i="55" s="1"/>
  <c r="Q325" i="55" s="1"/>
  <c r="L336" i="55"/>
  <c r="M336" i="55" s="1"/>
  <c r="N336" i="55" s="1"/>
  <c r="Q336" i="55" s="1"/>
  <c r="L337" i="55"/>
  <c r="M337" i="55" s="1"/>
  <c r="N337" i="55" s="1"/>
  <c r="Q337" i="55" s="1"/>
  <c r="L232" i="55"/>
  <c r="M232" i="55" s="1"/>
  <c r="N232" i="55" s="1"/>
  <c r="Q232" i="55" s="1"/>
  <c r="L240" i="55"/>
  <c r="M240" i="55" s="1"/>
  <c r="N240" i="55" s="1"/>
  <c r="Q240" i="55" s="1"/>
  <c r="L258" i="55"/>
  <c r="L262" i="55"/>
  <c r="M262" i="55" s="1"/>
  <c r="N262" i="55" s="1"/>
  <c r="Q262" i="55" s="1"/>
  <c r="L129" i="55"/>
  <c r="M129" i="55" s="1"/>
  <c r="N129" i="55" s="1"/>
  <c r="Q129" i="55" s="1"/>
  <c r="L392" i="55"/>
  <c r="L395" i="55"/>
  <c r="L178" i="55"/>
  <c r="M178" i="55" s="1"/>
  <c r="N178" i="55" s="1"/>
  <c r="Q178" i="55" s="1"/>
  <c r="L186" i="55"/>
  <c r="L188" i="55"/>
  <c r="L203" i="55"/>
  <c r="M203" i="55" s="1"/>
  <c r="N203" i="55" s="1"/>
  <c r="Q203" i="55" s="1"/>
  <c r="L208" i="55"/>
  <c r="L159" i="55"/>
  <c r="L415" i="55"/>
  <c r="M415" i="55" s="1"/>
  <c r="N415" i="55" s="1"/>
  <c r="Q415" i="55" s="1"/>
  <c r="L467" i="55"/>
  <c r="M467" i="55" s="1"/>
  <c r="N467" i="55" s="1"/>
  <c r="Q467" i="55" s="1"/>
  <c r="L457" i="55"/>
  <c r="L428" i="55"/>
  <c r="M428" i="55" s="1"/>
  <c r="N428" i="55" s="1"/>
  <c r="L432" i="55"/>
  <c r="M432" i="55" s="1"/>
  <c r="N432" i="55" s="1"/>
  <c r="Q432" i="55" s="1"/>
  <c r="L438" i="55"/>
  <c r="L15" i="55"/>
  <c r="L88" i="55"/>
  <c r="M88" i="55" s="1"/>
  <c r="N88" i="55" s="1"/>
  <c r="Q88" i="55" s="1"/>
  <c r="L45" i="55"/>
  <c r="M45" i="55" s="1"/>
  <c r="N45" i="55" s="1"/>
  <c r="Q45" i="55" s="1"/>
  <c r="L288" i="55"/>
  <c r="M288" i="55" s="1"/>
  <c r="N288" i="55" s="1"/>
  <c r="Q288" i="55" s="1"/>
  <c r="L330" i="55"/>
  <c r="M330" i="55" s="1"/>
  <c r="N330" i="55" s="1"/>
  <c r="Q330" i="55" s="1"/>
  <c r="L340" i="55"/>
  <c r="M340" i="55" s="1"/>
  <c r="N340" i="55" s="1"/>
  <c r="Q340" i="55" s="1"/>
  <c r="L341" i="55"/>
  <c r="M341" i="55" s="1"/>
  <c r="N341" i="55" s="1"/>
  <c r="Q341" i="55" s="1"/>
  <c r="L244" i="55"/>
  <c r="L261" i="55"/>
  <c r="M261" i="55" s="1"/>
  <c r="N261" i="55" s="1"/>
  <c r="Q261" i="55" s="1"/>
  <c r="L267" i="55"/>
  <c r="M267" i="55" s="1"/>
  <c r="N267" i="55" s="1"/>
  <c r="Q267" i="55" s="1"/>
  <c r="L280" i="55"/>
  <c r="L270" i="55"/>
  <c r="M270" i="55" s="1"/>
  <c r="N270" i="55" s="1"/>
  <c r="Q270" i="55" s="1"/>
  <c r="L382" i="55"/>
  <c r="M382" i="55" s="1"/>
  <c r="N382" i="55" s="1"/>
  <c r="Q382" i="55" s="1"/>
  <c r="L393" i="55"/>
  <c r="M393" i="55" s="1"/>
  <c r="N393" i="55" s="1"/>
  <c r="Q393" i="55" s="1"/>
  <c r="L185" i="55"/>
  <c r="L205" i="55"/>
  <c r="M205" i="55" s="1"/>
  <c r="N205" i="55" s="1"/>
  <c r="Q205" i="55" s="1"/>
  <c r="L41" i="55"/>
  <c r="L425" i="55"/>
  <c r="M425" i="55" s="1"/>
  <c r="N425" i="55" s="1"/>
  <c r="Q425" i="55" s="1"/>
  <c r="L470" i="55"/>
  <c r="M470" i="55" s="1"/>
  <c r="N470" i="55" s="1"/>
  <c r="Q470" i="55" s="1"/>
  <c r="L111" i="55"/>
  <c r="M111" i="55" s="1"/>
  <c r="N111" i="55" s="1"/>
  <c r="Q111" i="55" s="1"/>
  <c r="L429" i="55"/>
  <c r="M429" i="55" s="1"/>
  <c r="N429" i="55" s="1"/>
  <c r="Q429" i="55" s="1"/>
  <c r="L442" i="55"/>
  <c r="M442" i="55" s="1"/>
  <c r="N442" i="55" s="1"/>
  <c r="Q442" i="55" s="1"/>
  <c r="L57" i="55"/>
  <c r="M57" i="55" s="1"/>
  <c r="N57" i="55" s="1"/>
  <c r="Q57" i="55" s="1"/>
  <c r="L61" i="55"/>
  <c r="M61" i="55" s="1"/>
  <c r="N61" i="55" s="1"/>
  <c r="Q61" i="55" s="1"/>
  <c r="L283" i="55"/>
  <c r="M283" i="55" s="1"/>
  <c r="N283" i="55" s="1"/>
  <c r="Q283" i="55" s="1"/>
  <c r="L317" i="55"/>
  <c r="L324" i="55"/>
  <c r="M324" i="55" s="1"/>
  <c r="N324" i="55" s="1"/>
  <c r="Q324" i="55" s="1"/>
  <c r="L342" i="55"/>
  <c r="M342" i="55" s="1"/>
  <c r="N342" i="55" s="1"/>
  <c r="Q342" i="55" s="1"/>
  <c r="L347" i="55"/>
  <c r="L77" i="55"/>
  <c r="M77" i="55" s="1"/>
  <c r="N77" i="55" s="1"/>
  <c r="Q77" i="55" s="1"/>
  <c r="L108" i="55"/>
  <c r="M108" i="55" s="1"/>
  <c r="N108" i="55" s="1"/>
  <c r="Q108" i="55" s="1"/>
  <c r="L75" i="55"/>
  <c r="M75" i="55" s="1"/>
  <c r="N75" i="55" s="1"/>
  <c r="Q75" i="55" s="1"/>
  <c r="L230" i="55"/>
  <c r="M230" i="55" s="1"/>
  <c r="N230" i="55" s="1"/>
  <c r="Q230" i="55" s="1"/>
  <c r="L248" i="55"/>
  <c r="M248" i="55" s="1"/>
  <c r="N248" i="55" s="1"/>
  <c r="Q248" i="55" s="1"/>
  <c r="L256" i="55"/>
  <c r="M256" i="55" s="1"/>
  <c r="N256" i="55" s="1"/>
  <c r="Q256" i="55" s="1"/>
  <c r="L266" i="55"/>
  <c r="M266" i="55" s="1"/>
  <c r="N266" i="55" s="1"/>
  <c r="Q266" i="55" s="1"/>
  <c r="L277" i="55"/>
  <c r="M277" i="55" s="1"/>
  <c r="N277" i="55" s="1"/>
  <c r="Q277" i="55" s="1"/>
  <c r="L131" i="55"/>
  <c r="M131" i="55" s="1"/>
  <c r="N131" i="55" s="1"/>
  <c r="Q131" i="55" s="1"/>
  <c r="L137" i="55"/>
  <c r="L397" i="55"/>
  <c r="M397" i="55" s="1"/>
  <c r="N397" i="55" s="1"/>
  <c r="Q397" i="55" s="1"/>
  <c r="L385" i="55"/>
  <c r="M385" i="55" s="1"/>
  <c r="N385" i="55" s="1"/>
  <c r="Q385" i="55" s="1"/>
  <c r="L175" i="55"/>
  <c r="M175" i="55" s="1"/>
  <c r="N175" i="55" s="1"/>
  <c r="Q175" i="55" s="1"/>
  <c r="L187" i="55"/>
  <c r="L206" i="55"/>
  <c r="M206" i="55" s="1"/>
  <c r="N206" i="55" s="1"/>
  <c r="Q206" i="55" s="1"/>
  <c r="L148" i="55"/>
  <c r="L424" i="55"/>
  <c r="M424" i="55" s="1"/>
  <c r="N424" i="55" s="1"/>
  <c r="Q424" i="55" s="1"/>
  <c r="L98" i="55"/>
  <c r="M98" i="55" s="1"/>
  <c r="N98" i="55" s="1"/>
  <c r="Q98" i="55" s="1"/>
  <c r="L434" i="55"/>
  <c r="M434" i="55" s="1"/>
  <c r="N434" i="55" s="1"/>
  <c r="Q434" i="55" s="1"/>
  <c r="L437" i="55"/>
  <c r="M437" i="55" s="1"/>
  <c r="N437" i="55" s="1"/>
  <c r="Q437" i="55" s="1"/>
  <c r="L58" i="55"/>
  <c r="M58" i="55" s="1"/>
  <c r="N58" i="55" s="1"/>
  <c r="Q58" i="55" s="1"/>
  <c r="L318" i="55"/>
  <c r="L326" i="55"/>
  <c r="M326" i="55" s="1"/>
  <c r="N326" i="55" s="1"/>
  <c r="Q326" i="55" s="1"/>
  <c r="L343" i="55"/>
  <c r="M343" i="55" s="1"/>
  <c r="N343" i="55" s="1"/>
  <c r="Q343" i="55" s="1"/>
  <c r="L344" i="55"/>
  <c r="M344" i="55" s="1"/>
  <c r="N344" i="55" s="1"/>
  <c r="Q344" i="55" s="1"/>
  <c r="L103" i="55"/>
  <c r="M103" i="55" s="1"/>
  <c r="N103" i="55" s="1"/>
  <c r="Q103" i="55" s="1"/>
  <c r="L443" i="55"/>
  <c r="L119" i="55"/>
  <c r="M119" i="55" s="1"/>
  <c r="N119" i="55" s="1"/>
  <c r="Q119" i="55" s="1"/>
  <c r="L201" i="55"/>
  <c r="M201" i="55" s="1"/>
  <c r="N201" i="55" s="1"/>
  <c r="Q201" i="55" s="1"/>
  <c r="L322" i="55"/>
  <c r="M322" i="55" s="1"/>
  <c r="N322" i="55" s="1"/>
  <c r="Q322" i="55" s="1"/>
  <c r="L319" i="55"/>
  <c r="M319" i="55" s="1"/>
  <c r="N319" i="55" s="1"/>
  <c r="Q319" i="55" s="1"/>
  <c r="L345" i="55"/>
  <c r="L335" i="55"/>
  <c r="M335" i="55" s="1"/>
  <c r="N335" i="55" s="1"/>
  <c r="Q335" i="55" s="1"/>
  <c r="L354" i="55"/>
  <c r="L251" i="55"/>
  <c r="M251" i="55" s="1"/>
  <c r="N251" i="55" s="1"/>
  <c r="Q251" i="55" s="1"/>
  <c r="L257" i="55"/>
  <c r="M257" i="55" s="1"/>
  <c r="N257" i="55" s="1"/>
  <c r="Q257" i="55" s="1"/>
  <c r="L377" i="55"/>
  <c r="M377" i="55" s="1"/>
  <c r="N377" i="55" s="1"/>
  <c r="Q377" i="55" s="1"/>
  <c r="L389" i="55"/>
  <c r="M389" i="55" s="1"/>
  <c r="N389" i="55" s="1"/>
  <c r="Q389" i="55" s="1"/>
  <c r="L200" i="55"/>
  <c r="L139" i="55"/>
  <c r="M139" i="55" s="1"/>
  <c r="N139" i="55" s="1"/>
  <c r="Q139" i="55" s="1"/>
  <c r="L143" i="55"/>
  <c r="M143" i="55" s="1"/>
  <c r="N143" i="55" s="1"/>
  <c r="Q143" i="55" s="1"/>
  <c r="L110" i="55"/>
  <c r="M110" i="55" s="1"/>
  <c r="N110" i="55" s="1"/>
  <c r="Q110" i="55" s="1"/>
  <c r="L444" i="55"/>
  <c r="M444" i="55" s="1"/>
  <c r="N444" i="55" s="1"/>
  <c r="Q444" i="55" s="1"/>
  <c r="L87" i="55"/>
  <c r="M87" i="55" s="1"/>
  <c r="N87" i="55" s="1"/>
  <c r="Q87" i="55" s="1"/>
  <c r="L184" i="55"/>
  <c r="M184" i="55" s="1"/>
  <c r="N184" i="55" s="1"/>
  <c r="Q184" i="55" s="1"/>
  <c r="L327" i="55"/>
  <c r="M327" i="55" s="1"/>
  <c r="N327" i="55" s="1"/>
  <c r="Q327" i="55" s="1"/>
  <c r="L321" i="55"/>
  <c r="M321" i="55" s="1"/>
  <c r="N321" i="55" s="1"/>
  <c r="Q321" i="55" s="1"/>
  <c r="L356" i="55"/>
  <c r="L362" i="55"/>
  <c r="L363" i="55"/>
  <c r="M363" i="55" s="1"/>
  <c r="N363" i="55" s="1"/>
  <c r="Q363" i="55" s="1"/>
  <c r="L351" i="55"/>
  <c r="M351" i="55" s="1"/>
  <c r="N351" i="55" s="1"/>
  <c r="Q351" i="55" s="1"/>
  <c r="L365" i="55"/>
  <c r="M365" i="55" s="1"/>
  <c r="N365" i="55" s="1"/>
  <c r="Q365" i="55" s="1"/>
  <c r="L353" i="55"/>
  <c r="L352" i="55"/>
  <c r="L357" i="55"/>
  <c r="L350" i="55"/>
  <c r="L361" i="55"/>
  <c r="L355" i="55"/>
  <c r="L24" i="40"/>
  <c r="M24" i="40" s="1"/>
  <c r="N24" i="40" s="1"/>
  <c r="L51" i="55"/>
  <c r="M51" i="55" s="1"/>
  <c r="N51" i="55" s="1"/>
  <c r="Q51" i="55" s="1"/>
  <c r="L64" i="55"/>
  <c r="E64" i="55"/>
  <c r="L349" i="55"/>
  <c r="M349" i="55" s="1"/>
  <c r="N349" i="55" s="1"/>
  <c r="Q349" i="55" s="1"/>
  <c r="L364" i="55"/>
  <c r="M364" i="55" s="1"/>
  <c r="N364" i="55" s="1"/>
  <c r="Q364" i="55" s="1"/>
  <c r="M13" i="52"/>
  <c r="M45" i="52"/>
  <c r="M124" i="52"/>
  <c r="K25" i="55"/>
  <c r="H25" i="55"/>
  <c r="M668" i="47"/>
  <c r="I368" i="55"/>
  <c r="H368" i="55"/>
  <c r="H43" i="55"/>
  <c r="K368" i="55"/>
  <c r="I43" i="55"/>
  <c r="H367" i="55"/>
  <c r="H369" i="55"/>
  <c r="K367" i="55"/>
  <c r="I367" i="55"/>
  <c r="K369" i="55"/>
  <c r="L43" i="55"/>
  <c r="L369" i="55"/>
  <c r="L372" i="55"/>
  <c r="M372" i="55" s="1"/>
  <c r="N372" i="55" s="1"/>
  <c r="Q372" i="55" s="1"/>
  <c r="L368" i="55"/>
  <c r="L371" i="55"/>
  <c r="M371" i="55" s="1"/>
  <c r="N371" i="55" s="1"/>
  <c r="Q371" i="55" s="1"/>
  <c r="L367" i="55"/>
  <c r="L370" i="55"/>
  <c r="M370" i="55" s="1"/>
  <c r="N370" i="55" s="1"/>
  <c r="Q370" i="55" s="1"/>
  <c r="M471" i="52"/>
  <c r="M194" i="52"/>
  <c r="M84" i="52"/>
  <c r="K43" i="55"/>
  <c r="C44" i="55"/>
  <c r="C45" i="55" s="1"/>
  <c r="C46" i="55" s="1"/>
  <c r="C47" i="55" s="1"/>
  <c r="C48" i="55" s="1"/>
  <c r="C49" i="55" s="1"/>
  <c r="C42" i="55"/>
  <c r="G29" i="19"/>
  <c r="G25" i="19"/>
  <c r="G21" i="19"/>
  <c r="G17" i="19"/>
  <c r="G23" i="19"/>
  <c r="G12" i="19"/>
  <c r="G65" i="19"/>
  <c r="G59" i="19"/>
  <c r="G51" i="19"/>
  <c r="G38" i="19"/>
  <c r="G72" i="19"/>
  <c r="G70" i="19"/>
  <c r="G68" i="19"/>
  <c r="G66" i="19"/>
  <c r="G64" i="19"/>
  <c r="G62" i="19"/>
  <c r="G60" i="19"/>
  <c r="G58" i="19"/>
  <c r="G56" i="19"/>
  <c r="G54" i="19"/>
  <c r="G52" i="19"/>
  <c r="G50" i="19"/>
  <c r="G48" i="19"/>
  <c r="G46" i="19"/>
  <c r="G44" i="19"/>
  <c r="G41" i="19"/>
  <c r="G39" i="19"/>
  <c r="G37" i="19"/>
  <c r="G35" i="19"/>
  <c r="G33" i="19"/>
  <c r="G13" i="19"/>
  <c r="G19" i="19"/>
  <c r="G61" i="19"/>
  <c r="G40" i="19"/>
  <c r="G28" i="19"/>
  <c r="G24" i="19"/>
  <c r="G20" i="19"/>
  <c r="G16" i="19"/>
  <c r="G27" i="19"/>
  <c r="G15" i="19"/>
  <c r="G53" i="19"/>
  <c r="G31" i="19"/>
  <c r="G71" i="19"/>
  <c r="G57" i="19"/>
  <c r="G49" i="19"/>
  <c r="G45" i="19"/>
  <c r="G34" i="19"/>
  <c r="G73" i="19"/>
  <c r="G69" i="19"/>
  <c r="G63" i="19"/>
  <c r="G55" i="19"/>
  <c r="G47" i="19"/>
  <c r="G42" i="19"/>
  <c r="G30" i="19"/>
  <c r="G26" i="19"/>
  <c r="G22" i="19"/>
  <c r="G18" i="19"/>
  <c r="G14" i="19"/>
  <c r="G24" i="56"/>
  <c r="G26" i="56"/>
  <c r="G25" i="56"/>
  <c r="M645" i="47"/>
  <c r="I25" i="55"/>
  <c r="M65" i="52"/>
  <c r="J147" i="52"/>
  <c r="G161" i="52"/>
  <c r="M463" i="52"/>
  <c r="D26" i="55"/>
  <c r="D27" i="55" s="1"/>
  <c r="E27" i="55" s="1"/>
  <c r="M695" i="47"/>
  <c r="M278" i="47"/>
  <c r="J686" i="47"/>
  <c r="M614" i="47"/>
  <c r="K610" i="47"/>
  <c r="M610" i="47" s="1"/>
  <c r="K46" i="40" s="1"/>
  <c r="K270" i="47"/>
  <c r="K269" i="47" s="1"/>
  <c r="M643" i="47"/>
  <c r="K639" i="47"/>
  <c r="M639" i="47" s="1"/>
  <c r="K149" i="40" s="1"/>
  <c r="M149" i="40" s="1"/>
  <c r="N149" i="40" s="1"/>
  <c r="M638" i="47"/>
  <c r="K634" i="47"/>
  <c r="L634" i="47"/>
  <c r="M823" i="47"/>
  <c r="K822" i="47"/>
  <c r="M822" i="47" s="1"/>
  <c r="M819" i="47"/>
  <c r="K818" i="47"/>
  <c r="M818" i="47" s="1"/>
  <c r="M814" i="47"/>
  <c r="K813" i="47"/>
  <c r="M813" i="47" s="1"/>
  <c r="M809" i="47"/>
  <c r="K808" i="47"/>
  <c r="M808" i="47" s="1"/>
  <c r="K259" i="40" s="1"/>
  <c r="M259" i="40" s="1"/>
  <c r="N259" i="40" s="1"/>
  <c r="M804" i="47"/>
  <c r="K803" i="47"/>
  <c r="M803" i="47" s="1"/>
  <c r="M799" i="47"/>
  <c r="K798" i="47"/>
  <c r="M798" i="47" s="1"/>
  <c r="M794" i="47"/>
  <c r="K793" i="47"/>
  <c r="M793" i="47" s="1"/>
  <c r="M792" i="47"/>
  <c r="K790" i="47"/>
  <c r="M790" i="47" s="1"/>
  <c r="M314" i="55"/>
  <c r="N314" i="55" s="1"/>
  <c r="Q314" i="55" s="1"/>
  <c r="M401" i="52"/>
  <c r="M787" i="47"/>
  <c r="M786" i="47"/>
  <c r="M789" i="47"/>
  <c r="M788" i="47"/>
  <c r="L784" i="47"/>
  <c r="M785" i="47"/>
  <c r="K784" i="47"/>
  <c r="M686" i="47"/>
  <c r="K683" i="47"/>
  <c r="M683" i="47" s="1"/>
  <c r="K165" i="40" s="1"/>
  <c r="M682" i="47"/>
  <c r="K679" i="47"/>
  <c r="M679" i="47" s="1"/>
  <c r="K136" i="40" s="1"/>
  <c r="M136" i="40" s="1"/>
  <c r="N136" i="40" s="1"/>
  <c r="M275" i="47"/>
  <c r="M691" i="47"/>
  <c r="K687" i="47"/>
  <c r="M687" i="47" s="1"/>
  <c r="M254" i="52"/>
  <c r="M282" i="52"/>
  <c r="M475" i="52"/>
  <c r="M110" i="52"/>
  <c r="M87" i="52"/>
  <c r="M258" i="52"/>
  <c r="M15" i="52"/>
  <c r="M600" i="47"/>
  <c r="M599" i="47"/>
  <c r="M601" i="47"/>
  <c r="M598" i="47"/>
  <c r="M597" i="47"/>
  <c r="M596" i="47"/>
  <c r="K595" i="47"/>
  <c r="L595" i="47"/>
  <c r="B120" i="53"/>
  <c r="B43" i="53"/>
  <c r="B758" i="53"/>
  <c r="M579" i="47"/>
  <c r="K576" i="47"/>
  <c r="M576" i="47" s="1"/>
  <c r="M559" i="47"/>
  <c r="M557" i="47"/>
  <c r="M555" i="47"/>
  <c r="K554" i="47"/>
  <c r="M558" i="47"/>
  <c r="M556" i="47"/>
  <c r="L554" i="47"/>
  <c r="M32" i="52"/>
  <c r="M376" i="52"/>
  <c r="M762" i="47"/>
  <c r="E463" i="55"/>
  <c r="E462" i="55"/>
  <c r="K700" i="47"/>
  <c r="M700" i="47" s="1"/>
  <c r="K164" i="40" s="1"/>
  <c r="K48" i="47"/>
  <c r="M48" i="47" s="1"/>
  <c r="K106" i="40" s="1"/>
  <c r="M106" i="40" s="1"/>
  <c r="N106" i="40" s="1"/>
  <c r="K951" i="47"/>
  <c r="M951" i="47" s="1"/>
  <c r="K148" i="40" s="1"/>
  <c r="M284" i="55"/>
  <c r="N284" i="55" s="1"/>
  <c r="Q284" i="55" s="1"/>
  <c r="C184" i="55"/>
  <c r="C185" i="55" s="1"/>
  <c r="E283" i="55"/>
  <c r="C284" i="55"/>
  <c r="E284" i="55" s="1"/>
  <c r="M277" i="47"/>
  <c r="K748" i="47"/>
  <c r="M748" i="47" s="1"/>
  <c r="K209" i="47"/>
  <c r="K58" i="47" s="1"/>
  <c r="M58" i="47" s="1"/>
  <c r="M86" i="55"/>
  <c r="N86" i="55" s="1"/>
  <c r="Q86" i="55" s="1"/>
  <c r="M233" i="47"/>
  <c r="C75" i="55"/>
  <c r="C76" i="55" s="1"/>
  <c r="E74" i="55"/>
  <c r="E71" i="55"/>
  <c r="M258" i="55"/>
  <c r="N258" i="55" s="1"/>
  <c r="Q258" i="55" s="1"/>
  <c r="K732" i="47"/>
  <c r="M732" i="47" s="1"/>
  <c r="J270" i="47"/>
  <c r="M88" i="52"/>
  <c r="M122" i="52"/>
  <c r="M393" i="52"/>
  <c r="M237" i="52"/>
  <c r="M305" i="52"/>
  <c r="M445" i="52"/>
  <c r="M37" i="52"/>
  <c r="M173" i="52"/>
  <c r="M76" i="52"/>
  <c r="M955" i="47"/>
  <c r="K93" i="40" s="1"/>
  <c r="M93" i="40" s="1"/>
  <c r="N93" i="40" s="1"/>
  <c r="M956" i="47"/>
  <c r="K756" i="47"/>
  <c r="M756" i="47" s="1"/>
  <c r="K236" i="40" s="1"/>
  <c r="M236" i="40" s="1"/>
  <c r="N236" i="40" s="1"/>
  <c r="M456" i="55"/>
  <c r="N456" i="55" s="1"/>
  <c r="Q456" i="55" s="1"/>
  <c r="M864" i="47"/>
  <c r="K863" i="47"/>
  <c r="M863" i="47" s="1"/>
  <c r="K163" i="40" s="1"/>
  <c r="E454" i="55"/>
  <c r="C455" i="55"/>
  <c r="M881" i="47"/>
  <c r="K469" i="55"/>
  <c r="E176" i="55"/>
  <c r="E468" i="55"/>
  <c r="C469" i="55"/>
  <c r="M137" i="55"/>
  <c r="N137" i="55" s="1"/>
  <c r="Q137" i="55" s="1"/>
  <c r="M157" i="55"/>
  <c r="N157" i="55" s="1"/>
  <c r="Q157" i="55" s="1"/>
  <c r="E413" i="55"/>
  <c r="C414" i="55"/>
  <c r="M204" i="55"/>
  <c r="N204" i="55" s="1"/>
  <c r="Q204" i="55" s="1"/>
  <c r="M138" i="55"/>
  <c r="N138" i="55" s="1"/>
  <c r="Q138" i="55" s="1"/>
  <c r="M153" i="55"/>
  <c r="N153" i="55" s="1"/>
  <c r="Q153" i="55" s="1"/>
  <c r="E40" i="55"/>
  <c r="K148" i="47"/>
  <c r="L148" i="47"/>
  <c r="L134" i="47"/>
  <c r="K134" i="47"/>
  <c r="M139" i="47"/>
  <c r="M138" i="47"/>
  <c r="M137" i="47"/>
  <c r="M136" i="47"/>
  <c r="M135" i="47"/>
  <c r="M42" i="52"/>
  <c r="M204" i="52"/>
  <c r="M181" i="52"/>
  <c r="M291" i="52"/>
  <c r="M23" i="52"/>
  <c r="M459" i="52"/>
  <c r="M220" i="52"/>
  <c r="M92" i="52"/>
  <c r="M465" i="52"/>
  <c r="M118" i="47"/>
  <c r="M108" i="47"/>
  <c r="M111" i="47"/>
  <c r="M112" i="47"/>
  <c r="M115" i="47"/>
  <c r="M117" i="47"/>
  <c r="M116" i="47"/>
  <c r="M113" i="47"/>
  <c r="M110" i="47"/>
  <c r="M114" i="47"/>
  <c r="M107" i="47"/>
  <c r="L109" i="47"/>
  <c r="L106" i="47" s="1"/>
  <c r="L100" i="47"/>
  <c r="M202" i="55"/>
  <c r="N202" i="55" s="1"/>
  <c r="Q202" i="55" s="1"/>
  <c r="E38" i="55"/>
  <c r="M384" i="47"/>
  <c r="K383" i="47"/>
  <c r="M383" i="47" s="1"/>
  <c r="K257" i="40" s="1"/>
  <c r="M322" i="47"/>
  <c r="M207" i="55"/>
  <c r="N207" i="55" s="1"/>
  <c r="Q207" i="55" s="1"/>
  <c r="M199" i="55"/>
  <c r="N199" i="55" s="1"/>
  <c r="Q199" i="55" s="1"/>
  <c r="M123" i="52"/>
  <c r="M30" i="52"/>
  <c r="M41" i="52"/>
  <c r="M68" i="52"/>
  <c r="M188" i="52"/>
  <c r="M236" i="52"/>
  <c r="M176" i="52"/>
  <c r="M269" i="52"/>
  <c r="M478" i="52"/>
  <c r="M447" i="52"/>
  <c r="M186" i="55"/>
  <c r="N186" i="55" s="1"/>
  <c r="Q186" i="55" s="1"/>
  <c r="M185" i="55"/>
  <c r="N185" i="55" s="1"/>
  <c r="Q185" i="55" s="1"/>
  <c r="M191" i="52"/>
  <c r="M78" i="52"/>
  <c r="M99" i="52"/>
  <c r="M163" i="52"/>
  <c r="M436" i="52"/>
  <c r="M337" i="47"/>
  <c r="M338" i="47"/>
  <c r="M340" i="47"/>
  <c r="L335" i="47"/>
  <c r="M339" i="47"/>
  <c r="K335" i="47"/>
  <c r="M336" i="47"/>
  <c r="M165" i="52"/>
  <c r="M276" i="52"/>
  <c r="M136" i="52"/>
  <c r="M168" i="52"/>
  <c r="M207" i="52"/>
  <c r="M266" i="52"/>
  <c r="M404" i="52"/>
  <c r="M290" i="52"/>
  <c r="M382" i="52"/>
  <c r="M446" i="52"/>
  <c r="M314" i="52"/>
  <c r="M219" i="52"/>
  <c r="M17" i="52"/>
  <c r="M192" i="52"/>
  <c r="M226" i="52"/>
  <c r="M134" i="52"/>
  <c r="M470" i="52"/>
  <c r="M55" i="52"/>
  <c r="M140" i="52"/>
  <c r="M22" i="52"/>
  <c r="M97" i="52"/>
  <c r="M455" i="52"/>
  <c r="M57" i="52"/>
  <c r="E191" i="55"/>
  <c r="C192" i="55"/>
  <c r="E192" i="55" s="1"/>
  <c r="M392" i="55"/>
  <c r="N392" i="55" s="1"/>
  <c r="Q392" i="55" s="1"/>
  <c r="M276" i="47"/>
  <c r="M300" i="52"/>
  <c r="M311" i="52"/>
  <c r="M114" i="52"/>
  <c r="M162" i="52"/>
  <c r="M235" i="52"/>
  <c r="M61" i="52"/>
  <c r="M146" i="52"/>
  <c r="M185" i="52"/>
  <c r="M368" i="52"/>
  <c r="M27" i="52"/>
  <c r="M212" i="52"/>
  <c r="M346" i="52"/>
  <c r="M199" i="52"/>
  <c r="M420" i="52"/>
  <c r="M309" i="52"/>
  <c r="M360" i="52"/>
  <c r="M398" i="52"/>
  <c r="M424" i="52"/>
  <c r="M437" i="52"/>
  <c r="M462" i="52"/>
  <c r="M74" i="52"/>
  <c r="M378" i="55"/>
  <c r="N378" i="55" s="1"/>
  <c r="Q378" i="55" s="1"/>
  <c r="M390" i="55"/>
  <c r="N390" i="55" s="1"/>
  <c r="Q390" i="55" s="1"/>
  <c r="L319" i="47"/>
  <c r="K319" i="47"/>
  <c r="M414" i="52"/>
  <c r="M107" i="52"/>
  <c r="M155" i="52"/>
  <c r="M327" i="47"/>
  <c r="M174" i="52"/>
  <c r="M310" i="52"/>
  <c r="M440" i="52"/>
  <c r="M329" i="47"/>
  <c r="M324" i="47"/>
  <c r="M328" i="47"/>
  <c r="M326" i="47"/>
  <c r="M323" i="47"/>
  <c r="M320" i="47"/>
  <c r="M325" i="47"/>
  <c r="M321" i="47"/>
  <c r="M187" i="55"/>
  <c r="N187" i="55" s="1"/>
  <c r="Q187" i="55" s="1"/>
  <c r="E183" i="55"/>
  <c r="M395" i="55"/>
  <c r="N395" i="55" s="1"/>
  <c r="Q395" i="55" s="1"/>
  <c r="M12" i="52"/>
  <c r="M105" i="52"/>
  <c r="M129" i="52"/>
  <c r="M379" i="55"/>
  <c r="N379" i="55" s="1"/>
  <c r="Q379" i="55" s="1"/>
  <c r="E175" i="55"/>
  <c r="E174" i="55"/>
  <c r="E177" i="55"/>
  <c r="M18" i="52"/>
  <c r="M54" i="52"/>
  <c r="M19" i="52"/>
  <c r="M216" i="52"/>
  <c r="M318" i="52"/>
  <c r="M46" i="52"/>
  <c r="M131" i="52"/>
  <c r="M196" i="52"/>
  <c r="M366" i="52"/>
  <c r="M372" i="52"/>
  <c r="M418" i="52"/>
  <c r="M83" i="52"/>
  <c r="M145" i="52"/>
  <c r="M392" i="52"/>
  <c r="M406" i="52"/>
  <c r="M248" i="52"/>
  <c r="M381" i="52"/>
  <c r="M458" i="52"/>
  <c r="M448" i="52"/>
  <c r="M466" i="52"/>
  <c r="M241" i="52"/>
  <c r="M332" i="52"/>
  <c r="M364" i="52"/>
  <c r="M80" i="52"/>
  <c r="C140" i="55"/>
  <c r="E140" i="55" s="1"/>
  <c r="D389" i="55"/>
  <c r="D390" i="55" s="1"/>
  <c r="M232" i="52"/>
  <c r="M412" i="52"/>
  <c r="M144" i="52"/>
  <c r="M141" i="52"/>
  <c r="M89" i="52"/>
  <c r="M202" i="52"/>
  <c r="M171" i="52"/>
  <c r="M251" i="52"/>
  <c r="M432" i="52"/>
  <c r="M36" i="52"/>
  <c r="M328" i="52"/>
  <c r="M246" i="52"/>
  <c r="M322" i="52"/>
  <c r="M304" i="52"/>
  <c r="M399" i="52"/>
  <c r="M40" i="52"/>
  <c r="L25" i="52"/>
  <c r="L11" i="52"/>
  <c r="M388" i="52"/>
  <c r="M341" i="52"/>
  <c r="M51" i="52"/>
  <c r="M464" i="52"/>
  <c r="M255" i="52"/>
  <c r="M352" i="52"/>
  <c r="M295" i="52"/>
  <c r="M449" i="52"/>
  <c r="M329" i="52"/>
  <c r="M361" i="52"/>
  <c r="M425" i="52"/>
  <c r="M473" i="52"/>
  <c r="M343" i="52"/>
  <c r="M391" i="52"/>
  <c r="M423" i="52"/>
  <c r="M113" i="52"/>
  <c r="M94" i="52"/>
  <c r="M147" i="52"/>
  <c r="M172" i="52"/>
  <c r="M70" i="52"/>
  <c r="M351" i="52"/>
  <c r="M397" i="52"/>
  <c r="K16" i="52"/>
  <c r="M35" i="52"/>
  <c r="M373" i="52"/>
  <c r="M135" i="52"/>
  <c r="M243" i="52"/>
  <c r="M260" i="52"/>
  <c r="M277" i="52"/>
  <c r="M472" i="52"/>
  <c r="M421" i="52"/>
  <c r="M206" i="52"/>
  <c r="M283" i="52"/>
  <c r="M365" i="52"/>
  <c r="M312" i="52"/>
  <c r="M426" i="52"/>
  <c r="M479" i="52"/>
  <c r="M217" i="52"/>
  <c r="M313" i="52"/>
  <c r="M409" i="52"/>
  <c r="M441" i="52"/>
  <c r="M327" i="52"/>
  <c r="M359" i="52"/>
  <c r="M26" i="52"/>
  <c r="M64" i="52"/>
  <c r="M128" i="52"/>
  <c r="M179" i="52"/>
  <c r="M288" i="52"/>
  <c r="M148" i="52"/>
  <c r="M227" i="52"/>
  <c r="M38" i="52"/>
  <c r="M336" i="52"/>
  <c r="M118" i="52"/>
  <c r="M101" i="52"/>
  <c r="M253" i="52"/>
  <c r="M262" i="52"/>
  <c r="M238" i="52"/>
  <c r="M287" i="52"/>
  <c r="M299" i="52"/>
  <c r="M95" i="52"/>
  <c r="M111" i="52"/>
  <c r="M127" i="52"/>
  <c r="M143" i="52"/>
  <c r="M337" i="52"/>
  <c r="M451" i="52"/>
  <c r="M229" i="52"/>
  <c r="M293" i="52"/>
  <c r="M379" i="52"/>
  <c r="M405" i="52"/>
  <c r="M443" i="52"/>
  <c r="M117" i="52"/>
  <c r="M20" i="52"/>
  <c r="M14" i="52"/>
  <c r="M267" i="52"/>
  <c r="M222" i="52"/>
  <c r="M457" i="52"/>
  <c r="M385" i="52"/>
  <c r="K256" i="47"/>
  <c r="M256" i="47" s="1"/>
  <c r="K91" i="40" s="1"/>
  <c r="M91" i="40" s="1"/>
  <c r="N91" i="40" s="1"/>
  <c r="M56" i="52"/>
  <c r="M218" i="52"/>
  <c r="M125" i="52"/>
  <c r="M240" i="52"/>
  <c r="M274" i="52"/>
  <c r="M160" i="52"/>
  <c r="M474" i="52"/>
  <c r="M151" i="52"/>
  <c r="M444" i="52"/>
  <c r="M411" i="52"/>
  <c r="M211" i="52"/>
  <c r="M161" i="52"/>
  <c r="M429" i="52"/>
  <c r="M461" i="52"/>
  <c r="M326" i="52"/>
  <c r="M342" i="52"/>
  <c r="M126" i="52"/>
  <c r="M48" i="52"/>
  <c r="M281" i="52"/>
  <c r="M438" i="52"/>
  <c r="M439" i="52"/>
  <c r="M377" i="52"/>
  <c r="M270" i="52"/>
  <c r="M407" i="52"/>
  <c r="M225" i="52"/>
  <c r="M298" i="52"/>
  <c r="M273" i="52"/>
  <c r="M476" i="52"/>
  <c r="M156" i="52"/>
  <c r="M44" i="52"/>
  <c r="M104" i="52"/>
  <c r="M52" i="52"/>
  <c r="M242" i="52"/>
  <c r="M356" i="52"/>
  <c r="M137" i="52"/>
  <c r="M159" i="52"/>
  <c r="M85" i="52"/>
  <c r="M378" i="52"/>
  <c r="M133" i="52"/>
  <c r="M334" i="52"/>
  <c r="M285" i="52"/>
  <c r="M338" i="52"/>
  <c r="M195" i="52"/>
  <c r="M182" i="52"/>
  <c r="M31" i="52"/>
  <c r="M47" i="52"/>
  <c r="M63" i="52"/>
  <c r="M244" i="52"/>
  <c r="M308" i="52"/>
  <c r="M477" i="52"/>
  <c r="M221" i="52"/>
  <c r="M284" i="52"/>
  <c r="M50" i="52"/>
  <c r="M82" i="52"/>
  <c r="M106" i="52"/>
  <c r="M119" i="52"/>
  <c r="M132" i="52"/>
  <c r="M170" i="52"/>
  <c r="M183" i="52"/>
  <c r="M197" i="52"/>
  <c r="M214" i="52"/>
  <c r="M413" i="52"/>
  <c r="M456" i="52"/>
  <c r="M203" i="52"/>
  <c r="M252" i="52"/>
  <c r="M231" i="52"/>
  <c r="M280" i="52"/>
  <c r="M292" i="52"/>
  <c r="M306" i="52"/>
  <c r="M394" i="52"/>
  <c r="M321" i="52"/>
  <c r="M353" i="52"/>
  <c r="M389" i="52"/>
  <c r="M390" i="52"/>
  <c r="M454" i="52"/>
  <c r="M323" i="52"/>
  <c r="M339" i="52"/>
  <c r="M355" i="52"/>
  <c r="M371" i="52"/>
  <c r="M387" i="52"/>
  <c r="M419" i="52"/>
  <c r="M72" i="52"/>
  <c r="M62" i="52"/>
  <c r="M130" i="52"/>
  <c r="M259" i="52"/>
  <c r="M93" i="52"/>
  <c r="M150" i="52"/>
  <c r="K11" i="52"/>
  <c r="M109" i="52"/>
  <c r="M115" i="52"/>
  <c r="M250" i="52"/>
  <c r="M224" i="52"/>
  <c r="M187" i="52"/>
  <c r="M400" i="52"/>
  <c r="M158" i="52"/>
  <c r="M215" i="52"/>
  <c r="M96" i="52"/>
  <c r="M120" i="52"/>
  <c r="M184" i="52"/>
  <c r="M354" i="52"/>
  <c r="K21" i="52"/>
  <c r="M39" i="52"/>
  <c r="M71" i="52"/>
  <c r="M198" i="52"/>
  <c r="M275" i="52"/>
  <c r="M469" i="52"/>
  <c r="M66" i="52"/>
  <c r="M100" i="52"/>
  <c r="M177" i="52"/>
  <c r="M205" i="52"/>
  <c r="M340" i="52"/>
  <c r="M286" i="52"/>
  <c r="M362" i="52"/>
  <c r="M209" i="52"/>
  <c r="M316" i="52"/>
  <c r="M348" i="52"/>
  <c r="M380" i="52"/>
  <c r="M396" i="52"/>
  <c r="M428" i="52"/>
  <c r="M315" i="52"/>
  <c r="M331" i="52"/>
  <c r="M347" i="52"/>
  <c r="M363" i="52"/>
  <c r="M395" i="52"/>
  <c r="M427" i="52"/>
  <c r="M69" i="52"/>
  <c r="M491" i="47"/>
  <c r="L487" i="47"/>
  <c r="M490" i="47"/>
  <c r="K487" i="47"/>
  <c r="M478" i="47"/>
  <c r="M481" i="52"/>
  <c r="C378" i="55"/>
  <c r="C379" i="55" s="1"/>
  <c r="E377" i="55"/>
  <c r="J271" i="47"/>
  <c r="M245" i="52"/>
  <c r="M375" i="52"/>
  <c r="M230" i="52"/>
  <c r="M53" i="52"/>
  <c r="M263" i="52"/>
  <c r="M434" i="52"/>
  <c r="M261" i="52"/>
  <c r="M108" i="52"/>
  <c r="M29" i="52"/>
  <c r="M139" i="52"/>
  <c r="L21" i="52"/>
  <c r="M73" i="52"/>
  <c r="M301" i="52"/>
  <c r="M278" i="52"/>
  <c r="M149" i="52"/>
  <c r="M256" i="52"/>
  <c r="M264" i="52"/>
  <c r="M307" i="52"/>
  <c r="M257" i="52"/>
  <c r="M358" i="52"/>
  <c r="M374" i="52"/>
  <c r="M435" i="52"/>
  <c r="E137" i="55"/>
  <c r="C139" i="55"/>
  <c r="E139" i="55" s="1"/>
  <c r="C138" i="55"/>
  <c r="E138" i="55" s="1"/>
  <c r="M24" i="52"/>
  <c r="M386" i="52"/>
  <c r="M67" i="52"/>
  <c r="M138" i="52"/>
  <c r="M186" i="52"/>
  <c r="M330" i="52"/>
  <c r="M190" i="52"/>
  <c r="M152" i="52"/>
  <c r="L16" i="52"/>
  <c r="M157" i="52"/>
  <c r="M60" i="52"/>
  <c r="M121" i="52"/>
  <c r="M294" i="52"/>
  <c r="M169" i="52"/>
  <c r="M189" i="52"/>
  <c r="M178" i="52"/>
  <c r="M279" i="52"/>
  <c r="M142" i="52"/>
  <c r="M213" i="52"/>
  <c r="M249" i="52"/>
  <c r="M272" i="52"/>
  <c r="K25" i="52"/>
  <c r="M43" i="52"/>
  <c r="M59" i="52"/>
  <c r="M75" i="52"/>
  <c r="M91" i="52"/>
  <c r="M208" i="52"/>
  <c r="M271" i="52"/>
  <c r="M349" i="52"/>
  <c r="M417" i="52"/>
  <c r="M450" i="52"/>
  <c r="M357" i="52"/>
  <c r="M58" i="52"/>
  <c r="M90" i="52"/>
  <c r="M103" i="52"/>
  <c r="M116" i="52"/>
  <c r="M154" i="52"/>
  <c r="M167" i="52"/>
  <c r="M180" i="52"/>
  <c r="M268" i="52"/>
  <c r="M317" i="52"/>
  <c r="M345" i="52"/>
  <c r="M200" i="52"/>
  <c r="M344" i="52"/>
  <c r="M442" i="52"/>
  <c r="M468" i="52"/>
  <c r="M228" i="52"/>
  <c r="M289" i="52"/>
  <c r="M303" i="52"/>
  <c r="M320" i="52"/>
  <c r="M410" i="52"/>
  <c r="M416" i="52"/>
  <c r="M350" i="52"/>
  <c r="M384" i="52"/>
  <c r="M402" i="52"/>
  <c r="M433" i="52"/>
  <c r="M453" i="52"/>
  <c r="M201" i="52"/>
  <c r="M233" i="52"/>
  <c r="M265" i="52"/>
  <c r="M319" i="52"/>
  <c r="M335" i="52"/>
  <c r="M367" i="52"/>
  <c r="M383" i="52"/>
  <c r="M415" i="52"/>
  <c r="M431" i="52"/>
  <c r="L273" i="47"/>
  <c r="K273" i="47"/>
  <c r="M280" i="47"/>
  <c r="M279" i="47"/>
  <c r="M281" i="47"/>
  <c r="M274" i="47"/>
  <c r="M282" i="47"/>
  <c r="E126" i="55"/>
  <c r="E124" i="55"/>
  <c r="M28" i="52"/>
  <c r="M452" i="52"/>
  <c r="M460" i="52"/>
  <c r="M446" i="47"/>
  <c r="M444" i="47" s="1"/>
  <c r="K300" i="40" s="1"/>
  <c r="M300" i="40" s="1"/>
  <c r="N300" i="40" s="1"/>
  <c r="E282" i="55"/>
  <c r="C279" i="55"/>
  <c r="E279" i="55" s="1"/>
  <c r="E255" i="55"/>
  <c r="E245" i="55"/>
  <c r="E244" i="55"/>
  <c r="E231" i="55"/>
  <c r="M483" i="47"/>
  <c r="M479" i="47"/>
  <c r="K477" i="47"/>
  <c r="L477" i="47"/>
  <c r="M481" i="47"/>
  <c r="M482" i="47"/>
  <c r="M480" i="47"/>
  <c r="E236" i="55"/>
  <c r="C238" i="55"/>
  <c r="E237" i="55"/>
  <c r="E229" i="55"/>
  <c r="E217" i="55"/>
  <c r="C93" i="55"/>
  <c r="C94" i="55" s="1"/>
  <c r="E218" i="55"/>
  <c r="C219" i="55"/>
  <c r="M472" i="47"/>
  <c r="K181" i="40" s="1"/>
  <c r="M181" i="40" s="1"/>
  <c r="N181" i="40" s="1"/>
  <c r="E211" i="55"/>
  <c r="C212" i="55"/>
  <c r="C95" i="55"/>
  <c r="C96" i="55" s="1"/>
  <c r="E96" i="55" s="1"/>
  <c r="E170" i="55"/>
  <c r="M870" i="47"/>
  <c r="K860" i="47"/>
  <c r="L884" i="47"/>
  <c r="L172" i="47"/>
  <c r="L860" i="47"/>
  <c r="M705" i="47"/>
  <c r="K868" i="47"/>
  <c r="M868" i="47" s="1"/>
  <c r="J868" i="47"/>
  <c r="K661" i="47"/>
  <c r="J661" i="47"/>
  <c r="K390" i="47"/>
  <c r="J390" i="47"/>
  <c r="K726" i="47"/>
  <c r="J726" i="47"/>
  <c r="M188" i="47"/>
  <c r="K89" i="40" s="1"/>
  <c r="M89" i="40" s="1"/>
  <c r="N89" i="40" s="1"/>
  <c r="K167" i="47"/>
  <c r="J167" i="47"/>
  <c r="L192" i="47"/>
  <c r="M710" i="47"/>
  <c r="K55" i="40" s="1"/>
  <c r="M55" i="40" s="1"/>
  <c r="N55" i="40" s="1"/>
  <c r="M728" i="47"/>
  <c r="M38" i="47"/>
  <c r="K108" i="40" s="1"/>
  <c r="L669" i="47"/>
  <c r="M33" i="47"/>
  <c r="K67" i="40" s="1"/>
  <c r="M67" i="40" s="1"/>
  <c r="N67" i="40" s="1"/>
  <c r="M183" i="47"/>
  <c r="M674" i="47"/>
  <c r="M765" i="47"/>
  <c r="K171" i="40" s="1"/>
  <c r="M171" i="40" s="1"/>
  <c r="N171" i="40" s="1"/>
  <c r="M168" i="47"/>
  <c r="K237" i="40" s="1"/>
  <c r="M237" i="40" s="1"/>
  <c r="N237" i="40" s="1"/>
  <c r="M714" i="47"/>
  <c r="K202" i="40" s="1"/>
  <c r="M202" i="40" s="1"/>
  <c r="N202" i="40" s="1"/>
  <c r="M184" i="47"/>
  <c r="M24" i="47"/>
  <c r="K229" i="40" s="1"/>
  <c r="M229" i="40" s="1"/>
  <c r="N229" i="40" s="1"/>
  <c r="M14" i="47"/>
  <c r="K119" i="40" s="1"/>
  <c r="M718" i="47"/>
  <c r="K245" i="40" s="1"/>
  <c r="M652" i="47"/>
  <c r="K40" i="40" s="1"/>
  <c r="M196" i="47"/>
  <c r="K122" i="40" s="1"/>
  <c r="M122" i="40" s="1"/>
  <c r="N122" i="40" s="1"/>
  <c r="M266" i="47"/>
  <c r="K29" i="40" s="1"/>
  <c r="M29" i="40" s="1"/>
  <c r="N29" i="40" s="1"/>
  <c r="BD25" i="35"/>
  <c r="M429" i="47"/>
  <c r="K264" i="40" s="1"/>
  <c r="M264" i="40" s="1"/>
  <c r="N264" i="40" s="1"/>
  <c r="M181" i="47"/>
  <c r="M878" i="47"/>
  <c r="L876" i="47"/>
  <c r="M876" i="47" s="1"/>
  <c r="K211" i="40" s="1"/>
  <c r="M211" i="40" s="1"/>
  <c r="N211" i="40" s="1"/>
  <c r="M648" i="47"/>
  <c r="M831" i="47"/>
  <c r="K109" i="40" s="1"/>
  <c r="M761" i="47"/>
  <c r="M673" i="47"/>
  <c r="M929" i="47"/>
  <c r="K124" i="40" s="1"/>
  <c r="M935" i="47"/>
  <c r="K232" i="40" s="1"/>
  <c r="M664" i="47"/>
  <c r="K216" i="40" s="1"/>
  <c r="M156" i="47"/>
  <c r="M246" i="47"/>
  <c r="M696" i="47"/>
  <c r="K255" i="40" s="1"/>
  <c r="M255" i="40" s="1"/>
  <c r="N255" i="40" s="1"/>
  <c r="F138" i="35"/>
  <c r="G138" i="35" s="1"/>
  <c r="H138" i="35" s="1"/>
  <c r="I138" i="35" s="1"/>
  <c r="J138" i="35" s="1"/>
  <c r="K138" i="35" s="1"/>
  <c r="L138" i="35" s="1"/>
  <c r="M138" i="35" s="1"/>
  <c r="N138" i="35" s="1"/>
  <c r="O138" i="35" s="1"/>
  <c r="P138" i="35" s="1"/>
  <c r="Q138" i="35" s="1"/>
  <c r="R138" i="35" s="1"/>
  <c r="S138" i="35" s="1"/>
  <c r="T138" i="35" s="1"/>
  <c r="U138" i="35" s="1"/>
  <c r="V138" i="35" s="1"/>
  <c r="W138" i="35" s="1"/>
  <c r="X138" i="35" s="1"/>
  <c r="Y138" i="35" s="1"/>
  <c r="Z138" i="35" s="1"/>
  <c r="AA138" i="35" s="1"/>
  <c r="AB138" i="35" s="1"/>
  <c r="AC138" i="35" s="1"/>
  <c r="AD138" i="35" s="1"/>
  <c r="AE138" i="35" s="1"/>
  <c r="AF138" i="35" s="1"/>
  <c r="AG138" i="35" s="1"/>
  <c r="AH138" i="35" s="1"/>
  <c r="AI138" i="35" s="1"/>
  <c r="AJ138" i="35" s="1"/>
  <c r="AK138" i="35" s="1"/>
  <c r="AL138" i="35" s="1"/>
  <c r="AM138" i="35" s="1"/>
  <c r="AN138" i="35" s="1"/>
  <c r="AO138" i="35" s="1"/>
  <c r="AP138" i="35" s="1"/>
  <c r="AQ138" i="35" s="1"/>
  <c r="AR138" i="35" s="1"/>
  <c r="AS138" i="35" s="1"/>
  <c r="AT138" i="35" s="1"/>
  <c r="AU138" i="35" s="1"/>
  <c r="AV138" i="35" s="1"/>
  <c r="AW138" i="35" s="1"/>
  <c r="AX138" i="35" s="1"/>
  <c r="AY138" i="35" s="1"/>
  <c r="AZ138" i="35" s="1"/>
  <c r="BA138" i="35" s="1"/>
  <c r="BB138" i="35" s="1"/>
  <c r="M432" i="47"/>
  <c r="K281" i="40" s="1"/>
  <c r="M281" i="40" s="1"/>
  <c r="N281" i="40" s="1"/>
  <c r="M692" i="47"/>
  <c r="K226" i="40" s="1"/>
  <c r="M226" i="40" s="1"/>
  <c r="N226" i="40" s="1"/>
  <c r="M447" i="47"/>
  <c r="K135" i="40" s="1"/>
  <c r="M135" i="40" s="1"/>
  <c r="N135" i="40" s="1"/>
  <c r="M441" i="47"/>
  <c r="K188" i="40" s="1"/>
  <c r="M188" i="40" s="1"/>
  <c r="N188" i="40" s="1"/>
  <c r="M941" i="47"/>
  <c r="K137" i="40" s="1"/>
  <c r="M137" i="40" s="1"/>
  <c r="N137" i="40" s="1"/>
  <c r="M272" i="47"/>
  <c r="M752" i="47"/>
  <c r="M242" i="47"/>
  <c r="M741" i="47"/>
  <c r="M737" i="47"/>
  <c r="M706" i="47"/>
  <c r="K222" i="40" s="1"/>
  <c r="M222" i="40" s="1"/>
  <c r="N222" i="40" s="1"/>
  <c r="L55" i="47"/>
  <c r="L269" i="47"/>
  <c r="M271" i="47"/>
  <c r="M195" i="47"/>
  <c r="M655" i="47"/>
  <c r="Q191" i="55"/>
  <c r="E35" i="55"/>
  <c r="C102" i="55"/>
  <c r="E101" i="55"/>
  <c r="E409" i="55"/>
  <c r="C410" i="55"/>
  <c r="E410" i="55" s="1"/>
  <c r="C117" i="55"/>
  <c r="E116" i="55"/>
  <c r="C422" i="55"/>
  <c r="E422" i="55" s="1"/>
  <c r="E421" i="55"/>
  <c r="E24" i="55"/>
  <c r="E269" i="55"/>
  <c r="E402" i="55"/>
  <c r="C403" i="55"/>
  <c r="E33" i="55"/>
  <c r="E34" i="55"/>
  <c r="E82" i="55"/>
  <c r="C83" i="55"/>
  <c r="E127" i="55"/>
  <c r="E123" i="55"/>
  <c r="C158" i="55"/>
  <c r="E157" i="55"/>
  <c r="C198" i="55"/>
  <c r="C199" i="55" s="1"/>
  <c r="E197" i="55"/>
  <c r="E290" i="55"/>
  <c r="C17" i="55"/>
  <c r="E16" i="55"/>
  <c r="M419" i="47"/>
  <c r="K189" i="40" s="1"/>
  <c r="M189" i="40" s="1"/>
  <c r="N189" i="40" s="1"/>
  <c r="M880" i="47"/>
  <c r="K213" i="40" s="1"/>
  <c r="M213" i="40" s="1"/>
  <c r="N213" i="40" s="1"/>
  <c r="M238" i="47"/>
  <c r="M201" i="47"/>
  <c r="K142" i="40" s="1"/>
  <c r="M468" i="47"/>
  <c r="K258" i="40" s="1"/>
  <c r="M258" i="40" s="1"/>
  <c r="N258" i="40" s="1"/>
  <c r="M225" i="47"/>
  <c r="K299" i="40" s="1"/>
  <c r="K29" i="55"/>
  <c r="M644" i="47"/>
  <c r="K204" i="40" s="1"/>
  <c r="M204" i="40" s="1"/>
  <c r="N204" i="40" s="1"/>
  <c r="K669" i="47"/>
  <c r="K473" i="55"/>
  <c r="K21" i="55"/>
  <c r="M28" i="47"/>
  <c r="K208" i="40" s="1"/>
  <c r="M208" i="40" s="1"/>
  <c r="N208" i="40" s="1"/>
  <c r="M452" i="47"/>
  <c r="K157" i="40" s="1"/>
  <c r="M157" i="40" s="1"/>
  <c r="N157" i="40" s="1"/>
  <c r="M849" i="47"/>
  <c r="K99" i="40" s="1"/>
  <c r="M744" i="47"/>
  <c r="K465" i="55"/>
  <c r="M465" i="55" s="1"/>
  <c r="N465" i="55" s="1"/>
  <c r="Q465" i="55" s="1"/>
  <c r="K192" i="47"/>
  <c r="M224" i="47"/>
  <c r="BD80" i="35"/>
  <c r="BD19" i="35"/>
  <c r="M927" i="47"/>
  <c r="K926" i="47"/>
  <c r="M926" i="47" s="1"/>
  <c r="K172" i="47"/>
  <c r="BD108" i="35"/>
  <c r="BD47" i="35"/>
  <c r="BD39" i="35"/>
  <c r="BD100" i="35"/>
  <c r="BF17" i="35"/>
  <c r="K884" i="47"/>
  <c r="M890" i="47"/>
  <c r="M871" i="47"/>
  <c r="BD31" i="35"/>
  <c r="BD92" i="35"/>
  <c r="BD112" i="35"/>
  <c r="BD51" i="35"/>
  <c r="M839" i="47"/>
  <c r="K48" i="40" s="1"/>
  <c r="M48" i="40" s="1"/>
  <c r="N48" i="40" s="1"/>
  <c r="M671" i="47"/>
  <c r="BD23" i="35"/>
  <c r="BD84" i="35"/>
  <c r="H16" i="19"/>
  <c r="L54" i="55"/>
  <c r="M54" i="55" s="1"/>
  <c r="N54" i="55" s="1"/>
  <c r="Q54" i="55" s="1"/>
  <c r="M223" i="47"/>
  <c r="K222" i="47"/>
  <c r="M222" i="47" s="1"/>
  <c r="K285" i="40" s="1"/>
  <c r="M285" i="40" s="1"/>
  <c r="N285" i="40" s="1"/>
  <c r="M131" i="40" l="1"/>
  <c r="N131" i="40" s="1"/>
  <c r="M68" i="40"/>
  <c r="N68" i="40" s="1"/>
  <c r="M43" i="40"/>
  <c r="N43" i="40" s="1"/>
  <c r="M200" i="40"/>
  <c r="N200" i="40" s="1"/>
  <c r="M263" i="40"/>
  <c r="N263" i="40" s="1"/>
  <c r="M99" i="40"/>
  <c r="N99" i="40" s="1"/>
  <c r="M46" i="40"/>
  <c r="N46" i="40" s="1"/>
  <c r="M15" i="40"/>
  <c r="N15" i="40" s="1"/>
  <c r="M164" i="40"/>
  <c r="N164" i="40" s="1"/>
  <c r="M109" i="40"/>
  <c r="N109" i="40" s="1"/>
  <c r="M40" i="40"/>
  <c r="N40" i="40" s="1"/>
  <c r="M159" i="40"/>
  <c r="N159" i="40" s="1"/>
  <c r="M20" i="40"/>
  <c r="N20" i="40" s="1"/>
  <c r="M245" i="40"/>
  <c r="N245" i="40" s="1"/>
  <c r="M184" i="40"/>
  <c r="N184" i="40" s="1"/>
  <c r="M62" i="40"/>
  <c r="N62" i="40" s="1"/>
  <c r="M119" i="40"/>
  <c r="N119" i="40" s="1"/>
  <c r="M47" i="40"/>
  <c r="N47" i="40" s="1"/>
  <c r="M30" i="40"/>
  <c r="N30" i="40" s="1"/>
  <c r="M254" i="40"/>
  <c r="N254" i="40" s="1"/>
  <c r="M180" i="40"/>
  <c r="N180" i="40" s="1"/>
  <c r="M299" i="40"/>
  <c r="N299" i="40" s="1"/>
  <c r="M64" i="55"/>
  <c r="N64" i="55" s="1"/>
  <c r="Q64" i="55" s="1"/>
  <c r="M216" i="40"/>
  <c r="N216" i="40" s="1"/>
  <c r="M124" i="40"/>
  <c r="N124" i="40" s="1"/>
  <c r="M108" i="40"/>
  <c r="N108" i="40" s="1"/>
  <c r="M257" i="40"/>
  <c r="N257" i="40" s="1"/>
  <c r="M148" i="40"/>
  <c r="N148" i="40" s="1"/>
  <c r="M165" i="40"/>
  <c r="N165" i="40" s="1"/>
  <c r="M232" i="40"/>
  <c r="N232" i="40" s="1"/>
  <c r="M42" i="40"/>
  <c r="N42" i="40" s="1"/>
  <c r="M173" i="40"/>
  <c r="N173" i="40" s="1"/>
  <c r="M13" i="40"/>
  <c r="N13" i="40" s="1"/>
  <c r="M44" i="40"/>
  <c r="N44" i="40" s="1"/>
  <c r="M142" i="40"/>
  <c r="N142" i="40" s="1"/>
  <c r="M163" i="40"/>
  <c r="N163" i="40" s="1"/>
  <c r="M56" i="40"/>
  <c r="N56" i="40" s="1"/>
  <c r="M331" i="55"/>
  <c r="N331" i="55" s="1"/>
  <c r="Q331" i="55" s="1"/>
  <c r="M354" i="55"/>
  <c r="N354" i="55" s="1"/>
  <c r="Q354" i="55" s="1"/>
  <c r="Q287" i="55"/>
  <c r="M29" i="55"/>
  <c r="N29" i="55" s="1"/>
  <c r="Q29" i="55" s="1"/>
  <c r="M473" i="55"/>
  <c r="N473" i="55" s="1"/>
  <c r="M21" i="55"/>
  <c r="N21" i="55" s="1"/>
  <c r="Q21" i="55" s="1"/>
  <c r="M25" i="55"/>
  <c r="N25" i="55" s="1"/>
  <c r="Q25" i="55" s="1"/>
  <c r="M469" i="55"/>
  <c r="N469" i="55" s="1"/>
  <c r="Q469" i="55" s="1"/>
  <c r="N89" i="55"/>
  <c r="C52" i="55"/>
  <c r="C53" i="55" s="1"/>
  <c r="C54" i="55" s="1"/>
  <c r="C50" i="55"/>
  <c r="M43" i="55"/>
  <c r="N43" i="55" s="1"/>
  <c r="Q43" i="55" s="1"/>
  <c r="M368" i="55"/>
  <c r="N368" i="55" s="1"/>
  <c r="Q368" i="55" s="1"/>
  <c r="M367" i="55"/>
  <c r="N367" i="55" s="1"/>
  <c r="Q367" i="55" s="1"/>
  <c r="M369" i="55"/>
  <c r="N369" i="55" s="1"/>
  <c r="Q369" i="55" s="1"/>
  <c r="K328" i="55"/>
  <c r="M328" i="55" s="1"/>
  <c r="N328" i="55" s="1"/>
  <c r="Q328" i="55" s="1"/>
  <c r="K313" i="55"/>
  <c r="M313" i="55" s="1"/>
  <c r="N313" i="55" s="1"/>
  <c r="Q313" i="55" s="1"/>
  <c r="K347" i="55"/>
  <c r="M347" i="55" s="1"/>
  <c r="N347" i="55" s="1"/>
  <c r="Q347" i="55" s="1"/>
  <c r="K329" i="55"/>
  <c r="M329" i="55" s="1"/>
  <c r="N329" i="55" s="1"/>
  <c r="Q329" i="55" s="1"/>
  <c r="K449" i="55"/>
  <c r="M449" i="55" s="1"/>
  <c r="N449" i="55" s="1"/>
  <c r="Q449" i="55" s="1"/>
  <c r="K317" i="55"/>
  <c r="M317" i="55" s="1"/>
  <c r="N317" i="55" s="1"/>
  <c r="Q317" i="55" s="1"/>
  <c r="K362" i="55"/>
  <c r="M362" i="55" s="1"/>
  <c r="N362" i="55" s="1"/>
  <c r="Q362" i="55" s="1"/>
  <c r="K361" i="55"/>
  <c r="M361" i="55" s="1"/>
  <c r="N361" i="55" s="1"/>
  <c r="Q361" i="55" s="1"/>
  <c r="K280" i="55"/>
  <c r="M280" i="55" s="1"/>
  <c r="N280" i="55" s="1"/>
  <c r="Q280" i="55" s="1"/>
  <c r="C43" i="55"/>
  <c r="E43" i="55" s="1"/>
  <c r="E42" i="55"/>
  <c r="G83" i="19"/>
  <c r="E26" i="55"/>
  <c r="K355" i="55"/>
  <c r="M355" i="55" s="1"/>
  <c r="N355" i="55" s="1"/>
  <c r="Q355" i="55" s="1"/>
  <c r="K302" i="55"/>
  <c r="M302" i="55" s="1"/>
  <c r="N302" i="55" s="1"/>
  <c r="Q302" i="55" s="1"/>
  <c r="K60" i="55"/>
  <c r="M60" i="55" s="1"/>
  <c r="N60" i="55" s="1"/>
  <c r="Q60" i="55" s="1"/>
  <c r="K208" i="55"/>
  <c r="M208" i="55" s="1"/>
  <c r="N208" i="55" s="1"/>
  <c r="Q208" i="55" s="1"/>
  <c r="K345" i="55"/>
  <c r="M345" i="55" s="1"/>
  <c r="N345" i="55" s="1"/>
  <c r="Q345" i="55" s="1"/>
  <c r="K177" i="55"/>
  <c r="M177" i="55" s="1"/>
  <c r="N177" i="55" s="1"/>
  <c r="N172" i="55" s="1"/>
  <c r="K455" i="55"/>
  <c r="M455" i="55" s="1"/>
  <c r="N455" i="55" s="1"/>
  <c r="Q455" i="55" s="1"/>
  <c r="K255" i="55"/>
  <c r="M255" i="55" s="1"/>
  <c r="N255" i="55" s="1"/>
  <c r="Q255" i="55" s="1"/>
  <c r="K238" i="55"/>
  <c r="M238" i="55" s="1"/>
  <c r="N238" i="55" s="1"/>
  <c r="Q238" i="55" s="1"/>
  <c r="M270" i="47"/>
  <c r="M634" i="47"/>
  <c r="K153" i="40" s="1"/>
  <c r="M153" i="40" s="1"/>
  <c r="N153" i="40" s="1"/>
  <c r="K350" i="55"/>
  <c r="M350" i="55" s="1"/>
  <c r="N350" i="55" s="1"/>
  <c r="Q350" i="55" s="1"/>
  <c r="K353" i="55"/>
  <c r="M353" i="55" s="1"/>
  <c r="N353" i="55" s="1"/>
  <c r="Q353" i="55" s="1"/>
  <c r="K352" i="55"/>
  <c r="M352" i="55" s="1"/>
  <c r="N352" i="55" s="1"/>
  <c r="Q352" i="55" s="1"/>
  <c r="K357" i="55"/>
  <c r="M357" i="55" s="1"/>
  <c r="N357" i="55" s="1"/>
  <c r="Q357" i="55" s="1"/>
  <c r="M784" i="47"/>
  <c r="K298" i="40" s="1"/>
  <c r="M298" i="40" s="1"/>
  <c r="N298" i="40" s="1"/>
  <c r="K320" i="55"/>
  <c r="M320" i="55" s="1"/>
  <c r="N320" i="55" s="1"/>
  <c r="Q320" i="55" s="1"/>
  <c r="K318" i="55"/>
  <c r="M318" i="55" s="1"/>
  <c r="N318" i="55" s="1"/>
  <c r="Q318" i="55" s="1"/>
  <c r="M595" i="47"/>
  <c r="K268" i="40" s="1"/>
  <c r="M268" i="40" s="1"/>
  <c r="N268" i="40" s="1"/>
  <c r="K35" i="55"/>
  <c r="M35" i="55" s="1"/>
  <c r="N35" i="55" s="1"/>
  <c r="Q35" i="55" s="1"/>
  <c r="M209" i="47"/>
  <c r="J58" i="47" s="1"/>
  <c r="M554" i="47"/>
  <c r="C186" i="55"/>
  <c r="E186" i="55" s="1"/>
  <c r="E199" i="55"/>
  <c r="C200" i="55"/>
  <c r="E184" i="55"/>
  <c r="E45" i="55"/>
  <c r="E44" i="55"/>
  <c r="E117" i="55"/>
  <c r="C118" i="55"/>
  <c r="K443" i="55"/>
  <c r="M443" i="55" s="1"/>
  <c r="N443" i="55" s="1"/>
  <c r="Q443" i="55" s="1"/>
  <c r="Q428" i="55"/>
  <c r="K439" i="55"/>
  <c r="M439" i="55" s="1"/>
  <c r="N439" i="55" s="1"/>
  <c r="Q439" i="55" s="1"/>
  <c r="K441" i="55"/>
  <c r="M441" i="55" s="1"/>
  <c r="N441" i="55" s="1"/>
  <c r="Q441" i="55" s="1"/>
  <c r="K438" i="55"/>
  <c r="M438" i="55" s="1"/>
  <c r="N438" i="55" s="1"/>
  <c r="Q438" i="55" s="1"/>
  <c r="K436" i="55"/>
  <c r="M436" i="55" s="1"/>
  <c r="N436" i="55" s="1"/>
  <c r="Q436" i="55" s="1"/>
  <c r="M21" i="52"/>
  <c r="K458" i="55"/>
  <c r="M458" i="55" s="1"/>
  <c r="N458" i="55" s="1"/>
  <c r="Q458" i="55" s="1"/>
  <c r="C456" i="55"/>
  <c r="E455" i="55"/>
  <c r="C470" i="55"/>
  <c r="E469" i="55"/>
  <c r="C415" i="55"/>
  <c r="E415" i="55" s="1"/>
  <c r="E414" i="55"/>
  <c r="E158" i="55"/>
  <c r="C159" i="55"/>
  <c r="M148" i="47"/>
  <c r="K21" i="40" s="1"/>
  <c r="M21" i="40" s="1"/>
  <c r="N21" i="40" s="1"/>
  <c r="M134" i="47"/>
  <c r="K16" i="40" s="1"/>
  <c r="M16" i="40" s="1"/>
  <c r="N16" i="40" s="1"/>
  <c r="K41" i="55"/>
  <c r="M41" i="55" s="1"/>
  <c r="N41" i="55" s="1"/>
  <c r="Q41" i="55" s="1"/>
  <c r="E39" i="55"/>
  <c r="E41" i="55"/>
  <c r="E46" i="55"/>
  <c r="K200" i="55"/>
  <c r="M200" i="55" s="1"/>
  <c r="N200" i="55" s="1"/>
  <c r="Q200" i="55" s="1"/>
  <c r="E198" i="55"/>
  <c r="M335" i="47"/>
  <c r="K28" i="40" s="1"/>
  <c r="M28" i="40" s="1"/>
  <c r="N28" i="40" s="1"/>
  <c r="M16" i="52"/>
  <c r="M319" i="47"/>
  <c r="K150" i="40" s="1"/>
  <c r="M150" i="40" s="1"/>
  <c r="N150" i="40" s="1"/>
  <c r="E185" i="55"/>
  <c r="M11" i="52"/>
  <c r="E178" i="55"/>
  <c r="E379" i="55"/>
  <c r="C380" i="55"/>
  <c r="E380" i="55" s="1"/>
  <c r="D391" i="55"/>
  <c r="D392" i="55" s="1"/>
  <c r="D393" i="55" s="1"/>
  <c r="M487" i="47"/>
  <c r="K95" i="40" s="1"/>
  <c r="M95" i="40" s="1"/>
  <c r="N95" i="40" s="1"/>
  <c r="E378" i="55"/>
  <c r="M25" i="52"/>
  <c r="M273" i="47"/>
  <c r="K172" i="40" s="1"/>
  <c r="M172" i="40" s="1"/>
  <c r="N172" i="40" s="1"/>
  <c r="E94" i="55"/>
  <c r="C97" i="55"/>
  <c r="K279" i="55"/>
  <c r="M279" i="55" s="1"/>
  <c r="N279" i="55" s="1"/>
  <c r="Q279" i="55" s="1"/>
  <c r="E256" i="55"/>
  <c r="C251" i="55"/>
  <c r="E250" i="55"/>
  <c r="K244" i="55"/>
  <c r="M244" i="55" s="1"/>
  <c r="N244" i="55" s="1"/>
  <c r="Q244" i="55" s="1"/>
  <c r="E93" i="55"/>
  <c r="E238" i="55"/>
  <c r="C240" i="55"/>
  <c r="E240" i="55" s="1"/>
  <c r="C239" i="55"/>
  <c r="M477" i="47"/>
  <c r="K250" i="40" s="1"/>
  <c r="M250" i="40" s="1"/>
  <c r="N250" i="40" s="1"/>
  <c r="E219" i="55"/>
  <c r="C220" i="55"/>
  <c r="E95" i="55"/>
  <c r="C213" i="55"/>
  <c r="E212" i="55"/>
  <c r="K49" i="55"/>
  <c r="M49" i="55" s="1"/>
  <c r="N49" i="55" s="1"/>
  <c r="Q49" i="55" s="1"/>
  <c r="K53" i="55"/>
  <c r="M53" i="55" s="1"/>
  <c r="N53" i="55" s="1"/>
  <c r="Q53" i="55" s="1"/>
  <c r="K17" i="55"/>
  <c r="M17" i="55" s="1"/>
  <c r="N17" i="55" s="1"/>
  <c r="Q17" i="55" s="1"/>
  <c r="M884" i="47"/>
  <c r="M860" i="47"/>
  <c r="K161" i="40" s="1"/>
  <c r="M161" i="40" s="1"/>
  <c r="N161" i="40" s="1"/>
  <c r="K867" i="47"/>
  <c r="M867" i="47" s="1"/>
  <c r="K145" i="40" s="1"/>
  <c r="M145" i="40" s="1"/>
  <c r="N145" i="40" s="1"/>
  <c r="M172" i="47"/>
  <c r="M390" i="47"/>
  <c r="K387" i="47"/>
  <c r="M387" i="47" s="1"/>
  <c r="K71" i="40" s="1"/>
  <c r="M71" i="40" s="1"/>
  <c r="N71" i="40" s="1"/>
  <c r="K722" i="47"/>
  <c r="M722" i="47" s="1"/>
  <c r="M726" i="47"/>
  <c r="M661" i="47"/>
  <c r="K658" i="47"/>
  <c r="M658" i="47" s="1"/>
  <c r="K85" i="40" s="1"/>
  <c r="M85" i="40" s="1"/>
  <c r="N85" i="40" s="1"/>
  <c r="K217" i="55"/>
  <c r="M217" i="55" s="1"/>
  <c r="N217" i="55" s="1"/>
  <c r="Q217" i="55" s="1"/>
  <c r="K221" i="55"/>
  <c r="M221" i="55" s="1"/>
  <c r="N221" i="55" s="1"/>
  <c r="Q221" i="55" s="1"/>
  <c r="M192" i="47"/>
  <c r="K12" i="40" s="1"/>
  <c r="M12" i="40" s="1"/>
  <c r="N12" i="40" s="1"/>
  <c r="K34" i="55"/>
  <c r="M34" i="55" s="1"/>
  <c r="N34" i="55" s="1"/>
  <c r="Q34" i="55" s="1"/>
  <c r="M167" i="47"/>
  <c r="K165" i="47"/>
  <c r="M669" i="47"/>
  <c r="K170" i="40" s="1"/>
  <c r="M170" i="40" s="1"/>
  <c r="N170" i="40" s="1"/>
  <c r="K309" i="55"/>
  <c r="M309" i="55" s="1"/>
  <c r="N309" i="55" s="1"/>
  <c r="Q309" i="55" s="1"/>
  <c r="K228" i="55"/>
  <c r="M228" i="55" s="1"/>
  <c r="N228" i="55" s="1"/>
  <c r="Q228" i="55" s="1"/>
  <c r="K281" i="55"/>
  <c r="M281" i="55" s="1"/>
  <c r="N281" i="55" s="1"/>
  <c r="Q281" i="55" s="1"/>
  <c r="K311" i="55"/>
  <c r="M311" i="55" s="1"/>
  <c r="N311" i="55" s="1"/>
  <c r="Q311" i="55" s="1"/>
  <c r="K167" i="55"/>
  <c r="M167" i="55" s="1"/>
  <c r="N167" i="55" s="1"/>
  <c r="Q167" i="55" s="1"/>
  <c r="K308" i="55"/>
  <c r="M308" i="55" s="1"/>
  <c r="N308" i="55" s="1"/>
  <c r="Q308" i="55" s="1"/>
  <c r="M269" i="47"/>
  <c r="K53" i="40" s="1"/>
  <c r="M53" i="40" s="1"/>
  <c r="N53" i="40" s="1"/>
  <c r="K274" i="55"/>
  <c r="M274" i="55" s="1"/>
  <c r="N274" i="55" s="1"/>
  <c r="Q274" i="55" s="1"/>
  <c r="K63" i="55"/>
  <c r="M63" i="55" s="1"/>
  <c r="N63" i="55" s="1"/>
  <c r="K307" i="55"/>
  <c r="M307" i="55" s="1"/>
  <c r="N307" i="55" s="1"/>
  <c r="Q307" i="55" s="1"/>
  <c r="K24" i="55"/>
  <c r="M24" i="55" s="1"/>
  <c r="N24" i="55" s="1"/>
  <c r="Q24" i="55" s="1"/>
  <c r="K282" i="55"/>
  <c r="M282" i="55" s="1"/>
  <c r="N282" i="55" s="1"/>
  <c r="Q282" i="55" s="1"/>
  <c r="K298" i="55"/>
  <c r="M298" i="55" s="1"/>
  <c r="N298" i="55" s="1"/>
  <c r="Q298" i="55" s="1"/>
  <c r="K220" i="55"/>
  <c r="M220" i="55" s="1"/>
  <c r="N220" i="55" s="1"/>
  <c r="Q220" i="55" s="1"/>
  <c r="K33" i="55"/>
  <c r="M33" i="55" s="1"/>
  <c r="N33" i="55" s="1"/>
  <c r="Q33" i="55" s="1"/>
  <c r="K417" i="55"/>
  <c r="M417" i="55" s="1"/>
  <c r="N417" i="55" s="1"/>
  <c r="K306" i="55"/>
  <c r="M306" i="55" s="1"/>
  <c r="N306" i="55" s="1"/>
  <c r="Q306" i="55" s="1"/>
  <c r="K294" i="55"/>
  <c r="M294" i="55" s="1"/>
  <c r="N294" i="55" s="1"/>
  <c r="Q294" i="55" s="1"/>
  <c r="K223" i="55"/>
  <c r="M223" i="55" s="1"/>
  <c r="N223" i="55" s="1"/>
  <c r="Q223" i="55" s="1"/>
  <c r="K142" i="55"/>
  <c r="M142" i="55" s="1"/>
  <c r="N142" i="55" s="1"/>
  <c r="Q142" i="55" s="1"/>
  <c r="K276" i="55"/>
  <c r="M276" i="55" s="1"/>
  <c r="N276" i="55" s="1"/>
  <c r="Q276" i="55" s="1"/>
  <c r="K32" i="55"/>
  <c r="M32" i="55" s="1"/>
  <c r="N32" i="55" s="1"/>
  <c r="Q32" i="55" s="1"/>
  <c r="K305" i="55"/>
  <c r="M305" i="55" s="1"/>
  <c r="N305" i="55" s="1"/>
  <c r="Q305" i="55" s="1"/>
  <c r="K136" i="55"/>
  <c r="M136" i="55" s="1"/>
  <c r="N136" i="55" s="1"/>
  <c r="K358" i="55"/>
  <c r="M358" i="55" s="1"/>
  <c r="N358" i="55" s="1"/>
  <c r="Q358" i="55" s="1"/>
  <c r="K295" i="55"/>
  <c r="M295" i="55" s="1"/>
  <c r="N295" i="55" s="1"/>
  <c r="Q295" i="55" s="1"/>
  <c r="K147" i="55"/>
  <c r="M147" i="55" s="1"/>
  <c r="N147" i="55" s="1"/>
  <c r="Q147" i="55" s="1"/>
  <c r="K23" i="55"/>
  <c r="M23" i="55" s="1"/>
  <c r="N23" i="55" s="1"/>
  <c r="Q23" i="55" s="1"/>
  <c r="E72" i="55"/>
  <c r="E291" i="55"/>
  <c r="E403" i="55"/>
  <c r="C404" i="55"/>
  <c r="E102" i="55"/>
  <c r="C103" i="55"/>
  <c r="E83" i="55"/>
  <c r="C84" i="55"/>
  <c r="E84" i="55" s="1"/>
  <c r="E65" i="55"/>
  <c r="E270" i="55"/>
  <c r="C18" i="55"/>
  <c r="E17" i="55"/>
  <c r="F31" i="19"/>
  <c r="H14" i="19"/>
  <c r="Q473" i="55"/>
  <c r="N471" i="55"/>
  <c r="K219" i="55"/>
  <c r="M219" i="55" s="1"/>
  <c r="N219" i="55" s="1"/>
  <c r="Q219" i="55" s="1"/>
  <c r="H17" i="19"/>
  <c r="F22" i="19"/>
  <c r="K82" i="55"/>
  <c r="M82" i="55" s="1"/>
  <c r="N82" i="55" s="1"/>
  <c r="Q82" i="55" s="1"/>
  <c r="K466" i="55"/>
  <c r="M466" i="55" s="1"/>
  <c r="N466" i="55" s="1"/>
  <c r="Q466" i="55" s="1"/>
  <c r="H20" i="19"/>
  <c r="H24" i="19"/>
  <c r="K165" i="55"/>
  <c r="M165" i="55" s="1"/>
  <c r="N165" i="55" s="1"/>
  <c r="K224" i="55"/>
  <c r="M224" i="55" s="1"/>
  <c r="N224" i="55" s="1"/>
  <c r="Q224" i="55" s="1"/>
  <c r="BC23" i="35"/>
  <c r="BC84" i="35"/>
  <c r="H28" i="19"/>
  <c r="K293" i="55"/>
  <c r="M293" i="55" s="1"/>
  <c r="N293" i="55" s="1"/>
  <c r="H30" i="19"/>
  <c r="C51" i="55" l="1"/>
  <c r="E51" i="55" s="1"/>
  <c r="E50" i="55"/>
  <c r="K312" i="55"/>
  <c r="M312" i="55" s="1"/>
  <c r="N312" i="55" s="1"/>
  <c r="Q312" i="55" s="1"/>
  <c r="K127" i="55"/>
  <c r="M127" i="55" s="1"/>
  <c r="N127" i="55" s="1"/>
  <c r="Q127" i="55" s="1"/>
  <c r="K188" i="55"/>
  <c r="M188" i="55" s="1"/>
  <c r="N188" i="55" s="1"/>
  <c r="Q188" i="55" s="1"/>
  <c r="K376" i="55"/>
  <c r="M376" i="55" s="1"/>
  <c r="N376" i="55" s="1"/>
  <c r="K197" i="55"/>
  <c r="M197" i="55" s="1"/>
  <c r="N197" i="55" s="1"/>
  <c r="Q197" i="55" s="1"/>
  <c r="K334" i="55"/>
  <c r="M334" i="55" s="1"/>
  <c r="N334" i="55" s="1"/>
  <c r="Q334" i="55" s="1"/>
  <c r="Q177" i="55"/>
  <c r="K296" i="55"/>
  <c r="M296" i="55" s="1"/>
  <c r="N296" i="55" s="1"/>
  <c r="Q296" i="55" s="1"/>
  <c r="K356" i="55"/>
  <c r="M356" i="55" s="1"/>
  <c r="N356" i="55" s="1"/>
  <c r="Q356" i="55" s="1"/>
  <c r="K297" i="55"/>
  <c r="M297" i="55" s="1"/>
  <c r="N297" i="55" s="1"/>
  <c r="Q297" i="55" s="1"/>
  <c r="K159" i="55"/>
  <c r="M159" i="55" s="1"/>
  <c r="N159" i="55" s="1"/>
  <c r="Q159" i="55" s="1"/>
  <c r="K235" i="55"/>
  <c r="M235" i="55" s="1"/>
  <c r="N235" i="55" s="1"/>
  <c r="Q235" i="55" s="1"/>
  <c r="C201" i="55"/>
  <c r="C202" i="55" s="1"/>
  <c r="C203" i="55" s="1"/>
  <c r="C204" i="55" s="1"/>
  <c r="C205" i="55" s="1"/>
  <c r="C187" i="55"/>
  <c r="C188" i="55" s="1"/>
  <c r="E200" i="55"/>
  <c r="Q63" i="55"/>
  <c r="N55" i="55"/>
  <c r="C119" i="55"/>
  <c r="E119" i="55" s="1"/>
  <c r="E118" i="55"/>
  <c r="M892" i="47"/>
  <c r="K454" i="55"/>
  <c r="M454" i="55" s="1"/>
  <c r="N454" i="55" s="1"/>
  <c r="Q454" i="55" s="1"/>
  <c r="K457" i="55"/>
  <c r="M457" i="55" s="1"/>
  <c r="N457" i="55" s="1"/>
  <c r="Q457" i="55" s="1"/>
  <c r="E456" i="55"/>
  <c r="E470" i="55"/>
  <c r="Q417" i="55"/>
  <c r="Q136" i="55"/>
  <c r="C160" i="55"/>
  <c r="E160" i="55" s="1"/>
  <c r="E159" i="55"/>
  <c r="K109" i="47"/>
  <c r="E47" i="55"/>
  <c r="E179" i="55"/>
  <c r="D394" i="55"/>
  <c r="D395" i="55" s="1"/>
  <c r="K453" i="55"/>
  <c r="M453" i="55" s="1"/>
  <c r="N453" i="55" s="1"/>
  <c r="Q453" i="55" s="1"/>
  <c r="C98" i="55"/>
  <c r="E98" i="55" s="1"/>
  <c r="E97" i="55"/>
  <c r="N272" i="55"/>
  <c r="E257" i="55"/>
  <c r="C252" i="55"/>
  <c r="E252" i="55" s="1"/>
  <c r="E251" i="55"/>
  <c r="E247" i="55"/>
  <c r="E239" i="55"/>
  <c r="C241" i="55"/>
  <c r="E241" i="55" s="1"/>
  <c r="E220" i="55"/>
  <c r="C221" i="55"/>
  <c r="C222" i="55" s="1"/>
  <c r="C223" i="55" s="1"/>
  <c r="C224" i="55" s="1"/>
  <c r="C225" i="55" s="1"/>
  <c r="C214" i="55"/>
  <c r="E213" i="55"/>
  <c r="K170" i="55"/>
  <c r="M170" i="55" s="1"/>
  <c r="N170" i="55" s="1"/>
  <c r="Q170" i="55" s="1"/>
  <c r="F21" i="19"/>
  <c r="BD33" i="35" s="1"/>
  <c r="K463" i="55"/>
  <c r="M463" i="55" s="1"/>
  <c r="N463" i="55" s="1"/>
  <c r="K146" i="55"/>
  <c r="M146" i="55" s="1"/>
  <c r="N146" i="55" s="1"/>
  <c r="Q146" i="55" s="1"/>
  <c r="K418" i="55"/>
  <c r="M418" i="55" s="1"/>
  <c r="N418" i="55" s="1"/>
  <c r="Q418" i="55" s="1"/>
  <c r="K15" i="55"/>
  <c r="M15" i="55" s="1"/>
  <c r="N15" i="55" s="1"/>
  <c r="Q15" i="55" s="1"/>
  <c r="K359" i="55"/>
  <c r="M359" i="55" s="1"/>
  <c r="N359" i="55" s="1"/>
  <c r="Q359" i="55" s="1"/>
  <c r="K154" i="55"/>
  <c r="M154" i="55" s="1"/>
  <c r="N154" i="55" s="1"/>
  <c r="Q154" i="55" s="1"/>
  <c r="K300" i="55"/>
  <c r="M300" i="55" s="1"/>
  <c r="N300" i="55" s="1"/>
  <c r="Q300" i="55" s="1"/>
  <c r="K57" i="47"/>
  <c r="M165" i="47"/>
  <c r="K171" i="55"/>
  <c r="M171" i="55" s="1"/>
  <c r="N171" i="55" s="1"/>
  <c r="Q171" i="55" s="1"/>
  <c r="K158" i="55"/>
  <c r="M158" i="55" s="1"/>
  <c r="N158" i="55" s="1"/>
  <c r="Q158" i="55" s="1"/>
  <c r="F25" i="19"/>
  <c r="BD41" i="35" s="1"/>
  <c r="K156" i="55"/>
  <c r="M156" i="55" s="1"/>
  <c r="N156" i="55" s="1"/>
  <c r="Q156" i="55" s="1"/>
  <c r="E103" i="55"/>
  <c r="C104" i="55"/>
  <c r="E18" i="55"/>
  <c r="C19" i="55"/>
  <c r="E19" i="55" s="1"/>
  <c r="E271" i="55"/>
  <c r="E25" i="55"/>
  <c r="E404" i="55"/>
  <c r="C405" i="55"/>
  <c r="E292" i="55"/>
  <c r="E73" i="55"/>
  <c r="BD120" i="35"/>
  <c r="BD63" i="35"/>
  <c r="BD59" i="35"/>
  <c r="BD69" i="35"/>
  <c r="BD134" i="35"/>
  <c r="BD55" i="35"/>
  <c r="BD114" i="35"/>
  <c r="BD71" i="35"/>
  <c r="BD128" i="35"/>
  <c r="BD130" i="35"/>
  <c r="BD61" i="35"/>
  <c r="BD118" i="35"/>
  <c r="BD122" i="35"/>
  <c r="BD53" i="35"/>
  <c r="BD65" i="35"/>
  <c r="BD132" i="35"/>
  <c r="BD126" i="35"/>
  <c r="BD57" i="35"/>
  <c r="BD124" i="35"/>
  <c r="BD116" i="35"/>
  <c r="BD73" i="35"/>
  <c r="BD67" i="35"/>
  <c r="BC86" i="35"/>
  <c r="BF86" i="35" s="1"/>
  <c r="BC25" i="35"/>
  <c r="BF25" i="35" s="1"/>
  <c r="BD96" i="35"/>
  <c r="BD35" i="35"/>
  <c r="F26" i="19"/>
  <c r="BC39" i="35"/>
  <c r="BC100" i="35"/>
  <c r="BC31" i="35"/>
  <c r="BC92" i="35"/>
  <c r="Q293" i="55"/>
  <c r="BF84" i="35"/>
  <c r="F19" i="19"/>
  <c r="BC108" i="35"/>
  <c r="BC47" i="35"/>
  <c r="BF23" i="35"/>
  <c r="H31" i="19"/>
  <c r="N36" i="55"/>
  <c r="F23" i="19"/>
  <c r="Q165" i="55"/>
  <c r="BC51" i="35"/>
  <c r="BC112" i="35"/>
  <c r="F15" i="19"/>
  <c r="BC19" i="35"/>
  <c r="BC80" i="35"/>
  <c r="N163" i="55" l="1"/>
  <c r="N285" i="55"/>
  <c r="Q376" i="55"/>
  <c r="N373" i="55"/>
  <c r="N120" i="55"/>
  <c r="N193" i="55"/>
  <c r="N180" i="55"/>
  <c r="N12" i="55"/>
  <c r="H12" i="56" s="1"/>
  <c r="BC14" i="57" s="1"/>
  <c r="D333" i="55"/>
  <c r="D334" i="55" s="1"/>
  <c r="E201" i="55"/>
  <c r="E202" i="55"/>
  <c r="E203" i="55"/>
  <c r="N426" i="55"/>
  <c r="C457" i="55"/>
  <c r="Q463" i="55"/>
  <c r="N459" i="55"/>
  <c r="N399" i="55"/>
  <c r="K100" i="47"/>
  <c r="M100" i="47" s="1"/>
  <c r="K101" i="40" s="1"/>
  <c r="M101" i="40" s="1"/>
  <c r="N101" i="40" s="1"/>
  <c r="M109" i="47"/>
  <c r="K106" i="47"/>
  <c r="M106" i="47" s="1"/>
  <c r="K221" i="40" s="1"/>
  <c r="M221" i="40" s="1"/>
  <c r="N221" i="40" s="1"/>
  <c r="J109" i="47"/>
  <c r="E48" i="55"/>
  <c r="D396" i="55"/>
  <c r="D397" i="55" s="1"/>
  <c r="D398" i="55" s="1"/>
  <c r="E258" i="55"/>
  <c r="E262" i="55"/>
  <c r="E248" i="55"/>
  <c r="E246" i="55"/>
  <c r="E222" i="55"/>
  <c r="E221" i="55"/>
  <c r="E214" i="55"/>
  <c r="BD94" i="35"/>
  <c r="F29" i="19"/>
  <c r="BD110" i="35" s="1"/>
  <c r="N209" i="55"/>
  <c r="H12" i="19"/>
  <c r="F12" i="19"/>
  <c r="BD15" i="35" s="1"/>
  <c r="BD136" i="35" s="1"/>
  <c r="F27" i="19"/>
  <c r="BD45" i="35" s="1"/>
  <c r="J57" i="47"/>
  <c r="K55" i="47"/>
  <c r="M55" i="47" s="1"/>
  <c r="K113" i="40" s="1"/>
  <c r="M113" i="40" s="1"/>
  <c r="N113" i="40" s="1"/>
  <c r="M57" i="47"/>
  <c r="BD102" i="35"/>
  <c r="E75" i="55"/>
  <c r="E293" i="55"/>
  <c r="E104" i="55"/>
  <c r="C105" i="55"/>
  <c r="C406" i="55"/>
  <c r="E406" i="55" s="1"/>
  <c r="E405" i="55"/>
  <c r="H21" i="19"/>
  <c r="H22" i="19"/>
  <c r="BF80" i="35"/>
  <c r="BF108" i="35"/>
  <c r="H25" i="19"/>
  <c r="H26" i="19"/>
  <c r="H15" i="19"/>
  <c r="BF112" i="35"/>
  <c r="BF100" i="35"/>
  <c r="BF19" i="35"/>
  <c r="BC69" i="35"/>
  <c r="BC120" i="35"/>
  <c r="BC73" i="35"/>
  <c r="BC67" i="35"/>
  <c r="BC59" i="35"/>
  <c r="BC134" i="35"/>
  <c r="BC114" i="35"/>
  <c r="BC130" i="35"/>
  <c r="BC61" i="35"/>
  <c r="BC53" i="35"/>
  <c r="BC126" i="35"/>
  <c r="BC116" i="35"/>
  <c r="BC122" i="35"/>
  <c r="BC63" i="35"/>
  <c r="BC55" i="35"/>
  <c r="BC132" i="35"/>
  <c r="BC71" i="35"/>
  <c r="BC128" i="35"/>
  <c r="BC118" i="35"/>
  <c r="BC65" i="35"/>
  <c r="BC57" i="35"/>
  <c r="BC124" i="35"/>
  <c r="BF51" i="35"/>
  <c r="BF39" i="35"/>
  <c r="BD49" i="35"/>
  <c r="BF47" i="35"/>
  <c r="H23" i="19"/>
  <c r="BF92" i="35"/>
  <c r="BD82" i="35"/>
  <c r="BD21" i="35"/>
  <c r="BD37" i="35"/>
  <c r="BD98" i="35"/>
  <c r="BD29" i="35"/>
  <c r="BD90" i="35"/>
  <c r="BF31" i="35"/>
  <c r="BD104" i="35"/>
  <c r="BD43" i="35"/>
  <c r="N314" i="40" l="1"/>
  <c r="T307" i="40" s="1"/>
  <c r="K148" i="55"/>
  <c r="M148" i="55" s="1"/>
  <c r="N148" i="55" s="1"/>
  <c r="Q148" i="55" s="1"/>
  <c r="K144" i="55"/>
  <c r="M144" i="55" s="1"/>
  <c r="N144" i="55" s="1"/>
  <c r="Q144" i="55" s="1"/>
  <c r="D335" i="55"/>
  <c r="D336" i="55" s="1"/>
  <c r="D337" i="55" s="1"/>
  <c r="D338" i="55" s="1"/>
  <c r="D339" i="55" s="1"/>
  <c r="D340" i="55" s="1"/>
  <c r="D341" i="55" s="1"/>
  <c r="D342" i="55" s="1"/>
  <c r="D343" i="55" s="1"/>
  <c r="D344" i="55" s="1"/>
  <c r="D345" i="55" s="1"/>
  <c r="D346" i="55" s="1"/>
  <c r="D347" i="55" s="1"/>
  <c r="D349" i="55" s="1"/>
  <c r="E457" i="55"/>
  <c r="C458" i="55"/>
  <c r="E458" i="55" s="1"/>
  <c r="K149" i="55"/>
  <c r="M149" i="55" s="1"/>
  <c r="N149" i="55" s="1"/>
  <c r="Q149" i="55" s="1"/>
  <c r="E49" i="55"/>
  <c r="E187" i="55"/>
  <c r="C381" i="55"/>
  <c r="E259" i="55"/>
  <c r="E263" i="55"/>
  <c r="E223" i="55"/>
  <c r="K12" i="56"/>
  <c r="F78" i="19"/>
  <c r="BD76" i="35"/>
  <c r="H27" i="19"/>
  <c r="BC106" i="35" s="1"/>
  <c r="BD106" i="35"/>
  <c r="E294" i="55"/>
  <c r="E105" i="55"/>
  <c r="C106" i="55"/>
  <c r="C77" i="55"/>
  <c r="E76" i="55"/>
  <c r="BC35" i="35"/>
  <c r="BF35" i="35" s="1"/>
  <c r="BC96" i="35"/>
  <c r="BF96" i="35" s="1"/>
  <c r="BC33" i="35"/>
  <c r="BF33" i="35" s="1"/>
  <c r="BC94" i="35"/>
  <c r="BF94" i="35" s="1"/>
  <c r="BC43" i="35"/>
  <c r="BC104" i="35"/>
  <c r="BC76" i="35"/>
  <c r="BC15" i="35"/>
  <c r="BF71" i="35"/>
  <c r="BF53" i="35"/>
  <c r="BF120" i="35"/>
  <c r="BF126" i="35"/>
  <c r="BF73" i="35"/>
  <c r="BF132" i="35"/>
  <c r="BF61" i="35"/>
  <c r="BF69" i="35"/>
  <c r="BF55" i="35"/>
  <c r="BF124" i="35"/>
  <c r="BF63" i="35"/>
  <c r="BF114" i="35"/>
  <c r="BF128" i="35"/>
  <c r="BF130" i="35"/>
  <c r="BF57" i="35"/>
  <c r="BF122" i="35"/>
  <c r="BF134" i="35"/>
  <c r="BC37" i="35"/>
  <c r="BC98" i="35"/>
  <c r="BF65" i="35"/>
  <c r="BF59" i="35"/>
  <c r="H29" i="19"/>
  <c r="H19" i="19"/>
  <c r="BF118" i="35"/>
  <c r="BF116" i="35"/>
  <c r="BF67" i="35"/>
  <c r="BC82" i="35"/>
  <c r="BC21" i="35"/>
  <c r="BC102" i="35"/>
  <c r="BC41" i="35"/>
  <c r="D350" i="55" l="1"/>
  <c r="E349" i="55"/>
  <c r="N134" i="55"/>
  <c r="E52" i="55"/>
  <c r="E188" i="55"/>
  <c r="E381" i="55"/>
  <c r="C382" i="55"/>
  <c r="E260" i="55"/>
  <c r="E224" i="55"/>
  <c r="BC45" i="35"/>
  <c r="BF45" i="35" s="1"/>
  <c r="Q474" i="55"/>
  <c r="M475" i="55"/>
  <c r="N475" i="55"/>
  <c r="F18" i="19"/>
  <c r="E106" i="55"/>
  <c r="C107" i="55"/>
  <c r="C108" i="55" s="1"/>
  <c r="C109" i="55" s="1"/>
  <c r="C110" i="55" s="1"/>
  <c r="C111" i="55" s="1"/>
  <c r="C112" i="55" s="1"/>
  <c r="E295" i="55"/>
  <c r="E77" i="55"/>
  <c r="C78" i="55"/>
  <c r="BF21" i="35"/>
  <c r="BF37" i="35"/>
  <c r="BF104" i="35"/>
  <c r="BC110" i="35"/>
  <c r="BC49" i="35"/>
  <c r="BF82" i="35"/>
  <c r="BF43" i="35"/>
  <c r="BF41" i="35"/>
  <c r="BC29" i="35"/>
  <c r="BC90" i="35"/>
  <c r="BF106" i="35"/>
  <c r="BF102" i="35"/>
  <c r="BC136" i="35"/>
  <c r="D21" i="35" s="1"/>
  <c r="BF15" i="35"/>
  <c r="BF98" i="35"/>
  <c r="BF76" i="35"/>
  <c r="D351" i="55" l="1"/>
  <c r="E350" i="55"/>
  <c r="E53" i="55"/>
  <c r="E204" i="55"/>
  <c r="E382" i="55"/>
  <c r="E261" i="55"/>
  <c r="E225" i="55"/>
  <c r="BD88" i="35"/>
  <c r="F83" i="19"/>
  <c r="BD27" i="35"/>
  <c r="H18" i="19"/>
  <c r="E78" i="55"/>
  <c r="C79" i="55"/>
  <c r="E107" i="55"/>
  <c r="E296" i="55"/>
  <c r="D110" i="35"/>
  <c r="BF110" i="35"/>
  <c r="D98" i="35"/>
  <c r="D104" i="35"/>
  <c r="BF49" i="35"/>
  <c r="D49" i="35"/>
  <c r="D43" i="35"/>
  <c r="D102" i="35"/>
  <c r="BF90" i="35"/>
  <c r="D90" i="35"/>
  <c r="D37" i="35"/>
  <c r="D45" i="35"/>
  <c r="D15" i="35"/>
  <c r="D136" i="35" s="1"/>
  <c r="BF29" i="35"/>
  <c r="D29" i="35"/>
  <c r="D82" i="35"/>
  <c r="D41" i="35"/>
  <c r="BC137" i="35"/>
  <c r="AI137" i="35"/>
  <c r="AJ137" i="35"/>
  <c r="E141" i="35"/>
  <c r="F141" i="35" s="1"/>
  <c r="G141" i="35" s="1"/>
  <c r="H141" i="35" s="1"/>
  <c r="I141" i="35" s="1"/>
  <c r="J141" i="35" s="1"/>
  <c r="K141" i="35" s="1"/>
  <c r="L141" i="35" s="1"/>
  <c r="M141" i="35" s="1"/>
  <c r="N141" i="35" s="1"/>
  <c r="O141" i="35" s="1"/>
  <c r="P141" i="35" s="1"/>
  <c r="D86" i="35"/>
  <c r="BA137" i="35"/>
  <c r="AC137" i="35"/>
  <c r="AD137" i="35"/>
  <c r="Y137" i="35"/>
  <c r="S137" i="35"/>
  <c r="G137" i="35"/>
  <c r="D78" i="35"/>
  <c r="H137" i="35"/>
  <c r="AP137" i="35"/>
  <c r="T137" i="35"/>
  <c r="AN137" i="35"/>
  <c r="AG137" i="35"/>
  <c r="R137" i="35"/>
  <c r="AA137" i="35"/>
  <c r="AM137" i="35"/>
  <c r="O137" i="35"/>
  <c r="J137" i="35"/>
  <c r="V137" i="35"/>
  <c r="P137" i="35"/>
  <c r="AX137" i="35"/>
  <c r="AQ137" i="35"/>
  <c r="AL137" i="35"/>
  <c r="L137" i="35"/>
  <c r="F137" i="35"/>
  <c r="AV137" i="35"/>
  <c r="AO137" i="35"/>
  <c r="I137" i="35"/>
  <c r="Z137" i="35"/>
  <c r="AU137" i="35"/>
  <c r="W137" i="35"/>
  <c r="AT137" i="35"/>
  <c r="X137" i="35"/>
  <c r="AY137" i="35"/>
  <c r="AH137" i="35"/>
  <c r="AB137" i="35"/>
  <c r="N137" i="35"/>
  <c r="AW137" i="35"/>
  <c r="Q137" i="35"/>
  <c r="AR137" i="35"/>
  <c r="K137" i="35"/>
  <c r="AS137" i="35"/>
  <c r="U137" i="35"/>
  <c r="AE137" i="35"/>
  <c r="AK137" i="35"/>
  <c r="BB137" i="35"/>
  <c r="M137" i="35"/>
  <c r="AF137" i="35"/>
  <c r="AZ137" i="35"/>
  <c r="E137" i="35"/>
  <c r="E139" i="35" s="1"/>
  <c r="D25" i="35"/>
  <c r="D17" i="35"/>
  <c r="D84" i="35"/>
  <c r="D94" i="35"/>
  <c r="D33" i="35"/>
  <c r="D96" i="35"/>
  <c r="D35" i="35"/>
  <c r="D23" i="35"/>
  <c r="D51" i="35"/>
  <c r="D108" i="35"/>
  <c r="D19" i="35"/>
  <c r="D92" i="35"/>
  <c r="D39" i="35"/>
  <c r="D31" i="35"/>
  <c r="D80" i="35"/>
  <c r="D112" i="35"/>
  <c r="D100" i="35"/>
  <c r="D47" i="35"/>
  <c r="D120" i="35"/>
  <c r="D130" i="35"/>
  <c r="D122" i="35"/>
  <c r="D116" i="35"/>
  <c r="D61" i="35"/>
  <c r="D67" i="35"/>
  <c r="D55" i="35"/>
  <c r="D134" i="35"/>
  <c r="D65" i="35"/>
  <c r="D128" i="35"/>
  <c r="D118" i="35"/>
  <c r="D114" i="35"/>
  <c r="D57" i="35"/>
  <c r="D69" i="35"/>
  <c r="D124" i="35"/>
  <c r="D59" i="35"/>
  <c r="D71" i="35"/>
  <c r="D126" i="35"/>
  <c r="D63" i="35"/>
  <c r="D53" i="35"/>
  <c r="D73" i="35"/>
  <c r="D132" i="35"/>
  <c r="D76" i="35"/>
  <c r="D106" i="35"/>
  <c r="D352" i="55" l="1"/>
  <c r="E351" i="55"/>
  <c r="C206" i="55"/>
  <c r="E205" i="55"/>
  <c r="C384" i="55"/>
  <c r="E264" i="55"/>
  <c r="E266" i="55"/>
  <c r="BC27" i="35"/>
  <c r="BC88" i="35"/>
  <c r="H83" i="19"/>
  <c r="E297" i="55"/>
  <c r="E79" i="55"/>
  <c r="F139" i="35"/>
  <c r="G139" i="35" s="1"/>
  <c r="H139" i="35" s="1"/>
  <c r="I139" i="35" s="1"/>
  <c r="J139" i="35" s="1"/>
  <c r="K139" i="35" s="1"/>
  <c r="L139" i="35" s="1"/>
  <c r="M139" i="35" s="1"/>
  <c r="N139" i="35" s="1"/>
  <c r="O139" i="35" s="1"/>
  <c r="P139" i="35" s="1"/>
  <c r="Q139" i="35" s="1"/>
  <c r="R139" i="35" s="1"/>
  <c r="S139" i="35" s="1"/>
  <c r="T139" i="35" s="1"/>
  <c r="U139" i="35" s="1"/>
  <c r="V139" i="35" s="1"/>
  <c r="W139" i="35" s="1"/>
  <c r="X139" i="35" s="1"/>
  <c r="Y139" i="35" s="1"/>
  <c r="Z139" i="35" s="1"/>
  <c r="AA139" i="35" s="1"/>
  <c r="AB139" i="35" s="1"/>
  <c r="AC139" i="35" s="1"/>
  <c r="AD139" i="35" s="1"/>
  <c r="AE139" i="35" s="1"/>
  <c r="AF139" i="35" s="1"/>
  <c r="AG139" i="35" s="1"/>
  <c r="AH139" i="35" s="1"/>
  <c r="AI139" i="35" s="1"/>
  <c r="AJ139" i="35" s="1"/>
  <c r="AK139" i="35" s="1"/>
  <c r="AL139" i="35" s="1"/>
  <c r="AM139" i="35" s="1"/>
  <c r="AN139" i="35" s="1"/>
  <c r="AO139" i="35" s="1"/>
  <c r="AP139" i="35" s="1"/>
  <c r="AQ139" i="35" s="1"/>
  <c r="AR139" i="35" s="1"/>
  <c r="AS139" i="35" s="1"/>
  <c r="AT139" i="35" s="1"/>
  <c r="AU139" i="35" s="1"/>
  <c r="AV139" i="35" s="1"/>
  <c r="AW139" i="35" s="1"/>
  <c r="AX139" i="35" s="1"/>
  <c r="AY139" i="35" s="1"/>
  <c r="AZ139" i="35" s="1"/>
  <c r="BA139" i="35" s="1"/>
  <c r="BB139" i="35" s="1"/>
  <c r="D353" i="55" l="1"/>
  <c r="E352" i="55"/>
  <c r="E206" i="55"/>
  <c r="C207" i="55"/>
  <c r="E384" i="55"/>
  <c r="C385" i="55"/>
  <c r="E267" i="55"/>
  <c r="E265" i="55"/>
  <c r="I19" i="19"/>
  <c r="I54" i="19"/>
  <c r="I71" i="19"/>
  <c r="I50" i="19"/>
  <c r="I51" i="19"/>
  <c r="I61" i="19"/>
  <c r="I22" i="19"/>
  <c r="I14" i="19"/>
  <c r="I37" i="19"/>
  <c r="I55" i="19"/>
  <c r="I33" i="19"/>
  <c r="I48" i="19"/>
  <c r="I40" i="19"/>
  <c r="I16" i="19"/>
  <c r="I23" i="19"/>
  <c r="I60" i="19"/>
  <c r="I69" i="19"/>
  <c r="I56" i="19"/>
  <c r="I25" i="19"/>
  <c r="I17" i="19"/>
  <c r="I57" i="19"/>
  <c r="I68" i="19"/>
  <c r="I47" i="19"/>
  <c r="I45" i="19"/>
  <c r="I49" i="19"/>
  <c r="I65" i="19"/>
  <c r="I28" i="19"/>
  <c r="I12" i="19"/>
  <c r="I83" i="19" s="1"/>
  <c r="I38" i="19"/>
  <c r="I53" i="19"/>
  <c r="I18" i="19"/>
  <c r="I52" i="19"/>
  <c r="I24" i="19"/>
  <c r="I70" i="19"/>
  <c r="I44" i="19"/>
  <c r="I66" i="19"/>
  <c r="I13" i="19"/>
  <c r="I59" i="19"/>
  <c r="I67" i="19"/>
  <c r="I30" i="19"/>
  <c r="I15" i="19"/>
  <c r="I63" i="19"/>
  <c r="I41" i="19"/>
  <c r="I39" i="19"/>
  <c r="I21" i="19"/>
  <c r="I31" i="19"/>
  <c r="I72" i="19"/>
  <c r="I62" i="19"/>
  <c r="I35" i="19"/>
  <c r="I58" i="19"/>
  <c r="I36" i="19"/>
  <c r="I34" i="19"/>
  <c r="I64" i="19"/>
  <c r="I20" i="19"/>
  <c r="I26" i="19"/>
  <c r="I46" i="19"/>
  <c r="I73" i="19"/>
  <c r="I29" i="19"/>
  <c r="H79" i="19"/>
  <c r="H80" i="19" s="1"/>
  <c r="I42" i="19"/>
  <c r="I27" i="19"/>
  <c r="BF88" i="35"/>
  <c r="D88" i="35"/>
  <c r="BF27" i="35"/>
  <c r="D27" i="35"/>
  <c r="E298" i="55"/>
  <c r="E108" i="55"/>
  <c r="D354" i="55" l="1"/>
  <c r="E353" i="55"/>
  <c r="E207" i="55"/>
  <c r="C208" i="55"/>
  <c r="E208" i="55" s="1"/>
  <c r="E385" i="55"/>
  <c r="C386" i="55"/>
  <c r="E299" i="55"/>
  <c r="D355" i="55" l="1"/>
  <c r="E354" i="55"/>
  <c r="E386" i="55"/>
  <c r="C387" i="55"/>
  <c r="C388" i="55" s="1"/>
  <c r="E388" i="55" s="1"/>
  <c r="E300" i="55"/>
  <c r="D356" i="55" l="1"/>
  <c r="D357" i="55" s="1"/>
  <c r="E355" i="55"/>
  <c r="E317" i="55"/>
  <c r="E387" i="55"/>
  <c r="E301" i="55"/>
  <c r="E303" i="55"/>
  <c r="D358" i="55" l="1"/>
  <c r="E357" i="55"/>
  <c r="E356" i="55"/>
  <c r="C389" i="55"/>
  <c r="E109" i="55"/>
  <c r="B13" i="56"/>
  <c r="C17" i="35"/>
  <c r="C78" i="35"/>
  <c r="E302" i="55"/>
  <c r="H13" i="56"/>
  <c r="C16" i="57"/>
  <c r="D359" i="55" l="1"/>
  <c r="E359" i="55" s="1"/>
  <c r="E358" i="55"/>
  <c r="E318" i="55"/>
  <c r="E389" i="55"/>
  <c r="C390" i="55"/>
  <c r="C391" i="55" s="1"/>
  <c r="E391" i="55" s="1"/>
  <c r="E110" i="55"/>
  <c r="BC16" i="57"/>
  <c r="E304" i="55"/>
  <c r="E319" i="55" l="1"/>
  <c r="E390" i="55"/>
  <c r="E111" i="55"/>
  <c r="E16" i="57"/>
  <c r="E305" i="55"/>
  <c r="E320" i="55" l="1"/>
  <c r="C392" i="55"/>
  <c r="E112" i="55"/>
  <c r="BF16" i="57"/>
  <c r="E306" i="55"/>
  <c r="E321" i="55" l="1"/>
  <c r="E392" i="55"/>
  <c r="C393" i="55"/>
  <c r="C394" i="55" s="1"/>
  <c r="E394" i="55" s="1"/>
  <c r="E307" i="55"/>
  <c r="E323" i="55" l="1"/>
  <c r="E322" i="55"/>
  <c r="E393" i="55"/>
  <c r="E308" i="55"/>
  <c r="E324" i="55" l="1"/>
  <c r="C395" i="55"/>
  <c r="C396" i="55" s="1"/>
  <c r="E396" i="55" s="1"/>
  <c r="E310" i="55"/>
  <c r="E309" i="55"/>
  <c r="E325" i="55" l="1"/>
  <c r="E395" i="55"/>
  <c r="E311" i="55"/>
  <c r="E326" i="55" l="1"/>
  <c r="C397" i="55"/>
  <c r="E54" i="55"/>
  <c r="E327" i="55" l="1"/>
  <c r="C398" i="55"/>
  <c r="E397" i="55"/>
  <c r="C20" i="57"/>
  <c r="B15" i="56"/>
  <c r="C82" i="35"/>
  <c r="E312" i="55"/>
  <c r="H15" i="56"/>
  <c r="C21" i="35"/>
  <c r="E328" i="55" l="1"/>
  <c r="E398" i="55"/>
  <c r="E313" i="55"/>
  <c r="BC20" i="57"/>
  <c r="E329" i="55" l="1"/>
  <c r="C22" i="57"/>
  <c r="B16" i="56"/>
  <c r="C23" i="35"/>
  <c r="H16" i="56"/>
  <c r="BC22" i="57" s="1"/>
  <c r="C84" i="35"/>
  <c r="H23" i="56"/>
  <c r="BC36" i="57" s="1"/>
  <c r="H22" i="56"/>
  <c r="BC34" i="57" s="1"/>
  <c r="H21" i="56"/>
  <c r="BC32" i="57" s="1"/>
  <c r="B19" i="56"/>
  <c r="C28" i="57"/>
  <c r="C94" i="35"/>
  <c r="C25" i="35"/>
  <c r="C98" i="35"/>
  <c r="B24" i="56"/>
  <c r="C90" i="35"/>
  <c r="C33" i="35"/>
  <c r="C38" i="57"/>
  <c r="B17" i="56"/>
  <c r="C24" i="57"/>
  <c r="C32" i="57"/>
  <c r="B20" i="56"/>
  <c r="B21" i="56"/>
  <c r="C34" i="57"/>
  <c r="C39" i="35"/>
  <c r="H17" i="56"/>
  <c r="BC24" i="57" s="1"/>
  <c r="C86" i="35"/>
  <c r="C31" i="35"/>
  <c r="C100" i="35"/>
  <c r="C26" i="57"/>
  <c r="B18" i="56"/>
  <c r="C36" i="57"/>
  <c r="C96" i="35"/>
  <c r="C27" i="35"/>
  <c r="C29" i="35"/>
  <c r="C88" i="35"/>
  <c r="B23" i="56"/>
  <c r="C30" i="57"/>
  <c r="C37" i="35"/>
  <c r="B22" i="56"/>
  <c r="C92" i="35"/>
  <c r="C35" i="35"/>
  <c r="H19" i="56"/>
  <c r="BC28" i="57" s="1"/>
  <c r="H20" i="56"/>
  <c r="BC30" i="57" s="1"/>
  <c r="E314" i="55"/>
  <c r="F20" i="57"/>
  <c r="E20" i="57"/>
  <c r="I24" i="57" l="1"/>
  <c r="J24" i="57"/>
  <c r="K28" i="57"/>
  <c r="J28" i="57"/>
  <c r="I28" i="57"/>
  <c r="H32" i="57"/>
  <c r="J32" i="57"/>
  <c r="K32" i="57"/>
  <c r="L32" i="57"/>
  <c r="F30" i="57"/>
  <c r="K30" i="57"/>
  <c r="J30" i="57"/>
  <c r="L30" i="57"/>
  <c r="M30" i="57"/>
  <c r="H34" i="57"/>
  <c r="G34" i="57"/>
  <c r="F34" i="57"/>
  <c r="H36" i="57"/>
  <c r="N36" i="57"/>
  <c r="E330" i="55"/>
  <c r="F22" i="57"/>
  <c r="G22" i="57"/>
  <c r="G24" i="57"/>
  <c r="F24" i="57"/>
  <c r="H24" i="57"/>
  <c r="G28" i="57"/>
  <c r="H28" i="57"/>
  <c r="BF20" i="57"/>
  <c r="E315" i="55"/>
  <c r="BF32" i="57" l="1"/>
  <c r="BF34" i="57"/>
  <c r="BF36" i="57"/>
  <c r="BF30" i="57"/>
  <c r="BF22" i="57"/>
  <c r="BF28" i="57"/>
  <c r="BF24" i="57"/>
  <c r="E316" i="55"/>
  <c r="E331" i="55" l="1"/>
  <c r="C333" i="55" l="1"/>
  <c r="E333" i="55" l="1"/>
  <c r="C334" i="55"/>
  <c r="C335" i="55" s="1"/>
  <c r="E335" i="55" l="1"/>
  <c r="C336" i="55"/>
  <c r="E334" i="55"/>
  <c r="C337" i="55" l="1"/>
  <c r="E336" i="55"/>
  <c r="E337" i="55" l="1"/>
  <c r="C338" i="55"/>
  <c r="E338" i="55" l="1"/>
  <c r="C339" i="55"/>
  <c r="E339" i="55" l="1"/>
  <c r="C340" i="55"/>
  <c r="B14" i="56"/>
  <c r="C18" i="57"/>
  <c r="C80" i="35"/>
  <c r="C19" i="35"/>
  <c r="H14" i="56"/>
  <c r="BC18" i="57" s="1"/>
  <c r="C52" i="57"/>
  <c r="B31" i="56"/>
  <c r="H31" i="56"/>
  <c r="C341" i="55" l="1"/>
  <c r="E340" i="55"/>
  <c r="E18" i="57"/>
  <c r="F40" i="57"/>
  <c r="G40" i="57"/>
  <c r="H42" i="57"/>
  <c r="F42" i="57"/>
  <c r="E42" i="57"/>
  <c r="G42" i="57"/>
  <c r="BC52" i="57"/>
  <c r="C342" i="55" l="1"/>
  <c r="E341" i="55"/>
  <c r="BF18" i="57"/>
  <c r="H48" i="57"/>
  <c r="F48" i="57"/>
  <c r="G48" i="57"/>
  <c r="H44" i="57"/>
  <c r="G44" i="57"/>
  <c r="H52" i="57"/>
  <c r="BF52" i="57" s="1"/>
  <c r="H46" i="57"/>
  <c r="F50" i="57"/>
  <c r="H50" i="57"/>
  <c r="E50" i="57"/>
  <c r="E67" i="57" s="1"/>
  <c r="G50" i="57"/>
  <c r="E342" i="55" l="1"/>
  <c r="C343" i="55" l="1"/>
  <c r="E343" i="55" l="1"/>
  <c r="C344" i="55"/>
  <c r="C345" i="55" l="1"/>
  <c r="E344" i="55"/>
  <c r="E345" i="55" l="1"/>
  <c r="C346" i="55"/>
  <c r="C347" i="55" l="1"/>
  <c r="E346" i="55"/>
  <c r="E347" i="55" l="1"/>
  <c r="E288" i="55" l="1"/>
  <c r="E287" i="55" l="1"/>
  <c r="H27" i="56" s="1"/>
  <c r="H30" i="56"/>
  <c r="C110" i="35"/>
  <c r="C40" i="57" l="1"/>
  <c r="C67" i="35"/>
  <c r="C116" i="35"/>
  <c r="C48" i="57"/>
  <c r="C71" i="35"/>
  <c r="C126" i="35"/>
  <c r="C42" i="57"/>
  <c r="C132" i="35"/>
  <c r="C61" i="35"/>
  <c r="C102" i="35"/>
  <c r="C69" i="35"/>
  <c r="C130" i="35"/>
  <c r="H25" i="56"/>
  <c r="BC40" i="57" s="1"/>
  <c r="M40" i="57" s="1"/>
  <c r="C41" i="35"/>
  <c r="C44" i="57"/>
  <c r="C59" i="35"/>
  <c r="C49" i="35"/>
  <c r="C134" i="35"/>
  <c r="C46" i="57"/>
  <c r="C53" i="35"/>
  <c r="B28" i="56"/>
  <c r="C120" i="35"/>
  <c r="C51" i="35"/>
  <c r="B30" i="56"/>
  <c r="B27" i="56"/>
  <c r="C104" i="35"/>
  <c r="B29" i="56"/>
  <c r="C63" i="35"/>
  <c r="B25" i="56"/>
  <c r="C65" i="35"/>
  <c r="C112" i="35"/>
  <c r="C108" i="35"/>
  <c r="C73" i="35"/>
  <c r="C45" i="35"/>
  <c r="C50" i="57"/>
  <c r="C118" i="35"/>
  <c r="H29" i="56"/>
  <c r="BC48" i="57" s="1"/>
  <c r="C43" i="35"/>
  <c r="C124" i="35"/>
  <c r="C114" i="35"/>
  <c r="B26" i="56"/>
  <c r="C122" i="35"/>
  <c r="H26" i="56"/>
  <c r="BC42" i="57" s="1"/>
  <c r="N42" i="57" s="1"/>
  <c r="C55" i="35"/>
  <c r="C128" i="35"/>
  <c r="C57" i="35"/>
  <c r="H28" i="56"/>
  <c r="BC46" i="57" s="1"/>
  <c r="C106" i="35"/>
  <c r="C47" i="35"/>
  <c r="BC44" i="57"/>
  <c r="BC50" i="57" l="1"/>
  <c r="N50" i="57" s="1"/>
  <c r="BF50" i="57" s="1"/>
  <c r="L40" i="57"/>
  <c r="K40" i="57"/>
  <c r="J40" i="57"/>
  <c r="I40" i="57"/>
  <c r="N44" i="57"/>
  <c r="M44" i="57"/>
  <c r="N46" i="57"/>
  <c r="M46" i="57"/>
  <c r="M42" i="57"/>
  <c r="L42" i="57"/>
  <c r="N48" i="57"/>
  <c r="M48" i="57"/>
  <c r="BF48" i="57" l="1"/>
  <c r="BF40" i="57"/>
  <c r="BF42" i="57"/>
  <c r="BF44" i="57"/>
  <c r="BF46" i="57"/>
  <c r="H18" i="56" l="1"/>
  <c r="BC26" i="57" l="1"/>
  <c r="H26" i="57" l="1"/>
  <c r="N26" i="57"/>
  <c r="N67" i="57" s="1"/>
  <c r="G26" i="57"/>
  <c r="F26" i="57"/>
  <c r="BF26" i="57" l="1"/>
  <c r="H24" i="56"/>
  <c r="BC38" i="57" s="1"/>
  <c r="K38" i="57" l="1"/>
  <c r="K67" i="57" s="1"/>
  <c r="M38" i="57"/>
  <c r="M67" i="57" s="1"/>
  <c r="L38" i="57"/>
  <c r="L67" i="57" s="1"/>
  <c r="H35" i="56"/>
  <c r="I29" i="56" s="1"/>
  <c r="BC67" i="57"/>
  <c r="F38" i="57"/>
  <c r="I38" i="57"/>
  <c r="I67" i="57" s="1"/>
  <c r="J38" i="57"/>
  <c r="J67" i="57" s="1"/>
  <c r="BC56" i="57"/>
  <c r="H38" i="57"/>
  <c r="H67" i="57" s="1"/>
  <c r="G38" i="57"/>
  <c r="G67" i="57" s="1"/>
  <c r="I24" i="56" l="1"/>
  <c r="I27" i="56"/>
  <c r="I17" i="56"/>
  <c r="I12" i="56"/>
  <c r="I23" i="56"/>
  <c r="I18" i="56"/>
  <c r="I26" i="56"/>
  <c r="I16" i="56"/>
  <c r="I14" i="56"/>
  <c r="I25" i="56"/>
  <c r="M15" i="15"/>
  <c r="M17" i="15" s="1"/>
  <c r="I28" i="56"/>
  <c r="G68" i="57"/>
  <c r="G15" i="57" s="1"/>
  <c r="G14" i="57" s="1"/>
  <c r="G56" i="57" s="1"/>
  <c r="G57" i="57" s="1"/>
  <c r="H68" i="57"/>
  <c r="H15" i="57" s="1"/>
  <c r="H14" i="57" s="1"/>
  <c r="H56" i="57" s="1"/>
  <c r="H57" i="57" s="1"/>
  <c r="I15" i="56"/>
  <c r="I19" i="56"/>
  <c r="I20" i="56"/>
  <c r="I13" i="56"/>
  <c r="I22" i="56"/>
  <c r="I21" i="56"/>
  <c r="I68" i="57"/>
  <c r="I15" i="57" s="1"/>
  <c r="I14" i="57" s="1"/>
  <c r="I56" i="57" s="1"/>
  <c r="I57" i="57" s="1"/>
  <c r="O12" i="56"/>
  <c r="P12" i="56" s="1"/>
  <c r="J68" i="57"/>
  <c r="J15" i="57" s="1"/>
  <c r="J14" i="57" s="1"/>
  <c r="J56" i="57" s="1"/>
  <c r="J57" i="57" s="1"/>
  <c r="AA57" i="57"/>
  <c r="Q57" i="57"/>
  <c r="BA57" i="57"/>
  <c r="AO57" i="57"/>
  <c r="D14" i="57"/>
  <c r="D16" i="57"/>
  <c r="D34" i="57"/>
  <c r="D24" i="57"/>
  <c r="D44" i="57"/>
  <c r="AH57" i="57"/>
  <c r="AR57" i="57"/>
  <c r="AM57" i="57"/>
  <c r="D20" i="57"/>
  <c r="AB57" i="57"/>
  <c r="W57" i="57"/>
  <c r="V57" i="57"/>
  <c r="D26" i="57"/>
  <c r="D28" i="57"/>
  <c r="D42" i="57"/>
  <c r="AE57" i="57"/>
  <c r="R57" i="57"/>
  <c r="AN57" i="57"/>
  <c r="AX57" i="57"/>
  <c r="E65" i="57"/>
  <c r="F65" i="57" s="1"/>
  <c r="G65" i="57" s="1"/>
  <c r="H65" i="57" s="1"/>
  <c r="I65" i="57" s="1"/>
  <c r="J65" i="57" s="1"/>
  <c r="K65" i="57" s="1"/>
  <c r="L65" i="57" s="1"/>
  <c r="M65" i="57" s="1"/>
  <c r="N65" i="57" s="1"/>
  <c r="O65" i="57" s="1"/>
  <c r="P65" i="57" s="1"/>
  <c r="AC57" i="57"/>
  <c r="Z57" i="57"/>
  <c r="AQ57" i="57"/>
  <c r="D30" i="57"/>
  <c r="D18" i="57"/>
  <c r="D40" i="57"/>
  <c r="AS57" i="57"/>
  <c r="AD57" i="57"/>
  <c r="S57" i="57"/>
  <c r="AF57" i="57"/>
  <c r="D46" i="57"/>
  <c r="AJ57" i="57"/>
  <c r="AU57" i="57"/>
  <c r="AG57" i="57"/>
  <c r="AI57" i="57"/>
  <c r="X57" i="57"/>
  <c r="AL57" i="57"/>
  <c r="D22" i="57"/>
  <c r="BC57" i="57"/>
  <c r="T57" i="57"/>
  <c r="AT57" i="57"/>
  <c r="AK57" i="57"/>
  <c r="AV57" i="57"/>
  <c r="AP57" i="57"/>
  <c r="D32" i="57"/>
  <c r="D48" i="57"/>
  <c r="Y57" i="57"/>
  <c r="D36" i="57"/>
  <c r="AZ57" i="57"/>
  <c r="AW57" i="57"/>
  <c r="AY57" i="57"/>
  <c r="BB57" i="57"/>
  <c r="U57" i="57"/>
  <c r="F67" i="57"/>
  <c r="F68" i="57" s="1"/>
  <c r="F15" i="57" s="1"/>
  <c r="F14" i="57" s="1"/>
  <c r="F56" i="57" s="1"/>
  <c r="BF38" i="57"/>
  <c r="D38" i="57"/>
  <c r="AA68" i="57"/>
  <c r="U68" i="57"/>
  <c r="T68" i="57"/>
  <c r="E68" i="57"/>
  <c r="E15" i="57" s="1"/>
  <c r="L68" i="57"/>
  <c r="L15" i="57" s="1"/>
  <c r="L14" i="57" s="1"/>
  <c r="L56" i="57" s="1"/>
  <c r="S68" i="57"/>
  <c r="AB68" i="57"/>
  <c r="O68" i="57"/>
  <c r="O14" i="57" s="1"/>
  <c r="O56" i="57" s="1"/>
  <c r="N68" i="57"/>
  <c r="N15" i="57" s="1"/>
  <c r="N14" i="57" s="1"/>
  <c r="N56" i="57" s="1"/>
  <c r="X68" i="57"/>
  <c r="Y68" i="57"/>
  <c r="K68" i="57"/>
  <c r="K15" i="57" s="1"/>
  <c r="K14" i="57" s="1"/>
  <c r="K56" i="57" s="1"/>
  <c r="V68" i="57"/>
  <c r="W68" i="57"/>
  <c r="M68" i="57"/>
  <c r="M15" i="57" s="1"/>
  <c r="M14" i="57" s="1"/>
  <c r="M56" i="57" s="1"/>
  <c r="P68" i="57"/>
  <c r="P14" i="57" s="1"/>
  <c r="P56" i="57" s="1"/>
  <c r="Z68" i="57"/>
  <c r="R68" i="57"/>
  <c r="Q68" i="57"/>
  <c r="I35" i="56" l="1"/>
  <c r="N57" i="57"/>
  <c r="O57" i="57"/>
  <c r="M57" i="57"/>
  <c r="F57" i="57"/>
  <c r="P57" i="57"/>
  <c r="K57" i="57"/>
  <c r="L57" i="57"/>
  <c r="E14" i="57"/>
  <c r="BG15" i="57"/>
  <c r="D56" i="57"/>
  <c r="BF14" i="57" l="1"/>
  <c r="E56" i="57"/>
  <c r="E57" i="57" l="1"/>
  <c r="E59" i="57" s="1"/>
  <c r="E58" i="57"/>
  <c r="F58" i="57" s="1"/>
  <c r="G58" i="57" s="1"/>
  <c r="H58" i="57" s="1"/>
  <c r="I58" i="57" s="1"/>
  <c r="J58" i="57" s="1"/>
  <c r="K58" i="57" s="1"/>
  <c r="L58" i="57" s="1"/>
  <c r="M58" i="57" s="1"/>
  <c r="N58" i="57" s="1"/>
  <c r="O58" i="57" s="1"/>
  <c r="P58" i="57" s="1"/>
  <c r="Q58" i="57" s="1"/>
  <c r="R58" i="57" s="1"/>
  <c r="S58" i="57" s="1"/>
  <c r="T58" i="57" s="1"/>
  <c r="U58" i="57" s="1"/>
  <c r="V58" i="57" s="1"/>
  <c r="W58" i="57" s="1"/>
  <c r="X58" i="57" s="1"/>
  <c r="Y58" i="57" s="1"/>
  <c r="Z58" i="57" s="1"/>
  <c r="AA58" i="57" s="1"/>
  <c r="AB58" i="57" s="1"/>
  <c r="AC58" i="57" s="1"/>
  <c r="AD58" i="57" s="1"/>
  <c r="AE58" i="57" s="1"/>
  <c r="AF58" i="57" s="1"/>
  <c r="AG58" i="57" s="1"/>
  <c r="AH58" i="57" s="1"/>
  <c r="AI58" i="57" s="1"/>
  <c r="AJ58" i="57" s="1"/>
  <c r="AK58" i="57" s="1"/>
  <c r="AL58" i="57" s="1"/>
  <c r="AM58" i="57" s="1"/>
  <c r="AN58" i="57" s="1"/>
  <c r="AO58" i="57" s="1"/>
  <c r="AP58" i="57" s="1"/>
  <c r="AQ58" i="57" s="1"/>
  <c r="AR58" i="57" s="1"/>
  <c r="AS58" i="57" s="1"/>
  <c r="AT58" i="57" s="1"/>
  <c r="AU58" i="57" s="1"/>
  <c r="AV58" i="57" s="1"/>
  <c r="AW58" i="57" s="1"/>
  <c r="AX58" i="57" s="1"/>
  <c r="AY58" i="57" s="1"/>
  <c r="AZ58" i="57" s="1"/>
  <c r="BA58" i="57" s="1"/>
  <c r="BB58" i="57" s="1"/>
  <c r="E71" i="57" l="1"/>
  <c r="F59" i="57"/>
  <c r="F71" i="57" l="1"/>
  <c r="G59" i="57"/>
  <c r="G71" i="57" l="1"/>
  <c r="H59" i="57"/>
  <c r="H71" i="57" l="1"/>
  <c r="I59" i="57"/>
  <c r="I71" i="57" l="1"/>
  <c r="J59" i="57"/>
  <c r="J71" i="57" l="1"/>
  <c r="K59" i="57"/>
  <c r="K71" i="57" l="1"/>
  <c r="L59" i="57"/>
  <c r="L71" i="57" l="1"/>
  <c r="M59" i="57"/>
  <c r="M71" i="57" l="1"/>
  <c r="N59" i="57"/>
  <c r="N71" i="57" l="1"/>
  <c r="O59" i="57"/>
  <c r="O71" i="57" l="1"/>
  <c r="P59" i="57"/>
  <c r="P71" i="57" l="1"/>
  <c r="Q59" i="57"/>
  <c r="Q71" i="57" l="1"/>
  <c r="R59" i="57"/>
  <c r="R71" i="57" l="1"/>
  <c r="S59" i="57"/>
  <c r="S71" i="57" l="1"/>
  <c r="T59" i="57"/>
  <c r="T71" i="57" l="1"/>
  <c r="U59" i="57"/>
  <c r="U71" i="57" l="1"/>
  <c r="V59" i="57"/>
  <c r="V71" i="57" l="1"/>
  <c r="W59" i="57"/>
  <c r="W71" i="57" l="1"/>
  <c r="X59" i="57"/>
  <c r="X71" i="57" l="1"/>
  <c r="Y59" i="57"/>
  <c r="Y71" i="57" l="1"/>
  <c r="Z59" i="57"/>
  <c r="Z71" i="57" l="1"/>
  <c r="AA59" i="57"/>
  <c r="AA71" i="57" l="1"/>
  <c r="AB59" i="57"/>
  <c r="AB71" i="57" l="1"/>
  <c r="AC59" i="57"/>
  <c r="AD59" i="57" s="1"/>
  <c r="AE59" i="57" s="1"/>
  <c r="AF59" i="57" s="1"/>
  <c r="AG59" i="57" s="1"/>
  <c r="AH59" i="57" s="1"/>
  <c r="AI59" i="57" s="1"/>
  <c r="AJ59" i="57" s="1"/>
  <c r="AK59" i="57" s="1"/>
  <c r="AL59" i="57" s="1"/>
  <c r="AM59" i="57" s="1"/>
  <c r="AN59" i="57" s="1"/>
  <c r="AO59" i="57" s="1"/>
  <c r="AP59" i="57" s="1"/>
  <c r="AQ59" i="57" s="1"/>
  <c r="AR59" i="57" s="1"/>
  <c r="AS59" i="57" s="1"/>
  <c r="AT59" i="57" s="1"/>
  <c r="AU59" i="57" s="1"/>
  <c r="AV59" i="57" s="1"/>
  <c r="AW59" i="57" s="1"/>
  <c r="AX59" i="57" s="1"/>
  <c r="AY59" i="57" s="1"/>
  <c r="AZ59" i="57" s="1"/>
  <c r="BA59" i="57" s="1"/>
  <c r="BB59" i="57" s="1"/>
  <c r="T306" i="40"/>
  <c r="P306" i="40" s="1"/>
  <c r="P307" i="40"/>
  <c r="O12" i="40"/>
  <c r="O13" i="40" s="1"/>
  <c r="O14" i="40" s="1"/>
  <c r="O15" i="40" s="1"/>
  <c r="O16" i="40" s="1"/>
  <c r="O17" i="40" s="1"/>
  <c r="O18" i="40" s="1"/>
  <c r="O19" i="40" s="1"/>
  <c r="O20" i="40" s="1"/>
  <c r="O21" i="40" s="1"/>
  <c r="O22" i="40" s="1"/>
  <c r="O23" i="40" s="1"/>
  <c r="O24" i="40" s="1"/>
  <c r="O25" i="40" s="1"/>
  <c r="O26" i="40" s="1"/>
  <c r="O27" i="40" s="1"/>
  <c r="O28" i="40" s="1"/>
  <c r="O29" i="40" s="1"/>
  <c r="O30" i="40" s="1"/>
  <c r="O31" i="40" s="1"/>
  <c r="O32" i="40" s="1"/>
  <c r="O33" i="40" s="1"/>
  <c r="O34" i="40" s="1"/>
  <c r="O35" i="40" s="1"/>
  <c r="O36" i="40" s="1"/>
  <c r="O37" i="40" s="1"/>
  <c r="O38" i="40" s="1"/>
  <c r="O39" i="40" s="1"/>
  <c r="O40" i="40" s="1"/>
  <c r="O41" i="40" s="1"/>
  <c r="O42" i="40" s="1"/>
  <c r="O43" i="40" s="1"/>
  <c r="O44" i="40" s="1"/>
  <c r="O45" i="40" s="1"/>
  <c r="O46" i="40" s="1"/>
  <c r="O47" i="40" s="1"/>
  <c r="O48" i="40" s="1"/>
  <c r="O49" i="40" s="1"/>
  <c r="O50" i="40" s="1"/>
  <c r="O51" i="40" s="1"/>
  <c r="O52" i="40" s="1"/>
  <c r="O53" i="40" s="1"/>
  <c r="O54" i="40" s="1"/>
  <c r="O55" i="40" s="1"/>
  <c r="O56" i="40" s="1"/>
  <c r="O57" i="40" s="1"/>
  <c r="O58" i="40" s="1"/>
  <c r="O59" i="40" s="1"/>
  <c r="O60" i="40" s="1"/>
  <c r="O61" i="40" s="1"/>
  <c r="O62" i="40" s="1"/>
  <c r="O63" i="40" s="1"/>
  <c r="O64" i="40" s="1"/>
  <c r="O65" i="40" s="1"/>
  <c r="O66" i="40" s="1"/>
  <c r="O67" i="40" s="1"/>
  <c r="O68" i="40" s="1"/>
  <c r="O69" i="40" s="1"/>
  <c r="O70" i="40" s="1"/>
  <c r="O71" i="40" s="1"/>
  <c r="O72" i="40" s="1"/>
  <c r="O73" i="40" s="1"/>
  <c r="O74" i="40" s="1"/>
  <c r="O75" i="40" s="1"/>
  <c r="O76" i="40" s="1"/>
  <c r="O77" i="40" s="1"/>
  <c r="O78" i="40" s="1"/>
  <c r="O79" i="40" s="1"/>
  <c r="O80" i="40" s="1"/>
  <c r="O81" i="40" s="1"/>
  <c r="O82" i="40" s="1"/>
  <c r="O83" i="40" s="1"/>
  <c r="O84" i="40" s="1"/>
  <c r="O85" i="40" s="1"/>
  <c r="O86" i="40" s="1"/>
  <c r="O87" i="40" s="1"/>
  <c r="O88" i="40" s="1"/>
  <c r="O89" i="40" s="1"/>
  <c r="O90" i="40" s="1"/>
  <c r="O91" i="40" s="1"/>
  <c r="O92" i="40" s="1"/>
  <c r="O93" i="40" s="1"/>
  <c r="O94" i="40" s="1"/>
  <c r="O95" i="40" s="1"/>
  <c r="O96" i="40" s="1"/>
  <c r="O97" i="40" s="1"/>
  <c r="O98" i="40" s="1"/>
  <c r="O99" i="40" s="1"/>
  <c r="O100" i="40" s="1"/>
  <c r="O101" i="40" s="1"/>
  <c r="O102" i="40" s="1"/>
  <c r="O103" i="40" s="1"/>
  <c r="O104" i="40" s="1"/>
  <c r="O105" i="40" s="1"/>
  <c r="O106" i="40" s="1"/>
  <c r="O107" i="40" s="1"/>
  <c r="O108" i="40" s="1"/>
  <c r="O109" i="40" s="1"/>
  <c r="O110" i="40" s="1"/>
  <c r="O111" i="40" s="1"/>
  <c r="O112" i="40" s="1"/>
  <c r="O113" i="40" s="1"/>
  <c r="O114" i="40" s="1"/>
  <c r="O115" i="40" s="1"/>
  <c r="O116" i="40" s="1"/>
  <c r="O117" i="40" s="1"/>
  <c r="O118" i="40" s="1"/>
  <c r="O119" i="40" s="1"/>
  <c r="O120" i="40" s="1"/>
  <c r="O121" i="40" s="1"/>
  <c r="O122" i="40" s="1"/>
  <c r="O123" i="40" s="1"/>
  <c r="O124" i="40" s="1"/>
  <c r="O125" i="40" s="1"/>
  <c r="O126" i="40" s="1"/>
  <c r="O127" i="40" s="1"/>
  <c r="O128" i="40" s="1"/>
  <c r="O129" i="40" s="1"/>
  <c r="O130" i="40" s="1"/>
  <c r="O131" i="40" s="1"/>
  <c r="O132" i="40" s="1"/>
  <c r="O133" i="40" s="1"/>
  <c r="O134" i="40" s="1"/>
  <c r="O135" i="40" s="1"/>
  <c r="O136" i="40" s="1"/>
  <c r="O137" i="40" s="1"/>
  <c r="O138" i="40" s="1"/>
  <c r="O139" i="40" s="1"/>
  <c r="O140" i="40" s="1"/>
  <c r="O141" i="40" s="1"/>
  <c r="O142" i="40" s="1"/>
  <c r="O143" i="40" s="1"/>
  <c r="O144" i="40" s="1"/>
  <c r="O145" i="40" s="1"/>
  <c r="O146" i="40" s="1"/>
  <c r="O147" i="40" s="1"/>
  <c r="O148" i="40" s="1"/>
  <c r="O149" i="40" s="1"/>
  <c r="O150" i="40" s="1"/>
  <c r="O151" i="40" s="1"/>
  <c r="O152" i="40" s="1"/>
  <c r="O153" i="40" s="1"/>
  <c r="O154" i="40" s="1"/>
  <c r="O155" i="40" s="1"/>
  <c r="O156" i="40" s="1"/>
  <c r="O157" i="40" s="1"/>
  <c r="O158" i="40" s="1"/>
  <c r="O159" i="40" s="1"/>
  <c r="O160" i="40" s="1"/>
  <c r="O161" i="40" s="1"/>
  <c r="O162" i="40" s="1"/>
  <c r="O163" i="40" s="1"/>
  <c r="O164" i="40" s="1"/>
  <c r="O165" i="40" s="1"/>
  <c r="O166" i="40" s="1"/>
  <c r="O167" i="40" s="1"/>
  <c r="O168" i="40" s="1"/>
  <c r="O169" i="40" s="1"/>
  <c r="O170" i="40" s="1"/>
  <c r="O171" i="40" s="1"/>
  <c r="O172" i="40" s="1"/>
  <c r="O173" i="40" s="1"/>
  <c r="O174" i="40" s="1"/>
  <c r="O175" i="40" s="1"/>
  <c r="O176" i="40" s="1"/>
  <c r="O177" i="40" s="1"/>
  <c r="O178" i="40" s="1"/>
  <c r="O179" i="40" s="1"/>
  <c r="O180" i="40" s="1"/>
  <c r="O181" i="40" s="1"/>
  <c r="O182" i="40" s="1"/>
  <c r="O183" i="40" s="1"/>
  <c r="O184" i="40" s="1"/>
  <c r="O185" i="40" s="1"/>
  <c r="O186" i="40" s="1"/>
  <c r="O187" i="40" s="1"/>
  <c r="O188" i="40" s="1"/>
  <c r="O189" i="40" s="1"/>
  <c r="O190" i="40" s="1"/>
  <c r="O191" i="40" s="1"/>
  <c r="O192" i="40" s="1"/>
  <c r="O193" i="40" s="1"/>
  <c r="O194" i="40" s="1"/>
  <c r="O195" i="40" s="1"/>
  <c r="O196" i="40" s="1"/>
  <c r="O197" i="40" s="1"/>
  <c r="O198" i="40" s="1"/>
  <c r="O199" i="40" s="1"/>
  <c r="O200" i="40" s="1"/>
  <c r="O201" i="40" s="1"/>
  <c r="O202" i="40" s="1"/>
  <c r="O203" i="40" s="1"/>
  <c r="O204" i="40" s="1"/>
  <c r="O205" i="40" s="1"/>
  <c r="O206" i="40" s="1"/>
  <c r="O207" i="40" s="1"/>
  <c r="O208" i="40" s="1"/>
  <c r="O209" i="40" s="1"/>
  <c r="O210" i="40" s="1"/>
  <c r="O211" i="40" s="1"/>
  <c r="O212" i="40" s="1"/>
  <c r="O213" i="40" s="1"/>
  <c r="O214" i="40" s="1"/>
  <c r="O215" i="40" s="1"/>
  <c r="O216" i="40" s="1"/>
  <c r="O217" i="40" s="1"/>
  <c r="O218" i="40" s="1"/>
  <c r="O219" i="40" s="1"/>
  <c r="O220" i="40" s="1"/>
  <c r="O221" i="40" s="1"/>
  <c r="O222" i="40" s="1"/>
  <c r="O223" i="40" s="1"/>
  <c r="O224" i="40" s="1"/>
  <c r="O225" i="40" s="1"/>
  <c r="O226" i="40" s="1"/>
  <c r="O227" i="40" s="1"/>
  <c r="O228" i="40" s="1"/>
  <c r="O229" i="40" s="1"/>
  <c r="O230" i="40" s="1"/>
  <c r="O231" i="40" s="1"/>
  <c r="O232" i="40" s="1"/>
  <c r="O233" i="40" s="1"/>
  <c r="O234" i="40" s="1"/>
  <c r="O235" i="40" s="1"/>
  <c r="O236" i="40" s="1"/>
  <c r="O237" i="40" s="1"/>
  <c r="O238" i="40" s="1"/>
  <c r="O239" i="40" s="1"/>
  <c r="O240" i="40" s="1"/>
  <c r="O241" i="40" s="1"/>
  <c r="O242" i="40" s="1"/>
  <c r="O243" i="40" s="1"/>
  <c r="O244" i="40" s="1"/>
  <c r="O245" i="40" s="1"/>
  <c r="O246" i="40" s="1"/>
  <c r="O247" i="40" s="1"/>
  <c r="O248" i="40" s="1"/>
  <c r="O249" i="40" s="1"/>
  <c r="O250" i="40" s="1"/>
  <c r="O251" i="40" s="1"/>
  <c r="O252" i="40" s="1"/>
  <c r="O253" i="40" s="1"/>
  <c r="O254" i="40" s="1"/>
  <c r="O255" i="40" s="1"/>
  <c r="O256" i="40" s="1"/>
  <c r="O257" i="40" s="1"/>
  <c r="O258" i="40" s="1"/>
  <c r="O259" i="40" s="1"/>
  <c r="O260" i="40" s="1"/>
  <c r="O261" i="40" s="1"/>
  <c r="O262" i="40" s="1"/>
  <c r="O263" i="40" s="1"/>
  <c r="O264" i="40" s="1"/>
  <c r="O265" i="40" s="1"/>
  <c r="O266" i="40" s="1"/>
  <c r="O267" i="40" s="1"/>
  <c r="O268" i="40" s="1"/>
  <c r="O269" i="40" s="1"/>
  <c r="O270" i="40" s="1"/>
  <c r="O271" i="40" s="1"/>
  <c r="O272" i="40" s="1"/>
  <c r="O273" i="40" s="1"/>
  <c r="O274" i="40" s="1"/>
  <c r="O275" i="40" s="1"/>
  <c r="O276" i="40" s="1"/>
  <c r="O277" i="40" s="1"/>
  <c r="O278" i="40" s="1"/>
  <c r="O279" i="40" s="1"/>
  <c r="O280" i="40" s="1"/>
  <c r="O281" i="40" s="1"/>
  <c r="O282" i="40" s="1"/>
  <c r="O283" i="40" s="1"/>
  <c r="O284" i="40" s="1"/>
  <c r="O285" i="40" s="1"/>
  <c r="O286" i="40" s="1"/>
  <c r="O287" i="40" s="1"/>
  <c r="O288" i="40" s="1"/>
  <c r="O289" i="40" s="1"/>
  <c r="O290" i="40" s="1"/>
  <c r="O291" i="40" s="1"/>
  <c r="O292" i="40" s="1"/>
  <c r="O293" i="40" s="1"/>
  <c r="O294" i="40" s="1"/>
  <c r="O295" i="40" s="1"/>
  <c r="O296" i="40" s="1"/>
  <c r="O297" i="40" s="1"/>
  <c r="O298" i="40" s="1"/>
  <c r="O299" i="40" s="1"/>
  <c r="O300" i="40" s="1"/>
  <c r="O301" i="40" s="1"/>
  <c r="O302" i="40" s="1"/>
  <c r="O303" i="40" s="1"/>
  <c r="O304" i="40" s="1"/>
  <c r="O305" i="40" s="1"/>
  <c r="O306" i="40" s="1"/>
  <c r="O307" i="40" s="1"/>
  <c r="T305" i="40" l="1"/>
  <c r="T304" i="40" l="1"/>
  <c r="P305" i="40"/>
  <c r="P304" i="40" l="1"/>
  <c r="T303" i="40"/>
  <c r="T302" i="40" l="1"/>
  <c r="P303" i="40"/>
  <c r="P302" i="40" l="1"/>
  <c r="T301" i="40"/>
  <c r="T300" i="40" l="1"/>
  <c r="P301" i="40"/>
  <c r="P300" i="40" l="1"/>
  <c r="T299" i="40"/>
  <c r="P299" i="40" l="1"/>
  <c r="T298" i="40"/>
  <c r="T297" i="40" l="1"/>
  <c r="P298" i="40"/>
  <c r="T296" i="40" l="1"/>
  <c r="P297" i="40"/>
  <c r="P296" i="40" l="1"/>
  <c r="T295" i="40"/>
  <c r="P295" i="40" l="1"/>
  <c r="T294" i="40"/>
  <c r="P294" i="40" l="1"/>
  <c r="T293" i="40"/>
  <c r="P293" i="40" l="1"/>
  <c r="T292" i="40"/>
  <c r="T291" i="40" l="1"/>
  <c r="P292" i="40"/>
  <c r="P291" i="40" l="1"/>
  <c r="T290" i="40"/>
  <c r="P290" i="40" l="1"/>
  <c r="T289" i="40"/>
  <c r="P289" i="40" l="1"/>
  <c r="T288" i="40"/>
  <c r="T287" i="40" l="1"/>
  <c r="P288" i="40"/>
  <c r="P287" i="40" l="1"/>
  <c r="T286" i="40"/>
  <c r="P286" i="40" l="1"/>
  <c r="T285" i="40"/>
  <c r="P285" i="40" l="1"/>
  <c r="T284" i="40"/>
  <c r="P284" i="40" l="1"/>
  <c r="T283" i="40"/>
  <c r="P283" i="40" l="1"/>
  <c r="T282" i="40"/>
  <c r="P282" i="40" l="1"/>
  <c r="T281" i="40"/>
  <c r="T280" i="40" l="1"/>
  <c r="P281" i="40"/>
  <c r="P280" i="40" l="1"/>
  <c r="T279" i="40"/>
  <c r="T278" i="40" l="1"/>
  <c r="P279" i="40"/>
  <c r="P278" i="40" l="1"/>
  <c r="T277" i="40"/>
  <c r="P277" i="40" l="1"/>
  <c r="T276" i="40"/>
  <c r="T275" i="40" l="1"/>
  <c r="P276" i="40"/>
  <c r="P275" i="40" l="1"/>
  <c r="T274" i="40"/>
  <c r="P274" i="40" l="1"/>
  <c r="T273" i="40"/>
  <c r="T272" i="40" l="1"/>
  <c r="P273" i="40"/>
  <c r="P272" i="40" l="1"/>
  <c r="T271" i="40"/>
  <c r="T270" i="40" l="1"/>
  <c r="P271" i="40"/>
  <c r="P270" i="40" l="1"/>
  <c r="T269" i="40"/>
  <c r="P269" i="40" l="1"/>
  <c r="T268" i="40"/>
  <c r="T267" i="40" l="1"/>
  <c r="P268" i="40"/>
  <c r="P267" i="40" l="1"/>
  <c r="T266" i="40"/>
  <c r="T265" i="40" l="1"/>
  <c r="P266" i="40"/>
  <c r="P265" i="40" l="1"/>
  <c r="T264" i="40"/>
  <c r="T263" i="40" l="1"/>
  <c r="P264" i="40"/>
  <c r="T262" i="40" l="1"/>
  <c r="P263" i="40"/>
  <c r="T261" i="40" l="1"/>
  <c r="P262" i="40"/>
  <c r="P261" i="40" l="1"/>
  <c r="T260" i="40"/>
  <c r="P260" i="40" l="1"/>
  <c r="T259" i="40"/>
  <c r="T258" i="40" l="1"/>
  <c r="P259" i="40"/>
  <c r="P258" i="40" l="1"/>
  <c r="T257" i="40"/>
  <c r="T256" i="40" l="1"/>
  <c r="P257" i="40"/>
  <c r="P256" i="40" l="1"/>
  <c r="T255" i="40"/>
  <c r="T254" i="40" l="1"/>
  <c r="P255" i="40"/>
  <c r="P254" i="40" l="1"/>
  <c r="T253" i="40"/>
  <c r="P253" i="40" l="1"/>
  <c r="T252" i="40"/>
  <c r="T251" i="40" l="1"/>
  <c r="P252" i="40"/>
  <c r="P251" i="40" l="1"/>
  <c r="T250" i="40"/>
  <c r="P250" i="40" l="1"/>
  <c r="T249" i="40"/>
  <c r="P249" i="40" l="1"/>
  <c r="T248" i="40"/>
  <c r="P248" i="40" l="1"/>
  <c r="T247" i="40"/>
  <c r="T246" i="40" l="1"/>
  <c r="P247" i="40"/>
  <c r="T245" i="40" l="1"/>
  <c r="P246" i="40"/>
  <c r="P245" i="40" l="1"/>
  <c r="T244" i="40"/>
  <c r="T243" i="40" l="1"/>
  <c r="P244" i="40"/>
  <c r="T242" i="40" l="1"/>
  <c r="P243" i="40"/>
  <c r="P242" i="40" l="1"/>
  <c r="T241" i="40"/>
  <c r="T240" i="40" l="1"/>
  <c r="P241" i="40"/>
  <c r="T239" i="40" l="1"/>
  <c r="P240" i="40"/>
  <c r="T238" i="40" l="1"/>
  <c r="P239" i="40"/>
  <c r="P238" i="40" l="1"/>
  <c r="T237" i="40"/>
  <c r="P237" i="40" l="1"/>
  <c r="T236" i="40"/>
  <c r="T235" i="40" l="1"/>
  <c r="P236" i="40"/>
  <c r="P235" i="40" l="1"/>
  <c r="T234" i="40"/>
  <c r="P234" i="40" l="1"/>
  <c r="T233" i="40"/>
  <c r="T232" i="40" l="1"/>
  <c r="P233" i="40"/>
  <c r="P232" i="40" l="1"/>
  <c r="T231" i="40"/>
  <c r="T230" i="40" l="1"/>
  <c r="P231" i="40"/>
  <c r="P230" i="40" l="1"/>
  <c r="T229" i="40"/>
  <c r="P229" i="40" l="1"/>
  <c r="T228" i="40"/>
  <c r="T227" i="40" l="1"/>
  <c r="P228" i="40"/>
  <c r="T226" i="40" l="1"/>
  <c r="P227" i="40"/>
  <c r="P226" i="40" l="1"/>
  <c r="T225" i="40"/>
  <c r="T224" i="40" l="1"/>
  <c r="P225" i="40"/>
  <c r="P224" i="40" l="1"/>
  <c r="T223" i="40"/>
  <c r="P223" i="40" l="1"/>
  <c r="T222" i="40"/>
  <c r="P222" i="40" l="1"/>
  <c r="T221" i="40"/>
  <c r="P221" i="40" l="1"/>
  <c r="T220" i="40"/>
  <c r="T219" i="40" l="1"/>
  <c r="P220" i="40"/>
  <c r="P219" i="40" l="1"/>
  <c r="T218" i="40"/>
  <c r="T217" i="40" l="1"/>
  <c r="P218" i="40"/>
  <c r="T216" i="40" l="1"/>
  <c r="P217" i="40"/>
  <c r="T215" i="40" l="1"/>
  <c r="P216" i="40"/>
  <c r="T214" i="40" l="1"/>
  <c r="P215" i="40"/>
  <c r="P214" i="40" l="1"/>
  <c r="T213" i="40"/>
  <c r="P213" i="40" l="1"/>
  <c r="T212" i="40"/>
  <c r="T211" i="40" l="1"/>
  <c r="P212" i="40"/>
  <c r="T210" i="40" l="1"/>
  <c r="P211" i="40"/>
  <c r="T209" i="40" l="1"/>
  <c r="P210" i="40"/>
  <c r="T208" i="40" l="1"/>
  <c r="P209" i="40"/>
  <c r="P208" i="40" l="1"/>
  <c r="T207" i="40"/>
  <c r="T206" i="40" l="1"/>
  <c r="P207" i="40"/>
  <c r="P206" i="40" l="1"/>
  <c r="T205" i="40"/>
  <c r="T204" i="40" l="1"/>
  <c r="P205" i="40"/>
  <c r="P204" i="40" l="1"/>
  <c r="T203" i="40"/>
  <c r="T202" i="40" l="1"/>
  <c r="P203" i="40"/>
  <c r="P202" i="40" l="1"/>
  <c r="T201" i="40"/>
  <c r="T200" i="40" l="1"/>
  <c r="P201" i="40"/>
  <c r="T199" i="40" l="1"/>
  <c r="P200" i="40"/>
  <c r="P199" i="40" l="1"/>
  <c r="T198" i="40"/>
  <c r="T197" i="40" l="1"/>
  <c r="P198" i="40"/>
  <c r="P197" i="40" l="1"/>
  <c r="T196" i="40"/>
  <c r="T195" i="40" l="1"/>
  <c r="P196" i="40"/>
  <c r="P195" i="40" l="1"/>
  <c r="T194" i="40"/>
  <c r="P194" i="40" l="1"/>
  <c r="T193" i="40"/>
  <c r="P193" i="40" l="1"/>
  <c r="T192" i="40"/>
  <c r="T191" i="40" l="1"/>
  <c r="P192" i="40"/>
  <c r="P191" i="40" l="1"/>
  <c r="T190" i="40"/>
  <c r="T189" i="40" l="1"/>
  <c r="P190" i="40"/>
  <c r="P189" i="40" l="1"/>
  <c r="T188" i="40"/>
  <c r="P188" i="40" l="1"/>
  <c r="T187" i="40"/>
  <c r="T186" i="40" l="1"/>
  <c r="P187" i="40"/>
  <c r="P186" i="40" l="1"/>
  <c r="T185" i="40"/>
  <c r="T184" i="40" l="1"/>
  <c r="P185" i="40"/>
  <c r="T183" i="40" l="1"/>
  <c r="P184" i="40"/>
  <c r="T182" i="40" l="1"/>
  <c r="P183" i="40"/>
  <c r="P182" i="40" l="1"/>
  <c r="T181" i="40"/>
  <c r="T180" i="40" l="1"/>
  <c r="P181" i="40"/>
  <c r="P180" i="40" l="1"/>
  <c r="T179" i="40"/>
  <c r="T178" i="40" l="1"/>
  <c r="P179" i="40"/>
  <c r="P178" i="40" l="1"/>
  <c r="T177" i="40"/>
  <c r="P177" i="40" l="1"/>
  <c r="T176" i="40"/>
  <c r="P176" i="40" l="1"/>
  <c r="T175" i="40"/>
  <c r="P175" i="40" l="1"/>
  <c r="T174" i="40"/>
  <c r="P174" i="40" l="1"/>
  <c r="T173" i="40"/>
  <c r="T172" i="40" l="1"/>
  <c r="P173" i="40"/>
  <c r="P172" i="40" l="1"/>
  <c r="T171" i="40"/>
  <c r="T170" i="40" l="1"/>
  <c r="P171" i="40"/>
  <c r="P170" i="40" l="1"/>
  <c r="T169" i="40"/>
  <c r="T168" i="40" l="1"/>
  <c r="P169" i="40"/>
  <c r="T167" i="40" l="1"/>
  <c r="P168" i="40"/>
  <c r="T166" i="40" l="1"/>
  <c r="P167" i="40"/>
  <c r="P166" i="40" l="1"/>
  <c r="T165" i="40"/>
  <c r="P165" i="40" l="1"/>
  <c r="T164" i="40"/>
  <c r="T163" i="40" l="1"/>
  <c r="P164" i="40"/>
  <c r="T162" i="40" l="1"/>
  <c r="P163" i="40"/>
  <c r="P162" i="40" l="1"/>
  <c r="T161" i="40"/>
  <c r="P161" i="40" l="1"/>
  <c r="T160" i="40"/>
  <c r="T159" i="40" l="1"/>
  <c r="P160" i="40"/>
  <c r="P159" i="40" l="1"/>
  <c r="T158" i="40"/>
  <c r="P158" i="40" l="1"/>
  <c r="T157" i="40"/>
  <c r="T156" i="40" l="1"/>
  <c r="P157" i="40"/>
  <c r="P156" i="40" l="1"/>
  <c r="T155" i="40"/>
  <c r="T154" i="40" l="1"/>
  <c r="P155" i="40"/>
  <c r="T153" i="40" l="1"/>
  <c r="P154" i="40"/>
  <c r="P153" i="40" l="1"/>
  <c r="T152" i="40"/>
  <c r="T151" i="40" l="1"/>
  <c r="P152" i="40"/>
  <c r="T150" i="40" l="1"/>
  <c r="P151" i="40"/>
  <c r="T149" i="40" l="1"/>
  <c r="P150" i="40"/>
  <c r="T148" i="40" l="1"/>
  <c r="P149" i="40"/>
  <c r="P148" i="40" l="1"/>
  <c r="T147" i="40"/>
  <c r="T146" i="40" l="1"/>
  <c r="P147" i="40"/>
  <c r="P146" i="40" l="1"/>
  <c r="T145" i="40"/>
  <c r="P145" i="40" l="1"/>
  <c r="T144" i="40"/>
  <c r="T143" i="40" l="1"/>
  <c r="P144" i="40"/>
  <c r="T142" i="40" l="1"/>
  <c r="P143" i="40"/>
  <c r="P142" i="40" l="1"/>
  <c r="T141" i="40"/>
  <c r="P141" i="40" l="1"/>
  <c r="T140" i="40"/>
  <c r="T139" i="40" l="1"/>
  <c r="P140" i="40"/>
  <c r="P139" i="40" l="1"/>
  <c r="T138" i="40"/>
  <c r="T137" i="40" l="1"/>
  <c r="P138" i="40"/>
  <c r="P137" i="40" l="1"/>
  <c r="T136" i="40"/>
  <c r="T135" i="40" l="1"/>
  <c r="P136" i="40"/>
  <c r="T134" i="40" l="1"/>
  <c r="P135" i="40"/>
  <c r="T133" i="40" l="1"/>
  <c r="P134" i="40"/>
  <c r="T132" i="40" l="1"/>
  <c r="P133" i="40"/>
  <c r="P132" i="40" l="1"/>
  <c r="T131" i="40"/>
  <c r="T130" i="40" l="1"/>
  <c r="P131" i="40"/>
  <c r="T129" i="40" l="1"/>
  <c r="P130" i="40"/>
  <c r="T128" i="40" l="1"/>
  <c r="P129" i="40"/>
  <c r="T127" i="40" l="1"/>
  <c r="P128" i="40"/>
  <c r="T126" i="40" l="1"/>
  <c r="P127" i="40"/>
  <c r="P126" i="40" l="1"/>
  <c r="T125" i="40"/>
  <c r="T124" i="40" l="1"/>
  <c r="P125" i="40"/>
  <c r="P124" i="40" l="1"/>
  <c r="T123" i="40"/>
  <c r="P123" i="40" l="1"/>
  <c r="T122" i="40"/>
  <c r="T121" i="40" l="1"/>
  <c r="P122" i="40"/>
  <c r="P121" i="40" l="1"/>
  <c r="T120" i="40"/>
  <c r="P120" i="40" l="1"/>
  <c r="T119" i="40"/>
  <c r="T118" i="40" l="1"/>
  <c r="P119" i="40"/>
  <c r="P118" i="40" l="1"/>
  <c r="T117" i="40"/>
  <c r="P117" i="40" l="1"/>
  <c r="T116" i="40"/>
  <c r="P116" i="40" l="1"/>
  <c r="T115" i="40"/>
  <c r="P115" i="40" l="1"/>
  <c r="T114" i="40"/>
  <c r="P114" i="40" l="1"/>
  <c r="T113" i="40"/>
  <c r="T112" i="40" l="1"/>
  <c r="P113" i="40"/>
  <c r="P112" i="40" l="1"/>
  <c r="T111" i="40"/>
  <c r="P111" i="40" l="1"/>
  <c r="T110" i="40"/>
  <c r="T109" i="40" l="1"/>
  <c r="P110" i="40"/>
  <c r="P109" i="40" l="1"/>
  <c r="T108" i="40"/>
  <c r="T107" i="40" l="1"/>
  <c r="P108" i="40"/>
  <c r="P107" i="40" l="1"/>
  <c r="T106" i="40"/>
  <c r="T105" i="40" l="1"/>
  <c r="P106" i="40"/>
  <c r="T104" i="40" l="1"/>
  <c r="P105" i="40"/>
  <c r="P104" i="40" l="1"/>
  <c r="T103" i="40"/>
  <c r="P103" i="40" l="1"/>
  <c r="T102" i="40"/>
  <c r="P102" i="40" l="1"/>
  <c r="T101" i="40"/>
  <c r="T100" i="40" l="1"/>
  <c r="P101" i="40"/>
  <c r="T99" i="40" l="1"/>
  <c r="P100" i="40"/>
  <c r="P99" i="40" l="1"/>
  <c r="T98" i="40"/>
  <c r="T97" i="40" l="1"/>
  <c r="P98" i="40"/>
  <c r="T96" i="40" l="1"/>
  <c r="P97" i="40"/>
  <c r="T95" i="40" l="1"/>
  <c r="P96" i="40"/>
  <c r="T94" i="40" l="1"/>
  <c r="P95" i="40"/>
  <c r="P94" i="40" l="1"/>
  <c r="T93" i="40"/>
  <c r="T92" i="40" l="1"/>
  <c r="P93" i="40"/>
  <c r="T91" i="40" l="1"/>
  <c r="P92" i="40"/>
  <c r="P91" i="40" l="1"/>
  <c r="T90" i="40"/>
  <c r="P90" i="40" l="1"/>
  <c r="T89" i="40"/>
  <c r="P89" i="40" l="1"/>
  <c r="T88" i="40"/>
  <c r="T87" i="40" l="1"/>
  <c r="P88" i="40"/>
  <c r="T86" i="40" l="1"/>
  <c r="P87" i="40"/>
  <c r="P86" i="40" l="1"/>
  <c r="T85" i="40"/>
  <c r="P85" i="40" l="1"/>
  <c r="T84" i="40"/>
  <c r="T83" i="40" l="1"/>
  <c r="P84" i="40"/>
  <c r="P83" i="40" l="1"/>
  <c r="T82" i="40"/>
  <c r="P82" i="40" l="1"/>
  <c r="T81" i="40"/>
  <c r="P81" i="40" l="1"/>
  <c r="T80" i="40"/>
  <c r="T79" i="40" l="1"/>
  <c r="P80" i="40"/>
  <c r="P79" i="40" l="1"/>
  <c r="T78" i="40"/>
  <c r="T77" i="40" l="1"/>
  <c r="P78" i="40"/>
  <c r="T76" i="40" l="1"/>
  <c r="P77" i="40"/>
  <c r="P76" i="40" l="1"/>
  <c r="T75" i="40"/>
  <c r="T74" i="40" l="1"/>
  <c r="P75" i="40"/>
  <c r="T73" i="40" l="1"/>
  <c r="P74" i="40"/>
  <c r="T72" i="40" l="1"/>
  <c r="P73" i="40"/>
  <c r="T71" i="40" l="1"/>
  <c r="P72" i="40"/>
  <c r="T70" i="40" l="1"/>
  <c r="P71" i="40"/>
  <c r="P70" i="40" l="1"/>
  <c r="T69" i="40"/>
  <c r="T68" i="40" l="1"/>
  <c r="P69" i="40"/>
  <c r="P68" i="40" l="1"/>
  <c r="T67" i="40"/>
  <c r="P67" i="40" l="1"/>
  <c r="T66" i="40"/>
  <c r="P66" i="40" l="1"/>
  <c r="T65" i="40"/>
  <c r="T64" i="40" l="1"/>
  <c r="P65" i="40"/>
  <c r="T63" i="40" l="1"/>
  <c r="P64" i="40"/>
  <c r="P63" i="40" l="1"/>
  <c r="T62" i="40"/>
  <c r="T61" i="40" l="1"/>
  <c r="P62" i="40"/>
  <c r="P61" i="40" l="1"/>
  <c r="T60" i="40"/>
  <c r="T59" i="40" l="1"/>
  <c r="P60" i="40"/>
  <c r="T58" i="40" l="1"/>
  <c r="P59" i="40"/>
  <c r="T57" i="40" l="1"/>
  <c r="P58" i="40"/>
  <c r="T56" i="40" l="1"/>
  <c r="P57" i="40"/>
  <c r="P56" i="40" l="1"/>
  <c r="T55" i="40"/>
  <c r="T54" i="40" l="1"/>
  <c r="P55" i="40"/>
  <c r="P54" i="40" l="1"/>
  <c r="T53" i="40"/>
  <c r="T52" i="40" l="1"/>
  <c r="P53" i="40"/>
  <c r="T51" i="40" l="1"/>
  <c r="P52" i="40"/>
  <c r="P51" i="40" l="1"/>
  <c r="T50" i="40"/>
  <c r="P50" i="40" l="1"/>
  <c r="T49" i="40"/>
  <c r="P49" i="40" l="1"/>
  <c r="T48" i="40"/>
  <c r="T47" i="40" l="1"/>
  <c r="P48" i="40"/>
  <c r="T46" i="40" l="1"/>
  <c r="P47" i="40"/>
  <c r="T45" i="40" l="1"/>
  <c r="P46" i="40"/>
  <c r="T44" i="40" l="1"/>
  <c r="P45" i="40"/>
  <c r="T43" i="40" l="1"/>
  <c r="P44" i="40"/>
  <c r="P43" i="40" l="1"/>
  <c r="T42" i="40"/>
  <c r="P42" i="40" l="1"/>
  <c r="T41" i="40"/>
  <c r="P41" i="40" l="1"/>
  <c r="T40" i="40"/>
  <c r="T39" i="40" l="1"/>
  <c r="P40" i="40"/>
  <c r="T38" i="40" l="1"/>
  <c r="P39" i="40"/>
  <c r="T37" i="40" l="1"/>
  <c r="P38" i="40"/>
  <c r="P37" i="40" l="1"/>
  <c r="T36" i="40"/>
  <c r="P36" i="40" l="1"/>
  <c r="T35" i="40"/>
  <c r="T34" i="40" l="1"/>
  <c r="P35" i="40"/>
  <c r="P34" i="40" l="1"/>
  <c r="T33" i="40"/>
  <c r="T32" i="40" l="1"/>
  <c r="P33" i="40"/>
  <c r="T31" i="40" l="1"/>
  <c r="P32" i="40"/>
  <c r="P31" i="40" l="1"/>
  <c r="T30" i="40"/>
  <c r="P30" i="40" l="1"/>
  <c r="T29" i="40"/>
  <c r="T28" i="40" l="1"/>
  <c r="P29" i="40"/>
  <c r="P28" i="40" l="1"/>
  <c r="T27" i="40"/>
  <c r="T26" i="40" l="1"/>
  <c r="P27" i="40"/>
  <c r="T25" i="40" l="1"/>
  <c r="P26" i="40"/>
  <c r="P25" i="40" l="1"/>
  <c r="T24" i="40"/>
  <c r="T23" i="40" l="1"/>
  <c r="P24" i="40"/>
  <c r="P23" i="40" l="1"/>
  <c r="T22" i="40"/>
  <c r="P22" i="40" l="1"/>
  <c r="T21" i="40"/>
  <c r="T20" i="40" l="1"/>
  <c r="P21" i="40"/>
  <c r="P20" i="40" l="1"/>
  <c r="T19" i="40"/>
  <c r="T18" i="40" l="1"/>
  <c r="P19" i="40"/>
  <c r="T17" i="40" l="1"/>
  <c r="P18" i="40"/>
  <c r="P17" i="40" l="1"/>
  <c r="T16" i="40"/>
  <c r="P16" i="40" l="1"/>
  <c r="T15" i="40"/>
  <c r="P15" i="40" l="1"/>
  <c r="T14" i="40"/>
  <c r="P14" i="40" l="1"/>
  <c r="T13" i="40"/>
  <c r="T12" i="40" l="1"/>
  <c r="P12" i="40" s="1"/>
  <c r="Q12" i="40" s="1"/>
  <c r="R12" i="40" s="1"/>
  <c r="P13" i="40"/>
  <c r="Q13" i="40" l="1"/>
  <c r="R13" i="40" l="1"/>
  <c r="Q14" i="40"/>
  <c r="Q15" i="40" l="1"/>
  <c r="R14" i="40"/>
  <c r="R15" i="40" l="1"/>
  <c r="Q16" i="40"/>
  <c r="R16" i="40" l="1"/>
  <c r="Q17" i="40"/>
  <c r="Q18" i="40" l="1"/>
  <c r="R17" i="40"/>
  <c r="R18" i="40" l="1"/>
  <c r="Q19" i="40"/>
  <c r="R19" i="40" l="1"/>
  <c r="Q20" i="40"/>
  <c r="Q21" i="40" l="1"/>
  <c r="R20" i="40"/>
  <c r="Q22" i="40" l="1"/>
  <c r="R21" i="40"/>
  <c r="Q23" i="40" l="1"/>
  <c r="R22" i="40"/>
  <c r="R23" i="40" l="1"/>
  <c r="Q24" i="40"/>
  <c r="Q25" i="40" l="1"/>
  <c r="R24" i="40"/>
  <c r="Q26" i="40" l="1"/>
  <c r="R25" i="40"/>
  <c r="Q27" i="40" l="1"/>
  <c r="R26" i="40"/>
  <c r="R27" i="40" l="1"/>
  <c r="Q28" i="40"/>
  <c r="R28" i="40" l="1"/>
  <c r="Q29" i="40"/>
  <c r="R29" i="40" l="1"/>
  <c r="Q30" i="40"/>
  <c r="R30" i="40" l="1"/>
  <c r="Q31" i="40"/>
  <c r="R31" i="40" l="1"/>
  <c r="Q32" i="40"/>
  <c r="Q33" i="40" l="1"/>
  <c r="R32" i="40"/>
  <c r="R33" i="40" l="1"/>
  <c r="Q34" i="40"/>
  <c r="Q35" i="40" l="1"/>
  <c r="R34" i="40"/>
  <c r="Q36" i="40" l="1"/>
  <c r="R35" i="40"/>
  <c r="R36" i="40" l="1"/>
  <c r="Q37" i="40"/>
  <c r="R37" i="40" l="1"/>
  <c r="Q38" i="40"/>
  <c r="Q39" i="40" l="1"/>
  <c r="R38" i="40"/>
  <c r="R39" i="40" l="1"/>
  <c r="Q40" i="40"/>
  <c r="R40" i="40" l="1"/>
  <c r="Q41" i="40"/>
  <c r="R41" i="40" l="1"/>
  <c r="Q42" i="40"/>
  <c r="R42" i="40" l="1"/>
  <c r="Q43" i="40"/>
  <c r="Q44" i="40" l="1"/>
  <c r="R43" i="40"/>
  <c r="Q45" i="40" l="1"/>
  <c r="R44" i="40"/>
  <c r="Q46" i="40" l="1"/>
  <c r="R45" i="40"/>
  <c r="R46" i="40" l="1"/>
  <c r="Q47" i="40"/>
  <c r="R47" i="40" l="1"/>
  <c r="Q48" i="40"/>
  <c r="Q49" i="40" l="1"/>
  <c r="R48" i="40"/>
  <c r="R49" i="40" l="1"/>
  <c r="Q50" i="40"/>
  <c r="R50" i="40" l="1"/>
  <c r="Q51" i="40"/>
  <c r="Q52" i="40" l="1"/>
  <c r="R51" i="40"/>
  <c r="R52" i="40" l="1"/>
  <c r="Q53" i="40"/>
  <c r="Q54" i="40" l="1"/>
  <c r="R53" i="40"/>
  <c r="R54" i="40" l="1"/>
  <c r="Q55" i="40"/>
  <c r="R55" i="40" l="1"/>
  <c r="Q56" i="40"/>
  <c r="Q57" i="40" l="1"/>
  <c r="R56" i="40"/>
  <c r="R57" i="40" l="1"/>
  <c r="Q58" i="40"/>
  <c r="Q59" i="40" l="1"/>
  <c r="R58" i="40"/>
  <c r="R59" i="40" l="1"/>
  <c r="Q60" i="40"/>
  <c r="R60" i="40" l="1"/>
  <c r="Q61" i="40"/>
  <c r="R61" i="40" l="1"/>
  <c r="Q62" i="40"/>
  <c r="R62" i="40" l="1"/>
  <c r="Q63" i="40"/>
  <c r="R63" i="40" l="1"/>
  <c r="Q64" i="40"/>
  <c r="R64" i="40" l="1"/>
  <c r="Q65" i="40"/>
  <c r="R65" i="40" l="1"/>
  <c r="Q66" i="40"/>
  <c r="R66" i="40" l="1"/>
  <c r="Q67" i="40"/>
  <c r="Q68" i="40" l="1"/>
  <c r="R67" i="40"/>
  <c r="R68" i="40" l="1"/>
  <c r="Q69" i="40"/>
  <c r="R69" i="40" l="1"/>
  <c r="Q70" i="40"/>
  <c r="Q71" i="40" l="1"/>
  <c r="R70" i="40"/>
  <c r="R71" i="40" l="1"/>
  <c r="Q72" i="40"/>
  <c r="R72" i="40" l="1"/>
  <c r="Q73" i="40"/>
  <c r="R73" i="40" l="1"/>
  <c r="Q74" i="40"/>
  <c r="R74" i="40" l="1"/>
  <c r="Q75" i="40"/>
  <c r="R75" i="40" l="1"/>
  <c r="Q76" i="40"/>
  <c r="Q77" i="40" l="1"/>
  <c r="R76" i="40"/>
  <c r="R77" i="40" l="1"/>
  <c r="Q78" i="40"/>
  <c r="Q79" i="40" l="1"/>
  <c r="R78" i="40"/>
  <c r="R79" i="40" l="1"/>
  <c r="Q80" i="40"/>
  <c r="R80" i="40" l="1"/>
  <c r="Q81" i="40"/>
  <c r="Q82" i="40" l="1"/>
  <c r="R81" i="40"/>
  <c r="R82" i="40" l="1"/>
  <c r="Q83" i="40"/>
  <c r="Q84" i="40" l="1"/>
  <c r="R83" i="40"/>
  <c r="Q85" i="40" l="1"/>
  <c r="R84" i="40"/>
  <c r="Q86" i="40" l="1"/>
  <c r="R85" i="40"/>
  <c r="Q87" i="40" l="1"/>
  <c r="R86" i="40"/>
  <c r="R87" i="40" l="1"/>
  <c r="Q88" i="40"/>
  <c r="Q89" i="40" l="1"/>
  <c r="R88" i="40"/>
  <c r="R89" i="40" l="1"/>
  <c r="Q90" i="40"/>
  <c r="Q91" i="40" l="1"/>
  <c r="R90" i="40"/>
  <c r="R91" i="40" l="1"/>
  <c r="Q92" i="40"/>
  <c r="R92" i="40" l="1"/>
  <c r="Q93" i="40"/>
  <c r="Q94" i="40" l="1"/>
  <c r="R93" i="40"/>
  <c r="Q95" i="40" l="1"/>
  <c r="R94" i="40"/>
  <c r="Q96" i="40" l="1"/>
  <c r="R95" i="40"/>
  <c r="Q97" i="40" l="1"/>
  <c r="R96" i="40"/>
  <c r="Q98" i="40" l="1"/>
  <c r="R97" i="40"/>
  <c r="Q99" i="40" l="1"/>
  <c r="R98" i="40"/>
  <c r="R99" i="40" l="1"/>
  <c r="Q100" i="40"/>
  <c r="R100" i="40" l="1"/>
  <c r="Q101" i="40"/>
  <c r="R101" i="40" l="1"/>
  <c r="Q102" i="40"/>
  <c r="Q103" i="40" l="1"/>
  <c r="R102" i="40"/>
  <c r="Q104" i="40" l="1"/>
  <c r="R103" i="40"/>
  <c r="Q105" i="40" l="1"/>
  <c r="R104" i="40"/>
  <c r="Q106" i="40" l="1"/>
  <c r="R105" i="40"/>
  <c r="R106" i="40" l="1"/>
  <c r="Q107" i="40"/>
  <c r="R107" i="40" l="1"/>
  <c r="Q108" i="40"/>
  <c r="Q109" i="40" l="1"/>
  <c r="R108" i="40"/>
  <c r="Q110" i="40" l="1"/>
  <c r="R109" i="40"/>
  <c r="R110" i="40" l="1"/>
  <c r="Q111" i="40"/>
  <c r="Q112" i="40" l="1"/>
  <c r="R111" i="40"/>
  <c r="Q113" i="40" l="1"/>
  <c r="R112" i="40"/>
  <c r="R113" i="40" l="1"/>
  <c r="Q114" i="40"/>
  <c r="R114" i="40" l="1"/>
  <c r="Q115" i="40"/>
  <c r="R115" i="40" l="1"/>
  <c r="Q116" i="40"/>
  <c r="Q117" i="40" l="1"/>
  <c r="R116" i="40"/>
  <c r="R117" i="40" l="1"/>
  <c r="Q118" i="40"/>
  <c r="R118" i="40" l="1"/>
  <c r="Q119" i="40"/>
  <c r="Q120" i="40" l="1"/>
  <c r="R119" i="40"/>
  <c r="Q121" i="40" l="1"/>
  <c r="R120" i="40"/>
  <c r="R121" i="40" l="1"/>
  <c r="Q122" i="40"/>
  <c r="R122" i="40" l="1"/>
  <c r="Q123" i="40"/>
  <c r="Q124" i="40" l="1"/>
  <c r="R123" i="40"/>
  <c r="R124" i="40" l="1"/>
  <c r="Q125" i="40"/>
  <c r="Q126" i="40" l="1"/>
  <c r="R125" i="40"/>
  <c r="Q127" i="40" l="1"/>
  <c r="R126" i="40"/>
  <c r="R127" i="40" l="1"/>
  <c r="Q128" i="40"/>
  <c r="R128" i="40" l="1"/>
  <c r="Q129" i="40"/>
  <c r="R129" i="40" l="1"/>
  <c r="Q130" i="40"/>
  <c r="Q131" i="40" l="1"/>
  <c r="R130" i="40"/>
  <c r="R131" i="40" l="1"/>
  <c r="Q132" i="40"/>
  <c r="Q133" i="40" l="1"/>
  <c r="R132" i="40"/>
  <c r="R133" i="40" l="1"/>
  <c r="Q134" i="40"/>
  <c r="Q135" i="40" l="1"/>
  <c r="R134" i="40"/>
  <c r="R135" i="40" l="1"/>
  <c r="Q136" i="40"/>
  <c r="R136" i="40" l="1"/>
  <c r="Q137" i="40"/>
  <c r="Q138" i="40" l="1"/>
  <c r="R137" i="40"/>
  <c r="R138" i="40" l="1"/>
  <c r="Q139" i="40"/>
  <c r="R139" i="40" l="1"/>
  <c r="Q140" i="40"/>
  <c r="R140" i="40" l="1"/>
  <c r="Q141" i="40"/>
  <c r="Q142" i="40" l="1"/>
  <c r="R141" i="40"/>
  <c r="Q143" i="40" l="1"/>
  <c r="R142" i="40"/>
  <c r="R143" i="40" l="1"/>
  <c r="Q144" i="40"/>
  <c r="R144" i="40" l="1"/>
  <c r="Q145" i="40"/>
  <c r="Q146" i="40" l="1"/>
  <c r="R145" i="40"/>
  <c r="Q147" i="40" l="1"/>
  <c r="R146" i="40"/>
  <c r="R147" i="40" l="1"/>
  <c r="Q148" i="40"/>
  <c r="R148" i="40" l="1"/>
  <c r="Q149" i="40"/>
  <c r="Q150" i="40" l="1"/>
  <c r="R149" i="40"/>
  <c r="R150" i="40" l="1"/>
  <c r="Q151" i="40"/>
  <c r="R151" i="40" l="1"/>
  <c r="Q152" i="40"/>
  <c r="R152" i="40" l="1"/>
  <c r="Q153" i="40"/>
  <c r="R153" i="40" l="1"/>
  <c r="Q154" i="40"/>
  <c r="R154" i="40" l="1"/>
  <c r="Q155" i="40"/>
  <c r="R155" i="40" l="1"/>
  <c r="Q156" i="40"/>
  <c r="R156" i="40" l="1"/>
  <c r="Q157" i="40"/>
  <c r="R157" i="40" l="1"/>
  <c r="Q158" i="40"/>
  <c r="R158" i="40" l="1"/>
  <c r="Q159" i="40"/>
  <c r="Q160" i="40" l="1"/>
  <c r="R159" i="40"/>
  <c r="Q161" i="40" l="1"/>
  <c r="R160" i="40"/>
  <c r="R161" i="40" l="1"/>
  <c r="Q162" i="40"/>
  <c r="Q163" i="40" l="1"/>
  <c r="R162" i="40"/>
  <c r="R163" i="40" l="1"/>
  <c r="Q164" i="40"/>
  <c r="Q165" i="40" l="1"/>
  <c r="R164" i="40"/>
  <c r="R165" i="40" l="1"/>
  <c r="Q166" i="40"/>
  <c r="R166" i="40" l="1"/>
  <c r="Q167" i="40"/>
  <c r="R167" i="40" l="1"/>
  <c r="Q168" i="40"/>
  <c r="R168" i="40" l="1"/>
  <c r="Q169" i="40"/>
  <c r="Q170" i="40" l="1"/>
  <c r="R169" i="40"/>
  <c r="R170" i="40" l="1"/>
  <c r="Q171" i="40"/>
  <c r="Q172" i="40" l="1"/>
  <c r="R171" i="40"/>
  <c r="Q173" i="40" l="1"/>
  <c r="R172" i="40"/>
  <c r="R173" i="40" l="1"/>
  <c r="Q174" i="40"/>
  <c r="Q175" i="40" l="1"/>
  <c r="R174" i="40"/>
  <c r="Q176" i="40" l="1"/>
  <c r="R175" i="40"/>
  <c r="R176" i="40" l="1"/>
  <c r="Q177" i="40"/>
  <c r="R177" i="40" l="1"/>
  <c r="Q178" i="40"/>
  <c r="R178" i="40" l="1"/>
  <c r="Q179" i="40"/>
  <c r="R179" i="40" l="1"/>
  <c r="Q180" i="40"/>
  <c r="Q181" i="40" l="1"/>
  <c r="R180" i="40"/>
  <c r="Q182" i="40" l="1"/>
  <c r="R181" i="40"/>
  <c r="R182" i="40" l="1"/>
  <c r="Q183" i="40"/>
  <c r="R183" i="40" l="1"/>
  <c r="Q184" i="40"/>
  <c r="Q185" i="40" l="1"/>
  <c r="R184" i="40"/>
  <c r="R185" i="40" l="1"/>
  <c r="Q186" i="40"/>
  <c r="Q187" i="40" l="1"/>
  <c r="R186" i="40"/>
  <c r="R187" i="40" l="1"/>
  <c r="Q188" i="40"/>
  <c r="R188" i="40" l="1"/>
  <c r="Q189" i="40"/>
  <c r="Q190" i="40" l="1"/>
  <c r="R189" i="40"/>
  <c r="R190" i="40" l="1"/>
  <c r="Q191" i="40"/>
  <c r="Q192" i="40" l="1"/>
  <c r="R191" i="40"/>
  <c r="R192" i="40" l="1"/>
  <c r="Q193" i="40"/>
  <c r="R193" i="40" l="1"/>
  <c r="Q194" i="40"/>
  <c r="Q195" i="40" l="1"/>
  <c r="R194" i="40"/>
  <c r="R195" i="40" l="1"/>
  <c r="Q196" i="40"/>
  <c r="R196" i="40" l="1"/>
  <c r="Q197" i="40"/>
  <c r="R197" i="40" l="1"/>
  <c r="Q198" i="40"/>
  <c r="Q199" i="40" l="1"/>
  <c r="R198" i="40"/>
  <c r="R199" i="40" l="1"/>
  <c r="Q200" i="40"/>
  <c r="R200" i="40" l="1"/>
  <c r="Q201" i="40"/>
  <c r="R201" i="40" l="1"/>
  <c r="Q202" i="40"/>
  <c r="R202" i="40" l="1"/>
  <c r="Q203" i="40"/>
  <c r="Q204" i="40" l="1"/>
  <c r="R203" i="40"/>
  <c r="R204" i="40" l="1"/>
  <c r="Q205" i="40"/>
  <c r="Q206" i="40" l="1"/>
  <c r="R205" i="40"/>
  <c r="R206" i="40" l="1"/>
  <c r="Q207" i="40"/>
  <c r="R207" i="40" l="1"/>
  <c r="Q208" i="40"/>
  <c r="Q209" i="40" l="1"/>
  <c r="R208" i="40"/>
  <c r="R209" i="40" l="1"/>
  <c r="Q210" i="40"/>
  <c r="Q211" i="40" l="1"/>
  <c r="R210" i="40"/>
  <c r="Q212" i="40" l="1"/>
  <c r="R211" i="40"/>
  <c r="R212" i="40" l="1"/>
  <c r="Q213" i="40"/>
  <c r="R213" i="40" l="1"/>
  <c r="Q214" i="40"/>
  <c r="R214" i="40" l="1"/>
  <c r="Q215" i="40"/>
  <c r="Q216" i="40" l="1"/>
  <c r="R215" i="40"/>
  <c r="Q217" i="40" l="1"/>
  <c r="R216" i="40"/>
  <c r="R217" i="40" l="1"/>
  <c r="Q218" i="40"/>
  <c r="R218" i="40" l="1"/>
  <c r="Q219" i="40"/>
  <c r="R219" i="40" l="1"/>
  <c r="Q220" i="40"/>
  <c r="Q221" i="40" l="1"/>
  <c r="R220" i="40"/>
  <c r="R221" i="40" l="1"/>
  <c r="Q222" i="40"/>
  <c r="R222" i="40" l="1"/>
  <c r="Q223" i="40"/>
  <c r="R223" i="40" l="1"/>
  <c r="Q224" i="40"/>
  <c r="R224" i="40" l="1"/>
  <c r="Q225" i="40"/>
  <c r="R225" i="40" l="1"/>
  <c r="Q226" i="40"/>
  <c r="R226" i="40" l="1"/>
  <c r="Q227" i="40"/>
  <c r="R227" i="40" l="1"/>
  <c r="Q228" i="40"/>
  <c r="Q229" i="40" l="1"/>
  <c r="R228" i="40"/>
  <c r="Q230" i="40" l="1"/>
  <c r="R229" i="40"/>
  <c r="R230" i="40" l="1"/>
  <c r="Q231" i="40"/>
  <c r="Q232" i="40" l="1"/>
  <c r="R231" i="40"/>
  <c r="Q233" i="40" l="1"/>
  <c r="R232" i="40"/>
  <c r="Q234" i="40" l="1"/>
  <c r="R233" i="40"/>
  <c r="R234" i="40" l="1"/>
  <c r="Q235" i="40"/>
  <c r="R235" i="40" l="1"/>
  <c r="Q236" i="40"/>
  <c r="R236" i="40" l="1"/>
  <c r="Q237" i="40"/>
  <c r="Q238" i="40" l="1"/>
  <c r="R237" i="40"/>
  <c r="R238" i="40" l="1"/>
  <c r="Q239" i="40"/>
  <c r="R239" i="40" l="1"/>
  <c r="Q240" i="40"/>
  <c r="R240" i="40" l="1"/>
  <c r="Q241" i="40"/>
  <c r="Q242" i="40" l="1"/>
  <c r="R241" i="40"/>
  <c r="Q243" i="40" l="1"/>
  <c r="R242" i="40"/>
  <c r="R243" i="40" l="1"/>
  <c r="Q244" i="40"/>
  <c r="Q245" i="40" l="1"/>
  <c r="R244" i="40"/>
  <c r="R245" i="40" l="1"/>
  <c r="Q246" i="40"/>
  <c r="R246" i="40" l="1"/>
  <c r="Q247" i="40"/>
  <c r="Q248" i="40" l="1"/>
  <c r="R247" i="40"/>
  <c r="R248" i="40" l="1"/>
  <c r="Q249" i="40"/>
  <c r="R249" i="40" l="1"/>
  <c r="Q250" i="40"/>
  <c r="Q251" i="40" l="1"/>
  <c r="R250" i="40"/>
  <c r="Q252" i="40" l="1"/>
  <c r="R251" i="40"/>
  <c r="R252" i="40" l="1"/>
  <c r="Q253" i="40"/>
  <c r="Q254" i="40" l="1"/>
  <c r="R253" i="40"/>
  <c r="R254" i="40" l="1"/>
  <c r="Q255" i="40"/>
  <c r="Q256" i="40" l="1"/>
  <c r="R255" i="40"/>
  <c r="Q257" i="40" l="1"/>
  <c r="R256" i="40"/>
  <c r="R257" i="40" l="1"/>
  <c r="Q258" i="40"/>
  <c r="Q259" i="40" l="1"/>
  <c r="R258" i="40"/>
  <c r="R259" i="40" l="1"/>
  <c r="Q260" i="40"/>
  <c r="R260" i="40" l="1"/>
  <c r="Q261" i="40"/>
  <c r="Q262" i="40" l="1"/>
  <c r="R261" i="40"/>
  <c r="Q263" i="40" l="1"/>
  <c r="R262" i="40"/>
  <c r="R263" i="40" l="1"/>
  <c r="Q264" i="40"/>
  <c r="Q265" i="40" l="1"/>
  <c r="R264" i="40"/>
  <c r="R265" i="40" l="1"/>
  <c r="Q266" i="40"/>
  <c r="Q267" i="40" l="1"/>
  <c r="R266" i="40"/>
  <c r="Q268" i="40" l="1"/>
  <c r="R267" i="40"/>
  <c r="R268" i="40" l="1"/>
  <c r="Q269" i="40"/>
  <c r="Q270" i="40" l="1"/>
  <c r="R269" i="40"/>
  <c r="Q271" i="40" l="1"/>
  <c r="R270" i="40"/>
  <c r="Q272" i="40" l="1"/>
  <c r="R271" i="40"/>
  <c r="R272" i="40" l="1"/>
  <c r="Q273" i="40"/>
  <c r="Q274" i="40" l="1"/>
  <c r="R273" i="40"/>
  <c r="Q275" i="40" l="1"/>
  <c r="R274" i="40"/>
  <c r="Q276" i="40" l="1"/>
  <c r="R275" i="40"/>
  <c r="R276" i="40" l="1"/>
  <c r="Q277" i="40"/>
  <c r="R277" i="40" l="1"/>
  <c r="Q278" i="40"/>
  <c r="R278" i="40" l="1"/>
  <c r="Q279" i="40"/>
  <c r="Q280" i="40" l="1"/>
  <c r="R279" i="40"/>
  <c r="R280" i="40" l="1"/>
  <c r="Q281" i="40"/>
  <c r="Q282" i="40" l="1"/>
  <c r="R281" i="40"/>
  <c r="R282" i="40" l="1"/>
  <c r="Q283" i="40"/>
  <c r="R283" i="40" l="1"/>
  <c r="Q284" i="40"/>
  <c r="R284" i="40" l="1"/>
  <c r="Q285" i="40"/>
  <c r="Q286" i="40" l="1"/>
  <c r="R285" i="40"/>
  <c r="R286" i="40" l="1"/>
  <c r="Q287" i="40"/>
  <c r="R287" i="40" l="1"/>
  <c r="Q288" i="40"/>
  <c r="Q289" i="40" l="1"/>
  <c r="R288" i="40"/>
  <c r="Q290" i="40" l="1"/>
  <c r="R289" i="40"/>
  <c r="Q291" i="40" l="1"/>
  <c r="R290" i="40"/>
  <c r="R291" i="40" l="1"/>
  <c r="Q292" i="40"/>
  <c r="R292" i="40" l="1"/>
  <c r="Q293" i="40"/>
  <c r="R293" i="40" l="1"/>
  <c r="Q294" i="40"/>
  <c r="Q295" i="40" l="1"/>
  <c r="R294" i="40"/>
  <c r="R295" i="40" l="1"/>
  <c r="Q296" i="40"/>
  <c r="Q297" i="40" l="1"/>
  <c r="R296" i="40"/>
  <c r="Q298" i="40" l="1"/>
  <c r="R297" i="40"/>
  <c r="Q299" i="40" l="1"/>
  <c r="R298" i="40"/>
  <c r="R299" i="40" l="1"/>
  <c r="Q300" i="40"/>
  <c r="R300" i="40" l="1"/>
  <c r="Q301" i="40"/>
  <c r="R301" i="40" l="1"/>
  <c r="Q302" i="40"/>
  <c r="Q303" i="40" l="1"/>
  <c r="R302" i="40"/>
  <c r="Q304" i="40" l="1"/>
  <c r="R303" i="40"/>
  <c r="Q305" i="40" l="1"/>
  <c r="R304" i="40"/>
  <c r="R305" i="40" l="1"/>
  <c r="Q306" i="40"/>
  <c r="R306" i="40" l="1"/>
  <c r="Q307" i="40"/>
  <c r="R307" i="4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Estmep</author>
  </authors>
  <commentList>
    <comment ref="B71" authorId="0" shapeId="0" xr:uid="{00000000-0006-0000-0200-000001000000}">
      <text>
        <r>
          <rPr>
            <b/>
            <sz val="9"/>
            <color indexed="81"/>
            <rFont val="Segoe UI"/>
            <family val="2"/>
          </rPr>
          <t>Estmep:</t>
        </r>
        <r>
          <rPr>
            <sz val="9"/>
            <color indexed="81"/>
            <rFont val="Segoe UI"/>
            <family val="2"/>
          </rPr>
          <t xml:space="preserve">
Só a PRED que pede essa documentação. Em outros órgãos colocar "Não se Aplica"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1" authorId="0" shapeId="0" xr:uid="{00000000-0006-0000-04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1" authorId="0" shapeId="0" xr:uid="{00000000-0006-0000-05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sharedStrings.xml><?xml version="1.0" encoding="utf-8"?>
<sst xmlns="http://schemas.openxmlformats.org/spreadsheetml/2006/main" count="39147" uniqueCount="14587">
  <si>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</si>
  <si>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</si>
  <si>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</si>
  <si>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</si>
  <si>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</si>
  <si>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</si>
  <si>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</si>
  <si>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</si>
  <si>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</si>
  <si>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</si>
  <si>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</si>
  <si>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</si>
  <si>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</si>
  <si>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</si>
  <si>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</si>
  <si>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</si>
  <si>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</si>
  <si>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</si>
  <si>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</si>
  <si>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</si>
  <si>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</si>
  <si>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</si>
  <si>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</si>
  <si>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</si>
  <si>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</si>
  <si>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</si>
  <si>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</si>
  <si>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</si>
  <si>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</si>
  <si>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BDI:</t>
  </si>
  <si>
    <t>%</t>
  </si>
  <si>
    <r>
      <t>TOTAL (R$) GERAL DA OBRA</t>
    </r>
    <r>
      <rPr>
        <b/>
        <i/>
        <sz val="12"/>
        <color indexed="8"/>
        <rFont val="Calibri"/>
        <family val="2"/>
      </rPr>
      <t/>
    </r>
  </si>
  <si>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</si>
  <si>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</si>
  <si>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</si>
  <si>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</si>
  <si>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</si>
  <si>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</si>
  <si>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</si>
  <si>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</si>
  <si>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</si>
  <si>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</si>
  <si>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</si>
  <si>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</si>
  <si>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</si>
  <si>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 xml:space="preserve">Data </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</si>
  <si>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</si>
  <si>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</si>
  <si>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</si>
  <si>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</si>
  <si>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</si>
  <si>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</si>
  <si>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</si>
  <si>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</si>
  <si>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</si>
  <si>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</si>
  <si>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</si>
  <si>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</si>
  <si>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</si>
  <si>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</si>
  <si>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</si>
  <si>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</si>
  <si>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</si>
  <si>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</si>
  <si>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</si>
  <si>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</si>
  <si>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</si>
  <si>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</si>
  <si>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</si>
  <si>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</si>
  <si>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</si>
  <si>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</si>
  <si>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</si>
  <si>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</si>
  <si>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</si>
  <si>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</si>
  <si>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</si>
  <si>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</si>
  <si>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</si>
  <si>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</si>
  <si>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</si>
  <si>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</si>
  <si>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</si>
  <si>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</si>
  <si>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</si>
  <si>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</si>
  <si>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</si>
  <si>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</si>
  <si>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</si>
  <si>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</si>
  <si>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</si>
  <si>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</si>
  <si>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</si>
  <si>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</si>
  <si>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</si>
  <si>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</si>
  <si>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</si>
  <si>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</si>
  <si>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</si>
  <si>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</si>
  <si>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</si>
  <si>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</si>
  <si>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</si>
  <si>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</si>
  <si>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</si>
  <si>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</si>
  <si>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</si>
  <si>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</si>
  <si>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</si>
  <si>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</si>
  <si>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</si>
  <si>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</si>
  <si>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</si>
  <si>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</si>
  <si>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</si>
  <si>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</si>
  <si>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</si>
  <si>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</si>
  <si>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</si>
  <si>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</si>
  <si>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</si>
  <si>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</si>
  <si>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</si>
  <si>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</si>
  <si>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</si>
  <si>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</si>
  <si>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</si>
  <si>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</si>
  <si>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</si>
  <si>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</si>
  <si>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</si>
  <si>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</si>
  <si>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</si>
  <si>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</si>
  <si>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</si>
  <si>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</si>
  <si>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</si>
  <si>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</si>
  <si>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</si>
  <si>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</si>
  <si>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</si>
  <si>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</si>
  <si>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</si>
  <si>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</si>
  <si>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</si>
  <si>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</si>
  <si>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</si>
  <si>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</si>
  <si>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</si>
  <si>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</si>
  <si>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</si>
  <si>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</si>
  <si>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</si>
  <si>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</si>
  <si>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</si>
  <si>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</si>
  <si>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</si>
  <si>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</si>
  <si>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</si>
  <si>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</si>
  <si>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</si>
  <si>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</si>
  <si>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</si>
  <si>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</si>
  <si>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</si>
  <si>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</si>
  <si>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</si>
  <si>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</si>
  <si>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</si>
  <si>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</si>
  <si>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</si>
  <si>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</si>
  <si>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</si>
  <si>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</si>
  <si>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</si>
  <si>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</si>
  <si>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</si>
  <si>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</si>
  <si>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</si>
  <si>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</si>
  <si>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</si>
  <si>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</si>
  <si>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</si>
  <si>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</si>
  <si>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</si>
  <si>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</si>
  <si>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</si>
  <si>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</si>
  <si>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</si>
  <si>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</si>
  <si>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</si>
  <si>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</si>
  <si>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</si>
  <si>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</si>
  <si>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</si>
  <si>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</si>
  <si>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</si>
  <si>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</si>
  <si>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</si>
  <si>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</si>
  <si>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</si>
  <si>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</si>
  <si>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</si>
  <si>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</si>
  <si>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</si>
  <si>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</si>
  <si>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</si>
  <si>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</si>
  <si>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</si>
  <si>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</si>
  <si>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</si>
  <si>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</si>
  <si>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</si>
  <si>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</si>
  <si>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</si>
  <si>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</si>
  <si>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</si>
  <si>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</si>
  <si>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</si>
  <si>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</si>
  <si>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</si>
  <si>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</si>
  <si>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</si>
  <si>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</si>
  <si>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</si>
  <si>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</si>
  <si>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</si>
  <si>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</si>
  <si>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</si>
  <si>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</si>
  <si>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</si>
  <si>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</si>
  <si>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</si>
  <si>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</si>
  <si>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</si>
  <si>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</si>
  <si>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</si>
  <si>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</si>
  <si>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</si>
  <si>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</si>
  <si>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</si>
  <si>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</si>
  <si>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</si>
  <si>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</si>
  <si>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</si>
  <si>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</si>
  <si>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</si>
  <si>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</si>
  <si>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</si>
  <si>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</si>
  <si>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</si>
  <si>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</si>
  <si>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</si>
  <si>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</si>
  <si>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</si>
  <si>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</si>
  <si>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</si>
  <si>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</si>
  <si>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</si>
  <si>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</si>
  <si>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</si>
  <si>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</si>
  <si>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</si>
  <si>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</si>
  <si>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</si>
  <si>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</si>
  <si>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</si>
  <si>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</si>
  <si>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</si>
  <si>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</si>
  <si>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</si>
  <si>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</si>
  <si>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</si>
  <si>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</si>
  <si>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</si>
  <si>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</si>
  <si>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</si>
  <si>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</si>
  <si>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</si>
  <si>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</si>
  <si>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</si>
  <si>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</si>
  <si>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</si>
  <si>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</si>
  <si>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</si>
  <si>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</si>
  <si>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</si>
  <si>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</si>
  <si>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</si>
  <si>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</si>
  <si>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</si>
  <si>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</si>
  <si>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</si>
  <si>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</si>
  <si>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</si>
  <si>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</si>
  <si>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</si>
  <si>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</si>
  <si>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</si>
  <si>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</si>
  <si>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</si>
  <si>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</si>
  <si>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</si>
  <si>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</si>
  <si>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</si>
  <si>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</si>
  <si>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</si>
  <si>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</si>
  <si>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</si>
  <si>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</si>
  <si>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</si>
  <si>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</si>
  <si>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</si>
  <si>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</si>
  <si>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</si>
  <si>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</si>
  <si>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</si>
  <si>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</si>
  <si>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</si>
  <si>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</si>
  <si>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</si>
  <si>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</si>
  <si>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</si>
  <si>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</si>
  <si>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</si>
  <si>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</si>
  <si>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</si>
  <si>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</si>
  <si>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</si>
  <si>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</si>
  <si>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</si>
  <si>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</si>
  <si>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</si>
  <si>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</si>
  <si>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</si>
  <si>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</si>
  <si>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</si>
  <si>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</si>
  <si>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</si>
  <si>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</si>
  <si>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</si>
  <si>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</si>
  <si>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</si>
  <si>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</si>
  <si>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</si>
  <si>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</si>
  <si>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</si>
  <si>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</si>
  <si>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</si>
  <si>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</si>
  <si>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</si>
  <si>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</si>
  <si>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</si>
  <si>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</si>
  <si>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</si>
  <si>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</si>
  <si>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</si>
  <si>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</si>
  <si>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</si>
  <si>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</si>
  <si>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</si>
  <si>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</si>
  <si>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</si>
  <si>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</si>
  <si>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</si>
  <si>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</si>
  <si>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</si>
  <si>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</si>
  <si>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</si>
  <si>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</si>
  <si>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</si>
  <si>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</si>
  <si>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</si>
  <si>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</si>
  <si>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</si>
  <si>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</si>
  <si>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</si>
  <si>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</si>
  <si>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</si>
  <si>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</si>
  <si>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</si>
  <si>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</si>
  <si>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</si>
  <si>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</si>
  <si>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</si>
  <si>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</si>
  <si>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</si>
  <si>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</si>
  <si>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</si>
  <si>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</si>
  <si>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</si>
  <si>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</si>
  <si>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</si>
  <si>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</si>
  <si>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</si>
  <si>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</si>
  <si>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</si>
  <si>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</si>
  <si>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</si>
  <si>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</si>
  <si>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</si>
  <si>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</si>
  <si>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</si>
  <si>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</si>
  <si>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</si>
  <si>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</si>
  <si>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</si>
  <si>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</si>
  <si>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</si>
  <si>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</si>
  <si>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</si>
  <si>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</si>
  <si>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</si>
  <si>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</si>
  <si>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</si>
  <si>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</si>
  <si>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</si>
  <si>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</si>
  <si>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</si>
  <si>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</si>
  <si>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</si>
  <si>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</si>
  <si>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</si>
  <si>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</si>
  <si>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</si>
  <si>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</si>
  <si>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</si>
  <si>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</si>
  <si>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</si>
  <si>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</si>
  <si>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</si>
  <si>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</si>
  <si>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</si>
  <si>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</si>
  <si>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</si>
  <si>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</si>
  <si>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</si>
  <si>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</si>
  <si>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</si>
  <si>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</si>
  <si>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</si>
  <si>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</si>
  <si>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</si>
  <si>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</si>
  <si>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</si>
  <si>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</si>
  <si>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</si>
  <si>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</si>
  <si>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</si>
  <si>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</si>
  <si>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</si>
  <si>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</si>
  <si>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</si>
  <si>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</si>
  <si>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</si>
  <si>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</si>
  <si>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</si>
  <si>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</si>
  <si>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</si>
  <si>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</si>
  <si>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</si>
  <si>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</si>
  <si>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</si>
  <si>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</si>
  <si>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</si>
  <si>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</si>
  <si>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</si>
  <si>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</si>
  <si>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</si>
  <si>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</si>
  <si>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</si>
  <si>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</si>
  <si>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</si>
  <si>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</si>
  <si>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</si>
  <si>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</si>
  <si>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</si>
  <si>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</si>
  <si>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</si>
  <si>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</si>
  <si>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</si>
  <si>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</si>
  <si>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</si>
  <si>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</si>
  <si>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</si>
  <si>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</si>
  <si>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</si>
  <si>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</si>
  <si>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</si>
  <si>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</si>
  <si>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</si>
  <si>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</si>
  <si>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</si>
  <si>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</si>
  <si>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</si>
  <si>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</si>
  <si>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</si>
  <si>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</si>
  <si>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</si>
  <si>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</si>
  <si>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</si>
  <si>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</si>
  <si>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</si>
  <si>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</si>
  <si>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</si>
  <si>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</si>
  <si>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</si>
  <si>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</si>
  <si>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</si>
  <si>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</si>
  <si>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</si>
  <si>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</si>
  <si>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</si>
  <si>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</si>
  <si>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</si>
  <si>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</si>
  <si>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</si>
  <si>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</si>
  <si>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</si>
  <si>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</si>
  <si>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</si>
  <si>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</si>
  <si>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</si>
  <si>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</si>
  <si>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</si>
  <si>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</si>
  <si>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</si>
  <si>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</si>
  <si>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</si>
  <si>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</si>
  <si>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</si>
  <si>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</si>
  <si>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</si>
  <si>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</si>
  <si>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</si>
  <si>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</si>
  <si>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</si>
  <si>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</si>
  <si>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</si>
  <si>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</si>
  <si>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</si>
  <si>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</si>
  <si>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SERVIÇO</t>
  </si>
  <si>
    <t>BDI</t>
  </si>
  <si>
    <t>SERVIÇOS</t>
  </si>
  <si>
    <t>VALOR</t>
  </si>
  <si>
    <t>ÍNDICE</t>
  </si>
  <si>
    <t>PLANILHA</t>
  </si>
  <si>
    <t>C/ BDI</t>
  </si>
  <si>
    <t>S/ BDI</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</si>
  <si>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</si>
  <si>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</si>
  <si>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</si>
  <si>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</si>
  <si>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</si>
  <si>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</si>
  <si>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</si>
  <si>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</si>
  <si>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</si>
  <si>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</si>
  <si>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</si>
  <si>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</si>
  <si>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</si>
  <si>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</si>
  <si>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</si>
  <si>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</si>
  <si>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</si>
  <si>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</si>
  <si>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</si>
  <si>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</si>
  <si>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</si>
  <si>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</si>
  <si>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</si>
  <si>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</si>
  <si>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MES</t>
  </si>
  <si>
    <t>Telefone</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</si>
  <si>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</si>
  <si>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</si>
  <si>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</si>
  <si>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</si>
  <si>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</si>
  <si>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</si>
  <si>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</si>
  <si>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</si>
  <si>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</si>
  <si>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</si>
  <si>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</si>
  <si>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</si>
  <si>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</si>
  <si>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</si>
  <si>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</si>
  <si>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</si>
  <si>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</si>
  <si>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</si>
  <si>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</si>
  <si>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</si>
  <si>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</si>
  <si>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</si>
  <si>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</si>
  <si>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</si>
  <si>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</si>
  <si>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</si>
  <si>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</si>
  <si>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</si>
  <si>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</si>
  <si>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</si>
  <si>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</si>
  <si>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</si>
  <si>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</si>
  <si>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</si>
  <si>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</si>
  <si>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</si>
  <si>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</si>
  <si>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</si>
  <si>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</si>
  <si>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</si>
  <si>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</si>
  <si>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</si>
  <si>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</si>
  <si>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</si>
  <si>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</si>
  <si>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</si>
  <si>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EXECUÇÃO DE GUARITA EM CANTEIRO DE OBRA EM CHAPA DE MADEIRA COMPENSADA, NÃO INCLUSO MOBILIÁRIO. AF_04/2016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</si>
  <si>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</si>
  <si>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</si>
  <si>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</si>
  <si>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</si>
  <si>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</si>
  <si>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</si>
  <si>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</si>
  <si>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</si>
  <si>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</si>
  <si>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</si>
  <si>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</si>
  <si>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</si>
  <si>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</si>
  <si>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</si>
  <si>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</si>
  <si>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</si>
  <si>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</si>
  <si>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</si>
  <si>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</si>
  <si>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</si>
  <si>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</si>
  <si>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M3</t>
  </si>
  <si>
    <t>KG</t>
  </si>
  <si>
    <t>UN</t>
  </si>
  <si>
    <t>T</t>
  </si>
  <si>
    <t>M</t>
  </si>
  <si>
    <t>M2</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</si>
  <si>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</si>
  <si>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</si>
  <si>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</si>
  <si>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</si>
  <si>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</si>
  <si>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</si>
  <si>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</si>
  <si>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</si>
  <si>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</si>
  <si>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</si>
  <si>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</si>
  <si>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</si>
  <si>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</si>
  <si>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</si>
  <si>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</si>
  <si>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</si>
  <si>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</si>
  <si>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</si>
  <si>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</si>
  <si>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</si>
  <si>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</si>
  <si>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</si>
  <si>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</si>
  <si>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</si>
  <si>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</si>
  <si>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</si>
  <si>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</si>
  <si>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</si>
  <si>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</si>
  <si>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</si>
  <si>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</si>
  <si>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</si>
  <si>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</si>
  <si>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</si>
  <si>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</si>
  <si>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</si>
  <si>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</si>
  <si>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</si>
  <si>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</si>
  <si>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</si>
  <si>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</si>
  <si>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</si>
  <si>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</si>
  <si>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</si>
  <si>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</si>
  <si>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</si>
  <si>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</si>
  <si>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</si>
  <si>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</si>
  <si>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</si>
  <si>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</si>
  <si>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</si>
  <si>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</si>
  <si>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</si>
  <si>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</si>
  <si>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</si>
  <si>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</si>
  <si>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</si>
  <si>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</si>
  <si>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</si>
  <si>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</si>
  <si>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</si>
  <si>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</si>
  <si>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</si>
  <si>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</si>
  <si>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</si>
  <si>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</si>
  <si>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</si>
  <si>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</si>
  <si>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</si>
  <si>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</si>
  <si>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</si>
  <si>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</si>
  <si>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</si>
  <si>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</si>
  <si>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</si>
  <si>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</si>
  <si>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</si>
  <si>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</si>
  <si>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</si>
  <si>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</si>
  <si>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</si>
  <si>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</si>
  <si>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</si>
  <si>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</si>
  <si>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</si>
  <si>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</si>
  <si>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</si>
  <si>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</si>
  <si>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</si>
  <si>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</si>
  <si>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</si>
  <si>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</si>
  <si>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</si>
  <si>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</si>
  <si>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</si>
  <si>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</si>
  <si>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</si>
  <si>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</si>
  <si>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</si>
  <si>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</si>
  <si>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</si>
  <si>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</si>
  <si>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</si>
  <si>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</si>
  <si>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</si>
  <si>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</si>
  <si>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</si>
  <si>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</si>
  <si>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</si>
  <si>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</si>
  <si>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</si>
  <si>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</si>
  <si>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</si>
  <si>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</si>
  <si>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</si>
  <si>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</si>
  <si>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</si>
  <si>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</si>
  <si>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Área Construída</t>
  </si>
  <si>
    <t>Empresa</t>
  </si>
  <si>
    <t>Nome Completo</t>
  </si>
  <si>
    <t>Profissão</t>
  </si>
  <si>
    <t>Identificação da Obra:</t>
  </si>
  <si>
    <t>Identificação do Orçamentista:</t>
  </si>
  <si>
    <t>Documento</t>
  </si>
  <si>
    <t>SIM</t>
  </si>
  <si>
    <t>NÃO</t>
  </si>
  <si>
    <t>NÃO SE APLICA</t>
  </si>
  <si>
    <t>Folha de Fechamento</t>
  </si>
  <si>
    <t>Folha Resumo</t>
  </si>
  <si>
    <t>Cronograma Físico Financeiro</t>
  </si>
  <si>
    <t>Termo de Responsabilidade:</t>
  </si>
  <si>
    <t>Declaração de Liberação do Direito Autoral:</t>
  </si>
  <si>
    <t xml:space="preserve">Cotações de Insumos / Proposta de Serviços Terceirizados </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</si>
  <si>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</si>
  <si>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</si>
  <si>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</si>
  <si>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</si>
  <si>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</si>
  <si>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SC25KG</t>
  </si>
  <si>
    <t>DESCRIÇÃO</t>
  </si>
  <si>
    <t>Não incide</t>
  </si>
  <si>
    <t>Fonte: Informação Dias de Chuva - INMET</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</si>
  <si>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</si>
  <si>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</si>
  <si>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</si>
  <si>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</si>
  <si>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</si>
  <si>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</si>
  <si>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</si>
  <si>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</si>
  <si>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</si>
  <si>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</si>
  <si>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</si>
  <si>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</si>
  <si>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</si>
  <si>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</si>
  <si>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</si>
  <si>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</si>
  <si>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</si>
  <si>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</si>
  <si>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</si>
  <si>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</si>
  <si>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</si>
  <si>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</si>
  <si>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</si>
  <si>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</si>
  <si>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</si>
  <si>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</si>
  <si>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</si>
  <si>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</si>
  <si>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</si>
  <si>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</si>
  <si>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</si>
  <si>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</si>
  <si>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</si>
  <si>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</si>
  <si>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</si>
  <si>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</si>
  <si>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</si>
  <si>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</si>
  <si>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</si>
  <si>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</si>
  <si>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</si>
  <si>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</si>
  <si>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</si>
  <si>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</si>
  <si>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</si>
  <si>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</si>
  <si>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</si>
  <si>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</si>
  <si>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</si>
  <si>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</si>
  <si>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</si>
  <si>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</si>
  <si>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</si>
  <si>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</si>
  <si>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</si>
  <si>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</si>
  <si>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</si>
  <si>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</si>
  <si>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</si>
  <si>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</si>
  <si>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</si>
  <si>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</si>
  <si>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</si>
  <si>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</si>
  <si>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</si>
  <si>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</si>
  <si>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</si>
  <si>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</si>
  <si>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</si>
  <si>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</si>
  <si>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</si>
  <si>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</si>
  <si>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</si>
  <si>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</si>
  <si>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</si>
  <si>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</si>
  <si>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</si>
  <si>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</si>
  <si>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</si>
  <si>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</si>
  <si>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</si>
  <si>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</si>
  <si>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</si>
  <si>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</si>
  <si>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</si>
  <si>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</si>
  <si>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</si>
  <si>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</si>
  <si>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</si>
  <si>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</si>
  <si>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</si>
  <si>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</si>
  <si>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</si>
  <si>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</si>
  <si>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</si>
  <si>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</si>
  <si>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</si>
  <si>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</si>
  <si>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</si>
  <si>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</si>
  <si>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</si>
  <si>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</si>
  <si>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</si>
  <si>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</si>
  <si>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</si>
  <si>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</si>
  <si>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</si>
  <si>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</si>
  <si>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</si>
  <si>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DATA:</t>
  </si>
  <si>
    <t>ITEM</t>
  </si>
  <si>
    <t>DESCRIÇÃO DO SERVIÇO</t>
  </si>
  <si>
    <t>UNIDADE DE MEDIDA</t>
  </si>
  <si>
    <t>MÃO DE OBRA</t>
  </si>
  <si>
    <t>CUSTO UNITÁRIO</t>
  </si>
  <si>
    <t>DIAS CORRIDOS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</si>
  <si>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</si>
  <si>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</si>
  <si>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</si>
  <si>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</si>
  <si>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</si>
  <si>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</si>
  <si>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</si>
  <si>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</si>
  <si>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</si>
  <si>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</si>
  <si>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</si>
  <si>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</si>
  <si>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</si>
  <si>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</si>
  <si>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L</t>
  </si>
  <si>
    <t>ARQUITETO DE OBRA JUNIOR COM ENCARGOS COMPLEMENTARES</t>
  </si>
  <si>
    <t>ARQUITETO DE OBRA SENIOR COM ENCARGOS COMPLEMENTARES</t>
  </si>
  <si>
    <t>AUXILIAR DE ESCRITORIO COM ENCARGOS COMPLEMENTARES</t>
  </si>
  <si>
    <t>ENGENHEIRO CIVIL DE OBRA JUNIOR COM ENCARGOS COMPLEMENTARES</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</si>
  <si>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</si>
  <si>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</si>
  <si>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</si>
  <si>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</si>
  <si>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</si>
  <si>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</si>
  <si>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</si>
  <si>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</si>
  <si>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</si>
  <si>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</si>
  <si>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</si>
  <si>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</si>
  <si>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</si>
  <si>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</si>
  <si>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</si>
  <si>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</si>
  <si>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</si>
  <si>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</si>
  <si>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</si>
  <si>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</si>
  <si>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</si>
  <si>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</si>
  <si>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</si>
  <si>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</si>
  <si>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</si>
  <si>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FIXAÇÃO UTILIZANDO PARAFUSO E BUCHA DE NYLON, SOMENTE MÃO DE OBRA. AF_10/2016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</si>
  <si>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</si>
  <si>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</si>
  <si>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</si>
  <si>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</si>
  <si>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</si>
  <si>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</si>
  <si>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DE ALVENARIA DE BLOCOS DE CONCRETO ESTRUTURAL 14X19X39 CM, (ESPESSURA 14 CM), FBK = 4,5 MPA, UTILIZANDO PALHETA, PARA EDIFICAÇÃO HABITACIONAL. AF_10/2015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</si>
  <si>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</si>
  <si>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</si>
  <si>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</si>
  <si>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</si>
  <si>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</si>
  <si>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</si>
  <si>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</si>
  <si>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</si>
  <si>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</si>
  <si>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</si>
  <si>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</si>
  <si>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</si>
  <si>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</si>
  <si>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</si>
  <si>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</si>
  <si>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</si>
  <si>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</si>
  <si>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</si>
  <si>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</si>
  <si>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</si>
  <si>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</si>
  <si>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</si>
  <si>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</si>
  <si>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</si>
  <si>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</si>
  <si>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</si>
  <si>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</si>
  <si>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</si>
  <si>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</si>
  <si>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</si>
  <si>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</si>
  <si>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</si>
  <si>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</si>
  <si>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</si>
  <si>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</si>
  <si>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</si>
  <si>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</si>
  <si>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</si>
  <si>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</si>
  <si>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</si>
  <si>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</si>
  <si>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</si>
  <si>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</si>
  <si>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</si>
  <si>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</si>
  <si>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</si>
  <si>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</si>
  <si>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</si>
  <si>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</si>
  <si>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</si>
  <si>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</si>
  <si>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</si>
  <si>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</si>
  <si>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</si>
  <si>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</si>
  <si>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</si>
  <si>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</si>
  <si>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</si>
  <si>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</si>
  <si>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</si>
  <si>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EXECUÇÃO DE PROTEÇÃO DA CABEÇA DO TIRANTE COM USO DE FÔRMAS EM CHAPA COMPENSADA PLASTIFICADA DE MADEIRA E CONCRETO FCK =15 MPA. AF_07/2016</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</si>
  <si>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</si>
  <si>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</si>
  <si>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</si>
  <si>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</si>
  <si>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</si>
  <si>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</si>
  <si>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</si>
  <si>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</si>
  <si>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</si>
  <si>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</si>
  <si>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</si>
  <si>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</si>
  <si>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</si>
  <si>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</si>
  <si>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</si>
  <si>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</si>
  <si>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</si>
  <si>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</si>
  <si>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</si>
  <si>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</si>
  <si>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</si>
  <si>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</si>
  <si>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</si>
  <si>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</si>
  <si>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</si>
  <si>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</si>
  <si>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</si>
  <si>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</si>
  <si>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</si>
  <si>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</si>
  <si>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</si>
  <si>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</si>
  <si>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</si>
  <si>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</si>
  <si>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</si>
  <si>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</si>
  <si>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</si>
  <si>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</si>
  <si>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</si>
  <si>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</si>
  <si>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</si>
  <si>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</si>
  <si>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</si>
  <si>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</si>
  <si>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</si>
  <si>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</si>
  <si>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</si>
  <si>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</si>
  <si>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</si>
  <si>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</si>
  <si>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</si>
  <si>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</si>
  <si>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</si>
  <si>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</si>
  <si>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</si>
  <si>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</si>
  <si>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</si>
  <si>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</si>
  <si>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</si>
  <si>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</si>
  <si>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</si>
  <si>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</si>
  <si>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</si>
  <si>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</si>
  <si>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</si>
  <si>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</si>
  <si>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</si>
  <si>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</si>
  <si>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</si>
  <si>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</si>
  <si>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</si>
  <si>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</si>
  <si>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</si>
  <si>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</si>
  <si>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</si>
  <si>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</si>
  <si>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</si>
  <si>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</si>
  <si>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</si>
  <si>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</si>
  <si>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</si>
  <si>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</si>
  <si>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</si>
  <si>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</si>
  <si>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</si>
  <si>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</si>
  <si>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</si>
  <si>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</si>
  <si>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</si>
  <si>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</si>
  <si>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</si>
  <si>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</si>
  <si>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</si>
  <si>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</si>
  <si>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</si>
  <si>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</si>
  <si>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</si>
  <si>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</si>
  <si>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</si>
  <si>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</si>
  <si>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</si>
  <si>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</si>
  <si>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</si>
  <si>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</si>
  <si>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</si>
  <si>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</si>
  <si>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</si>
  <si>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</si>
  <si>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</si>
  <si>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</si>
  <si>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</si>
  <si>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</si>
  <si>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</si>
  <si>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</si>
  <si>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</si>
  <si>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</si>
  <si>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</si>
  <si>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</si>
  <si>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</si>
  <si>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</si>
  <si>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</si>
  <si>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</si>
  <si>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</si>
  <si>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</si>
  <si>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</si>
  <si>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</si>
  <si>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</si>
  <si>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</si>
  <si>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</si>
  <si>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</si>
  <si>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</si>
  <si>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</si>
  <si>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</si>
  <si>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</si>
  <si>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</si>
  <si>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</si>
  <si>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</si>
  <si>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</si>
  <si>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</si>
  <si>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</si>
  <si>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</si>
  <si>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</si>
  <si>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</si>
  <si>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</si>
  <si>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</si>
  <si>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</si>
  <si>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</si>
  <si>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</si>
  <si>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</si>
  <si>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</si>
  <si>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</si>
  <si>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</si>
  <si>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</si>
  <si>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</si>
  <si>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</si>
  <si>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</si>
  <si>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</si>
  <si>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</si>
  <si>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</si>
  <si>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</si>
  <si>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</si>
  <si>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</si>
  <si>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</si>
  <si>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</si>
  <si>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</si>
  <si>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</si>
  <si>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</si>
  <si>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</si>
  <si>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</si>
  <si>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</si>
  <si>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</si>
  <si>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</si>
  <si>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</si>
  <si>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</si>
  <si>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</si>
  <si>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</si>
  <si>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</si>
  <si>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</si>
  <si>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</si>
  <si>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</si>
  <si>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</si>
  <si>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</si>
  <si>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</si>
  <si>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</si>
  <si>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</si>
  <si>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</si>
  <si>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</si>
  <si>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</si>
  <si>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</si>
  <si>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</si>
  <si>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</si>
  <si>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</si>
  <si>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</si>
  <si>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</si>
  <si>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</si>
  <si>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</si>
  <si>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</si>
  <si>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</si>
  <si>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</si>
  <si>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</si>
  <si>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</si>
  <si>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</si>
  <si>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</si>
  <si>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</si>
  <si>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</si>
  <si>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</si>
  <si>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</si>
  <si>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</si>
  <si>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</si>
  <si>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</si>
  <si>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</si>
  <si>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</si>
  <si>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</si>
  <si>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</si>
  <si>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</si>
  <si>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</si>
  <si>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</si>
  <si>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</si>
  <si>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</si>
  <si>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</si>
  <si>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</si>
  <si>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</si>
  <si>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</si>
  <si>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</si>
  <si>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</si>
  <si>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</si>
  <si>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</si>
  <si>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</si>
  <si>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</si>
  <si>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</si>
  <si>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</si>
  <si>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</si>
  <si>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</si>
  <si>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</si>
  <si>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ADAPTADOR CURTO COM BOLSA E ROSCA PARA REGISTRO, PVC, SOLDÁVEL, DN 75MM X 2.1/2,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</si>
  <si>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</si>
  <si>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</si>
  <si>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</si>
  <si>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</si>
  <si>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</si>
  <si>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</si>
  <si>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</si>
  <si>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</si>
  <si>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</si>
  <si>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</si>
  <si>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</si>
  <si>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</si>
  <si>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</si>
  <si>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</si>
  <si>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</si>
  <si>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</si>
  <si>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</si>
  <si>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</si>
  <si>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</si>
  <si>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</si>
  <si>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</si>
  <si>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</si>
  <si>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</si>
  <si>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</si>
  <si>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</si>
  <si>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</si>
  <si>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</si>
  <si>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</si>
  <si>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</si>
  <si>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</si>
  <si>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</si>
  <si>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</si>
  <si>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</si>
  <si>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</si>
  <si>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</si>
  <si>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</si>
  <si>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</si>
  <si>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</si>
  <si>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</si>
  <si>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</si>
  <si>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</si>
  <si>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</si>
  <si>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</si>
  <si>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</si>
  <si>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</si>
  <si>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</si>
  <si>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</si>
  <si>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</si>
  <si>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</si>
  <si>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</si>
  <si>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</si>
  <si>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</si>
  <si>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</si>
  <si>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</si>
  <si>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</si>
  <si>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</si>
  <si>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</si>
  <si>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</si>
  <si>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</si>
  <si>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KIT DE TÊ MISTURADOR EM CPVC ¾" COM DUPLO COMANDO PARA CHUVEIRO, INCLUSIVE CONEXÕES, INSTALADO EM RAMAL DE ÁGUA - FORNECIMENTO E INSTALAÇÃO. AF_12/2014</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</si>
  <si>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</si>
  <si>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</si>
  <si>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</si>
  <si>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</si>
  <si>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</si>
  <si>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</si>
  <si>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</si>
  <si>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</si>
  <si>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</si>
  <si>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</si>
  <si>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</si>
  <si>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</si>
  <si>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</si>
  <si>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</si>
  <si>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</si>
  <si>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</si>
  <si>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</si>
  <si>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</si>
  <si>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</si>
  <si>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</si>
  <si>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</si>
  <si>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</si>
  <si>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</si>
  <si>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</si>
  <si>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</si>
  <si>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</si>
  <si>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</si>
  <si>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</si>
  <si>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</si>
  <si>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</si>
  <si>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</si>
  <si>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</si>
  <si>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</si>
  <si>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</si>
  <si>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</si>
  <si>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</si>
  <si>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</si>
  <si>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</si>
  <si>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LUVA DE CORRER, PVC, SOLDÁVEL, DN 25MM, INSTALADO EM RAMAL OU SUB-RAMAL DE ÁGUA - FORNECIMENTO E INSTALAÇÃO.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</si>
  <si>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</si>
  <si>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</si>
  <si>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</si>
  <si>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</si>
  <si>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</si>
  <si>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</si>
  <si>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</si>
  <si>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</si>
  <si>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</si>
  <si>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</si>
  <si>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</si>
  <si>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</si>
  <si>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</si>
  <si>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</si>
  <si>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</si>
  <si>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</si>
  <si>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</si>
  <si>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</si>
  <si>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</si>
  <si>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</si>
  <si>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</si>
  <si>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</si>
  <si>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</si>
  <si>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</si>
  <si>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</si>
  <si>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</si>
  <si>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</si>
  <si>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</si>
  <si>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</si>
  <si>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</si>
  <si>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</si>
  <si>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</si>
  <si>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</si>
  <si>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</si>
  <si>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</si>
  <si>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</si>
  <si>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</si>
  <si>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</si>
  <si>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</si>
  <si>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</si>
  <si>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</si>
  <si>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</si>
  <si>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</si>
  <si>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</si>
  <si>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</si>
  <si>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</si>
  <si>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</si>
  <si>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</si>
  <si>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</si>
  <si>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</si>
  <si>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</si>
  <si>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</si>
  <si>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</si>
  <si>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</si>
  <si>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</si>
  <si>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</si>
  <si>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</si>
  <si>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</si>
  <si>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</si>
  <si>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</si>
  <si>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</si>
  <si>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</si>
  <si>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</si>
  <si>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</si>
  <si>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</si>
  <si>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</si>
  <si>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</si>
  <si>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</si>
  <si>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</si>
  <si>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</si>
  <si>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</si>
  <si>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</si>
  <si>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</si>
  <si>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</si>
  <si>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</si>
  <si>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</si>
  <si>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</si>
  <si>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</si>
  <si>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</si>
  <si>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</si>
  <si>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</si>
  <si>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</si>
  <si>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</si>
  <si>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</si>
  <si>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</si>
  <si>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</si>
  <si>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</si>
  <si>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</si>
  <si>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</si>
  <si>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</si>
  <si>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</si>
  <si>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</si>
  <si>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</si>
  <si>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</si>
  <si>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</si>
  <si>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</si>
  <si>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</si>
  <si>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</si>
  <si>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</si>
  <si>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</si>
  <si>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</si>
  <si>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</si>
  <si>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</si>
  <si>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</si>
  <si>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</si>
  <si>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</si>
  <si>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</si>
  <si>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</si>
  <si>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</si>
  <si>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(COMPOSIÇÃO REPRESENTATIVA) DO SERVIÇO DE INSTALAÇÃO DE TUBOS DE PVC, SÉRIE R, ÁGUA PLUVIAL, DN 150 MM (INSTALADO EM CONDUTORES VERTICAIS), INCLUSIVE CONEXÕES, CORTES E FIXAÇÕES, PARA PRÉDIOS. AF_10/2015</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</si>
  <si>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</si>
  <si>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</si>
  <si>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</si>
  <si>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</si>
  <si>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</si>
  <si>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</si>
  <si>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</si>
  <si>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</si>
  <si>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</si>
  <si>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</si>
  <si>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</si>
  <si>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</si>
  <si>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</si>
  <si>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</si>
  <si>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</si>
  <si>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</si>
  <si>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</si>
  <si>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</si>
  <si>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</si>
  <si>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</si>
  <si>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</si>
  <si>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</si>
  <si>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</si>
  <si>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</si>
  <si>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</si>
  <si>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</si>
  <si>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</si>
  <si>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</si>
  <si>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VASO SANITARIO SIFONADO CONVENCIONAL COM LOUÇA BRANCA, INCLUSO CONJUNTO DE LIGAÇÃO PARA BACIA SANITÁRIA AJUSTÁVEL - FORNECIMENTO E INSTALAÇÃO.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</si>
  <si>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</si>
  <si>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</si>
  <si>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</si>
  <si>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</si>
  <si>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</si>
  <si>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</si>
  <si>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</si>
  <si>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</si>
  <si>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</si>
  <si>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</si>
  <si>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</si>
  <si>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</si>
  <si>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</si>
  <si>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</si>
  <si>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</si>
  <si>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</si>
  <si>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</si>
  <si>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</si>
  <si>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</si>
  <si>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</si>
  <si>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</si>
  <si>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</si>
  <si>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</si>
  <si>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</si>
  <si>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</si>
  <si>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</si>
  <si>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</si>
  <si>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</si>
  <si>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</si>
  <si>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</si>
  <si>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</si>
  <si>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</si>
  <si>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</si>
  <si>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</si>
  <si>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</si>
  <si>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</si>
  <si>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</si>
  <si>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</si>
  <si>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</si>
  <si>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</si>
  <si>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</si>
  <si>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</si>
  <si>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</si>
  <si>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</si>
  <si>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</si>
  <si>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</si>
  <si>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</si>
  <si>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</si>
  <si>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</si>
  <si>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</si>
  <si>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</si>
  <si>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</si>
  <si>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</si>
  <si>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</si>
  <si>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</si>
  <si>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</si>
  <si>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</si>
  <si>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</si>
  <si>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</si>
  <si>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</si>
  <si>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</si>
  <si>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</si>
  <si>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</si>
  <si>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</si>
  <si>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</si>
  <si>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</si>
  <si>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</si>
  <si>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</si>
  <si>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</si>
  <si>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</si>
  <si>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</si>
  <si>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</si>
  <si>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</si>
  <si>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</si>
  <si>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</si>
  <si>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</si>
  <si>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</si>
  <si>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</si>
  <si>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</si>
  <si>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</si>
  <si>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</si>
  <si>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</si>
  <si>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</si>
  <si>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</si>
  <si>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</si>
  <si>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</si>
  <si>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</si>
  <si>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</si>
  <si>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</si>
  <si>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</si>
  <si>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</si>
  <si>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</si>
  <si>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</si>
  <si>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</si>
  <si>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</si>
  <si>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</si>
  <si>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</si>
  <si>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</si>
  <si>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</si>
  <si>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</si>
  <si>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</si>
  <si>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</si>
  <si>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</si>
  <si>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</si>
  <si>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</si>
  <si>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</si>
  <si>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</si>
  <si>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</si>
  <si>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</si>
  <si>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</si>
  <si>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</si>
  <si>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</si>
  <si>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</si>
  <si>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</si>
  <si>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</si>
  <si>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KIT DE MISTURADOR BASE BRUTA DE LATÃO ¾" MONOCOMANDO PARA CHUVEIRO, INCLUSIVE CONEXÕES, INSTALADO EM RAMAL DE ÁGUA - FORNECIMENTO E INSTALAÇÃO.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</si>
  <si>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</si>
  <si>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</si>
  <si>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</si>
  <si>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</si>
  <si>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</si>
  <si>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</si>
  <si>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</si>
  <si>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</si>
  <si>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</si>
  <si>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</si>
  <si>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</si>
  <si>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</si>
  <si>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</si>
  <si>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</si>
  <si>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</si>
  <si>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</si>
  <si>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</si>
  <si>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</si>
  <si>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</si>
  <si>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</si>
  <si>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</si>
  <si>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</si>
  <si>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</si>
  <si>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</si>
  <si>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</si>
  <si>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</si>
  <si>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</si>
  <si>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</si>
  <si>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</si>
  <si>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</si>
  <si>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</si>
  <si>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</si>
  <si>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</si>
  <si>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</si>
  <si>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</si>
  <si>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</si>
  <si>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</si>
  <si>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</si>
  <si>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</si>
  <si>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</si>
  <si>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</si>
  <si>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</si>
  <si>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</si>
  <si>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</si>
  <si>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</si>
  <si>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</si>
  <si>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</si>
  <si>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</si>
  <si>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</si>
  <si>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</si>
  <si>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</si>
  <si>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</si>
  <si>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</si>
  <si>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</si>
  <si>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</si>
  <si>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</si>
  <si>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</si>
  <si>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</si>
  <si>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</si>
  <si>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</si>
  <si>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</si>
  <si>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</si>
  <si>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</si>
  <si>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</si>
  <si>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</si>
  <si>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</si>
  <si>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</si>
  <si>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</si>
  <si>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</si>
  <si>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</si>
  <si>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</si>
  <si>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</si>
  <si>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</si>
  <si>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</si>
  <si>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</si>
  <si>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</si>
  <si>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</si>
  <si>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</si>
  <si>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</si>
  <si>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</si>
  <si>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</si>
  <si>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</si>
  <si>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</si>
  <si>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</si>
  <si>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</si>
  <si>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</si>
  <si>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</si>
  <si>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</si>
  <si>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</si>
  <si>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</si>
  <si>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</si>
  <si>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</si>
  <si>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</si>
  <si>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APLICAÇÃO MANUAL DE TINTA LÁTEX ACRÍLICA EM PANOS COM PRESENÇA DE VÃOS DE EDIFÍCIOS DE MÚLTIPLOS PAVIMENTOS, DUAS DEMÃOS. AF_11/2016</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</si>
  <si>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</si>
  <si>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</si>
  <si>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</si>
  <si>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</si>
  <si>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</si>
  <si>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</si>
  <si>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</si>
  <si>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</si>
  <si>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</si>
  <si>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</si>
  <si>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</si>
  <si>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</si>
  <si>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</si>
  <si>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</si>
  <si>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</si>
  <si>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</si>
  <si>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</si>
  <si>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</si>
  <si>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</si>
  <si>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</si>
  <si>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</si>
  <si>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</si>
  <si>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</si>
  <si>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</si>
  <si>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</si>
  <si>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</si>
  <si>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</si>
  <si>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</si>
  <si>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</si>
  <si>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</si>
  <si>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</si>
  <si>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</si>
  <si>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</si>
  <si>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</si>
  <si>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</si>
  <si>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</si>
  <si>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</si>
  <si>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</si>
  <si>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</si>
  <si>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</si>
  <si>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</si>
  <si>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</si>
  <si>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</si>
  <si>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</si>
  <si>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</si>
  <si>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</si>
  <si>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</si>
  <si>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</si>
  <si>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</si>
  <si>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</si>
  <si>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</si>
  <si>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</si>
  <si>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</si>
  <si>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</si>
  <si>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</si>
  <si>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</si>
  <si>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</si>
  <si>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</si>
  <si>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</si>
  <si>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</si>
  <si>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</si>
  <si>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</si>
  <si>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</si>
  <si>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</si>
  <si>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</si>
  <si>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</si>
  <si>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</si>
  <si>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</si>
  <si>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</si>
  <si>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</si>
  <si>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</si>
  <si>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</si>
  <si>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</si>
  <si>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</si>
  <si>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</si>
  <si>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</si>
  <si>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</si>
  <si>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</si>
  <si>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</si>
  <si>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</si>
  <si>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</si>
  <si>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</si>
  <si>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</si>
  <si>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</si>
  <si>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</si>
  <si>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</si>
  <si>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</si>
  <si>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</si>
  <si>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</si>
  <si>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</si>
  <si>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</si>
  <si>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</si>
  <si>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</si>
  <si>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</si>
  <si>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</si>
  <si>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</si>
  <si>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</si>
  <si>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</si>
  <si>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</si>
  <si>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</si>
  <si>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</si>
  <si>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</si>
  <si>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</si>
  <si>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</si>
  <si>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</si>
  <si>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</si>
  <si>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</si>
  <si>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</si>
  <si>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</si>
  <si>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</si>
  <si>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</si>
  <si>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</si>
  <si>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</si>
  <si>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</si>
  <si>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</si>
  <si>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</si>
  <si>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</si>
  <si>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</si>
  <si>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</si>
  <si>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</si>
  <si>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</si>
  <si>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</si>
  <si>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</si>
  <si>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</si>
  <si>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</si>
  <si>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</si>
  <si>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</si>
  <si>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</si>
  <si>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</si>
  <si>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</si>
  <si>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</si>
  <si>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</si>
  <si>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</si>
  <si>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</si>
  <si>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</si>
  <si>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</si>
  <si>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</si>
  <si>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</si>
  <si>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</si>
  <si>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</si>
  <si>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</si>
  <si>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</si>
  <si>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</si>
  <si>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</si>
  <si>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</si>
  <si>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</si>
  <si>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</si>
  <si>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</si>
  <si>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</si>
  <si>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</si>
  <si>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</si>
  <si>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</si>
  <si>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</si>
  <si>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</si>
  <si>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</si>
  <si>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</si>
  <si>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</si>
  <si>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</si>
  <si>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</si>
  <si>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</si>
  <si>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</si>
  <si>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</si>
  <si>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</si>
  <si>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</si>
  <si>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</si>
  <si>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</si>
  <si>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</si>
  <si>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</si>
  <si>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</si>
  <si>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</si>
  <si>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</si>
  <si>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</si>
  <si>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</si>
  <si>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</si>
  <si>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</si>
  <si>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</si>
  <si>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</si>
  <si>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</si>
  <si>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</si>
  <si>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</si>
  <si>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</si>
  <si>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</si>
  <si>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</si>
  <si>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</si>
  <si>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</si>
  <si>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</si>
  <si>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</si>
  <si>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</si>
  <si>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</si>
  <si>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</si>
  <si>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</si>
  <si>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</si>
  <si>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</si>
  <si>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</si>
  <si>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</si>
  <si>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</si>
  <si>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</si>
  <si>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</si>
  <si>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</si>
  <si>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</si>
  <si>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</si>
  <si>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</si>
  <si>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</si>
  <si>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</si>
  <si>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</si>
  <si>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</si>
  <si>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</si>
  <si>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</si>
  <si>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</si>
  <si>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</si>
  <si>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</si>
  <si>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</si>
  <si>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</si>
  <si>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</si>
  <si>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</si>
  <si>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</si>
  <si>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</si>
  <si>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</si>
  <si>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</si>
  <si>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</si>
  <si>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</si>
  <si>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</si>
  <si>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</si>
  <si>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</si>
  <si>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</si>
  <si>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</si>
  <si>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</si>
  <si>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</si>
  <si>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</si>
  <si>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</si>
  <si>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</si>
  <si>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</si>
  <si>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</si>
  <si>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</si>
  <si>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</si>
  <si>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</si>
  <si>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</si>
  <si>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</si>
  <si>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</si>
  <si>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</si>
  <si>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</si>
  <si>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</si>
  <si>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</si>
  <si>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</si>
  <si>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</si>
  <si>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</si>
  <si>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</si>
  <si>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</si>
  <si>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</si>
  <si>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</si>
  <si>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</si>
  <si>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</si>
  <si>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</si>
  <si>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</si>
  <si>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</si>
  <si>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</si>
  <si>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</si>
  <si>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</si>
  <si>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</si>
  <si>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</si>
  <si>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</si>
  <si>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</si>
  <si>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</si>
  <si>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</si>
  <si>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</si>
  <si>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</si>
  <si>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</si>
  <si>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</si>
  <si>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</si>
  <si>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</si>
  <si>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</si>
  <si>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</si>
  <si>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</si>
  <si>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</si>
  <si>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</si>
  <si>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</si>
  <si>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</si>
  <si>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</si>
  <si>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</si>
  <si>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</si>
  <si>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</si>
  <si>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</si>
  <si>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</si>
  <si>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</si>
  <si>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</si>
  <si>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</si>
  <si>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</si>
  <si>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</si>
  <si>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</si>
  <si>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</si>
  <si>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</si>
  <si>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</si>
  <si>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</si>
  <si>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</si>
  <si>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</si>
  <si>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</si>
  <si>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</si>
  <si>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</si>
  <si>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</si>
  <si>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</si>
  <si>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</si>
  <si>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</si>
  <si>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</si>
  <si>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</si>
  <si>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</si>
  <si>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</si>
  <si>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</si>
  <si>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</si>
  <si>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</si>
  <si>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</si>
  <si>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</si>
  <si>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</si>
  <si>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</si>
  <si>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</si>
  <si>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</si>
  <si>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</si>
  <si>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</si>
  <si>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</si>
  <si>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</si>
  <si>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</si>
  <si>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</si>
  <si>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</si>
  <si>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</si>
  <si>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</si>
  <si>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</si>
  <si>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</si>
  <si>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</si>
  <si>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</si>
  <si>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</si>
  <si>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</si>
  <si>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</si>
  <si>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</si>
  <si>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</si>
  <si>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</si>
  <si>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</si>
  <si>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</si>
  <si>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</si>
  <si>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</si>
  <si>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</si>
  <si>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</si>
  <si>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</si>
  <si>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</si>
  <si>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</si>
  <si>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</si>
  <si>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</si>
  <si>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</si>
  <si>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</si>
  <si>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</si>
  <si>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</si>
  <si>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</si>
  <si>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</si>
  <si>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</si>
  <si>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</si>
  <si>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</si>
  <si>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</si>
  <si>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</si>
  <si>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</si>
  <si>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</si>
  <si>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</si>
  <si>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</si>
  <si>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</si>
  <si>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</si>
  <si>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</si>
  <si>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</si>
  <si>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</si>
  <si>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</si>
  <si>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</si>
  <si>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</si>
  <si>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</si>
  <si>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</si>
  <si>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</si>
  <si>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</si>
  <si>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</si>
  <si>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</si>
  <si>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</si>
  <si>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</si>
  <si>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</si>
  <si>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</si>
  <si>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</si>
  <si>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</si>
  <si>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</si>
  <si>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</si>
  <si>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</si>
  <si>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</si>
  <si>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</si>
  <si>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</si>
  <si>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</si>
  <si>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</si>
  <si>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</si>
  <si>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</si>
  <si>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</si>
  <si>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</si>
  <si>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</si>
  <si>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</si>
  <si>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</si>
  <si>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</si>
  <si>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</si>
  <si>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</si>
  <si>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</si>
  <si>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</si>
  <si>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</si>
  <si>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</si>
  <si>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</si>
  <si>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</si>
  <si>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</si>
  <si>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</si>
  <si>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</si>
  <si>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</si>
  <si>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</si>
  <si>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</si>
  <si>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</si>
  <si>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</si>
  <si>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</si>
  <si>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</si>
  <si>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</si>
  <si>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</si>
  <si>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</si>
  <si>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</si>
  <si>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</si>
  <si>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</si>
  <si>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</si>
  <si>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</si>
  <si>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</si>
  <si>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</si>
  <si>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</si>
  <si>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</si>
  <si>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</si>
  <si>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</si>
  <si>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</si>
  <si>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</si>
  <si>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</si>
  <si>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</si>
  <si>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</si>
  <si>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</si>
  <si>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</si>
  <si>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</si>
  <si>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</si>
  <si>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</si>
  <si>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</si>
  <si>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</si>
  <si>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</si>
  <si>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</si>
  <si>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</si>
  <si>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</si>
  <si>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</si>
  <si>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</si>
  <si>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</si>
  <si>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</si>
  <si>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</si>
  <si>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</si>
  <si>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</si>
  <si>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</si>
  <si>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</si>
  <si>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</si>
  <si>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</si>
  <si>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</si>
  <si>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</si>
  <si>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</si>
  <si>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</si>
  <si>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</si>
  <si>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</si>
  <si>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</si>
  <si>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</si>
  <si>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</si>
  <si>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</si>
  <si>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</si>
  <si>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</si>
  <si>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</si>
  <si>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</si>
  <si>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</si>
  <si>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</si>
  <si>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</si>
  <si>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</si>
  <si>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</si>
  <si>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</si>
  <si>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</si>
  <si>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</si>
  <si>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</si>
  <si>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</si>
  <si>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</si>
  <si>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</si>
  <si>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</si>
  <si>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</si>
  <si>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</si>
  <si>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</si>
  <si>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</si>
  <si>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</si>
  <si>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</si>
  <si>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</si>
  <si>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</si>
  <si>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</si>
  <si>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</si>
  <si>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</si>
  <si>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</si>
  <si>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</si>
  <si>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</si>
  <si>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</si>
  <si>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</si>
  <si>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</si>
  <si>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</si>
  <si>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</si>
  <si>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</si>
  <si>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</si>
  <si>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</si>
  <si>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</si>
  <si>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</si>
  <si>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</si>
  <si>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</si>
  <si>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</si>
  <si>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</si>
  <si>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</si>
  <si>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</si>
  <si>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</si>
  <si>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</si>
  <si>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</si>
  <si>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</si>
  <si>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</si>
  <si>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</si>
  <si>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</si>
  <si>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</si>
  <si>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</si>
  <si>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Resolução Conjunta SEIL/PRED 002/2017</t>
  </si>
  <si>
    <t>Vigência a partir de: FEV/2017</t>
  </si>
  <si>
    <t>CURVA ABC DE SERVIÇOS</t>
  </si>
  <si>
    <t>% ACUMULADO</t>
  </si>
  <si>
    <t>QUANTIDADE TOTAL</t>
  </si>
  <si>
    <t>% DO ITEM</t>
  </si>
  <si>
    <t>FAIXA</t>
  </si>
  <si>
    <t xml:space="preserve">CUSTO TOTAL ACUMULADO </t>
  </si>
  <si>
    <t>CUSTO TOTAL</t>
  </si>
  <si>
    <t>FONTE</t>
  </si>
  <si>
    <t>BDI TERC. E EQUIP:</t>
  </si>
  <si>
    <t>SINAPI</t>
  </si>
  <si>
    <t>CPU</t>
  </si>
  <si>
    <t>UNID</t>
  </si>
  <si>
    <t>DESCRICAO DA COMPOSICAO</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</si>
  <si>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</si>
  <si>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</si>
  <si>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</si>
  <si>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</si>
  <si>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</si>
  <si>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</si>
  <si>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</si>
  <si>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</si>
  <si>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</si>
  <si>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</si>
  <si>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</si>
  <si>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</si>
  <si>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</si>
  <si>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</si>
  <si>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</si>
  <si>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</si>
  <si>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</si>
  <si>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ROLO COMPACTADOR DE PNEUS, ESTATICO, PRESSAO VARIAVEL, POTENCIA 110 HP, PESO SEM/COM LASTRO 10,8/27 T, LARGURA DE ROLAGEM 2,30 M - CHI DIURNO. AF_06/2017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</si>
  <si>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</si>
  <si>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</si>
  <si>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</si>
  <si>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</si>
  <si>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</si>
  <si>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</si>
  <si>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</si>
  <si>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</si>
  <si>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</si>
  <si>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</si>
  <si>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</si>
  <si>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</si>
  <si>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</si>
  <si>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</si>
  <si>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</si>
  <si>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</si>
  <si>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</si>
  <si>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</si>
  <si>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</si>
  <si>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</si>
  <si>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</si>
  <si>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</si>
  <si>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</si>
  <si>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</si>
  <si>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</si>
  <si>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</si>
  <si>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</si>
  <si>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</si>
  <si>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</si>
  <si>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</si>
  <si>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</si>
  <si>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</si>
  <si>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</si>
  <si>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</si>
  <si>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</si>
  <si>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</si>
  <si>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</si>
  <si>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</si>
  <si>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</si>
  <si>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</si>
  <si>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</si>
  <si>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</si>
  <si>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</si>
  <si>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</si>
  <si>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</si>
  <si>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</si>
  <si>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</si>
  <si>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</si>
  <si>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</si>
  <si>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</si>
  <si>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</si>
  <si>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</si>
  <si>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</si>
  <si>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</si>
  <si>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</si>
  <si>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</si>
  <si>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</si>
  <si>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</si>
  <si>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</si>
  <si>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</si>
  <si>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</si>
  <si>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</si>
  <si>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</si>
  <si>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</si>
  <si>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</si>
  <si>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</si>
  <si>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</si>
  <si>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</si>
  <si>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</si>
  <si>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</si>
  <si>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</si>
  <si>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</si>
  <si>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</si>
  <si>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</si>
  <si>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</si>
  <si>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</si>
  <si>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</si>
  <si>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</si>
  <si>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</si>
  <si>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</si>
  <si>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</si>
  <si>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</si>
  <si>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</si>
  <si>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</si>
  <si>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</si>
  <si>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</si>
  <si>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</si>
  <si>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</si>
  <si>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</si>
  <si>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</si>
  <si>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</si>
  <si>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</si>
  <si>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</si>
  <si>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</si>
  <si>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</si>
  <si>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</si>
  <si>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</si>
  <si>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</si>
  <si>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</si>
  <si>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</si>
  <si>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</si>
  <si>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</si>
  <si>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</si>
  <si>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</si>
  <si>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</si>
  <si>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</si>
  <si>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</si>
  <si>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</si>
  <si>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</si>
  <si>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</si>
  <si>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</si>
  <si>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</si>
  <si>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</si>
  <si>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</si>
  <si>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</si>
  <si>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</si>
  <si>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</si>
  <si>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</si>
  <si>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</si>
  <si>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</si>
  <si>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</si>
  <si>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</si>
  <si>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</si>
  <si>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</si>
  <si>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</si>
  <si>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</si>
  <si>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</si>
  <si>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</si>
  <si>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</si>
  <si>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</si>
  <si>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</si>
  <si>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</si>
  <si>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</si>
  <si>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</si>
  <si>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</si>
  <si>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</si>
  <si>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</si>
  <si>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</si>
  <si>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</si>
  <si>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</si>
  <si>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</si>
  <si>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</si>
  <si>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</si>
  <si>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</si>
  <si>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</si>
  <si>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</si>
  <si>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</si>
  <si>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</si>
  <si>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</si>
  <si>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</si>
  <si>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</si>
  <si>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</si>
  <si>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</si>
  <si>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</si>
  <si>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</si>
  <si>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</si>
  <si>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</si>
  <si>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</si>
  <si>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</si>
  <si>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</si>
  <si>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</si>
  <si>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</si>
  <si>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</si>
  <si>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</si>
  <si>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</si>
  <si>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</si>
  <si>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</si>
  <si>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</si>
  <si>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</si>
  <si>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</si>
  <si>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</si>
  <si>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</si>
  <si>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</si>
  <si>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</si>
  <si>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</si>
  <si>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</si>
  <si>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</si>
  <si>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</si>
  <si>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</si>
  <si>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</si>
  <si>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</si>
  <si>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</si>
  <si>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</si>
  <si>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</si>
  <si>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</si>
  <si>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</si>
  <si>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</si>
  <si>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</si>
  <si>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</si>
  <si>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</si>
  <si>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</si>
  <si>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</si>
  <si>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</si>
  <si>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</si>
  <si>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</si>
  <si>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</si>
  <si>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</si>
  <si>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</si>
  <si>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</si>
  <si>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</si>
  <si>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</si>
  <si>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</si>
  <si>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</si>
  <si>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</si>
  <si>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</si>
  <si>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</si>
  <si>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</si>
  <si>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</si>
  <si>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</si>
  <si>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</si>
  <si>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</si>
  <si>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</si>
  <si>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</si>
  <si>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</si>
  <si>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</si>
  <si>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</si>
  <si>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</si>
  <si>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</si>
  <si>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</si>
  <si>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</si>
  <si>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</si>
  <si>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</si>
  <si>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</si>
  <si>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</si>
  <si>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</si>
  <si>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</si>
  <si>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</si>
  <si>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</si>
  <si>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</si>
  <si>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</si>
  <si>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</si>
  <si>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</si>
  <si>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</si>
  <si>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</si>
  <si>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</si>
  <si>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</si>
  <si>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</si>
  <si>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</si>
  <si>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</si>
  <si>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</si>
  <si>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</si>
  <si>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</si>
  <si>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</si>
  <si>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</si>
  <si>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</si>
  <si>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</si>
  <si>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</si>
  <si>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</si>
  <si>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</si>
  <si>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</si>
  <si>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</si>
  <si>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</si>
  <si>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</si>
  <si>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</si>
  <si>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</si>
  <si>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</si>
  <si>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</si>
  <si>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</si>
  <si>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</si>
  <si>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</si>
  <si>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</si>
  <si>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</si>
  <si>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</si>
  <si>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</si>
  <si>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</si>
  <si>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</si>
  <si>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</si>
  <si>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</si>
  <si>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</si>
  <si>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</si>
  <si>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</si>
  <si>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</si>
  <si>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</si>
  <si>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</si>
  <si>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</si>
  <si>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</si>
  <si>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</si>
  <si>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</si>
  <si>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</si>
  <si>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</si>
  <si>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</si>
  <si>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</si>
  <si>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</si>
  <si>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</si>
  <si>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</si>
  <si>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</si>
  <si>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</si>
  <si>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</si>
  <si>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</si>
  <si>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</si>
  <si>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</si>
  <si>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</si>
  <si>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</si>
  <si>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</si>
  <si>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</si>
  <si>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</si>
  <si>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</si>
  <si>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</si>
  <si>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</si>
  <si>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</si>
  <si>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</si>
  <si>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</si>
  <si>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</si>
  <si>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</si>
  <si>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</si>
  <si>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</si>
  <si>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</si>
  <si>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</si>
  <si>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</si>
  <si>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</si>
  <si>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</si>
  <si>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</si>
  <si>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</si>
  <si>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</si>
  <si>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</si>
  <si>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</si>
  <si>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</si>
  <si>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</si>
  <si>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</si>
  <si>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</si>
  <si>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</si>
  <si>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</si>
  <si>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</si>
  <si>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</si>
  <si>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</si>
  <si>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</si>
  <si>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</si>
  <si>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</si>
  <si>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</si>
  <si>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</si>
  <si>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</si>
  <si>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</si>
  <si>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FABRICAÇÃO, MONTAGEM E DESMONTAGEM DE FÔRMA PARA BLOCO DE COROAMENTO, EM MADEIRA SERRADA, E=25 MM, 1 UTILIZAÇÃO. AF_06/2017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</si>
  <si>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</si>
  <si>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</si>
  <si>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</si>
  <si>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</si>
  <si>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</si>
  <si>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</si>
  <si>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</si>
  <si>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</si>
  <si>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</si>
  <si>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</si>
  <si>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</si>
  <si>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</si>
  <si>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</si>
  <si>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</si>
  <si>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</si>
  <si>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</si>
  <si>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</si>
  <si>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</si>
  <si>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</si>
  <si>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</si>
  <si>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</si>
  <si>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</si>
  <si>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</si>
  <si>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</si>
  <si>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</si>
  <si>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</si>
  <si>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</si>
  <si>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</si>
  <si>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</si>
  <si>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</si>
  <si>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</si>
  <si>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</si>
  <si>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</si>
  <si>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</si>
  <si>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</si>
  <si>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</si>
  <si>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</si>
  <si>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</si>
  <si>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</si>
  <si>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</si>
  <si>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</si>
  <si>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</si>
  <si>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</si>
  <si>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</si>
  <si>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</si>
  <si>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</si>
  <si>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</si>
  <si>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</si>
  <si>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</si>
  <si>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</si>
  <si>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</si>
  <si>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</si>
  <si>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</si>
  <si>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</si>
  <si>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</si>
  <si>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</si>
  <si>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</si>
  <si>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</si>
  <si>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</si>
  <si>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</si>
  <si>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</si>
  <si>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</si>
  <si>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</si>
  <si>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</si>
  <si>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</si>
  <si>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</si>
  <si>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</si>
  <si>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</si>
  <si>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SERVIÇOS TÉCNICOS ESPECIALIZADOS PARA ACOMPANHAMENTO DE EXECUÇÃO DE FUNDAÇÕES PROFUNDAS E ESTRUTURAS DE CONTENÇÃO</t>
  </si>
  <si>
    <t>CADASTRISTA DE REDES DE AGUA E ESGOTO COM ENCARGOS COMPLEMENTARES</t>
  </si>
  <si>
    <t>CURSO DE CAPACITAÇÃO PARA CADASTRISTA DE REDES DE AGUA E ESGOTO (ENCARGOS COMPLEMENTARES) - HORISTA</t>
  </si>
  <si>
    <t xml:space="preserve">CODIGO  </t>
  </si>
  <si>
    <t xml:space="preserve">H     </t>
  </si>
  <si>
    <t xml:space="preserve">UN    </t>
  </si>
  <si>
    <t xml:space="preserve">M2    </t>
  </si>
  <si>
    <t xml:space="preserve">M3    </t>
  </si>
  <si>
    <t xml:space="preserve">M     </t>
  </si>
  <si>
    <t xml:space="preserve">KG    </t>
  </si>
  <si>
    <t xml:space="preserve">L     </t>
  </si>
  <si>
    <t xml:space="preserve">MES   </t>
  </si>
  <si>
    <t xml:space="preserve">PAR   </t>
  </si>
  <si>
    <t xml:space="preserve">JG    </t>
  </si>
  <si>
    <t xml:space="preserve">MIL   </t>
  </si>
  <si>
    <t xml:space="preserve">T     </t>
  </si>
  <si>
    <t xml:space="preserve">CJ    </t>
  </si>
  <si>
    <t xml:space="preserve">100M  </t>
  </si>
  <si>
    <t xml:space="preserve">CENTO </t>
  </si>
  <si>
    <t>LOCACAO DE ANDAIME METALICO TUBULAR DE ENCAIXE, TIPO DE TORRE, COM LARGURA DE 1 ATE 1,5 M E ALTURA DE *1,00* M</t>
  </si>
  <si>
    <t xml:space="preserve">310ML </t>
  </si>
  <si>
    <t>INSUMOS</t>
  </si>
  <si>
    <t>COMPOSIÇÃO DE PREÇO UNITÁRIO DE SERVIÇO</t>
  </si>
  <si>
    <t>DADOS DA OBRA</t>
  </si>
  <si>
    <t>CIDADE / UF</t>
  </si>
  <si>
    <t>PREÇO MÁXIMO</t>
  </si>
  <si>
    <t>CAU N°</t>
  </si>
  <si>
    <t>RRT N°</t>
  </si>
  <si>
    <t>FOLHA RESUMO PARA FECHAMENTO DE ORÇAMENTO</t>
  </si>
  <si>
    <t>OBRA:</t>
  </si>
  <si>
    <t>RESPONSÁVEL TÉCNICO</t>
  </si>
  <si>
    <t>CARIMBO E ASSINATURA</t>
  </si>
  <si>
    <t>PLANILHA RESUMO DO ORÇAMENTO</t>
  </si>
  <si>
    <t>CÓDIGO  SERVIÇO</t>
  </si>
  <si>
    <t>CRONOGRAMA FÍSICO-FINANCEIRO</t>
  </si>
  <si>
    <t>CONFERENCIA 
PORCENTAGEM</t>
  </si>
  <si>
    <t xml:space="preserve">COMPOSIÇÃO DE BDI </t>
  </si>
  <si>
    <t>COMPOSIÇÃO DE BDI - EQUIPAMENTOS</t>
  </si>
  <si>
    <t>OBRA</t>
  </si>
  <si>
    <t>PRAZO EXEC:</t>
  </si>
  <si>
    <t xml:space="preserve"> </t>
  </si>
  <si>
    <t>IMPRIMIR TODAS AS PASTAS E VOLTAR INSERINDO A NUMERAÇÃO DE PÁGINAS</t>
  </si>
  <si>
    <t>PÁGINA</t>
  </si>
  <si>
    <t>RRT, BOLETO E COMPROVANTES</t>
  </si>
  <si>
    <t>Planilha de Serviços Sintética</t>
  </si>
  <si>
    <t>PRAZO DE EXECUÇÃO:</t>
  </si>
  <si>
    <t>TOTAL GERAL</t>
  </si>
  <si>
    <t>REATERRO MANUAL APILOADO COM SOQUETE. AF_10/2017</t>
  </si>
  <si>
    <t>Valor Total do Orçamento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</si>
  <si>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</si>
  <si>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</si>
  <si>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</si>
  <si>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</si>
  <si>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</si>
  <si>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</si>
  <si>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</si>
  <si>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</si>
  <si>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</si>
  <si>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</si>
  <si>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</si>
  <si>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</si>
  <si>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</si>
  <si>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</si>
  <si>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</si>
  <si>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</si>
  <si>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</si>
  <si>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</si>
  <si>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</si>
  <si>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</si>
  <si>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</si>
  <si>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</si>
  <si>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</si>
  <si>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</si>
  <si>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</si>
  <si>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</si>
  <si>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</si>
  <si>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</si>
  <si>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</si>
  <si>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</si>
  <si>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</si>
  <si>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</si>
  <si>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</si>
  <si>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</si>
  <si>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</si>
  <si>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</si>
  <si>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</si>
  <si>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</si>
  <si>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</si>
  <si>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</si>
  <si>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</si>
  <si>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</si>
  <si>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</si>
  <si>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</si>
  <si>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</si>
  <si>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</si>
  <si>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</si>
  <si>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</si>
  <si>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</si>
  <si>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</si>
  <si>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</si>
  <si>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</si>
  <si>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</si>
  <si>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</si>
  <si>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</si>
  <si>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</si>
  <si>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</si>
  <si>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</si>
  <si>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</si>
  <si>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</si>
  <si>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</si>
  <si>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</si>
  <si>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</si>
  <si>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</si>
  <si>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</si>
  <si>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</si>
  <si>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</si>
  <si>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</si>
  <si>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</si>
  <si>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</si>
  <si>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</si>
  <si>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</si>
  <si>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MONTAGEM E DESMONTAGEM DE FÔRMA DE PILARES CIRCULARES, COM ÁREA MÉDIA DAS SEÇÕES MAIOR QUE 0,28 M², PÉ-DIREITO DUPLO, EM MADEIRA, 2 UTILIZAÇÕES.  AF_06/2017</t>
  </si>
  <si>
    <t>FIXAÇÃO (ENCUNHAMENTO) DE ALVENARIA DE VEDAÇÃO COM ESPUMA DE POLIURETANO EXPANSIVA. AF_03/2016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</si>
  <si>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</si>
  <si>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</si>
  <si>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</si>
  <si>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</si>
  <si>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</si>
  <si>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</si>
  <si>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</si>
  <si>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</si>
  <si>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</si>
  <si>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</si>
  <si>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</si>
  <si>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</si>
  <si>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</si>
  <si>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</si>
  <si>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</si>
  <si>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</si>
  <si>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</si>
  <si>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MASSA ÚNICA, PARA RECEBIMENTO DE PINTURA OU CERÂMICA, ARGAMASSA INDUSTRIALIZADA, PREPARO MECÂNICO, APLICADO COM EQUIPAMENTO DE MISTURA E PROJEÇÃO DE 1,5 M3/H EM FACES INTERNAS DE PAREDES, ESPESSURA DE 5MM, SEM EXECUÇÃO DE TALISCAS. AF_06/2014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</si>
  <si>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</si>
  <si>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</si>
  <si>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</si>
  <si>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</si>
  <si>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</si>
  <si>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</si>
  <si>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</si>
  <si>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</si>
  <si>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</si>
  <si>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</si>
  <si>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</si>
  <si>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</si>
  <si>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</si>
  <si>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</si>
  <si>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</si>
  <si>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</si>
  <si>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</si>
  <si>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</si>
  <si>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</si>
  <si>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</si>
  <si>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</si>
  <si>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</si>
  <si>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</si>
  <si>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</si>
  <si>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</si>
  <si>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</si>
  <si>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</si>
  <si>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</si>
  <si>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</si>
  <si>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</si>
  <si>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</si>
  <si>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</si>
  <si>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</si>
  <si>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</si>
  <si>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</si>
  <si>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</si>
  <si>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</si>
  <si>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</si>
  <si>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</si>
  <si>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</si>
  <si>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</si>
  <si>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</si>
  <si>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</si>
  <si>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</si>
  <si>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</si>
  <si>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</si>
  <si>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</si>
  <si>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</si>
  <si>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</si>
  <si>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</si>
  <si>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</si>
  <si>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</si>
  <si>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</si>
  <si>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</si>
  <si>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</si>
  <si>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</si>
  <si>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</si>
  <si>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</si>
  <si>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</si>
  <si>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</si>
  <si>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</si>
  <si>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</si>
  <si>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Composição do BDI Diferenciado</t>
  </si>
  <si>
    <t>Histórico de Revisão</t>
  </si>
  <si>
    <r>
      <t xml:space="preserve">Check-list da Documentação  </t>
    </r>
    <r>
      <rPr>
        <sz val="11"/>
        <rFont val="Calibri"/>
        <family val="2"/>
        <scheme val="minor"/>
      </rPr>
      <t>(Confome Art. 43 do Decreto Nº 5454/2016)</t>
    </r>
  </si>
  <si>
    <t>BEBEDOURO DE PRESSÃO EM INOX, JATO INCLINADO COM FILTRO DE ÁGUA, 2 JATOS, MARCA IBBL BAG40, OU EQUIVALENCIA TÉCNICA, INCLUSO 2 ENGATES FLEXIVEL PVC 1/2" 40CM</t>
  </si>
  <si>
    <t>C18</t>
  </si>
  <si>
    <t>C27</t>
  </si>
  <si>
    <t xml:space="preserve">PLANILHA ORÇAMENTÁRIA </t>
  </si>
  <si>
    <t xml:space="preserve">E </t>
  </si>
  <si>
    <t>COMUNICAÇÃO VISUAL</t>
  </si>
  <si>
    <t>CUSTO MAO DE OBRA</t>
  </si>
  <si>
    <t>PINTURA ANTICORROSIVA DE DUTO METÁLICO. AF_04/2018</t>
  </si>
  <si>
    <t>C116</t>
  </si>
  <si>
    <t>C221</t>
  </si>
  <si>
    <t>C46</t>
  </si>
  <si>
    <t>C77</t>
  </si>
  <si>
    <t>X</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</si>
  <si>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</si>
  <si>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</si>
  <si>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</si>
  <si>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</si>
  <si>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</si>
  <si>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</si>
  <si>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</si>
  <si>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</si>
  <si>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</si>
  <si>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</si>
  <si>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</si>
  <si>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</si>
  <si>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</si>
  <si>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</si>
  <si>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</si>
  <si>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</si>
  <si>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</si>
  <si>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</si>
  <si>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</si>
  <si>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</si>
  <si>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</si>
  <si>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</si>
  <si>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</si>
  <si>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</si>
  <si>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</si>
  <si>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</si>
  <si>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</si>
  <si>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</si>
  <si>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</si>
  <si>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</si>
  <si>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</si>
  <si>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</si>
  <si>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</si>
  <si>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</si>
  <si>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</si>
  <si>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</si>
  <si>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</si>
  <si>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</si>
  <si>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</si>
  <si>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</si>
  <si>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</si>
  <si>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</si>
  <si>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</si>
  <si>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</si>
  <si>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</si>
  <si>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</si>
  <si>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</si>
  <si>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</si>
  <si>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</si>
  <si>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</si>
  <si>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</si>
  <si>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</si>
  <si>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</si>
  <si>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</si>
  <si>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</si>
  <si>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</si>
  <si>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</si>
  <si>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</si>
  <si>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</si>
  <si>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C215</t>
  </si>
  <si>
    <t>C294</t>
  </si>
  <si>
    <t>C426</t>
  </si>
  <si>
    <t>C579</t>
  </si>
  <si>
    <t>C675</t>
  </si>
  <si>
    <t>C695</t>
  </si>
  <si>
    <t>C853</t>
  </si>
  <si>
    <t>C921</t>
  </si>
  <si>
    <t>C958</t>
  </si>
  <si>
    <t>C1363</t>
  </si>
  <si>
    <t>C1661</t>
  </si>
  <si>
    <t>C3178</t>
  </si>
  <si>
    <t>C3230</t>
  </si>
  <si>
    <t>C3278</t>
  </si>
  <si>
    <t>SINAPI 94231</t>
  </si>
  <si>
    <t>APROPRIAÇÃO</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</si>
  <si>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</si>
  <si>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</si>
  <si>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</si>
  <si>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</si>
  <si>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</si>
  <si>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</si>
  <si>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</si>
  <si>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</si>
  <si>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TRATAMENTO DE JUNTA DE DILATAÇÃO COM MANTA ASFÁLTICA ADERIDA COM MAÇARICO. AF_06/2018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</si>
  <si>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</si>
  <si>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</si>
  <si>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</si>
  <si>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</si>
  <si>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</si>
  <si>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</si>
  <si>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</si>
  <si>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</si>
  <si>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</si>
  <si>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</si>
  <si>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</si>
  <si>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</si>
  <si>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</si>
  <si>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</si>
  <si>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</si>
  <si>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</si>
  <si>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</si>
  <si>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</si>
  <si>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</si>
  <si>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</si>
  <si>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</si>
  <si>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</si>
  <si>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</si>
  <si>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</si>
  <si>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</si>
  <si>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</si>
  <si>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</si>
  <si>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</si>
  <si>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</si>
  <si>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</si>
  <si>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</si>
  <si>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</si>
  <si>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</si>
  <si>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</si>
  <si>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INSTALAÇÕES HIDROSSANITÁRIAS</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</si>
  <si>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</si>
  <si>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</si>
  <si>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</si>
  <si>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</si>
  <si>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</si>
  <si>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</si>
  <si>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</si>
  <si>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</si>
  <si>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</si>
  <si>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</si>
  <si>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</si>
  <si>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</si>
  <si>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</si>
  <si>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</si>
  <si>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</si>
  <si>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</si>
  <si>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</si>
  <si>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</si>
  <si>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</si>
  <si>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</si>
  <si>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</si>
  <si>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</si>
  <si>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</si>
  <si>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</si>
  <si>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</si>
  <si>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</si>
  <si>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</si>
  <si>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</si>
  <si>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</si>
  <si>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</si>
  <si>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</si>
  <si>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</si>
  <si>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</si>
  <si>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</si>
  <si>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</si>
  <si>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</si>
  <si>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</si>
  <si>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</si>
  <si>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</si>
  <si>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</si>
  <si>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</si>
  <si>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</si>
  <si>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</si>
  <si>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</si>
  <si>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</si>
  <si>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ACABAMENTOS PARA FORRO (SANCA DE GESSO MONTADA NA OBRA). AF_05/2017_P</t>
  </si>
  <si>
    <t>COBERTURA PARA PROTEÇÃO DE PEDESTRES SOBRE ESTRUTURA DE ANDAIME, INCLUSIVE MONTAGEM E DESMONTAGEM. AF_11/2017</t>
  </si>
  <si>
    <t>PAPELEIRA PLASTICA TIPO DISPENSER PARA PAPEL HIGIENICO ROLAO</t>
  </si>
  <si>
    <t>TOALHEIRO PLASTICO TIPO DISPENSER PARA PAPEL TOALHA INTERFOLHADO</t>
  </si>
  <si>
    <t/>
  </si>
  <si>
    <t>QTDE DE PÁGINAS / ABA</t>
  </si>
  <si>
    <t xml:space="preserve">PLANILHA DE SERVIÇOS SINTÉTICA </t>
  </si>
  <si>
    <t>% no PERÍODO</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</si>
  <si>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</si>
  <si>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</si>
  <si>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</si>
  <si>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</si>
  <si>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</si>
  <si>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</si>
  <si>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</si>
  <si>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</si>
  <si>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</si>
  <si>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</si>
  <si>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</si>
  <si>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</si>
  <si>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</si>
  <si>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</si>
  <si>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</si>
  <si>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</si>
  <si>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</si>
  <si>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</si>
  <si>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</si>
  <si>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</si>
  <si>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</si>
  <si>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</si>
  <si>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</si>
  <si>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</si>
  <si>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</si>
  <si>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</si>
  <si>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</si>
  <si>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</si>
  <si>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</si>
  <si>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</si>
  <si>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</si>
  <si>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</si>
  <si>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</si>
  <si>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</si>
  <si>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</si>
  <si>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</si>
  <si>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</si>
  <si>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</si>
  <si>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</si>
  <si>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</si>
  <si>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GUARDA-CORPO EM LAJE PÓS-DESFÔRMA, PARA ESTRUTURAS EM CONCRETO, COM ESCORAS DE MADEIRA ESTRONCADAS NA ESTRUTURA, TRAVESSÕES DE MADEIRA PREGADOS E FECHAMENTO EM TELA DE POLIPROPILENO PARA EDIFICAÇÕES ACIMA DE 4 PAV. (2 MONTAGENS POR OBRA). AF_11/2017</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</si>
  <si>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</si>
  <si>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</si>
  <si>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</si>
  <si>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</si>
  <si>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</si>
  <si>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</si>
  <si>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</si>
  <si>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</si>
  <si>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</si>
  <si>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</si>
  <si>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</si>
  <si>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 xml:space="preserve">MXMES </t>
  </si>
  <si>
    <t>M2XMES</t>
  </si>
  <si>
    <t>DESONERADO</t>
  </si>
  <si>
    <t>ANO 2</t>
  </si>
  <si>
    <t>ANO 1</t>
  </si>
  <si>
    <t>REVISÃO</t>
  </si>
  <si>
    <t>COMPOSIÇÃO DE ENCARGOS SOCIAIS</t>
  </si>
  <si>
    <t>CANTEIRO DE OBRAS</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</si>
  <si>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</si>
  <si>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</si>
  <si>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</si>
  <si>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</si>
  <si>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</si>
  <si>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</si>
  <si>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</si>
  <si>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</si>
  <si>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</si>
  <si>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</si>
  <si>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</si>
  <si>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</si>
  <si>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</si>
  <si>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</si>
  <si>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</si>
  <si>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</si>
  <si>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</si>
  <si>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</si>
  <si>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</si>
  <si>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</si>
  <si>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</si>
  <si>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</si>
  <si>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</si>
  <si>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</si>
  <si>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</si>
  <si>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</si>
  <si>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</si>
  <si>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</si>
  <si>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</si>
  <si>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</si>
  <si>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</si>
  <si>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</si>
  <si>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</si>
  <si>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</si>
  <si>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</si>
  <si>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</si>
  <si>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</si>
  <si>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</si>
  <si>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</si>
  <si>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</si>
  <si>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</si>
  <si>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</si>
  <si>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</si>
  <si>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</si>
  <si>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</si>
  <si>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</si>
  <si>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</si>
  <si>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</si>
  <si>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</si>
  <si>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</si>
  <si>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</si>
  <si>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</si>
  <si>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</si>
  <si>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</si>
  <si>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</si>
  <si>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</si>
  <si>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</si>
  <si>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</si>
  <si>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</si>
  <si>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</si>
  <si>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</si>
  <si>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</si>
  <si>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</si>
  <si>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</si>
  <si>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</si>
  <si>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</si>
  <si>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</si>
  <si>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</si>
  <si>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</si>
  <si>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</si>
  <si>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</si>
  <si>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</si>
  <si>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</si>
  <si>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</si>
  <si>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</si>
  <si>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</si>
  <si>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</si>
  <si>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</si>
  <si>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</si>
  <si>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</si>
  <si>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</si>
  <si>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</si>
  <si>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</si>
  <si>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</si>
  <si>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</si>
  <si>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</si>
  <si>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</si>
  <si>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</si>
  <si>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</si>
  <si>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</si>
  <si>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</si>
  <si>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</si>
  <si>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</si>
  <si>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</si>
  <si>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</si>
  <si>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</si>
  <si>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</si>
  <si>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</si>
  <si>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</si>
  <si>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</si>
  <si>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</si>
  <si>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</si>
  <si>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</si>
  <si>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</si>
  <si>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</si>
  <si>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</si>
  <si>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</si>
  <si>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</si>
  <si>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</si>
  <si>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</si>
  <si>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</si>
  <si>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</si>
  <si>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</si>
  <si>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</si>
  <si>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</si>
  <si>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</si>
  <si>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</si>
  <si>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</si>
  <si>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</si>
  <si>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</si>
  <si>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</si>
  <si>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</si>
  <si>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</si>
  <si>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</si>
  <si>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</si>
  <si>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</si>
  <si>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</si>
  <si>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</si>
  <si>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</si>
  <si>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</si>
  <si>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</si>
  <si>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</si>
  <si>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</si>
  <si>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</si>
  <si>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</si>
  <si>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</si>
  <si>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</si>
  <si>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</si>
  <si>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</si>
  <si>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</si>
  <si>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</si>
  <si>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</si>
  <si>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</si>
  <si>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</si>
  <si>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</si>
  <si>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</si>
  <si>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</si>
  <si>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</si>
  <si>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</si>
  <si>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</si>
  <si>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</si>
  <si>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</si>
  <si>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</si>
  <si>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</si>
  <si>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</si>
  <si>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</si>
  <si>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</si>
  <si>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</si>
  <si>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</si>
  <si>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</si>
  <si>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</si>
  <si>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</si>
  <si>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</si>
  <si>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</si>
  <si>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</si>
  <si>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</si>
  <si>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</si>
  <si>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</si>
  <si>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</si>
  <si>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</si>
  <si>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</si>
  <si>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</si>
  <si>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</si>
  <si>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</si>
  <si>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</si>
  <si>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</si>
  <si>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</si>
  <si>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</si>
  <si>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</si>
  <si>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</si>
  <si>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</si>
  <si>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</si>
  <si>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</si>
  <si>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</si>
  <si>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</si>
  <si>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</si>
  <si>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</si>
  <si>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</si>
  <si>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</si>
  <si>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</si>
  <si>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</si>
  <si>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</si>
  <si>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</si>
  <si>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</si>
  <si>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</si>
  <si>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</si>
  <si>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</si>
  <si>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</si>
  <si>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</si>
  <si>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</si>
  <si>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</si>
  <si>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</si>
  <si>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</si>
  <si>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</si>
  <si>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</si>
  <si>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</si>
  <si>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</si>
  <si>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</si>
  <si>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</si>
  <si>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</si>
  <si>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</si>
  <si>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</si>
  <si>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</si>
  <si>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</si>
  <si>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</si>
  <si>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</si>
  <si>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</si>
  <si>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</si>
  <si>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</si>
  <si>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</si>
  <si>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</si>
  <si>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</si>
  <si>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</si>
  <si>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</si>
  <si>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</si>
  <si>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</si>
  <si>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</si>
  <si>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</si>
  <si>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</si>
  <si>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</si>
  <si>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</si>
  <si>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</si>
  <si>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</si>
  <si>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</si>
  <si>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</si>
  <si>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</si>
  <si>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</si>
  <si>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</si>
  <si>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</si>
  <si>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</si>
  <si>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</si>
  <si>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</si>
  <si>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</si>
  <si>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</si>
  <si>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</si>
  <si>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</si>
  <si>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</si>
  <si>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</si>
  <si>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</si>
  <si>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</si>
  <si>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</si>
  <si>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</si>
  <si>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</si>
  <si>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</si>
  <si>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</si>
  <si>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</si>
  <si>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</si>
  <si>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</si>
  <si>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</si>
  <si>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</si>
  <si>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</si>
  <si>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</si>
  <si>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</si>
  <si>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</si>
  <si>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</si>
  <si>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</si>
  <si>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</si>
  <si>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</si>
  <si>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</si>
  <si>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</si>
  <si>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</si>
  <si>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</si>
  <si>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</si>
  <si>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</si>
  <si>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</si>
  <si>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</si>
  <si>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</si>
  <si>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</si>
  <si>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</si>
  <si>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</si>
  <si>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</si>
  <si>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</si>
  <si>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</si>
  <si>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</si>
  <si>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</si>
  <si>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</si>
  <si>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</si>
  <si>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</si>
  <si>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</si>
  <si>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</si>
  <si>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</si>
  <si>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</si>
  <si>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</si>
  <si>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</si>
  <si>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</si>
  <si>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</si>
  <si>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</si>
  <si>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</si>
  <si>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</si>
  <si>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</si>
  <si>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</si>
  <si>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</si>
  <si>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</si>
  <si>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</si>
  <si>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</si>
  <si>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</si>
  <si>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</si>
  <si>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</si>
  <si>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</si>
  <si>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</si>
  <si>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</si>
  <si>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</si>
  <si>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</si>
  <si>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</si>
  <si>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</si>
  <si>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</si>
  <si>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</si>
  <si>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</si>
  <si>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</si>
  <si>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</si>
  <si>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SERVICOS DIVERSOS</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</si>
  <si>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</si>
  <si>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</si>
  <si>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</si>
  <si>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</si>
  <si>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</si>
  <si>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</si>
  <si>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</si>
  <si>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</si>
  <si>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</si>
  <si>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</si>
  <si>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</si>
  <si>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</si>
  <si>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</si>
  <si>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</si>
  <si>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</si>
  <si>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</si>
  <si>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</si>
  <si>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</si>
  <si>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</si>
  <si>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</si>
  <si>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</si>
  <si>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</si>
  <si>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</si>
  <si>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</si>
  <si>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</si>
  <si>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</si>
  <si>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</si>
  <si>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</si>
  <si>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</si>
  <si>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</si>
  <si>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</si>
  <si>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</si>
  <si>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</si>
  <si>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</si>
  <si>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</si>
  <si>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</si>
  <si>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</si>
  <si>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</si>
  <si>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</si>
  <si>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</si>
  <si>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</si>
  <si>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</si>
  <si>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</si>
  <si>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</si>
  <si>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</si>
  <si>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</si>
  <si>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</si>
  <si>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</si>
  <si>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</si>
  <si>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</si>
  <si>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</si>
  <si>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</si>
  <si>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</si>
  <si>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</si>
  <si>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</si>
  <si>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</si>
  <si>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</si>
  <si>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</si>
  <si>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</si>
  <si>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</si>
  <si>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</si>
  <si>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</si>
  <si>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</si>
  <si>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</si>
  <si>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</si>
  <si>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</si>
  <si>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</si>
  <si>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</si>
  <si>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</si>
  <si>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</si>
  <si>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</si>
  <si>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</si>
  <si>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</si>
  <si>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</si>
  <si>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</si>
  <si>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</si>
  <si>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</si>
  <si>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</si>
  <si>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</si>
  <si>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</si>
  <si>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</si>
  <si>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</si>
  <si>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</si>
  <si>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</si>
  <si>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</si>
  <si>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</si>
  <si>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</si>
  <si>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</si>
  <si>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</si>
  <si>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</si>
  <si>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</si>
  <si>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</si>
  <si>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</si>
  <si>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</si>
  <si>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</si>
  <si>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</si>
  <si>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</si>
  <si>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</si>
  <si>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</si>
  <si>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</si>
  <si>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</si>
  <si>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</si>
  <si>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</si>
  <si>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</si>
  <si>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</si>
  <si>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</si>
  <si>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</si>
  <si>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</si>
  <si>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</si>
  <si>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</si>
  <si>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</si>
  <si>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</si>
  <si>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</si>
  <si>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</si>
  <si>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</si>
  <si>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</si>
  <si>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</si>
  <si>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</si>
  <si>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</si>
  <si>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</si>
  <si>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</si>
  <si>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</si>
  <si>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</si>
  <si>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</si>
  <si>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</si>
  <si>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</si>
  <si>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</si>
  <si>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</si>
  <si>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</si>
  <si>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</si>
  <si>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</si>
  <si>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</si>
  <si>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</si>
  <si>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</si>
  <si>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</si>
  <si>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</si>
  <si>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</si>
  <si>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</si>
  <si>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</si>
  <si>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</si>
  <si>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</si>
  <si>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</si>
  <si>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</si>
  <si>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</si>
  <si>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</si>
  <si>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</si>
  <si>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</si>
  <si>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</si>
  <si>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</si>
  <si>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</si>
  <si>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</si>
  <si>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</si>
  <si>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</si>
  <si>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</si>
  <si>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</si>
  <si>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</si>
  <si>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</si>
  <si>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</si>
  <si>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</si>
  <si>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</si>
  <si>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</si>
  <si>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</si>
  <si>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</si>
  <si>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</si>
  <si>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</si>
  <si>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</si>
  <si>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</si>
  <si>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</si>
  <si>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</si>
  <si>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</si>
  <si>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</si>
  <si>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</si>
  <si>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</si>
  <si>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</si>
  <si>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</si>
  <si>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</si>
  <si>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</si>
  <si>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</si>
  <si>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</si>
  <si>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</si>
  <si>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</si>
  <si>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</si>
  <si>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</si>
  <si>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</si>
  <si>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</si>
  <si>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</si>
  <si>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</si>
  <si>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</si>
  <si>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</si>
  <si>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</si>
  <si>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</si>
  <si>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</si>
  <si>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</si>
  <si>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</si>
  <si>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</si>
  <si>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</si>
  <si>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</si>
  <si>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</si>
  <si>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</si>
  <si>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</si>
  <si>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</si>
  <si>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</si>
  <si>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</si>
  <si>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</si>
  <si>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</si>
  <si>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</si>
  <si>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</si>
  <si>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</si>
  <si>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</si>
  <si>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</si>
  <si>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</si>
  <si>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</si>
  <si>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</si>
  <si>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</si>
  <si>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</si>
  <si>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</si>
  <si>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</si>
  <si>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</si>
  <si>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</si>
  <si>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</si>
  <si>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</si>
  <si>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</si>
  <si>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</si>
  <si>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</si>
  <si>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</si>
  <si>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</si>
  <si>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</si>
  <si>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</si>
  <si>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</si>
  <si>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</si>
  <si>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</si>
  <si>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</si>
  <si>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</si>
  <si>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</si>
  <si>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</si>
  <si>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</si>
  <si>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</si>
  <si>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</si>
  <si>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</si>
  <si>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</si>
  <si>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</si>
  <si>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</si>
  <si>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</si>
  <si>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</si>
  <si>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</si>
  <si>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</si>
  <si>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</si>
  <si>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</si>
  <si>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</si>
  <si>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</si>
  <si>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</si>
  <si>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</si>
  <si>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</si>
  <si>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</si>
  <si>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</si>
  <si>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</si>
  <si>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</si>
  <si>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</si>
  <si>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</si>
  <si>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</si>
  <si>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</si>
  <si>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</si>
  <si>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</si>
  <si>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</si>
  <si>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</si>
  <si>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</si>
  <si>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</si>
  <si>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</si>
  <si>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</si>
  <si>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</si>
  <si>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</si>
  <si>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</si>
  <si>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</si>
  <si>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</si>
  <si>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</si>
  <si>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</si>
  <si>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</si>
  <si>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</si>
  <si>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</si>
  <si>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</si>
  <si>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</si>
  <si>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PROJETO Nº:</t>
  </si>
  <si>
    <t>OM:</t>
  </si>
  <si>
    <t>LOCAL</t>
  </si>
  <si>
    <t>ÁREA EQUIVALENTE (M²):</t>
  </si>
  <si>
    <t>RM:</t>
  </si>
  <si>
    <t>ORÇAMENTO DESCRITIVO - PLANILHA ANALÍTICA</t>
  </si>
  <si>
    <t>ORÇAMENTO DESCRITIVO - FOLHA RESUMO</t>
  </si>
  <si>
    <t>ÁREA EQUIV. (1)(M²):</t>
  </si>
  <si>
    <t>CUSTOS/PREÇOS</t>
  </si>
  <si>
    <t>E</t>
  </si>
  <si>
    <t>F</t>
  </si>
  <si>
    <t>G</t>
  </si>
  <si>
    <t>CUSTO DA EDIFICAÇÃO (R$) - SEM BDI</t>
  </si>
  <si>
    <t>CUSTO DE APOIO A OBRA (R$) - SEM BDI</t>
  </si>
  <si>
    <t>CUSTO DA INFRA-ESTRUTURA (R$) - SEM BDI</t>
  </si>
  <si>
    <t>CUSTO TOTAL DA OBRA (R$) - SEM BDI</t>
  </si>
  <si>
    <t>BENEFÍCIOS E DESPESAS INDIRETAS (R$) - BDI</t>
  </si>
  <si>
    <t>PREÇO TOTAL DA OBRA (R$) -&gt; [D + E]</t>
  </si>
  <si>
    <t>TOTAL</t>
  </si>
  <si>
    <t>PAREDES E PAINÉIS</t>
  </si>
  <si>
    <t>ESQUADRIAS, FERRAGENS E VIDROS</t>
  </si>
  <si>
    <t>PINTURA</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</si>
  <si>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</si>
  <si>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</si>
  <si>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</si>
  <si>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</si>
  <si>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</si>
  <si>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</si>
  <si>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</si>
  <si>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</si>
  <si>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</si>
  <si>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</si>
  <si>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</si>
  <si>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</si>
  <si>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</si>
  <si>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</si>
  <si>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</si>
  <si>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</si>
  <si>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</si>
  <si>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</si>
  <si>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</si>
  <si>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</si>
  <si>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</si>
  <si>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</si>
  <si>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</si>
  <si>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</si>
  <si>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</si>
  <si>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</si>
  <si>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</si>
  <si>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</si>
  <si>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</si>
  <si>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</si>
  <si>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</si>
  <si>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</si>
  <si>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</si>
  <si>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</si>
  <si>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</si>
  <si>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</si>
  <si>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</si>
  <si>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</si>
  <si>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</si>
  <si>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</si>
  <si>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</si>
  <si>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</si>
  <si>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</si>
  <si>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</si>
  <si>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</si>
  <si>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</si>
  <si>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</si>
  <si>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</si>
  <si>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</si>
  <si>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</si>
  <si>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</si>
  <si>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</si>
  <si>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</si>
  <si>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</si>
  <si>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</si>
  <si>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</si>
  <si>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</si>
  <si>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</si>
  <si>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</si>
  <si>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</si>
  <si>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</si>
  <si>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</si>
  <si>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</si>
  <si>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</si>
  <si>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</si>
  <si>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</si>
  <si>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</si>
  <si>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</si>
  <si>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</si>
  <si>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</si>
  <si>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</si>
  <si>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</si>
  <si>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</si>
  <si>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</si>
  <si>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</si>
  <si>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</si>
  <si>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</si>
  <si>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</si>
  <si>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</si>
  <si>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</si>
  <si>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</si>
  <si>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</si>
  <si>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</si>
  <si>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</si>
  <si>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</si>
  <si>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</si>
  <si>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</si>
  <si>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</si>
  <si>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</si>
  <si>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</si>
  <si>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</si>
  <si>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</si>
  <si>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</si>
  <si>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</si>
  <si>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</si>
  <si>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</si>
  <si>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</si>
  <si>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</si>
  <si>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</si>
  <si>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</si>
  <si>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</si>
  <si>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</si>
  <si>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</si>
  <si>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</si>
  <si>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</si>
  <si>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</si>
  <si>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</si>
  <si>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</si>
  <si>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</si>
  <si>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</si>
  <si>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</si>
  <si>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</si>
  <si>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</si>
  <si>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</si>
  <si>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</si>
  <si>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</si>
  <si>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</si>
  <si>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</si>
  <si>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</si>
  <si>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</si>
  <si>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</si>
  <si>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</si>
  <si>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</si>
  <si>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</si>
  <si>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</si>
  <si>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</si>
  <si>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</si>
  <si>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</si>
  <si>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</si>
  <si>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</si>
  <si>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</si>
  <si>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</si>
  <si>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</si>
  <si>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</si>
  <si>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</si>
  <si>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</si>
  <si>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</si>
  <si>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</si>
  <si>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</si>
  <si>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</si>
  <si>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</si>
  <si>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</si>
  <si>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</si>
  <si>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</si>
  <si>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</si>
  <si>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</si>
  <si>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</si>
  <si>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</si>
  <si>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</si>
  <si>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</si>
  <si>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</si>
  <si>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</si>
  <si>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</si>
  <si>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</si>
  <si>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</si>
  <si>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</si>
  <si>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</si>
  <si>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</si>
  <si>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</si>
  <si>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</si>
  <si>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</si>
  <si>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</si>
  <si>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</si>
  <si>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</si>
  <si>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</si>
  <si>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</si>
  <si>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</si>
  <si>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</si>
  <si>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</si>
  <si>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</si>
  <si>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</si>
  <si>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</si>
  <si>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</si>
  <si>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</si>
  <si>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</si>
  <si>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</si>
  <si>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</si>
  <si>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</si>
  <si>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</si>
  <si>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</si>
  <si>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</si>
  <si>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</si>
  <si>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</si>
  <si>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</si>
  <si>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</si>
  <si>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</si>
  <si>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</si>
  <si>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</si>
  <si>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</si>
  <si>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</si>
  <si>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</si>
  <si>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</si>
  <si>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</si>
  <si>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</si>
  <si>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</si>
  <si>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</si>
  <si>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</si>
  <si>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</si>
  <si>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</si>
  <si>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</si>
  <si>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</si>
  <si>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</si>
  <si>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</si>
  <si>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</si>
  <si>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</si>
  <si>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</si>
  <si>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</si>
  <si>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</si>
  <si>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</si>
  <si>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</si>
  <si>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</si>
  <si>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</si>
  <si>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</si>
  <si>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</si>
  <si>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</si>
  <si>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</si>
  <si>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</si>
  <si>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</si>
  <si>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</si>
  <si>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</si>
  <si>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</si>
  <si>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</si>
  <si>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</si>
  <si>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</si>
  <si>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</si>
  <si>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</si>
  <si>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</si>
  <si>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</si>
  <si>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</si>
  <si>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</si>
  <si>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</si>
  <si>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</si>
  <si>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</si>
  <si>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</si>
  <si>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</si>
  <si>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</si>
  <si>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</si>
  <si>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</si>
  <si>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</si>
  <si>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</si>
  <si>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</si>
  <si>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</si>
  <si>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</si>
  <si>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</si>
  <si>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</si>
  <si>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</si>
  <si>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</si>
  <si>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</si>
  <si>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</si>
  <si>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</si>
  <si>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</si>
  <si>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</si>
  <si>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</si>
  <si>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</si>
  <si>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</si>
  <si>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</si>
  <si>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</si>
  <si>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</si>
  <si>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</si>
  <si>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</si>
  <si>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</si>
  <si>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</si>
  <si>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</si>
  <si>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</si>
  <si>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</si>
  <si>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</si>
  <si>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</si>
  <si>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</si>
  <si>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</si>
  <si>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</si>
  <si>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</si>
  <si>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</si>
  <si>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</si>
  <si>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</si>
  <si>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</si>
  <si>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</si>
  <si>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</si>
  <si>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</si>
  <si>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</si>
  <si>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</si>
  <si>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</si>
  <si>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</si>
  <si>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</si>
  <si>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</si>
  <si>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</si>
  <si>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</si>
  <si>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</si>
  <si>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</si>
  <si>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</si>
  <si>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</si>
  <si>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</si>
  <si>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</si>
  <si>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</si>
  <si>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</si>
  <si>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</si>
  <si>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</si>
  <si>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</si>
  <si>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</si>
  <si>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</si>
  <si>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</si>
  <si>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</si>
  <si>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</si>
  <si>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</si>
  <si>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</si>
  <si>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</si>
  <si>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</si>
  <si>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</si>
  <si>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</si>
  <si>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</si>
  <si>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</si>
  <si>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</si>
  <si>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</si>
  <si>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</si>
  <si>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</si>
  <si>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</si>
  <si>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</si>
  <si>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</si>
  <si>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</si>
  <si>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</si>
  <si>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</si>
  <si>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</si>
  <si>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</si>
  <si>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</si>
  <si>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</si>
  <si>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</si>
  <si>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</si>
  <si>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</si>
  <si>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</si>
  <si>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</si>
  <si>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</si>
  <si>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</si>
  <si>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</si>
  <si>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</si>
  <si>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</si>
  <si>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</si>
  <si>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</si>
  <si>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</si>
  <si>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</si>
  <si>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</si>
  <si>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</si>
  <si>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</si>
  <si>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</si>
  <si>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</si>
  <si>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</si>
  <si>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</si>
  <si>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</si>
  <si>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</si>
  <si>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</si>
  <si>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</si>
  <si>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</si>
  <si>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</si>
  <si>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</si>
  <si>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</si>
  <si>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</si>
  <si>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</si>
  <si>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</si>
  <si>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</si>
  <si>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</si>
  <si>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</si>
  <si>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</si>
  <si>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</si>
  <si>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</si>
  <si>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</si>
  <si>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</si>
  <si>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</si>
  <si>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</si>
  <si>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</si>
  <si>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</si>
  <si>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</si>
  <si>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</si>
  <si>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</si>
  <si>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</si>
  <si>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</si>
  <si>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</si>
  <si>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</si>
  <si>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</si>
  <si>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</si>
  <si>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</si>
  <si>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</si>
  <si>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</si>
  <si>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</si>
  <si>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</si>
  <si>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</si>
  <si>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</si>
  <si>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</si>
  <si>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</si>
  <si>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</si>
  <si>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</si>
  <si>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</si>
  <si>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</si>
  <si>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</si>
  <si>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</si>
  <si>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</si>
  <si>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</si>
  <si>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</si>
  <si>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</si>
  <si>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</si>
  <si>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</si>
  <si>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</si>
  <si>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</si>
  <si>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</si>
  <si>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</si>
  <si>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</si>
  <si>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</si>
  <si>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</si>
  <si>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</si>
  <si>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</si>
  <si>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</si>
  <si>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</si>
  <si>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</si>
  <si>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</si>
  <si>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</si>
  <si>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</si>
  <si>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</si>
  <si>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</si>
  <si>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</si>
  <si>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</si>
  <si>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</si>
  <si>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</si>
  <si>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</si>
  <si>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</si>
  <si>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</si>
  <si>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</si>
  <si>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</si>
  <si>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</si>
  <si>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</si>
  <si>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</si>
  <si>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</si>
  <si>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</si>
  <si>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</si>
  <si>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</si>
  <si>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</si>
  <si>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</si>
  <si>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</si>
  <si>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</si>
  <si>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</si>
  <si>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</si>
  <si>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</si>
  <si>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</si>
  <si>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</si>
  <si>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</si>
  <si>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</si>
  <si>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</si>
  <si>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</si>
  <si>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</si>
  <si>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</si>
  <si>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</si>
  <si>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</si>
  <si>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</si>
  <si>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</si>
  <si>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</si>
  <si>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</si>
  <si>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</si>
  <si>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</si>
  <si>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</si>
  <si>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</si>
  <si>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</si>
  <si>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</si>
  <si>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</si>
  <si>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</si>
  <si>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</si>
  <si>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</si>
  <si>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</si>
  <si>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</si>
  <si>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</si>
  <si>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</si>
  <si>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</si>
  <si>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</si>
  <si>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</si>
  <si>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</si>
  <si>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</si>
  <si>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</si>
  <si>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</si>
  <si>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</si>
  <si>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</si>
  <si>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</si>
  <si>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</si>
  <si>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</si>
  <si>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</si>
  <si>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</si>
  <si>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</si>
  <si>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</si>
  <si>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</si>
  <si>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</si>
  <si>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</si>
  <si>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</si>
  <si>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</si>
  <si>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</si>
  <si>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</si>
  <si>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</si>
  <si>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</si>
  <si>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</si>
  <si>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</si>
  <si>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</si>
  <si>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</si>
  <si>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</si>
  <si>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</si>
  <si>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</si>
  <si>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</si>
  <si>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</si>
  <si>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</si>
  <si>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</si>
  <si>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</si>
  <si>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</si>
  <si>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</si>
  <si>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</si>
  <si>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</si>
  <si>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</si>
  <si>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</si>
  <si>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</si>
  <si>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</si>
  <si>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</si>
  <si>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</si>
  <si>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</si>
  <si>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</si>
  <si>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</si>
  <si>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</si>
  <si>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</si>
  <si>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</si>
  <si>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</si>
  <si>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</si>
  <si>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</si>
  <si>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</si>
  <si>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</si>
  <si>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</si>
  <si>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</si>
  <si>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</si>
  <si>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</si>
  <si>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</si>
  <si>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</si>
  <si>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</si>
  <si>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</si>
  <si>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</si>
  <si>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</si>
  <si>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</si>
  <si>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</si>
  <si>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</si>
  <si>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</si>
  <si>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</si>
  <si>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</si>
  <si>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</si>
  <si>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</si>
  <si>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</si>
  <si>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</si>
  <si>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</si>
  <si>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</si>
  <si>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</si>
  <si>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</si>
  <si>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</si>
  <si>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</si>
  <si>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</si>
  <si>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</si>
  <si>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</si>
  <si>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</si>
  <si>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</si>
  <si>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</si>
  <si>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</si>
  <si>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</si>
  <si>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</si>
  <si>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</si>
  <si>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</si>
  <si>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</si>
  <si>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</si>
  <si>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</si>
  <si>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</si>
  <si>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</si>
  <si>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</si>
  <si>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</si>
  <si>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</si>
  <si>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</si>
  <si>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</si>
  <si>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</si>
  <si>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</si>
  <si>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</si>
  <si>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</si>
  <si>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</si>
  <si>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</si>
  <si>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</si>
  <si>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</si>
  <si>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</si>
  <si>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</si>
  <si>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</si>
  <si>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</si>
  <si>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</si>
  <si>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</si>
  <si>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</si>
  <si>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</si>
  <si>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</si>
  <si>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</si>
  <si>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</si>
  <si>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</si>
  <si>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</si>
  <si>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</si>
  <si>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</si>
  <si>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</si>
  <si>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</si>
  <si>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</si>
  <si>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</si>
  <si>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</si>
  <si>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</si>
  <si>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</si>
  <si>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</si>
  <si>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</si>
  <si>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</si>
  <si>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</si>
  <si>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</si>
  <si>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</si>
  <si>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</si>
  <si>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</si>
  <si>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</si>
  <si>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</si>
  <si>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</si>
  <si>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</si>
  <si>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</si>
  <si>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</si>
  <si>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</si>
  <si>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</si>
  <si>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</si>
  <si>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</si>
  <si>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</si>
  <si>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</si>
  <si>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</si>
  <si>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</si>
  <si>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</si>
  <si>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</si>
  <si>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</si>
  <si>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</si>
  <si>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</si>
  <si>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</si>
  <si>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</si>
  <si>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</si>
  <si>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</si>
  <si>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</si>
  <si>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</si>
  <si>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</si>
  <si>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</si>
  <si>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</si>
  <si>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</si>
  <si>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</si>
  <si>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</si>
  <si>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</si>
  <si>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</si>
  <si>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</si>
  <si>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</si>
  <si>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</si>
  <si>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</si>
  <si>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</si>
  <si>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</si>
  <si>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</si>
  <si>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</si>
  <si>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</si>
  <si>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</si>
  <si>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</si>
  <si>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</si>
  <si>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</si>
  <si>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</si>
  <si>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</si>
  <si>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</si>
  <si>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</si>
  <si>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</si>
  <si>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</si>
  <si>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</si>
  <si>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</si>
  <si>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</si>
  <si>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</si>
  <si>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</si>
  <si>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</si>
  <si>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</si>
  <si>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</si>
  <si>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</si>
  <si>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</si>
  <si>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</si>
  <si>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</si>
  <si>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</si>
  <si>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</si>
  <si>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</si>
  <si>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</si>
  <si>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</si>
  <si>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</si>
  <si>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</si>
  <si>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</si>
  <si>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</si>
  <si>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</si>
  <si>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</si>
  <si>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</si>
  <si>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</si>
  <si>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</si>
  <si>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</si>
  <si>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</si>
  <si>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</si>
  <si>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</si>
  <si>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</si>
  <si>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</si>
  <si>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</si>
  <si>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</si>
  <si>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</si>
  <si>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</si>
  <si>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</si>
  <si>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</si>
  <si>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</si>
  <si>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</si>
  <si>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</si>
  <si>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</si>
  <si>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</si>
  <si>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</si>
  <si>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</si>
  <si>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</si>
  <si>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</si>
  <si>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</si>
  <si>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</si>
  <si>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</si>
  <si>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</si>
  <si>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</si>
  <si>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</si>
  <si>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</si>
  <si>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</si>
  <si>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</si>
  <si>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</si>
  <si>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</si>
  <si>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</si>
  <si>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</si>
  <si>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</si>
  <si>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</si>
  <si>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</si>
  <si>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</si>
  <si>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</si>
  <si>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</si>
  <si>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</si>
  <si>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</si>
  <si>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</si>
  <si>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</si>
  <si>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</si>
  <si>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</si>
  <si>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</si>
  <si>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</si>
  <si>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</si>
  <si>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</si>
  <si>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</si>
  <si>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</si>
  <si>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</si>
  <si>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</si>
  <si>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</si>
  <si>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</si>
  <si>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</si>
  <si>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</si>
  <si>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</si>
  <si>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</si>
  <si>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</si>
  <si>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</si>
  <si>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</si>
  <si>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</si>
  <si>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</si>
  <si>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</si>
  <si>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</si>
  <si>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</si>
  <si>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</si>
  <si>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</si>
  <si>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</si>
  <si>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</si>
  <si>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</si>
  <si>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</si>
  <si>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</si>
  <si>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</si>
  <si>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</si>
  <si>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</si>
  <si>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</si>
  <si>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</si>
  <si>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</si>
  <si>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</si>
  <si>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</si>
  <si>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</si>
  <si>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</si>
  <si>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</si>
  <si>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</si>
  <si>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</si>
  <si>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</si>
  <si>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</si>
  <si>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</si>
  <si>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</si>
  <si>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</si>
  <si>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</si>
  <si>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</si>
  <si>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</si>
  <si>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</si>
  <si>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</si>
  <si>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</si>
  <si>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</si>
  <si>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</si>
  <si>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</si>
  <si>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</si>
  <si>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</si>
  <si>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</si>
  <si>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</si>
  <si>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</si>
  <si>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</si>
  <si>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</si>
  <si>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</si>
  <si>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</si>
  <si>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</si>
  <si>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</si>
  <si>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</si>
  <si>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</si>
  <si>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</si>
  <si>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</si>
  <si>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</si>
  <si>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</si>
  <si>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</si>
  <si>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</si>
  <si>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</si>
  <si>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</si>
  <si>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</si>
  <si>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</si>
  <si>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</si>
  <si>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</si>
  <si>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</si>
  <si>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</si>
  <si>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</si>
  <si>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</si>
  <si>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</si>
  <si>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</si>
  <si>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</si>
  <si>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</si>
  <si>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</si>
  <si>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</si>
  <si>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</si>
  <si>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</si>
  <si>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</si>
  <si>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</si>
  <si>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</si>
  <si>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</si>
  <si>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</si>
  <si>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</si>
  <si>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</si>
  <si>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</si>
  <si>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</si>
  <si>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</si>
  <si>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</si>
  <si>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</si>
  <si>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</si>
  <si>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</si>
  <si>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</si>
  <si>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</si>
  <si>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</si>
  <si>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</si>
  <si>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</si>
  <si>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</si>
  <si>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</si>
  <si>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</si>
  <si>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</si>
  <si>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</si>
  <si>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</si>
  <si>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</si>
  <si>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</si>
  <si>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</si>
  <si>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</si>
  <si>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</si>
  <si>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</si>
  <si>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</si>
  <si>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</si>
  <si>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</si>
  <si>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</si>
  <si>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</si>
  <si>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</si>
  <si>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</si>
  <si>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</si>
  <si>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</si>
  <si>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</si>
  <si>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</si>
  <si>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</si>
  <si>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</si>
  <si>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</si>
  <si>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</si>
  <si>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</si>
  <si>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</si>
  <si>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</si>
  <si>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</si>
  <si>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</si>
  <si>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</si>
  <si>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</si>
  <si>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</si>
  <si>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</si>
  <si>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</si>
  <si>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</si>
  <si>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</si>
  <si>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</si>
  <si>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</si>
  <si>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</si>
  <si>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</si>
  <si>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</si>
  <si>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</si>
  <si>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</si>
  <si>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</si>
  <si>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</si>
  <si>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</si>
  <si>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</si>
  <si>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</si>
  <si>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</si>
  <si>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</si>
  <si>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</si>
  <si>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</si>
  <si>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</si>
  <si>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</si>
  <si>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</si>
  <si>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</si>
  <si>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</si>
  <si>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</si>
  <si>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</si>
  <si>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</si>
  <si>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</si>
  <si>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</si>
  <si>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</si>
  <si>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</si>
  <si>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</si>
  <si>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</si>
  <si>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</si>
  <si>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</si>
  <si>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</si>
  <si>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</si>
  <si>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</si>
  <si>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</si>
  <si>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</si>
  <si>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</si>
  <si>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</si>
  <si>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</si>
  <si>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</si>
  <si>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</si>
  <si>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</si>
  <si>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</si>
  <si>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</si>
  <si>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</si>
  <si>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</si>
  <si>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</si>
  <si>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</si>
  <si>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</si>
  <si>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</si>
  <si>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</si>
  <si>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</si>
  <si>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</si>
  <si>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</si>
  <si>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</si>
  <si>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</si>
  <si>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</si>
  <si>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</si>
  <si>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</si>
  <si>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</si>
  <si>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</si>
  <si>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</si>
  <si>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</si>
  <si>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</si>
  <si>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</si>
  <si>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</si>
  <si>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</si>
  <si>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</si>
  <si>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</si>
  <si>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</si>
  <si>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</si>
  <si>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</si>
  <si>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</si>
  <si>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</si>
  <si>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</si>
  <si>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</si>
  <si>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</si>
  <si>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</si>
  <si>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</si>
  <si>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</si>
  <si>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</si>
  <si>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</si>
  <si>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</si>
  <si>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</si>
  <si>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</si>
  <si>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</si>
  <si>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</si>
  <si>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</si>
  <si>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</si>
  <si>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</si>
  <si>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</si>
  <si>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</si>
  <si>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</si>
  <si>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</si>
  <si>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</si>
  <si>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</si>
  <si>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</si>
  <si>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</si>
  <si>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</si>
  <si>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</si>
  <si>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</si>
  <si>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</si>
  <si>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</si>
  <si>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</si>
  <si>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</si>
  <si>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</si>
  <si>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</si>
  <si>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</si>
  <si>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</si>
  <si>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</si>
  <si>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</si>
  <si>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</si>
  <si>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</si>
  <si>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</si>
  <si>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</si>
  <si>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</si>
  <si>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</si>
  <si>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</si>
  <si>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</si>
  <si>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</si>
  <si>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</si>
  <si>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</si>
  <si>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</si>
  <si>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</si>
  <si>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</si>
  <si>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</si>
  <si>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</si>
  <si>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</si>
  <si>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</si>
  <si>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</si>
  <si>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</si>
  <si>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</si>
  <si>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</si>
  <si>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</si>
  <si>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</si>
  <si>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</si>
  <si>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</si>
  <si>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</si>
  <si>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</si>
  <si>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</si>
  <si>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</si>
  <si>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</si>
  <si>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</si>
  <si>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</si>
  <si>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</si>
  <si>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</si>
  <si>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</si>
  <si>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</si>
  <si>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</si>
  <si>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</si>
  <si>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</si>
  <si>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</si>
  <si>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</si>
  <si>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</si>
  <si>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</si>
  <si>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</si>
  <si>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</si>
  <si>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</si>
  <si>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</si>
  <si>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</si>
  <si>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</si>
  <si>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</si>
  <si>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</si>
  <si>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</si>
  <si>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</si>
  <si>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</si>
  <si>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</si>
  <si>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</si>
  <si>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</si>
  <si>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</si>
  <si>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</si>
  <si>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</si>
  <si>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</si>
  <si>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</si>
  <si>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</si>
  <si>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</si>
  <si>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</si>
  <si>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</si>
  <si>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</si>
  <si>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</si>
  <si>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</si>
  <si>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</si>
  <si>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</si>
  <si>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</si>
  <si>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</si>
  <si>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</si>
  <si>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</si>
  <si>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</si>
  <si>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</si>
  <si>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</si>
  <si>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</si>
  <si>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</si>
  <si>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</si>
  <si>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</si>
  <si>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</si>
  <si>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</si>
  <si>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</si>
  <si>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</si>
  <si>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</si>
  <si>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</si>
  <si>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</si>
  <si>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</si>
  <si>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</si>
  <si>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</si>
  <si>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</si>
  <si>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</si>
  <si>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</si>
  <si>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</si>
  <si>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</si>
  <si>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</si>
  <si>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</si>
  <si>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</si>
  <si>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</si>
  <si>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</si>
  <si>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</si>
  <si>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</si>
  <si>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</si>
  <si>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</si>
  <si>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</si>
  <si>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</si>
  <si>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</si>
  <si>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</si>
  <si>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</si>
  <si>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</si>
  <si>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</si>
  <si>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</si>
  <si>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</si>
  <si>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</si>
  <si>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</si>
  <si>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</si>
  <si>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</si>
  <si>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</si>
  <si>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</si>
  <si>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</si>
  <si>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</si>
  <si>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</si>
  <si>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ENCUNHAMENTO</t>
  </si>
  <si>
    <t>VERGAS E CONTRA-VERGAS</t>
  </si>
  <si>
    <t>BARRA DE APOIO RETA, EM ACO INOX POLIDO, COMPRIMENTO 40CM, FIXADA NA PAREDE - FORNECIMENTO E INSTALAÇÃO</t>
  </si>
  <si>
    <t>MXMES</t>
  </si>
  <si>
    <t>LIMPEZA FINAL DA OBRA</t>
  </si>
  <si>
    <t>SINAPI 9537</t>
  </si>
  <si>
    <t>JUNTA TIPO TABICA PARA FORRO DE GESSO</t>
  </si>
  <si>
    <t>SINAPI 73863/2</t>
  </si>
  <si>
    <t xml:space="preserve">ADMINISTRAÇÃO DE OBRA - EQUIPE DE APOIO </t>
  </si>
  <si>
    <t>PLACA DE OBRA EM CHAPA DE AÇO GALVANIZADO</t>
  </si>
  <si>
    <t>C10176</t>
  </si>
  <si>
    <t>ARRANCAMENTO / RETIRADA DE MEIO-FIOS DE CONCRETO (RETOS E CURVOS)</t>
  </si>
  <si>
    <t>PREVENÇÃO E COMBATE A INCÊNDIO</t>
  </si>
  <si>
    <t>COBERTURA</t>
  </si>
  <si>
    <t>CUSTO UNITÁRIO DA EDIFICAÇÃO (R$ / M2)– &gt; [ B / ÁREA EQUIVALENTE ]</t>
  </si>
  <si>
    <t>INTERNA</t>
  </si>
  <si>
    <t>EXTERNA</t>
  </si>
  <si>
    <t>CORRIMÃO E GUARDA-CORPO</t>
  </si>
  <si>
    <t>C1200</t>
  </si>
  <si>
    <t>PREÇO TOTAL</t>
  </si>
  <si>
    <t>INFORMAÇÕES SINAPI:</t>
  </si>
  <si>
    <t>BDI TERC E EQUIP.:</t>
  </si>
  <si>
    <t>REVISÃO:</t>
  </si>
  <si>
    <t>PROJETO Nº</t>
  </si>
  <si>
    <t>Informações Sinapi</t>
  </si>
  <si>
    <t>Revisão:</t>
  </si>
  <si>
    <t>CURVA ABC - SERVIÇOS</t>
  </si>
  <si>
    <t>SERVIÇOS AUXILIARES E ADMINISTRATIVOS</t>
  </si>
  <si>
    <t>PORTAS MADEIRA</t>
  </si>
  <si>
    <t>ADAP SINAPI 100874</t>
  </si>
  <si>
    <t>PORTAS ALUMÍNIO</t>
  </si>
  <si>
    <t>JANELAS</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</si>
  <si>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</si>
  <si>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</si>
  <si>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</si>
  <si>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</si>
  <si>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</si>
  <si>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</si>
  <si>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</si>
  <si>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</si>
  <si>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</si>
  <si>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</si>
  <si>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</si>
  <si>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</si>
  <si>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</si>
  <si>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</si>
  <si>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</si>
  <si>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</si>
  <si>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</si>
  <si>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</si>
  <si>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</si>
  <si>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</si>
  <si>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</si>
  <si>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</si>
  <si>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</si>
  <si>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</si>
  <si>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</si>
  <si>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</si>
  <si>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</si>
  <si>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</si>
  <si>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</si>
  <si>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</si>
  <si>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</si>
  <si>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</si>
  <si>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</si>
  <si>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</si>
  <si>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</si>
  <si>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</si>
  <si>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</si>
  <si>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</si>
  <si>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</si>
  <si>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</si>
  <si>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</si>
  <si>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</si>
  <si>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</si>
  <si>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</si>
  <si>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</si>
  <si>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</si>
  <si>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</si>
  <si>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</si>
  <si>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</si>
  <si>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</si>
  <si>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</si>
  <si>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</si>
  <si>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</si>
  <si>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</si>
  <si>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</si>
  <si>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</si>
  <si>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</si>
  <si>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</si>
  <si>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</si>
  <si>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</si>
  <si>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</si>
  <si>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</si>
  <si>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</si>
  <si>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</si>
  <si>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</si>
  <si>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</si>
  <si>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</si>
  <si>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</si>
  <si>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</si>
  <si>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</si>
  <si>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</si>
  <si>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</si>
  <si>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</si>
  <si>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</si>
  <si>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</si>
  <si>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</si>
  <si>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</si>
  <si>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</si>
  <si>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</si>
  <si>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</si>
  <si>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</si>
  <si>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</si>
  <si>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</si>
  <si>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</si>
  <si>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</si>
  <si>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</si>
  <si>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</si>
  <si>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</si>
  <si>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</si>
  <si>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</si>
  <si>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</si>
  <si>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</si>
  <si>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</si>
  <si>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</si>
  <si>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</si>
  <si>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</si>
  <si>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</si>
  <si>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</si>
  <si>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</si>
  <si>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</si>
  <si>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</si>
  <si>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</si>
  <si>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</si>
  <si>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</si>
  <si>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</si>
  <si>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</si>
  <si>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</si>
  <si>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</si>
  <si>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</si>
  <si>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</si>
  <si>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</si>
  <si>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</si>
  <si>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</si>
  <si>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</si>
  <si>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</si>
  <si>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</si>
  <si>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</si>
  <si>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</si>
  <si>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</si>
  <si>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</si>
  <si>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</si>
  <si>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</si>
  <si>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</si>
  <si>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</si>
  <si>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</si>
  <si>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</si>
  <si>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</si>
  <si>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</si>
  <si>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</si>
  <si>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</si>
  <si>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</si>
  <si>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</si>
  <si>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</si>
  <si>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</si>
  <si>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</si>
  <si>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</si>
  <si>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</si>
  <si>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</si>
  <si>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</si>
  <si>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</si>
  <si>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</si>
  <si>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</si>
  <si>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</si>
  <si>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</si>
  <si>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</si>
  <si>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</si>
  <si>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</si>
  <si>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</si>
  <si>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</si>
  <si>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</si>
  <si>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</si>
  <si>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</si>
  <si>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</si>
  <si>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</si>
  <si>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</si>
  <si>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</si>
  <si>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</si>
  <si>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</si>
  <si>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</si>
  <si>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</si>
  <si>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</si>
  <si>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</si>
  <si>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</si>
  <si>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</si>
  <si>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</si>
  <si>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</si>
  <si>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</si>
  <si>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</si>
  <si>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</si>
  <si>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</si>
  <si>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</si>
  <si>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</si>
  <si>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</si>
  <si>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</si>
  <si>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</si>
  <si>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</si>
  <si>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</si>
  <si>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</si>
  <si>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</si>
  <si>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</si>
  <si>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</si>
  <si>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</si>
  <si>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</si>
  <si>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</si>
  <si>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</si>
  <si>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</si>
  <si>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</si>
  <si>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</si>
  <si>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</si>
  <si>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</si>
  <si>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</si>
  <si>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</si>
  <si>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</si>
  <si>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</si>
  <si>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</si>
  <si>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</si>
  <si>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</si>
  <si>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</si>
  <si>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</si>
  <si>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</si>
  <si>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</si>
  <si>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</si>
  <si>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SPRINKLER TIPO PENDENTE, 68 °C, UNIÃO POR ROSCA DN 15 (1/2") - FORNECIMENTO E INSTALAÇÃO. AF_10/2020</t>
  </si>
  <si>
    <t>TUBO DE AÇO PRETO SEM COSTURA, CONEXÃO SOLDADA, DN 40 (1 1/2"), INSTALADO EM REDE DE ALIMENTAÇÃO PARA HIDRANTE - FORNECIMENTO E INSTALAÇÃO. AF_10/2020</t>
  </si>
  <si>
    <t>ABRIGO PARA HIDRANTE, 90X60X17CM, COM REGISTRO GLOBO ANGULAR 45 GRAUS 2 1/2", ADAPTADOR STORZ 2 1/2", MANGUEIRA DE INCÊNDIO 20M, REDUÇÃO 2 1/2" X 1 1/2" E ESGUICHO EM LATÃO 1 1/2"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</si>
  <si>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</si>
  <si>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</si>
  <si>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</si>
  <si>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</si>
  <si>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</si>
  <si>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</si>
  <si>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</si>
  <si>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</si>
  <si>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</si>
  <si>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</si>
  <si>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</si>
  <si>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</si>
  <si>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</si>
  <si>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</si>
  <si>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</si>
  <si>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</si>
  <si>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</si>
  <si>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</si>
  <si>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</si>
  <si>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</si>
  <si>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</si>
  <si>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</si>
  <si>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</si>
  <si>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</si>
  <si>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</si>
  <si>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</si>
  <si>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</si>
  <si>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</si>
  <si>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</si>
  <si>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</si>
  <si>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</si>
  <si>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</si>
  <si>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</si>
  <si>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</si>
  <si>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</si>
  <si>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</si>
  <si>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</si>
  <si>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</si>
  <si>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</si>
  <si>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</si>
  <si>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</si>
  <si>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</si>
  <si>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</si>
  <si>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</si>
  <si>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</si>
  <si>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</si>
  <si>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</si>
  <si>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</si>
  <si>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</si>
  <si>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</si>
  <si>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</si>
  <si>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</si>
  <si>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</si>
  <si>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</si>
  <si>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</si>
  <si>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</si>
  <si>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</si>
  <si>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</si>
  <si>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</si>
  <si>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</si>
  <si>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</si>
  <si>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DN 25 (1"), CONEXÃO ROSQUEADA,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</si>
  <si>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</si>
  <si>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</si>
  <si>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</si>
  <si>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</si>
  <si>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</si>
  <si>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</si>
  <si>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</si>
  <si>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</si>
  <si>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</si>
  <si>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</si>
  <si>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</si>
  <si>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</si>
  <si>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</si>
  <si>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</si>
  <si>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</si>
  <si>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</si>
  <si>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</si>
  <si>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</si>
  <si>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</si>
  <si>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</si>
  <si>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</si>
  <si>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</si>
  <si>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</si>
  <si>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</si>
  <si>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</si>
  <si>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</si>
  <si>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</si>
  <si>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</si>
  <si>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</si>
  <si>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</si>
  <si>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</si>
  <si>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</si>
  <si>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</si>
  <si>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</si>
  <si>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</si>
  <si>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</si>
  <si>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</si>
  <si>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</si>
  <si>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</si>
  <si>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</si>
  <si>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</si>
  <si>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</si>
  <si>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</si>
  <si>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</si>
  <si>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</si>
  <si>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</si>
  <si>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</si>
  <si>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</si>
  <si>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</si>
  <si>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</si>
  <si>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</si>
  <si>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</si>
  <si>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</si>
  <si>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</si>
  <si>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</si>
  <si>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</si>
  <si>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</si>
  <si>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</si>
  <si>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</si>
  <si>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</si>
  <si>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</si>
  <si>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</si>
  <si>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</si>
  <si>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</si>
  <si>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</si>
  <si>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</si>
  <si>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</si>
  <si>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</si>
  <si>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</si>
  <si>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</si>
  <si>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</si>
  <si>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</si>
  <si>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</si>
  <si>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</si>
  <si>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</si>
  <si>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</si>
  <si>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</si>
  <si>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</si>
  <si>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</si>
  <si>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</si>
  <si>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</si>
  <si>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</si>
  <si>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</si>
  <si>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</si>
  <si>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</si>
  <si>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</si>
  <si>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</si>
  <si>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</si>
  <si>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</si>
  <si>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</si>
  <si>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</si>
  <si>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</si>
  <si>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</si>
  <si>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</si>
  <si>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</si>
  <si>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</si>
  <si>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</si>
  <si>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</si>
  <si>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</si>
  <si>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</si>
  <si>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</si>
  <si>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</si>
  <si>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</si>
  <si>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</si>
  <si>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</si>
  <si>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</si>
  <si>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</si>
  <si>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</si>
  <si>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</si>
  <si>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FUNDAÇÕES</t>
  </si>
  <si>
    <t>C5043</t>
  </si>
  <si>
    <t>C1199</t>
  </si>
  <si>
    <t>ORSE 11853</t>
  </si>
  <si>
    <t>INSTALAÇÃO ELETRICA</t>
  </si>
  <si>
    <t>INSTALAÇÃO HIDRAULICA</t>
  </si>
  <si>
    <t>ESTRUTURA CONCRETO E METALICA</t>
  </si>
  <si>
    <t>C5099</t>
  </si>
  <si>
    <t>ÁGUA FRIA</t>
  </si>
  <si>
    <t>ESGOTO</t>
  </si>
  <si>
    <t>EXTINTORES</t>
  </si>
  <si>
    <t>PLACAS DE SINALIZAÇÃO DE EMERGÊNCIA</t>
  </si>
  <si>
    <t>C10349</t>
  </si>
  <si>
    <t>ART</t>
  </si>
  <si>
    <t>C10367</t>
  </si>
  <si>
    <t>MÊS</t>
  </si>
  <si>
    <t>NR18</t>
  </si>
  <si>
    <t>MOBILIZAÇÃO E DESMOBILIZAÇÃO DE CANTEIRO</t>
  </si>
  <si>
    <t>C9039</t>
  </si>
  <si>
    <t>DESMOBILIZAÇÃO DE CONSTRUÇÃO PROVISÓRIA</t>
  </si>
  <si>
    <t>CPOS 02.01.200</t>
  </si>
  <si>
    <t>C9068</t>
  </si>
  <si>
    <t>DIVERSOS</t>
  </si>
  <si>
    <t>MÊS 1</t>
  </si>
  <si>
    <t>MÊS 2</t>
  </si>
  <si>
    <t>MÊS 3</t>
  </si>
  <si>
    <t>MÊS 4</t>
  </si>
  <si>
    <t>MÊS 5</t>
  </si>
  <si>
    <t>MÊS 6</t>
  </si>
  <si>
    <t>MÊS 7</t>
  </si>
  <si>
    <t>MÊS 8</t>
  </si>
  <si>
    <t>MÊS 9</t>
  </si>
  <si>
    <t>MÊS 10</t>
  </si>
  <si>
    <t>MÊS 11</t>
  </si>
  <si>
    <t>MÊS 12</t>
  </si>
  <si>
    <t>MÊS 13</t>
  </si>
  <si>
    <t>MÊS 14</t>
  </si>
  <si>
    <t>MÊS 15</t>
  </si>
  <si>
    <t>MÊS 16</t>
  </si>
  <si>
    <t>MÊS 17</t>
  </si>
  <si>
    <t>MÊS 18</t>
  </si>
  <si>
    <t>MÊS 19</t>
  </si>
  <si>
    <t>MÊS 20</t>
  </si>
  <si>
    <t>MÊS 21</t>
  </si>
  <si>
    <t>MÊS 22</t>
  </si>
  <si>
    <t>MÊS 23</t>
  </si>
  <si>
    <t>MÊS 24</t>
  </si>
  <si>
    <t>MÊS 25</t>
  </si>
  <si>
    <t>MÊS 26</t>
  </si>
  <si>
    <t>MÊS 27</t>
  </si>
  <si>
    <t>MÊS 28</t>
  </si>
  <si>
    <t>MÊS 29</t>
  </si>
  <si>
    <t>MÊS 30</t>
  </si>
  <si>
    <t>ANO 3</t>
  </si>
  <si>
    <t>ANO 4</t>
  </si>
  <si>
    <t>VALOR TOTAL</t>
  </si>
  <si>
    <t>PORCENTAGEM</t>
  </si>
  <si>
    <t>TOTAL ACUMULADO</t>
  </si>
  <si>
    <t>PORCENTAGEM ACUMULADA</t>
  </si>
  <si>
    <t>SINAPI BA - OUTUBRO/2020 DESONERADO</t>
  </si>
  <si>
    <t>1.1</t>
  </si>
  <si>
    <t>PAISAGISMO</t>
  </si>
  <si>
    <t>URBANISMO</t>
  </si>
  <si>
    <t>NOV-17</t>
  </si>
  <si>
    <t>MAI-18</t>
  </si>
  <si>
    <t>PROPRIETÁRIO:</t>
  </si>
  <si>
    <t>ARIANE CRISTINE NASCIMENTO</t>
  </si>
  <si>
    <t>ARQUITETA</t>
  </si>
  <si>
    <t>CHENSO ARQUITETURA ME</t>
  </si>
  <si>
    <t>OBS</t>
  </si>
  <si>
    <t>SERVIÇOS INICIAIS</t>
  </si>
  <si>
    <t>DEMOLIÇÕES E RETIRADAS</t>
  </si>
  <si>
    <t>FORNECIMENTOS DE MATERIAIS E EQUIPAMENTOS / LOCAÇÕES</t>
  </si>
  <si>
    <t>DESCRIÇÃO TIPO  1</t>
  </si>
  <si>
    <t>MATERIAL + EQUIP</t>
  </si>
  <si>
    <t>PISOS</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</si>
  <si>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</si>
  <si>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</si>
  <si>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</si>
  <si>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</si>
  <si>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</si>
  <si>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</si>
  <si>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</si>
  <si>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</si>
  <si>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</si>
  <si>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</si>
  <si>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</si>
  <si>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</si>
  <si>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</si>
  <si>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</si>
  <si>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</si>
  <si>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</si>
  <si>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</si>
  <si>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</si>
  <si>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</si>
  <si>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</si>
  <si>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</si>
  <si>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</si>
  <si>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</si>
  <si>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</si>
  <si>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</si>
  <si>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</si>
  <si>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</si>
  <si>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</si>
  <si>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</si>
  <si>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</si>
  <si>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</si>
  <si>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</si>
  <si>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</si>
  <si>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</si>
  <si>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</si>
  <si>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</si>
  <si>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</si>
  <si>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</si>
  <si>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</si>
  <si>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</si>
  <si>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</si>
  <si>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</si>
  <si>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</si>
  <si>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</si>
  <si>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</si>
  <si>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(COMPOSIÇÃO REPRESENTATIVA) DO SERVIÇO DE REVESTIMENTO CERÂMICO PARA PAREDES INTERNAS, MEIA OU PAREDE INTEIRA, PLACAS TIPO ESMALTADA EXTRA DE 20X20 CM, PARA EDIFICAÇÕES HABITACIONAIS UNIFAMILIAR (CASAS) E EDIFICAÇÕES PÚBLICAS PADRÃO. AF_11/2014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</si>
  <si>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</si>
  <si>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</si>
  <si>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</si>
  <si>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</si>
  <si>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</si>
  <si>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</si>
  <si>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</si>
  <si>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</si>
  <si>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</si>
  <si>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GRAUTEAMENTO VERTICAL EM ALVENARIA ESTRUTURAL. AF_09/2021</t>
  </si>
  <si>
    <t>GRAUTEAMENTO DE CINTA INTERMEDIÁRIA OU DE CONTRAVERGA EM ALVENARIA ESTRUTURAL. AF_09/2021</t>
  </si>
  <si>
    <t>GRAUTEAMENTO DE CINTA SUPERIOR OU DE VERGA EM ALVENARIA ESTRUTURAL.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</si>
  <si>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</si>
  <si>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</si>
  <si>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</si>
  <si>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</si>
  <si>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</si>
  <si>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</si>
  <si>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</si>
  <si>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</si>
  <si>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</si>
  <si>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</si>
  <si>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</si>
  <si>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</si>
  <si>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</si>
  <si>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</si>
  <si>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</si>
  <si>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</si>
  <si>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</si>
  <si>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</si>
  <si>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</si>
  <si>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</si>
  <si>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</si>
  <si>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</si>
  <si>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</si>
  <si>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</si>
  <si>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</si>
  <si>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</si>
  <si>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</si>
  <si>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</si>
  <si>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</si>
  <si>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</si>
  <si>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</si>
  <si>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REGISTRO DE ESFERA, PVC, ROSCÁVEL, COM VOLANTE, 3/4" - FORNECIMENTO E INSTALAÇÃO. AF_08/2021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</si>
  <si>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</si>
  <si>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</si>
  <si>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</si>
  <si>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</si>
  <si>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</si>
  <si>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</si>
  <si>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</si>
  <si>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</si>
  <si>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</si>
  <si>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</si>
  <si>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</si>
  <si>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</si>
  <si>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</si>
  <si>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</si>
  <si>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</si>
  <si>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</si>
  <si>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</si>
  <si>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</si>
  <si>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</si>
  <si>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</si>
  <si>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</si>
  <si>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</si>
  <si>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</si>
  <si>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</si>
  <si>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</si>
  <si>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</si>
  <si>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</si>
  <si>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</si>
  <si>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</si>
  <si>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</si>
  <si>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</si>
  <si>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</si>
  <si>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</si>
  <si>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</si>
  <si>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</si>
  <si>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</si>
  <si>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</si>
  <si>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</si>
  <si>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</si>
  <si>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</si>
  <si>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</si>
  <si>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</si>
  <si>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</si>
  <si>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</si>
  <si>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</si>
  <si>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</si>
  <si>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</si>
  <si>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</si>
  <si>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</si>
  <si>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</si>
  <si>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TUBO DE AÇO PRETO SEM COSTURA, CLASSE MÉDIA, CONEXÃO SOLDADA, DN 25 (1"), INSTALADO EM RAMAIS  E SUB-RAMAIS DE GÁS - FORNECIMENTO E INSTALAÇÃO. AF_10/2020</t>
  </si>
  <si>
    <t>ESCAVAÇÃO MANUAL DE VALA COM PROFUNDIDADE MENOR OU IGUAL A 1,30 M. AF_02/2021</t>
  </si>
  <si>
    <t>TELHAMENTO COM TELHA ESTRUTURAL DE FIBROCIMENTO E= 8 MM, COM ATÉ 2 ÁGUAS, INCLUSO IÇAMENTO. AF_07/2019_P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</si>
  <si>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</si>
  <si>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</si>
  <si>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</si>
  <si>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</si>
  <si>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(COMPOSIÇÃO REPRESENTATIVA) DO SERVIÇO DE CONTRAPISO EM ARGAMASSA TRAÇO 1:4 (CIM E AREIA), BETONEIRA 400 L, E = 4 CM ÁREAS SECAS E  MOLHADAS SOBRE LAJE , E = 3 CM ÁREAS MOLHADAS SOBRE IMPERMEABILIZAÇÃO, CASA E EDIFICAÇÃO PÚBLICA PADRÃO. AF_11/2014</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</si>
  <si>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</si>
  <si>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</si>
  <si>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</si>
  <si>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</si>
  <si>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</si>
  <si>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</si>
  <si>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</si>
  <si>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</si>
  <si>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</si>
  <si>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</si>
  <si>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</si>
  <si>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</si>
  <si>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CONTRAMARCO DE ALUMÍNIO, FIXAÇÃO COM ARGAMASSA - FORNECIMENTO E INSTALAÇÃO. AF_12/2019</t>
  </si>
  <si>
    <t>CONTRAMARCO DE ALUMÍNIO, FIXAÇÃO COM PARAFUSO - FORNECIMENTO E INSTALAÇÃO. AF_12/2019</t>
  </si>
  <si>
    <t>(COMPOSIÇÃO REPRESENTATIVA) DO SERVIÇO DE CONTRAPISO EM ARGAMASSA TRAÇO 1:4 (CIM E AREIA), BETONEIRA 400 L, E = 4 CM ÁREAS SECAS E  MOLHADAS SOBRE LAJE , E = 3 CM ÁREAS MOLHADAS SOBRE IMPERMEABILIZAÇÃO, PARA EDIFICAÇÃO MULTIFAMILIAR. AF_11/2014</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</si>
  <si>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</si>
  <si>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</si>
  <si>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</si>
  <si>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</si>
  <si>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</si>
  <si>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</si>
  <si>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</si>
  <si>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</si>
  <si>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</si>
  <si>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</si>
  <si>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</si>
  <si>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</si>
  <si>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</si>
  <si>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</si>
  <si>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</si>
  <si>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</si>
  <si>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</si>
  <si>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</si>
  <si>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</si>
  <si>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</si>
  <si>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</si>
  <si>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</si>
  <si>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</si>
  <si>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</si>
  <si>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</si>
  <si>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</si>
  <si>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</si>
  <si>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</si>
  <si>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</si>
  <si>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</si>
  <si>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</si>
  <si>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</si>
  <si>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</si>
  <si>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</si>
  <si>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</si>
  <si>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LASTRO DE CONCRETO MAGRO, APLICADO EM PISOS, LAJES SOBRE SOLO OU RADIERS, ESPESSURA DE 3 CM. AF_07/2016</t>
  </si>
  <si>
    <t>LASTRO DE CONCRETO MAGRO, APLICADO EM PISOS, LAJES SOBRE SOLO OU RADIERS, ESPESSURA DE 5 CM. AF_07/2016</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</si>
  <si>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</si>
  <si>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</si>
  <si>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</si>
  <si>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</si>
  <si>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</si>
  <si>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</si>
  <si>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</si>
  <si>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</si>
  <si>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</si>
  <si>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</si>
  <si>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</si>
  <si>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</si>
  <si>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</si>
  <si>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</si>
  <si>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</si>
  <si>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</si>
  <si>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</si>
  <si>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</si>
  <si>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</si>
  <si>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</si>
  <si>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</si>
  <si>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</si>
  <si>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</si>
  <si>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</si>
  <si>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</si>
  <si>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KIT CAVALETE PARA MEDIÇÃO DE ÁGUA - ENTRADA PRINCIPAL, EM AÇO GALVANIZADO DN 25 (1 )   FORNECIMENTO E INSTALAÇÃO (EXCLUSIVE HIDRÔMETRO).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</si>
  <si>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</si>
  <si>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</si>
  <si>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</si>
  <si>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</si>
  <si>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</si>
  <si>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</si>
  <si>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</si>
  <si>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</si>
  <si>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</si>
  <si>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</si>
  <si>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</si>
  <si>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</si>
  <si>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</si>
  <si>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</si>
  <si>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SUPORTE PARA ELETROCALHA LISA OU PERFURADA EM AÇO GALVANIZADO, LARGURA 500 OU 800 MM E ALTURA 50 MM, ESPAÇADO A CADA 1,5 M, EM PERFILADO DE SEÇÃO 38X76 MM, POR METRO DE ELETROCALHA FIXADA. AF_07/2017</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</si>
  <si>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</si>
  <si>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</si>
  <si>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</si>
  <si>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</si>
  <si>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</si>
  <si>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</si>
  <si>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</si>
  <si>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</si>
  <si>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</si>
  <si>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</si>
  <si>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</si>
  <si>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</si>
  <si>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</si>
  <si>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</si>
  <si>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</si>
  <si>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</si>
  <si>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</si>
  <si>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</si>
  <si>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</si>
  <si>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</si>
  <si>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</si>
  <si>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</si>
  <si>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</si>
  <si>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</si>
  <si>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</si>
  <si>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</si>
  <si>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</si>
  <si>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</si>
  <si>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</si>
  <si>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</si>
  <si>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</si>
  <si>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</si>
  <si>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</si>
  <si>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</si>
  <si>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</si>
  <si>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</si>
  <si>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</si>
  <si>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</si>
  <si>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</si>
  <si>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</si>
  <si>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</si>
  <si>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</si>
  <si>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</si>
  <si>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</si>
  <si>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</si>
  <si>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</si>
  <si>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</si>
  <si>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</si>
  <si>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</si>
  <si>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</si>
  <si>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</si>
  <si>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</si>
  <si>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</si>
  <si>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</si>
  <si>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</si>
  <si>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</si>
  <si>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</si>
  <si>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</si>
  <si>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</si>
  <si>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</si>
  <si>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</si>
  <si>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</si>
  <si>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</si>
  <si>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</si>
  <si>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</si>
  <si>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</si>
  <si>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</si>
  <si>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</si>
  <si>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</si>
  <si>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</si>
  <si>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</si>
  <si>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</si>
  <si>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</si>
  <si>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</si>
  <si>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</si>
  <si>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</si>
  <si>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</si>
  <si>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</si>
  <si>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</si>
  <si>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</si>
  <si>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</si>
  <si>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</si>
  <si>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</si>
  <si>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</si>
  <si>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</si>
  <si>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</si>
  <si>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</si>
  <si>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</si>
  <si>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</si>
  <si>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</si>
  <si>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</si>
  <si>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</si>
  <si>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</si>
  <si>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</si>
  <si>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</si>
  <si>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</si>
  <si>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</si>
  <si>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</si>
  <si>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</si>
  <si>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</si>
  <si>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</si>
  <si>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</si>
  <si>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</si>
  <si>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</si>
  <si>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</si>
  <si>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</si>
  <si>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</si>
  <si>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</si>
  <si>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</si>
  <si>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</si>
  <si>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</si>
  <si>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</si>
  <si>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</si>
  <si>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</si>
  <si>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</si>
  <si>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</si>
  <si>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</si>
  <si>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</si>
  <si>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</si>
  <si>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</si>
  <si>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</si>
  <si>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</si>
  <si>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</si>
  <si>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</si>
  <si>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</si>
  <si>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ACRÉSCIMO PARA POÇO DE VISITA CIRCULAR PARA ESGOTO, EM CONCRETO PRÉ-MOLDADO, DIÂMETRO INTERNO = 0,8 M. AF_12/2020</t>
  </si>
  <si>
    <t>TRATAMENTO DE JUNTA DE DILATAÇÃO, COM TARUGO DE POLIETILENO E SELANTE PU, INCLUSO PREENCHIMENTO COM ESPUMA EXPANSIVA PU. AF_06/2018</t>
  </si>
  <si>
    <t>TRATAMENTO DE JUNTA SERRADA, COM TARUGO DE POLIETILENO E SELANTE À BASE DE SILICONE. AF_06/2018</t>
  </si>
  <si>
    <t>CONCRETAGEM DE EDIFICAÇÕES (PAREDES E LAJES) FEITAS COM SISTEMA DE FÔRMAS MANUSEÁVEIS, COM CONCRETO USINADO AUTOADENSÁVEL FCK 25 MPA - LANÇAMENTO E ACABAMENTO. AF_10/2021</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</si>
  <si>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</si>
  <si>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</si>
  <si>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</si>
  <si>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</si>
  <si>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</si>
  <si>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</si>
  <si>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</si>
  <si>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</si>
  <si>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</si>
  <si>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ACRÉSCIMO PARA POÇO DE VISITA RETANGULAR PARA DRENAGEM, EM ALVENARIA COM BLOCOS DE CONCRETO, DIMENSÕES INTERNAS = 1X1 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</si>
  <si>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</si>
  <si>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</si>
  <si>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</si>
  <si>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</si>
  <si>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ACRÉSCIMO PARA POÇO DE VISITA RETANGULAR PARA DRENAGEM, EM ALVENARIA COM BLOCOS DE CONCRETO, DIMENSÕES INTERNAS = 1X1,5 M. AF_12/2020</t>
  </si>
  <si>
    <t>CAIXA ENTERRADA HIDRÁULICA RETANGULAR, EM ALVENARIA COM BLOCOS DE CONCRETO, DIMENSÕES INTERNAS: 0,8X0,8X0,6 M PARA REDE DE DRENAGEM. AF_12/2020</t>
  </si>
  <si>
    <t>ACRÉSCIMO PARA POÇO DE VISITA RETANGULAR PARA DRENAGEM, EM ALVENARIA COM BLOCOS DE CONCRETO, DIMENSÕES INTERNAS = 1,5X2,5 M. AF_12/2020</t>
  </si>
  <si>
    <t>CAIXA ENTERRADA HIDRÁULICA RETANGULAR, EM ALVENARIA COM BLOCOS DE CONCRETO, DIMENSÕES INTERNAS: 1X1X0,6 M PARA REDE DE DRENAGEM.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</si>
  <si>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</si>
  <si>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</si>
  <si>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</si>
  <si>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</si>
  <si>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</si>
  <si>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</si>
  <si>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</si>
  <si>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</si>
  <si>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</si>
  <si>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</si>
  <si>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</si>
  <si>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</si>
  <si>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</si>
  <si>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</si>
  <si>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</si>
  <si>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</si>
  <si>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</si>
  <si>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</si>
  <si>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</si>
  <si>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</si>
  <si>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</si>
  <si>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</si>
  <si>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</si>
  <si>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</si>
  <si>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</si>
  <si>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</si>
  <si>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</si>
  <si>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</si>
  <si>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</si>
  <si>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</si>
  <si>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</si>
  <si>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</si>
  <si>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</si>
  <si>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</si>
  <si>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</si>
  <si>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</si>
  <si>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</si>
  <si>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</si>
  <si>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</si>
  <si>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</si>
  <si>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</si>
  <si>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</si>
  <si>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</si>
  <si>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</si>
  <si>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</si>
  <si>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</si>
  <si>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</si>
  <si>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</si>
  <si>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</si>
  <si>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</si>
  <si>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</si>
  <si>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</si>
  <si>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</si>
  <si>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</si>
  <si>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</si>
  <si>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</si>
  <si>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</si>
  <si>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</si>
  <si>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</si>
  <si>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</si>
  <si>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</si>
  <si>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</si>
  <si>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</si>
  <si>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</si>
  <si>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</si>
  <si>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</si>
  <si>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</si>
  <si>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</si>
  <si>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</si>
  <si>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ARMAÇÃO DO SISTEMA DE PAREDES DE CONCRETO, EXECUTADA COMO ARMADURA POSITIVA DE LAJES, TELA Q-159. AF_06/2019</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</si>
  <si>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</si>
  <si>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</si>
  <si>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</si>
  <si>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</si>
  <si>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</si>
  <si>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</si>
  <si>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</si>
  <si>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</si>
  <si>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</si>
  <si>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</si>
  <si>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</si>
  <si>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</si>
  <si>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</si>
  <si>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</si>
  <si>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</si>
  <si>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</si>
  <si>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</si>
  <si>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</si>
  <si>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</si>
  <si>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</si>
  <si>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</si>
  <si>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</si>
  <si>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</si>
  <si>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</si>
  <si>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</si>
  <si>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</si>
  <si>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</si>
  <si>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</si>
  <si>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</si>
  <si>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</si>
  <si>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</si>
  <si>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</si>
  <si>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</si>
  <si>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</si>
  <si>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</si>
  <si>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</si>
  <si>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</si>
  <si>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</si>
  <si>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</si>
  <si>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</si>
  <si>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</si>
  <si>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</si>
  <si>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ALVENARIA DE VEDAÇÃO DE BLOCOS DE GESSO DE 7X50X66CM (ESPESSURA 7CM). AF_05/2020</t>
  </si>
  <si>
    <t>ALVENARIA DE VEDAÇÃO DE BLOCOS DE GESSO DE 10X50X66CM (ESPESSURA 10CM). AF_05/2020</t>
  </si>
  <si>
    <t>CARGA, MANOBRA E DESCARGA DE TUBOS PLÁSTICOS, DN 400 MM, EM CAMINHÃO CARROCERIA COM GUINDAUTO (MUNCK) 11,7 TM. AF_07/2020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</si>
  <si>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</si>
  <si>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</si>
  <si>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</si>
  <si>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</si>
  <si>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</si>
  <si>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</si>
  <si>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</si>
  <si>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</si>
  <si>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</si>
  <si>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BASE PARA POCO DE VISITA RETANGULAR PARA ESGOTO E DRENAGEM, EM CONCRETO ESTRUTURAL, DIMENSÕES INTERNAS DE 90X150 M, PROFUNDIDADE DE 1,25 M, EXCLUINDO TAMPÃO. AF_12/2020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</si>
  <si>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</si>
  <si>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</si>
  <si>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</si>
  <si>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</si>
  <si>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</si>
  <si>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</si>
  <si>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</si>
  <si>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</si>
  <si>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</si>
  <si>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</si>
  <si>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</si>
  <si>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</si>
  <si>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</si>
  <si>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</si>
  <si>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</si>
  <si>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</si>
  <si>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</si>
  <si>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</si>
  <si>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</si>
  <si>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</si>
  <si>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</si>
  <si>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</si>
  <si>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</si>
  <si>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</si>
  <si>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</si>
  <si>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</si>
  <si>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</si>
  <si>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</si>
  <si>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</si>
  <si>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</si>
  <si>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</si>
  <si>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</si>
  <si>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</si>
  <si>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</si>
  <si>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</si>
  <si>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</si>
  <si>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</si>
  <si>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</si>
  <si>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</si>
  <si>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</si>
  <si>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</si>
  <si>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</si>
  <si>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</si>
  <si>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</si>
  <si>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</si>
  <si>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</si>
  <si>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</si>
  <si>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</si>
  <si>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</si>
  <si>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</si>
  <si>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</si>
  <si>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</si>
  <si>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</si>
  <si>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</si>
  <si>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CAIXA DE PROTEÇÃO PARA MEDIDOR MONOFÁSICO DE EMBUTIR - FORNECIMENTO E INSTALAÇÃO. AF_10/2020</t>
  </si>
  <si>
    <t>QUADRO DE MEDIÇÃO GERAL DE ENERGIA PARA 1 MEDIDOR DE SOBREPOR - FORNECIMENTO E INSTALAÇÃO. AF_10/2020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</si>
  <si>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</si>
  <si>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</si>
  <si>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PEITORIL LINEAR EM GRANITO OU MÁRMORE, L = 15CM, COMPRIMENTO DE ATÉ 2M, ASSENTADO COM ARGAMASSA 1:6 COM ADITIVO. AF_11/2020</t>
  </si>
  <si>
    <t>CHAPIM SOBRE MUROS LINEARES, EM GRANITO OU MÁRMORE, L = 25 CM, ASSENTADO COM ARGAMASSA 1:6 COM ADITIVO. AF_11/2020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</si>
  <si>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</si>
  <si>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</si>
  <si>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</si>
  <si>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</si>
  <si>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</si>
  <si>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</si>
  <si>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CHAPIM (RUFO CAPA) EM AÇO GALVANIZADO, CORTE 33.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</si>
  <si>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</si>
  <si>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</si>
  <si>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</si>
  <si>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</si>
  <si>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</si>
  <si>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</si>
  <si>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</si>
  <si>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</si>
  <si>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</si>
  <si>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</si>
  <si>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</si>
  <si>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</si>
  <si>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</si>
  <si>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</si>
  <si>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</si>
  <si>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</si>
  <si>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</si>
  <si>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</si>
  <si>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</si>
  <si>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</si>
  <si>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</si>
  <si>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</si>
  <si>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</si>
  <si>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</si>
  <si>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</si>
  <si>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</si>
  <si>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</si>
  <si>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</si>
  <si>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</si>
  <si>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</si>
  <si>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</si>
  <si>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</si>
  <si>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</si>
  <si>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</si>
  <si>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</si>
  <si>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</si>
  <si>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</si>
  <si>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</si>
  <si>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</si>
  <si>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</si>
  <si>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</si>
  <si>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</si>
  <si>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</si>
  <si>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</si>
  <si>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</si>
  <si>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</si>
  <si>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</si>
  <si>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</si>
  <si>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</si>
  <si>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</si>
  <si>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</si>
  <si>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</si>
  <si>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</si>
  <si>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</si>
  <si>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</si>
  <si>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</si>
  <si>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</si>
  <si>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</si>
  <si>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</si>
  <si>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</si>
  <si>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</si>
  <si>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</si>
  <si>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</si>
  <si>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</si>
  <si>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</si>
  <si>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</si>
  <si>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</si>
  <si>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</si>
  <si>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</si>
  <si>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</si>
  <si>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</si>
  <si>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</si>
  <si>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</si>
  <si>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</si>
  <si>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</si>
  <si>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</si>
  <si>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LUMINÁRIA ESTANQUE COM PROTEÇÃO CONTRA ÁGUA, POEIRA OU IMPACTOS - FORNECIMENTO E INSTALAÇÃO. AF_08/2020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</si>
  <si>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</si>
  <si>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</si>
  <si>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</si>
  <si>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</si>
  <si>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</si>
  <si>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</si>
  <si>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</si>
  <si>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</si>
  <si>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</si>
  <si>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</si>
  <si>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</si>
  <si>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</si>
  <si>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</si>
  <si>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</si>
  <si>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</si>
  <si>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</si>
  <si>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</si>
  <si>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</si>
  <si>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</si>
  <si>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</si>
  <si>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</si>
  <si>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</si>
  <si>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</si>
  <si>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</si>
  <si>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</si>
  <si>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</si>
  <si>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</si>
  <si>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</si>
  <si>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</si>
  <si>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</si>
  <si>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</si>
  <si>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</si>
  <si>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</si>
  <si>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</si>
  <si>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</si>
  <si>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</si>
  <si>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</si>
  <si>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</si>
  <si>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</si>
  <si>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</si>
  <si>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</si>
  <si>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</si>
  <si>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</si>
  <si>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</si>
  <si>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</si>
  <si>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</si>
  <si>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</si>
  <si>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</si>
  <si>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</si>
  <si>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</si>
  <si>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</si>
  <si>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</si>
  <si>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</si>
  <si>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</si>
  <si>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</si>
  <si>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</si>
  <si>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</si>
  <si>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</si>
  <si>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</si>
  <si>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</si>
  <si>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</si>
  <si>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</si>
  <si>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</si>
  <si>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</si>
  <si>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</si>
  <si>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</si>
  <si>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</si>
  <si>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REMOÇÃO DE VIDRO LISO COMUM DE ESQUADRIA COM BAGUETE DE MADEIRA. AF_01/2021</t>
  </si>
  <si>
    <t>REMOÇÃO DE VIDRO LISO COMUM DE ESQUADRIA COM BAGUETE DE ALUMÍNIO OU PVC. AF_01/2021</t>
  </si>
  <si>
    <t>REMOÇÃO DE VIDRO TEMPERADO FIXADO EM PERFIL U.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</si>
  <si>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</si>
  <si>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</si>
  <si>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</si>
  <si>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</si>
  <si>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</si>
  <si>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</si>
  <si>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</si>
  <si>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</si>
  <si>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</si>
  <si>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</si>
  <si>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</si>
  <si>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</si>
  <si>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</si>
  <si>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</si>
  <si>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</si>
  <si>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</si>
  <si>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</si>
  <si>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</si>
  <si>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</si>
  <si>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</si>
  <si>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</si>
  <si>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</si>
  <si>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</si>
  <si>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</si>
  <si>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</si>
  <si>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</si>
  <si>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</si>
  <si>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</si>
  <si>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</si>
  <si>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</si>
  <si>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</si>
  <si>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</si>
  <si>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</si>
  <si>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</si>
  <si>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</si>
  <si>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</si>
  <si>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</si>
  <si>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</si>
  <si>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</si>
  <si>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</si>
  <si>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</si>
  <si>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</si>
  <si>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</si>
  <si>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</si>
  <si>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</si>
  <si>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ELÉTRICO, COM POTÊNCIA DE 2.000 W, 1.000 IMPACTOS POR MINUTO, PESO DE 30 KG -  CHI DIURNO. AF_01/2021</t>
  </si>
  <si>
    <t>MARTELO DEMOLIDOR ELÉTRICO, COM POTÊNCIA DE 2.000 W, 1.000 IMPACTOS POR MINUTO, PESO DE 30 KG - CHP DIURNO. AF_01/2021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</si>
  <si>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</si>
  <si>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</si>
  <si>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</si>
  <si>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</si>
  <si>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</si>
  <si>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</si>
  <si>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</si>
  <si>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</si>
  <si>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</si>
  <si>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</si>
  <si>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</si>
  <si>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</si>
  <si>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</si>
  <si>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</si>
  <si>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</si>
  <si>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</si>
  <si>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</si>
  <si>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</si>
  <si>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</si>
  <si>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</si>
  <si>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</si>
  <si>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</si>
  <si>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</si>
  <si>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</si>
  <si>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</si>
  <si>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</si>
  <si>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</si>
  <si>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</si>
  <si>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</si>
  <si>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</si>
  <si>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</si>
  <si>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</si>
  <si>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</si>
  <si>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</si>
  <si>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</si>
  <si>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</si>
  <si>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</si>
  <si>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</si>
  <si>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</si>
  <si>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</si>
  <si>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</si>
  <si>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</si>
  <si>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</si>
  <si>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</si>
  <si>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</si>
  <si>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</si>
  <si>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</si>
  <si>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</si>
  <si>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</si>
  <si>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</si>
  <si>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</si>
  <si>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</si>
  <si>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</si>
  <si>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</si>
  <si>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</si>
  <si>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</si>
  <si>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</si>
  <si>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</si>
  <si>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</si>
  <si>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</si>
  <si>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</si>
  <si>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</si>
  <si>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</si>
  <si>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</si>
  <si>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</si>
  <si>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</si>
  <si>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</si>
  <si>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</si>
  <si>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</si>
  <si>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</si>
  <si>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</si>
  <si>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</si>
  <si>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</si>
  <si>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</si>
  <si>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</si>
  <si>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</si>
  <si>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</si>
  <si>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</si>
  <si>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</si>
  <si>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</si>
  <si>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</si>
  <si>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</si>
  <si>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</si>
  <si>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</si>
  <si>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</si>
  <si>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</si>
  <si>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</si>
  <si>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</si>
  <si>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</si>
  <si>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</si>
  <si>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</si>
  <si>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</si>
  <si>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</si>
  <si>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</si>
  <si>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</si>
  <si>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</si>
  <si>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</si>
  <si>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</si>
  <si>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</si>
  <si>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CARGA, MANOBRA E DESCARGA MANUAL DE TUBOS PLÁSTICOS, DN 150 MM, EM CAMINHÃO CARROCERIA 9T. AF_06/2021</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</si>
  <si>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</si>
  <si>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</si>
  <si>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</si>
  <si>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</si>
  <si>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</si>
  <si>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</si>
  <si>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</si>
  <si>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</si>
  <si>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</si>
  <si>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</si>
  <si>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</si>
  <si>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</si>
  <si>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</si>
  <si>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</si>
  <si>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</si>
  <si>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</si>
  <si>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</si>
  <si>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</si>
  <si>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</si>
  <si>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</si>
  <si>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</si>
  <si>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</si>
  <si>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</si>
  <si>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</si>
  <si>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</si>
  <si>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</si>
  <si>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</si>
  <si>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</si>
  <si>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</si>
  <si>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</si>
  <si>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</si>
  <si>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</si>
  <si>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</si>
  <si>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</si>
  <si>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</si>
  <si>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</si>
  <si>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</si>
  <si>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</si>
  <si>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</si>
  <si>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</si>
  <si>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</si>
  <si>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</si>
  <si>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</si>
  <si>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</si>
  <si>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</si>
  <si>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</si>
  <si>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</si>
  <si>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</si>
  <si>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</si>
  <si>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</si>
  <si>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</si>
  <si>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</si>
  <si>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</si>
  <si>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</si>
  <si>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</si>
  <si>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</si>
  <si>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</si>
  <si>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</si>
  <si>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</si>
  <si>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</si>
  <si>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</si>
  <si>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</si>
  <si>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</si>
  <si>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</si>
  <si>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</si>
  <si>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</si>
  <si>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</si>
  <si>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</si>
  <si>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</si>
  <si>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</si>
  <si>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</si>
  <si>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</si>
  <si>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</si>
  <si>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</si>
  <si>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</si>
  <si>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</si>
  <si>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</si>
  <si>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</si>
  <si>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</si>
  <si>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</si>
  <si>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</si>
  <si>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</si>
  <si>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</si>
  <si>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</si>
  <si>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</si>
  <si>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</si>
  <si>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</si>
  <si>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</si>
  <si>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</si>
  <si>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</si>
  <si>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</si>
  <si>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</si>
  <si>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</si>
  <si>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</si>
  <si>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</si>
  <si>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</si>
  <si>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</si>
  <si>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</si>
  <si>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</si>
  <si>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</si>
  <si>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</si>
  <si>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</si>
  <si>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</si>
  <si>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</si>
  <si>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</si>
  <si>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</si>
  <si>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</si>
  <si>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</si>
  <si>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</si>
  <si>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</si>
  <si>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</si>
  <si>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</si>
  <si>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</si>
  <si>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</si>
  <si>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</si>
  <si>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</si>
  <si>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</si>
  <si>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</si>
  <si>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</si>
  <si>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</si>
  <si>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</si>
  <si>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</si>
  <si>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</si>
  <si>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</si>
  <si>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</si>
  <si>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</si>
  <si>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</si>
  <si>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</si>
  <si>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</si>
  <si>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</si>
  <si>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</si>
  <si>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</si>
  <si>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</si>
  <si>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</si>
  <si>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</si>
  <si>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</si>
  <si>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</si>
  <si>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</si>
  <si>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</si>
  <si>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</si>
  <si>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</si>
  <si>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</si>
  <si>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</si>
  <si>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</si>
  <si>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</si>
  <si>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REFORÇO SUPERFICIAL PARA CONTRAPISOS DE ARGAMASSA SEMI-SECA. AF_07/2021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</si>
  <si>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</si>
  <si>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</si>
  <si>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</si>
  <si>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</si>
  <si>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RECOMPOSIÇÃO DE PAVIMENTO EM PISO INTERTRAVADO, COM REAPROVEITAMENTO DOS BLOCOS INTERTRAVADOS, PARA FECHAMENTO DE VALAS - INCLUSO RETIRADA E COLOCAÇÃO DO MATERIAL. AF_12/2020</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</si>
  <si>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</si>
  <si>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</si>
  <si>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</si>
  <si>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</si>
  <si>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</si>
  <si>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</si>
  <si>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</si>
  <si>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</si>
  <si>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</si>
  <si>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</si>
  <si>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</si>
  <si>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</si>
  <si>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</si>
  <si>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</si>
  <si>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</si>
  <si>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</si>
  <si>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</si>
  <si>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</si>
  <si>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</si>
  <si>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</si>
  <si>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</si>
  <si>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</si>
  <si>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</si>
  <si>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</si>
  <si>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</si>
  <si>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</si>
  <si>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</si>
  <si>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</si>
  <si>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</si>
  <si>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</si>
  <si>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</si>
  <si>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</si>
  <si>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</si>
  <si>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</si>
  <si>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</si>
  <si>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</si>
  <si>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</si>
  <si>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</si>
  <si>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</si>
  <si>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</si>
  <si>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</si>
  <si>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</si>
  <si>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</si>
  <si>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</si>
  <si>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</si>
  <si>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</si>
  <si>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</si>
  <si>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</si>
  <si>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</si>
  <si>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</si>
  <si>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</si>
  <si>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</si>
  <si>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</si>
  <si>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</si>
  <si>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</si>
  <si>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</si>
  <si>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</si>
  <si>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DE VERGA E CONTRAVERGA DE ALVENARIA ESTRUTURAL; DIÂMETRO DE 12,5 MM. AF_09/2021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</si>
  <si>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</si>
  <si>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</si>
  <si>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</si>
  <si>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</si>
  <si>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</si>
  <si>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</si>
  <si>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</si>
  <si>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</si>
  <si>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</si>
  <si>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</si>
  <si>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</si>
  <si>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</si>
  <si>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</si>
  <si>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</si>
  <si>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</si>
  <si>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</si>
  <si>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</si>
  <si>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</si>
  <si>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</si>
  <si>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</si>
  <si>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</si>
  <si>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</si>
  <si>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</si>
  <si>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</si>
  <si>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</si>
  <si>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</si>
  <si>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</si>
  <si>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</si>
  <si>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</si>
  <si>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</si>
  <si>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</si>
  <si>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</si>
  <si>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</si>
  <si>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</si>
  <si>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</si>
  <si>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</si>
  <si>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</si>
  <si>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</si>
  <si>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</si>
  <si>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</si>
  <si>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</si>
  <si>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</si>
  <si>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</si>
  <si>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</si>
  <si>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</si>
  <si>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</si>
  <si>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</si>
  <si>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</si>
  <si>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</si>
  <si>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</si>
  <si>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</si>
  <si>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</si>
  <si>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</si>
  <si>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</si>
  <si>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</si>
  <si>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</si>
  <si>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</si>
  <si>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</si>
  <si>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</si>
  <si>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</si>
  <si>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</si>
  <si>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</si>
  <si>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</si>
  <si>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</si>
  <si>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</si>
  <si>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</si>
  <si>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</si>
  <si>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</si>
  <si>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</si>
  <si>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</si>
  <si>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</si>
  <si>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</si>
  <si>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</si>
  <si>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</si>
  <si>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</si>
  <si>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</si>
  <si>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</si>
  <si>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</si>
  <si>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</si>
  <si>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</si>
  <si>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</si>
  <si>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</si>
  <si>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</si>
  <si>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C1143</t>
  </si>
  <si>
    <t>UNIDADE</t>
  </si>
  <si>
    <t>QUANTIDADE</t>
  </si>
  <si>
    <t>PREÇO UNITÁRIO</t>
  </si>
  <si>
    <t>SUPRA ESTRUTURA</t>
  </si>
  <si>
    <t>REVESTIMENTOS EM TETO</t>
  </si>
  <si>
    <t>REVESTIMENTOS EM PAREDES</t>
  </si>
  <si>
    <t>SERVIÇOS DIVERSOS</t>
  </si>
  <si>
    <t>PAVIMENTAÇÃO</t>
  </si>
  <si>
    <t>FASE 1</t>
  </si>
  <si>
    <t>FASE 2</t>
  </si>
  <si>
    <t>FASE 3</t>
  </si>
  <si>
    <t>COMPOSIÇÃO DE SERVIÇOS COMPLEMENTARES</t>
  </si>
  <si>
    <t>TIPO ITEM</t>
  </si>
  <si>
    <t>CÓDIGOS</t>
  </si>
  <si>
    <t>CÓDIGO COMPOSIÇÃO</t>
  </si>
  <si>
    <t>UNID.</t>
  </si>
  <si>
    <t>COEF.</t>
  </si>
  <si>
    <t>R$ UNIT.</t>
  </si>
  <si>
    <t>MAT/
EQUIP.</t>
  </si>
  <si>
    <t>Código e Referência da Composição de Custos</t>
  </si>
  <si>
    <t xml:space="preserve">  PRECO MEDIANO R$</t>
  </si>
  <si>
    <t>COMPOSIÇÕES AUXILIARES</t>
  </si>
  <si>
    <t>CUSTO HORÁRIO PRODUTIVO DIURNO</t>
  </si>
  <si>
    <t>CUSTO HORÁRIO IMPRODUTIVO DIURNO</t>
  </si>
  <si>
    <t>APARELHOS SANITARIOS, LOUCAS, METAIS E OUTROS</t>
  </si>
  <si>
    <t>PASTILHAS,CERAMICAS, PLACAS PRE-MOLDADAS E OUTROS</t>
  </si>
  <si>
    <t>PISO CERAMICO</t>
  </si>
  <si>
    <t>ARGAMASSAS</t>
  </si>
  <si>
    <t>EMBOCO</t>
  </si>
  <si>
    <t>ALVENARIA DE BLOCOS DE CONCRETO</t>
  </si>
  <si>
    <t>ALVENARIA DE TIJOLOS CERAMICOS</t>
  </si>
  <si>
    <t>REGULARIZACAO DE CONTRA-PISOS E OUTRAS SUPERFICIES</t>
  </si>
  <si>
    <t>CHAPISCO</t>
  </si>
  <si>
    <t>OUTROS</t>
  </si>
  <si>
    <t>PINTURA DE PAREDE</t>
  </si>
  <si>
    <t>RODAPE CERAMICO</t>
  </si>
  <si>
    <t>ALVENARIA DE ELEMENTOS VAZADOS CERAMICOS</t>
  </si>
  <si>
    <t>REGISTROS/VALVULAS</t>
  </si>
  <si>
    <t>FORNEC. E ASSENTAMENTO DE TUBOS P/INSTALACAO DOMIC</t>
  </si>
  <si>
    <t>CONEXOES</t>
  </si>
  <si>
    <t>ALVENARIA DE ELEMENTOS VAZADOS DE CONCRETO</t>
  </si>
  <si>
    <t>RALOS/CAIXA SIFONADA</t>
  </si>
  <si>
    <t>PONTOS DE AGUA/ESGOTO</t>
  </si>
  <si>
    <t>CONCRETOS</t>
  </si>
  <si>
    <t>ARMADURAS</t>
  </si>
  <si>
    <t>ESCAVACAO DE VALAS</t>
  </si>
  <si>
    <t>FORNEC E/OU ASSENT DE TUBO DE PVC COM JUNTA ELASTI</t>
  </si>
  <si>
    <t>PORTA DE MADEIRA</t>
  </si>
  <si>
    <t>PORTA E/OU TAMPA DE ALUMINIO</t>
  </si>
  <si>
    <t>MUROS DE ARRIMO</t>
  </si>
  <si>
    <t>RESTAURO</t>
  </si>
  <si>
    <t>ELETRODUTOS/CALHAS PARA LEITO DE CABOS</t>
  </si>
  <si>
    <t>FIOS/CABOS</t>
  </si>
  <si>
    <t>CAIXAS</t>
  </si>
  <si>
    <t>INTERRUPTOR/TOMADA</t>
  </si>
  <si>
    <t>CARGA, DESCARGA E TRANSPORTE DE MATERIAIS</t>
  </si>
  <si>
    <t>FORNEC E/OU ASSENT DE TUBO DE CONCRETO COM JUNTA A</t>
  </si>
  <si>
    <t>ESTRUTURA METALICA</t>
  </si>
  <si>
    <t>MADEIRAMENTO</t>
  </si>
  <si>
    <t>FORMAS/CIMBRAMENTOS/ESCORAMENTOS</t>
  </si>
  <si>
    <t>EXECUCAO DE PAVIMENTACOES DIVERSAS</t>
  </si>
  <si>
    <t>GABIOES</t>
  </si>
  <si>
    <t>FORNEC E/OU ASSENT DE TUBO DE CONCRETO COM JUNTA E</t>
  </si>
  <si>
    <t>PONTOS DE LUZ/TOMADAS ANTENA TV/CAMPAINHAS/INTERRU</t>
  </si>
  <si>
    <t>CINTAS E VERGAS</t>
  </si>
  <si>
    <t>CONSTRUCAO DO CANTEIRO</t>
  </si>
  <si>
    <t>LIGACOES PREDIAIS DE ESGOTO</t>
  </si>
  <si>
    <t>ATERRO/REATERRO DE VALAS COM OU S/COMPACTACAO</t>
  </si>
  <si>
    <t>TRANSPORTE COMERCIAL</t>
  </si>
  <si>
    <t>QUADROS/DISJUNTORES</t>
  </si>
  <si>
    <t>TELHAMENTO COM TELHA CERAMICA</t>
  </si>
  <si>
    <t>TELHAMENTO COM TELHA DE FIBROCIMENTO</t>
  </si>
  <si>
    <t>TELHAMENTO COM TELHA METALICA</t>
  </si>
  <si>
    <t>CUMEEIRA CERAMICA</t>
  </si>
  <si>
    <t>CUMEEIRA DE FIBROCIMENTO</t>
  </si>
  <si>
    <t>CALHA METALICA</t>
  </si>
  <si>
    <t>RUFO METALICO</t>
  </si>
  <si>
    <t>MEIO FIO, LINHA D'AGUA E SARJERTA</t>
  </si>
  <si>
    <t>ATERRO COM OU S/COMPACTACAO</t>
  </si>
  <si>
    <t>TELHAMENTO COM TELHA DE VIDRO</t>
  </si>
  <si>
    <t>TELHAMENTO COM TELHA DE FIBRA DE VIDRO</t>
  </si>
  <si>
    <t>JANELA DE FERRO</t>
  </si>
  <si>
    <t>JANELA DE ALUMINIO</t>
  </si>
  <si>
    <t>PISO CONCRETO</t>
  </si>
  <si>
    <t>LASTROS/FUNDACOES DIVERSAS</t>
  </si>
  <si>
    <t>ESTACAS</t>
  </si>
  <si>
    <t>COMPACTACAO OU APILOAMENTO</t>
  </si>
  <si>
    <t>HIDROMETRO</t>
  </si>
  <si>
    <t>ESTRUTURAS DIVERSAS</t>
  </si>
  <si>
    <t>CONTROLE TECNOLOGICO</t>
  </si>
  <si>
    <t>FABRICACAO/EXECUCAO DE CBUQ/PRE-MISTURADOS</t>
  </si>
  <si>
    <t>FORRO DE GESSO</t>
  </si>
  <si>
    <t>FORRO METALICO/PVC</t>
  </si>
  <si>
    <t>FORRO DE MADEIRA</t>
  </si>
  <si>
    <t>DIVISORIAS/MARMORE/GRANITO/MARMORITE/CONCRETO/MAD.</t>
  </si>
  <si>
    <t>EXECUCAO DE SUB-LEITO, LEITO, SUB-BASE, BASE ETC</t>
  </si>
  <si>
    <t>CORTE/ESCAVACAO EM JAZIDAS OU CAMPO ABERTO</t>
  </si>
  <si>
    <t>INCENDIO</t>
  </si>
  <si>
    <t>SISTEMAS DE PROTECAO/ATERRAMENTO</t>
  </si>
  <si>
    <t>FORNEC E/OU ASSENT DE TUBO PVC DEFOFO COM JUNTA EL</t>
  </si>
  <si>
    <t>FORNEC E/OU ASSENT DE TUBO DE FERRO FUNDIDO JUNTA</t>
  </si>
  <si>
    <t>FORNEC E/OU ASSENT DE TUBO DE ACO COM JUNTA SOLDAD</t>
  </si>
  <si>
    <t>LUMINARIA INTERNA/BOCAL/LAMPADAS</t>
  </si>
  <si>
    <t>LUMINARIA EXTERNA</t>
  </si>
  <si>
    <t>DEMOLICOES/RETIRADAS</t>
  </si>
  <si>
    <t>CAIXAS D'DAGUA, DE INSPECAO E DE GORDURA</t>
  </si>
  <si>
    <t>CARGA, DESCARGA E/OU TRANSPORTE DE MATERIAIS</t>
  </si>
  <si>
    <t>POCOS DE VISITA/BOCAS DE LOBO/CX. DE PASSAGEM/CX.</t>
  </si>
  <si>
    <t>FOSSAS/SUMIDOUROS</t>
  </si>
  <si>
    <t>TELEFONE</t>
  </si>
  <si>
    <t>INSTALACAO DE LOGICA</t>
  </si>
  <si>
    <t>AR CONDICIONADO</t>
  </si>
  <si>
    <t>GRAMA, INCLUSIVE PREPARO DO SOLO</t>
  </si>
  <si>
    <t>ARBORIZACAO, INCLUSIVE PREPARO DO SOLO</t>
  </si>
  <si>
    <t>MANUTENCAO E LIMPEZA DE AREAS VERDES</t>
  </si>
  <si>
    <t>IMPERMEABILIZACAO COM MANTA</t>
  </si>
  <si>
    <t>IMPERMEABILIZACAO COM ADITIVO</t>
  </si>
  <si>
    <t>IMPERMEABILIZACAO BETUMINOSA C/EMULSAO ASFALTICA E</t>
  </si>
  <si>
    <t>IMPERMEABILIZACAO COM ARGAMASSA</t>
  </si>
  <si>
    <t>PROTECAO DE SUPERFICIE COM ARGAMASSA</t>
  </si>
  <si>
    <t>ADESIVOS PARA ESTRUTURAS</t>
  </si>
  <si>
    <t>PISO DE PEDRA</t>
  </si>
  <si>
    <t>SOLEIRA DE MARMORE/GRANITO</t>
  </si>
  <si>
    <t>LOCACAO</t>
  </si>
  <si>
    <t>LIMPEZA E ARREMATES FINAIS</t>
  </si>
  <si>
    <t>GUARDA-CORPO DE FERRO</t>
  </si>
  <si>
    <t>CALHA DE PVC, PECAS E ACESSORIOS</t>
  </si>
  <si>
    <t>REGULARIZACAO/REFORCO DE SUBLEITO</t>
  </si>
  <si>
    <t>POSTE DE CONCRETO</t>
  </si>
  <si>
    <t>POSTE METALICO</t>
  </si>
  <si>
    <t>JANELA DE MADEIRA</t>
  </si>
  <si>
    <t>PORTA E/OU TAMPA DE FERRO</t>
  </si>
  <si>
    <t>FERRAGENS DIVERSAS</t>
  </si>
  <si>
    <t>PINTURA PARA METAL</t>
  </si>
  <si>
    <t>TRANSPORTE MATERIAIS BETUMINOSOS</t>
  </si>
  <si>
    <t>CARGA, MANOBRA E DESCARGA (MECANICA)</t>
  </si>
  <si>
    <t>CARGA, MANOBRA E DESCARGA (MANUAL)</t>
  </si>
  <si>
    <t>PISO DE MARMORE/GRANITO</t>
  </si>
  <si>
    <t>PISO VINILICO/BORRACHA</t>
  </si>
  <si>
    <t>TUBULOES</t>
  </si>
  <si>
    <t>ALVENARIA DE BLOCO-CONCRETO CELULAR</t>
  </si>
  <si>
    <t>ALVENARIA DE BLOCOS DE VIDRO</t>
  </si>
  <si>
    <t>EMBASAMENTOS</t>
  </si>
  <si>
    <t>CERCA/PROTETORES</t>
  </si>
  <si>
    <t>FORNECIMENTO DE MAT/MO P/ELETRIFICACAO E ILUMINACA</t>
  </si>
  <si>
    <t>ESCORAMENTO DE MADEIRA EM VALAS</t>
  </si>
  <si>
    <t>ESCORAMENTO METALICO EM VALAS OU POCOS</t>
  </si>
  <si>
    <t>REGULARIZACAO E APILOAMENTO DE FUNDO DE VALAS</t>
  </si>
  <si>
    <t>PISO DE MADEIRA</t>
  </si>
  <si>
    <t>RODAPE DE MADEIRA</t>
  </si>
  <si>
    <t>RODAPE DE MARMORE,GRANITO,MARMORITE,GRANILITE E OU</t>
  </si>
  <si>
    <t>RODAPE VINILICO/BORRACHA</t>
  </si>
  <si>
    <t>CARPETE</t>
  </si>
  <si>
    <t>PISO CIMENTADO</t>
  </si>
  <si>
    <t>RECOMPOSICAO DE PAVIMENTACAO</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</si>
  <si>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</si>
  <si>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</si>
  <si>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</si>
  <si>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</si>
  <si>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</si>
  <si>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</si>
  <si>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GAS</t>
  </si>
  <si>
    <t>LAJE PRE-FABRICADA</t>
  </si>
  <si>
    <t>PEITORIL DE MARMORE/GRANITO</t>
  </si>
  <si>
    <t>CHAPIM</t>
  </si>
  <si>
    <t>TRANSFORMADORES</t>
  </si>
  <si>
    <t>VIDROS/ESPELHOS</t>
  </si>
  <si>
    <t>FERRAGENS PARA PORTAS</t>
  </si>
  <si>
    <t>PINTURA EM MADEIRA</t>
  </si>
  <si>
    <t>ALAMBRADO</t>
  </si>
  <si>
    <t>PINTURA PARA PISO</t>
  </si>
  <si>
    <t>DRENOS</t>
  </si>
  <si>
    <t>BUEIROS</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</si>
  <si>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</si>
  <si>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</si>
  <si>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</si>
  <si>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</si>
  <si>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</si>
  <si>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</si>
  <si>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</si>
  <si>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</si>
  <si>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</si>
  <si>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</si>
  <si>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</si>
  <si>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</si>
  <si>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</si>
  <si>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</si>
  <si>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</si>
  <si>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</si>
  <si>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</si>
  <si>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</si>
  <si>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</si>
  <si>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</si>
  <si>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</si>
  <si>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</si>
  <si>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</si>
  <si>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</si>
  <si>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</si>
  <si>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</si>
  <si>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CALHAS DE DRENAGEM/ALAS DE GALERIAS (ESTRUT. DE LA</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</si>
  <si>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</si>
  <si>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</si>
  <si>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</si>
  <si>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</si>
  <si>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</si>
  <si>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PLAYGROUND/QUADRAS</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</si>
  <si>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</si>
  <si>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</si>
  <si>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</si>
  <si>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</si>
  <si>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</si>
  <si>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</si>
  <si>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</si>
  <si>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</si>
  <si>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</si>
  <si>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</si>
  <si>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</si>
  <si>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</si>
  <si>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</si>
  <si>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</si>
  <si>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</si>
  <si>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</si>
  <si>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</si>
  <si>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</si>
  <si>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</si>
  <si>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</si>
  <si>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</si>
  <si>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</si>
  <si>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</si>
  <si>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</si>
  <si>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</si>
  <si>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</si>
  <si>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</si>
  <si>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</si>
  <si>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</si>
  <si>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</si>
  <si>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</si>
  <si>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</si>
  <si>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</si>
  <si>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</si>
  <si>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</si>
  <si>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</si>
  <si>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</si>
  <si>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</si>
  <si>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</si>
  <si>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</si>
  <si>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</si>
  <si>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</si>
  <si>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</si>
  <si>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</si>
  <si>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</si>
  <si>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</si>
  <si>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</si>
  <si>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</si>
  <si>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</si>
  <si>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 xml:space="preserve">ALVENARIA </t>
  </si>
  <si>
    <t>CALHAS E RUFOS</t>
  </si>
  <si>
    <t>REVESTIMENTOS</t>
  </si>
  <si>
    <t>ACABAMENTO DE PISOS INTERNOS</t>
  </si>
  <si>
    <t>EQUIPE TÉCNICA DE APOIO</t>
  </si>
  <si>
    <t>SERVIÇOS COMPLEMENTARES (MOBILIZAÇÃO E DESMOBILIZAÇÃO)</t>
  </si>
  <si>
    <t>C9038</t>
  </si>
  <si>
    <t>FORMAS</t>
  </si>
  <si>
    <t>ARMADURA</t>
  </si>
  <si>
    <t>CONCRETO</t>
  </si>
  <si>
    <t>PILARES</t>
  </si>
  <si>
    <t>VIGAS, PAREDES E LAJES</t>
  </si>
  <si>
    <t>PILARES E VIGAS</t>
  </si>
  <si>
    <t>LAJES</t>
  </si>
  <si>
    <t>LASTRO</t>
  </si>
  <si>
    <t>ESTRUTURA METALICA - COBERTURAS E PÓRTICOS</t>
  </si>
  <si>
    <t>ADAP SINAPI 100868</t>
  </si>
  <si>
    <t>ADAP SEINFRA C0386</t>
  </si>
  <si>
    <t>ADAP SINAPI 86902</t>
  </si>
  <si>
    <t>ADAP ORSE S09082</t>
  </si>
  <si>
    <t>ADAP SINAPI 85005</t>
  </si>
  <si>
    <t>SINAPI 74209/001</t>
  </si>
  <si>
    <t>BARRA DE APOIO INSTALADA EM PORTA, EM AÇO INOX, COMPRIMENTO 40CM E D=25MM</t>
  </si>
  <si>
    <t>LOCAÇÃO CONVENCIONAL DE OBRA, ATRAVÉS DE GABARITO DE TABUAS CORRIDAS PONTALETADAS, COM REAPROVEITAMENTO DE 3 VEZES</t>
  </si>
  <si>
    <t>SINAPI 74077/3</t>
  </si>
  <si>
    <t>ADAP SEINFRA C4556</t>
  </si>
  <si>
    <t>CAIXA SIFONADA, PVC, DN 150 X 150 X 50 MM, COM GRELHA DE AÇO INOX  COM FECHAMENTO ESCAMOTEÁVEL, FORNECIDA E INSTALADA EM RAMAIS DE ESGOTO</t>
  </si>
  <si>
    <t>SINAPI 89491</t>
  </si>
  <si>
    <t>PAVIMENTAÇÃO DE VIAS E PÁTEOS</t>
  </si>
  <si>
    <t>C9035</t>
  </si>
  <si>
    <t>MOBILIZAÇÃO DE PESSOAL, MÁQUINAS E EQUIPAMENTOS</t>
  </si>
  <si>
    <t>C13306</t>
  </si>
  <si>
    <t>TABELA</t>
  </si>
  <si>
    <t>REVESTIMENTOS INTERNOS</t>
  </si>
  <si>
    <t>REVESTIMENTOS EXTERNOS</t>
  </si>
  <si>
    <t>C13308</t>
  </si>
  <si>
    <t>C13309</t>
  </si>
  <si>
    <t>C13313</t>
  </si>
  <si>
    <t>ADAP ORSE S10907</t>
  </si>
  <si>
    <t>KIT SOLDA EXOTÉRMICA 115</t>
  </si>
  <si>
    <t>PARAFUSO CABEÇA CHATA 1/4 X 7/8"</t>
  </si>
  <si>
    <t>TERMINAL AÉREO BASE PLANA GALVANIZADO A QUENTE 35CM</t>
  </si>
  <si>
    <t>ADAP SINAPI 100561</t>
  </si>
  <si>
    <t>ESPELHO CRISTAL, ESPESSURA 4MM, FIXADO COM BOTÃO CROMADO, SEM MOLDURA, NAS DIMENSÕES 60X90CM</t>
  </si>
  <si>
    <t>C3171</t>
  </si>
  <si>
    <t>C13318</t>
  </si>
  <si>
    <t>C3404</t>
  </si>
  <si>
    <t>C13338</t>
  </si>
  <si>
    <t>C13339</t>
  </si>
  <si>
    <t>C13340</t>
  </si>
  <si>
    <t>C13344</t>
  </si>
  <si>
    <t>C3180</t>
  </si>
  <si>
    <t>C3181</t>
  </si>
  <si>
    <t>C13348</t>
  </si>
  <si>
    <t>C13349</t>
  </si>
  <si>
    <t>C13350</t>
  </si>
  <si>
    <t>C13351</t>
  </si>
  <si>
    <t>ADAP ORSE S10726</t>
  </si>
  <si>
    <t>ADAP SINAPI 72934</t>
  </si>
  <si>
    <t xml:space="preserve">ADAP SINAPI 72935 </t>
  </si>
  <si>
    <t xml:space="preserve">ADAP SINAPI 72936 </t>
  </si>
  <si>
    <t>BANDEJA DESLIZANTE 500MM PARA RACK 19"</t>
  </si>
  <si>
    <t>ADAP ORSE 11417</t>
  </si>
  <si>
    <t>CPOS 66.20.170</t>
  </si>
  <si>
    <t>ADAP SBC 059458</t>
  </si>
  <si>
    <t>A710377</t>
  </si>
  <si>
    <t>LOCAL:</t>
  </si>
  <si>
    <t>TIPO
ITEM</t>
  </si>
  <si>
    <t>CÓDIGO
COMPOSIÇÃO</t>
  </si>
  <si>
    <t>DESCRIÇÃO ITEM</t>
  </si>
  <si>
    <t>Composição Espelho</t>
  </si>
  <si>
    <t>DATA BASE TABELA</t>
  </si>
  <si>
    <t>MATERIAL/
EQUIP.</t>
  </si>
  <si>
    <t>024.1</t>
  </si>
  <si>
    <t>BEBEDOURO DE PRESSAO IBBL BAG40 - INOX</t>
  </si>
  <si>
    <t>2020/10</t>
  </si>
  <si>
    <t>180</t>
  </si>
  <si>
    <t>2021/12</t>
  </si>
  <si>
    <t>2020/01</t>
  </si>
  <si>
    <t xml:space="preserve">BARRA DE APOIO EM AÇO INOXIDÁVEL AISI 304, DIÂMETRO DE 32 MM (1 1/4´), ESPESSURA 1,5 MM E COMPRIMENTO 40 CM </t>
  </si>
  <si>
    <t>2020/09</t>
  </si>
  <si>
    <t>2018/03</t>
  </si>
  <si>
    <t>COTAÇÃO</t>
  </si>
  <si>
    <t>2015/02</t>
  </si>
  <si>
    <t>2020/04</t>
  </si>
  <si>
    <t>C427</t>
  </si>
  <si>
    <t>2018/11</t>
  </si>
  <si>
    <t>TABELA DE COTAÇÃO DE INSUMOS / SERVIÇOS ESPECIALIZADOS NÃO CONTEMPLADOS PELAS TABELAS OFICIAIS</t>
  </si>
  <si>
    <t>FORNECEDOR 1</t>
  </si>
  <si>
    <t>FORNECEDOR 2</t>
  </si>
  <si>
    <t>FORNECEDOR 3</t>
  </si>
  <si>
    <t>MÉDIA PREÇO R$</t>
  </si>
  <si>
    <t>DATA DA COTAÇÃO</t>
  </si>
  <si>
    <t>EMPRESA</t>
  </si>
  <si>
    <t>CONTATO</t>
  </si>
  <si>
    <t>TELEFONE / E-MAIL / SITE</t>
  </si>
  <si>
    <t>DESCRIÇÃO DO INSUMO / SERVIÇO ESPECIALIZADO</t>
  </si>
  <si>
    <t xml:space="preserve">UN </t>
  </si>
  <si>
    <t>R$ UNITÁRIO</t>
  </si>
  <si>
    <t>2022/01</t>
  </si>
  <si>
    <t>FERRAMENTAS KENNEDY</t>
  </si>
  <si>
    <t>CASA MIMOSA</t>
  </si>
  <si>
    <t>CENTRAL CABOS</t>
  </si>
  <si>
    <t>https://www.centralcabos.com.br/bandeja-movel-1u/p?idsku=1077313&amp;gclid=CjwKCAiA0KmPBhBqEiwAJqKK4wuvQ_0M03H4OFJC0wi7CN185yeAIKtXoOspQvjq0nq0jxkIbLfswRoCQ60QAvD_BwE</t>
  </si>
  <si>
    <t>RACK FORT</t>
  </si>
  <si>
    <t>https://www.rackfort.com.br/bandeja-movel-ventilada-rack-19?utm_source=Site&amp;utm_medium=GoogleMerchant&amp;utm_campaign=GoogleMerchant&amp;sku=RFBMV400</t>
  </si>
  <si>
    <t>C6259</t>
  </si>
  <si>
    <t>C6254</t>
  </si>
  <si>
    <t>C6260</t>
  </si>
  <si>
    <t>C6255</t>
  </si>
  <si>
    <t>C6256</t>
  </si>
  <si>
    <t>C6257</t>
  </si>
  <si>
    <t>C6258</t>
  </si>
  <si>
    <t>ADAP CPOS 97.02.036</t>
  </si>
  <si>
    <t>179</t>
  </si>
  <si>
    <t>SINALIZAÇÃO TÁTIL PARA CORRIMÃO EM CHAPA INOX, FIXADO COM FITA DUPLA-FACE, DIMENSÃO 10X3CM</t>
  </si>
  <si>
    <t>ADAP SIURB 17.05.95</t>
  </si>
  <si>
    <t>2021/01</t>
  </si>
  <si>
    <t>PLACA DE INAUGURAÇÃO EM AÇO INOX DE DIMENSÃO 70x50CM, ESPESSURA 2MM, BRASÃO E TEXTOS APLICADOS POR FOTOCORROSÃO COLORIDA, FIXAÇÃO COM PARAFUSO DE AÇO</t>
  </si>
  <si>
    <t>ADAP CPOS 97.02.030</t>
  </si>
  <si>
    <t>C1952</t>
  </si>
  <si>
    <t>CAIXA ENTERRADA HIDRÁULICA RETANGULAR EM ALVENARIA COM TIJOLOS CERÂMICOS MACIÇOS, DIMENSÕES INTERNAS: 0,8X0,8X0,6 M, COM GRELHA DE FERRO 20X20CM, PARA REDE DE DRENAGEM</t>
  </si>
  <si>
    <t xml:space="preserve">ADAP SINAPI 101908 </t>
  </si>
  <si>
    <t>EXTINTOR DE INCÊNDIO PORTÁTIL COM CARGA DE PÓ DE 4 KG, CLASSE ABC 2-A; 20-B:C, COM SUPORTE DE PAREDE - FORNECIMENTO E INSTALAÇÃO</t>
  </si>
  <si>
    <t>ILUMINAÇÃO DE EMERGÊNCIA</t>
  </si>
  <si>
    <t>C1957</t>
  </si>
  <si>
    <t>ADAP ORSE 11853</t>
  </si>
  <si>
    <t>PLACA DE SINALIZAÇÃO  TIPO M1, COM INDICAÇÃO DOS SISTEMAS DE PROTEÇÃO CONTRA INCÊNDIO EXISTENTES NA EDIFICAÇÃO (SIMBOLOS, CORES E PICTOGRAMAS CONFORME NBR 13434)</t>
  </si>
  <si>
    <t>LEROY MERLIN</t>
  </si>
  <si>
    <t>SOS COMUNICACAO VISUAL</t>
  </si>
  <si>
    <t>LUMILON</t>
  </si>
  <si>
    <t>(43) 3337-1999</t>
  </si>
  <si>
    <t>VALORIZE</t>
  </si>
  <si>
    <t>(43) 3322-5679</t>
  </si>
  <si>
    <t>valorize@valorizeplacas.com.br</t>
  </si>
  <si>
    <t>contato via whats</t>
  </si>
  <si>
    <t>SOLUART</t>
  </si>
  <si>
    <t>43 3341-1627</t>
  </si>
  <si>
    <t>C13359</t>
  </si>
  <si>
    <t>PATCH CORD CAT 6, COMPRIMENTO 1M</t>
  </si>
  <si>
    <t>ADAP ORSE S11230</t>
  </si>
  <si>
    <t>43 99912-8744</t>
  </si>
  <si>
    <t>VICTOR</t>
  </si>
  <si>
    <t>1.2</t>
  </si>
  <si>
    <t>1.3</t>
  </si>
  <si>
    <t>1.4</t>
  </si>
  <si>
    <t>1.5</t>
  </si>
  <si>
    <t xml:space="preserve">LIMPEZA FINAL DE OBRA </t>
  </si>
  <si>
    <t>4.1</t>
  </si>
  <si>
    <t>4.2</t>
  </si>
  <si>
    <t>4.3</t>
  </si>
  <si>
    <t>5.1</t>
  </si>
  <si>
    <t>5.2</t>
  </si>
  <si>
    <t>5.3</t>
  </si>
  <si>
    <t>7.1</t>
  </si>
  <si>
    <t>7.2</t>
  </si>
  <si>
    <t>7.3</t>
  </si>
  <si>
    <t>8.1</t>
  </si>
  <si>
    <t>9.1</t>
  </si>
  <si>
    <t>10.1</t>
  </si>
  <si>
    <t>11.1</t>
  </si>
  <si>
    <t>11.2</t>
  </si>
  <si>
    <t>12.1</t>
  </si>
  <si>
    <t>13.1</t>
  </si>
  <si>
    <t>14.1</t>
  </si>
  <si>
    <t>14.2</t>
  </si>
  <si>
    <t>15.1</t>
  </si>
  <si>
    <t>16.1</t>
  </si>
  <si>
    <t>16.2</t>
  </si>
  <si>
    <t>16.3</t>
  </si>
  <si>
    <t>16.4</t>
  </si>
  <si>
    <t>16.5</t>
  </si>
  <si>
    <t>17.1</t>
  </si>
  <si>
    <t>17.2</t>
  </si>
  <si>
    <t>18.1</t>
  </si>
  <si>
    <t>C13362</t>
  </si>
  <si>
    <t>2022/02</t>
  </si>
  <si>
    <t>C13363</t>
  </si>
  <si>
    <t>CUSTO UNITARIO</t>
  </si>
  <si>
    <t>PROPRIET'RIO:</t>
  </si>
  <si>
    <t>PROPIETÁRIO:</t>
  </si>
  <si>
    <t>arinascimento.arq@gmail.com</t>
  </si>
  <si>
    <t>BWF-B</t>
  </si>
  <si>
    <t>C13370</t>
  </si>
  <si>
    <t>ADAP SINAPI 97608</t>
  </si>
  <si>
    <t>2022/04</t>
  </si>
  <si>
    <t>Sonkey</t>
  </si>
  <si>
    <t>https://www.sonkey.com.br/lampada-led-25w-superled-bivolt-branca-ourolux?gclid=CjwKCAjwxZqSBhAHEiwASr9n9PICeX89yZpxCQDOdHAx4YZ9xxh_c3xzZ2kRJZ6-ARbkvM-AvnuvQxoCP2YQAvD_BwE#</t>
  </si>
  <si>
    <t>Coopera Solucoes Eletricas</t>
  </si>
  <si>
    <t>https://loja.cooperasolucoes.com.br/produto/458/lampada-super-led-25w-e27-6500k-bulbo-ourolux-padrao?gclid=CjwKCAjwxZqSBhAHEiwASr9n9KIfz9k-4nl51fmXFpF14HE0W8e_A6TWSIXSgWMu5D9mMhi5SrzvExoCsMUQAvD_BwE</t>
  </si>
  <si>
    <t>Mundomax</t>
  </si>
  <si>
    <t>https://www.mundomax.com.br/lampada-led-25w-superled-bivolt-branca-ourolux?gclid=CjwKCAjwxZqSBhAHEiwASr9n9FwV0Zt1H38Fr9tHV9UuE1T1rZeseRb5KfDh1BoEYjldy1e3caxkGBoCEhEQAvD_BwE#</t>
  </si>
  <si>
    <t xml:space="preserve">LÂMPADA LED 25W </t>
  </si>
  <si>
    <t>ELETRODUTO DE PVC FLEXÍVEL CORRUGADO DN25MM (1") - FORNECIMENTO E INSTALAÇÃO</t>
  </si>
  <si>
    <t>ELETRODUTO DE PVC FLEXIVEL CORRUGADO DN32 MM (1 1/4") - FORNECIMENTO E INSTALAÇÃO</t>
  </si>
  <si>
    <t>ELETRODUTO DE PVC FLEXÍVEL CORRUGADO DN20MM (3/4") - FORNECIMENTO E INSTALAÇÃO</t>
  </si>
  <si>
    <t>GRAVADOR DIGITAL INTELBRAS NVD 3116P 4K PARA ATÉ 16 CÂMERAS IP</t>
  </si>
  <si>
    <t>AMERICANAS</t>
  </si>
  <si>
    <t>NETCOMPUTADORES</t>
  </si>
  <si>
    <t>https://netcomputadores.com.br/p/4580308-dvr-nvd-3116p-16/38589</t>
  </si>
  <si>
    <t>C13377</t>
  </si>
  <si>
    <t>CONECTOR RJ45 MACHO CAT.6</t>
  </si>
  <si>
    <t>ELETROTRAFO</t>
  </si>
  <si>
    <t>https://www.eletrotrafo.com.br/informatica-conector-macho-nivel-cat6-rj45-furukawa-cod--7823-16790020/p?idsku=3504&amp;gclid=CjwKCAjwxZqSBhAHEiwASr9n9MT7c0o0iOuKDaFLFQO3mAEWKEVb3nfkCZG7OBCaHIthamtHLaGDbxoCkJ0QAvD_BwE</t>
  </si>
  <si>
    <t>SERVTEC</t>
  </si>
  <si>
    <t>https://www.servtectelecom.com.br/informatica/rede-de-computadores/conectores/rj45-cat6-gigalan-furukawa?parceiro=7695&amp;gclid=CjwKCAjwxZqSBhAHEiwASr9n9OEYa1lD9BbZIOUGmtw8YyBwebM1aXWfFFVlKL0tKjJlcUmFGmp84hoCmegQAvD_BwE</t>
  </si>
  <si>
    <t>ELETRONICA SANTANA</t>
  </si>
  <si>
    <t>https://www.eletronicasantana.com.br/conector-rj45-macho-cat6-gigalan-furukawa-9000750/p?idsku=9000750&amp;gclid=CjwKCAjwxZqSBhAHEiwASr9n9HbuSthAmCeh4m4RALnZ_VOkuDSxHcOufvkSN87zjlvAqH8VSPZSmBoCcHcQAvD_BwE</t>
  </si>
  <si>
    <t>WBX RACKS</t>
  </si>
  <si>
    <t>https://wbxracks.com.br/produto/rack-piso-fechado-44u-x-570mm/</t>
  </si>
  <si>
    <t>RACK PISO FECHADO 19" 44U X 600MM</t>
  </si>
  <si>
    <t>RACK SÃO PAULO</t>
  </si>
  <si>
    <t>https://racksaopaulo.com.br/produto/rack-fechado-44u/</t>
  </si>
  <si>
    <t>https://bihousepr.mercadoshops.com.br/MLB-1163828873-rack-servidor-piso-44u-x-600mm-_JM#position=7&amp;search_layout=stack&amp;type=item&amp;tracking_id=cbff5241-4646-4168-a319-5c6320d2a287</t>
  </si>
  <si>
    <t>BIHOUSE</t>
  </si>
  <si>
    <t xml:space="preserve">GUIA DE CABOS PADRÃO 1U 19” </t>
  </si>
  <si>
    <t>NET COMPUTADORES</t>
  </si>
  <si>
    <t>RÉGUA DE TOMADAS ELÉTRICAS 19X1U COM 8 TOMADAS (PARA RACK) - FORNECIMENTO E INSTALAÇÃO</t>
  </si>
  <si>
    <t>MUNDOMAX</t>
  </si>
  <si>
    <t>ADAP CPOS 30.06.064</t>
  </si>
  <si>
    <t>SISTEMA DE ALARME PNE/PCD COM INDICADOR AUDIOVISUAL TIPO STROBE LIGHT INTERMITENTE, SISTEMA SEM FIO, INCLUSO PLACAS DE SINALIZAÇÃO</t>
  </si>
  <si>
    <t>SISTEMA DE ALARME PARA SANITÁRIOS PNE, COM SINALIZADOR AUDIOVISUAL TIPO STROBE LIGHT INTERMITENTE, ALCANCE 50M, COM PLACAS DE SINALIZAÇÃO</t>
  </si>
  <si>
    <t>LEVE BARRAS</t>
  </si>
  <si>
    <t>https://www.levebarras.com.br/alarme-pcd-pne-audiovisual-sem-fio-slim.html</t>
  </si>
  <si>
    <t>TERMINAL CABO HASTE 50MM2</t>
  </si>
  <si>
    <t>CAIXA DE EQUIPOTENCIALIDADE - 40X40X15CM</t>
  </si>
  <si>
    <t>INSTALAÇÕES ELÉTRICAS / ELETRIFICAÇÃO E ILUMINAÇÃO EXTERNA</t>
  </si>
  <si>
    <t>MÁXIMO 6,23%</t>
  </si>
  <si>
    <t>TAXAS</t>
  </si>
  <si>
    <t>SERVIÇOS PRELIMINARES</t>
  </si>
  <si>
    <t>FORMAS DE BLOCO E VIGA BALDRAME</t>
  </si>
  <si>
    <t>LIMPEZA/ RETIRADA DE ENTULHOS</t>
  </si>
  <si>
    <t>CARGA MANUAL DE ENTULHO EM CAMINHÃO BASCULANTE 6M3</t>
  </si>
  <si>
    <t xml:space="preserve">KWH   </t>
  </si>
  <si>
    <t>FORNEC E/OU ASSENT DE CONEXOES DIVERSAS</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</si>
  <si>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</si>
  <si>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</si>
  <si>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</si>
  <si>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</si>
  <si>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</si>
  <si>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</si>
  <si>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</si>
  <si>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</si>
  <si>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</si>
  <si>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</si>
  <si>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</si>
  <si>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</si>
  <si>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</si>
  <si>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</si>
  <si>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</si>
  <si>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</si>
  <si>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</si>
  <si>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</si>
  <si>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</si>
  <si>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</si>
  <si>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</si>
  <si>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</si>
  <si>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</si>
  <si>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</si>
  <si>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</si>
  <si>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</si>
  <si>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</si>
  <si>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</si>
  <si>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</si>
  <si>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</si>
  <si>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</si>
  <si>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</si>
  <si>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</si>
  <si>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</si>
  <si>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</si>
  <si>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</si>
  <si>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</si>
  <si>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</si>
  <si>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</si>
  <si>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</si>
  <si>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</si>
  <si>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</si>
  <si>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</si>
  <si>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</si>
  <si>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</si>
  <si>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</si>
  <si>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</si>
  <si>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</si>
  <si>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</si>
  <si>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</si>
  <si>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</si>
  <si>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</si>
  <si>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</si>
  <si>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</si>
  <si>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</si>
  <si>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</si>
  <si>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</si>
  <si>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</si>
  <si>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</si>
  <si>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</si>
  <si>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</si>
  <si>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</si>
  <si>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</si>
  <si>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</si>
  <si>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</si>
  <si>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</si>
  <si>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</si>
  <si>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</si>
  <si>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</si>
  <si>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</si>
  <si>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</si>
  <si>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</si>
  <si>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</si>
  <si>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VARREDEIRA DE GRAMA SINTÉTICA A GASOLINA, 2,4 CV, 4 TEMPOS - MATERIAIS NA OPERAÇÃO. AF_02/2022</t>
  </si>
  <si>
    <t>BATE ESTACA PARA INSTALAÇÃO DE DEFENSAS METÁLICAS (GUARD RAIL) FIXO - MATERIAIS NA OPERAÇÃO. AF_02/2022</t>
  </si>
  <si>
    <t>GEOTÊXTIL NÃO TECIDO 100% POLIÉSTER, RESISTÊNCIA A TRAÇÃO DE 31 KN/M (RT-31), INSTALADO EM DRENO - FORNECIMENTO E INSTALAÇÃO. AF_07/2021</t>
  </si>
  <si>
    <t>MONTAGEM E DESMONTAGEM DE FÔRMA DE LAJE MACIÇA, PÉ-DIREITO DUPLO, EM CHAPA DE MADEIRA COMPENSADA PLASTIFICADA, 10 UTILIZAÇÕES. AF_09/2020</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</si>
  <si>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</si>
  <si>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</si>
  <si>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</si>
  <si>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</si>
  <si>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</si>
  <si>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</si>
  <si>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</si>
  <si>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</si>
  <si>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</si>
  <si>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</si>
  <si>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</si>
  <si>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</si>
  <si>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</si>
  <si>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</si>
  <si>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</si>
  <si>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</si>
  <si>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</si>
  <si>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</si>
  <si>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</si>
  <si>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</si>
  <si>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</si>
  <si>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</si>
  <si>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</si>
  <si>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</si>
  <si>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</si>
  <si>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</si>
  <si>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</si>
  <si>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</si>
  <si>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</si>
  <si>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</si>
  <si>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</si>
  <si>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</si>
  <si>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</si>
  <si>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</si>
  <si>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</si>
  <si>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</si>
  <si>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</si>
  <si>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</si>
  <si>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</si>
  <si>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</si>
  <si>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</si>
  <si>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</si>
  <si>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</si>
  <si>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</si>
  <si>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</si>
  <si>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</si>
  <si>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</si>
  <si>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</si>
  <si>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</si>
  <si>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</si>
  <si>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</si>
  <si>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</si>
  <si>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</si>
  <si>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</si>
  <si>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</si>
  <si>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</si>
  <si>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</si>
  <si>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</si>
  <si>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</si>
  <si>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</si>
  <si>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</si>
  <si>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</si>
  <si>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</si>
  <si>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</si>
  <si>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</si>
  <si>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</si>
  <si>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</si>
  <si>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</si>
  <si>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</si>
  <si>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</si>
  <si>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</si>
  <si>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</si>
  <si>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</si>
  <si>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</si>
  <si>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</si>
  <si>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</si>
  <si>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</si>
  <si>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</si>
  <si>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</si>
  <si>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</si>
  <si>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</si>
  <si>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</si>
  <si>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</si>
  <si>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</si>
  <si>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</si>
  <si>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</si>
  <si>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</si>
  <si>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</si>
  <si>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</si>
  <si>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</si>
  <si>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</si>
  <si>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</si>
  <si>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APLICAÇÃO MASSA ACRÍLICA PARA MADEIRA, PARA PINTURA COM TINTA DE ACABAMENTO (PIGMENTADA). AF_01/2021</t>
  </si>
  <si>
    <t>C5119</t>
  </si>
  <si>
    <t>CONCRETAGEM DE BLOCOS DE COROAMENTO E VIGAS BALDRAMES, FCK 25 MPA, COM USO DE JERICA, LANÇAMENTO, ADENSAMENTO E ACABAMENTO</t>
  </si>
  <si>
    <t>ADAP SINAPI 96555</t>
  </si>
  <si>
    <t>ADAP SINAPI 91341</t>
  </si>
  <si>
    <t>PORTA EM CHAPA LISA DE ALUMÍNIO DE ABRIR COM GUARNIÇÃO, FIXAÇÃO COM PARAFUSOS - FORNECIMENTO E INSTALAÇÃO</t>
  </si>
  <si>
    <t>ADAP SINAPI 100773</t>
  </si>
  <si>
    <t>C10577</t>
  </si>
  <si>
    <t>PISO TÁTIL EM LADRILHO HIDRÁULICO PIGMENTADO, LARGURA 30CM, INCLUSO CONTRAPISO EM CONCRETO</t>
  </si>
  <si>
    <t>PISO TÁTIL DE LADRILHO HIDRÁULICO 30X30CM DE CONCRETO</t>
  </si>
  <si>
    <t>MOSAICO AMAZONAS</t>
  </si>
  <si>
    <t>https://www.mosaicosamazonas.com.br/produto/tatil-de-alerta-30x30#:~:text=R%24%2092%2C50%2Fm%C2%B2</t>
  </si>
  <si>
    <t>C98</t>
  </si>
  <si>
    <t>KIT DE PORTA DE MADEIRA PARA PINTURA, SEMI-OCA, PADRÃO MÉDIO, 90X210CM, ESPESSURA 3,5CM, COM CHAPA DE PROTEÇÃO DE PORTA EM AÇO INOX (ALTURA 40CM) E BARRA DE APOIO EM AÇO INOX 40CM, ITENS INCLUSOS: DOBRADIÇAS, MONTAGEM E INSTALAÇÃO DO BATENTE, FECHADURA COM EXECUÇÃO DO FURO - FORNECIMENTO E INSTALAÇÃO</t>
  </si>
  <si>
    <t>9.2</t>
  </si>
  <si>
    <t>PINTURA DE ESQUADRIAS METÁLICAS</t>
  </si>
  <si>
    <t>PINTURA DE PISOS</t>
  </si>
  <si>
    <t>PINTURA DE TETOS E FORROS</t>
  </si>
  <si>
    <t>PINTURA DE PAREDES E PAINÉIS</t>
  </si>
  <si>
    <t>ADAP CPOS 34.20.380 + SINAPI 100727 + 100729</t>
  </si>
  <si>
    <t>C10578</t>
  </si>
  <si>
    <t>C10579</t>
  </si>
  <si>
    <t>C10580</t>
  </si>
  <si>
    <t>ADAP SINAPI 98510</t>
  </si>
  <si>
    <t>REBAIXAMENTO DE GUIA</t>
  </si>
  <si>
    <t>C10583</t>
  </si>
  <si>
    <t>IMPERMEABILIZAÇÃO DE ESTRUTURAS ENTERRADAS COM TINTA ASFÁLTICA, 2 DEMÃOS</t>
  </si>
  <si>
    <t>2022/05</t>
  </si>
  <si>
    <t>MINI GUINDASTE ARANHA SOBRE ESTEIRAS E LANCA TELESCÓPICA, CAPACIDADE MÁXIMA DE CARGA 3,0 TON, RAIO MÁXIMO DE TRABALHO 8,25 M, ALTURA DE LANÇA DO SOLO 9,2 M, 55 M DE CABO DE AÇO 8 MM, MOTOR ELÉTRICO 220/380 VOLTS TRIFÁSICO - MATERIAIS NA OPERAÇÃO. AF_03/2022</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</si>
  <si>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</si>
  <si>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</si>
  <si>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</si>
  <si>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</si>
  <si>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IMPERMEABILIZAÇÃO DE FLOREIRA OU VIGA BALDRAME COM ARGAMASSA DE CIMENTO E AREIA, COM ADITIVO IMPERMEABILIZANTE, E = 2 CM. AF_06/2018</t>
  </si>
  <si>
    <t>LUMINÁRIA TIPO PLAFON CIRCULAR, DE SOBREPOR, COM LED DE 12/13 W - FORNECIMENTO E INSTALAÇÃO. AF_03/2022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</si>
  <si>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</si>
  <si>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</si>
  <si>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</si>
  <si>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</si>
  <si>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</si>
  <si>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</si>
  <si>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</si>
  <si>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</si>
  <si>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</si>
  <si>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</si>
  <si>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</si>
  <si>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</si>
  <si>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</si>
  <si>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</si>
  <si>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</si>
  <si>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</si>
  <si>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</si>
  <si>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</si>
  <si>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</si>
  <si>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</si>
  <si>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</si>
  <si>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</si>
  <si>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</si>
  <si>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</si>
  <si>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</si>
  <si>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</si>
  <si>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</si>
  <si>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</si>
  <si>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</si>
  <si>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</si>
  <si>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</si>
  <si>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</si>
  <si>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</si>
  <si>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</si>
  <si>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</si>
  <si>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</si>
  <si>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</si>
  <si>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</si>
  <si>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</si>
  <si>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</si>
  <si>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</si>
  <si>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</si>
  <si>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</si>
  <si>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</si>
  <si>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</si>
  <si>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</si>
  <si>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</si>
  <si>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</si>
  <si>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</si>
  <si>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</si>
  <si>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</si>
  <si>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</si>
  <si>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</si>
  <si>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</si>
  <si>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</si>
  <si>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</si>
  <si>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</si>
  <si>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</si>
  <si>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</si>
  <si>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</si>
  <si>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</si>
  <si>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</si>
  <si>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</si>
  <si>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</si>
  <si>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</si>
  <si>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</si>
  <si>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</si>
  <si>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</si>
  <si>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</si>
  <si>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</si>
  <si>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</si>
  <si>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</si>
  <si>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</si>
  <si>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</si>
  <si>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</si>
  <si>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</si>
  <si>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</si>
  <si>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</si>
  <si>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</si>
  <si>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</si>
  <si>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</si>
  <si>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</si>
  <si>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</si>
  <si>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</si>
  <si>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</si>
  <si>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</si>
  <si>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</si>
  <si>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</si>
  <si>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</si>
  <si>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</si>
  <si>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</si>
  <si>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</si>
  <si>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</si>
  <si>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</si>
  <si>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</si>
  <si>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</si>
  <si>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</si>
  <si>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</si>
  <si>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</si>
  <si>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</si>
  <si>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</si>
  <si>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</si>
  <si>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</si>
  <si>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</si>
  <si>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</si>
  <si>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</si>
  <si>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</si>
  <si>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</si>
  <si>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</si>
  <si>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</si>
  <si>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</si>
  <si>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</si>
  <si>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</si>
  <si>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</si>
  <si>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</si>
  <si>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</si>
  <si>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</si>
  <si>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</si>
  <si>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</si>
  <si>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</si>
  <si>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</si>
  <si>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</si>
  <si>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</si>
  <si>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</si>
  <si>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</si>
  <si>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</si>
  <si>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</si>
  <si>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</si>
  <si>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</si>
  <si>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</si>
  <si>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</si>
  <si>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</si>
  <si>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</si>
  <si>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</si>
  <si>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</si>
  <si>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</si>
  <si>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</si>
  <si>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</si>
  <si>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</si>
  <si>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</si>
  <si>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</si>
  <si>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</si>
  <si>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</si>
  <si>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</si>
  <si>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</si>
  <si>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</si>
  <si>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</si>
  <si>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</si>
  <si>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</si>
  <si>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</si>
  <si>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</si>
  <si>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</si>
  <si>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</si>
  <si>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</si>
  <si>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</si>
  <si>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</si>
  <si>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</si>
  <si>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</si>
  <si>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</si>
  <si>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</si>
  <si>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</si>
  <si>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</si>
  <si>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</si>
  <si>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</si>
  <si>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</si>
  <si>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</si>
  <si>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</si>
  <si>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</si>
  <si>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</si>
  <si>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</si>
  <si>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</si>
  <si>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</si>
  <si>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</si>
  <si>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</si>
  <si>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</si>
  <si>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</si>
  <si>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</si>
  <si>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</si>
  <si>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</si>
  <si>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</si>
  <si>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</si>
  <si>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</si>
  <si>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</si>
  <si>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</si>
  <si>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</si>
  <si>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</si>
  <si>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</si>
  <si>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</si>
  <si>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</si>
  <si>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</si>
  <si>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</si>
  <si>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</si>
  <si>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</si>
  <si>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</si>
  <si>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</si>
  <si>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</si>
  <si>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</si>
  <si>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</si>
  <si>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</si>
  <si>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</si>
  <si>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</si>
  <si>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</si>
  <si>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</si>
  <si>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</si>
  <si>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</si>
  <si>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</si>
  <si>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</si>
  <si>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</si>
  <si>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</si>
  <si>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</si>
  <si>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</si>
  <si>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</si>
  <si>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</si>
  <si>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</si>
  <si>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</si>
  <si>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</si>
  <si>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</si>
  <si>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</si>
  <si>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</si>
  <si>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</si>
  <si>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</si>
  <si>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</si>
  <si>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</si>
  <si>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</si>
  <si>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</si>
  <si>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</si>
  <si>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</si>
  <si>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</si>
  <si>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</si>
  <si>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</si>
  <si>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</si>
  <si>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</si>
  <si>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</si>
  <si>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</si>
  <si>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</si>
  <si>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</si>
  <si>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</si>
  <si>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</si>
  <si>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</si>
  <si>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</si>
  <si>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</si>
  <si>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</si>
  <si>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</si>
  <si>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</si>
  <si>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</si>
  <si>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</si>
  <si>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</si>
  <si>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</si>
  <si>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</si>
  <si>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</si>
  <si>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</si>
  <si>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</si>
  <si>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</si>
  <si>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</si>
  <si>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</si>
  <si>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</si>
  <si>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</si>
  <si>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</si>
  <si>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</si>
  <si>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</si>
  <si>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</si>
  <si>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</si>
  <si>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</si>
  <si>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</si>
  <si>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</si>
  <si>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</si>
  <si>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</si>
  <si>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</si>
  <si>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</si>
  <si>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</si>
  <si>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</si>
  <si>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SINALIZACAO HORIZONTAL/VERTICAL</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</si>
  <si>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</si>
  <si>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</si>
  <si>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</si>
  <si>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</si>
  <si>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PAR DE TABELAS DE BASQUETE DE COMPENSADO NAVAL, COM AROS E REDES - FORNECIMENTO E INSTALAÇÃO. AF_03/2022</t>
  </si>
  <si>
    <t>HID</t>
  </si>
  <si>
    <t>ELE</t>
  </si>
  <si>
    <t>CONC</t>
  </si>
  <si>
    <t>CV</t>
  </si>
  <si>
    <t>DIV</t>
  </si>
  <si>
    <t>ACQUAFORT</t>
  </si>
  <si>
    <t>C&amp;C</t>
  </si>
  <si>
    <t>AMAZON</t>
  </si>
  <si>
    <t>C13393</t>
  </si>
  <si>
    <t>ADAP SINAPI 96985</t>
  </si>
  <si>
    <t>HASTE DE ATERRAMENTO TIPO COOPERWELD 5/8"X2,40m</t>
  </si>
  <si>
    <t>https://www.eletrotrafo.com.br/haste-cobreada-5-8-x-240m-ntc-normatizada-intelli-similar-02010097/p?idsku=9431&amp;https://www.eletrotrafo.com.br/?utm_source=google&amp;utm_medium=Shopping_inteligente&amp;gclid=CjwKCAjw4ayUBhA4EiwATWyBrref4DVW3uPKj3XU1NF47fqD7aMUjaLdCXK4w1w5vzQH76D68DhScxoCtr8QAvD_BwE</t>
  </si>
  <si>
    <t>ELETRONOR</t>
  </si>
  <si>
    <t>https://loja.eletronor.com.br/haste-de-aterramento-cobreada-5-8-x-2-40m-s-conector---intelli/p?idsku=1925&amp;gclid=CjwKCAjw4ayUBhA4EiwATWyBrpAK59dloCkAb1j1N6POLgM8PSoc4eFRRmKmWk7rSxlKv8J-6j8FCBoCRyUQAvD_BwE</t>
  </si>
  <si>
    <t>SANTIL</t>
  </si>
  <si>
    <t>https://www.santil.com.br/produto/haste-de-aterramento-58-x-240m-comercial-olivo/2175659</t>
  </si>
  <si>
    <t>BLOCOS E VIGA BALDRAMES</t>
  </si>
  <si>
    <t>MEIO-FIO, SARJETA, GUIA CONTENÇÃO DE PAVER E COMPLEMENTOS</t>
  </si>
  <si>
    <t>ADAP SBC 012689</t>
  </si>
  <si>
    <t>ART - CREA/PR</t>
  </si>
  <si>
    <t>CREA-PR</t>
  </si>
  <si>
    <t>PROCESSTEC</t>
  </si>
  <si>
    <t>UPPERSEG</t>
  </si>
  <si>
    <t>NET ALARMES</t>
  </si>
  <si>
    <t>ABC DA CONSTRUÇAO</t>
  </si>
  <si>
    <t>ESTRELA 10</t>
  </si>
  <si>
    <t xml:space="preserve">GRELHA P/RALO EM INOX, QUADRADA, 15X15CM, TIPO ABRE/FECHA, MEBER OU SIMILAR </t>
  </si>
  <si>
    <t>https://www.abcdaconstrucao.com.br/produto/ralo-rotativo-de-inox-15x15cm-sem-caixilho-1415-meber-80560?keyword=&amp;creative=541111541219&amp;gclid=CjwKCAjwp7eUBhBeEiwAZbHwkYbuNN0Xcnm5OTg0KvFVPPpfkJceUvtd6xtMXW4RquD_zIgvN2gTJxoC-PkQAvD_BwE</t>
  </si>
  <si>
    <t>UTILITY HOME</t>
  </si>
  <si>
    <t>https://www.uthome.com.br/area-de-servico/grelha-em-aco-inox-150-mm-c-fecho-quadrada-censi?parceiro=2347&amp;gclid=CjwKCAjwp7eUBhBeEiwAZbHwkS7oUUOvYngMtwZQAj94dnijLwcW3CnEW1wGSVe207vr4WFwcAlD2hoCWmQQAvD_BwE</t>
  </si>
  <si>
    <t>LAVATÓRIO COM COLUNA SUSPENSA, 55X47CM, LINHA VOGUE PLUS COR BRANCO L51.17 DECA OU EQUIVALENTE TÉCNICO</t>
  </si>
  <si>
    <t>PLACA METÁLICA PARA CORRIMÃO EM BRAILLE, DIM 90X25MM</t>
  </si>
  <si>
    <t>SAFE PARK</t>
  </si>
  <si>
    <t>https://safeparksinalizacao.com/produtos/detalhes/braille-corrimao-indicacao-de-pavimento/?gclid=CjwKCAjwp7eUBhBeEiwAZbHwkaBaOEl6ZjMWRqiYqvN5XsotAUz7pUa9V2tnjGTRz332l-eP1j5U9RoCl30QAvD_BwE</t>
  </si>
  <si>
    <t>MARWELL</t>
  </si>
  <si>
    <t>https://www.marwell.com.br/1pc-placa-braille-para-corrimao-inicio-final-andar?utm_source=Site&amp;utm_medium=GoogleMerchant&amp;utm_campaign=GoogleMerchant&amp;gclid=CjwKCAjwp7eUBhBeEiwAZbHwkTVwdUmHnVb3LK_2WKrO8sop4-MAN4Kz9Jpi9NiqwAq05E7PONsE0xoCIwUQAvD_BwE</t>
  </si>
  <si>
    <t>KABUM</t>
  </si>
  <si>
    <t>GMAD</t>
  </si>
  <si>
    <t>https://www.gmad.com.br/barra-de-apoio-reta-32mm-inox---geris/p?idsku=8306&amp;gclid=CjwKCAjwp7eUBhBeEiwAZbHwkUUL6l4nFc_j6PnBBsORewpYMIoRTj50U0-ZFe9mMztaHtrq4QerQBoCo0UQAvD_BwE</t>
  </si>
  <si>
    <t>LIVEN</t>
  </si>
  <si>
    <t>https://www.ferramentaskennedy.com.br/100048707/barra-apoio-aluminio-liege-40cm-32x400mm?utm_source=google&amp;utm_medium=cpc&amp;utm_campaign=google_shop&amp;gclid=CjwKCAjwp7eUBhBeEiwAZbHwkSN0JAVG_S9IM3fdKZIEVjF6bhvvqcdRuoFlrcQR5kjqJQHX69PBHhoCPJwQAvD_BwE</t>
  </si>
  <si>
    <t>REVESTIMENTO DE PORTA COM CHAPA DE ALUMÍNIO ESP. 1,5MM</t>
  </si>
  <si>
    <t>MERCADO LIVRE</t>
  </si>
  <si>
    <t>TELHANORTE</t>
  </si>
  <si>
    <t>SWITCH GERENCIÀVEL 24 PORTAS POE, CHIPSET BROADCOM BCM53314S + BCM54685*2, FREQUÊNCIA DE BUFFER DE 200MHZ, MEMÓRIA SDRAM DDR 256MBLT, MEMÓRIA FLSAH 128MBLT, 24 PORTAS RJ45 GIGABLT ETHERNET (10/100/1000 MBPS) POE AF/AT ALIMENTAÇÃO 100-140VAC 50/60HZ, COM FONTE DE ALIMENTAÇÃO INTERNA, POTÊNCIA DE CONSUMO MÁXIMA DE 231,02W, TEMPERATUDA DE OPERAÇÃO 0° A 40°C, HOMOLOGADO PELA ANATEL E COERTIFICAÇÃO FCC PART 15B CLASS A</t>
  </si>
  <si>
    <t>BARRA CHATA DE ALUMÍNIO 1/8 X 7/8" 6 METROS</t>
  </si>
  <si>
    <t>RAYCON</t>
  </si>
  <si>
    <t>TERMOTÉCNICA</t>
  </si>
  <si>
    <t>JOHNNY</t>
  </si>
  <si>
    <t>vendasf3@raycon.com.br&gt;</t>
  </si>
  <si>
    <t>ANDREIA</t>
  </si>
  <si>
    <t>comercial1.sp@tel.com.br</t>
  </si>
  <si>
    <t>ADAP C.P. 1412111121987</t>
  </si>
  <si>
    <t>BANCO DE CONCRETO PRÉ-MOLDADO COM QUINAS ARREDONDADAS, LARGURA DO ASSENTO 45CM, ALTURA DO ASSENTO 45CM, COMPRIMENTO 200CM</t>
  </si>
  <si>
    <t>CORPO PARA CAIXA SIFONADA QUADRADA EM PVC 150 X 150 X 50MM</t>
  </si>
  <si>
    <t>https://www.acquafort.com.br/10118/p?idsku=4333&amp;gclid=CjwKCAjwyryUBhBSEiwAGN5OCDtaNafRQGujTSh-agizSN2obBRaTmIRK_PJr1HGe43kXRwNd6LHVxoCx1gQAvD_BwE</t>
  </si>
  <si>
    <t>https://www.ferramentaskennedy.com.br/100071767/corpo-caixa-sifonada-150x150x50mm-amanco?utm_source=google&amp;utm_medium=cpc&amp;utm_campaign=google_shop&amp;gclid=CjwKCAjwyryUBhBSEiwAGN5OCJ_HPxyfFL67f3NJpQH2JeYh_LQCw6eGyOoR1ZJhaukdeI3kRKAvFxoCEaYQAvD_BwE</t>
  </si>
  <si>
    <t>COPAFER</t>
  </si>
  <si>
    <t>https://www.copafer.com.br/corpo-caixa-sifonada-150x150x50-11581511-fortlev-p1107445?region_id=000001</t>
  </si>
  <si>
    <t>PATCHCORD.COM.BR</t>
  </si>
  <si>
    <t>https://www.cabospatchcord.com.br/guia-de-cabo-19-x-1u-abs-hd-preto?utm_source=Site&amp;utm_medium=GoogleMerchant&amp;utm_campaign=GoogleMerchant&amp;gclid=CjwKCAjwyryUBhBSEiwAGN5OCC5-VwoIPNYvTvOI0a2n2QYonRguxdKigyes0uN6w9k5z8KgeL0VyRoCh7QQAvD_BwE</t>
  </si>
  <si>
    <t>https://www.rackfort.com.br/guia-cabo-horizontal-rack-19-1u-50mm?utm_source=Site&amp;utm_medium=GoogleMerchant&amp;utm_campaign=GoogleMerchant</t>
  </si>
  <si>
    <t>ADAP SINAPI 95545</t>
  </si>
  <si>
    <t>ADAP C.P. 141200474125</t>
  </si>
  <si>
    <t>ADAP SINAPI 97626</t>
  </si>
  <si>
    <t>ADAP SINAPI 98509</t>
  </si>
  <si>
    <t>ADAP  SINAPI 99255</t>
  </si>
  <si>
    <t>ADAP CPOS 66.08.610</t>
  </si>
  <si>
    <t>ADAP SINAPI 97882</t>
  </si>
  <si>
    <t>ADAP C.P. 141200171899</t>
  </si>
  <si>
    <t>ADAP SINAPI 93659</t>
  </si>
  <si>
    <t>ADAP SINAPI 100555</t>
  </si>
  <si>
    <t>PATCH CORD, CATEGORIA 6, EXTENSAO DE 1,00 M</t>
  </si>
  <si>
    <t>ADAP ORSE S07319</t>
  </si>
  <si>
    <t>CASSOL</t>
  </si>
  <si>
    <t>https://www.cassol.com.br/bebedouro-purificador-de-pressao-ibbl-bag40-inox-64112001-220v-100064306/p?idsku=100064524&amp;utm_source=google_shopping&amp;utm_campaign=campanha_frigelar&amp;utm_medium=cpc&amp;gclid=Cj0KCQjw-daUBhCIARIsALbkjSZriFXWi9Xh0deANwLPgnsqqORmiu5ZsNzJocQwPFfX5hVzElC_ik4aAvf9EALw_wcB</t>
  </si>
  <si>
    <t>FRIGELAR</t>
  </si>
  <si>
    <t>https://www.frigelar.com.br/bebedouro-purificador-de-pressao-ibbl-bag40-inox-64111001-110v/p/kit834?gclid=Cj0KCQjw-daUBhCIARIsALbkjSbiElHErm36BWolWX2i3CV4Zaw8_75KL13QC4XIO0TJ3LRyrlFgFuoaAtyUEALw_wcB</t>
  </si>
  <si>
    <t>WEBCONTINENTAL</t>
  </si>
  <si>
    <t>https://www.webcontinental.com.br/purificador-de-%C3%A1gua-ibbl-puripress-40-inox-110v/product/712700?gclid=Cj0KCQjw-daUBhCIARIsALbkjSalyhR7raY0yDm8wJNLmuKlHv_UwL6su94_m9ue37dwm4eYf-6lrmkaAuwUEALw_wcB</t>
  </si>
  <si>
    <t>https://livencasa.com/lavatorio-Vogue-Plus-L51-Branco-Deca?utm_source=google&amp;utm_medium=cpc&amp;utm_campaign=15526046060&amp;utm_term=&amp;utm_content={adsetid}&amp;device=c&amp;gclid=Cj0KCQjw-daUBhCIARIsALbkjSaI1q424HtDrnkXEtkadgpRY_nZjTT8zzpNW_A2T4bm554i7KE1ITsaAv0hEALw_wcB</t>
  </si>
  <si>
    <t xml:space="preserve">LAVATORIO PARA COLUNA SUSPENSA VOGUE PLUS, 47X55CM, MODELO L51.17 DECA	</t>
  </si>
  <si>
    <t>https://www.cec.com.br/material-de-construcao/loucas/banheiro/lavatorio/para-coluna/lavatorio-para-coluna-vogue-plus-47x55cm-branco?produto=1038715</t>
  </si>
  <si>
    <t>https://www.casamimosa.com.br/lavatorio-para-banheiro-l-51-ge17-vogue-plus-55x47cm-branco-deca</t>
  </si>
  <si>
    <t>https://livencasa.com/Coluna-Suspensa-para-lavatorio-Vogue-Plus-C510-Branco-Deca?utm_source=google&amp;utm_medium=cpc&amp;utm_campaign=15526046060&amp;utm_term=&amp;utm_content={adsetid}&amp;device=c&amp;gclid=Cj0KCQjw-daUBhCIARIsALbkjSYhm75ybih9vcVgCLQzKA5LLVlxPvL303FuxUsESX512FCzRE9WmuUaAi01EALw_wcB</t>
  </si>
  <si>
    <t xml:space="preserve">COLUNA SUSPENSA PARA LAVATORIO VOGUE PLUS C510.17 DECA </t>
  </si>
  <si>
    <t>https://www.telhanorte.com.br/coluna-para-lavatorio-suspensa-vogue-plus-gelo-deca-387789/p?idsku=387789&amp;gclid=Cj0KCQjw-daUBhCIARIsALbkjSbIs3Xq9lsfQeSQHq4L4fDVa5BIBYj8PECmog5dZkXnXgXve1PmipAaAlW1EALw_wcB</t>
  </si>
  <si>
    <t>https://www.cec.com.br/material-de-construcao/loucas/coluna-para-lavatorio-suspenso-vogue-plus-branca?produto=1042836&amp;idpublicacao=791d2005-d206-4804-b297-71cab438caf1&amp;gclid=Cj0KCQjw-daUBhCIARIsALbkjSZD7hbegzrLqrsDi8cU9ciKGg3InLabL4mPXXfbrWX_8MjdR4ehy3saAj88EALw_wcB</t>
  </si>
  <si>
    <t>FITA 3M DUPLA FACE VHB 4910 19mmx20m</t>
  </si>
  <si>
    <t>https://www.leroymerlin.com.br/fita-dupla-face-3m-fixa-forte-19mm-x-20m_1566906544</t>
  </si>
  <si>
    <t>FERRAMENTAS GERAIS</t>
  </si>
  <si>
    <t>https://www.fg.com.br/fita-dupla-face-vhb-4910-transparente-espessura-10mm-19mmx20m-inativo/p?idsku=7448970&amp;gclid=Cj0KCQjw-daUBhCIARIsALbkjSY6iX5q2orR1ovIp1yAKizhin9jEvSjbaBxPKJXleARYLgbbr6Zn3YaAtM6EALw_wcB</t>
  </si>
  <si>
    <t>https://www.amazon.com.br/Fita-Dupla-Face-Vhb-4910/dp/B075XHS7SV/ref=asc_df_B075XHS7SV/?tag=googleshopp00-20&amp;linkCode=df0&amp;hvadid=379685595774&amp;hvpos=&amp;hvnetw=g&amp;hvrand=3218693919570137869&amp;hvpone=&amp;hvptwo=&amp;hvqmt=&amp;hvdev=c&amp;hvdvcmdl=&amp;hvlocint=&amp;hvlocphy=1001637&amp;hvtargid=pla-1295037051087&amp;th=1</t>
  </si>
  <si>
    <t xml:space="preserve">Switch gerenciavel intelbras inet 4760009 sg2404 poe 24 pt </t>
  </si>
  <si>
    <t>https://www.americanas.com.br/produto/26207952?epar=bp_pl_00_go_infacess_pmax_geral&amp;opn=YSMESP&amp;WT.srch=1&amp;offerId=5ba8fce5172743a0f529331b&amp;gclid=Cj0KCQjw-daUBhCIARIsALbkjSaJvPYl-CnZWCZAumRN_zYNzg3v4iYpj62Qt3HU0I8q_pA6B7W3a5caAvGGEALw_wcB</t>
  </si>
  <si>
    <t>https://br.store.ui.com/products/usw-pro-24-poe?variant=39255038394499&amp;currency=BRL&amp;utm_medium=product_sync&amp;utm_source=google&amp;utm_content=sag_organic&amp;utm_campaign=sag_organic&amp;gclid=Cj0KCQjw-daUBhCIARIsALbkjSb-KCPzsgUKYKxWvQvedbT5MAsN6pyXCSDA3LzIFJjdxo0DwO-S3ZMaAhhTEALw_wcB</t>
  </si>
  <si>
    <t>UBIQUITI BRAZIL</t>
  </si>
  <si>
    <t>https://www.processtec.com.br/switch-24p-intelbras-sg-2404-poe-l2--gerenciavel-4760062?origem=gs&amp;gclid=Cj0KCQjw-daUBhCIARIsALbkjSZlp06ph9PMvz2-Z6wgm4C4p6uRa8qY0JbCbxza2buLjjZnOS67fuMaAo8FEALw_wcB</t>
  </si>
  <si>
    <t>SERVIÇO ESPECIALIZADO</t>
  </si>
  <si>
    <t>https://www.crea-pr.org.br/ws/art-anotacao-de-responsabilidade-tecnica/valores-de-taxas</t>
  </si>
  <si>
    <t>2022/06</t>
  </si>
  <si>
    <t>BANDEJA DESLIZANTE VENTILADA 500MM PARA RACK 19"</t>
  </si>
  <si>
    <t>https://netcomputadores.com.br/p/000000229-raker-bandeja-movel-500mm/21025</t>
  </si>
  <si>
    <t>https://www.tudoforte.com.br/gravador-de-video-intelbras-nvd-3316-p-4k-16-canais-com-16-portas-poe-suporta-cameras-ip?parceiro=6347&amp;gclid=CjwKCAjwv-GUBhAzEiwASUMm4gYY9YzIDa1UT0gMUXFOicMNnnJAmfJnEnZPVWw8Cv9LJqvxy78rWBoClJoQAvD_BwE</t>
  </si>
  <si>
    <t>TUDO FORTE</t>
  </si>
  <si>
    <t>LOJA MUNDI</t>
  </si>
  <si>
    <t>https://www.lojamundi.com.br/nvd-3116-p-intelbras-gravador-digital-poe</t>
  </si>
  <si>
    <t>CENTRALCABOS</t>
  </si>
  <si>
    <t>https://www.centralcabos.com.br/guia-de-cabos-1u-preto/p?idsku=1078554&amp;gclid=CjwKCAjwv-GUBhAzEiwASUMm4o3sRL9qD8U8a22Bf1XgJIHFEpY8wVeLqBbn67RToNvYzF4PfzjMfRoCNE4QAvD_BwE</t>
  </si>
  <si>
    <t>https://www.kabum.com.br/produto/257836/patch-cord-cat6-1mt-legrand-azul</t>
  </si>
  <si>
    <t>https://www.amazon.com.br/Furukawa-Sohoplus-Preto-Patch-Cord/dp/B088MGN71H/ref=asc_df_B088MGN71H/?tag=googleshopp00-20&amp;linkCode=df0&amp;hvadid=379726213612&amp;hvpos=&amp;hvnetw=g&amp;hvrand=3523201125983097424&amp;hvpone=&amp;hvptwo=&amp;hvqmt=&amp;hvdev=c&amp;hvdvcmdl=&amp;hvlocint=&amp;hvlocphy=1001637&amp;hvtargid=pla-1464019706150&amp;psc=1</t>
  </si>
  <si>
    <t>ION CABOS</t>
  </si>
  <si>
    <t>https://www.ioncabos.com.br/patch-cord-cat6-furukawa-soho-plus-blindado?utm_source=Site&amp;utm_medium=GoogleMerchant&amp;utm_campaign=GoogleMerchant&amp;sku=2763-2-metros</t>
  </si>
  <si>
    <t>PISOS PASSARELA</t>
  </si>
  <si>
    <t xml:space="preserve"> (43) 3339-6013</t>
  </si>
  <si>
    <t>JOSANE</t>
  </si>
  <si>
    <t>LUMINÁRIA ARANDELA TIPO TARTARUGA, COM GRADE, DE SOBREPOR, COM 1 LÂMPADA LED DE 25 W - FORNECIMENTO E INSTALAÇÃO</t>
  </si>
  <si>
    <t>RACK DE PISO 44U 19"X600MM, FECHADO COM PORTA FRONTAL EM VIDRO E SISTEMA DE FECHO COM CHAVE - FORNECIMENTO E INSTALAÇÃO</t>
  </si>
  <si>
    <t>LUMINÁRIA ARANDELA TIPO TARTARUGA, COM GRADE, DE SOBREPOR</t>
  </si>
  <si>
    <t>https://www.eletrotrafo.com.br/arandela-tartaruga-nylon-e-27-pt-nylux-44960002/p?idsku=3049&amp;gclid=CjwKCAjwy_aUBhACEiwA2IHHQKyfgsaNgN2sdzIcGf-P2cd8cotRbmMUw5g9jLdwlY10W-gEPGL9VBoCRocQAvD_BwE</t>
  </si>
  <si>
    <t>https://www.santil.com.br/produto/luminaria-tartaruga-c-grade-branca-20-cm-p-1-lampada-e27-kin-light/471916?gclid=CjwKCAjwy_aUBhACEiwA2IHHQBfCk8ZftMXHiITmayulImXEotQuIdLvZBNRSPD61MIbSWrtxZXRtRoCqAsQAvD_BwE</t>
  </si>
  <si>
    <t>https://www.soferragenstb.com.br/arandela-demi-tartaruga-1xe27-com-grade-branca/p/1106?c=47&amp;t=116&amp;gclid=CjwKCAjwy_aUBhACEiwA2IHHQA8Gq_7blbaWL94TJ3YywGM-FXhBC1lLuKulGz6tabx_pxxkg17p6hoCzTMQAvD_BwE</t>
  </si>
  <si>
    <t>SÓ FERRAGENS</t>
  </si>
  <si>
    <t>DIMATELAS</t>
  </si>
  <si>
    <t>(41) 3076-5000</t>
  </si>
  <si>
    <t>TELAS IGAPÓ</t>
  </si>
  <si>
    <t>contato@telasigapo.com.br</t>
  </si>
  <si>
    <t xml:space="preserve">REGUA DE TOMADAS COM 8 TOMADAS 10A PARA RACK 19" </t>
  </si>
  <si>
    <t xml:space="preserve">EXTINTOR MANUAL DE PÓ QUÍMICO CLASSES ABC, CAPACIDADE DE 4 KG, REF. 1-A NBR 9443 E 10-B NBR 9444 COM CARGA </t>
  </si>
  <si>
    <t>https://contraincendio.com.br/produto/extintores-de-incendio/po-quimico-classe-abc/extintor-de-po-quimico-seco-pqs-abc-4-kg/?utm_source=Google+Shopping&amp;utm_medium=cpc&amp;utm_campaign=feed_contraincendio_google_shopping&amp;gclid=CjwKCAjw7vuUBhBUEiwAEdu2pFW32LZgvJeF7_4ifXN4K26YkHcfulE-gJ39y6eyYEhtic4VsnlHJxoCheoQAvD_BwE</t>
  </si>
  <si>
    <t>CONTRA INCENDIO</t>
  </si>
  <si>
    <t>https://www.pontodoincendio.com.br/extintor-abc-04kg-2a20bc/</t>
  </si>
  <si>
    <t>PONTO DO INCENDIO</t>
  </si>
  <si>
    <t>R&amp;A EXTINTORES</t>
  </si>
  <si>
    <t>https://www.raextintores.com.br/extintor-pqs-4kg-abc?utm_source=Site&amp;utm_medium=GoogleMerchant&amp;utm_campaign=GoogleMerchant&amp;gclid=CjwKCAjw7vuUBhBUEiwAEdu2pBkyoUuaj0gbT1mXv8Okj9OQZqGXWCOk9eKDylhCMI7iOw-DUbtCCBoCvMcQAvD_BwE</t>
  </si>
  <si>
    <t>MONTAL</t>
  </si>
  <si>
    <t>PHD BARRAS DE APOIO</t>
  </si>
  <si>
    <t>https://www.phdbarras.com.br/loja/index.php?route=product/product&amp;product_id=103</t>
  </si>
  <si>
    <t>BARRA CERTA</t>
  </si>
  <si>
    <t>https://barracerta.com.br/produto/chapa-de-protecao-de-porta-em-aco-inox/</t>
  </si>
  <si>
    <t>CHAPA DE PROTEÇÃO PARA PORTA EM AÇO INOX ESPESSURA 1MM</t>
  </si>
  <si>
    <t xml:space="preserve">comercial@montal.com.br </t>
  </si>
  <si>
    <t>AUGUSTO</t>
  </si>
  <si>
    <t>IRMÃOS OLIVEIRA</t>
  </si>
  <si>
    <t>DEPÓSITO ROMANI</t>
  </si>
  <si>
    <t>https://depositoromani.com.br/piso-tatil-alerta-vermelho-30x30cm-20mm-unidade-715091/p</t>
  </si>
  <si>
    <t>BATE-RODAS, DIM 180X17X15CM, EM CONCRETO, ACABAMENTO EM CONCRETO</t>
  </si>
  <si>
    <t>APROPRIAÇAO</t>
  </si>
  <si>
    <t>CASA DAS TELAS</t>
  </si>
  <si>
    <t>(43) 3336-8203</t>
  </si>
  <si>
    <t>JOÃO PEDRO</t>
  </si>
  <si>
    <t>ADAP SINAPI 94570</t>
  </si>
  <si>
    <t>CARREFOUR/ OLIST</t>
  </si>
  <si>
    <t>https://www.carrefour.com.br/alarmeaudiovisualparabanheiropnepcdsemfio-mp922828441/p</t>
  </si>
  <si>
    <t>MADEIRA MADEIRA</t>
  </si>
  <si>
    <t>https://www.madeiramadeira.com.br/alarme-pne-sem-fio-com-botoeira-na-cor-preto-1592846.html</t>
  </si>
  <si>
    <t>FORNECEDOR 4</t>
  </si>
  <si>
    <t>(41) 9 9661-4611</t>
  </si>
  <si>
    <t>https://www.upperseg.com.br/cftv/cameras-de-seguranca/cameras-ip/camera-ip-com-fio/camera-ip-intelbras-vip-3230-b-sl-g2-starlight-poe-2mp-infravermelho-30-metros-bullet/?gclid=Cj0KCQjwwJuVBhCAARIsAOPwGARSm-8ErPKCQllPPMQL_IUc4e8EksF-X3Ocen7uqVQ-jSt_YAlZkScaAiX1EALw_wcB</t>
  </si>
  <si>
    <t>https://www.processtec.com.br/camera-bullet-intelbras-ip-vip-3230-b-sl-full-hd-ip67?origem=gs&amp;gclid=Cj0KCQjwwJuVBhCAARIsAOPwGARCaz93pOAI7HtbNsPcJxUN-IVt8KfDSmZ8N3759eS08Lu29QfudkcaAiTjEALw_wcB</t>
  </si>
  <si>
    <t>https://www.netalarmes.com.br/cameras-de-seguranca/camera-bullet-vip-3230-b-sl-intelbras?parceiro=8046&amp;parceiro=8764&amp;gclid=Cj0KCQjwwJuVBhCAARIsAOPwGAQHprf9uDmQEayeAgk4XbaoQ9xYeq4c7Rg0D7I3VtL2JHhEuW1OK6waArhlEALw_wcB</t>
  </si>
  <si>
    <t>VIGAS</t>
  </si>
  <si>
    <t>SABATKE REPRESENTAÇOES</t>
  </si>
  <si>
    <t>ANDRÉ</t>
  </si>
  <si>
    <t>MADEIRA &amp; MADEIRA</t>
  </si>
  <si>
    <t>KURICA</t>
  </si>
  <si>
    <t>RETORNO</t>
  </si>
  <si>
    <t>(43) 3379-7700</t>
  </si>
  <si>
    <t>TAXA DE DESTINAÇÃO AMBIENTAL ENTULHO GERAL</t>
  </si>
  <si>
    <t>contato via telefone</t>
  </si>
  <si>
    <t>Fernando</t>
  </si>
  <si>
    <t>(43) 3357-5514</t>
  </si>
  <si>
    <t>2022/07</t>
  </si>
  <si>
    <t>CASA DA ACESSIBILIDADE</t>
  </si>
  <si>
    <t>https://www.casadaacessibilidade.com.br/produto/placa-em-braile-para-corrimao-inicio.html?utm_source=Site&amp;utm_medium=GoogleMerchant&amp;utm_campaign=GoogleMerchant&amp;gclid=Cj0KCQjwidSWBhDdARIsAIoTVb33LgXRMXhqF1bzmTboFxzccBLUAG-Kk4SUQ8K7L4Lv8zJhEsCEokYaAqnCEALw_wcB</t>
  </si>
  <si>
    <t>https://www.centralcabos.com.br/regua-de-tomada-novo-padrao-de-10a/p?idsku=1078475</t>
  </si>
  <si>
    <t>https://www.netalarmes.com.br/camera-de-seguranca/acessorios/rack-organizador/regua-ipec-para-rack-19-8-tomadas?parceiro=8046&amp;srsltid=AdGWZVREIcbcj0GHd2aZe7xfHykZ4ygPjBzzuv-fZGnoM75g0o64UTSN2Bo</t>
  </si>
  <si>
    <t>https://www.americanas.com.br/produto/5067045705?opn=YSMESP&amp;offerId=627ad72b87c00289c2a8fc7c&amp;srsltid=AdGWZVTxOeZkTr9iL6RLbWlFsw-EDvpnHD7p7DoQk327kSHvG611SXrERFQ</t>
  </si>
  <si>
    <t>https://www.madeiramadeira.com.br/chapa-para-protecao-de-porta-de-banheiro-pne-em-aco-inox-medida-80x40-barracerta-2644489.html?id=2644489</t>
  </si>
  <si>
    <t>C9112</t>
  </si>
  <si>
    <t>SEVIÇO TERCEIRIZADO</t>
  </si>
  <si>
    <t>KURICA ( solo)</t>
  </si>
  <si>
    <t>TRANSPORTE</t>
  </si>
  <si>
    <t>DISTANCIA DE</t>
  </si>
  <si>
    <t>BARRA CHATA DE ALUMÍNIO 1/8 X 7/8"</t>
  </si>
  <si>
    <t>CÂMERA IP FULL HD, ANALÍTICO DE CERCA/LINHA VIRTUAL EMBARCADO, RESOLUÇÃO 2 MEGAPIXELS, ALIMENTAÇÃO POE (IEEE 802.3AF), IP67, SENSOR DE IMAGEM 1/2.8" 2 MEGAPIXELS, OBTURADOR ELETRÔNICO 1/3S ~1/100.000S, ILUMINAÇÃO MÍNIMA 0,06 LUX/F1.4 (COLORIDO, 1/3S, 30IRE), 0,05 LUX / F1.4 (COLORIDO, 1/30S, 30IRE), 0 LUX / F1.4 (IR LIGADO), RELAÇÃO SINAL-RUÍDO&gt;50DB, CONTROLE DE GANHO E BALANÇO AUTOMÁTICO/MANULA, REDUÇÃO DE RUÍDO 3D, MÁSCARA DE PRIVACIDADE 4, COMPENSAÇÃO DE LUZ DE FUNDO BLC, HLC E WDR (120DB), PERFIL NOITE &amp; DIA E MODO DE VÍDEOS AUTOMÁTICOS (ICR)/COLORIDO/PRETO &amp; BRANCO, ATÉ 4 REGIÕES DE DETECÇÃO DE VÍDEO. LENTE COM DISTÂNCIA LOCAL 2.7 A 13.5MM, ZOOM ÓPTICO 5X, CONTROLE DE FOCO AUTOMÁTICO/ MANUAL, ÂNGULO DE VISÃO H:106 A 31º, V:58º A 17º, LENTE VARIFOCAL MOTORIZADA, ÍRIS ELETRÔNICA, MONTADA EM PLACA. COMPRESSÃO DE VÍDEO H.265+/H.265/H.264/MJPEG, RESOLUÇÃO DE IMAGEM/PROPORÇÃO DEE TELA 1080P (1920X1080)/ 1,3M (1280X960), 720P (1280X720) / D1 (704X480), CIF (352X240) / VGA (640X480), ANÁLISE INTELIGENTE DE VÍDEO: LINHA VIRTUAL, CERCA VISTUAL E MUDANÇA DE CENA, FORMATO DE VÍDEO NTSC. INTERFACE DE REDE RJ45 (10/100BASE-T), PROTOCOLO MÍNIMO: TCP/IP, IPV4/IPV6, HTTP, HTTPS, SSL ETC. DISTÂNCIA MÁXIMA DE INFRAVERMELHO 60M, CONSUMO MÁXIMO DE ENERGIA &lt;12,95W.OBS: EQUIPAMENTO TEM QUE SER COMPATÍVEL COM O SOFTWARE DIGIFORT E MÓDULO DIGIFORT ALARM MONITOR. REFERÊNCIA: INTELBRAS VIP 3230 B SL G2 OU EQUIVALENTE TÉCNICO</t>
  </si>
  <si>
    <t>ADAP SINAPI 100896</t>
  </si>
  <si>
    <t>ESTACA ESCAVADA MECANICAMENTE, SEM FLUIDO ESTABILIZANTE, COM 25CM DE DIÂMETRO, CONCRETO LANÇADO POR CAMINHÃO BETONEIRA (EXCLUSIVE ARMADURA, MOBILIZAÇÃO E DESMOBILIZAÇÃO)</t>
  </si>
  <si>
    <t>ARMADURA DE  ESTACAS, BLOCO E VIGA BALDRAME</t>
  </si>
  <si>
    <t>BLOCO E VIGA BALDRAME</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</si>
  <si>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</si>
  <si>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</si>
  <si>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</si>
  <si>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</si>
  <si>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</si>
  <si>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</si>
  <si>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</si>
  <si>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</si>
  <si>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</si>
  <si>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</si>
  <si>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</si>
  <si>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</si>
  <si>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</si>
  <si>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</si>
  <si>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</si>
  <si>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</si>
  <si>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</si>
  <si>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</si>
  <si>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</si>
  <si>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</si>
  <si>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</si>
  <si>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</si>
  <si>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</si>
  <si>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</si>
  <si>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</si>
  <si>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</si>
  <si>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</si>
  <si>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</si>
  <si>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</si>
  <si>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</si>
  <si>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</si>
  <si>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</si>
  <si>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</si>
  <si>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</si>
  <si>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</si>
  <si>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</si>
  <si>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</si>
  <si>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</si>
  <si>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</si>
  <si>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</si>
  <si>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</si>
  <si>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</si>
  <si>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</si>
  <si>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</si>
  <si>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</si>
  <si>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</si>
  <si>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</si>
  <si>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</si>
  <si>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</si>
  <si>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</si>
  <si>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</si>
  <si>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</si>
  <si>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</si>
  <si>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</si>
  <si>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</si>
  <si>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</si>
  <si>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</si>
  <si>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</si>
  <si>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</si>
  <si>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</si>
  <si>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</si>
  <si>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</si>
  <si>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</si>
  <si>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</si>
  <si>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</si>
  <si>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</si>
  <si>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</si>
  <si>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</si>
  <si>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</si>
  <si>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</si>
  <si>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</si>
  <si>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</si>
  <si>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</si>
  <si>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</si>
  <si>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</si>
  <si>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</si>
  <si>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</si>
  <si>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</si>
  <si>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</si>
  <si>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</si>
  <si>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</si>
  <si>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</si>
  <si>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</si>
  <si>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</si>
  <si>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</si>
  <si>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</si>
  <si>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</si>
  <si>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</si>
  <si>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</si>
  <si>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</si>
  <si>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</si>
  <si>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</si>
  <si>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</si>
  <si>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</si>
  <si>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</si>
  <si>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</si>
  <si>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</si>
  <si>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</si>
  <si>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</si>
  <si>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</si>
  <si>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</si>
  <si>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</si>
  <si>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</si>
  <si>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</si>
  <si>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</si>
  <si>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</si>
  <si>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</si>
  <si>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</si>
  <si>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</si>
  <si>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</si>
  <si>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</si>
  <si>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</si>
  <si>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</si>
  <si>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</si>
  <si>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</si>
  <si>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</si>
  <si>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</si>
  <si>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</si>
  <si>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</si>
  <si>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</si>
  <si>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</si>
  <si>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</si>
  <si>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</si>
  <si>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</si>
  <si>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</si>
  <si>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</si>
  <si>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</si>
  <si>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</si>
  <si>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</si>
  <si>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</si>
  <si>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</si>
  <si>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</si>
  <si>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</si>
  <si>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</si>
  <si>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</si>
  <si>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</si>
  <si>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</si>
  <si>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</si>
  <si>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</si>
  <si>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</si>
  <si>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</si>
  <si>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</si>
  <si>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</si>
  <si>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</si>
  <si>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</si>
  <si>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</si>
  <si>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</si>
  <si>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</si>
  <si>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</si>
  <si>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</si>
  <si>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</si>
  <si>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</si>
  <si>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</si>
  <si>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</si>
  <si>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</si>
  <si>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</si>
  <si>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</si>
  <si>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</si>
  <si>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</si>
  <si>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</si>
  <si>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</si>
  <si>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</si>
  <si>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</si>
  <si>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</si>
  <si>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</si>
  <si>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</si>
  <si>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</si>
  <si>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</si>
  <si>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</si>
  <si>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</si>
  <si>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</si>
  <si>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</si>
  <si>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</si>
  <si>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</si>
  <si>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</si>
  <si>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</si>
  <si>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</si>
  <si>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</si>
  <si>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</si>
  <si>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</si>
  <si>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</si>
  <si>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</si>
  <si>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</si>
  <si>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</si>
  <si>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</si>
  <si>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</si>
  <si>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</si>
  <si>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</si>
  <si>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</si>
  <si>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</si>
  <si>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SOLDÁVEL, DN 40MM, INSTALADO EM RAMAL DE DISTRIBUIÇÃO DE ÁGUA - FORNECIMENTO E INSTALAÇÃO. AF_06/2022</t>
  </si>
  <si>
    <t>TUBO, PVC, SOLDÁVEL, DN 50MM,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</si>
  <si>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</si>
  <si>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</si>
  <si>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</si>
  <si>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</si>
  <si>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</si>
  <si>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</si>
  <si>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</si>
  <si>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</si>
  <si>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</si>
  <si>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</si>
  <si>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</si>
  <si>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</si>
  <si>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</si>
  <si>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</si>
  <si>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</si>
  <si>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</si>
  <si>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</si>
  <si>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</si>
  <si>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</si>
  <si>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</si>
  <si>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</si>
  <si>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</si>
  <si>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</si>
  <si>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</si>
  <si>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</si>
  <si>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</si>
  <si>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</si>
  <si>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</si>
  <si>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</si>
  <si>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</si>
  <si>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</si>
  <si>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</si>
  <si>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</si>
  <si>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</si>
  <si>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</si>
  <si>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</si>
  <si>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</si>
  <si>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</si>
  <si>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</si>
  <si>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</si>
  <si>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</si>
  <si>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</si>
  <si>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</si>
  <si>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</si>
  <si>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</si>
  <si>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</si>
  <si>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</si>
  <si>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</si>
  <si>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</si>
  <si>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</si>
  <si>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</si>
  <si>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</si>
  <si>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</si>
  <si>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</si>
  <si>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</si>
  <si>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</si>
  <si>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</si>
  <si>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</si>
  <si>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</si>
  <si>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</si>
  <si>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</si>
  <si>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</si>
  <si>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</si>
  <si>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</si>
  <si>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</si>
  <si>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</si>
  <si>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</si>
  <si>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</si>
  <si>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</si>
  <si>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</si>
  <si>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</si>
  <si>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</si>
  <si>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</si>
  <si>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</si>
  <si>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</si>
  <si>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</si>
  <si>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</si>
  <si>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</si>
  <si>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</si>
  <si>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</si>
  <si>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</si>
  <si>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</si>
  <si>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</si>
  <si>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</si>
  <si>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</si>
  <si>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</si>
  <si>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</si>
  <si>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</si>
  <si>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</si>
  <si>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</si>
  <si>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</si>
  <si>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</si>
  <si>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</si>
  <si>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</si>
  <si>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</si>
  <si>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</si>
  <si>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</si>
  <si>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</si>
  <si>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</si>
  <si>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</si>
  <si>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</si>
  <si>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</si>
  <si>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</si>
  <si>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</si>
  <si>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</si>
  <si>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</si>
  <si>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</si>
  <si>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</si>
  <si>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</si>
  <si>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</si>
  <si>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</si>
  <si>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</si>
  <si>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</si>
  <si>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</si>
  <si>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</si>
  <si>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</si>
  <si>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</si>
  <si>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</si>
  <si>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</si>
  <si>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</si>
  <si>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</si>
  <si>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</si>
  <si>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</si>
  <si>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</si>
  <si>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</si>
  <si>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</si>
  <si>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</si>
  <si>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</si>
  <si>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</si>
  <si>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</si>
  <si>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</si>
  <si>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</si>
  <si>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</si>
  <si>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</si>
  <si>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</si>
  <si>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</si>
  <si>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</si>
  <si>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</si>
  <si>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</si>
  <si>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</si>
  <si>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</si>
  <si>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</si>
  <si>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</si>
  <si>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</si>
  <si>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</si>
  <si>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</si>
  <si>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</si>
  <si>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</si>
  <si>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</si>
  <si>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</si>
  <si>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</si>
  <si>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</si>
  <si>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</si>
  <si>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</si>
  <si>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</si>
  <si>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</si>
  <si>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</si>
  <si>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</si>
  <si>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</si>
  <si>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</si>
  <si>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</si>
  <si>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</si>
  <si>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</si>
  <si>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</si>
  <si>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</si>
  <si>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</si>
  <si>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</si>
  <si>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</si>
  <si>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</si>
  <si>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</si>
  <si>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</si>
  <si>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</si>
  <si>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</si>
  <si>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</si>
  <si>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</si>
  <si>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</si>
  <si>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</si>
  <si>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</si>
  <si>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</si>
  <si>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</si>
  <si>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</si>
  <si>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</si>
  <si>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</si>
  <si>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</si>
  <si>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</si>
  <si>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</si>
  <si>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</si>
  <si>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</si>
  <si>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</si>
  <si>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</si>
  <si>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</si>
  <si>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</si>
  <si>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</si>
  <si>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</si>
  <si>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</si>
  <si>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</si>
  <si>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</si>
  <si>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</si>
  <si>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</si>
  <si>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</si>
  <si>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</si>
  <si>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</si>
  <si>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</si>
  <si>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</si>
  <si>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</si>
  <si>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</si>
  <si>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</si>
  <si>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</si>
  <si>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</si>
  <si>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</si>
  <si>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</si>
  <si>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</si>
  <si>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</si>
  <si>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</si>
  <si>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</si>
  <si>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</si>
  <si>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</si>
  <si>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</si>
  <si>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</si>
  <si>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</si>
  <si>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</si>
  <si>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</si>
  <si>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</si>
  <si>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</si>
  <si>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</si>
  <si>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</si>
  <si>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</si>
  <si>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</si>
  <si>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</si>
  <si>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</si>
  <si>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</si>
  <si>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</si>
  <si>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</si>
  <si>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</si>
  <si>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</si>
  <si>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</si>
  <si>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</si>
  <si>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</si>
  <si>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</si>
  <si>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</si>
  <si>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</si>
  <si>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</si>
  <si>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</si>
  <si>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</si>
  <si>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</si>
  <si>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</si>
  <si>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</si>
  <si>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</si>
  <si>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</si>
  <si>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</si>
  <si>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</si>
  <si>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</si>
  <si>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</si>
  <si>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</si>
  <si>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</si>
  <si>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</si>
  <si>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</si>
  <si>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</si>
  <si>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</si>
  <si>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</si>
  <si>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</si>
  <si>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</si>
  <si>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</si>
  <si>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</si>
  <si>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</si>
  <si>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</si>
  <si>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</si>
  <si>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</si>
  <si>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</si>
  <si>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</si>
  <si>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</si>
  <si>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</si>
  <si>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</si>
  <si>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</si>
  <si>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</si>
  <si>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</si>
  <si>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</si>
  <si>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</si>
  <si>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</si>
  <si>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</si>
  <si>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</si>
  <si>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</si>
  <si>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</si>
  <si>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</si>
  <si>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</si>
  <si>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</si>
  <si>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</si>
  <si>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</si>
  <si>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</si>
  <si>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</si>
  <si>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</si>
  <si>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</si>
  <si>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</si>
  <si>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</si>
  <si>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</si>
  <si>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</si>
  <si>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</si>
  <si>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</si>
  <si>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</si>
  <si>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</si>
  <si>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</si>
  <si>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</si>
  <si>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</si>
  <si>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</si>
  <si>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</si>
  <si>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</si>
  <si>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</si>
  <si>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</si>
  <si>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</si>
  <si>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</si>
  <si>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</si>
  <si>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</si>
  <si>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</si>
  <si>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</si>
  <si>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</si>
  <si>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</si>
  <si>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</si>
  <si>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</si>
  <si>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</si>
  <si>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</si>
  <si>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</si>
  <si>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</si>
  <si>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</si>
  <si>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</si>
  <si>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</si>
  <si>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</si>
  <si>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</si>
  <si>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</si>
  <si>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</si>
  <si>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</si>
  <si>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</si>
  <si>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</si>
  <si>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</si>
  <si>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</si>
  <si>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</si>
  <si>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</si>
  <si>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</si>
  <si>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</si>
  <si>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</si>
  <si>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</si>
  <si>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</si>
  <si>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</si>
  <si>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</si>
  <si>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</si>
  <si>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</si>
  <si>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</si>
  <si>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</si>
  <si>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</si>
  <si>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</si>
  <si>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</si>
  <si>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</si>
  <si>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</si>
  <si>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</si>
  <si>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</si>
  <si>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</si>
  <si>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</si>
  <si>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</si>
  <si>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</si>
  <si>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</si>
  <si>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</si>
  <si>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</si>
  <si>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</si>
  <si>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</si>
  <si>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</si>
  <si>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</si>
  <si>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</si>
  <si>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</si>
  <si>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</si>
  <si>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</si>
  <si>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</si>
  <si>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</si>
  <si>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</si>
  <si>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</si>
  <si>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</si>
  <si>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</si>
  <si>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</si>
  <si>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</si>
  <si>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</si>
  <si>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</si>
  <si>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</si>
  <si>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</si>
  <si>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</si>
  <si>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</si>
  <si>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</si>
  <si>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</si>
  <si>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</si>
  <si>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</si>
  <si>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</si>
  <si>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</si>
  <si>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</si>
  <si>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</si>
  <si>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</si>
  <si>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</si>
  <si>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</si>
  <si>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</si>
  <si>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</si>
  <si>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</si>
  <si>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</si>
  <si>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</si>
  <si>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</si>
  <si>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</si>
  <si>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</si>
  <si>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</si>
  <si>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</si>
  <si>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</si>
  <si>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</si>
  <si>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</si>
  <si>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</si>
  <si>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</si>
  <si>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</si>
  <si>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</si>
  <si>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</si>
  <si>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</si>
  <si>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</si>
  <si>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</si>
  <si>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</si>
  <si>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</si>
  <si>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</si>
  <si>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</si>
  <si>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</si>
  <si>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</si>
  <si>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</si>
  <si>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</si>
  <si>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</si>
  <si>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</si>
  <si>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</si>
  <si>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</si>
  <si>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</si>
  <si>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</si>
  <si>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</si>
  <si>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</si>
  <si>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</si>
  <si>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</si>
  <si>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</si>
  <si>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</si>
  <si>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TAMPA CIRCULAR PARA ESGOTO E DRENAGEM, EM CONCRETO PRÉ-MOLDADO, DIÂMETRO INTERNO = 0,60 M E ALTURA = 0,10 M. AF_12/2020</t>
  </si>
  <si>
    <t>LIGACOES PREDIAIS DE AGUA</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</si>
  <si>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</si>
  <si>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</si>
  <si>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</si>
  <si>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</si>
  <si>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</si>
  <si>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</si>
  <si>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</si>
  <si>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</si>
  <si>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</si>
  <si>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</si>
  <si>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</si>
  <si>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</si>
  <si>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</si>
  <si>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</si>
  <si>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</si>
  <si>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</si>
  <si>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</si>
  <si>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</si>
  <si>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</si>
  <si>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</si>
  <si>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</si>
  <si>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</si>
  <si>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</si>
  <si>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</si>
  <si>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</si>
  <si>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</si>
  <si>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</si>
  <si>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</si>
  <si>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</si>
  <si>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</si>
  <si>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</si>
  <si>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</si>
  <si>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</si>
  <si>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</si>
  <si>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</si>
  <si>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</si>
  <si>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</si>
  <si>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</si>
  <si>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</si>
  <si>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</si>
  <si>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</si>
  <si>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</si>
  <si>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</si>
  <si>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</si>
  <si>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</si>
  <si>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</si>
  <si>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</si>
  <si>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</si>
  <si>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</si>
  <si>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</si>
  <si>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</si>
  <si>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</si>
  <si>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</si>
  <si>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</si>
  <si>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</si>
  <si>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</si>
  <si>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</si>
  <si>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</si>
  <si>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</si>
  <si>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</si>
  <si>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</si>
  <si>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</si>
  <si>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</si>
  <si>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</si>
  <si>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</si>
  <si>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</si>
  <si>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</si>
  <si>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</si>
  <si>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</si>
  <si>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</si>
  <si>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</si>
  <si>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PISO GRANILITE/MARMORITE</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</si>
  <si>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</si>
  <si>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</si>
  <si>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</si>
  <si>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UNXMES</t>
  </si>
  <si>
    <t>DEMOLIÇÃO MECANIZADA DE PISO DE ALTA RESISTÊNCIA, SEM REAPROVEITAMENTO</t>
  </si>
  <si>
    <t>ADAP ORSE S09031</t>
  </si>
  <si>
    <t>C10604</t>
  </si>
  <si>
    <t>SINAPI 94279</t>
  </si>
  <si>
    <t>GUIA PARA CONTENÇÃO DE PAVER EM CONCRETO PRÉ-FABRICADO DIMENSÕES 39X6,5X6,5X19CM</t>
  </si>
  <si>
    <t>CONTRA-RUFO EM CHAPA DE AÇO GALVANIZADO NÚMERO 24, CORTE ATÉ 25 CM, INCLUSO TRANSPORTE VERTICAL</t>
  </si>
  <si>
    <t>C10605</t>
  </si>
  <si>
    <t>ADAP SINAPI 	100327</t>
  </si>
  <si>
    <t>RUFO EXTERNO EM CHAPA DE AÇO GALVANIZADO NÚMERO 24, CORTE DE 33 CM, INCLUSO IÇAMENTO</t>
  </si>
  <si>
    <t>2022/08</t>
  </si>
  <si>
    <t>CAIXA ENTERRADA ELÉTRICA RETANGULAR, EM CONCRETO PRÉ-MOLDADO, COM FUNDO COM BRITA, DIMENSÕES INTERNAS: 0,5X0,5X0,5 M</t>
  </si>
  <si>
    <t>CAIXA DE CONCRETO ARMADO PRE MOLDADO, SEM FUNDO, QUADRADA, DIMENSÕES: 50X50X50CM</t>
  </si>
  <si>
    <t>DEPÓSITO SÃO MARCOS</t>
  </si>
  <si>
    <t>(43) 991460676</t>
  </si>
  <si>
    <t>https://www.depositosaomarcos.com.br/caixa-septica-concreto-50x50-s-divisoria</t>
  </si>
  <si>
    <t>https://www.irmaosoliveira.com.br/caixa-sf-50x50x50x3-5cm</t>
  </si>
  <si>
    <t>ATACADO DO CONCRETO</t>
  </si>
  <si>
    <t>https://atacadodoconcreto.com.br/loja/caixas-de-passagem/caixa-de-passagem-e-inspecao-quadrada-50-x-50-x-50-cm/</t>
  </si>
  <si>
    <t>DISPOSITIVO DE PROTEÇÃO CONTRA SURTO DE TENSÃO DPS CLASSE I (10/350us), 1 POLO, TENSAO MAXIMA DE 175 V, CORRENTE 12,5kA</t>
  </si>
  <si>
    <t>C10606</t>
  </si>
  <si>
    <t xml:space="preserve">SUPORTE PARA APOIO DE BICICLETAS (PARACICLO), EM TUBO GALVANIZADO D=2" E=3MM, ALTURA 80CM, COM PINTURA ELETROSTÁTICA A PÓ COR CINZA CLARO, FIXAÇÃO CONFORME DETALHE </t>
  </si>
  <si>
    <t>TORNEIRA DE MESA, TIPO PRESSMATIC BAIXA PARA LAVATÓRIO, EM METAL CROMADO, COM CICLO DE FECHAMENTO AUTOMÁTICO DE 10 A 20 SEGUNDOS</t>
  </si>
  <si>
    <t>SOLDA EXOTÉRMICA 115</t>
  </si>
  <si>
    <t>ADAP C.P. 141200272267</t>
  </si>
  <si>
    <t>ADAP SINAPI 91926</t>
  </si>
  <si>
    <t>GRAVADOR DIGITAL DE IMAGEM COM MICROPROCESSADOR NVR, SUPORTE PARA MÍNIMO DE 16 CÂMERAS IP/POE, SERVIDOR WEB INCORPORADO PARA ACESSO REMOTO AO NVR, SOFTWARE CLIENTE, DISCO RÍGIDO CAPACIDADE DE 12TB</t>
  </si>
  <si>
    <t>ADAP SINAPI 97603</t>
  </si>
  <si>
    <t>ADAP SINAPI 98307</t>
  </si>
  <si>
    <t>ADAP C.P. 141200272146</t>
  </si>
  <si>
    <t>PLACA DE ESTACIONAMENTO 50X70CM, EM CHAPA DE AÇO CARBONO, COM APLICAÇÃO DE PELÍCULA REFLETIVA, PELÍCULA VINÍLICA OU SLIK SCREEN, FIXAÇÃO EM POSTE METÁLICO PINTADOS COM TINTA PRETA FOSCA</t>
  </si>
  <si>
    <t>CARGA E TRANSPORTE DE ENTULHO</t>
  </si>
  <si>
    <t>IPLACAS</t>
  </si>
  <si>
    <t>(19) 98157-5656</t>
  </si>
  <si>
    <t>THIAGO</t>
  </si>
  <si>
    <t>ARTESUL</t>
  </si>
  <si>
    <t>PLACA DE SINALIZAÇÃO  TIPO M1, COM INDICAÇÃO DOS SISTEMAS DE PROTEÇÃO CONTRA INCÊNDIO EXISTENTES NA EDIFICAÇÃO (SIMBOLOS, CORES E PICTOGRAMAS CONFORME NBR 13434), DIMENSÃO APROXIMADA 78X107,5CM</t>
  </si>
  <si>
    <t>TAG SINALIZACAO</t>
  </si>
  <si>
    <t>https://lp.tagsinalizacao.com/?gclid=CjwKCAjw3K2XBhAzEiwAmmgrAnxtpq0-UMegNpNmQ2iAUOc460t6EPksOx1x23LpHYEHIVx6arDKbhoCT44QAvD_BwE</t>
  </si>
  <si>
    <t>JESSICA</t>
  </si>
  <si>
    <t>https://www.artesulplacas.com/placa-fotoluminescente-bombeiros-pvc-m1-informativo-sobre-sistema-de-seguranca-da-construc-o-predio.html</t>
  </si>
  <si>
    <t>ADAP SINAPI 97599</t>
  </si>
  <si>
    <t>C10608</t>
  </si>
  <si>
    <t>PINTURA EM ESTRUTURA METÁLICA COM TINTA EPÓXI UMA DEMÃO DE FUNDO E UMA DE ACABAMENTO, COM ESPESSURA TOTAL DE 120 MICRAS</t>
  </si>
  <si>
    <t>PINTURA EM ESTRUTURA METÁLICA COM TINTA PU COM ESPESSURA DE 40 MICRAS</t>
  </si>
  <si>
    <t>ADAP SINAPI 100739</t>
  </si>
  <si>
    <t>CONTRUTINTAS</t>
  </si>
  <si>
    <t>https://www.construtintasonline.com.br/esmalte-pu-branco-acabamento-3-6-litros-adpoly-7990-advance-56706</t>
  </si>
  <si>
    <t>DILUENTE PARA PU POLIURETANO ADVANCE 400 OU EQUIVALENTE TÉCNICO</t>
  </si>
  <si>
    <t>ATACADAO DAS TINTAS</t>
  </si>
  <si>
    <t>https://loja.atacadaodastintas.com.br/p-resina-poliuretano-acabamento-brilho-amarelo-seguranca-adpoly-7990-advance-3-6-lts-08272</t>
  </si>
  <si>
    <t>BELA TINTAS</t>
  </si>
  <si>
    <t>https://www.belatintas.com.br/produto/adpoly-7990-aluminio-parte-a-3-6l-advance-80060</t>
  </si>
  <si>
    <t>TINTA POLIURETANO ACRÍLICO BICOMPONENTE, ADPOLY 7990 ADVANCE 40 MICRAS, OU EQUIVALENTE TÉCNICO</t>
  </si>
  <si>
    <t>SHOPEE</t>
  </si>
  <si>
    <t>https://shopee.com.br/placa-inaugura%C3%A7%C3%A3o-em-a%C3%A7o-inox-medida-50x70-cm-i.459962461.12225928572</t>
  </si>
  <si>
    <t>https://produto.mercadolivre.com.br/MLB-1291928747-placa-inauguraco-em-aco-inox-70x50cm-_JM#position=23&amp;search_layout=stack&amp;type=item&amp;tracking_id=faa236d6-1029-4dc7-bbcd-9b32c31b0d16</t>
  </si>
  <si>
    <t>ROYAL PLACAS</t>
  </si>
  <si>
    <t>https://produto.mercadolivre.com.br/MLB-885600242-placa-de-inauguraco-em-aco-inox-50x70-cm-_JM?matt_tool=18956390&amp;utm_source=google_shopping&amp;utm_medium=organic</t>
  </si>
  <si>
    <t>INFRA-ESTRUTURA</t>
  </si>
  <si>
    <t>ALIMENTAÇÃO</t>
  </si>
  <si>
    <t>CAIXA DE PASSAGEM</t>
  </si>
  <si>
    <t>PVC RÍGIDO SOLDÁVEL</t>
  </si>
  <si>
    <t>METAIS</t>
  </si>
  <si>
    <t>PVC ACESSÓRIOS</t>
  </si>
  <si>
    <t>C1968</t>
  </si>
  <si>
    <t>ADAP SINAPI 86877</t>
  </si>
  <si>
    <t>PVC ESGOTO</t>
  </si>
  <si>
    <t>ESGOTO AR CONDICIONADO</t>
  </si>
  <si>
    <t>CAIXAS DE PASSAGEM</t>
  </si>
  <si>
    <t>ESGOTO GORDURA</t>
  </si>
  <si>
    <t>CAIXA DE PASSAGEM PVC 30CM, DRENO COM BRITA</t>
  </si>
  <si>
    <t>C1969</t>
  </si>
  <si>
    <t>ADAP SINAPI 98102</t>
  </si>
  <si>
    <t>CAIXA DE GORDURA EM PVC, CIRCULAR, , DIÂMETRO 30CM, DIÂMETRO DE SAÍDA 100MM, CAPACIDADE APROXIMADA 18 LITROS, COM TAMPA E CESTO</t>
  </si>
  <si>
    <t>VÁLVULA EM METAL CROMADO 1" PARA PIA, TANQUE OU LAVATÓRIO, SEM LADRÃO - FORNECIMENTO E INSTALAÇÃO</t>
  </si>
  <si>
    <t>PLUVIAL</t>
  </si>
  <si>
    <t>VENTILAÇÃO</t>
  </si>
  <si>
    <t>APARELHOS</t>
  </si>
  <si>
    <t>C1364</t>
  </si>
  <si>
    <t>PLACA DE SINALIZAÇÃO  TIPO M2, COM INDICAÇÃO DOS SISTEMAS DE PROTEÇÃO CONTRA INCÊNDIO EXISTENTES NA EDIFICAÇÃO (SIMBOLOS, CORES E PICTOGRAMAS CONFORME NBR 13434)</t>
  </si>
  <si>
    <t>PLACA DE SINALIZAÇÃO TIPO S8/S9/S2D/S2E/S3/S12 - 240X120 MM - (SIMBOLOS, CORES E PICTOGRAMAS CONFORME NBR 13434)</t>
  </si>
  <si>
    <t>PLACA DE SINALIZAÇÃO TIPO E5/A5 - 150 MM - (SIMBOLOS, CORES E PICTOGRAMAS CONFORME NBR 13434)</t>
  </si>
  <si>
    <t xml:space="preserve">Bloco autônomo de iluminação de emergência LED, autonomia de 3 horas, equipado com 2 faróis, fluxo luminoso máximo de 2.200 lúmens;  Bloco de 2200 lumens da Segurimax ou equivalente </t>
  </si>
  <si>
    <t>BLOCO AUTÔNOMO DE ILUMINAÇÃO DE EMERGÊNCIA LED, AUTONOMIA DE 3 HORAS, EQUIPADO COM 2 FARÓIS, FLUXO LUMINOSO 2.200 LÚMENS; BLOCO DE 2200 LUMENS DA SEGURIMAX OU EQUIVALENTE TÉCNICO</t>
  </si>
  <si>
    <t>REFORÇO DE ESTRUTURA METÁLICA, COM LIGAÇÕES SOLDADAS, INCLUSOS PERFIS METÁLICOS, CHAPAS METÁLICAS, MÃO DE OBRA E TRANSPORTE COM GUINDASTE, CONFORME PROJETO - FORNECIMENTO E INSTALAÇÃO</t>
  </si>
  <si>
    <t>ESCADA</t>
  </si>
  <si>
    <t>ESCADAS</t>
  </si>
  <si>
    <t>CÂMARA MUNICIPAL DE TAMARANA</t>
  </si>
  <si>
    <t>RUA UBALDINO DE SÁ BITERNCOURT, S/N. - PRAÇA "A-B-3"</t>
  </si>
  <si>
    <t>TAMARANA/PR</t>
  </si>
  <si>
    <t>DRYWALL</t>
  </si>
  <si>
    <t>C10609</t>
  </si>
  <si>
    <t>ADAP SINAPI 96359</t>
  </si>
  <si>
    <t>PAREDE COM PLACAS DE GESSO ACARTONADO (DRYWALL), PARA USO INTERNO, COM DUAS FACES SIMPLES (ST/ST) E ESTRUTURA METÁLICA COM GUIAS SIMPLES DE 90MM, ESPESSURA FINAL 11,5CM</t>
  </si>
  <si>
    <t>RASGOS E CHUMBAMENTOS</t>
  </si>
  <si>
    <t>DEMOLIÇÃO PAREDES</t>
  </si>
  <si>
    <t>C10610</t>
  </si>
  <si>
    <t>DEMOLIÇÃO ESCADA</t>
  </si>
  <si>
    <t>ESQUADRIAS DE ALUMÍNIO PRETO</t>
  </si>
  <si>
    <t>VIDRAÇARIA FORMIGÃO</t>
  </si>
  <si>
    <t>ELITE ESQUADRIAS</t>
  </si>
  <si>
    <t>YABE</t>
  </si>
  <si>
    <t>INFRAESTRUTURA AR CONDICIONADO</t>
  </si>
  <si>
    <t>AR CONDICIONADO E EXAUSTÃO</t>
  </si>
  <si>
    <t>TUBOS REFRIGERAÇÃO EM COBRE</t>
  </si>
  <si>
    <t>CLIMATIZAÇÃO</t>
  </si>
  <si>
    <t>TUBO EM COBRE FLEXÍVEL, DN 1/4", E=0,8MM, COM ISOLAMENTO EM ESPUMA ELASTOMÉRICA E=10MM, INSTALADO EM RAMAL DE ALIMENTAÇÃO DE AR CONDICIONADO - FORNECIMENTO E INSTLAÇÃO</t>
  </si>
  <si>
    <t>TUBO EM COBRE FLEXÍVEL, DN 3/8", E=0,8MM, COM ISOLAMENTO EM ESPUMA ELASTOMÉRICA E=10MM, INSTALADO EM RAMAL DE ALIMENTAÇÃO DE AR CONDICIONADO - FORNECIMENTO E INSTLAÇÃO</t>
  </si>
  <si>
    <t>ADAP SINAPI 97332</t>
  </si>
  <si>
    <t>ADAP SINAPI 97331</t>
  </si>
  <si>
    <t>TUBO EM COBRE FLEXÍVEL, DN 5/8", E=0,8MM, COM ISOLAMENTO EM ESPUMA ELASTOMÉRICA E=10MM, INSTALADO EM RAMAL DE ALIMENTAÇÃO DE AR CONDICIONADO - FORNECIMENTO E INSTLAÇÃO</t>
  </si>
  <si>
    <t>ADAP SINAPI 97330</t>
  </si>
  <si>
    <t>TUBO EM COBRE FLEXÍVEL, DN 3/4", E=0,8MM, COM ISOLAMENTO EM ESPUMA ELASTOMÉRICA E=10MM, INSTALADO EM RAMAL DE ALIMENTAÇÃO DE AR CONDICIONADO - FORNECIMENTO E INSTLAÇÃO</t>
  </si>
  <si>
    <t>CAIXAS DE PASSAGEM PLÁSTICAS</t>
  </si>
  <si>
    <t>C2001</t>
  </si>
  <si>
    <t>C2002</t>
  </si>
  <si>
    <t>C2003</t>
  </si>
  <si>
    <t>C2004</t>
  </si>
  <si>
    <t>C2005</t>
  </si>
  <si>
    <t>CPOS</t>
  </si>
  <si>
    <t>INSUMO CPOS</t>
  </si>
  <si>
    <t>CAIXA DE PASSAGEM PARA UNIDADES EVAPORADORAS HI-WALL</t>
  </si>
  <si>
    <t>ADAP CPOS 43.20.130</t>
  </si>
  <si>
    <t>C2006</t>
  </si>
  <si>
    <t>CAIXA DE PASSAGEM PARA UNIDADES EVAPORADORAS PISO-TETO</t>
  </si>
  <si>
    <t>C2007</t>
  </si>
  <si>
    <t>INFRAESTRUTURA RENOVAÇÃO DE AR E EXAUSTÃO</t>
  </si>
  <si>
    <t>VENTILADOR COMPACTO AXIAL INSTALADO EM FORRO - VAZÃO 93M3/H -220V-W-60HZ, REF. SPLITVENT SICFLUX OU EQUIVALENTE TÉCNICO</t>
  </si>
  <si>
    <t>SICFLUX</t>
  </si>
  <si>
    <t>https://sicflux.minhalojanouol.com.br/renovador-de-arinsuflador-sicflux-splitvent-biv---atende-a-lei-135892018/p</t>
  </si>
  <si>
    <t>ADAP SBC 190509</t>
  </si>
  <si>
    <t>C2008</t>
  </si>
  <si>
    <t>VENTILADOR COMPACTO AXIAL PARA INSTALAÇÃO EM FORRO - VAZÃO 93M3/H - 220V - 20W - 60HZ. REFERÊNCIA: SICFLUX SPLITVENT OU OUTRO EQUIVALENTE TÉCNICO - FORNECIMENTO E INSTALAÇÃO.</t>
  </si>
  <si>
    <t>EXAUSTOR AXIAL EM LINHA, ULTRACOMPACTO COM 02 VELOCIDADES, 60HZ, MONOFÁSICO, 127V, VAZÃO MÍNIMA 830 M³/H, REFERÊNCIA. SICFLUX LINHA MAXX 200 OU EQUIVALENTE TÉCNICO</t>
  </si>
  <si>
    <t>https://sicflux.minhalojanouol.com.br/exaustor-sicflux-axial-in-line-maxx-200--220v--%C3%B8200mm/p</t>
  </si>
  <si>
    <t>https://sicflux.minhalojanouol.com.br/exaustor-banheiro-125mm-sicflux-sonora-18-super-silencioso/p</t>
  </si>
  <si>
    <t>EXAUSTOR AXIAL EM LINHA, ULTRACOMPACTO COM 02 VELOCIDADES, 60HZ, MONOFÁSICO, 127V, VAZÃO MÍNIMA 830 M³/H, REFERÊNCIA. SICFLUX LINHA MAXX 200 OU EQUIVALENTE TÉCNICO - FORNECIMENTO E INSTALAÇÃO.</t>
  </si>
  <si>
    <t>C2009</t>
  </si>
  <si>
    <t>C2010</t>
  </si>
  <si>
    <t>ADAP SBC 070486</t>
  </si>
  <si>
    <t>https://sicflux.minhalojanouol.com.br/caixa-de-filtro-filbox-100-red---100mm/p</t>
  </si>
  <si>
    <t xml:space="preserve">EXAUSTOR DE BANHEIRO 125MM, REFERÊNCIA SICFLUX LINHA SONORA 18 OU EQUIVALENTE TÉCNICO </t>
  </si>
  <si>
    <t>UNIDADE DE VENTILAÇÃO EXAUSTORA COMPACTA AXIAL, 60HZ, MONOFÁSICO, 127V, VAZÃO MÁXIMA 183 M³/H. REFERÊNCIA SICFLUX LINHA SONORA 18 OU EQUIVALENTE TÉCNICO - FORNECIMENTO E INSTALAÇÃO.</t>
  </si>
  <si>
    <t>CAIXA DE FILTRO PARA TOMADA DE AR EXTERNO DE 100M EM PLÁSTICO, INCLUSO FILTRO CLASSE G4, REF. FILBOX RED 100 OU EQUIVALENTE TÉCNICO</t>
  </si>
  <si>
    <t>CAIXA DE FILTRO PARA TOMADA DE AR EXTERNO DE 150M EM PLÁSTICO, INCLUSO FILTRO CLASSE G4, REF. FILBOX RED 200 OU EQUIVALENTE TÉCNICO</t>
  </si>
  <si>
    <t>NOVA EXAUSTORES</t>
  </si>
  <si>
    <t>https://www.novaexaustores.com.br/exaustores/caixa-de-filtragem-em-abs-mod-filbox-red-200</t>
  </si>
  <si>
    <t>https://www.novaexaustores.com.br/exaustores/caixa-de-filtragem-em-abs-mod-filbox-red-100-maxx-100-220v</t>
  </si>
  <si>
    <t>CAIXA DE FILTRO PARA TOMADA DE AR EXTERNO EM PLÁSTICO, INCLUSO FILTRO CLASSE G4 E M5, REF. FILBOX RED 200 OU EQUIVALENTE TÉCNICO</t>
  </si>
  <si>
    <t>CAIXA DE FILTRO PARA TOMADA DE AR EXTERNO DE 100MM EM PLÁSTICO, INCLUSO FILTRO CLASSE G4 E M5, REF. FILBOX RED 100 OU EQUIVALENTE TÉCNICO</t>
  </si>
  <si>
    <t>C2011</t>
  </si>
  <si>
    <t>C2012</t>
  </si>
  <si>
    <t>ADAP ORSE S09845</t>
  </si>
  <si>
    <t>GRELHA PLÁSTICA REDONDA FIXA COM COLARINHO Ø100MM (Ø4"). REF.: SICFLUX GRADE S100 OU EQUIVALENTE TÉCNICO</t>
  </si>
  <si>
    <t>GRELHA PLÁSTICA REDONDA FIXA COM COLARINHO Ø100MM (Ø4"). REF.: SICFLUX GRADE S100</t>
  </si>
  <si>
    <t>GRELHA PLÁSTICA REDONDA FIXA COM COLARINHO Ø200MM (Ø6"). REF.: SICFLUX GRADE S200</t>
  </si>
  <si>
    <t>C2013</t>
  </si>
  <si>
    <t>GRELHA PLÁSTICA REDONDA FIXA COM COLARINHO Ø200MM (Ø6"). REF.: SICFLUX GRADE S200 OU EQUIVALENTE TÉCNICO</t>
  </si>
  <si>
    <t>REGULADOR DE VAZÃO DE AR</t>
  </si>
  <si>
    <t>GRADE PLÁSTICA PARA CAPTAÇÃO DE AR</t>
  </si>
  <si>
    <t>CAIXA DE FILTRO E ELEMENTOS DE FILTRAGEM DE AR</t>
  </si>
  <si>
    <t>UNIDADE DE VENTILAÇÃO</t>
  </si>
  <si>
    <t>C2014</t>
  </si>
  <si>
    <t>ADAP SBC 070228</t>
  </si>
  <si>
    <t>REGULADOR DE VAZÃO DE AR  Ø200MM (Ø8"). REF.: SICFLUX RVA 200 OU EQUIVALENTE TÉCNICO</t>
  </si>
  <si>
    <t>REGULADOR DE VAZÃO DE AR  Ø200MM (Ø8"). REF.: SICFLUX RVA 200 OU EQUIVALENTE TÉCNICO - FORNECIMENTO E INSTALAÇÃO</t>
  </si>
  <si>
    <t>DUTOS ALUMÍNIO</t>
  </si>
  <si>
    <t>C2015</t>
  </si>
  <si>
    <t>DUTO FLEXÍVEL EM ALUMÍNIO LAMINADO COM ESTRUTURA DE ARAME EM AÇO TRATADO Ø100MM (Ø4"). REF.: SICFLUX FLEX 100 AP OU EQUIVALENTE TÉCNICO</t>
  </si>
  <si>
    <t>DUTO FLEXÍVEL EM ALUMÍNIO LAMINADO COM ESTRUTURA DE ARAME EM AÇO TRATADO Ø100MM (Ø4"). REF.: SICFLUX FLEX 100 AP</t>
  </si>
  <si>
    <t>ADAP SBC 070495</t>
  </si>
  <si>
    <t>DUTO FLEXÍVEL EM ALUMÍNIO LAMINADO COM ESTRUTURA DE ARAME EM AÇO TRATADO Ø200MM (Ø8"). REF.: SICFLUX FLEX 200 AP</t>
  </si>
  <si>
    <t>C2016</t>
  </si>
  <si>
    <t>SOL DIGITAL</t>
  </si>
  <si>
    <t>https://www.soldigital.com.br/insuflador-de-ar-compacto-sicflux-splitvent-bivolt-100mm?utm_source=Site&amp;utm_medium=GoogleMerchant&amp;utm_campaign=GoogleMerchant</t>
  </si>
  <si>
    <t>AR COTEC</t>
  </si>
  <si>
    <t>http://www.arcotec.com.br/catalogo-produtos/exaustores/exaustor-splitvent-ventiladora-biv-com-filtro-g4-m5-sicflux/</t>
  </si>
  <si>
    <t>https://www.soldigital.com.br/exaustor-em-linha-sicflux-maxx-200-200mm-220v</t>
  </si>
  <si>
    <t>FRIO SHOPPING</t>
  </si>
  <si>
    <t>https://www.frioshopping.com/exaustores/exaustores-comerciais/linha-maxx/exaustor-maxx-200-sicflux-220v</t>
  </si>
  <si>
    <t>FRIOPEÇAS</t>
  </si>
  <si>
    <t>https://www.soldigital.com.br/exaustor-para-banheiro-sicflux-sonora-18-bivolt-125mm</t>
  </si>
  <si>
    <t>https://www.friopecas.com.br/exaustor-para-banheiro-sonora-18-bivolt/p?idsku=123692&amp;gclid=CjwKCAjw6fyXBhBgEiwAhhiZstz-DlfgfpeYOeXkV38BU4ZicDBBZxnckYGEkRLyNvTQPOd1uN0EDRoCDP8QAvD_BwE</t>
  </si>
  <si>
    <t>https://www.soldigital.com.br/caixa-de-filtro-de-ar-sicflux-filbox-redonda-100mm?utm_source=Site&amp;utm_medium=GoogleMerchant&amp;utm_campaign=GoogleMerchant</t>
  </si>
  <si>
    <t>https://www.soldigital.com.br/produto/caixa-de-filtro-de-ar-sicflux-filbox-redonda-200mm.html?utm_source=Site&amp;utm_medium=GoogleMerchant&amp;utm_campaign=GoogleMerchant</t>
  </si>
  <si>
    <t>https://www.frioshopping.com/exaustores/caixa-de-filtragem/filbox-red/caixa-de-filtragem-filbox-red-200-sicflux-g4m5-220v</t>
  </si>
  <si>
    <t>https://www.soldigital.com.br/grade-de-saida-fixa-redonda-para-duto-de-100mm-arkit-s100?utm_source=Site&amp;utm_medium=GoogleMerchant&amp;utm_campaign=GoogleMerchant</t>
  </si>
  <si>
    <t>https://www.friopecas.com.br/grade-redonda-fixa-s-100-4-345/p?idsku=123708&amp;gclid=CjwKCAjw6fyXBhBgEiwAhhiZsgh1uf7nFBhKHHvDW_zOnx_2Xyp90srgS7iKuAM-ljyw6hCpJnrCHRoCYekQAvD_BwE</t>
  </si>
  <si>
    <t>AR-COTEC</t>
  </si>
  <si>
    <t>http://www.arcotec.com.br/catalogo-produtos/acessorios-em-geral/grelha-grade-veneziana-para-exaustor-redondo-ventokit-sicflux/</t>
  </si>
  <si>
    <t>https://www.soldigital.com.br/produto/grade-de-saida-fixa-redonda-para-duto-de-200mm-arkit-s200.html</t>
  </si>
  <si>
    <t>https://produto.mercadolivre.com.br/MLB-2655431192-grade-de-saida-fixa-redonda-para-duto-de-200mm-arkit-s200-_JM?matt_tool=18956390&amp;utm_source=google_shopping&amp;utm_medium=organic</t>
  </si>
  <si>
    <t>MAGAZINE LUIZA</t>
  </si>
  <si>
    <t>https://www.magazineluiza.com.br/grelha-plastica-redonda-fixa-sicflux/p/kgd4ackj94/cj/ragl/?&amp;seller_id=klimaporto</t>
  </si>
  <si>
    <t>https://www.soldigital.com.br/regulador-de-vazao-de-ar-sicflux-para-duto-de-200mm-rva-200?utm_source=Site&amp;utm_medium=GoogleMerchant&amp;utm_campaign=GoogleMerchant</t>
  </si>
  <si>
    <t>https://www.novaexaustores.com.br/exaustores/grelha-de-acabamento-interno-pexaustor-de-banheiro-mod-rva-200</t>
  </si>
  <si>
    <t>https://produto.mercadolivre.com.br/MLB-2715771124-regulador-vazo-ar-rva-200mm-duto-ventilaco-difusor-insufla-_JM?matt_tool=18956390&amp;utm_source=google_shopping&amp;utm_medium=organic</t>
  </si>
  <si>
    <t>https://www.friopecas.com.br/tubo-flexivel-aluminizado-flex-100-ap-4/p</t>
  </si>
  <si>
    <t>https://www.soldigital.com.br/duto-flexivel-aluminizado-100mm-com-10-metros</t>
  </si>
  <si>
    <t>https://www.soldigital.com.br/duto-flexivel-aluminizado-200mm-com-5-metros</t>
  </si>
  <si>
    <t>https://produto.mercadolivre.com.br/MLB-1611075979-duto-flexivel-aluminizado-200mm-com-5-metros-_JM?matt_tool=18956390&amp;utm_source=google_shopping&amp;utm_medium=organic</t>
  </si>
  <si>
    <t>IMPERMEABILIZAÇÃO</t>
  </si>
  <si>
    <t>C10611</t>
  </si>
  <si>
    <t>C10612</t>
  </si>
  <si>
    <t>ADAP SINAPI 96113</t>
  </si>
  <si>
    <t>FORRO EM PLACAS DE GESSO RESISTENTE A UMIDADE (RU)</t>
  </si>
  <si>
    <t>C10613</t>
  </si>
  <si>
    <t>ADAP SINAPI 87269</t>
  </si>
  <si>
    <t>REVESTIMENTO CERÂMICO PARA PAREDES INTERNAS DIMENSÕES 40X30CM, COR BRANCO, DO PISO AO TETO</t>
  </si>
  <si>
    <t>C10614</t>
  </si>
  <si>
    <t>PASTILHAS CERÂMICAS PARA PAREDES INTERNAS DIMENSÕES 10X10CM, COR CINZA MÉDIO, DO PISO AO TETO</t>
  </si>
  <si>
    <t>C10615</t>
  </si>
  <si>
    <t>ADAP SINAPI 101727</t>
  </si>
  <si>
    <t>C10616</t>
  </si>
  <si>
    <t>PAINÉIS ABSORVENTES SONOROS EM LÃ DE VIDRO, RESISTENTE AO FOGO</t>
  </si>
  <si>
    <t>C10617</t>
  </si>
  <si>
    <t>PAINEL EM MDF COR FENDI</t>
  </si>
  <si>
    <t>ADAP SINAPI 102241</t>
  </si>
  <si>
    <t>C10618</t>
  </si>
  <si>
    <t>REVESTIMENTO EM PEDRA TIPO ARENITO COMUM</t>
  </si>
  <si>
    <t>ADAPCPOS 19.03.020</t>
  </si>
  <si>
    <t>C10619</t>
  </si>
  <si>
    <t>PORCELANATO 60X60CM, RETIFICADO, ACETINADO, COR CINZA CLARO, PEI MAIOR OU IGUAL A 4, ABSORÇÃO MENOR QUE 4%, COM REJUNTE EPÓXI COR CINZA</t>
  </si>
  <si>
    <t>ADAP SINAPI 87263</t>
  </si>
  <si>
    <t>REVESTIMENTO VINÍLICO HETEROGÊNEO FLEXÍVEL EM RÉGUAS 184X950MM, ESPESSURA 3,2MM, COR CANELA, USO COMERCIAL - FORNECIMENTO E INSTALAÇÃO</t>
  </si>
  <si>
    <t>C10620</t>
  </si>
  <si>
    <t>ADAP SINAPI 98678 + SINAPI 101727</t>
  </si>
  <si>
    <t>PISO VINÍLICO EM MANTA HOMOGÊNEO, E=2MM, REF. VYLON PLUS TARKETT OU EQUIVALENTE TÉCNICO</t>
  </si>
  <si>
    <t>https://www.afrel.com.br/vylon-plus-21000592.html</t>
  </si>
  <si>
    <t>AFREL</t>
  </si>
  <si>
    <t>PISO ELEVADO COM ESTRUTURA EM AÇO, COMPOSTO POR PEDESTAIS E LONGARINAS, 2 PLACAS DE AÇO COM ENCHIMENTO EM CONCRETO CELULAR, 60X60CM, H=15CM, RESISTÊNCIA CARGA CONCENTRADA 496KG, COM SUPERFÍCIE EM MANTA VINÍLICA ESP=2MM, REF 21000592 TARKETT OU EQUIVALENTE TÉCNICO</t>
  </si>
  <si>
    <t>C10621</t>
  </si>
  <si>
    <t>RODAPÉ PORCELANATO DE 10CM DE ALTURA, COM REJUNTE EPÓXI COR CINZA CLARO</t>
  </si>
  <si>
    <t>ADAP SINAPI 88650</t>
  </si>
  <si>
    <t>C10622</t>
  </si>
  <si>
    <t>ADAP SINAPI 98689</t>
  </si>
  <si>
    <t>SOLEIRA EM GRANITO CASTELO, ESPESSURA 2CM, LARGURA 10CM</t>
  </si>
  <si>
    <t>C10623</t>
  </si>
  <si>
    <t>SOLEIRA EM GRANITO CASTELO, ESPESSURA 2CM, LARGURA 11CM</t>
  </si>
  <si>
    <t>C10624</t>
  </si>
  <si>
    <t>SOLEIRA EM GRANITO CASTELO, ESPESSURA 2CM, LARGURA 15CM</t>
  </si>
  <si>
    <t>C10625</t>
  </si>
  <si>
    <t>SOLEIRA EM GRANITO CASTELO, ESPESSURA 2CM, LARGURA 20CM</t>
  </si>
  <si>
    <t>C10626</t>
  </si>
  <si>
    <t>SOLEIRA EM GRANITO CASTELO, ESPESSURA 2CM, LARGURA 22CM</t>
  </si>
  <si>
    <t>C10627</t>
  </si>
  <si>
    <t>ACABAMENTO DEGRAU EM GRANITO CASTELO COM FRISOS ANTIDERRAPANTES, ESPESSURA 2CM, LARGURA 5CM</t>
  </si>
  <si>
    <t>C10628</t>
  </si>
  <si>
    <t>PERFIL METÁLICO DE ACABAMENTO ENTRE PISO VINÍLICO E PORCELANATO - FORNECIMENTO E INSTALAÇÃO</t>
  </si>
  <si>
    <t>ADAP CPOS 32.07.230</t>
  </si>
  <si>
    <t>PERFIL METÁLICO DE ACABAMENTO ENTRE PISO VINÍLICO E PORCELANATO</t>
  </si>
  <si>
    <t>C10629</t>
  </si>
  <si>
    <t>LIMPEZA TERRENO</t>
  </si>
  <si>
    <t>DEMOLIÇÃO DE MEIO-FIO</t>
  </si>
  <si>
    <t>C100</t>
  </si>
  <si>
    <t>JANELA DE ALUMÍNIO COR PRETO DE CORRER COM 2 FOLHAS PARA VIDROS, COM VIDROS, BATENTE. FORNECIMENTO E INSTALAÇÃO</t>
  </si>
  <si>
    <t>C101</t>
  </si>
  <si>
    <t>JANELA DE ALUMÍNIO COR PRETO DE CORRER COM 4 FOLHAS PARA VIDROS, COM VIDROS, BATENTE. FORNECIMENTO E INSTALAÇÃO</t>
  </si>
  <si>
    <t>C102</t>
  </si>
  <si>
    <t>C103</t>
  </si>
  <si>
    <t>C104</t>
  </si>
  <si>
    <t>ADAP SINAPI 94589</t>
  </si>
  <si>
    <t>CONTRAMARCO DE ALUMÍNIO PRETO, FIXAÇÃO COM ARGAMASSA - FORNECIMENTO E INSTALAÇÃO</t>
  </si>
  <si>
    <t>C105</t>
  </si>
  <si>
    <t>PORTA DE ABRIR 01 FOLHA VENEZIANA EM ALUMÍNIO COR PRETO COMPLETA - FORNECIMENTO E INSTALAÇÃO</t>
  </si>
  <si>
    <t>C106</t>
  </si>
  <si>
    <t>PORTA DE ABRIR 01 FOLHA VENEZIANA VENTILADA EM ALUMÍNIO COR PRETO COMPLETA - FORNECIMENTO E INSTALAÇÃO</t>
  </si>
  <si>
    <t>C107</t>
  </si>
  <si>
    <t>PORTA DE ABRIR 01 FOLHA EM ALUMÍNIO COR PRETO, METADE VENEZIANA, METADE TELA MOSQUITEIRO DE NYLON FIXA, FIO 30, MALHA 16X16CM - FORNECIMENTO E INSTALAÇÃO</t>
  </si>
  <si>
    <t>C108</t>
  </si>
  <si>
    <t>KIT DE PORTA DE MADEIRA DE CORRER PARA PINTURA, SEMI-OCA (LEVE OU MÉDIA), PADRÃO MÉDIO, 90X210CM, ESPESSURA DE 3,5CM, ITENS INCLUSOS: TRILHO, MONTAGEM E INSTALAÇÃO DO BATENTE, FECHADURA COM EXECUÇÃO DO FURO - FORNECIMENTO E INSTALAÇÃO</t>
  </si>
  <si>
    <t>ADAP ORSE S08204</t>
  </si>
  <si>
    <t>C109</t>
  </si>
  <si>
    <t>ADAP SBC 112060</t>
  </si>
  <si>
    <t>C110</t>
  </si>
  <si>
    <t>GRADIL NYLOFOR H=2,43M, MALHA 5 X 20CM - FIO 5,00MM, COM FIXADORES DE POLIAMIDA EM POSTE 40 x 60 MM CHUMBADOS EM BASE DE CONCRETO (EXCLUSIVE ESTA), REVESTIDOS EM POLIESTER POR PROCESSO DE PINTURA ELETROSTÁTICA (GRADIL E POSTE), COR PRETO - FORNECIMENTO E INSTALAÇÃO</t>
  </si>
  <si>
    <t>ADAP SEINFRA C4725</t>
  </si>
  <si>
    <t xml:space="preserve">PAINEL NYLOFOR 2,43M x 2,5M (A X L) - MALHA 5 x 20 CM - FIO 5MM, REVESTIDO EM POLIESTER POR PROCESSO DE PINTURA ELETROSTÁTICA, NAS CORES VERDE OU BRANCA	</t>
  </si>
  <si>
    <t xml:space="preserve">FIXADOR POLIAMIDA PARA POSTE, NAS CORES VERDE OU BRANCA	</t>
  </si>
  <si>
    <t xml:space="preserve">SERVIÇO - COLOCAÇÃO E MONTAGEM DE CERCA/GRADIL NYLOFOR	</t>
  </si>
  <si>
    <t xml:space="preserve">PORTÃO PIVOTANTE NYLOFOR, COMPOSTO DE QUADRO, PAINÉIS E ACESSÓRIOS COM PINTURA ELETROSTÁTICA COM TINTA POLIESTER, NAS CORES VERDE OU BRANCA, COM POSTE EM AÇO REVESTIDO, COR VERDE OU BRANCA - FORNECIMENTO E MONTAGEM		</t>
  </si>
  <si>
    <t>C111</t>
  </si>
  <si>
    <t>PORTÃO DE FERRO PIVOTANTE NYLOFOR, COMPOSTO DE QUADRO, PAINÉIS E ACESSÓRIOS COM PINTURA ELETROSTÁTICA COM TINTA POLIESTER, COR PRETO, COM POSTE EM AÇO REVESTIDO, COR PRETO - FORNECIMENTO E MONTAGEM</t>
  </si>
  <si>
    <t>C112</t>
  </si>
  <si>
    <t>ADAP SINAPI 99841</t>
  </si>
  <si>
    <t>H.07.000.037049</t>
  </si>
  <si>
    <t>Vidro laminado temperado neutro verde, composto por vidro temperado neutro verde 6 mm, camada de PVB e vidro temperado incolor 6 mm - material</t>
  </si>
  <si>
    <t>C113</t>
  </si>
  <si>
    <t>ADAP SINAPI 99859</t>
  </si>
  <si>
    <t>C114</t>
  </si>
  <si>
    <t>ADAP SINAPI 99855</t>
  </si>
  <si>
    <t>CORRIMÃO DUPLO, DIÂMETRO EXTERNO = 1 1/2"", EM AÇO INOX, ALTURA 92CM E 70 CM</t>
  </si>
  <si>
    <t>C115</t>
  </si>
  <si>
    <t>GUARDA-CORPO EM TUBO DE AÇO INOX D = 1 1/2", ALTURA 70CM</t>
  </si>
  <si>
    <t>ADAP SBC 112561</t>
  </si>
  <si>
    <t>GUARDA-CORPO EM TUBO DE AÇO INOX D = 1 1/2", ALTURA 110CM</t>
  </si>
  <si>
    <t>CONJUNTO DE VIDRO</t>
  </si>
  <si>
    <t>GRADIL E PORTA FERRO</t>
  </si>
  <si>
    <t>PINTURA DE ESQUADRIAS MADEIRA</t>
  </si>
  <si>
    <t>C10630</t>
  </si>
  <si>
    <t>PEITORIL/PINGADEIRA EM GRANITO CASTELO, ESPESSURA 2CM, LARGURA 22CM</t>
  </si>
  <si>
    <t>PEITORIL JANELAS</t>
  </si>
  <si>
    <t>C10631</t>
  </si>
  <si>
    <t>REGULARIZAÇÃO DE BASES</t>
  </si>
  <si>
    <t>C10632</t>
  </si>
  <si>
    <t>REVESTIMENTO VINÍLICO HETEROGÊNEO FLEXÍVEL EM RÉGUAS 184X950MM, ESPESSURA 3,2MM, COR CANELA, APLICADO EM PAREDES - FORNECIMENTO E INSTALAÇÃO</t>
  </si>
  <si>
    <t>MORÉIA-BRANCA (Dietes iridioides), ALTURA MUDA 50CM, FORNECIMENTO E PLANTIO, INCLUSIVE PREPARO DO SOLO</t>
  </si>
  <si>
    <t>CLÚSIA (Clusia fluminensis), ALTURA MUDA 30CM, FORNECIMENTO E PLANTIO, INCLUSIVE PREPARO DO SOLO</t>
  </si>
  <si>
    <t>JASMIM MANGA (Plumeria rubra var. acutifolia), ALTURA MUDA 1,00M, FORNECIMENTO E PLANTIO, INCLUSIVE PREPARO DO SOLO</t>
  </si>
  <si>
    <t>CIPRESTE VELA (Cupressus sempervirens), ALTURA MUDA 2,20M, FORNECIMENTO E PLANTIO, INCLUSIVE PREPARO DO SOLO</t>
  </si>
  <si>
    <t>ADAP ORSE S12045</t>
  </si>
  <si>
    <t>LETREIRO EXTERNO COMPOSTO POR LETRAS EM AÇO INOX, COM O TEXTO "CÂMARA MUNICIPAL DE TAMARANA", FONTE ARIAL, EM ALTO RELEVO, ESPESSURA 4CM, ALTURA 30CM, FIXADOS COM PARAFUSO</t>
  </si>
  <si>
    <t>LETREIRO RECEPÇÃO COMPOSTO POR LETRAS (H=12cm) E ESTRELAS (H=25cm) EM AÇO INOX, COM O TEXTO "CÂMARA MUNICIPAL DE TAMARANA", FONTE ARIAL, EM ALTO RELEVO, ESPESSURA 3CM, FIXADOS COM PARAFUSO</t>
  </si>
  <si>
    <t>LETREIRO PLENÁRIO COMPOSTO POR LETRAS EM AÇO INOX, COM O TEXTO "PLENÁRIO" H=25CM E "UBALDINO TORRES BITTENCOURT" H=12CM, FONTE ARIAL, EM ALTO RELEVO, ESPESSURA 3CM, FIXADOS COM PARAFUSO</t>
  </si>
  <si>
    <t xml:space="preserve">PLACA DE IDENTIFICAÇÃO DE AMBIENTE EM CHAPA PVC E=2MM, COM APLICAÇÃO DE VINIL AUTOADESIVO E TEXTO BRAILLE EM INOX, CONFORME PROJETO, DIMENSÃO 30X15CM, FIXADO COM FITA DUPLA-FACE </t>
  </si>
  <si>
    <t>PLACA DE IDENTIFICAÇÃO DE AMBIENTE EM CHAPA PVC E=1MM,  FIXADO COM FITA DUPLA-FACE, DIMENSÃO 30X15CM, COM APLICAÇÃO DE VINIL ADESIVO TRANSPARENTE, COM TEXTO BRAILLE EM INOX COLADO NO PVC</t>
  </si>
  <si>
    <t>PINTURA DE ESTRUTURAS METÁLICAS</t>
  </si>
  <si>
    <t>C9113</t>
  </si>
  <si>
    <t>C9114</t>
  </si>
  <si>
    <t>ADAP CPOS 35.07.020</t>
  </si>
  <si>
    <t>S.05.000.03671</t>
  </si>
  <si>
    <t xml:space="preserve">Mastro para bandeira em aço galvanizado completo engastado, altura livre de 7,00 m	</t>
  </si>
  <si>
    <t>BASE DE CONCRETO 184X60X15CM COM 3 MASTROS PARA BANDEIRA EM AÇO GALVANIZADO COMPLETO ENGASTADO, ALTURA LIVRE DE 7,00M</t>
  </si>
  <si>
    <t>EQUIPAMENTOS</t>
  </si>
  <si>
    <t>C9115</t>
  </si>
  <si>
    <t>NORTFER</t>
  </si>
  <si>
    <t>PLATAFORMA DE ACESSIBILIDADE HIDRÁULICA CABINADA, MODELO UNILATERAL, DIMENSÃO DA BASE 90X140X203CM (MEDIDAS LIVRES), ACABAMENTO PINTURA ELETROSTÁTICA A PÓ NA COR CINZA TEXTURIZADO, 02 PARADAS, DESNÍVEL APROXIMADO 2,80M, MODELO PHE-M6 OU EQUIVALENTE TÉCNICO - FORNECIMENTO E INSTALAÇÃO</t>
  </si>
  <si>
    <t>MOBILIÁRIO</t>
  </si>
  <si>
    <t>C8001</t>
  </si>
  <si>
    <t>MOBILIÁRIO 01 - MESA PARA RECEPÇÃO EM MDF COR FENDI, DIMENSÃO 265x65x74CM (CxLxA), COM TAMPO MÓVEL PARA PASSAGEM</t>
  </si>
  <si>
    <t>MOBILIÁRIO 02 - MESA PARA CAFÉ COM 03 PORTAS DE GIRO, SENDO 02 PARA RESÍDUOS, EM MDF COR FENDI, DIMENSÃO 100x45x90CM (CxLxA)</t>
  </si>
  <si>
    <t>MOBILIÁRIO 03 -  TRIBUNA DO PLENÁRIO EM MDF COR FENDI, DIMENSÃO 90x50x120CM (CxLxA)</t>
  </si>
  <si>
    <t>MOBILIÁRIO 04 -  MESA DO PLENÁRIO COM 03 GAVETAS EM MDF COR FENDI, DIMENSÃO 250x76x74CM (CxLxA)</t>
  </si>
  <si>
    <t>MOBILIÁRIO 05 -  MESA PRESIDÊNCIA COM 06 GAVETAS EM MDF COR FENDI, DIMENSÃO 480x80x74CM (CxLxA)</t>
  </si>
  <si>
    <t xml:space="preserve">MOBILIÁRIO 06 -  MESA GABINETES EM "L", EM MDF COR FENDI, DIMENSÃO 160x70+120x45CM H=74CM </t>
  </si>
  <si>
    <t xml:space="preserve">MOBILIÁRIO 07 -  MESA PRESIDÊNCIA EM "L", EM MDF COR FENDI, DIMENSÃO 210x90+120x45CM H=74CM </t>
  </si>
  <si>
    <t>MOBILIÁRIO 08 -  MESA APOIO COM 01 PORTA DE GIRO EM MDF COR FENDI, DIMENSÃO 120x60x74CM (CxLxA)</t>
  </si>
  <si>
    <t xml:space="preserve">MOBILIÁRIO 09 -  MESA EM "L" COM GAVETEIRO EM MDF COR FENDI, DIMENSÃO 239+160x60CM H=74CM </t>
  </si>
  <si>
    <t>MOBILIÁRIO 10 - GAVETEIRO COM 03 GAVETAS EM MDF COR FENDI, DIMENSÃO 40x38x65CM (CxLxA)</t>
  </si>
  <si>
    <t>MOBILIÁRIO 11 - GAVETEIRO COM 03 GAVETAS EM MDF COR FENDI, DIMENSÃO 50x48x65CM (CxLxA)</t>
  </si>
  <si>
    <t>MOBILIÁRIO 12 - SUPORTE PARA CPU EM MDF COR FENDI, DIMENSÃO 55x30x25CM (CxLxA)</t>
  </si>
  <si>
    <t>MOBILIÁRIO 13 - ARMÁRIO INFERIOR PARA COPA EM MDF BRANCO TX INTERNO E EXTERNO COM GAVETAS E PORTAS EM MDF FENDI, DIMENSÃO 190+148x60CM H=76CM</t>
  </si>
  <si>
    <t>MOBILIÁRIO 13 - ARMÁRIO SUPERIOR COM NICHO PARA MICROONDAS E PORTAS DE GIRO EM MDF FENDI, DIMENSÃO 190+148x40CM H=95CM</t>
  </si>
  <si>
    <t xml:space="preserve">MOBILIÁRIO 14 -  MESA EM "L" COM GAVETEIRO EM MDF COR FENDI, DIMENSÃO 239+160x60CM H=74CM </t>
  </si>
  <si>
    <t>C8002</t>
  </si>
  <si>
    <t>MOBILIÁRIO 03 -  TRIBUNA DO PLENÁRIO EM MDF COR FENDI, DIMENSÃO 90x50x120CM (CxLxA) - FORNECIMENTO E INSTALAÇÃO</t>
  </si>
  <si>
    <t>MOBILIÁRIO 02 - MESA PARA CAFÉ COM 03 PORTAS DE GIRO, SENDO 02 PARA RESÍDUOS, EM MDF COR FENDI, DIMENSÃO 100x45x90CM (CxLxA) - FORNECIMENTO E INSTALAÇÃO</t>
  </si>
  <si>
    <t>MOBILIÁRIO 01 - MESA PARA RECEPÇÃO EM MDF COR FENDI, DIMENSÃO 265x65x74CM (CxLxA), COM TAMPO MÓVEL PARA PASSAGEM - FORNECIMENTO E INSTALAÇÃO</t>
  </si>
  <si>
    <t>C8003</t>
  </si>
  <si>
    <t>C8004</t>
  </si>
  <si>
    <t>C8005</t>
  </si>
  <si>
    <t>C8006</t>
  </si>
  <si>
    <t>C8007</t>
  </si>
  <si>
    <t>C8008</t>
  </si>
  <si>
    <t>C8009</t>
  </si>
  <si>
    <t>C8010</t>
  </si>
  <si>
    <t>C8011</t>
  </si>
  <si>
    <t>C8012</t>
  </si>
  <si>
    <t>C8013</t>
  </si>
  <si>
    <t>C8014</t>
  </si>
  <si>
    <t>C8015</t>
  </si>
  <si>
    <t>C8016</t>
  </si>
  <si>
    <t>D&amp;G SOLUÇOES</t>
  </si>
  <si>
    <t>DANIEL SINS</t>
  </si>
  <si>
    <t>(44) 9 8832 3665</t>
  </si>
  <si>
    <t>INSTALAÇÃO DAS POLTRONAS</t>
  </si>
  <si>
    <t>POLTRONA INDIVIDUAL OU FILEIRAS PARA AUDITÓRIO COM ASSENTO E ESCONSTO REBATÍVEIS, ESTRUTURADOS EM COMPENSADO MULTILAMINADO, ESTOFADO COM ESPUMA FLEXÍVEL DE POLIURETANO. E ESTRUTURAS METÁLICAS LATERAIS EM TUBO DE AÇO. PRINCIPAIS DIMENSÕES: DISTÂNCIA ENTRE EIXOS 610MM, PROFUNDIDADE TOTAL ABERTA 760MM, PROFUNDIDADE TOTAL FECHADA 360MM, ALTURA TOTAL 930MM, ALTURA DO ASSENTO 455MM, ALTURA DO APOIA BRAÇO 800MM - FORNECIMENTO E INSTALAÇÃO</t>
  </si>
  <si>
    <t>FORMATTO MARCENARIA</t>
  </si>
  <si>
    <t>(43) 3356-9698</t>
  </si>
  <si>
    <t>C10000</t>
  </si>
  <si>
    <t>C959</t>
  </si>
  <si>
    <t>BARRA DE APOIO INSTALADA EM PORTA, EM AÇO INOX, COMPRIMENTO 30CM E D=25MM</t>
  </si>
  <si>
    <t>2.1</t>
  </si>
  <si>
    <t>3.1</t>
  </si>
  <si>
    <t>3.2</t>
  </si>
  <si>
    <t>3.3</t>
  </si>
  <si>
    <t>3.4</t>
  </si>
  <si>
    <t>5.4</t>
  </si>
  <si>
    <t>5.5</t>
  </si>
  <si>
    <t>6.5</t>
  </si>
  <si>
    <t>6.6</t>
  </si>
  <si>
    <t>6.7</t>
  </si>
  <si>
    <t>10.2</t>
  </si>
  <si>
    <t>11.3</t>
  </si>
  <si>
    <t>11.4</t>
  </si>
  <si>
    <t>11.5</t>
  </si>
  <si>
    <t>11.6</t>
  </si>
  <si>
    <t>11.7</t>
  </si>
  <si>
    <t>12.2</t>
  </si>
  <si>
    <t>12.3</t>
  </si>
  <si>
    <t>15.2</t>
  </si>
  <si>
    <t>15.3</t>
  </si>
  <si>
    <t>15.4</t>
  </si>
  <si>
    <t>15.5</t>
  </si>
  <si>
    <t>15.6</t>
  </si>
  <si>
    <t>C47</t>
  </si>
  <si>
    <t>FORRO COMPOSTO POR PAINEIS DE LA DE VIDRO, REVESTIDOS EM PVC MICROPERFURADO, DE 625X625 MM, ESPESSURA 15MM - FORNECIMENTO E INSTALAÇÃO</t>
  </si>
  <si>
    <t>C48</t>
  </si>
  <si>
    <t>BANCADA DE GRANITO CINZA CASTELO POLIDO - FORNECIMENTO E INSTALAÇÃO</t>
  </si>
  <si>
    <t>BANCADAS, LOUÇAS, METAIS E ACESSÓRIOS</t>
  </si>
  <si>
    <t>C49</t>
  </si>
  <si>
    <t>ADAP SINAPI 100852</t>
  </si>
  <si>
    <t>CUBA DE EMBUTIR RETANGULAR DE AÇO INOXIDÁVEL, 50 X 40 X 20 CM - FORNECIMENTO E INSTALAÇÃO</t>
  </si>
  <si>
    <t>PLACA DE SINALIZAÇÃO  TIPO M2, COM INDICAÇÃO DOS SISTEMAS DE PROTEÇÃO CONTRA INCÊNDIO EXISTENTES NA EDIFICAÇÃO (SIMBOLOS, CORES E PICTOGRAMAS CONFORME NBR 13434), DIMENSÃO APROXIMADA 78X107,5CM</t>
  </si>
  <si>
    <t xml:space="preserve">ESCAVAÇÃO </t>
  </si>
  <si>
    <t>30km</t>
  </si>
  <si>
    <t>30 km</t>
  </si>
  <si>
    <t>KURICA  (entulho)</t>
  </si>
  <si>
    <t>ADAP ORSE S04953</t>
  </si>
  <si>
    <t>3.5</t>
  </si>
  <si>
    <t>3.6</t>
  </si>
  <si>
    <t>JANELA DE ALUMÍNIO COR PRETO DE CORRER COM 2 FOLHAS PARA VIDROS, COM VIDROS, BATENTE</t>
  </si>
  <si>
    <t>JA01 - JANELA CORRER 2 FOLHAS VIDRO, 140X40CM</t>
  </si>
  <si>
    <t>JANELA DE ALUMÍNIO COR PRETO DE CORRER COM 4 FOLHAS PARA VIDROS, COM VIDROS, BATENTE</t>
  </si>
  <si>
    <t>JANELA DE ALUMÍNIO PROJETANTES 30º E FIXAS EM ALUMÍNIO COR PRETO, COM VIDROS, BATENTE E FERRAGENS, CONFOME PROJETO</t>
  </si>
  <si>
    <t>JA02 - JANELA CORRER 4 FOLHAS VIDRO, 240X40CM</t>
  </si>
  <si>
    <t>JA03 - JANELA MAXIM-AR 3 FOLHAS C/ FIXO SUPERIOR- SUPREMA 90º, 180X165CM</t>
  </si>
  <si>
    <t>JA04 - JANELA MAXIM-AR 3 FOLHAS C/ FIXO SUPERIOR- SUPREMA 90º, 240X165CM</t>
  </si>
  <si>
    <t>JA05 - JANELA MAXIM-AR 4 FOLHAS C/ FIXO SUPERIOR- SUPREMA 45º/90º, 300X165CM</t>
  </si>
  <si>
    <t>JA06 - JANELA MAXIM-AR 5 FOLHAS C/ FIXO SUPERIOR- SUPREMA 90º, 480X165CM</t>
  </si>
  <si>
    <t>JA08 - JANELA MAXIM-AR 3 FOLHAS C/ FIXO INFERIOR- SUPREMA 90º, 240X157CM</t>
  </si>
  <si>
    <t>JA09 - JANELA MAXIM-AR 4 FOLHAS C/ FIXO INFERIOR- SUPREMA 90º, 300X157CM</t>
  </si>
  <si>
    <t>JA10 - JANELA MAXIM-AR 5 FOLHAS C/ FIXO INFERIOR- SUPREMA 90º, 480X157CM</t>
  </si>
  <si>
    <t>JA07 - JANELA MAXIM-AR 3 FOLHAS C/ FIXO INFERIOR- SUPREMA 90º, 180X157CM</t>
  </si>
  <si>
    <t>CONJUNTO DE VIDRO STRUCTURAL GLAZING, CONFOME PROJETO</t>
  </si>
  <si>
    <t xml:space="preserve">PORTA DE ABRIR 01 FOLHA VENEZIANA EM ALUMÍNIO COR PRETO COMPLETA </t>
  </si>
  <si>
    <t>CV01 - STRUCTURAL GLAZING, 856X529CM</t>
  </si>
  <si>
    <t>PA01 - PORTA DE GIRO 1 FOLHA C/ VENEZ. VENTILADA, 80X210CM</t>
  </si>
  <si>
    <t>PA02 - PORTINHOLA 1 FOLHA C/ VENEZIANA, 80X110CM</t>
  </si>
  <si>
    <t>PA03 - PORTA DE GIRO 1 FOLHA C/ VENEZ. VENTILADA, 90X210CM</t>
  </si>
  <si>
    <t>PA03C - PORTA DE GIRO 1 FOLHA C/ VIDRO E VZ. INF. VENTILADA - ME, 90X210CM</t>
  </si>
  <si>
    <t>PA04 - PORTINHOLA 1 FOLHA C/ VENEZIANA, 70X165CM</t>
  </si>
  <si>
    <t>PA05 - PORTINHOLA 1 FOLHA C/ VENEZIANA, 90X165CM</t>
  </si>
  <si>
    <t>PORTA DE ABRIR 01 FOLHA VENEZIANA VENTILADA EM ALUMÍNIO COR PRETO COMPLETA</t>
  </si>
  <si>
    <t>PORTA DE ABRIR 01 FOLHA EM ALUMÍNIO COR PRETO, METADE VENEZIANA, METADE TELA MOSQUITEIRO DE NYLON FIXA, FIO 30, MALHA 16X16CM</t>
  </si>
  <si>
    <t>CONJUNTO DE VIDRO EM ALUMÍNIO COR PRETO E VIDRO ESTRUTURAL COM PELÍCULA REFLETIVA, INCLUSO UMA FAIXA DE FOLHAS PROJETANTES E UMA PORTA DE ABRIR 2 FOLHAS - FORNECIMENTO E INSTALAÇÃO</t>
  </si>
  <si>
    <t>PISOTECH</t>
  </si>
  <si>
    <t>https://www.pisotech.com.br/educacao/vylon-plus</t>
  </si>
  <si>
    <t>LIGPISOS</t>
  </si>
  <si>
    <t>https://www.ligpisos.com.br/vcf0h9zt0-piso-vinilico-em-manta-vylon-plus-2mm-cor-583-preco-por-m?utm_source=Site&amp;utm_medium=GoogleMerchant&amp;utm_campaign=GoogleMerchant&amp;gclid=Cj0KCQjw9ZGYBhCEARIsAEUXITUCKe91cvVpFIps7-Tb0AXpUP2tZ7BFGsd8yXchK6iP-YIAI9AZRcgaAlViEALw_wcB</t>
  </si>
  <si>
    <t>https://www.magazineluiza.com.br/tubo-flexivel-aluminizado-flex-100ap-4-sicflux/p/jf7ggadbje/cj/tuli/</t>
  </si>
  <si>
    <t>ART LETRAS</t>
  </si>
  <si>
    <t>LETRAS CAIXA EM AÇO INOX, ALTURA 30CM</t>
  </si>
  <si>
    <t>https://www.artinoxletras.com.br/letras-caixa-em-aco-inox-de-30cm-de-altura</t>
  </si>
  <si>
    <t>LETRAS CAIXA EM AÇO INOX, ALTURA 12CM</t>
  </si>
  <si>
    <t>LETRAS CAIXA EM AÇO INOX, ALTURA 25CM</t>
  </si>
  <si>
    <t>https://www.artinoxletras.com.br/letras-caixa-em-aco-inox-de-25cm-de-altura</t>
  </si>
  <si>
    <t>https://www.artinoxletras.com.br/letra-caixa-em-aco-inox-de-15cm-de-altura</t>
  </si>
  <si>
    <t>https://produto.mercadolivre.com.br/MLB-1285355424-letras-em-aco-inox-letreiro-caixa-numeros-3d-fachada-30-cm-_JM?matt_tool=38467324&amp;matt_word=&amp;matt_source=google&amp;matt_campaign_id=14302215510&amp;matt_ad_group_id=134553697828&amp;matt_match_type=&amp;matt_network=g&amp;matt_device=c&amp;matt_creative=539425477651&amp;matt_keyword=&amp;matt_ad_position=&amp;matt_ad_type=pla&amp;matt_merchant_id=124041734&amp;matt_product_id=MLB1285355424&amp;matt_product_partition_id=1405738231348&amp;matt_target_id=aud-264949471102:pla-1405738231348&amp;gclid=Cj0KCQjw9ZGYBhCEARIsAEUXITXj4NMXY0nPDE68SQy6sFvBcOIKgWIfce5WN4io3WebLE3blVhI7XEaAvUiEALw_wcB</t>
  </si>
  <si>
    <t>LINO INOX</t>
  </si>
  <si>
    <t>https://www.linoinox.com.br/letras-caixa-em-aco-inox-de-25cm-de-a-0001</t>
  </si>
  <si>
    <t>https://www.linoinox.com.br/letras-caixa-em-aco-inox-de-15cm-de-a-0001</t>
  </si>
  <si>
    <t>https://www.linoinox.com.br/letras-caixa-em-aco-inox-de-30cm-de-a-0001</t>
  </si>
  <si>
    <t>SOMBRAFIX</t>
  </si>
  <si>
    <t>NIZAR ZEIN</t>
  </si>
  <si>
    <t>(43) 98818-7493</t>
  </si>
  <si>
    <t>MÓDULO PARA SOMBREAMENTO NA MEDIDA 5,00X5,00, TOTALIZANDO ÁREA COBERTA 25M2, PARA 2 VEÍCULOS, INCLUSO BASE E PÉS DE SUSTENTAÇÃO EM TUBOS DE AÇO CARBONO DE 2 1/2" COM PINTURA ELETROSTÁTICA, E TELA DE PROTEÇÃO EM MALHA TERMOPLÁSTICA PERMEÁVEL EM POLETILENO DE ALTA DENSIDADE (220GR/M2) - FORNECIMENTO E INSTALAÇÃO</t>
  </si>
  <si>
    <t>BARRA DE APOIO LATERAL FIXA PARA LAVATÓRIO EM "U" EM AÇO INOX POLIDO, COMPRIMENTO 30CM E DIAMETRO DE 32MM</t>
  </si>
  <si>
    <t>LIVEN CASA</t>
  </si>
  <si>
    <t>https://livencasa.com/barra-de-apoio-para-banheiro-em-u-30cm-inox-geris</t>
  </si>
  <si>
    <t>https://www.tocaobra.com.br/p/7814523/barra-de-apoio-para-banheiro-30cm-inox-geris-b110ip-unitario?gclid=Cj0KCQjw9ZGYBhCEARIsAEUXITX7sdmZ4PMnSXXbbBw2LgRuw0dwouocQ_y6pp_9TTMJsrNeIuDdzMIaAn8vEALw_wcB</t>
  </si>
  <si>
    <t>TOCAOBRA</t>
  </si>
  <si>
    <t>CONSTRUMARQUES</t>
  </si>
  <si>
    <t>https://www.construmarques.com.br/produto/barra-de-apoio-30cm-lateral-fixa-sicmol-aluminio-cromado-24870-78884?utm_source=&amp;utm_medium=&amp;utm_campaign=&amp;gclid=Cj0KCQjw9ZGYBhCEARIsAEUXITUFwXJyBBZYYNnAd-9JhTaLVpe4JarvHlxfB0wWp9cla3Xv3ASazE4aAjLgEALw_wcB</t>
  </si>
  <si>
    <t>CASA DO MARCENEIRO</t>
  </si>
  <si>
    <t>https://www.cmarceneiro.com.br/produto/8555-perfil-standard-em-aluminio-fume-barra</t>
  </si>
  <si>
    <t>ESPAÇO DO ACABAMENTO</t>
  </si>
  <si>
    <t>https://espacodoacabamento.com.br/piso/piso-vinilico-colado/acessorios-piso-vinilico/rodape.html</t>
  </si>
  <si>
    <t>https://www.homeney.com/produto/perfil-t-mesmo-nivel-em-alumino-para-piso-laminado-homeney.html</t>
  </si>
  <si>
    <t>HOMENEY</t>
  </si>
  <si>
    <t>GRAVIA</t>
  </si>
  <si>
    <t>https://www.gravia.com/cercamento-telas-e-arames/cercamento/nylofor</t>
  </si>
  <si>
    <t xml:space="preserve">POSTE 40 x 60 MM, PINTURA ELETROSTÁTICA EM POLIESTER, NAS CORES VERDE OU BRANCA (H=2,60M - COM TAMPA) CHUMBADO	</t>
  </si>
  <si>
    <t>REVESTIMENTO VINÍLICO HETEROGÊNEO FLEXÍVEL EM RÉGUAS 184X950MM, ESPESSURA 3,2MM, COR CANELA, USO COMERCIAL</t>
  </si>
  <si>
    <t>LIG PISOS</t>
  </si>
  <si>
    <t>https://www.ligpisos.com.br/www.ligpisos.com.br//www.ligpisos.com.br/ig06vm1tg-piso-vinilico-tarkett-ambienta-series-na-cor-canela-preco-da-cx-com-332-m?utm_source=Site&amp;utm_medium=GoogleMerchant&amp;utm_campaign=GoogleMerchant&amp;gclid=Cj0KCQjw9ZGYBhCEARIsAEUXITXSA3lWuDnMP1ZkVtQBcMnfM10poAa8nuvuNH_tUUIVWRzs_tE6AyUaAjCTEALw_wcB</t>
  </si>
  <si>
    <t>https://www.espacosmart.com.br/piso-vinilico-tarkett-lvt-em-regua-ambienta-series-canela-caixa-com-3-32--m%C2%B2/p</t>
  </si>
  <si>
    <t>ESPAÇO SMART</t>
  </si>
  <si>
    <t>PERGO</t>
  </si>
  <si>
    <t>https://www.pergo.com.br/pisos-acabamentos-pisos-vinilicos-colado/piso-vinilico-em-regua-tarkett-spec-3mm-x-18-4cm-x-95cm-m-canela-9343604-9343604</t>
  </si>
  <si>
    <t>https://www.amazon.com.br/Cuba-Acetinado-50X40cm-Tramontina-94025107/dp/B076MH414Z/ref=asc_df_B076MH414Z/?tag=googleshopp00-20&amp;linkCode=df0&amp;hvadid=379712965665&amp;hvpos=&amp;hvnetw=g&amp;hvrand=13633327553270212748&amp;hvpone=&amp;hvptwo=&amp;hvqmt=&amp;hvdev=c&amp;hvdvcmdl=&amp;hvlocint=&amp;hvlocphy=1001637&amp;hvtargid=pla-809932924689&amp;psc=1</t>
  </si>
  <si>
    <t>CUBA EM AÇO INOX 304, DIMENSÃO 50X40X20CM, ESP 0,8MM</t>
  </si>
  <si>
    <t>VIA INOX</t>
  </si>
  <si>
    <t>https://www.viainox.com/produto/cuba-de-embutir-ou-sobrepor-50x40cm-em-aco-inox-acetionado-tramontina-aria-maxi-1677</t>
  </si>
  <si>
    <t>TRAMONTINA</t>
  </si>
  <si>
    <t>https://www.tramontinastore.com/cuba-de-embutir-sobrepor-tramontina-aria-maxi-50-bs-em-aco-inox-acetinado-50x40-cm_94025107/p?idsku=94025107&amp;gclid=Cj0KCQjw9ZGYBhCEARIsAEUXITW7-cbOZaGqPMNBIMM4tu-6GDsj6t5w9vs_Wk9hnga0MIuHth7qbFMaAqVhEALw_wcB</t>
  </si>
  <si>
    <t xml:space="preserve">CAIXA DE PASSAGEM PARA CONDICIONAMENTO DE AR TIPO SPLIT DE 39 X 22 X 6 CM, COM SAÍDA DE DRENO ÚNICO NA VERTICAL, SEM TAMPA, REF. CPP-00-5U, POLOAR OU EQUIVALENTE	</t>
  </si>
  <si>
    <t>DUFRIO</t>
  </si>
  <si>
    <t>https://www.dufrio.com.br/caixa-de-passagem-split-dreno-central-39x22x6cm-polar-cpp005u.html?utm_source=google&amp;utm_medium=shopping&amp;apwc=Y2FuYWxJbnRlZ3JhY2FvPTQ0N3xwcm9kdXRvPTc2Njk=&amp;gclid=Cj0KCQjw9ZGYBhCEARIsAEUXITVpQbfhpQQnO-e7NJcKclkkYex9PpRYanHJNOfbXwa6UB_Pmp7GHVcaAhiLEALw_wcB</t>
  </si>
  <si>
    <t>CITY MASTER</t>
  </si>
  <si>
    <t>https://www.citymaster.com.br/produto/caixa-passagem-polar-ar-condicionado-split-cpp005u.html</t>
  </si>
  <si>
    <t>REFRIGERAÇÃO MOTA</t>
  </si>
  <si>
    <t>https://www.refrigeracaomota.com.br/loja/caixa-de-passagem-cpp005u-39-x-17-x-6/</t>
  </si>
  <si>
    <t>PASTILHA CERÂMICA ESMALTADA, 10X10CM, CINZA MÉDIO</t>
  </si>
  <si>
    <t>CASINHA BONITA</t>
  </si>
  <si>
    <t>https://www.casinhabonita.com.br/revestimentos-para-piscina/pastilhas-ceramicas-iberica-10x10-cinza-medio-m.p?gclid=Cj0KCQjw9ZGYBhCEARIsAEUXITVvfbHgHUMAl6nCUmt_ag1VBYzIagNDzbrMmKYJxNrTDYKYOj7ATRoaAk8cEALw_wcB</t>
  </si>
  <si>
    <t>https://www.cec.com.br/pisos-e-revestimentos/revest-para-parede/revestimentos-para-parede-ate-15x15/revestimento-acetinado-cinza-10x10cm?produto=1124990&amp;idpublicacao=791d2005-d206-4804-b297-71cab438caf1&amp;gclid=Cj0KCQjw9ZGYBhCEARIsAEUXITV4UVZfPAtFVjCbO-AFeCxTNA6ggR_p8SU3D4FGVTFPboFq2nlTc30aAmWHEALw_wcB</t>
  </si>
  <si>
    <t>https://www.leroymerlin.com.br/pastilhas-ceramicas-iberica-10x10--cinza-medio--m2_1567897329</t>
  </si>
  <si>
    <t>https://www.barrafire.com.br/placa-de-sinalizacao/sinalizacao-de-emergencia/placa-m2-bombeiro-lotacao-maxima-na-edificacao</t>
  </si>
  <si>
    <t>BARRAFIRE</t>
  </si>
  <si>
    <t>https://contraincendio.com.br/produto/sinalizacao-de-emergencia/mensagens-escritas/placa-de-sinalizacao-lotacao-maxima-m2/</t>
  </si>
  <si>
    <t>https://produto.mercadolivre.com.br/MLB-917121264-placa-m2-bombeiro-lotaco-maxima-na-edificaco-_JM</t>
  </si>
  <si>
    <t>C1201</t>
  </si>
  <si>
    <t>PLACA DE EMERGÊNCIA SINALIZAÇÃO DE ROTA DE SAÍDA TIPO C1 - (SIMBOLOS, CORES E PICTOGRAMAS CONFORME NBR 13434)</t>
  </si>
  <si>
    <t>PLACA DE EMERGÊNCIA OBSTÁCULO TIPO O1 - (SIMBOLOS, CORES E PICTOGRAMAS CONFORME NBR 13434)</t>
  </si>
  <si>
    <t>C1202</t>
  </si>
  <si>
    <t>REMOÇÃO DE REBOCO</t>
  </si>
  <si>
    <t>C10633</t>
  </si>
  <si>
    <t>ADAP CPOS 21.10.050</t>
  </si>
  <si>
    <t>C1970</t>
  </si>
  <si>
    <t>ADAP SINAPI 102665</t>
  </si>
  <si>
    <t>PEDRAS DECORATIVAS MONTE BELO</t>
  </si>
  <si>
    <t>(43) 3334-3232</t>
  </si>
  <si>
    <t>PATRICIA/DIVA</t>
  </si>
  <si>
    <t>ORIGINAL PEDRAS</t>
  </si>
  <si>
    <t>https://www.originalpedras.com.br/yu6g9kfc6-piso-de-arenito-vermelho-m-50x50-2021-11-26-11-15-06</t>
  </si>
  <si>
    <t>https://produto.mercadolivre.com.br/MLB-2029268150-arenito-vermelho-rustico-3d20-em-pedra-natural-parede-_JM?searchVariation=173689681%E2%80%A6</t>
  </si>
  <si>
    <t>ARENITO VERMELHO COMUM PARA REVESTIMENTO</t>
  </si>
  <si>
    <t>ELEVABEM</t>
  </si>
  <si>
    <t>(43) 3336-6633</t>
  </si>
  <si>
    <t>DIVIPLUS</t>
  </si>
  <si>
    <t>(43) 3025-5500</t>
  </si>
  <si>
    <t>RAFAEL</t>
  </si>
  <si>
    <t>FORRO COMPOSTO POR PAINEIS DE LA DE VIDRO, REVESTIDOS EM PVC MICROPERFURADO, DE 625 X 625 MM,CLICADOS NA COR BRANCA, INCLUSO PERFIS, ACESSÓRIOS DE FIXAÇÃO E MÃO DE OBRA</t>
  </si>
  <si>
    <t>ADAP SINAPI 97629</t>
  </si>
  <si>
    <t>AUTO SOMBRA</t>
  </si>
  <si>
    <t>IVAN LUIZ</t>
  </si>
  <si>
    <t>(43) 9 9112-7083</t>
  </si>
  <si>
    <t>SOMBREADOR NA MEDIDA 5,00X5,00, TOTALIZANDO ÁREA COBERTA 25M2, PARA 2 VEÍCULOS, INCLUSO BASE E PÉS DE SUSTENTAÇÃO EM TUBOS DE AÇO CARBONO DE 2 1/2" COM PINTURA ELETROSTÁTICA, E TELA DE PROTEÇÃO EM MALHA TERMOPLÁSTICA PERMEÁVEL EM POLETILENO DE ALTA DENSIDADE (220GR/M2)</t>
  </si>
  <si>
    <t>BRENDA</t>
  </si>
  <si>
    <t>C3001</t>
  </si>
  <si>
    <t>CAIXA DE MEDIÇÃO PARA 1 MEDIDOR TRIFÁSICO, COM VISOR, EM CHAPA DE AÇO 18 USG (PADRÃO DA CONCESSIONÁRIA LOCAL)</t>
  </si>
  <si>
    <t>ADAP SIURB 09-14-47</t>
  </si>
  <si>
    <t>2021/07</t>
  </si>
  <si>
    <t>C3002</t>
  </si>
  <si>
    <t>C3005</t>
  </si>
  <si>
    <t>C3003</t>
  </si>
  <si>
    <t>C3007</t>
  </si>
  <si>
    <t>POSTE DE CONCRETO ARMADO, CARGA NOMINAL DE 300 DAN, ALTURA 7,20 M</t>
  </si>
  <si>
    <t>CABEÇOTE DE ALUMÍNIO PARA ELETRODUTO DN 2 1/2" - FORNEC. E INST.</t>
  </si>
  <si>
    <t>ADAP ORSE  S07894</t>
  </si>
  <si>
    <t>C3004</t>
  </si>
  <si>
    <t>ADAP ORSE S12501</t>
  </si>
  <si>
    <t>BUCHA E CONTRA BUCHA DE ALUMÍNIO 2.1/2" PARA ELETRODUTO</t>
  </si>
  <si>
    <t>FITA AÇO INOX PARA CINTAR POSTE, L=19 MM, E=0,5 MM - FORNECIMENTO</t>
  </si>
  <si>
    <t>ADAP SINAPI</t>
  </si>
  <si>
    <t>C3006</t>
  </si>
  <si>
    <t>PRESILHA PARA CINTA</t>
  </si>
  <si>
    <t>HASTE DE ATERRAMENTO 5/8 PARA SPDA COM CONECTOR - FORNECIMENTO E INSTALAÇÃO.</t>
  </si>
  <si>
    <t>C3008</t>
  </si>
  <si>
    <t>TERMINAL OU CONECTOR DE PRESSÃO - PARA CABO 95MM2</t>
  </si>
  <si>
    <t>ADAP SIURB 09-80-25</t>
  </si>
  <si>
    <t>C3009</t>
  </si>
  <si>
    <t>BUCHA E ARRUELA EM ALUMÍNIO PARA ELETRODUTO Ø25MM (1") - FORNECIMENTO E INSTALAÇÃO</t>
  </si>
  <si>
    <t>ADAP SEINFRA C0480</t>
  </si>
  <si>
    <t>027.1</t>
  </si>
  <si>
    <t>ELÉTRICA</t>
  </si>
  <si>
    <t>C3010</t>
  </si>
  <si>
    <t>ADAP SINAPI 97238</t>
  </si>
  <si>
    <t>ELETROCALHA PERFURADA EM AÇO GALVANIZADO, LARGURA 100 MM E ALTURA 50 MM, INCLUSIVE EMENDA E FIXAÇÃO - FORNECIMENTO E INSTALAÇÃO</t>
  </si>
  <si>
    <t>C3011</t>
  </si>
  <si>
    <t>PERFILADO DE SEÇÃO 38X38 MM</t>
  </si>
  <si>
    <t>ADAP SINAPI 90463</t>
  </si>
  <si>
    <t>ADAP ORSE S12807</t>
  </si>
  <si>
    <t>REFLETOR LED, 10W DE POTÊNCIA, IP65, TEMPERATURA 4000K</t>
  </si>
  <si>
    <t>C3012</t>
  </si>
  <si>
    <t>LUMINÁRIA TIPO PLAFON EMBUTIR QUADRADO 60x60 LED 50W, 4000K</t>
  </si>
  <si>
    <t>LUMINÁRIA TIPO PLAFON QUADRADA, DE EMBUTIR, 60x60CM, COM LED 50W, 4000K</t>
  </si>
  <si>
    <t>ADAP SINAPI 103788</t>
  </si>
  <si>
    <t>E02</t>
  </si>
  <si>
    <t>LUMINÁRIA TIPO PLAFON QUADRADA, DE EMBUTIR, 30x30CM, COM LED 32W, 4000K</t>
  </si>
  <si>
    <t>E03</t>
  </si>
  <si>
    <t>C3013</t>
  </si>
  <si>
    <t>C3440</t>
  </si>
  <si>
    <t>LUMINÁRIA TIPO SPOT DUPLO AR111, EMBUTIR, COR BRANCO</t>
  </si>
  <si>
    <t>ADAP ORSE S11951</t>
  </si>
  <si>
    <t>E04</t>
  </si>
  <si>
    <t>C3014</t>
  </si>
  <si>
    <t>ADAP SBC 060386</t>
  </si>
  <si>
    <t>LUMINÁRIA TIPO PERFIL DE LED EMBUTIR, ESPESSURA 5CM, COM FITA LED 12W/M COMPLETA</t>
  </si>
  <si>
    <t>E05</t>
  </si>
  <si>
    <t>E06</t>
  </si>
  <si>
    <t>ADAP SINAPI 100620</t>
  </si>
  <si>
    <t>C3015</t>
  </si>
  <si>
    <t>ADAP SIURB 09-04-68</t>
  </si>
  <si>
    <t>INTERRUPTOR DIFERENCIAL RESIDUAL BIPOLAR 20A - SENSIBILIDADE 30MA</t>
  </si>
  <si>
    <t>C3016</t>
  </si>
  <si>
    <t>ADAP SIURB 09-04-76</t>
  </si>
  <si>
    <t>C3442</t>
  </si>
  <si>
    <t xml:space="preserve">QUADRO DE DISTRIBUIÇÃO COMPLETO COM BARRAMENTO PARA 200A E 85 ESPAÇOS PARA 85 DISJUNTORES DIN </t>
  </si>
  <si>
    <t>QUADRO DE DISTRIBUIÇÃO COMPLETO COM BARAMENTO PARA 80A E 85 ESPAÇOS PARA 48 DISJUNTORES DIN</t>
  </si>
  <si>
    <t>C3443</t>
  </si>
  <si>
    <t>QUADRO DE DISTRIBUIÇÃO COMPLETO COM BARRAMENTO PARA 80A E 85 ESPAÇOS PARA 48 DISJUNTORES DIN</t>
  </si>
  <si>
    <t>E10</t>
  </si>
  <si>
    <t>C13402</t>
  </si>
  <si>
    <t>ADAP CPOS 50.05.280</t>
  </si>
  <si>
    <t>SIRENE PIEZOELÉTRICA, TIPO CORNETA, DE 12V</t>
  </si>
  <si>
    <t>C13403</t>
  </si>
  <si>
    <t>ADAP ORSE S10724</t>
  </si>
  <si>
    <t>FONTE DE ALIMENTAÇÃO 12V - FORNECIMENTO E INSTALAÇÃO</t>
  </si>
  <si>
    <t>13.2</t>
  </si>
  <si>
    <t>13.3</t>
  </si>
  <si>
    <t>CABEAMENTO ESTRUTURADO/CFTV</t>
  </si>
  <si>
    <t>TAMPA EM CONCRETO ARMADO, ESPESSURA 0,05M</t>
  </si>
  <si>
    <t>C13404</t>
  </si>
  <si>
    <t>ADAP SEINFRA C4772</t>
  </si>
  <si>
    <t>E12</t>
  </si>
  <si>
    <t>C3017</t>
  </si>
  <si>
    <t>TERMINAL DE COMPRESSÃO 50MM2</t>
  </si>
  <si>
    <t>TERMINAL AÉREO BASE PLANA GALVANIZADO A QUENTE 30CM</t>
  </si>
  <si>
    <t>TERMINAL DE PRESSÃO 35MM2</t>
  </si>
  <si>
    <t>C3018</t>
  </si>
  <si>
    <t>MESA DE SOM 16 CANAIS</t>
  </si>
  <si>
    <t>Mesa de som 16 canais</t>
  </si>
  <si>
    <t>CAIXA DE SOM PASSIVO 300W 8 OHMS 80HZ/20KHZ 2 VIAS</t>
  </si>
  <si>
    <t>Caixa de som passivo 300W 8ohms 80Hz/20kHz 2 vias</t>
  </si>
  <si>
    <t>C13405</t>
  </si>
  <si>
    <t>ADAP ORSE S12396</t>
  </si>
  <si>
    <t>AMPLIFICADOR DE POTÊNCIA PADRÃO RACK 19" 2 CANAIS 600W 4 OHMS</t>
  </si>
  <si>
    <t>C13406</t>
  </si>
  <si>
    <t>CABO 0,75 BIPOLAR PARA SONORIZAÇÃO</t>
  </si>
  <si>
    <t>CABO BLINDADO MICROFONE</t>
  </si>
  <si>
    <t>C13407</t>
  </si>
  <si>
    <t>13.4</t>
  </si>
  <si>
    <t>SPDA</t>
  </si>
  <si>
    <t>SONORIZAÇÃO</t>
  </si>
  <si>
    <t>C13408</t>
  </si>
  <si>
    <t>CONECTOR P10 MACHO</t>
  </si>
  <si>
    <t>C13409</t>
  </si>
  <si>
    <t>CONECTOR P10 FEMEA</t>
  </si>
  <si>
    <t>C13410</t>
  </si>
  <si>
    <t>CONECTOR XLR MACHO</t>
  </si>
  <si>
    <t>C13411</t>
  </si>
  <si>
    <t>SUPORTE SUSPENSO PARA CAIXA DE SOM</t>
  </si>
  <si>
    <t>SUPORTE DE PAREDE PARA CAIXA DE SOM</t>
  </si>
  <si>
    <t>C13412</t>
  </si>
  <si>
    <t>C3019</t>
  </si>
  <si>
    <t>ADAP SBC 060159</t>
  </si>
  <si>
    <t xml:space="preserve">LUMINÁRIA IP65 SOLO PAR 38 D.17,5cm E LÂMPADA LED PAR 38 IP 65 14W E27 2700K </t>
  </si>
  <si>
    <t>C3020</t>
  </si>
  <si>
    <t>LUMINÁRIA TIPO PAR 20</t>
  </si>
  <si>
    <t>13.5</t>
  </si>
  <si>
    <t>A01</t>
  </si>
  <si>
    <t>A02</t>
  </si>
  <si>
    <t>A03</t>
  </si>
  <si>
    <t>A04</t>
  </si>
  <si>
    <t>A05</t>
  </si>
  <si>
    <t>A06</t>
  </si>
  <si>
    <t>A07</t>
  </si>
  <si>
    <t>A08</t>
  </si>
  <si>
    <t>A09</t>
  </si>
  <si>
    <t>A10</t>
  </si>
  <si>
    <t>A11</t>
  </si>
  <si>
    <t>A12</t>
  </si>
  <si>
    <t>A13</t>
  </si>
  <si>
    <t>A14</t>
  </si>
  <si>
    <t>A15</t>
  </si>
  <si>
    <t>A16</t>
  </si>
  <si>
    <t>A17</t>
  </si>
  <si>
    <t>A18</t>
  </si>
  <si>
    <t>A20</t>
  </si>
  <si>
    <t>A21</t>
  </si>
  <si>
    <t>A22</t>
  </si>
  <si>
    <t>I01</t>
  </si>
  <si>
    <t>A23</t>
  </si>
  <si>
    <t>A24</t>
  </si>
  <si>
    <t>A25</t>
  </si>
  <si>
    <t>A26</t>
  </si>
  <si>
    <t>A27</t>
  </si>
  <si>
    <t>A28</t>
  </si>
  <si>
    <t>A29</t>
  </si>
  <si>
    <t>A30</t>
  </si>
  <si>
    <t>A31</t>
  </si>
  <si>
    <t>H1</t>
  </si>
  <si>
    <t>H2</t>
  </si>
  <si>
    <t>I02</t>
  </si>
  <si>
    <t>I03</t>
  </si>
  <si>
    <t>I04</t>
  </si>
  <si>
    <t>C01</t>
  </si>
  <si>
    <t>C02</t>
  </si>
  <si>
    <t>C03</t>
  </si>
  <si>
    <t>C04</t>
  </si>
  <si>
    <t>C05</t>
  </si>
  <si>
    <t>C06</t>
  </si>
  <si>
    <t>C07</t>
  </si>
  <si>
    <t>C08</t>
  </si>
  <si>
    <t>C09</t>
  </si>
  <si>
    <t>C10</t>
  </si>
  <si>
    <t>C11</t>
  </si>
  <si>
    <t>INSUMO SINAPI</t>
  </si>
  <si>
    <t>E01</t>
  </si>
  <si>
    <t>ELETROCALHA METÁLICA PERFURADA 100 X 50 X 3000 MM (REF. MOPA OU SIMILAR)</t>
  </si>
  <si>
    <t>EMENDA INTERNA 150 X 50 MM COM BASE LISA PARA ELETROCALHA METÁLICA (REF. VL 3.01-21-150/50 GE VALEMAM OU SIMILAR)</t>
  </si>
  <si>
    <t>E07</t>
  </si>
  <si>
    <t>E08</t>
  </si>
  <si>
    <t>E09</t>
  </si>
  <si>
    <t>E11</t>
  </si>
  <si>
    <t>E13</t>
  </si>
  <si>
    <t>E14</t>
  </si>
  <si>
    <t>E15</t>
  </si>
  <si>
    <t>E16</t>
  </si>
  <si>
    <t>E17</t>
  </si>
  <si>
    <t>E18</t>
  </si>
  <si>
    <t>E19</t>
  </si>
  <si>
    <t>E20</t>
  </si>
  <si>
    <t>E21</t>
  </si>
  <si>
    <t>E22</t>
  </si>
  <si>
    <t>E23</t>
  </si>
  <si>
    <t>E24</t>
  </si>
  <si>
    <t>E25</t>
  </si>
  <si>
    <t>E26</t>
  </si>
  <si>
    <t>E27</t>
  </si>
  <si>
    <t>E28</t>
  </si>
  <si>
    <t>E29</t>
  </si>
  <si>
    <t>E30</t>
  </si>
  <si>
    <t>SIRENE TIPO CORNETA COM POTÊNCIA NOMINAL DE 12V, POTÊNCIA SONORA ENTRE 115DB A 120DB, POTÊNCIA ELÉTRICA DE 15 A 20W; REF. NA/12V DA AUREON, GLK, DNI OU EQUIVALENTE</t>
  </si>
  <si>
    <t>E31</t>
  </si>
  <si>
    <t xml:space="preserve">	FONTE DE ALIMENTAÇÃO 12V / 10A (OU SIMILAR)</t>
  </si>
  <si>
    <t>E34</t>
  </si>
  <si>
    <t>E32</t>
  </si>
  <si>
    <t>E33</t>
  </si>
  <si>
    <t>E35</t>
  </si>
  <si>
    <t>E36</t>
  </si>
  <si>
    <t>E37</t>
  </si>
  <si>
    <t>E38</t>
  </si>
  <si>
    <t>E39</t>
  </si>
  <si>
    <t xml:space="preserve">CONECTOR TIPO XLR MACHO </t>
  </si>
  <si>
    <t>E40</t>
  </si>
  <si>
    <t>E41</t>
  </si>
  <si>
    <t>E42</t>
  </si>
  <si>
    <t>E43</t>
  </si>
  <si>
    <t>E44</t>
  </si>
  <si>
    <t>V01</t>
  </si>
  <si>
    <t>V02</t>
  </si>
  <si>
    <t>V03</t>
  </si>
  <si>
    <t>V04</t>
  </si>
  <si>
    <t>V05</t>
  </si>
  <si>
    <t>V06</t>
  </si>
  <si>
    <t>V07</t>
  </si>
  <si>
    <t>M01</t>
  </si>
  <si>
    <t>M02</t>
  </si>
  <si>
    <t>M03</t>
  </si>
  <si>
    <t>M04</t>
  </si>
  <si>
    <t>M05</t>
  </si>
  <si>
    <t>M06</t>
  </si>
  <si>
    <t>M07</t>
  </si>
  <si>
    <t>M08</t>
  </si>
  <si>
    <t>M09</t>
  </si>
  <si>
    <t>M10</t>
  </si>
  <si>
    <t>M11</t>
  </si>
  <si>
    <t>M12</t>
  </si>
  <si>
    <t>M13</t>
  </si>
  <si>
    <t>M14</t>
  </si>
  <si>
    <t>M15</t>
  </si>
  <si>
    <t>M16</t>
  </si>
  <si>
    <t>M17</t>
  </si>
  <si>
    <t>M18</t>
  </si>
  <si>
    <t>A32</t>
  </si>
  <si>
    <t>M19</t>
  </si>
  <si>
    <t>A33</t>
  </si>
  <si>
    <t>A34</t>
  </si>
  <si>
    <t>E45</t>
  </si>
  <si>
    <t>E46</t>
  </si>
  <si>
    <t>CORRIMÃO DUPLO, DIÂMETRO EXTERNO = 1 1/2"", EM AÇO INOX, ALTURA 92CM E 70 CM, FIXADO COM HASTES E CANOPLAS DE ACABAMENTO</t>
  </si>
  <si>
    <t>CORRIMÃO ALÇA DE APOIO EM AÇO INOX 304 POLIDO, DIÂMETRO EXTERNO = 1 1/2"", ALTURA 92CM, INCLUSO CANOPLAS DE ACABAMENTOS</t>
  </si>
  <si>
    <t>GUARDA-CORPO EM TUBO DE AÇO INOX D = 1 1/2", ALTURA 70CM, COM PILARES TUBO 40X40MM</t>
  </si>
  <si>
    <t>A35</t>
  </si>
  <si>
    <t>A36</t>
  </si>
  <si>
    <t>A37</t>
  </si>
  <si>
    <t>A38</t>
  </si>
  <si>
    <t>A39</t>
  </si>
  <si>
    <t>EDILSON</t>
  </si>
  <si>
    <t>(43) 9 9112-7476</t>
  </si>
  <si>
    <t>GUARDA-CORPO EM TUBO DE AÇO INOX D = 1 1/2", ALTURA 110CM, COM PILARES TUBO 40X40MM</t>
  </si>
  <si>
    <t>GUARDA-CORPO PANORÂMICO, ALTURA 110CM, COM MONTANTES EM TUBO QUADRADO DE INOX 304 POLIDO 40X40MM, , FIXADO COM CHUMBADOR MECÂNICO, INCLUSO PERFIL BAGUETE PARA FIXAÇAO DE VIDRO E VIDRO TEMPERADO LAMINADO (PVB 6+6 MM) LISO INCOLOR</t>
  </si>
  <si>
    <t>QTDE</t>
  </si>
  <si>
    <t>ADA VIDROS</t>
  </si>
  <si>
    <t>RODAPÉ DE EVA AUTOCOLANTE COM ALTURA DE 7CM, COR BRANCA</t>
  </si>
  <si>
    <t>RODAPÉ DE EVA AUTOCOLANTE, ALTURA 7CM, COR BRANCO</t>
  </si>
  <si>
    <t>MEU RODAPÉ</t>
  </si>
  <si>
    <t>https://www.meurodape.com/rodapes-ou-molduras/rodape-de-eva-flexivel-autocolante-7cm-de-altura-rp07-valor-p-metro?parceiro=9751&amp;gclid=CjwKCAjw6raYBhB7EiwABge5Ktv3crOQtOD-XvxAjIjlQ7WQ5KXSa_UjzlJleG8F3BG2quxZXLEzzRoCap8QAvD_BwE</t>
  </si>
  <si>
    <t>https://www.leroymerlin.com.br/rodape-eva-autocolante-flexivel-7cm-x-1cm-40-metros-ref-rp07_1567319567</t>
  </si>
  <si>
    <t>BELLAFLEX</t>
  </si>
  <si>
    <t>https://www.bellaflex.com.br/produto/rodape-eva-autocolante-7x1-mod-rp12/</t>
  </si>
  <si>
    <t>RUFO EM CHAPA DE AÇO GALVANIZADO N.24 - CORTE 33CM</t>
  </si>
  <si>
    <t>SIURB</t>
  </si>
  <si>
    <t>https://loja.fiocamp.com.br/pzt1kx8k3-bloco-de-iluminacao-autonomo-2-farois-1200lm-compact?utm_source=Site&amp;utm_medium=GoogleMerchant&amp;utm_campaign=GoogleMerchant&amp;gclid=CjwKCAjw6raYBhB7EiwABge5KpzOHZKe0m4fAriMo9L276ebaMzQdhX57Gcwy4LbHD8gfc11q9cr2RoCHrUQAvD_BwE</t>
  </si>
  <si>
    <t>FIOCAM</t>
  </si>
  <si>
    <t>https://www.eletrorastro.com.br/produto/luminaria-de-emergencia-led-2200-lumens-e-2-farois-segurimax-68478?utm_source=google&amp;utm_medium=cpc&amp;utm_campaign=&amp;gclid=CjwKCAjw6raYBhB7EiwABge5Kp9KTkA-5tfL16nidnxIhVWSUljnxbqOxM4800MRe2qCARz1v3SMYxoCbqsQAvD_BwE</t>
  </si>
  <si>
    <t>ELETRORASTRO</t>
  </si>
  <si>
    <t>https://www.acquafort.com.br/24080/p?idsku=2838&amp;gclid=CjwKCAjw6raYBhB7EiwABge5KgeBm0jSbgdPJvGHFKRS0M-4Potlzm1jPxQ90Q5-Qj-o7xqeeYGAmxoC2Z0QAvD_BwE</t>
  </si>
  <si>
    <t>DIMENSIONAL</t>
  </si>
  <si>
    <t>https://www.dimensional.com.br/trilho-fixacao-montagem-eletrica-din-liso-aco-carbono-galvanizado-eletrolitico-35-x-7-5-x-2000-mm-11476763-weg/p</t>
  </si>
  <si>
    <t>TRILHO GALVANIZADO P/MONTAGEM DE QUADROS DISTRIBUIÇÃO, BARRA 2M</t>
  </si>
  <si>
    <t>MERKATHO</t>
  </si>
  <si>
    <t>https://www.merkatho.com.br/produto/474/trilho-perfurado-ts35x7-5-zincado-2m</t>
  </si>
  <si>
    <t>AREA</t>
  </si>
  <si>
    <t>https://www.eletricaarea.com.br/infraestrutura/eletrocalha-e-acessorios/eletrocalha-perfurada-100x50-3-metros-chapa-22?gclid=CjwKCAjw6raYBhB7EiwABge5KsU9HjjNCvh_XkRl1q9OClXNCPGseBDt9QXncxTWa1CDjR0eRuQ01RoCMgUQAvD_BwE</t>
  </si>
  <si>
    <t>https://www.dimensional.com.br/eletrocalha-perfurada-sem-virola-100mm-50mm-3000mm-ch22-msg-pre-galvanizado-0-dispan/p?idsku=948952&amp;gclid=CjwKCAjw6raYBhB7EiwABge5KtOjLJ-kaDQuW7SOtbGJrYhqf1uLYka0mFWKxr3_qiwlSgDiVTMZ6hoCv94QAvD_BwE</t>
  </si>
  <si>
    <t>https://www.copafer.com.br/eletrocalha-perfurada-zincada-10cm-x-5cm-x-3-metros-ch22-300007-elecon-p1087553?tsid=69</t>
  </si>
  <si>
    <t>https://www.dimensional.com.br/emenda-metalica-eletrocalha-interna-aco-carbono-pre-galvanizado-perfurada-22-msg-100-mm-50-mm-dp736-dispan/p</t>
  </si>
  <si>
    <t>https://www.lojaeletropaulo.com.br/eletrocalhas-e-perfilados/4175-eletrocalha-emenda-interna-u-150-x-50-4277.html</t>
  </si>
  <si>
    <t>ELETROPAULO</t>
  </si>
  <si>
    <t>https://www.santil.com.br/produto/emenda-interna-em-u-150x50mm-calhas-kennedy/2730592</t>
  </si>
  <si>
    <t>ELETROLUZ</t>
  </si>
  <si>
    <t>https://www.eletroluz.net/70992/projetor-subsolo-damlux-par-38-c-grade/?gclid=CjwKCAjw6raYBhB7EiwABge5KobM9_aBifby8xIr52qnrvTOR-MO4Bw-3bYGLLV3ixfqtozbhQczAhoCpsIQAvD_BwE</t>
  </si>
  <si>
    <t>https://www.leroymerlin.com.br/balizador-de-chao-embutir-preto-metal-metal-tecnica_86712962?store_code=33</t>
  </si>
  <si>
    <t>https://www.inspirehome.com.br/embutido-de-solo-ch-o-underslim-redondo-externo-o17-5cm-aluminio-preto-incolustre-701-18/p?gclid=CjwKCAjw6raYBhB7EiwABge5KghM1IL0O-LEfvOAllUGjRkiiQ2LsERfOO_lftEAUEe3xny2onQIURoCKRQQAvD_BwE</t>
  </si>
  <si>
    <t>INSPIRE HOME</t>
  </si>
  <si>
    <t>E04A</t>
  </si>
  <si>
    <t xml:space="preserve">LÂMPADA LED PAR 38 IP 65 14W E27 2700K </t>
  </si>
  <si>
    <t xml:space="preserve">LUMINÁRIA IP65 SOLO PAR 38 D.17,5cm </t>
  </si>
  <si>
    <t>LUMI ENERGY</t>
  </si>
  <si>
    <t>https://www.lumienergy.com.br/lampada-led-taschibra-par-38-ip65-14w-bivolt-e27-2700k-luz-amarela?utm_source=google&amp;utm_medium=Shopping&amp;utm_campaign=lampada-led-taschibra-par-38-ip65-14w-bivolt-e27-2700k-luz-amarela&amp;inStock&amp;gclid=CjwKCAjw6raYBhB7EiwABge5KoxePAUm8c6x3DVWK92eMpFIKLRuCI7MPJjEy93NxHLzVFP0FtXDqBoCSH0QAvD_BwE</t>
  </si>
  <si>
    <t>https://www.yamamura.com.br/lampada-par38-led-14w-e27-1250lm-25-2700k-p8828768-p5234?tsid=27&amp;gclid=CjwKCAjw6raYBhB7EiwABge5KpXUMIs7kZnH66p8b4ZSmYJiQOpuMiNJ8aHASRDnK00cxsQSwMERNBoCVwkQAvD_BwE</t>
  </si>
  <si>
    <t>YAMAMURA</t>
  </si>
  <si>
    <t>ILUMINIM</t>
  </si>
  <si>
    <t>https://www.kabum.com.br/produto/277189/lampada-led-par-30-9-9w-e27-ip65-taschibra-bivolt?srsltid=AdGWZVS77KYxfA3ENOZLARqU8wl2y-vWycnlchNjJQFkC_U5WzxaR-GRQM4</t>
  </si>
  <si>
    <t>https://www.comercialversatil.com.br/luminaria-de-embutir-saveenergy-quadrado-recuado-abs-1x-par-20-branca-se-330-1040?parceiro=9312&amp;gclid=CjwKCAjw6raYBhB7EiwABge5KlGTTnVM1HVOF0ReTXwSvpUuLtqC2CNPUs7TZi-iojJ9GjF7A8taiRoCOVIQAvD_BwE</t>
  </si>
  <si>
    <t>VERSÁTIL</t>
  </si>
  <si>
    <t>E05A</t>
  </si>
  <si>
    <t>https://www.decorlumen.com.br/spot-de-embutir-face-recuada-1x-par20-save-energy-se-330-1040?gclid=CjwKCAjw6raYBhB7EiwABge5KsoRxSha-xHLpp6x0wgQ7yMN6tHbId_cU6zOpH0Rge7DNYF8COAJIBoCHwIQAvD_BwE</t>
  </si>
  <si>
    <t>DECOR LUMEN</t>
  </si>
  <si>
    <t>LUMINÁRIA SPOT DE EMBUTIR QUADRADO RECUADO ABS 1XPAR 20 BRANCA</t>
  </si>
  <si>
    <t>https://www.blight.com.br/luminarias/embutidos/embutido-recuado-save-energy-par20-branco-se-330-1040?gclid=CjwKCAjw6raYBhB7EiwABge5KniuFBcqrcdMu9RZUwbZ8qOjYvNgS5xEUS6XncM3VGOSQXufS7s7HxoCt6IQAvD_BwE</t>
  </si>
  <si>
    <t>B-LIGHT</t>
  </si>
  <si>
    <t>LAMPADA LED PAR 20, 5,5W 2700K E27</t>
  </si>
  <si>
    <t>https://www.blight.com.br/lampadas/par20/lampada-led-brilia-301443-par20-e27-5-5w-2700k-25g-ip20-bivolt?gclid=CjwKCAjw6raYBhB7EiwABge5KshDmQ4mqs2d1jIsXLVYVAWGKSImYUUOokEjE8NJU0cTuWcgVsj0BxoCyQYQAvD_BwE</t>
  </si>
  <si>
    <t>https://www.inspirehome.com.br/lampada-led-par20-e27-25-2700k-5-5w-bivolt-brilia-301443/p?gclid=CjwKCAjw6raYBhB7EiwABge5KkyR_e8ZGgnSMprMb3POvtuHp3epK-jMx7kXCL-RqIqENwgUcPB6pxoCHjEQAvD_BwE</t>
  </si>
  <si>
    <t>https://bmiluminacao.com.br/produto/led-par20-2700k-55w-301443-brilia/?gclid=CjwKCAjw6raYBhB7EiwABge5KougSj00V-oH-xzk2ZSzyEJU-AqftTIfb6QZW5lkqJ2AcbAt8jUcxBoCaOYQAvD_BwE</t>
  </si>
  <si>
    <t>B&amp;M ILUMINACAO</t>
  </si>
  <si>
    <t>https://www.americanas.com.br/produto/4177018548?pfm_carac=refletor-10w-4000k&amp;pfm_index=1&amp;pfm_page=search&amp;pfm_pos=grid&amp;pfm_type=search_page&amp;offerId=616dbf5609c351890d77014d</t>
  </si>
  <si>
    <t>PONTO FRIO</t>
  </si>
  <si>
    <t>https://www.pontofrio.com.br/material-construcao/Iluminacao/RefletoresHolofotes/philips-refletor-led-10w-4000k-preto-bivolt-1539202288.html?IdSku=1539202288</t>
  </si>
  <si>
    <t>https://www.centraldaconstrucao.com.br/eletrica-e-iluminacao/acess-eletricos/refletor/philips-refletor-led-10w-4000k-preto-</t>
  </si>
  <si>
    <t>CENTRAL DA CONSTRUÇÃO</t>
  </si>
  <si>
    <t>https://produto.mercadolivre.com.br/MLB-2094376121-sirene-tipo-corneta-eletrnica-piezoeletrica-dni3015-nova-_JM?matt_tool=34908096&amp;matt_word=&amp;matt_source=google&amp;matt_campaign_id=14302215576&amp;matt_ad_group_id=134553711988&amp;matt_match_type=&amp;matt_network=g&amp;matt_device=c&amp;matt_creative=539425529671&amp;matt_keyword=&amp;matt_ad_position=&amp;matt_ad_type=pla&amp;matt_merchant_id=109552627&amp;matt_product_id=MLB2094376121&amp;matt_product_partition_id=1403872159894&amp;matt_target_id=aud-1454065851987:pla-1403872159894&amp;gclid=CjwKCAjw6raYBhB7EiwABge5KkPRVyyIa6NxvdayFUoI8oZ-hRuRMFpo89aGBtPRM98dOaPAkVxeXhoCiDMQAvD_BwE</t>
  </si>
  <si>
    <t>https://www.magazineluiza.com.br/sirene-tipo-corneta-eletronica-piezoeletrica-dni3015/p/ae60k08j71/pi/sidi/?&amp;seller_id=selfcar&amp;utm_source=google&amp;utm_medium=pla&amp;utm_campaign=&amp;partner_id=68055&amp;gclid=CjwKCAjw6raYBhB7EiwABge5KgWIEFtClLJr09tAOZLq1smI3Bo9_RONoaEQyRQEpmpotx1GU61aahoCIQYQAvD_BwE&amp;gclsrc=aw.ds</t>
  </si>
  <si>
    <t>https://www.eletrorastro.com.br/produto/sirene-piezoeletrica-1-toque-120db-12v-dni-91461?utm_source=google&amp;utm_medium=cpc&amp;utm_campaign=&amp;gclid=CjwKCAjw6raYBhB7EiwABge5KmuCmKmzzFYrZ0KQRPPUasYC5H6t6kAAYSvFhnwQJoPkmAghHr6-XxoC0mkQAvD_BwE</t>
  </si>
  <si>
    <t>https://www.iluminim.com.br/fonte-12v-10a-para-led?utm_source=Site&amp;utm_medium=GoogleMerchant&amp;utm_campaign=GoogleMerchant&amp;gclid=CjwKCAjw6raYBhB7EiwABge5Klb0eZURP4OIydmVTt9uLh_McXyMcaZwS3pZVsdqyOgBl0QSGiDCnBoCQQcQAvD_BwE</t>
  </si>
  <si>
    <t>https://www.americanas.com.br/produto/5092588066?opn=YSMESP&amp;offerId=627e98eb234ca7e6fdca78b2&amp;srsltid=AdGWZVTeHkd4K7gznMO8UsKtAuPoeCOCtS3JCrcytEaEmrgtLW0VO-BYuHA</t>
  </si>
  <si>
    <t>https://www.infoledbh.com.br/index.php?route=product/product&amp;product_id=712201560</t>
  </si>
  <si>
    <t>INFOLED</t>
  </si>
  <si>
    <t>https://escutsom.com.br/gr5500-app-31860-nao-automotivo-2400</t>
  </si>
  <si>
    <t>ESCUTSOM</t>
  </si>
  <si>
    <t>https://www.multisom.com.br/amplificador-profissional-frahm-pro-gr-5500-app-600w-preto-bivolt-ms-p1177423</t>
  </si>
  <si>
    <t>MULTISOM</t>
  </si>
  <si>
    <t>https://www.amazon.com.br/Gr-5500-App-Amplificador-Automotivo/dp/B07T3RJBBG/ref=asc_df_B07T3RJBBG/?tag=googleshopp00-20&amp;linkCode=df0&amp;hvadid=407896705588&amp;hvpos=&amp;hvnetw=g&amp;hvrand=7966309047065201572&amp;hvpone=&amp;hvptwo=&amp;hvqmt=&amp;hvdev=c&amp;hvdvcmdl=&amp;hvlocint=&amp;hvlocphy=1001637&amp;hvtargid=pla-894097668711&amp;psc=1</t>
  </si>
  <si>
    <t>https://www.kabum.com.br/produto/356804/conector-p10-macho-hyx-hrj024m-mono-niquelado-2und?srsltid=AdGWZVSWy_HavaF6WVPnwvjLFiBDXq2D59kJ-WZLtSLfhF9HhncgdngBt88</t>
  </si>
  <si>
    <t>https://www.carneiromusic.com.br/plug-p10-mono-santo-angelo-cabo-macho-ninja-unidade/p?idsku=956&amp;gclid=CjwKCAjw6raYBhB7EiwABge5Kj6kSJuOaP5BPUI_cz5J1By2tGSsWhFsFp7KVhJAjQoC8rv5qM73VhoC1jcQAvD_BwE</t>
  </si>
  <si>
    <t xml:space="preserve">CARNEIRO </t>
  </si>
  <si>
    <t>https://www.audiotechmusic.com.br/audio/conector-p10-mono-sjm019-2-unid?parceiro=8085&amp;gclid=CjwKCAjw6raYBhB7EiwABge5KlCHno8vcDk_xUiHncnu8HN4o-0Y9CuwiGX8DzdxznGRKR0sDEDUvxoCHBQQAvD_BwE</t>
  </si>
  <si>
    <t>AUDIOTECH</t>
  </si>
  <si>
    <t>https://www.carneiromusic.com.br/plug-sto-ang-p10f-st-p10sf/p?idsku=10851&amp;gclid=CjwKCAjw6raYBhB7EiwABge5KudvYmCAB8H5R0tmNTgFtRz3ZfI52KNaS0q-JJq9InZSCMscArA5-xoCCcQQAvD_BwE</t>
  </si>
  <si>
    <t>CARNEIRO</t>
  </si>
  <si>
    <t>https://www.audiotechmusic.com.br/audio/conector-jack-p10-mono-sjm040-2-unid?parceiro=8085&amp;gclid=CjwKCAjw6raYBhB7EiwABge5KhXbWIrcxwE34_IZ4ZrGTwRl1Tc6LSCo3NWI_JvSMLlUWe09p2LnoBoCY2UQAvD_BwE</t>
  </si>
  <si>
    <t>LUMIX</t>
  </si>
  <si>
    <t>https://www.lumixpro.com.br/conector-p10-femea-estereo-santo-angelo-p10sf/p?idsku=9603&amp;gclid=CjwKCAjw6raYBhB7EiwABge5KqizBOmSYHqpN0rZ6s5YGrwQ081GJcsnmKPyvWtB5MVfEeen-PzQyRoC9j0QAvD_BwE</t>
  </si>
  <si>
    <t>https://www.carneiromusic.com.br/plug-conector-datalink-xlr-macho-xlrm3p/p?idsku=19814&amp;gclid=CjwKCAjw6raYBhB7EiwABge5KqdKypMrDgE4vl-w-TqLquWJ4h4brzvXd_1-50RRkrAcQHNwqKcyhxoCeFwQAvD_BwE</t>
  </si>
  <si>
    <t>https://www.audiotechmusic.com.br/audio/conector-xlr-macho-sxm014-2-unid?parceiro=8085&amp;gclid=CjwKCAjw6raYBhB7EiwABge5Km73UXGU5fFIAPD6aS6SPQAIAMnzOb__-e79xsECnFrU7kGbps5xiRoC5ZEQAvD_BwE</t>
  </si>
  <si>
    <t>CIRILO CABOS</t>
  </si>
  <si>
    <t>https://www.cirilocabos.com.br/conector-xlr-macho-profissional-cirilo-cabos-901889/p</t>
  </si>
  <si>
    <t>https://produto.mercadolivre.com.br/MLB-1064477787-plafon-embutir-painel-led-60x60-50w-quadrado-neutro-4000k-_JM?matt_tool=18956390&amp;utm_source=google_shopping&amp;utm_medium=organic</t>
  </si>
  <si>
    <t>https://www.magazineluiza.com.br/plafon-embutir-painel-led-60x60-50w-quadrado-neutro-4000k-ry/p/ba6feef61d/cj/plfn/</t>
  </si>
  <si>
    <t>https://www.submarino.com.br/produto/3587203332?opn=XMLGOOGLE&amp;offerId=60f9a2800fff249a32f9b1ef</t>
  </si>
  <si>
    <t>SUBMARINO</t>
  </si>
  <si>
    <t>https://www.blight.com.br/luminarias/embutidos/embutido-led-save-energy-se-240-601-25w-4000k-biv-300x300mm?gclid=CjwKCAjw6raYBhB7EiwABge5KiA1JhklA5X0B9aBum-qdoItGVtFU8qTMk1KjT-prcW2-QsgbDHq-BoCBjEQAvD_BwE</t>
  </si>
  <si>
    <t>https://www.eletrorastro.com.br/produto/painel-led-embutir-25w-4000k-30cm-1760lm-save-energy-92372?utm_source=google&amp;utm_medium=cpc&amp;utm_campaign=&amp;gclid=CjwKCAjw6raYBhB7EiwABge5KmxVhBg8JQ-rqaxr4fitMQ7RqmdRZcxgVzkgMcl0fVy2MHmu0c8Q3BoCgKcQAvD_BwE</t>
  </si>
  <si>
    <t>LUMINÁRIA TIPO PLAFON EMBUTIR QUADRADO 30x30 LED 25W, 4000K</t>
  </si>
  <si>
    <t>https://www.ledtubeiluminacao.com.br/luminaria-embutir-300x300-25w-save-energy?utm_source=google&amp;utm_medium=Shopping&amp;utm_campaign=luminaria-embutir-300x300-25w-save-energy&amp;inStock&amp;utm_source=google-shopping&amp;utm_medium=cpc&amp;utm_campaign=ga-shopping-pmax-outros&amp;gclid=CjwKCAjw6raYBhB7EiwABge5KlxuMgYQ6OAZw-dxEF00YsyQ4q3RmnP8AQi_Pd1UP4NlLC30tVF-9RoCVNMQAvD_BwE</t>
  </si>
  <si>
    <t>LED TUBE</t>
  </si>
  <si>
    <t>https://www.blight.com.br/luminarias/embutidos/embutido-newline-in51352-recuado-ii-2-ar111-gu10-324x179x85mm?variant_id=305&amp;gclid=CjwKCAjw6raYBhB7EiwABge5KgEHR8lj-pwIyX91vORXROP5KoUU7gYVjw8padEyqPc2GtPLDMqtdhoCiEwQAvD_BwE</t>
  </si>
  <si>
    <t>https://www.inspirehome.com.br/spot-de-embutir-recuado-chanfrado-retangular-duplo-ar111-32-4x17-9cm-metal-newline-in51352/p</t>
  </si>
  <si>
    <t>LUMIEREGYN</t>
  </si>
  <si>
    <t>https://www.lumieregyn.com.br/luminarias-de-embultir/embutido-recuado-ii-ar111-324mm-newline-in51352</t>
  </si>
  <si>
    <t>PERFIL DE EMBUTIR PARA FITA LED ESPESSURA 5CM</t>
  </si>
  <si>
    <t>https://www.diamondluz.com.br/perfil-embutir-mk-iluminacao-alp10-5cm-x-5cm-x-65cm-de-largura-no-difusor?variation=8681129&amp;attr1=46449&amp;attr2=449139</t>
  </si>
  <si>
    <t>DIAMOND LUZ</t>
  </si>
  <si>
    <t>https://www.blight.com.br/perfil-linear-led/perfil-embutir/perfil-embutir-linear-para-fita-led-usina-30070100-nazca-100cm-62x1000x46-5mm</t>
  </si>
  <si>
    <t>https://www.inspirehome.com.br/perfil-de-embutir-nazca-linear-100x6-2cm-metal-e-acrilico-usina-30070-100/p?gclid=CjwKCAjw6raYBhB7EiwABge5Kpy_dvn7KqXm0Plh1JU--v31MfYRlcsc1cFWJH1dhl4OSipS9U9k0hoCIvwQAvD_BwE</t>
  </si>
  <si>
    <t>https://www.blight.com.br/lampadas/fita-led-12v/fita-led-stella-sth681040-evo-12wm-4000k-12v-ip20-rolo-5-metros?gclid=CjwKCAjw6raYBhB7EiwABge5KjbVoQgJoIjl8GCDMO4YoZWMl2Z4zeHQneKikYVZ-AGzsNznum38PxoCdoIQAvD_BwE</t>
  </si>
  <si>
    <t>FITA LED 12W/M 4000K</t>
  </si>
  <si>
    <t>https://www.inspirehome.com.br/fita-led-evo-5-metros-interno-4000k-12w-m-12v-stella-sth6810-40/p?gclid=CjwKCAjw6raYBhB7EiwABge5KklIYQmeaQKeNsZi8U8OjoQ-u9mBSkgA5fdWEOH--50St5HzxV6H2hoCzggQAvD_BwE</t>
  </si>
  <si>
    <t>ILUMINA</t>
  </si>
  <si>
    <t>https://www.lojailuminainstalacao.com.br/fita-de-led/fita-de-led-fracionada-sob-medida/fita-tensao-de-rede-12wm-4000k-alto-irc-por-metro?parceiro=8943&amp;variant_id=5011&amp;gclid=CjwKCAjw6raYBhB7EiwABge5Ks0Qzqe7aJhQDMJsZxmoCe8vw8B3pM0nk4J_GYtmU-KUYyNqcJcxkBoCw98QAvD_BwE</t>
  </si>
  <si>
    <t>https://www.cirilocabos.com.br/cabo-microfone-estereo-blindagem-espiral-2x0-14-mm-por-metro/p</t>
  </si>
  <si>
    <t>https://www.ioncabos.com.br/cabo-microfone-estereo-blindagem-2x014-mm-por-metro?utm_source=Site&amp;utm_medium=GoogleMerchant&amp;utm_campaign=GoogleMerchant&amp;sku=7727-95&amp;gclid=CjwKCAjw6raYBhB7EiwABge5KkQHJe1tWQc_pLKAHb84_D-kCFkXw2ICPOBqwvsO6-_VUvLJJRa-hhoC9KAQAvD_BwE</t>
  </si>
  <si>
    <t>SIBREIANO</t>
  </si>
  <si>
    <t>https://www.siberiano.com.br/produto/4261/cabo-blindado-para-audio-estereo-tiaflex-2x0.14-mm-preto-601410?g=8</t>
  </si>
  <si>
    <t>JC CABOS</t>
  </si>
  <si>
    <t>https://www.jccabos.com.br/cabo-polarizado-para-audio-cristal-2-x-075mm-2-cristal-rolo-com-100-mts</t>
  </si>
  <si>
    <t>https://www.cirilocabos.com.br/cabo-polarizado-para-audio-2x0-75mm-por-metro/p?gclid=CjwKCAjw6raYBhB7EiwABge5KmTafPalGnnsmdD9BHBfG4Ydw5kG-jWSrjVN_Fe7nhjG7jUc2R-7zBoCQxIQAvD_BwE&amp;idsku=1314030134&amp;skuId=313652378</t>
  </si>
  <si>
    <t>https://www.solucaocabos.com.br/cabo-de-audio-cristal-2-x-075mm/p?idsku=14861&amp;gclid=CjwKCAjw6raYBhB7EiwABge5Kly8jlpRZtgrypmHE_1n_Eg5LtSGGcog85k0-1QR5l9N3SGzjzy3qBoCzgUQAvD_BwE</t>
  </si>
  <si>
    <t>GRUPO SOLUCAO</t>
  </si>
  <si>
    <t>LEONEL</t>
  </si>
  <si>
    <t>(43) 99991-3349</t>
  </si>
  <si>
    <t>whatsapp</t>
  </si>
  <si>
    <t>UNITORNO</t>
  </si>
  <si>
    <t>WLADIMIR</t>
  </si>
  <si>
    <t>(43) 9 8812-6998</t>
  </si>
  <si>
    <t>https://musiaudio.com.br/caixa-de-som-passiva-12-polegadas-300-w-rms-attack-vsf112.html</t>
  </si>
  <si>
    <t>MUSIAUDIO</t>
  </si>
  <si>
    <t>https://www.reference.com.br/produto/caixa-de-som-passiva-12-polegadas-300-w-rms-attack-vsf112/</t>
  </si>
  <si>
    <t>REFERENCE</t>
  </si>
  <si>
    <t>https://www.todamusica.com.br/produto/caixa-de-som-passiva-attack-12-vsf112.html?gclid=CjwKCAjw6raYBhB7EiwABge5Kp9DRx_CrJ3nYrQj1Mxvhx-RbzaewZk_WfReUpPVvQqnDy5-ZW7abRoC2kIQAvD_BwE</t>
  </si>
  <si>
    <t>TODA MÚSICA</t>
  </si>
  <si>
    <t>https://www.carneiromusic.com.br/mesa-de-som-soundvoice-ms162-eux-16-canais-efeito-bluetooth-bivolt/p?idsku=24891&amp;gclid=CjwKCAjw6raYBhB7EiwABge5Kp_JNv6I97fJEzNrOOKEjqLdJjlAzZ836ZOm-m6_jdenCMa34sr6dRoCNQgQAvD_BwE</t>
  </si>
  <si>
    <t>https://www.musicalstore.com.br/MLB-2603636648-mesa-de-som-16-canais-soundvoice-ms162-eux-bluetooth-usb-_JM?utm_source=google&amp;utm_medium=cpc&amp;utm_campaign=darwin_ss</t>
  </si>
  <si>
    <t>MUSICAL STORE</t>
  </si>
  <si>
    <t>https://www.serenatanet.com.br/mesa-de-som-mixer-16-canais-balanceados-soundvoice-ms-162-eux-gravacao-usb-bluetooth/p?idsku=784</t>
  </si>
  <si>
    <t>SERENATA</t>
  </si>
  <si>
    <t>APOLO MUSIC</t>
  </si>
  <si>
    <t>https://www.apolomusic.com.br/MLB-2646734828-suporte-de-parede-reforcado-para-caixa-de-som-spc-50-saty-_JM?utm_source=google&amp;utm_medium=cpc&amp;utm_campaign=darwin_ss</t>
  </si>
  <si>
    <t>https://www.mundomax.com.br/suporte-p-caixa-de-som-spc50-saty?gclid=CjwKCAjw6raYBhB7EiwABge5KmbO6-VAW8sJVeq_dObAIa-_CZ9m28dF0HgRYZs2nDLSxDA58FJwQBoC2n8QAvD_BwE#</t>
  </si>
  <si>
    <t>https://www.lumixpro.com.br/suporte-de-parede-para-caixa-acustica-saty-spc-35/p?idsku=3755&amp;gclid=CjwKCAjw6raYBhB7EiwABge5Ku7T0Pj1PTLKYEkABvzsX3ZiG6Ql3OHVnF5WSjN7xNngYQXo2_ZlihoC5cIQAvD_BwE</t>
  </si>
  <si>
    <t>https://www.vendasrapidas.com/suporte-attack-spuvsl206</t>
  </si>
  <si>
    <t>VENDAS RAPIDAS.COM</t>
  </si>
  <si>
    <t>https://musiaudio.com.br/suporte-frontfill-ou-sidefill-attack-spu-vsl206.html</t>
  </si>
  <si>
    <t>https://www.submarino.com.br/produto/103007586?epar=bp_pl_px_go_pmax_instrumentosmusicais_geral_gmv&amp;opn=XMLGOOGLE&amp;WT.srch=1&amp;offerId=5d3b28706d4819e8b121b189&amp;gclid=CjwKCAjw6raYBhB7EiwABge5KpwrMwzs-QsQvzES0PugQyAFr4Zc9hEqCFVdi0qco4tdKxidHRMephoCoW4QAvD_BwE</t>
  </si>
  <si>
    <t>LOCACAO DE CONTAINER 2,30 X 4,30 M, ALT. 2,50 M, P/ SANITARIO, C/ 5 BACIAS, 1 LAVATORIO E 4 MICTORIOS</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</si>
  <si>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</si>
  <si>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</si>
  <si>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</si>
  <si>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TUBO, CPVC, SOLDÁVEL, DN 42MM, INSTALADO EM RAMAL DE DISTRIBUIÇÃO DE ÁGUA - FORNECIMENTO E INSTALAÇÃO.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</si>
  <si>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</si>
  <si>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</si>
  <si>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</si>
  <si>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</si>
  <si>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</si>
  <si>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</si>
  <si>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</si>
  <si>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</si>
  <si>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</si>
  <si>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</si>
  <si>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</si>
  <si>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</si>
  <si>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</si>
  <si>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</si>
  <si>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</si>
  <si>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</si>
  <si>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</si>
  <si>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</si>
  <si>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</si>
  <si>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</si>
  <si>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</si>
  <si>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</si>
  <si>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</si>
  <si>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</si>
  <si>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</si>
  <si>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</si>
  <si>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</si>
  <si>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</si>
  <si>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</si>
  <si>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</si>
  <si>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</si>
  <si>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</si>
  <si>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SINAPI PR - JULHO 2022 - NÃO DESONERADO</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</si>
  <si>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</si>
  <si>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</si>
  <si>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</si>
  <si>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</si>
  <si>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</si>
  <si>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</si>
  <si>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</si>
  <si>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</si>
  <si>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</si>
  <si>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</si>
  <si>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</si>
  <si>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</si>
  <si>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</si>
  <si>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</si>
  <si>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</si>
  <si>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</si>
  <si>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</si>
  <si>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</si>
  <si>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</si>
  <si>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</si>
  <si>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</si>
  <si>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</si>
  <si>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</si>
  <si>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</si>
  <si>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</si>
  <si>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</si>
  <si>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</si>
  <si>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</si>
  <si>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</si>
  <si>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</si>
  <si>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</si>
  <si>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</si>
  <si>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</si>
  <si>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</si>
  <si>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</si>
  <si>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</si>
  <si>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</si>
  <si>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</si>
  <si>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</si>
  <si>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</si>
  <si>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</si>
  <si>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</si>
  <si>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</si>
  <si>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</si>
  <si>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</si>
  <si>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</si>
  <si>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</si>
  <si>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</si>
  <si>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</si>
  <si>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</si>
  <si>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</si>
  <si>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</si>
  <si>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</si>
  <si>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</si>
  <si>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</si>
  <si>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</si>
  <si>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</si>
  <si>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</si>
  <si>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</si>
  <si>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</si>
  <si>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</si>
  <si>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</si>
  <si>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</si>
  <si>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</si>
  <si>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</si>
  <si>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</si>
  <si>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</si>
  <si>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</si>
  <si>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</si>
  <si>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</si>
  <si>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</si>
  <si>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</si>
  <si>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</si>
  <si>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</si>
  <si>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</si>
  <si>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</si>
  <si>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</si>
  <si>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</si>
  <si>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</si>
  <si>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</si>
  <si>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</si>
  <si>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</si>
  <si>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</si>
  <si>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</si>
  <si>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</si>
  <si>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</si>
  <si>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</si>
  <si>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</si>
  <si>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</si>
  <si>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</si>
  <si>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</si>
  <si>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</si>
  <si>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</si>
  <si>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</si>
  <si>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</si>
  <si>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</si>
  <si>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</si>
  <si>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</si>
  <si>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</si>
  <si>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</si>
  <si>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</si>
  <si>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</si>
  <si>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</si>
  <si>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</si>
  <si>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</si>
  <si>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</si>
  <si>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</si>
  <si>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</si>
  <si>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</si>
  <si>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</si>
  <si>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</si>
  <si>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</si>
  <si>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</si>
  <si>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</si>
  <si>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</si>
  <si>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</si>
  <si>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</si>
  <si>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</si>
  <si>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</si>
  <si>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</si>
  <si>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</si>
  <si>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</si>
  <si>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</si>
  <si>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</si>
  <si>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</si>
  <si>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</si>
  <si>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</si>
  <si>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</si>
  <si>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</si>
  <si>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</si>
  <si>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</si>
  <si>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</si>
  <si>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</si>
  <si>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</si>
  <si>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</si>
  <si>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</si>
  <si>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</si>
  <si>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</si>
  <si>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</si>
  <si>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</si>
  <si>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</si>
  <si>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</si>
  <si>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</si>
  <si>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</si>
  <si>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</si>
  <si>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</si>
  <si>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</si>
  <si>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</si>
  <si>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</si>
  <si>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</si>
  <si>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</si>
  <si>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</si>
  <si>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</si>
  <si>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</si>
  <si>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</si>
  <si>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</si>
  <si>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</si>
  <si>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</si>
  <si>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</si>
  <si>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</si>
  <si>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</si>
  <si>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</si>
  <si>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</si>
  <si>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</si>
  <si>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</si>
  <si>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</si>
  <si>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</si>
  <si>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</si>
  <si>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</si>
  <si>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</si>
  <si>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</si>
  <si>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</si>
  <si>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</si>
  <si>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</si>
  <si>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</si>
  <si>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</si>
  <si>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</si>
  <si>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</si>
  <si>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</si>
  <si>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</si>
  <si>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</si>
  <si>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</si>
  <si>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</si>
  <si>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</si>
  <si>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</si>
  <si>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</si>
  <si>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</si>
  <si>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</si>
  <si>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</si>
  <si>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</si>
  <si>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</si>
  <si>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</si>
  <si>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</si>
  <si>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</si>
  <si>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</si>
  <si>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</si>
  <si>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</si>
  <si>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</si>
  <si>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</si>
  <si>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</si>
  <si>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</si>
  <si>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</si>
  <si>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</si>
  <si>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</si>
  <si>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</si>
  <si>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</si>
  <si>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</si>
  <si>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</si>
  <si>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</si>
  <si>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</si>
  <si>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</si>
  <si>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</si>
  <si>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</si>
  <si>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</si>
  <si>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</si>
  <si>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</si>
  <si>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</si>
  <si>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</si>
  <si>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</si>
  <si>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</si>
  <si>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</si>
  <si>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</si>
  <si>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</si>
  <si>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</si>
  <si>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</si>
  <si>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</si>
  <si>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</si>
  <si>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</si>
  <si>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</si>
  <si>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</si>
  <si>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</si>
  <si>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</si>
  <si>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</si>
  <si>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</si>
  <si>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</si>
  <si>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</si>
  <si>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</si>
  <si>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</si>
  <si>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</si>
  <si>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</si>
  <si>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</si>
  <si>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</si>
  <si>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</si>
  <si>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</si>
  <si>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</si>
  <si>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</si>
  <si>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</si>
  <si>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</si>
  <si>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</si>
  <si>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</si>
  <si>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</si>
  <si>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</si>
  <si>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</si>
  <si>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</si>
  <si>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</si>
  <si>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</si>
  <si>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</si>
  <si>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</si>
  <si>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</si>
  <si>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</si>
  <si>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</si>
  <si>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</si>
  <si>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</si>
  <si>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</si>
  <si>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</si>
  <si>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</si>
  <si>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</si>
  <si>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</si>
  <si>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</si>
  <si>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</si>
  <si>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</si>
  <si>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</si>
  <si>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</si>
  <si>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</si>
  <si>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</si>
  <si>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</si>
  <si>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</si>
  <si>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</si>
  <si>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</si>
  <si>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</si>
  <si>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</si>
  <si>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</si>
  <si>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</si>
  <si>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</si>
  <si>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</si>
  <si>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</si>
  <si>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</si>
  <si>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</si>
  <si>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</si>
  <si>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</si>
  <si>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</si>
  <si>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</si>
  <si>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</si>
  <si>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</si>
  <si>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</si>
  <si>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</si>
  <si>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</si>
  <si>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</si>
  <si>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</si>
  <si>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</si>
  <si>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</si>
  <si>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</si>
  <si>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</si>
  <si>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</si>
  <si>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</si>
  <si>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</si>
  <si>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</si>
  <si>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</si>
  <si>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</si>
  <si>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</si>
  <si>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</si>
  <si>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</si>
  <si>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</si>
  <si>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</si>
  <si>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</si>
  <si>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</si>
  <si>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</si>
  <si>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</si>
  <si>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</si>
  <si>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</si>
  <si>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</si>
  <si>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</si>
  <si>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</si>
  <si>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</si>
  <si>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</si>
  <si>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</si>
  <si>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</si>
  <si>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</si>
  <si>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</si>
  <si>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</si>
  <si>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</si>
  <si>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</si>
  <si>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</si>
  <si>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</si>
  <si>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</si>
  <si>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</si>
  <si>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</si>
  <si>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</si>
  <si>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</si>
  <si>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</si>
  <si>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</si>
  <si>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</si>
  <si>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</si>
  <si>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</si>
  <si>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</si>
  <si>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</si>
  <si>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</si>
  <si>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</si>
  <si>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</si>
  <si>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</si>
  <si>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</si>
  <si>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</si>
  <si>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</si>
  <si>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</si>
  <si>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</si>
  <si>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</si>
  <si>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</si>
  <si>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</si>
  <si>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</si>
  <si>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</si>
  <si>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</si>
  <si>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</si>
  <si>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</si>
  <si>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</si>
  <si>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</si>
  <si>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</si>
  <si>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</si>
  <si>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</si>
  <si>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</si>
  <si>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</si>
  <si>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</si>
  <si>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</si>
  <si>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</si>
  <si>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</si>
  <si>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</si>
  <si>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</si>
  <si>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</si>
  <si>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</si>
  <si>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</si>
  <si>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</si>
  <si>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</si>
  <si>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</si>
  <si>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</si>
  <si>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</si>
  <si>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</si>
  <si>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</si>
  <si>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</si>
  <si>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</si>
  <si>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</si>
  <si>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</si>
  <si>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</si>
  <si>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</si>
  <si>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</si>
  <si>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</si>
  <si>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</si>
  <si>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</si>
  <si>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</si>
  <si>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</si>
  <si>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</si>
  <si>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</si>
  <si>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</si>
  <si>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</si>
  <si>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</si>
  <si>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</si>
  <si>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</si>
  <si>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</si>
  <si>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</si>
  <si>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</si>
  <si>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</si>
  <si>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</si>
  <si>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</si>
  <si>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</si>
  <si>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</si>
  <si>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</si>
  <si>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</si>
  <si>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</si>
  <si>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</si>
  <si>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</si>
  <si>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</si>
  <si>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</si>
  <si>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</si>
  <si>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</si>
  <si>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</si>
  <si>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</si>
  <si>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</si>
  <si>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</si>
  <si>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</si>
  <si>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</si>
  <si>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</si>
  <si>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</si>
  <si>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</si>
  <si>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</si>
  <si>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</si>
  <si>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</si>
  <si>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</si>
  <si>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</si>
  <si>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</si>
  <si>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</si>
  <si>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</si>
  <si>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</si>
  <si>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</si>
  <si>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</si>
  <si>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</si>
  <si>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</si>
  <si>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</si>
  <si>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</si>
  <si>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</si>
  <si>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</si>
  <si>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</si>
  <si>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</si>
  <si>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</si>
  <si>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</si>
  <si>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</si>
  <si>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</si>
  <si>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</si>
  <si>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</si>
  <si>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</si>
  <si>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</si>
  <si>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</si>
  <si>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</si>
  <si>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</si>
  <si>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</si>
  <si>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</si>
  <si>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</si>
  <si>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</si>
  <si>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</si>
  <si>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</si>
  <si>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</si>
  <si>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</si>
  <si>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</si>
  <si>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</si>
  <si>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</si>
  <si>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</si>
  <si>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</si>
  <si>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</si>
  <si>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</si>
  <si>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</si>
  <si>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</si>
  <si>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</si>
  <si>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</si>
  <si>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</si>
  <si>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</si>
  <si>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</si>
  <si>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</si>
  <si>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</si>
  <si>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</si>
  <si>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</si>
  <si>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</si>
  <si>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</si>
  <si>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</si>
  <si>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</si>
  <si>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</si>
  <si>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</si>
  <si>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</si>
  <si>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</si>
  <si>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</si>
  <si>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</si>
  <si>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</si>
  <si>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</si>
  <si>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</si>
  <si>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</si>
  <si>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</si>
  <si>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</si>
  <si>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</si>
  <si>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</si>
  <si>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</si>
  <si>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</si>
  <si>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</si>
  <si>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</si>
  <si>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</si>
  <si>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</si>
  <si>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</si>
  <si>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</si>
  <si>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</si>
  <si>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</si>
  <si>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</si>
  <si>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</si>
  <si>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</si>
  <si>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</si>
  <si>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</si>
  <si>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</si>
  <si>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</si>
  <si>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</si>
  <si>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</si>
  <si>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</si>
  <si>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</si>
  <si>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</si>
  <si>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</si>
  <si>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</si>
  <si>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</si>
  <si>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</si>
  <si>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</si>
  <si>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</si>
  <si>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</si>
  <si>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</si>
  <si>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</si>
  <si>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</si>
  <si>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</si>
  <si>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</si>
  <si>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</si>
  <si>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</si>
  <si>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</si>
  <si>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</si>
  <si>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</si>
  <si>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</si>
  <si>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</si>
  <si>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</si>
  <si>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</si>
  <si>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</si>
  <si>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</si>
  <si>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</si>
  <si>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</si>
  <si>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</si>
  <si>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</si>
  <si>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</si>
  <si>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</si>
  <si>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</si>
  <si>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</si>
  <si>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</si>
  <si>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</si>
  <si>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</si>
  <si>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</si>
  <si>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</si>
  <si>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</si>
  <si>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</si>
  <si>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</si>
  <si>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</si>
  <si>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</si>
  <si>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</si>
  <si>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</si>
  <si>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</si>
  <si>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</si>
  <si>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</si>
  <si>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</si>
  <si>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</si>
  <si>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</si>
  <si>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</si>
  <si>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</si>
  <si>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</si>
  <si>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</si>
  <si>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</si>
  <si>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</si>
  <si>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</si>
  <si>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</si>
  <si>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</si>
  <si>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</si>
  <si>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</si>
  <si>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</si>
  <si>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</si>
  <si>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</si>
  <si>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</si>
  <si>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</si>
  <si>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</si>
  <si>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</si>
  <si>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</si>
  <si>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</si>
  <si>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</si>
  <si>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</si>
  <si>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</si>
  <si>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</si>
  <si>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</si>
  <si>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</si>
  <si>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</si>
  <si>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</si>
  <si>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</si>
  <si>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</si>
  <si>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</si>
  <si>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</si>
  <si>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</si>
  <si>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</si>
  <si>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</si>
  <si>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</si>
  <si>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</si>
  <si>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</si>
  <si>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</si>
  <si>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</si>
  <si>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</si>
  <si>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</si>
  <si>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</si>
  <si>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</si>
  <si>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</si>
  <si>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</si>
  <si>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</si>
  <si>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</si>
  <si>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</si>
  <si>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</si>
  <si>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</si>
  <si>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</si>
  <si>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</si>
  <si>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</si>
  <si>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</si>
  <si>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</si>
  <si>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</si>
  <si>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</si>
  <si>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</si>
  <si>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</si>
  <si>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</si>
  <si>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</si>
  <si>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</si>
  <si>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</si>
  <si>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</si>
  <si>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</si>
  <si>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</si>
  <si>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</si>
  <si>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</si>
  <si>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</si>
  <si>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</si>
  <si>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</si>
  <si>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</si>
  <si>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</si>
  <si>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</si>
  <si>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</si>
  <si>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</si>
  <si>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</si>
  <si>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</si>
  <si>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</si>
  <si>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</si>
  <si>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</si>
  <si>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</si>
  <si>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</si>
  <si>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</si>
  <si>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</si>
  <si>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</si>
  <si>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</si>
  <si>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</si>
  <si>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</si>
  <si>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</si>
  <si>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</si>
  <si>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</si>
  <si>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</si>
  <si>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</si>
  <si>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</si>
  <si>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</si>
  <si>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</si>
  <si>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</si>
  <si>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</si>
  <si>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</si>
  <si>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</si>
  <si>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</si>
  <si>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</si>
  <si>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</si>
  <si>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</si>
  <si>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</si>
  <si>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</si>
  <si>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</si>
  <si>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</si>
  <si>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</si>
  <si>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</si>
  <si>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</si>
  <si>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</si>
  <si>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</si>
  <si>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</si>
  <si>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</si>
  <si>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</si>
  <si>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</si>
  <si>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</si>
  <si>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</si>
  <si>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</si>
  <si>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</si>
  <si>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</si>
  <si>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</si>
  <si>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</si>
  <si>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</si>
  <si>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</si>
  <si>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</si>
  <si>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</si>
  <si>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</si>
  <si>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</si>
  <si>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</si>
  <si>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</si>
  <si>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</si>
  <si>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</si>
  <si>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</si>
  <si>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</si>
  <si>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</si>
  <si>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</si>
  <si>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</si>
  <si>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</si>
  <si>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</si>
  <si>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</si>
  <si>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</si>
  <si>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</si>
  <si>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</si>
  <si>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</si>
  <si>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</si>
  <si>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</si>
  <si>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</si>
  <si>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</si>
  <si>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</si>
  <si>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</si>
  <si>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</si>
  <si>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</si>
  <si>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</si>
  <si>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</si>
  <si>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</si>
  <si>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</si>
  <si>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</si>
  <si>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</si>
  <si>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</si>
  <si>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</si>
  <si>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</si>
  <si>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</si>
  <si>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</si>
  <si>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</si>
  <si>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</si>
  <si>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</si>
  <si>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</si>
  <si>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</si>
  <si>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</si>
  <si>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</si>
  <si>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</si>
  <si>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</si>
  <si>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</si>
  <si>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</si>
  <si>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</si>
  <si>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</si>
  <si>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</si>
  <si>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</si>
  <si>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</si>
  <si>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</si>
  <si>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</si>
  <si>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</si>
  <si>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</si>
  <si>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</si>
  <si>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</si>
  <si>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</si>
  <si>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</si>
  <si>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</si>
  <si>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</si>
  <si>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</si>
  <si>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</si>
  <si>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</si>
  <si>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</si>
  <si>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</si>
  <si>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</si>
  <si>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</si>
  <si>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</si>
  <si>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</si>
  <si>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</si>
  <si>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</si>
  <si>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</si>
  <si>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</si>
  <si>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</si>
  <si>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</si>
  <si>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</si>
  <si>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</si>
  <si>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</si>
  <si>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</si>
  <si>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</si>
  <si>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</si>
  <si>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</si>
  <si>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</si>
  <si>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</si>
  <si>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</si>
  <si>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</si>
  <si>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</si>
  <si>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</si>
  <si>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</si>
  <si>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</si>
  <si>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</si>
  <si>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</si>
  <si>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</si>
  <si>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</si>
  <si>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</si>
  <si>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</si>
  <si>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</si>
  <si>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</si>
  <si>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</si>
  <si>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</si>
  <si>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</si>
  <si>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</si>
  <si>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</si>
  <si>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</si>
  <si>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</si>
  <si>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</si>
  <si>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</si>
  <si>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</si>
  <si>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</si>
  <si>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</si>
  <si>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</si>
  <si>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</si>
  <si>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</si>
  <si>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</si>
  <si>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</si>
  <si>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</si>
  <si>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</si>
  <si>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</si>
  <si>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</si>
  <si>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</si>
  <si>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</si>
  <si>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UTP, 4 PARES, CATEGORIA 6 (CAT 6), ISOLAMENTO PVC (LSZH)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</si>
  <si>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</si>
  <si>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</si>
  <si>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</si>
  <si>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</si>
  <si>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</si>
  <si>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</si>
  <si>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</si>
  <si>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</si>
  <si>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</si>
  <si>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</si>
  <si>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</si>
  <si>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</si>
  <si>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</si>
  <si>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</si>
  <si>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</si>
  <si>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</si>
  <si>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</si>
  <si>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</si>
  <si>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</si>
  <si>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</si>
  <si>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</si>
  <si>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</si>
  <si>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</si>
  <si>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</si>
  <si>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</si>
  <si>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</si>
  <si>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</si>
  <si>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</si>
  <si>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</si>
  <si>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</si>
  <si>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</si>
  <si>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</si>
  <si>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</si>
  <si>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</si>
  <si>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</si>
  <si>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</si>
  <si>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</si>
  <si>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</si>
  <si>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</si>
  <si>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</si>
  <si>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</si>
  <si>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</si>
  <si>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</si>
  <si>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</si>
  <si>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</si>
  <si>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</si>
  <si>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</si>
  <si>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</si>
  <si>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</si>
  <si>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</si>
  <si>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</si>
  <si>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</si>
  <si>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</si>
  <si>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</si>
  <si>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</si>
  <si>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</si>
  <si>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</si>
  <si>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</si>
  <si>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</si>
  <si>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</si>
  <si>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</si>
  <si>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</si>
  <si>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</si>
  <si>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</si>
  <si>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</si>
  <si>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</si>
  <si>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</si>
  <si>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</si>
  <si>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</si>
  <si>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</si>
  <si>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</si>
  <si>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</si>
  <si>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</si>
  <si>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</si>
  <si>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</si>
  <si>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</si>
  <si>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</si>
  <si>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</si>
  <si>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</si>
  <si>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</si>
  <si>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</si>
  <si>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</si>
  <si>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</si>
  <si>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</si>
  <si>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</si>
  <si>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</si>
  <si>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</si>
  <si>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</si>
  <si>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</si>
  <si>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</si>
  <si>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</si>
  <si>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</si>
  <si>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</si>
  <si>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</si>
  <si>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</si>
  <si>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</si>
  <si>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</si>
  <si>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</si>
  <si>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</si>
  <si>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</si>
  <si>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</si>
  <si>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</si>
  <si>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</si>
  <si>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</si>
  <si>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</si>
  <si>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</si>
  <si>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</si>
  <si>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</si>
  <si>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</si>
  <si>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</si>
  <si>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</si>
  <si>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</si>
  <si>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</si>
  <si>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</si>
  <si>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</si>
  <si>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</si>
  <si>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</si>
  <si>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</si>
  <si>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</si>
  <si>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</si>
  <si>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</si>
  <si>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</si>
  <si>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</si>
  <si>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</si>
  <si>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</si>
  <si>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</si>
  <si>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</si>
  <si>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</si>
  <si>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</si>
  <si>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</si>
  <si>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</si>
  <si>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</si>
  <si>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</si>
  <si>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</si>
  <si>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</si>
  <si>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</si>
  <si>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</si>
  <si>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</si>
  <si>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</si>
  <si>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</si>
  <si>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</si>
  <si>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</si>
  <si>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</si>
  <si>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</si>
  <si>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</si>
  <si>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</si>
  <si>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</si>
  <si>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</si>
  <si>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</si>
  <si>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</si>
  <si>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</si>
  <si>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</si>
  <si>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</si>
  <si>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</si>
  <si>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</si>
  <si>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</si>
  <si>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</si>
  <si>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</si>
  <si>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</si>
  <si>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</si>
  <si>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</si>
  <si>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</si>
  <si>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</si>
  <si>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</si>
  <si>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</si>
  <si>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</si>
  <si>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</si>
  <si>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</si>
  <si>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</si>
  <si>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</si>
  <si>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</si>
  <si>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</si>
  <si>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</si>
  <si>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</si>
  <si>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</si>
  <si>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</si>
  <si>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</si>
  <si>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</si>
  <si>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</si>
  <si>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</si>
  <si>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</si>
  <si>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</si>
  <si>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</si>
  <si>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</si>
  <si>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</si>
  <si>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</si>
  <si>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</si>
  <si>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</si>
  <si>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</si>
  <si>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</si>
  <si>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</si>
  <si>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</si>
  <si>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</si>
  <si>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</si>
  <si>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</si>
  <si>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</si>
  <si>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</si>
  <si>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</si>
  <si>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</si>
  <si>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</si>
  <si>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</si>
  <si>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</si>
  <si>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</si>
  <si>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</si>
  <si>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</si>
  <si>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</si>
  <si>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</si>
  <si>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</si>
  <si>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</si>
  <si>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</si>
  <si>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</si>
  <si>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</si>
  <si>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</si>
  <si>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</si>
  <si>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</si>
  <si>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</si>
  <si>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</si>
  <si>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</si>
  <si>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</si>
  <si>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</si>
  <si>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</si>
  <si>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</si>
  <si>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</si>
  <si>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</si>
  <si>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</si>
  <si>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</si>
  <si>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</si>
  <si>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</si>
  <si>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</si>
  <si>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</si>
  <si>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</si>
  <si>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</si>
  <si>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</si>
  <si>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</si>
  <si>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</si>
  <si>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</si>
  <si>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</si>
  <si>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</si>
  <si>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</si>
  <si>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</si>
  <si>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</si>
  <si>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</si>
  <si>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</si>
  <si>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</si>
  <si>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</si>
  <si>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</si>
  <si>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</si>
  <si>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</si>
  <si>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</si>
  <si>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</si>
  <si>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</si>
  <si>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</si>
  <si>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</si>
  <si>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</si>
  <si>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</si>
  <si>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</si>
  <si>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</si>
  <si>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</si>
  <si>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</si>
  <si>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</si>
  <si>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</si>
  <si>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</si>
  <si>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</si>
  <si>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</si>
  <si>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</si>
  <si>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</si>
  <si>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</si>
  <si>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</si>
  <si>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</si>
  <si>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</si>
  <si>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</si>
  <si>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</si>
  <si>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</si>
  <si>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</si>
  <si>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</si>
  <si>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</si>
  <si>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</si>
  <si>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</si>
  <si>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</si>
  <si>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</si>
  <si>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</si>
  <si>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</si>
  <si>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</si>
  <si>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</si>
  <si>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</si>
  <si>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</si>
  <si>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</si>
  <si>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</si>
  <si>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</si>
  <si>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</si>
  <si>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</si>
  <si>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</si>
  <si>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</si>
  <si>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</si>
  <si>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</si>
  <si>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</si>
  <si>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</si>
  <si>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</si>
  <si>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</si>
  <si>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</si>
  <si>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</si>
  <si>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</si>
  <si>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</si>
  <si>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</si>
  <si>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</si>
  <si>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</si>
  <si>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</si>
  <si>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</si>
  <si>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</si>
  <si>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</si>
  <si>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</si>
  <si>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</si>
  <si>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</si>
  <si>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</si>
  <si>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</si>
  <si>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</si>
  <si>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</si>
  <si>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</si>
  <si>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</si>
  <si>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</si>
  <si>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</si>
  <si>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</si>
  <si>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</si>
  <si>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</si>
  <si>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</si>
  <si>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</si>
  <si>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</si>
  <si>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</si>
  <si>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</si>
  <si>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</si>
  <si>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</si>
  <si>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</si>
  <si>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</si>
  <si>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</si>
  <si>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</si>
  <si>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</si>
  <si>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</si>
  <si>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</si>
  <si>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</si>
  <si>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</si>
  <si>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</si>
  <si>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</si>
  <si>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</si>
  <si>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</si>
  <si>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</si>
  <si>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</si>
  <si>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</si>
  <si>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</si>
  <si>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</si>
  <si>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</si>
  <si>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</si>
  <si>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</si>
  <si>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</si>
  <si>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</si>
  <si>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</si>
  <si>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</si>
  <si>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</si>
  <si>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</si>
  <si>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</si>
  <si>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</si>
  <si>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</si>
  <si>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</si>
  <si>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</si>
  <si>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</si>
  <si>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</si>
  <si>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</si>
  <si>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</si>
  <si>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</si>
  <si>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</si>
  <si>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</si>
  <si>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</si>
  <si>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</si>
  <si>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</si>
  <si>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</si>
  <si>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</si>
  <si>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</si>
  <si>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</si>
  <si>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</si>
  <si>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</si>
  <si>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</si>
  <si>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</si>
  <si>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</si>
  <si>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</si>
  <si>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</si>
  <si>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</si>
  <si>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</si>
  <si>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</si>
  <si>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</si>
  <si>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</si>
  <si>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</si>
  <si>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</si>
  <si>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</si>
  <si>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</si>
  <si>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</si>
  <si>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</si>
  <si>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</si>
  <si>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</si>
  <si>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</si>
  <si>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</si>
  <si>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</si>
  <si>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</si>
  <si>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</si>
  <si>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</si>
  <si>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</si>
  <si>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</si>
  <si>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</si>
  <si>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</si>
  <si>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</si>
  <si>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</si>
  <si>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</si>
  <si>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</si>
  <si>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</si>
  <si>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</si>
  <si>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</si>
  <si>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</si>
  <si>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</si>
  <si>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</si>
  <si>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</si>
  <si>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</si>
  <si>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</si>
  <si>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</si>
  <si>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</si>
  <si>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</si>
  <si>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</si>
  <si>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</si>
  <si>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</si>
  <si>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</si>
  <si>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</si>
  <si>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</si>
  <si>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</si>
  <si>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</si>
  <si>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</si>
  <si>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</si>
  <si>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</si>
  <si>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</si>
  <si>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</si>
  <si>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</si>
  <si>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</si>
  <si>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</si>
  <si>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</si>
  <si>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</si>
  <si>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</si>
  <si>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</si>
  <si>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</si>
  <si>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</si>
  <si>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</si>
  <si>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</si>
  <si>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</si>
  <si>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</si>
  <si>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</si>
  <si>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</si>
  <si>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</si>
  <si>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</si>
  <si>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</si>
  <si>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</si>
  <si>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</si>
  <si>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</si>
  <si>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</si>
  <si>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</si>
  <si>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</si>
  <si>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</si>
  <si>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</si>
  <si>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</si>
  <si>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</si>
  <si>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</si>
  <si>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</si>
  <si>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</si>
  <si>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</si>
  <si>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</si>
  <si>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</si>
  <si>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</si>
  <si>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</si>
  <si>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</si>
  <si>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</si>
  <si>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</si>
  <si>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</si>
  <si>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</si>
  <si>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</si>
  <si>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</si>
  <si>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</si>
  <si>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</si>
  <si>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</si>
  <si>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</si>
  <si>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</si>
  <si>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</si>
  <si>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</si>
  <si>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</si>
  <si>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</si>
  <si>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</si>
  <si>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</si>
  <si>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</si>
  <si>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</si>
  <si>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</si>
  <si>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</si>
  <si>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</si>
  <si>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</si>
  <si>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</si>
  <si>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</si>
  <si>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</si>
  <si>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</si>
  <si>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</si>
  <si>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</si>
  <si>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</si>
  <si>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</si>
  <si>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</si>
  <si>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</si>
  <si>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</si>
  <si>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</si>
  <si>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</si>
  <si>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</si>
  <si>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</si>
  <si>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</si>
  <si>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</si>
  <si>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</si>
  <si>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</si>
  <si>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</si>
  <si>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</si>
  <si>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</si>
  <si>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</si>
  <si>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</si>
  <si>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</si>
  <si>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</si>
  <si>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</si>
  <si>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</si>
  <si>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</si>
  <si>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</si>
  <si>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</si>
  <si>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</si>
  <si>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</si>
  <si>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</si>
  <si>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</si>
  <si>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</si>
  <si>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</si>
  <si>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</si>
  <si>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</si>
  <si>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</si>
  <si>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</si>
  <si>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</si>
  <si>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</si>
  <si>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</si>
  <si>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</si>
  <si>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</si>
  <si>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</si>
  <si>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</si>
  <si>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</si>
  <si>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</si>
  <si>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</si>
  <si>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</si>
  <si>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</si>
  <si>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</si>
  <si>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</si>
  <si>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</si>
  <si>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</si>
  <si>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</si>
  <si>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</si>
  <si>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</si>
  <si>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</si>
  <si>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</si>
  <si>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</si>
  <si>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</si>
  <si>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</si>
  <si>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</si>
  <si>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</si>
  <si>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</si>
  <si>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</si>
  <si>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</si>
  <si>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</si>
  <si>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</si>
  <si>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</si>
  <si>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</si>
  <si>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</si>
  <si>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</si>
  <si>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</si>
  <si>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</si>
  <si>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</si>
  <si>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</si>
  <si>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</si>
  <si>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</si>
  <si>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</si>
  <si>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</si>
  <si>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</si>
  <si>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</si>
  <si>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</si>
  <si>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</si>
  <si>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</si>
  <si>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</si>
  <si>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</si>
  <si>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</si>
  <si>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</si>
  <si>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</si>
  <si>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</si>
  <si>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</si>
  <si>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</si>
  <si>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</si>
  <si>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</si>
  <si>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</si>
  <si>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</si>
  <si>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</si>
  <si>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</si>
  <si>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</si>
  <si>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</si>
  <si>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</si>
  <si>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</si>
  <si>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</si>
  <si>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</si>
  <si>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</si>
  <si>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</si>
  <si>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</si>
  <si>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</si>
  <si>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</si>
  <si>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</si>
  <si>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</si>
  <si>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</si>
  <si>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</si>
  <si>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</si>
  <si>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</si>
  <si>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</si>
  <si>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</si>
  <si>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</si>
  <si>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</si>
  <si>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</si>
  <si>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</si>
  <si>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</si>
  <si>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</si>
  <si>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</si>
  <si>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</si>
  <si>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</si>
  <si>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</si>
  <si>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</si>
  <si>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</si>
  <si>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</si>
  <si>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</si>
  <si>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</si>
  <si>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</si>
  <si>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</si>
  <si>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</si>
  <si>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</si>
  <si>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</si>
  <si>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</si>
  <si>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</si>
  <si>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</si>
  <si>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</si>
  <si>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</si>
  <si>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</si>
  <si>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</si>
  <si>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</si>
  <si>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</si>
  <si>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</si>
  <si>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</si>
  <si>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</si>
  <si>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</si>
  <si>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</si>
  <si>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</si>
  <si>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</si>
  <si>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</si>
  <si>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</si>
  <si>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</si>
  <si>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</si>
  <si>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</si>
  <si>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</si>
  <si>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</si>
  <si>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</si>
  <si>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</si>
  <si>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</si>
  <si>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</si>
  <si>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</si>
  <si>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</si>
  <si>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</si>
  <si>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</si>
  <si>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</si>
  <si>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</si>
  <si>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</si>
  <si>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</si>
  <si>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</si>
  <si>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</si>
  <si>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</si>
  <si>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</si>
  <si>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</si>
  <si>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</si>
  <si>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</si>
  <si>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</si>
  <si>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</si>
  <si>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</si>
  <si>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</si>
  <si>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</si>
  <si>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</si>
  <si>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</si>
  <si>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</si>
  <si>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</si>
  <si>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</si>
  <si>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</si>
  <si>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</si>
  <si>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</si>
  <si>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</si>
  <si>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</si>
  <si>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</si>
  <si>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</si>
  <si>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</si>
  <si>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</si>
  <si>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</si>
  <si>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</si>
  <si>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</si>
  <si>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</si>
  <si>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</si>
  <si>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</si>
  <si>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</si>
  <si>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</si>
  <si>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</si>
  <si>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</si>
  <si>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</si>
  <si>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</si>
  <si>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</si>
  <si>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</si>
  <si>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</si>
  <si>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</si>
  <si>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</si>
  <si>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</si>
  <si>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</si>
  <si>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</si>
  <si>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</si>
  <si>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</si>
  <si>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</si>
  <si>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</si>
  <si>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</si>
  <si>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</si>
  <si>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</si>
  <si>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</si>
  <si>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</si>
  <si>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</si>
  <si>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</si>
  <si>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</si>
  <si>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</si>
  <si>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</si>
  <si>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</si>
  <si>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</si>
  <si>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</si>
  <si>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</si>
  <si>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</si>
  <si>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</si>
  <si>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</si>
  <si>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</si>
  <si>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</si>
  <si>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</si>
  <si>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</si>
  <si>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</si>
  <si>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</si>
  <si>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</si>
  <si>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</si>
  <si>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</si>
  <si>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</si>
  <si>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</si>
  <si>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</si>
  <si>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</si>
  <si>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</si>
  <si>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</si>
  <si>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</si>
  <si>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</si>
  <si>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</si>
  <si>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</si>
  <si>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</si>
  <si>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</si>
  <si>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</si>
  <si>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</si>
  <si>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</si>
  <si>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</si>
  <si>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</si>
  <si>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</si>
  <si>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</si>
  <si>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</si>
  <si>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</si>
  <si>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</si>
  <si>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</si>
  <si>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</si>
  <si>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</si>
  <si>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</si>
  <si>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</si>
  <si>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</si>
  <si>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</si>
  <si>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</si>
  <si>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</si>
  <si>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</si>
  <si>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</si>
  <si>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</si>
  <si>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</si>
  <si>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</si>
  <si>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</si>
  <si>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</si>
  <si>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</si>
  <si>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</si>
  <si>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</si>
  <si>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</si>
  <si>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</si>
  <si>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</si>
  <si>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</si>
  <si>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</si>
  <si>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</si>
  <si>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</si>
  <si>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</si>
  <si>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</si>
  <si>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</si>
  <si>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</si>
  <si>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</si>
  <si>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</si>
  <si>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</si>
  <si>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</si>
  <si>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</si>
  <si>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</si>
  <si>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</si>
  <si>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</si>
  <si>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</si>
  <si>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</si>
  <si>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</si>
  <si>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</si>
  <si>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</si>
  <si>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</si>
  <si>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</si>
  <si>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</si>
  <si>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</si>
  <si>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</si>
  <si>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</si>
  <si>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</si>
  <si>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</si>
  <si>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</si>
  <si>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</si>
  <si>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</si>
  <si>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</si>
  <si>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</si>
  <si>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</si>
  <si>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</si>
  <si>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</si>
  <si>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</si>
  <si>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</si>
  <si>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</si>
  <si>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</si>
  <si>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</si>
  <si>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</si>
  <si>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</si>
  <si>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</si>
  <si>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</si>
  <si>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</si>
  <si>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</si>
  <si>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</si>
  <si>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</si>
  <si>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</si>
  <si>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</si>
  <si>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</si>
  <si>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</si>
  <si>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</si>
  <si>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</si>
  <si>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</si>
  <si>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</si>
  <si>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</si>
  <si>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</si>
  <si>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</si>
  <si>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</si>
  <si>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</si>
  <si>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</si>
  <si>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</si>
  <si>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</si>
  <si>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</si>
  <si>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</si>
  <si>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</si>
  <si>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</si>
  <si>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</si>
  <si>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</si>
  <si>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</si>
  <si>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</si>
  <si>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</si>
  <si>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</si>
  <si>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</si>
  <si>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</si>
  <si>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</si>
  <si>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</si>
  <si>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</si>
  <si>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</si>
  <si>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</si>
  <si>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</si>
  <si>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</si>
  <si>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</si>
  <si>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</si>
  <si>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</si>
  <si>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</si>
  <si>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</si>
  <si>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</si>
  <si>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</si>
  <si>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</si>
  <si>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</si>
  <si>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</si>
  <si>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</si>
  <si>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</si>
  <si>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</si>
  <si>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</si>
  <si>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</si>
  <si>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</si>
  <si>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</si>
  <si>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</si>
  <si>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</si>
  <si>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</si>
  <si>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</si>
  <si>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</si>
  <si>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</si>
  <si>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</si>
  <si>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</si>
  <si>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</si>
  <si>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</si>
  <si>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</si>
  <si>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</si>
  <si>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</si>
  <si>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</si>
  <si>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</si>
  <si>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</si>
  <si>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</si>
  <si>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</si>
  <si>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</si>
  <si>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</si>
  <si>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</si>
  <si>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</si>
  <si>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</si>
  <si>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</si>
  <si>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</si>
  <si>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</si>
  <si>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</si>
  <si>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</si>
  <si>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</si>
  <si>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</si>
  <si>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</si>
  <si>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</si>
  <si>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</si>
  <si>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</si>
  <si>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</si>
  <si>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</si>
  <si>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</si>
  <si>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</si>
  <si>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</si>
  <si>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</si>
  <si>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</si>
  <si>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</si>
  <si>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</si>
  <si>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</si>
  <si>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</si>
  <si>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</si>
  <si>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</si>
  <si>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</si>
  <si>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</si>
  <si>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</si>
  <si>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</si>
  <si>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</si>
  <si>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</si>
  <si>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</si>
  <si>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</si>
  <si>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</si>
  <si>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</si>
  <si>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</si>
  <si>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</si>
  <si>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</si>
  <si>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</si>
  <si>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</si>
  <si>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</si>
  <si>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</si>
  <si>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</si>
  <si>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</si>
  <si>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</si>
  <si>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</si>
  <si>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</si>
  <si>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</si>
  <si>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</si>
  <si>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</si>
  <si>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</si>
  <si>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</si>
  <si>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</si>
  <si>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</si>
  <si>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</si>
  <si>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</si>
  <si>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</si>
  <si>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</si>
  <si>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</si>
  <si>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</si>
  <si>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</si>
  <si>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</si>
  <si>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</si>
  <si>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</si>
  <si>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</si>
  <si>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</si>
  <si>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</si>
  <si>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</si>
  <si>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</si>
  <si>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</si>
  <si>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</si>
  <si>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</si>
  <si>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</si>
  <si>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</si>
  <si>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</si>
  <si>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</si>
  <si>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</si>
  <si>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</si>
  <si>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</si>
  <si>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</si>
  <si>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</si>
  <si>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</si>
  <si>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</si>
  <si>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</si>
  <si>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</si>
  <si>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</si>
  <si>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</si>
  <si>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</si>
  <si>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</si>
  <si>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</si>
  <si>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</si>
  <si>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</si>
  <si>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</si>
  <si>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</si>
  <si>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</si>
  <si>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</si>
  <si>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</si>
  <si>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</si>
  <si>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</si>
  <si>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</si>
  <si>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</si>
  <si>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</si>
  <si>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</si>
  <si>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</si>
  <si>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</si>
  <si>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</si>
  <si>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</si>
  <si>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</si>
  <si>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</si>
  <si>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</si>
  <si>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</si>
  <si>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</si>
  <si>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</si>
  <si>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</si>
  <si>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</si>
  <si>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</si>
  <si>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</si>
  <si>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</si>
  <si>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</si>
  <si>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</si>
  <si>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</si>
  <si>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</si>
  <si>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</si>
  <si>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</si>
  <si>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</si>
  <si>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</si>
  <si>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</si>
  <si>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</si>
  <si>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</si>
  <si>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</si>
  <si>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</si>
  <si>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</si>
  <si>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</si>
  <si>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</si>
  <si>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</si>
  <si>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</si>
  <si>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</si>
  <si>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</si>
  <si>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</si>
  <si>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</si>
  <si>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</si>
  <si>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</si>
  <si>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</si>
  <si>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</si>
  <si>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</si>
  <si>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</si>
  <si>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</si>
  <si>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</si>
  <si>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</si>
  <si>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</si>
  <si>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</si>
  <si>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</si>
  <si>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</si>
  <si>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</si>
  <si>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</si>
  <si>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</si>
  <si>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</si>
  <si>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</si>
  <si>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</si>
  <si>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</si>
  <si>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</si>
  <si>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</si>
  <si>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</si>
  <si>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</si>
  <si>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</si>
  <si>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</si>
  <si>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</si>
  <si>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</si>
  <si>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</si>
  <si>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</si>
  <si>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</si>
  <si>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</si>
  <si>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</si>
  <si>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</si>
  <si>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</si>
  <si>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</si>
  <si>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</si>
  <si>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</si>
  <si>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</si>
  <si>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</si>
  <si>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</si>
  <si>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</si>
  <si>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</si>
  <si>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</si>
  <si>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</si>
  <si>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</si>
  <si>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</si>
  <si>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</si>
  <si>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</si>
  <si>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</si>
  <si>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</si>
  <si>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</si>
  <si>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</si>
  <si>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</si>
  <si>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</si>
  <si>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</si>
  <si>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</si>
  <si>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</si>
  <si>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</si>
  <si>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</si>
  <si>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</si>
  <si>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</si>
  <si>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</si>
  <si>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</si>
  <si>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</si>
  <si>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</si>
  <si>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</si>
  <si>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</si>
  <si>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</si>
  <si>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</si>
  <si>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</si>
  <si>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</si>
  <si>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</si>
  <si>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</si>
  <si>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</si>
  <si>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</si>
  <si>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</si>
  <si>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</si>
  <si>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</si>
  <si>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</si>
  <si>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</si>
  <si>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</si>
  <si>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</si>
  <si>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</si>
  <si>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</si>
  <si>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</si>
  <si>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</si>
  <si>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</si>
  <si>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</si>
  <si>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</si>
  <si>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</si>
  <si>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</si>
  <si>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</si>
  <si>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</si>
  <si>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</si>
  <si>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</si>
  <si>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</si>
  <si>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</si>
  <si>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</si>
  <si>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</si>
  <si>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</si>
  <si>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</si>
  <si>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</si>
  <si>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</si>
  <si>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</si>
  <si>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</si>
  <si>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</si>
  <si>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</si>
  <si>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</si>
  <si>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</si>
  <si>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</si>
  <si>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</si>
  <si>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</si>
  <si>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</si>
  <si>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</si>
  <si>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</si>
  <si>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</si>
  <si>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</si>
  <si>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</si>
  <si>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</si>
  <si>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</si>
  <si>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</si>
  <si>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</si>
  <si>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</si>
  <si>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</si>
  <si>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</si>
  <si>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</si>
  <si>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</si>
  <si>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</si>
  <si>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</si>
  <si>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</si>
  <si>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</si>
  <si>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</si>
  <si>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</si>
  <si>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</si>
  <si>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</si>
  <si>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</si>
  <si>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</si>
  <si>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</si>
  <si>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</si>
  <si>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</si>
  <si>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</si>
  <si>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</si>
  <si>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</si>
  <si>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</si>
  <si>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</si>
  <si>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</si>
  <si>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</si>
  <si>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</si>
  <si>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</si>
  <si>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</si>
  <si>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</si>
  <si>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</si>
  <si>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</si>
  <si>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</si>
  <si>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</si>
  <si>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</si>
  <si>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</si>
  <si>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</si>
  <si>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</si>
  <si>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</si>
  <si>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</si>
  <si>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/CENTRALIZADOR DE BARRA DE ACO, PLASTICO, DIAMETRO INTERNO ENTRE 25 A 32 MM, TIPO CARAMBOLA - CB, PARA TIRANTES E OUTROS SERVICOS(CHUMBADOR TIPO CARAMBOLA)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</si>
  <si>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</si>
  <si>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</si>
  <si>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</si>
  <si>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</si>
  <si>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</si>
  <si>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</si>
  <si>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</si>
  <si>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</si>
  <si>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</si>
  <si>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</si>
  <si>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</si>
  <si>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</si>
  <si>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</si>
  <si>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</si>
  <si>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</si>
  <si>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</si>
  <si>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</si>
  <si>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</si>
  <si>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</si>
  <si>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</si>
  <si>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</si>
  <si>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</si>
  <si>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</si>
  <si>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</si>
  <si>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</si>
  <si>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</si>
  <si>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</si>
  <si>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</si>
  <si>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</si>
  <si>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</si>
  <si>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</si>
  <si>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</si>
  <si>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</si>
  <si>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</si>
  <si>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</si>
  <si>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</si>
  <si>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</si>
  <si>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</si>
  <si>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</si>
  <si>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</si>
  <si>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</si>
  <si>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</si>
  <si>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</si>
  <si>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</si>
  <si>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</si>
  <si>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</si>
  <si>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</si>
  <si>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</si>
  <si>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</si>
  <si>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</si>
  <si>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</si>
  <si>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</si>
  <si>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</si>
  <si>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</si>
  <si>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</si>
  <si>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</si>
  <si>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</si>
  <si>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</si>
  <si>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</si>
  <si>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</si>
  <si>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</si>
  <si>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</si>
  <si>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</si>
  <si>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</si>
  <si>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</si>
  <si>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</si>
  <si>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</si>
  <si>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</si>
  <si>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</si>
  <si>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</si>
  <si>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</si>
  <si>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</si>
  <si>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</si>
  <si>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</si>
  <si>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</si>
  <si>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</si>
  <si>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</si>
  <si>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</si>
  <si>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</si>
  <si>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</si>
  <si>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</si>
  <si>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</si>
  <si>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</si>
  <si>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</si>
  <si>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</si>
  <si>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</si>
  <si>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</si>
  <si>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</si>
  <si>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</si>
  <si>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</si>
  <si>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</si>
  <si>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</si>
  <si>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</si>
  <si>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</si>
  <si>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</si>
  <si>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</si>
  <si>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</si>
  <si>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</si>
  <si>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</si>
  <si>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</si>
  <si>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</si>
  <si>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</si>
  <si>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</si>
  <si>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</si>
  <si>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</si>
  <si>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</si>
  <si>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</si>
  <si>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</si>
  <si>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</si>
  <si>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</si>
  <si>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</si>
  <si>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</si>
  <si>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</si>
  <si>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</si>
  <si>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</si>
  <si>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</si>
  <si>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</si>
  <si>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</si>
  <si>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</si>
  <si>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</si>
  <si>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</si>
  <si>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</si>
  <si>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</si>
  <si>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</si>
  <si>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</si>
  <si>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</si>
  <si>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</si>
  <si>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</si>
  <si>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</si>
  <si>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</si>
  <si>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</si>
  <si>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</si>
  <si>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</si>
  <si>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</si>
  <si>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</si>
  <si>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</si>
  <si>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</si>
  <si>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</si>
  <si>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</si>
  <si>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</si>
  <si>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</si>
  <si>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</si>
  <si>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</si>
  <si>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</si>
  <si>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</si>
  <si>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</si>
  <si>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</si>
  <si>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</si>
  <si>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</si>
  <si>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</si>
  <si>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</si>
  <si>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</si>
  <si>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</si>
  <si>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</si>
  <si>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</si>
  <si>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</si>
  <si>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</si>
  <si>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</si>
  <si>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</si>
  <si>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</si>
  <si>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</si>
  <si>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</si>
  <si>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</si>
  <si>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</si>
  <si>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</si>
  <si>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</si>
  <si>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</si>
  <si>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</si>
  <si>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</si>
  <si>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</si>
  <si>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</si>
  <si>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</si>
  <si>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</si>
  <si>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</si>
  <si>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</si>
  <si>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</si>
  <si>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</si>
  <si>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</si>
  <si>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</si>
  <si>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</si>
  <si>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</si>
  <si>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</si>
  <si>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</si>
  <si>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</si>
  <si>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</si>
  <si>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</si>
  <si>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</si>
  <si>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</si>
  <si>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</si>
  <si>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</si>
  <si>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</si>
  <si>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</si>
  <si>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</si>
  <si>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</si>
  <si>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</si>
  <si>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</si>
  <si>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</si>
  <si>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</si>
  <si>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</si>
  <si>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</si>
  <si>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</si>
  <si>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</si>
  <si>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</si>
  <si>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</si>
  <si>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</si>
  <si>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</si>
  <si>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</si>
  <si>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</si>
  <si>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</si>
  <si>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</si>
  <si>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</si>
  <si>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</si>
  <si>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</si>
  <si>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</si>
  <si>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</si>
  <si>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</si>
  <si>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</si>
  <si>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</si>
  <si>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</si>
  <si>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</si>
  <si>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</si>
  <si>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</si>
  <si>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</si>
  <si>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</si>
  <si>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</si>
  <si>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</si>
  <si>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</si>
  <si>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</si>
  <si>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</si>
  <si>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</si>
  <si>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</si>
  <si>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</si>
  <si>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</si>
  <si>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</si>
  <si>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</si>
  <si>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</si>
  <si>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</si>
  <si>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</si>
  <si>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</si>
  <si>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</si>
  <si>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</si>
  <si>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</si>
  <si>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</si>
  <si>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</si>
  <si>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</si>
  <si>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</si>
  <si>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</si>
  <si>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</si>
  <si>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</si>
  <si>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</si>
  <si>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</si>
  <si>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</si>
  <si>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</si>
  <si>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</si>
  <si>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</si>
  <si>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</si>
  <si>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</si>
  <si>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</si>
  <si>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</si>
  <si>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</si>
  <si>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</si>
  <si>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</si>
  <si>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</si>
  <si>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</si>
  <si>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</si>
  <si>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</si>
  <si>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</si>
  <si>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</si>
  <si>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</si>
  <si>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</si>
  <si>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</si>
  <si>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</si>
  <si>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</si>
  <si>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</si>
  <si>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</si>
  <si>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</si>
  <si>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</si>
  <si>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</si>
  <si>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</si>
  <si>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</si>
  <si>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</si>
  <si>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</si>
  <si>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</si>
  <si>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</si>
  <si>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</si>
  <si>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</si>
  <si>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</si>
  <si>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</si>
  <si>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</si>
  <si>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</si>
  <si>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</si>
  <si>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</si>
  <si>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</si>
  <si>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</si>
  <si>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</si>
  <si>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</si>
  <si>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</si>
  <si>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</si>
  <si>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</si>
  <si>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</si>
  <si>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</si>
  <si>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</si>
  <si>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</si>
  <si>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</si>
  <si>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</si>
  <si>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</si>
  <si>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</si>
  <si>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</si>
  <si>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</si>
  <si>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</si>
  <si>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</si>
  <si>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</si>
  <si>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</si>
  <si>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</si>
  <si>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</si>
  <si>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</si>
  <si>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</si>
  <si>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</si>
  <si>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</si>
  <si>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</si>
  <si>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</si>
  <si>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</si>
  <si>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</si>
  <si>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</si>
  <si>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</si>
  <si>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</si>
  <si>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</si>
  <si>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</si>
  <si>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</si>
  <si>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</si>
  <si>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</si>
  <si>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</si>
  <si>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</si>
  <si>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</si>
  <si>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</si>
  <si>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</si>
  <si>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</si>
  <si>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</si>
  <si>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</si>
  <si>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</si>
  <si>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</si>
  <si>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</si>
  <si>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</si>
  <si>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</si>
  <si>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</si>
  <si>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</si>
  <si>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</si>
  <si>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</si>
  <si>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</si>
  <si>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</si>
  <si>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</si>
  <si>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</si>
  <si>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</si>
  <si>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</si>
  <si>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</si>
  <si>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</si>
  <si>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</si>
  <si>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</si>
  <si>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</si>
  <si>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</si>
  <si>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</si>
  <si>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</si>
  <si>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</si>
  <si>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</si>
  <si>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</si>
  <si>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</si>
  <si>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</si>
  <si>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</si>
  <si>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</si>
  <si>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</si>
  <si>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</si>
  <si>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</si>
  <si>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</si>
  <si>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</si>
  <si>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</si>
  <si>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</si>
  <si>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</si>
  <si>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</si>
  <si>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</si>
  <si>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</si>
  <si>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</si>
  <si>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</si>
  <si>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</si>
  <si>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</si>
  <si>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</si>
  <si>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</si>
  <si>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</si>
  <si>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</si>
  <si>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</si>
  <si>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</si>
  <si>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</si>
  <si>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</si>
  <si>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</si>
  <si>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</si>
  <si>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</si>
  <si>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</si>
  <si>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</si>
  <si>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</si>
  <si>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</si>
  <si>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</si>
  <si>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</si>
  <si>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</si>
  <si>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</si>
  <si>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</si>
  <si>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</si>
  <si>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</si>
  <si>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</si>
  <si>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</si>
  <si>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</si>
  <si>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(HORISTA)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</si>
  <si>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</si>
  <si>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</si>
  <si>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</si>
  <si>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</si>
  <si>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</si>
  <si>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</si>
  <si>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</si>
  <si>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</si>
  <si>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</si>
  <si>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</si>
  <si>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</si>
  <si>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</si>
  <si>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</si>
  <si>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</si>
  <si>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</si>
  <si>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</si>
  <si>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</si>
  <si>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</si>
  <si>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</si>
  <si>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</si>
  <si>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</si>
  <si>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</si>
  <si>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</si>
  <si>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</si>
  <si>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</si>
  <si>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</si>
  <si>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</si>
  <si>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</si>
  <si>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</si>
  <si>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</si>
  <si>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</si>
  <si>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</si>
  <si>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</si>
  <si>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</si>
  <si>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</si>
  <si>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</si>
  <si>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</si>
  <si>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</si>
  <si>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</si>
  <si>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</si>
  <si>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</si>
  <si>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</si>
  <si>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</si>
  <si>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</si>
  <si>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</si>
  <si>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</si>
  <si>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</si>
  <si>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</si>
  <si>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</si>
  <si>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</si>
  <si>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</si>
  <si>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</si>
  <si>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</si>
  <si>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</si>
  <si>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</si>
  <si>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</si>
  <si>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</si>
  <si>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</si>
  <si>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</si>
  <si>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</si>
  <si>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</si>
  <si>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</si>
  <si>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</si>
  <si>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</si>
  <si>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</si>
  <si>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</si>
  <si>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</si>
  <si>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</si>
  <si>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</si>
  <si>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</si>
  <si>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</si>
  <si>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</si>
  <si>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</si>
  <si>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</si>
  <si>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</si>
  <si>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</si>
  <si>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</si>
  <si>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</si>
  <si>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</si>
  <si>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</si>
  <si>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</si>
  <si>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</si>
  <si>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</si>
  <si>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</si>
  <si>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</si>
  <si>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</si>
  <si>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</si>
  <si>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</si>
  <si>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</si>
  <si>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</si>
  <si>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</si>
  <si>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</si>
  <si>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</si>
  <si>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</si>
  <si>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</si>
  <si>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</si>
  <si>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</si>
  <si>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</si>
  <si>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</si>
  <si>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</si>
  <si>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</si>
  <si>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</si>
  <si>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</si>
  <si>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</si>
  <si>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</si>
  <si>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</si>
  <si>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</si>
  <si>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</si>
  <si>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</si>
  <si>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</si>
  <si>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</si>
  <si>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</si>
  <si>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</si>
  <si>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</si>
  <si>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</si>
  <si>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</si>
  <si>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</si>
  <si>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</si>
  <si>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</si>
  <si>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</si>
  <si>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</si>
  <si>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</si>
  <si>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</si>
  <si>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</si>
  <si>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</si>
  <si>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</si>
  <si>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</si>
  <si>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</si>
  <si>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</si>
  <si>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</si>
  <si>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</si>
  <si>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</si>
  <si>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</si>
  <si>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</si>
  <si>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</si>
  <si>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</si>
  <si>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</si>
  <si>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</si>
  <si>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</si>
  <si>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</si>
  <si>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</si>
  <si>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</si>
  <si>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</si>
  <si>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</si>
  <si>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</si>
  <si>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</si>
  <si>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</si>
  <si>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</si>
  <si>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</si>
  <si>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</si>
  <si>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</si>
  <si>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</si>
  <si>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</si>
  <si>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</si>
  <si>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</si>
  <si>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</si>
  <si>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</si>
  <si>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</si>
  <si>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</si>
  <si>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</si>
  <si>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</si>
  <si>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</si>
  <si>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</si>
  <si>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</si>
  <si>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</si>
  <si>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</si>
  <si>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</si>
  <si>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</si>
  <si>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</si>
  <si>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</si>
  <si>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</si>
  <si>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</si>
  <si>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</si>
  <si>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</si>
  <si>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</si>
  <si>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</si>
  <si>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</si>
  <si>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</si>
  <si>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</si>
  <si>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</si>
  <si>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</si>
  <si>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</si>
  <si>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</si>
  <si>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</si>
  <si>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</si>
  <si>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</si>
  <si>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</si>
  <si>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</si>
  <si>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</si>
  <si>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</si>
  <si>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</si>
  <si>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</si>
  <si>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</si>
  <si>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</si>
  <si>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</si>
  <si>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</si>
  <si>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</si>
  <si>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</si>
  <si>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</si>
  <si>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</si>
  <si>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</si>
  <si>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</si>
  <si>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</si>
  <si>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</si>
  <si>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</si>
  <si>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</si>
  <si>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</si>
  <si>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</si>
  <si>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</si>
  <si>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</si>
  <si>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</si>
  <si>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</si>
  <si>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</si>
  <si>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</si>
  <si>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</si>
  <si>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</si>
  <si>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</si>
  <si>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</si>
  <si>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</si>
  <si>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</si>
  <si>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</si>
  <si>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</si>
  <si>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</si>
  <si>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</si>
  <si>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</si>
  <si>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</si>
  <si>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</si>
  <si>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</si>
  <si>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</si>
  <si>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</si>
  <si>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</si>
  <si>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</si>
  <si>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</si>
  <si>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</si>
  <si>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</si>
  <si>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</si>
  <si>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</si>
  <si>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</si>
  <si>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</si>
  <si>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</si>
  <si>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</si>
  <si>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</si>
  <si>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</si>
  <si>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</si>
  <si>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</si>
  <si>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</si>
  <si>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</si>
  <si>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</si>
  <si>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</si>
  <si>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</si>
  <si>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</si>
  <si>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</si>
  <si>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</si>
  <si>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</si>
  <si>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</si>
  <si>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</si>
  <si>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</si>
  <si>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</si>
  <si>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</si>
  <si>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</si>
  <si>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</si>
  <si>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</si>
  <si>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</si>
  <si>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</si>
  <si>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</si>
  <si>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</si>
  <si>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</si>
  <si>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</si>
  <si>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</si>
  <si>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</si>
  <si>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</si>
  <si>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</si>
  <si>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</si>
  <si>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</si>
  <si>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</si>
  <si>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</si>
  <si>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</si>
  <si>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</si>
  <si>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</si>
  <si>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</si>
  <si>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</si>
  <si>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</si>
  <si>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</si>
  <si>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</si>
  <si>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</si>
  <si>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</si>
  <si>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</si>
  <si>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</si>
  <si>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</si>
  <si>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</si>
  <si>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</si>
  <si>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</si>
  <si>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</si>
  <si>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</si>
  <si>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</si>
  <si>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</si>
  <si>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</si>
  <si>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</si>
  <si>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</si>
  <si>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</si>
  <si>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</si>
  <si>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</si>
  <si>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</si>
  <si>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</si>
  <si>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</si>
  <si>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</si>
  <si>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</si>
  <si>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</si>
  <si>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</si>
  <si>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</si>
  <si>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</si>
  <si>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</si>
  <si>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</si>
  <si>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</si>
  <si>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</si>
  <si>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</si>
  <si>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</si>
  <si>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</si>
  <si>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</si>
  <si>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</si>
  <si>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</si>
  <si>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</si>
  <si>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</si>
  <si>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</si>
  <si>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</si>
  <si>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</si>
  <si>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</si>
  <si>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</si>
  <si>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</si>
  <si>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</si>
  <si>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</si>
  <si>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</si>
  <si>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</si>
  <si>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</si>
  <si>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</si>
  <si>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</si>
  <si>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</si>
  <si>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</si>
  <si>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</si>
  <si>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</si>
  <si>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</si>
  <si>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</si>
  <si>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</si>
  <si>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</si>
  <si>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</si>
  <si>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</si>
  <si>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</si>
  <si>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</si>
  <si>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</si>
  <si>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</si>
  <si>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</si>
  <si>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</si>
  <si>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</si>
  <si>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</si>
  <si>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</si>
  <si>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</si>
  <si>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</si>
  <si>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</si>
  <si>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</si>
  <si>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</si>
  <si>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</si>
  <si>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</si>
  <si>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</si>
  <si>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</si>
  <si>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</si>
  <si>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</si>
  <si>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</si>
  <si>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</si>
  <si>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</si>
  <si>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</si>
  <si>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</si>
  <si>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</si>
  <si>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</si>
  <si>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</si>
  <si>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</si>
  <si>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</si>
  <si>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</si>
  <si>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</si>
  <si>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</si>
  <si>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</si>
  <si>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</si>
  <si>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</si>
  <si>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</si>
  <si>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</si>
  <si>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</si>
  <si>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</si>
  <si>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</si>
  <si>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</si>
  <si>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</si>
  <si>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</si>
  <si>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</si>
  <si>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</si>
  <si>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</si>
  <si>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</si>
  <si>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</si>
  <si>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</si>
  <si>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</si>
  <si>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</si>
  <si>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</si>
  <si>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</si>
  <si>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</si>
  <si>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</si>
  <si>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</si>
  <si>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</si>
  <si>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</si>
  <si>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</si>
  <si>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</si>
  <si>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</si>
  <si>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</si>
  <si>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</si>
  <si>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</si>
  <si>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</si>
  <si>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</si>
  <si>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</si>
  <si>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</si>
  <si>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</si>
  <si>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</si>
  <si>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</si>
  <si>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</si>
  <si>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</si>
  <si>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</si>
  <si>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</si>
  <si>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</si>
  <si>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</si>
  <si>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</si>
  <si>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</si>
  <si>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</si>
  <si>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</si>
  <si>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</si>
  <si>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</si>
  <si>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</si>
  <si>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</si>
  <si>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</si>
  <si>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</si>
  <si>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</si>
  <si>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</si>
  <si>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</si>
  <si>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</si>
  <si>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</si>
  <si>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</si>
  <si>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</si>
  <si>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</si>
  <si>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</si>
  <si>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</si>
  <si>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</si>
  <si>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</si>
  <si>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</si>
  <si>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</si>
  <si>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</si>
  <si>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</si>
  <si>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</si>
  <si>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</si>
  <si>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</si>
  <si>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</si>
  <si>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</si>
  <si>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</si>
  <si>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</si>
  <si>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</si>
  <si>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</si>
  <si>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</si>
  <si>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</si>
  <si>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</si>
  <si>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</si>
  <si>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</si>
  <si>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</si>
  <si>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</si>
  <si>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</si>
  <si>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</si>
  <si>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</si>
  <si>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</si>
  <si>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</si>
  <si>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</si>
  <si>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</si>
  <si>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</si>
  <si>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</si>
  <si>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</si>
  <si>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</si>
  <si>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</si>
  <si>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</si>
  <si>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</si>
  <si>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</si>
  <si>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</si>
  <si>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</si>
  <si>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</si>
  <si>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</si>
  <si>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</si>
  <si>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</si>
  <si>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</si>
  <si>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</si>
  <si>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</si>
  <si>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</si>
  <si>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</si>
  <si>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</si>
  <si>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</si>
  <si>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</si>
  <si>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</si>
  <si>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</si>
  <si>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</si>
  <si>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</si>
  <si>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</si>
  <si>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</si>
  <si>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</si>
  <si>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</si>
  <si>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</si>
  <si>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</si>
  <si>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</si>
  <si>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</si>
  <si>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</si>
  <si>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</si>
  <si>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</si>
  <si>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</si>
  <si>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</si>
  <si>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</si>
  <si>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</si>
  <si>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</si>
  <si>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</si>
  <si>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</si>
  <si>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</si>
  <si>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</si>
  <si>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</si>
  <si>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</si>
  <si>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</si>
  <si>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</si>
  <si>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</si>
  <si>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</si>
  <si>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</si>
  <si>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</si>
  <si>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</si>
  <si>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</si>
  <si>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</si>
  <si>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</si>
  <si>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</si>
  <si>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</si>
  <si>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</si>
  <si>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</si>
  <si>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</si>
  <si>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</si>
  <si>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</si>
  <si>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</si>
  <si>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</si>
  <si>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</si>
  <si>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</si>
  <si>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</si>
  <si>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</si>
  <si>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</si>
  <si>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</si>
  <si>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</si>
  <si>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</si>
  <si>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</si>
  <si>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</si>
  <si>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</si>
  <si>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</si>
  <si>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</si>
  <si>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</si>
  <si>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</si>
  <si>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</si>
  <si>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</si>
  <si>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</si>
  <si>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</si>
  <si>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</si>
  <si>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</si>
  <si>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</si>
  <si>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</si>
  <si>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</si>
  <si>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</si>
  <si>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</si>
  <si>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</si>
  <si>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</si>
  <si>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</si>
  <si>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</si>
  <si>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</si>
  <si>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</si>
  <si>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</si>
  <si>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</si>
  <si>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</si>
  <si>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</si>
  <si>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</si>
  <si>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</si>
  <si>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</si>
  <si>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</si>
  <si>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</si>
  <si>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</si>
  <si>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</si>
  <si>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</si>
  <si>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</si>
  <si>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</si>
  <si>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</si>
  <si>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</si>
  <si>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</si>
  <si>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</si>
  <si>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</si>
  <si>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</si>
  <si>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</si>
  <si>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</si>
  <si>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</si>
  <si>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</si>
  <si>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</si>
  <si>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</si>
  <si>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</si>
  <si>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</si>
  <si>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</si>
  <si>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</si>
  <si>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</si>
  <si>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</si>
  <si>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</si>
  <si>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</si>
  <si>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</si>
  <si>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</si>
  <si>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</si>
  <si>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</si>
  <si>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</si>
  <si>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</si>
  <si>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</si>
  <si>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</si>
  <si>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</si>
  <si>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</si>
  <si>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</si>
  <si>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</si>
  <si>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</si>
  <si>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</si>
  <si>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</si>
  <si>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</si>
  <si>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</si>
  <si>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</si>
  <si>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</si>
  <si>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</si>
  <si>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</si>
  <si>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</si>
  <si>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</si>
  <si>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</si>
  <si>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</si>
  <si>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</si>
  <si>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</si>
  <si>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</si>
  <si>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</si>
  <si>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</si>
  <si>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</si>
  <si>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</si>
  <si>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</si>
  <si>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</si>
  <si>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</si>
  <si>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</si>
  <si>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</si>
  <si>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</si>
  <si>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</si>
  <si>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</si>
  <si>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</si>
  <si>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</si>
  <si>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</si>
  <si>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</si>
  <si>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</si>
  <si>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</si>
  <si>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</si>
  <si>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</si>
  <si>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</si>
  <si>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</si>
  <si>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</si>
  <si>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</si>
  <si>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</si>
  <si>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</si>
  <si>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</si>
  <si>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</si>
  <si>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</si>
  <si>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</si>
  <si>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</si>
  <si>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</si>
  <si>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</si>
  <si>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</si>
  <si>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</si>
  <si>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</si>
  <si>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</si>
  <si>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</si>
  <si>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</si>
  <si>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</si>
  <si>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</si>
  <si>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</si>
  <si>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</si>
  <si>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</si>
  <si>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</si>
  <si>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</si>
  <si>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</si>
  <si>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</si>
  <si>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</si>
  <si>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</si>
  <si>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</si>
  <si>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</si>
  <si>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</si>
  <si>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</si>
  <si>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</si>
  <si>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</si>
  <si>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</si>
  <si>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</si>
  <si>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</si>
  <si>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</si>
  <si>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</si>
  <si>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</si>
  <si>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</si>
  <si>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</si>
  <si>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</si>
  <si>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</si>
  <si>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</si>
  <si>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</si>
  <si>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</si>
  <si>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</si>
  <si>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</si>
  <si>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</si>
  <si>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</si>
  <si>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</si>
  <si>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</si>
  <si>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</si>
  <si>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</si>
  <si>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</si>
  <si>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</si>
  <si>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</si>
  <si>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</si>
  <si>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</si>
  <si>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</si>
  <si>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</si>
  <si>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</si>
  <si>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</si>
  <si>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</si>
  <si>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</si>
  <si>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</si>
  <si>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</si>
  <si>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</si>
  <si>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</si>
  <si>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</si>
  <si>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</si>
  <si>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</si>
  <si>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</si>
  <si>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</si>
  <si>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</si>
  <si>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</si>
  <si>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</si>
  <si>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</si>
  <si>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</si>
  <si>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</si>
  <si>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</si>
  <si>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</si>
  <si>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</si>
  <si>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</si>
  <si>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</si>
  <si>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</si>
  <si>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</si>
  <si>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</si>
  <si>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</si>
  <si>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</si>
  <si>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</si>
  <si>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</si>
  <si>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</si>
  <si>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</si>
  <si>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</si>
  <si>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</si>
  <si>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</si>
  <si>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</si>
  <si>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</si>
  <si>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</si>
  <si>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</si>
  <si>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</si>
  <si>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</si>
  <si>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</si>
  <si>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</si>
  <si>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</si>
  <si>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</si>
  <si>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</si>
  <si>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</si>
  <si>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</si>
  <si>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</si>
  <si>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</si>
  <si>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</si>
  <si>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</si>
  <si>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</si>
  <si>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</si>
  <si>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</si>
  <si>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</si>
  <si>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</si>
  <si>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</si>
  <si>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</si>
  <si>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</si>
  <si>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</si>
  <si>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</si>
  <si>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</si>
  <si>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</si>
  <si>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</si>
  <si>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</si>
  <si>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</si>
  <si>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</si>
  <si>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</si>
  <si>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</si>
  <si>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</si>
  <si>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</si>
  <si>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</si>
  <si>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</si>
  <si>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</si>
  <si>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</si>
  <si>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</si>
  <si>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</si>
  <si>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</si>
  <si>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</si>
  <si>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</si>
  <si>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</si>
  <si>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</si>
  <si>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</si>
  <si>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</si>
  <si>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</si>
  <si>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</si>
  <si>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</si>
  <si>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</si>
  <si>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</si>
  <si>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</si>
  <si>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</si>
  <si>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</si>
  <si>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</si>
  <si>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</si>
  <si>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</si>
  <si>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</si>
  <si>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</si>
  <si>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</si>
  <si>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</si>
  <si>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</si>
  <si>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</si>
  <si>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</si>
  <si>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</si>
  <si>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</si>
  <si>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</si>
  <si>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</si>
  <si>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</si>
  <si>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</si>
  <si>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</si>
  <si>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</si>
  <si>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</si>
  <si>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</si>
  <si>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</si>
  <si>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</si>
  <si>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</si>
  <si>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</si>
  <si>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</si>
  <si>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</si>
  <si>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</si>
  <si>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</si>
  <si>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</si>
  <si>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</si>
  <si>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</si>
  <si>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</si>
  <si>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</si>
  <si>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</si>
  <si>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</si>
  <si>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</si>
  <si>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</si>
  <si>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</si>
  <si>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</si>
  <si>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</si>
  <si>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</si>
  <si>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</si>
  <si>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</si>
  <si>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</si>
  <si>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</si>
  <si>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</si>
  <si>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</si>
  <si>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</si>
  <si>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</si>
  <si>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</si>
  <si>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</si>
  <si>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</si>
  <si>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</si>
  <si>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</si>
  <si>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</si>
  <si>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</si>
  <si>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</si>
  <si>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</si>
  <si>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</si>
  <si>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</si>
  <si>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</si>
  <si>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</si>
  <si>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</si>
  <si>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</si>
  <si>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</si>
  <si>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</si>
  <si>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</si>
  <si>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</si>
  <si>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</si>
  <si>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</si>
  <si>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</si>
  <si>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</si>
  <si>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</si>
  <si>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</si>
  <si>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</si>
  <si>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</si>
  <si>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</si>
  <si>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</si>
  <si>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</si>
  <si>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</si>
  <si>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</si>
  <si>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</si>
  <si>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</si>
  <si>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</si>
  <si>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</si>
  <si>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</si>
  <si>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</si>
  <si>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</si>
  <si>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</si>
  <si>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</si>
  <si>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</si>
  <si>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</si>
  <si>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</si>
  <si>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</si>
  <si>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</si>
  <si>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</si>
  <si>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</si>
  <si>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</si>
  <si>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</si>
  <si>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</si>
  <si>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</si>
  <si>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</si>
  <si>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</si>
  <si>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</si>
  <si>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</si>
  <si>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</si>
  <si>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</si>
  <si>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</si>
  <si>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</si>
  <si>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</si>
  <si>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</si>
  <si>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</si>
  <si>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</si>
  <si>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</si>
  <si>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</si>
  <si>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</si>
  <si>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</si>
  <si>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</si>
  <si>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</si>
  <si>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</si>
  <si>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</si>
  <si>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</si>
  <si>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</si>
  <si>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</si>
  <si>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</si>
  <si>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</si>
  <si>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</si>
  <si>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</si>
  <si>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</si>
  <si>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</si>
  <si>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</si>
  <si>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</si>
  <si>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</si>
  <si>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</si>
  <si>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</si>
  <si>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</si>
  <si>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</si>
  <si>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</si>
  <si>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</si>
  <si>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</si>
  <si>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</si>
  <si>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</si>
  <si>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</si>
  <si>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</si>
  <si>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</si>
  <si>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</si>
  <si>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</si>
  <si>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</si>
  <si>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</si>
  <si>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</si>
  <si>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</si>
  <si>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</si>
  <si>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</si>
  <si>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</si>
  <si>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</si>
  <si>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</si>
  <si>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</si>
  <si>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</si>
  <si>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</si>
  <si>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</si>
  <si>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</si>
  <si>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</si>
  <si>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</si>
  <si>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</si>
  <si>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</si>
  <si>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</si>
  <si>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</si>
  <si>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</si>
  <si>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</si>
  <si>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</si>
  <si>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</si>
  <si>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</si>
  <si>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</si>
  <si>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</si>
  <si>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</si>
  <si>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</si>
  <si>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</si>
  <si>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</si>
  <si>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</si>
  <si>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</si>
  <si>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</si>
  <si>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</si>
  <si>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</si>
  <si>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</si>
  <si>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</si>
  <si>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</si>
  <si>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</si>
  <si>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</si>
  <si>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</si>
  <si>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</si>
  <si>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</si>
  <si>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</si>
  <si>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</si>
  <si>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</si>
  <si>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</si>
  <si>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</si>
  <si>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</si>
  <si>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</si>
  <si>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</si>
  <si>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</si>
  <si>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</si>
  <si>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</si>
  <si>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</si>
  <si>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</si>
  <si>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</si>
  <si>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</si>
  <si>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</si>
  <si>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</si>
  <si>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</si>
  <si>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</si>
  <si>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</si>
  <si>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</si>
  <si>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</si>
  <si>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</si>
  <si>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</si>
  <si>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</si>
  <si>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</si>
  <si>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</si>
  <si>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</si>
  <si>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</si>
  <si>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</si>
  <si>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</si>
  <si>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</si>
  <si>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</si>
  <si>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</si>
  <si>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</si>
  <si>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</si>
  <si>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</si>
  <si>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</si>
  <si>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</si>
  <si>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</si>
  <si>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</si>
  <si>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</si>
  <si>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</si>
  <si>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</si>
  <si>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</si>
  <si>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</si>
  <si>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</si>
  <si>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</si>
  <si>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</si>
  <si>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</si>
  <si>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</si>
  <si>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</si>
  <si>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</si>
  <si>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</si>
  <si>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</si>
  <si>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</si>
  <si>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</si>
  <si>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</si>
  <si>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</si>
  <si>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</si>
  <si>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</si>
  <si>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</si>
  <si>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</si>
  <si>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</si>
  <si>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</si>
  <si>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</si>
  <si>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</si>
  <si>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</si>
  <si>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</si>
  <si>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</si>
  <si>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</si>
  <si>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</si>
  <si>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</si>
  <si>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</si>
  <si>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</si>
  <si>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</si>
  <si>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</si>
  <si>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</si>
  <si>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</si>
  <si>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</si>
  <si>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</si>
  <si>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</si>
  <si>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</si>
  <si>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</si>
  <si>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</si>
  <si>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</si>
  <si>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</si>
  <si>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</si>
  <si>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</si>
  <si>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</si>
  <si>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</si>
  <si>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</si>
  <si>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</si>
  <si>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</si>
  <si>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</si>
  <si>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</si>
  <si>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</si>
  <si>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</si>
  <si>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</si>
  <si>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</si>
  <si>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</si>
  <si>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</si>
  <si>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</si>
  <si>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</si>
  <si>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</si>
  <si>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</si>
  <si>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</si>
  <si>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</si>
  <si>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</si>
  <si>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</si>
  <si>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</si>
  <si>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</si>
  <si>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</si>
  <si>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</si>
  <si>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</si>
  <si>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</si>
  <si>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</si>
  <si>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</si>
  <si>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</si>
  <si>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</si>
  <si>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</si>
  <si>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</si>
  <si>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</si>
  <si>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</si>
  <si>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</si>
  <si>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</si>
  <si>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</si>
  <si>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</si>
  <si>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</si>
  <si>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</si>
  <si>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</si>
  <si>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</si>
  <si>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</si>
  <si>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</si>
  <si>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</si>
  <si>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</si>
  <si>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</si>
  <si>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</si>
  <si>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</si>
  <si>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</si>
  <si>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</si>
  <si>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</si>
  <si>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</si>
  <si>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</si>
  <si>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</si>
  <si>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</si>
  <si>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</si>
  <si>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</si>
  <si>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</si>
  <si>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</si>
  <si>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</si>
  <si>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</si>
  <si>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</si>
  <si>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</si>
  <si>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</si>
  <si>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</si>
  <si>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</si>
  <si>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</si>
  <si>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</si>
  <si>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</si>
  <si>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</si>
  <si>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</si>
  <si>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</si>
  <si>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</si>
  <si>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</si>
  <si>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</si>
  <si>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</si>
  <si>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</si>
  <si>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</si>
  <si>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</si>
  <si>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</si>
  <si>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</si>
  <si>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</si>
  <si>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</si>
  <si>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</si>
  <si>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</si>
  <si>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</si>
  <si>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</si>
  <si>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</si>
  <si>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</si>
  <si>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</si>
  <si>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</si>
  <si>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</si>
  <si>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</si>
  <si>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</si>
  <si>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</si>
  <si>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</si>
  <si>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</si>
  <si>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</si>
  <si>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</si>
  <si>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</si>
  <si>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</si>
  <si>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</si>
  <si>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</si>
  <si>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</si>
  <si>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</si>
  <si>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</si>
  <si>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</si>
  <si>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</si>
  <si>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</si>
  <si>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</si>
  <si>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</si>
  <si>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</si>
  <si>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</si>
  <si>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</si>
  <si>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</si>
  <si>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</si>
  <si>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</si>
  <si>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</si>
  <si>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</si>
  <si>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</si>
  <si>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</si>
  <si>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</si>
  <si>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</si>
  <si>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</si>
  <si>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</si>
  <si>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</si>
  <si>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</si>
  <si>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</si>
  <si>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</si>
  <si>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</si>
  <si>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</si>
  <si>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</si>
  <si>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</si>
  <si>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</si>
  <si>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</si>
  <si>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</si>
  <si>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</si>
  <si>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</si>
  <si>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</si>
  <si>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</si>
  <si>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</si>
  <si>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</si>
  <si>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</si>
  <si>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</si>
  <si>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</si>
  <si>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</si>
  <si>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</si>
  <si>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</si>
  <si>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</si>
  <si>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</si>
  <si>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</si>
  <si>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</si>
  <si>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</si>
  <si>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</si>
  <si>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</si>
  <si>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</si>
  <si>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</si>
  <si>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</si>
  <si>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</si>
  <si>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</si>
  <si>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</si>
  <si>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</si>
  <si>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</si>
  <si>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</si>
  <si>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</si>
  <si>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</si>
  <si>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</si>
  <si>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</si>
  <si>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</si>
  <si>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</si>
  <si>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</si>
  <si>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</si>
  <si>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</si>
  <si>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</si>
  <si>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</si>
  <si>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</si>
  <si>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</si>
  <si>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</si>
  <si>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</si>
  <si>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</si>
  <si>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</si>
  <si>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</si>
  <si>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</si>
  <si>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</si>
  <si>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</si>
  <si>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</si>
  <si>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</si>
  <si>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</si>
  <si>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</si>
  <si>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</si>
  <si>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</si>
  <si>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</si>
  <si>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</si>
  <si>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</si>
  <si>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</si>
  <si>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</si>
  <si>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</si>
  <si>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</si>
  <si>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</si>
  <si>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</si>
  <si>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</si>
  <si>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</si>
  <si>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</si>
  <si>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</si>
  <si>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</si>
  <si>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</si>
  <si>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</si>
  <si>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</si>
  <si>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</si>
  <si>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</si>
  <si>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</si>
  <si>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</si>
  <si>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</si>
  <si>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</si>
  <si>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</si>
  <si>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</si>
  <si>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</si>
  <si>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</si>
  <si>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</si>
  <si>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</si>
  <si>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</si>
  <si>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</si>
  <si>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</si>
  <si>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</si>
  <si>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</si>
  <si>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</si>
  <si>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</si>
  <si>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</si>
  <si>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</si>
  <si>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</si>
  <si>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</si>
  <si>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</si>
  <si>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</si>
  <si>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</si>
  <si>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</si>
  <si>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</si>
  <si>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</si>
  <si>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</si>
  <si>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</si>
  <si>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</si>
  <si>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</si>
  <si>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</si>
  <si>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</si>
  <si>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</si>
  <si>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</si>
  <si>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</si>
  <si>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</si>
  <si>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</si>
  <si>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</si>
  <si>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</si>
  <si>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</si>
  <si>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</si>
  <si>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</si>
  <si>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</si>
  <si>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</si>
  <si>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</si>
  <si>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</si>
  <si>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</si>
  <si>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</si>
  <si>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</si>
  <si>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</si>
  <si>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</si>
  <si>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</si>
  <si>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</si>
  <si>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</si>
  <si>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</si>
  <si>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</si>
  <si>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</si>
  <si>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</si>
  <si>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</si>
  <si>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</si>
  <si>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</si>
  <si>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</si>
  <si>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</si>
  <si>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</si>
  <si>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</si>
  <si>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</si>
  <si>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</si>
  <si>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</si>
  <si>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</si>
  <si>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</si>
  <si>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</si>
  <si>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</si>
  <si>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</si>
  <si>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</si>
  <si>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</si>
  <si>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</si>
  <si>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</si>
  <si>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</si>
  <si>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</si>
  <si>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</si>
  <si>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</si>
  <si>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</si>
  <si>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</si>
  <si>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</si>
  <si>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</si>
  <si>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</si>
  <si>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</si>
  <si>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</si>
  <si>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</si>
  <si>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</si>
  <si>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</si>
  <si>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</si>
  <si>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</si>
  <si>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</si>
  <si>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</si>
  <si>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</si>
  <si>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</si>
  <si>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</si>
  <si>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</si>
  <si>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</si>
  <si>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</si>
  <si>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</si>
  <si>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</si>
  <si>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</si>
  <si>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</si>
  <si>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</si>
  <si>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</si>
  <si>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</si>
  <si>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</si>
  <si>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</si>
  <si>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</si>
  <si>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</si>
  <si>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</si>
  <si>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</si>
  <si>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</si>
  <si>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</si>
  <si>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</si>
  <si>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</si>
  <si>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</si>
  <si>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</si>
  <si>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</si>
  <si>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</si>
  <si>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</si>
  <si>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</si>
  <si>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</si>
  <si>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</si>
  <si>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</si>
  <si>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</si>
  <si>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</si>
  <si>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</si>
  <si>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</si>
  <si>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</si>
  <si>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</si>
  <si>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</si>
  <si>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</si>
  <si>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</si>
  <si>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</si>
  <si>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</si>
  <si>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</si>
  <si>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</si>
  <si>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</si>
  <si>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</si>
  <si>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</si>
  <si>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</si>
  <si>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</si>
  <si>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</si>
  <si>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</si>
  <si>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</si>
  <si>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</si>
  <si>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</si>
  <si>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</si>
  <si>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</si>
  <si>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</si>
  <si>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</si>
  <si>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</si>
  <si>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</si>
  <si>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</si>
  <si>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</si>
  <si>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</si>
  <si>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</si>
  <si>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</si>
  <si>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</si>
  <si>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</si>
  <si>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</si>
  <si>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</si>
  <si>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</si>
  <si>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</si>
  <si>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</si>
  <si>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</si>
  <si>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</si>
  <si>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</si>
  <si>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</si>
  <si>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</si>
  <si>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</si>
  <si>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</si>
  <si>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</si>
  <si>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</si>
  <si>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</si>
  <si>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</si>
  <si>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</si>
  <si>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</si>
  <si>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</si>
  <si>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</si>
  <si>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</si>
  <si>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</si>
  <si>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</si>
  <si>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</si>
  <si>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</si>
  <si>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</si>
  <si>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</si>
  <si>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</si>
  <si>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</si>
  <si>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</si>
  <si>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</si>
  <si>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</si>
  <si>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</si>
  <si>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</si>
  <si>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</si>
  <si>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</si>
  <si>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</si>
  <si>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</si>
  <si>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</si>
  <si>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</si>
  <si>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</si>
  <si>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</si>
  <si>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</si>
  <si>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</si>
  <si>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</si>
  <si>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</si>
  <si>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</si>
  <si>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</si>
  <si>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</si>
  <si>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</si>
  <si>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</si>
  <si>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</si>
  <si>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</si>
  <si>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</si>
  <si>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</si>
  <si>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</si>
  <si>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</si>
  <si>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</si>
  <si>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</si>
  <si>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</si>
  <si>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</si>
  <si>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</si>
  <si>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</si>
  <si>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</si>
  <si>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</si>
  <si>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</si>
  <si>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</si>
  <si>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</si>
  <si>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</si>
  <si>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</si>
  <si>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</si>
  <si>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</si>
  <si>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</si>
  <si>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</si>
  <si>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</si>
  <si>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</si>
  <si>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</si>
  <si>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</si>
  <si>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</si>
  <si>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</si>
  <si>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</si>
  <si>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</si>
  <si>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</si>
  <si>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</si>
  <si>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</si>
  <si>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</si>
  <si>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</si>
  <si>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</si>
  <si>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</si>
  <si>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</si>
  <si>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</si>
  <si>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</si>
  <si>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</si>
  <si>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</si>
  <si>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</si>
  <si>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</si>
  <si>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</si>
  <si>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</si>
  <si>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</si>
  <si>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</si>
  <si>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</si>
  <si>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</si>
  <si>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</si>
  <si>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</si>
  <si>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</si>
  <si>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</si>
  <si>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</si>
  <si>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</si>
  <si>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</si>
  <si>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</si>
  <si>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</si>
  <si>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</si>
  <si>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</si>
  <si>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</si>
  <si>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</si>
  <si>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</si>
  <si>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</si>
  <si>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</si>
  <si>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</si>
  <si>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</si>
  <si>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</si>
  <si>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</si>
  <si>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</si>
  <si>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</si>
  <si>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</si>
  <si>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</si>
  <si>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</si>
  <si>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</si>
  <si>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</si>
  <si>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</si>
  <si>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</si>
  <si>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</si>
  <si>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</si>
  <si>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</si>
  <si>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</si>
  <si>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</si>
  <si>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</si>
  <si>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</si>
  <si>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</si>
  <si>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</si>
  <si>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</si>
  <si>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</si>
  <si>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</si>
  <si>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</si>
  <si>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</si>
  <si>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</si>
  <si>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</si>
  <si>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</si>
  <si>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</si>
  <si>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</si>
  <si>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</si>
  <si>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</si>
  <si>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</si>
  <si>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</si>
  <si>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</si>
  <si>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</si>
  <si>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</si>
  <si>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</si>
  <si>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</si>
  <si>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</si>
  <si>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</si>
  <si>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</si>
  <si>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</si>
  <si>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</si>
  <si>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</si>
  <si>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</si>
  <si>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</si>
  <si>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</si>
  <si>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</si>
  <si>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</si>
  <si>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</si>
  <si>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</si>
  <si>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</si>
  <si>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</si>
  <si>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</si>
  <si>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</si>
  <si>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</si>
  <si>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</si>
  <si>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</si>
  <si>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</si>
  <si>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</si>
  <si>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</si>
  <si>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</si>
  <si>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</si>
  <si>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</si>
  <si>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</si>
  <si>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</si>
  <si>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</si>
  <si>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</si>
  <si>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</si>
  <si>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</si>
  <si>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</si>
  <si>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</si>
  <si>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</si>
  <si>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</si>
  <si>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</si>
  <si>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</si>
  <si>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</si>
  <si>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</si>
  <si>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</si>
  <si>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</si>
  <si>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</si>
  <si>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</si>
  <si>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</si>
  <si>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</si>
  <si>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</si>
  <si>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</si>
  <si>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</si>
  <si>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</si>
  <si>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</si>
  <si>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</si>
  <si>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</si>
  <si>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</si>
  <si>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</si>
  <si>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</si>
  <si>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</si>
  <si>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</si>
  <si>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</si>
  <si>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</si>
  <si>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</si>
  <si>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</si>
  <si>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</si>
  <si>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</si>
  <si>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</si>
  <si>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</si>
  <si>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</si>
  <si>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</si>
  <si>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</si>
  <si>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</si>
  <si>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</si>
  <si>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</si>
  <si>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</si>
  <si>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</si>
  <si>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</si>
  <si>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</si>
  <si>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</si>
  <si>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</si>
  <si>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</si>
  <si>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</si>
  <si>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</si>
  <si>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</si>
  <si>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</si>
  <si>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</si>
  <si>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</si>
  <si>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</si>
  <si>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</si>
  <si>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</si>
  <si>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</si>
  <si>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</si>
  <si>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</si>
  <si>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</si>
  <si>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</si>
  <si>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</si>
  <si>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</si>
  <si>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</si>
  <si>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</si>
  <si>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</si>
  <si>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</si>
  <si>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</si>
  <si>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</si>
  <si>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</si>
  <si>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</si>
  <si>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</si>
  <si>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</si>
  <si>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</si>
  <si>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</si>
  <si>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</si>
  <si>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</si>
  <si>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</si>
  <si>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</si>
  <si>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</si>
  <si>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</si>
  <si>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</si>
  <si>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</si>
  <si>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</si>
  <si>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</si>
  <si>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</si>
  <si>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</si>
  <si>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</si>
  <si>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</si>
  <si>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</si>
  <si>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</si>
  <si>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</si>
  <si>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</si>
  <si>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</si>
  <si>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</si>
  <si>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</si>
  <si>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</si>
  <si>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</si>
  <si>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</si>
  <si>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</si>
  <si>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</si>
  <si>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</si>
  <si>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</si>
  <si>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</si>
  <si>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</si>
  <si>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</si>
  <si>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</si>
  <si>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</si>
  <si>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</si>
  <si>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</si>
  <si>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</si>
  <si>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</si>
  <si>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</si>
  <si>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</si>
  <si>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</si>
  <si>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</si>
  <si>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</si>
  <si>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</si>
  <si>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</si>
  <si>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</si>
  <si>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</si>
  <si>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</si>
  <si>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</si>
  <si>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</si>
  <si>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</si>
  <si>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</si>
  <si>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</si>
  <si>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</si>
  <si>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</si>
  <si>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</si>
  <si>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</si>
  <si>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</si>
  <si>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</si>
  <si>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</si>
  <si>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</si>
  <si>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</si>
  <si>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</si>
  <si>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</si>
  <si>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</si>
  <si>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</si>
  <si>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</si>
  <si>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</si>
  <si>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</si>
  <si>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</si>
  <si>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</si>
  <si>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</si>
  <si>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</si>
  <si>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</si>
  <si>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</si>
  <si>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</si>
  <si>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</si>
  <si>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</si>
  <si>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</si>
  <si>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</si>
  <si>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</si>
  <si>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</si>
  <si>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</si>
  <si>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</si>
  <si>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</si>
  <si>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</si>
  <si>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</si>
  <si>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</si>
  <si>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</si>
  <si>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</si>
  <si>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</si>
  <si>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</si>
  <si>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</si>
  <si>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</si>
  <si>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</si>
  <si>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</si>
  <si>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</si>
  <si>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</si>
  <si>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</si>
  <si>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</si>
  <si>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</si>
  <si>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</si>
  <si>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</si>
  <si>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</si>
  <si>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</si>
  <si>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</si>
  <si>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</si>
  <si>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</si>
  <si>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</si>
  <si>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</si>
  <si>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</si>
  <si>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</si>
  <si>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</si>
  <si>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</si>
  <si>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</si>
  <si>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</si>
  <si>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</si>
  <si>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</si>
  <si>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</si>
  <si>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</si>
  <si>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</si>
  <si>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</si>
  <si>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</si>
  <si>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</si>
  <si>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</si>
  <si>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</si>
  <si>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</si>
  <si>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</si>
  <si>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</si>
  <si>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</si>
  <si>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</si>
  <si>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</si>
  <si>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</si>
  <si>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</si>
  <si>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</si>
  <si>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</si>
  <si>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</si>
  <si>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</si>
  <si>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</si>
  <si>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</si>
  <si>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</si>
  <si>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</si>
  <si>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</si>
  <si>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</si>
  <si>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</si>
  <si>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</si>
  <si>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</si>
  <si>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</si>
  <si>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</si>
  <si>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</si>
  <si>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</si>
  <si>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</si>
  <si>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</si>
  <si>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</si>
  <si>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</si>
  <si>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</si>
  <si>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</si>
  <si>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</si>
  <si>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</si>
  <si>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</si>
  <si>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</si>
  <si>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</si>
  <si>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</si>
  <si>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</si>
  <si>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</si>
  <si>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</si>
  <si>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</si>
  <si>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</si>
  <si>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</si>
  <si>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</si>
  <si>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</si>
  <si>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</si>
  <si>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</si>
  <si>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</si>
  <si>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</si>
  <si>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</si>
  <si>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</si>
  <si>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</si>
  <si>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</si>
  <si>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</si>
  <si>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</si>
  <si>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</si>
  <si>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</si>
  <si>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</si>
  <si>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</si>
  <si>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</si>
  <si>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</si>
  <si>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</si>
  <si>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</si>
  <si>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</si>
  <si>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</si>
  <si>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</si>
  <si>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</si>
  <si>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</si>
  <si>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</si>
  <si>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</si>
  <si>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</si>
  <si>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</si>
  <si>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</si>
  <si>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</si>
  <si>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</si>
  <si>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</si>
  <si>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</si>
  <si>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</si>
  <si>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</si>
  <si>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</si>
  <si>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</si>
  <si>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</si>
  <si>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</si>
  <si>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</si>
  <si>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</si>
  <si>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</si>
  <si>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</si>
  <si>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</si>
  <si>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</si>
  <si>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</si>
  <si>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</si>
  <si>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</si>
  <si>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</si>
  <si>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</si>
  <si>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</si>
  <si>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</si>
  <si>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</si>
  <si>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</si>
  <si>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</si>
  <si>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</si>
  <si>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</si>
  <si>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</si>
  <si>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</si>
  <si>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</si>
  <si>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</si>
  <si>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</si>
  <si>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</si>
  <si>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</si>
  <si>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</si>
  <si>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</si>
  <si>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</si>
  <si>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</si>
  <si>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</si>
  <si>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</si>
  <si>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</si>
  <si>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</si>
  <si>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</si>
  <si>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</si>
  <si>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</si>
  <si>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</si>
  <si>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</si>
  <si>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</si>
  <si>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</si>
  <si>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</si>
  <si>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</si>
  <si>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</si>
  <si>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</si>
  <si>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</si>
  <si>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</si>
  <si>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</si>
  <si>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</si>
  <si>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</si>
  <si>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</si>
  <si>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</si>
  <si>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</si>
  <si>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</si>
  <si>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</si>
  <si>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</si>
  <si>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</si>
  <si>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</si>
  <si>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</si>
  <si>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</si>
  <si>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</si>
  <si>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</si>
  <si>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</si>
  <si>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</si>
  <si>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</si>
  <si>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</si>
  <si>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</si>
  <si>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</si>
  <si>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</si>
  <si>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</si>
  <si>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</si>
  <si>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</si>
  <si>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</si>
  <si>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</si>
  <si>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</si>
  <si>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</si>
  <si>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</si>
  <si>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</si>
  <si>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</si>
  <si>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</si>
  <si>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</si>
  <si>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</si>
  <si>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</si>
  <si>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</si>
  <si>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</si>
  <si>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</si>
  <si>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</si>
  <si>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</si>
  <si>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</si>
  <si>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</si>
  <si>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</si>
  <si>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</si>
  <si>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</si>
  <si>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</si>
  <si>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</si>
  <si>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</si>
  <si>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</si>
  <si>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</si>
  <si>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</si>
  <si>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</si>
  <si>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</si>
  <si>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</si>
  <si>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</si>
  <si>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</si>
  <si>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</si>
  <si>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</si>
  <si>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</si>
  <si>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</si>
  <si>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</si>
  <si>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</si>
  <si>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</si>
  <si>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</si>
  <si>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</si>
  <si>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</si>
  <si>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</si>
  <si>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</si>
  <si>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</si>
  <si>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</si>
  <si>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</si>
  <si>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</si>
  <si>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</si>
  <si>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</si>
  <si>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</si>
  <si>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</si>
  <si>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</si>
  <si>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</si>
  <si>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</si>
  <si>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</si>
  <si>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</si>
  <si>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</si>
  <si>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</si>
  <si>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</si>
  <si>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</si>
  <si>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</si>
  <si>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</si>
  <si>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</si>
  <si>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</si>
  <si>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</si>
  <si>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</si>
  <si>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</si>
  <si>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</si>
  <si>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</si>
  <si>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</si>
  <si>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</si>
  <si>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</si>
  <si>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</si>
  <si>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</si>
  <si>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</si>
  <si>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</si>
  <si>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</si>
  <si>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</si>
  <si>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</si>
  <si>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</si>
  <si>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</si>
  <si>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</si>
  <si>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</si>
  <si>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</si>
  <si>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</si>
  <si>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</si>
  <si>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</si>
  <si>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</si>
  <si>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</si>
  <si>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</si>
  <si>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</si>
  <si>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</si>
  <si>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</si>
  <si>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</si>
  <si>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</si>
  <si>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</si>
  <si>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</si>
  <si>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</si>
  <si>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</si>
  <si>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</si>
  <si>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</si>
  <si>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</si>
  <si>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</si>
  <si>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</si>
  <si>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</si>
  <si>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</si>
  <si>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</si>
  <si>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</si>
  <si>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</si>
  <si>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</si>
  <si>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</si>
  <si>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</si>
  <si>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</si>
  <si>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</si>
  <si>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</si>
  <si>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</si>
  <si>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</si>
  <si>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</si>
  <si>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</si>
  <si>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</si>
  <si>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</si>
  <si>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</si>
  <si>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</si>
  <si>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</si>
  <si>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</si>
  <si>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</si>
  <si>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</si>
  <si>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</si>
  <si>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</si>
  <si>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</si>
  <si>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</si>
  <si>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</si>
  <si>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</si>
  <si>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</si>
  <si>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</si>
  <si>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</si>
  <si>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</si>
  <si>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</si>
  <si>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</si>
  <si>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</si>
  <si>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</si>
  <si>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</si>
  <si>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</si>
  <si>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</si>
  <si>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</si>
  <si>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</si>
  <si>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</si>
  <si>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</si>
  <si>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</si>
  <si>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</si>
  <si>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</si>
  <si>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</si>
  <si>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</si>
  <si>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</si>
  <si>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</si>
  <si>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</si>
  <si>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</si>
  <si>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</si>
  <si>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</si>
  <si>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</si>
  <si>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</si>
  <si>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</si>
  <si>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</si>
  <si>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</si>
  <si>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</si>
  <si>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</si>
  <si>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</si>
  <si>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</si>
  <si>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</si>
  <si>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</si>
  <si>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</si>
  <si>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</si>
  <si>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</si>
  <si>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</si>
  <si>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</si>
  <si>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</si>
  <si>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</si>
  <si>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</si>
  <si>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</si>
  <si>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</si>
  <si>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</si>
  <si>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</si>
  <si>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</si>
  <si>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</si>
  <si>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</si>
  <si>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</si>
  <si>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</si>
  <si>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</si>
  <si>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</si>
  <si>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</si>
  <si>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</si>
  <si>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</si>
  <si>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</si>
  <si>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</si>
  <si>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</si>
  <si>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</si>
  <si>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</si>
  <si>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</si>
  <si>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</si>
  <si>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</si>
  <si>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</si>
  <si>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</si>
  <si>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</si>
  <si>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</si>
  <si>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</si>
  <si>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</si>
  <si>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</si>
  <si>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</si>
  <si>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</si>
  <si>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</si>
  <si>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</si>
  <si>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</si>
  <si>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</si>
  <si>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</si>
  <si>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</si>
  <si>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</si>
  <si>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</si>
  <si>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</si>
  <si>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</si>
  <si>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</si>
  <si>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</si>
  <si>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</si>
  <si>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</si>
  <si>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</si>
  <si>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</si>
  <si>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</si>
  <si>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</si>
  <si>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</si>
  <si>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</si>
  <si>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</si>
  <si>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</si>
  <si>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</si>
  <si>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</si>
  <si>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</si>
  <si>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</si>
  <si>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</si>
  <si>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</si>
  <si>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</si>
  <si>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</si>
  <si>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</si>
  <si>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</si>
  <si>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</si>
  <si>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</si>
  <si>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</si>
  <si>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</si>
  <si>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</si>
  <si>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</si>
  <si>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</si>
  <si>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</si>
  <si>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</si>
  <si>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</si>
  <si>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</si>
  <si>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</si>
  <si>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</si>
  <si>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</si>
  <si>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</si>
  <si>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</si>
  <si>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</si>
  <si>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</si>
  <si>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</si>
  <si>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</si>
  <si>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</si>
  <si>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</si>
  <si>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</si>
  <si>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</si>
  <si>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</si>
  <si>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</si>
  <si>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</si>
  <si>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</si>
  <si>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</si>
  <si>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</si>
  <si>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</si>
  <si>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</si>
  <si>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</si>
  <si>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</si>
  <si>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</si>
  <si>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</si>
  <si>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</si>
  <si>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</si>
  <si>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</si>
  <si>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</si>
  <si>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</si>
  <si>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</si>
  <si>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</si>
  <si>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</si>
  <si>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</si>
  <si>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</si>
  <si>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</si>
  <si>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</si>
  <si>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</si>
  <si>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</si>
  <si>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</si>
  <si>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</si>
  <si>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</si>
  <si>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</si>
  <si>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</si>
  <si>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</si>
  <si>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</si>
  <si>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</si>
  <si>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</si>
  <si>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</si>
  <si>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</si>
  <si>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</si>
  <si>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</si>
  <si>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</si>
  <si>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</si>
  <si>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</si>
  <si>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</si>
  <si>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</si>
  <si>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</si>
  <si>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</si>
  <si>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</si>
  <si>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</si>
  <si>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</si>
  <si>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</si>
  <si>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</si>
  <si>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</si>
  <si>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</si>
  <si>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</si>
  <si>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</si>
  <si>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</si>
  <si>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</si>
  <si>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</si>
  <si>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</si>
  <si>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</si>
  <si>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</si>
  <si>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</si>
  <si>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</si>
  <si>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</si>
  <si>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</si>
  <si>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</si>
  <si>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</si>
  <si>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</si>
  <si>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</si>
  <si>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</si>
  <si>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</si>
  <si>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</si>
  <si>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</si>
  <si>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</si>
  <si>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</si>
  <si>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</si>
  <si>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</si>
  <si>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</si>
  <si>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</si>
  <si>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</si>
  <si>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</si>
  <si>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</si>
  <si>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</si>
  <si>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</si>
  <si>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</si>
  <si>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</si>
  <si>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</si>
  <si>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</si>
  <si>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</si>
  <si>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</si>
  <si>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</si>
  <si>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</si>
  <si>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</si>
  <si>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</si>
  <si>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</si>
  <si>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</si>
  <si>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</si>
  <si>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</si>
  <si>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</si>
  <si>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</si>
  <si>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</si>
  <si>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</si>
  <si>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</si>
  <si>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</si>
  <si>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</si>
  <si>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</si>
  <si>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</si>
  <si>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</si>
  <si>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</si>
  <si>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</si>
  <si>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</si>
  <si>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</si>
  <si>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</si>
  <si>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</si>
  <si>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</si>
  <si>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</si>
  <si>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</si>
  <si>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</si>
  <si>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</si>
  <si>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</si>
  <si>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</si>
  <si>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</si>
  <si>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</si>
  <si>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</si>
  <si>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</si>
  <si>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</si>
  <si>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</si>
  <si>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</si>
  <si>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</si>
  <si>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</si>
  <si>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</si>
  <si>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</si>
  <si>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</si>
  <si>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</si>
  <si>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</si>
  <si>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</si>
  <si>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</si>
  <si>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</si>
  <si>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</si>
  <si>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</si>
  <si>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</si>
  <si>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</si>
  <si>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</si>
  <si>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</si>
  <si>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</si>
  <si>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</si>
  <si>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</si>
  <si>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</si>
  <si>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</si>
  <si>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</si>
  <si>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</si>
  <si>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</si>
  <si>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</si>
  <si>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</si>
  <si>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</si>
  <si>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</si>
  <si>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</si>
  <si>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</si>
  <si>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</si>
  <si>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</si>
  <si>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</si>
  <si>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</si>
  <si>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</si>
  <si>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</si>
  <si>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</si>
  <si>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</si>
  <si>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</si>
  <si>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</si>
  <si>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</si>
  <si>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</si>
  <si>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</si>
  <si>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</si>
  <si>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</si>
  <si>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</si>
  <si>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</si>
  <si>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</si>
  <si>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</si>
  <si>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</si>
  <si>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</si>
  <si>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</si>
  <si>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</si>
  <si>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</si>
  <si>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</si>
  <si>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</si>
  <si>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</si>
  <si>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</si>
  <si>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</si>
  <si>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</si>
  <si>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</si>
  <si>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</si>
  <si>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</si>
  <si>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</si>
  <si>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</si>
  <si>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</si>
  <si>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</si>
  <si>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</si>
  <si>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</si>
  <si>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</si>
  <si>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</si>
  <si>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</si>
  <si>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</si>
  <si>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</si>
  <si>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</si>
  <si>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</si>
  <si>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</si>
  <si>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</si>
  <si>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</si>
  <si>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</si>
  <si>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</si>
  <si>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</si>
  <si>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</si>
  <si>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</si>
  <si>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</si>
  <si>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</si>
  <si>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</si>
  <si>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</si>
  <si>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</si>
  <si>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</si>
  <si>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</si>
  <si>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</si>
  <si>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</si>
  <si>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</si>
  <si>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</si>
  <si>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</si>
  <si>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</si>
  <si>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</si>
  <si>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</si>
  <si>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</si>
  <si>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</si>
  <si>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</si>
  <si>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</si>
  <si>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</si>
  <si>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</si>
  <si>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</si>
  <si>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</si>
  <si>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</si>
  <si>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</si>
  <si>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</si>
  <si>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</si>
  <si>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</si>
  <si>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</si>
  <si>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</si>
  <si>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</si>
  <si>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</si>
  <si>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</si>
  <si>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</si>
  <si>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</si>
  <si>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</si>
  <si>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</si>
  <si>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</si>
  <si>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</si>
  <si>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</si>
  <si>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</si>
  <si>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</si>
  <si>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</si>
  <si>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</si>
  <si>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100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</si>
  <si>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</si>
  <si>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</si>
  <si>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</si>
  <si>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</si>
  <si>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</si>
  <si>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</si>
  <si>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</si>
  <si>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</si>
  <si>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</si>
  <si>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</si>
  <si>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</si>
  <si>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</si>
  <si>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</si>
  <si>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</si>
  <si>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</si>
  <si>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</si>
  <si>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</si>
  <si>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</si>
  <si>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</si>
  <si>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</si>
  <si>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</si>
  <si>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</si>
  <si>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</si>
  <si>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</si>
  <si>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</si>
  <si>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</si>
  <si>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</si>
  <si>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</si>
  <si>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</si>
  <si>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</si>
  <si>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</si>
  <si>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</si>
  <si>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</si>
  <si>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</si>
  <si>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</si>
  <si>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</si>
  <si>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</si>
  <si>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</si>
  <si>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</si>
  <si>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</si>
  <si>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</si>
  <si>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</si>
  <si>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</si>
  <si>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</si>
  <si>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</si>
  <si>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</si>
  <si>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</si>
  <si>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</si>
  <si>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</si>
  <si>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</si>
  <si>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</si>
  <si>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</si>
  <si>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</si>
  <si>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</si>
  <si>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</si>
  <si>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</si>
  <si>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</si>
  <si>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</si>
  <si>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</si>
  <si>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</si>
  <si>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</si>
  <si>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</si>
  <si>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</si>
  <si>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</si>
  <si>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</si>
  <si>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</si>
  <si>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</si>
  <si>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</si>
  <si>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</si>
  <si>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</si>
  <si>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</si>
  <si>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</si>
  <si>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</si>
  <si>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</si>
  <si>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</si>
  <si>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</si>
  <si>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</si>
  <si>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</si>
  <si>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</si>
  <si>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</si>
  <si>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</si>
  <si>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</si>
  <si>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</si>
  <si>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</si>
  <si>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</si>
  <si>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</si>
  <si>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</si>
  <si>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</si>
  <si>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</si>
  <si>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</si>
  <si>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</si>
  <si>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</si>
  <si>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</si>
  <si>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</si>
  <si>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</si>
  <si>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</si>
  <si>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</si>
  <si>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</si>
  <si>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</si>
  <si>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</si>
  <si>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</si>
  <si>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</si>
  <si>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</si>
  <si>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</si>
  <si>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</si>
  <si>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</si>
  <si>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</si>
  <si>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</si>
  <si>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</si>
  <si>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</si>
  <si>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</si>
  <si>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</si>
  <si>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</si>
  <si>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</si>
  <si>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</si>
  <si>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</si>
  <si>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</si>
  <si>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</si>
  <si>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</si>
  <si>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</si>
  <si>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</si>
  <si>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</si>
  <si>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</si>
  <si>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</si>
  <si>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</si>
  <si>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</si>
  <si>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</si>
  <si>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</si>
  <si>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</si>
  <si>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</si>
  <si>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</si>
  <si>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</si>
  <si>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</si>
  <si>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</si>
  <si>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</si>
  <si>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</si>
  <si>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</si>
  <si>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</si>
  <si>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</si>
  <si>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</si>
  <si>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</si>
  <si>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</si>
  <si>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</si>
  <si>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</si>
  <si>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</si>
  <si>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</si>
  <si>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</si>
  <si>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</si>
  <si>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</si>
  <si>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</si>
  <si>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</si>
  <si>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</si>
  <si>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</si>
  <si>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</si>
  <si>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</si>
  <si>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</si>
  <si>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</si>
  <si>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</si>
  <si>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</si>
  <si>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</si>
  <si>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</si>
  <si>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</si>
  <si>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</si>
  <si>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</si>
  <si>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</si>
  <si>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</si>
  <si>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</si>
  <si>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</si>
  <si>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</si>
  <si>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</si>
  <si>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</si>
  <si>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</si>
  <si>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</si>
  <si>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</si>
  <si>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</si>
  <si>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</si>
  <si>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</si>
  <si>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</si>
  <si>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</si>
  <si>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</si>
  <si>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</si>
  <si>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</si>
  <si>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</si>
  <si>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</si>
  <si>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</si>
  <si>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</si>
  <si>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</si>
  <si>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</si>
  <si>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</si>
  <si>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</si>
  <si>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</si>
  <si>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</si>
  <si>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</si>
  <si>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</si>
  <si>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</si>
  <si>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</si>
  <si>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</si>
  <si>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</si>
  <si>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</si>
  <si>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</si>
  <si>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</si>
  <si>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</si>
  <si>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</si>
  <si>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TOTAL DE INSUMOS : 5200</t>
  </si>
  <si>
    <t>GUARDA-CORPO PANORÂMICO COM PERFIS TUBO QUADRADO DE INOX 4X4CM, COM PILARES TUBO 40X40MM INCLUSO VIDRO TEMPERADO LAMINADO PVB 6+6MM LISO INCOLOR</t>
  </si>
  <si>
    <t>PORTAL DA ACÚSTICA</t>
  </si>
  <si>
    <t>https://www.portaldaacustica.com.br/produto/523/painel-acustico-absorvedor-fibracustica-600-x-1200-x-50-mm-cinza/C103</t>
  </si>
  <si>
    <t>POSTE DE ILUMINAÇÃO RETO, ALTURA 4,50M, EM AÇO CARBONO, COM BASE E CHUMBADORES, COM 1 LUMINÁRIAS PÉTALA, GRAU DE PROTEÇÃO IP65, COR PRETA, COM LÂMPADAS ULTRALED ALTA POTÊNCIA 50W, BIVOLT, 50/60Hz, FLUXO LUMINOSO 4500lm, 6500K, SOQUETE E-27</t>
  </si>
  <si>
    <t>POSTE DE ILUMINAÇÃO DE LED 3000K, ALTURA 2,50M, EM AÇO FOSFATIZADO, COM BASE E CHUMBADORES, COM 1 PÉTALA, GRAU DE PROTEÇÃO IP65, COR PRETA, COM LÂMPADA LED POTÊNCIA 18W, 3000K</t>
  </si>
  <si>
    <t>https://www.inspirehome.com.br/poste-de-luz-led-petala-externo-3000k-18w-bivolt-250x50x24-5cm-aco-fosfatizado-ideal-iluminac-o-p-83-1/p?gclid=Cj0KCQjwjbyYBhCdARIsAArC6LLPJAVM_4yc9Y9ws7f8kcrclp7douNI3KQ9tNEafghOJi1MW9mmQkIaAqvmEALw_wcB</t>
  </si>
  <si>
    <t>RLUX</t>
  </si>
  <si>
    <t>https://www.rluxiluminacao.com.br/produto/poste-petala-preto-led-256m-18w-3000k-p-83-1-pt-3k.html?utm_source=Site&amp;utm_medium=GoogleMerchant&amp;utm_campaign=GoogleMerchant&amp;gclid=Cj0KCQjwjbyYBhCdARIsAArC6LJjCm0bctA1oIXbu4f_KqmhQS9lNVnMZPOGVuRZAIHcDbEcpIkhv2kaAvvqEALw_wcB</t>
  </si>
  <si>
    <t>LUMILANDIA</t>
  </si>
  <si>
    <t>ESTEFFANY PAZ</t>
  </si>
  <si>
    <t>(43)9 9112-7476</t>
  </si>
  <si>
    <t>POLTRONA INDIVIDUAL OU FILEIRAS PARA AUDITÓRIO COM ASSENTO E ESCONSTO REBATÍVEIS, ESTRUTURADOS EM COMPENSADO MULTILAMINADO REVESTIDO, ESTOFADO COM ESPUMA FLEXÍVEL DE POLIURETANO, REF 58796 OU EQUIVALENTE TÉCNICO</t>
  </si>
  <si>
    <t>https://imaginemoveis.com.br/poltrona-esibire-com-prancheta-lateral/?gclid=Cj0KCQjwjbyYBhCdARIsAArC6LJVI0UIzvb7ABRk5JL52sKgkrTOqkDzSe1VCkY5N5hJAXV4Y2pmBhEaAt9REALw_wcB</t>
  </si>
  <si>
    <t>IMAGINE MOVVEIS</t>
  </si>
  <si>
    <t>(47) 9269-7713</t>
  </si>
  <si>
    <t>MAX MOVEIS</t>
  </si>
  <si>
    <t>DEMOLIÇÃO DE CALÇADA</t>
  </si>
  <si>
    <t>PRAZO DIAS CORRIDOS:</t>
  </si>
  <si>
    <t>ALARME</t>
  </si>
  <si>
    <t>C13395</t>
  </si>
  <si>
    <t>C13400</t>
  </si>
  <si>
    <t>CENTRAL DE ALARME MONITORADA COM ATÉ 64 ZONAS - FORNECIMENTO E INSTALAÇÃO</t>
  </si>
  <si>
    <t>E47</t>
  </si>
  <si>
    <t>CENTRAL DE ALARME MONITORADA COM ATÉ 64 ZONAS</t>
  </si>
  <si>
    <t>ALFASTORE</t>
  </si>
  <si>
    <t>https://www.upperseg.com.br/alarme/centrais-de-alarme/centrais-monitoradas/central-de-alarme-monitorada-amt-4010-smart-c-ate-64-zonas-intelbras/?utm_term=&amp;utm_campaign=&amp;utm_source=adwords&amp;utm_medium=ppc&amp;hsa_acc=6085652881&amp;hsa_cam=17071872925&amp;hsa_grp=&amp;hsa_ad=&amp;hsa_src=x&amp;hsa_tgt=&amp;hsa_kw=&amp;hsa_mt=&amp;hsa_net=adwords&amp;hsa_ver=3&amp;gclid=Cj0KCQjwhLKUBhDiARIsAMaTLnG3fa0s7PLxbIsQZdRpi9MNGav9mT5KM9x9Rkxdk6GEYbsbDlWG7EkaAr4REALw_wcB</t>
  </si>
  <si>
    <t>https://www.processtec.com.br/central-de-alarme-intelbras-amt-4010-smart-net-64-zonas?origem=gs&amp;gclid=Cj0KCQjwhLKUBhDiARIsAMaTLnFVvKO_jrrgz6tllzICamndejOOEHhb7VS5f3j4SsWhWWf3r9qCnRoaApmeEALw_wcB</t>
  </si>
  <si>
    <t>https://www.alfastore.com.br/central-de-alarme-monitorada-ate-64-zonas-amt-4010-smart-intelbras.html</t>
  </si>
  <si>
    <t>C13413</t>
  </si>
  <si>
    <t>SENSOR DE PRESENÇA INTERNO INFRA-VERMELHO - FORNECIMENTO E INSTALAÇÃO</t>
  </si>
  <si>
    <t>SENSOR DE PRESENÇA IVP 4000 SMART SEM FIO</t>
  </si>
  <si>
    <t>https://www.netalarmes.com.br/sensor-sem-fio-infravermelho-passivo-ivp-4000-smart-intelbras</t>
  </si>
  <si>
    <t>https://www.eletronicasantana.com.br/sensor-infravm-passivo-s-fio-ivp4000-smart-4540011-intelbras/p</t>
  </si>
  <si>
    <t>https://www.upperseg.com.br/alarme/sensores/ivp/ivp-sensor-infravermelho-passivo-sem-fio-ivp-4000-smart-intelbras/</t>
  </si>
  <si>
    <t>E48</t>
  </si>
  <si>
    <t>ELETRODUTO FLEXÍVEL CORRUGADO PEAD, DN1", PARA CABEAMENTO SUBTERRÂNEO - FORNECIMENTO E INSTALAÇÃO.</t>
  </si>
  <si>
    <t>ADAP SINAPI 97667</t>
  </si>
  <si>
    <t>E49</t>
  </si>
  <si>
    <t>ELETRODUTO FLEXIVEL CORRUGADO EM PEAD 1", DN 32 MM, KANAFLEX</t>
  </si>
  <si>
    <t>https://www.santil.com.br/produto/conduite-espiralado-1-preto-c-10-metros-kanaflex/4655288</t>
  </si>
  <si>
    <t>https://www.dimensional.com.br/eletroduto-flexivel-nao-metalico-duto-corrugado-polietileno-alta-densidade-pead-cinza-1-dn32-kanaduto-sw-kdtsw3250-kanaflex/p</t>
  </si>
  <si>
    <t>https://www.eletrorastro.com.br/produto/kanaduto-pead-sw-dn-1-32mm-cinza-kanaflex-85460?utm_source=google&amp;utm_medium=cpc&amp;utm_campaign=&amp;gclid=Cj0KCQjw852XBhC6ARIsAJsFPN3Lg6rU-9YvLyHcag_c5rzPWp03IbwCrZ5Jm5J4zMdvRktdpNpY55AaAneyEALw_wcB</t>
  </si>
  <si>
    <t>REMOÇÃO ALAMBRADO EXISTENTE</t>
  </si>
  <si>
    <t>C10634</t>
  </si>
  <si>
    <t>REMOÇÃO DE ALAMBRADO</t>
  </si>
  <si>
    <t>ADAP ORSE S12119</t>
  </si>
  <si>
    <t>JANELA DE ALUMÍNIO PROJETANTES 30º (INFERIOR) E FIXAS (SUPERIOR) EM ALUMÍNIO COR PRETO, COM VIDROS, BATENTE E FERRAGENS, CONFOME PROJETO. FORNECIMENTO E INSTALAÇÃO</t>
  </si>
  <si>
    <t>JANELA DE ALUMÍNIO PROJETANTES 30º (SUPERIOR) E FIXAS (INFERIOR) EM ALUMÍNIO COR PRETO, COM VIDROS, BATENTE E FERRAGENS, CONFOME PROJETO. FORNECIMENTO E INSTALAÇÃO</t>
  </si>
  <si>
    <t>C5044</t>
  </si>
  <si>
    <t>ADAP SINAPI 101174</t>
  </si>
  <si>
    <t>ESTACA BROCA DE CONCRETO, DIÂMETRO DE 25CM, ESCAVAÇÃO MANUAL COM TRADO CONCHA (EXCLUSIVE ARMADURA)</t>
  </si>
  <si>
    <t>R01</t>
  </si>
  <si>
    <t>4h/semana</t>
  </si>
  <si>
    <t>Só fds / 7 meses</t>
  </si>
  <si>
    <t>todo dia/7 meses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</si>
</sst>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8" formatCode="&quot;R$&quot;\ #,##0.00;[Red]\-&quot;R$&quot;\ #,##0.00"/>
    <numFmt numFmtId="44" formatCode="_-&quot;R$&quot;\ * #,##0.00_-;\-&quot;R$&quot;\ * #,##0.00_-;_-&quot;R$&quot;\ * &quot;-&quot;??_-;_-@_-"/>
    <numFmt numFmtId="43" formatCode="_-* #,##0.00_-;\-* #,##0.00_-;_-* &quot;-&quot;??_-;_-@_-"/>
    <numFmt numFmtId="164" formatCode="_(* #,##0.00_);_(* \(#,##0.00\);_(* &quot;-&quot;??_);_(@_)"/>
    <numFmt numFmtId="165" formatCode="_(&quot;R$&quot;* #,##0.00_);_(&quot;R$&quot;* \(#,##0.00\);_(&quot;R$&quot;* &quot;-&quot;??_);_(@_)"/>
    <numFmt numFmtId="166" formatCode="#"/>
    <numFmt numFmtId="167" formatCode="mm/yy"/>
    <numFmt numFmtId="168" formatCode="0.0000%"/>
    <numFmt numFmtId="169" formatCode="_-&quot;R$ &quot;* #,##0.00_-;&quot;-R$ &quot;* #,##0.00_-;_-&quot;R$ &quot;* \-??_-;_-@_-"/>
    <numFmt numFmtId="170" formatCode="_-* #,##0.00_-;\-* #,##0.00_-;_-* \-??_-;_-@_-"/>
    <numFmt numFmtId="171" formatCode="_(* #,##0.00_);_(* \(#,##0.00\);_(* \-??_);_(@_)"/>
    <numFmt numFmtId="172" formatCode="#,##0.00\ ;&quot; (&quot;#,##0.00\);&quot; -&quot;#\ ;@\ "/>
    <numFmt numFmtId="173" formatCode="00"/>
    <numFmt numFmtId="174" formatCode="#,##0.00_);[Red]\-#,##0.00;"/>
    <numFmt numFmtId="175" formatCode="#."/>
    <numFmt numFmtId="176" formatCode="&quot;N$&quot;#,##0_);\(&quot;N$&quot;#,##0\)"/>
    <numFmt numFmtId="177" formatCode="_-&quot;$&quot;* #,##0_-;\-&quot;$&quot;* #,##0_-;_-&quot;$&quot;* &quot;-&quot;_-;_-@_-"/>
    <numFmt numFmtId="178" formatCode="_-&quot;$&quot;* #,##0.00_-;\-&quot;$&quot;* #,##0.00_-;_-&quot;$&quot;* &quot;-&quot;??_-;_-@_-"/>
    <numFmt numFmtId="179" formatCode="_([$€-2]* #,##0.00_);_([$€-2]* \(#,##0.00\);_([$€-2]* &quot;-&quot;??_)"/>
    <numFmt numFmtId="180" formatCode="_ * #,##0_ ;_ * \-#,##0_ ;_ * &quot;-&quot;_ ;_ @_ "/>
    <numFmt numFmtId="181" formatCode="_ * #,##0.00_ ;_ * \-#,##0.00_ ;_ * &quot;-&quot;??_ ;_ @_ "/>
    <numFmt numFmtId="182" formatCode="#,##0.00;[Red]\-#,##0.00;"/>
    <numFmt numFmtId="183" formatCode="_ &quot;S/&quot;* #,##0_ ;_ &quot;S/&quot;* \-#,##0_ ;_ &quot;S/&quot;* &quot;-&quot;_ ;_ @_ "/>
    <numFmt numFmtId="184" formatCode="_ &quot;S/&quot;* #,##0.00_ ;_ &quot;S/&quot;* \-#,##0.00_ ;_ &quot;S/&quot;* &quot;-&quot;??_ ;_ @_ "/>
    <numFmt numFmtId="185" formatCode="0.0000000"/>
    <numFmt numFmtId="186" formatCode="dd/mm/yy"/>
    <numFmt numFmtId="187" formatCode="&quot;R$ &quot;#,##0.00"/>
    <numFmt numFmtId="188" formatCode="&quot;R$&quot;\ #,##0.00"/>
    <numFmt numFmtId="189" formatCode="0.0%"/>
    <numFmt numFmtId="190" formatCode="#\ &quot;m²&quot;"/>
    <numFmt numFmtId="191" formatCode="#,###.00\ &quot;R$/m²&quot;"/>
    <numFmt numFmtId="192" formatCode="#,#00.00\ &quot;m²&quot;"/>
    <numFmt numFmtId="193" formatCode="#,##0_ ;[Red]\-#,##0\ "/>
    <numFmt numFmtId="194" formatCode="0.0000"/>
    <numFmt numFmtId="195" formatCode="_-* #,##0.0000_-;\-* #,##0.0000_-;_-* &quot;-&quot;????_-;_-@_-"/>
    <numFmt numFmtId="196" formatCode="00000"/>
    <numFmt numFmtId="197" formatCode="[$-416]mmm\-yy;@"/>
    <numFmt numFmtId="198" formatCode="000000"/>
    <numFmt numFmtId="199" formatCode="dd/mm/yy;@"/>
    <numFmt numFmtId="200" formatCode="#,##0.00_ ;[Red]\-#,##0.00\ "/>
  </numFmts>
  <fonts count="126">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10"/>
      <name val="Calibri"/>
      <family val="2"/>
    </font>
    <font>
      <sz val="10"/>
      <name val="Helv"/>
      <charset val="204"/>
    </font>
    <font>
      <sz val="11"/>
      <color indexed="8"/>
      <name val="Calibri"/>
      <family val="2"/>
    </font>
    <font>
      <sz val="12"/>
      <color indexed="8"/>
      <name val="Arial"/>
      <family val="2"/>
    </font>
    <font>
      <sz val="8"/>
      <color indexed="81"/>
      <name val="Tahoma"/>
      <family val="2"/>
    </font>
    <font>
      <b/>
      <sz val="10"/>
      <color indexed="8"/>
      <name val="Calibri"/>
      <family val="2"/>
    </font>
    <font>
      <sz val="10"/>
      <color indexed="8"/>
      <name val="Calibri"/>
      <family val="2"/>
    </font>
    <font>
      <b/>
      <sz val="12"/>
      <color indexed="8"/>
      <name val="Calibri"/>
      <family val="2"/>
    </font>
    <font>
      <sz val="10"/>
      <name val="Calibri"/>
      <family val="2"/>
    </font>
    <font>
      <b/>
      <i/>
      <sz val="12"/>
      <color indexed="8"/>
      <name val="Calibri"/>
      <family val="2"/>
    </font>
    <font>
      <b/>
      <sz val="11"/>
      <name val="Calibri"/>
      <family val="2"/>
    </font>
    <font>
      <sz val="11"/>
      <color theme="1"/>
      <name val="Calibri"/>
      <family val="2"/>
      <scheme val="minor"/>
    </font>
    <font>
      <u/>
      <sz val="9.9"/>
      <color theme="10"/>
      <name val="Calibri"/>
      <family val="2"/>
    </font>
    <font>
      <sz val="12"/>
      <color theme="1"/>
      <name val="Arial"/>
      <family val="2"/>
    </font>
    <font>
      <sz val="11"/>
      <color indexed="8"/>
      <name val="Calibri"/>
      <family val="2"/>
      <scheme val="minor"/>
    </font>
    <font>
      <b/>
      <sz val="10"/>
      <name val="Calibri"/>
      <family val="2"/>
      <scheme val="minor"/>
    </font>
    <font>
      <sz val="10"/>
      <color indexed="8"/>
      <name val="Calibri"/>
      <family val="2"/>
      <scheme val="minor"/>
    </font>
    <font>
      <sz val="10"/>
      <name val="Calibri"/>
      <family val="2"/>
      <scheme val="minor"/>
    </font>
    <font>
      <b/>
      <sz val="11"/>
      <name val="Calibri"/>
      <family val="2"/>
      <scheme val="minor"/>
    </font>
    <font>
      <sz val="11"/>
      <name val="Calibri"/>
      <family val="2"/>
      <scheme val="minor"/>
    </font>
    <font>
      <sz val="12"/>
      <name val="Calibri"/>
      <family val="2"/>
      <scheme val="minor"/>
    </font>
    <font>
      <b/>
      <sz val="18"/>
      <color theme="1"/>
      <name val="Calibri"/>
      <family val="2"/>
      <scheme val="minor"/>
    </font>
    <font>
      <sz val="9"/>
      <name val="Calibri"/>
      <family val="2"/>
      <scheme val="minor"/>
    </font>
    <font>
      <sz val="9"/>
      <color indexed="8"/>
      <name val="Calibri"/>
      <family val="2"/>
    </font>
    <font>
      <b/>
      <sz val="14"/>
      <color rgb="FFFF0000"/>
      <name val="Calibri"/>
      <family val="2"/>
    </font>
    <font>
      <b/>
      <sz val="18"/>
      <color indexed="8"/>
      <name val="Calibri"/>
      <family val="2"/>
    </font>
    <font>
      <sz val="12"/>
      <color indexed="8"/>
      <name val="Calibri"/>
      <family val="2"/>
    </font>
    <font>
      <u/>
      <sz val="11"/>
      <name val="Calibri"/>
      <family val="2"/>
    </font>
    <font>
      <sz val="11"/>
      <color rgb="FFFF0000"/>
      <name val="Calibri"/>
      <family val="2"/>
    </font>
    <font>
      <u/>
      <sz val="11"/>
      <color theme="10"/>
      <name val="Calibri"/>
      <family val="2"/>
      <scheme val="minor"/>
    </font>
    <font>
      <b/>
      <sz val="9"/>
      <color indexed="81"/>
      <name val="Segoe UI"/>
      <family val="2"/>
    </font>
    <font>
      <sz val="9"/>
      <color indexed="81"/>
      <name val="Segoe UI"/>
      <family val="2"/>
    </font>
    <font>
      <b/>
      <sz val="12"/>
      <color theme="0"/>
      <name val="Calibri"/>
      <family val="2"/>
    </font>
    <font>
      <i/>
      <sz val="11"/>
      <name val="Calibri"/>
      <family val="2"/>
      <scheme val="minor"/>
    </font>
    <font>
      <b/>
      <i/>
      <sz val="11"/>
      <name val="Calibri"/>
      <family val="2"/>
      <scheme val="minor"/>
    </font>
    <font>
      <sz val="18"/>
      <color indexed="8"/>
      <name val="Arial"/>
      <family val="2"/>
    </font>
    <font>
      <sz val="12"/>
      <color indexed="8"/>
      <name val="Times New Roman"/>
      <family val="1"/>
    </font>
    <font>
      <sz val="24"/>
      <color indexed="8"/>
      <name val="Arial"/>
      <family val="2"/>
    </font>
    <font>
      <sz val="16"/>
      <color indexed="8"/>
      <name val="Arial"/>
      <family val="2"/>
    </font>
    <font>
      <sz val="20"/>
      <name val="Arial"/>
      <family val="2"/>
    </font>
    <font>
      <sz val="12"/>
      <color rgb="FFFF0000"/>
      <name val="Calibri"/>
      <family val="2"/>
    </font>
    <font>
      <sz val="12"/>
      <name val="Calibri"/>
      <family val="2"/>
    </font>
    <font>
      <b/>
      <sz val="20"/>
      <color indexed="8"/>
      <name val="Arial"/>
      <family val="2"/>
    </font>
    <font>
      <sz val="18"/>
      <name val="Arial"/>
      <family val="2"/>
    </font>
    <font>
      <b/>
      <sz val="28"/>
      <name val="Arial"/>
      <family val="2"/>
    </font>
    <font>
      <b/>
      <sz val="10"/>
      <color indexed="8"/>
      <name val="Calibri"/>
      <family val="2"/>
      <scheme val="minor"/>
    </font>
    <font>
      <sz val="11"/>
      <color rgb="FFFF0000"/>
      <name val="Calibri"/>
      <family val="2"/>
      <scheme val="minor"/>
    </font>
    <font>
      <sz val="10"/>
      <color rgb="FFFF0000"/>
      <name val="Calibri"/>
      <family val="2"/>
      <scheme val="minor"/>
    </font>
    <font>
      <b/>
      <sz val="10"/>
      <color indexed="10"/>
      <name val="Calibri"/>
      <family val="2"/>
      <scheme val="minor"/>
    </font>
    <font>
      <b/>
      <sz val="11"/>
      <color rgb="FFFF0000"/>
      <name val="Calibri"/>
      <family val="2"/>
      <scheme val="minor"/>
    </font>
    <font>
      <sz val="10"/>
      <color rgb="FFFF0000"/>
      <name val="Calibri"/>
      <family val="2"/>
    </font>
    <font>
      <sz val="8"/>
      <name val="Calibri"/>
      <family val="2"/>
    </font>
    <font>
      <b/>
      <sz val="10"/>
      <color rgb="FFFF0000"/>
      <name val="Calibri"/>
      <family val="2"/>
    </font>
    <font>
      <b/>
      <sz val="12"/>
      <name val="Calibri"/>
      <family val="2"/>
      <scheme val="minor"/>
    </font>
    <font>
      <b/>
      <sz val="8"/>
      <name val="Calibri"/>
      <family val="2"/>
    </font>
    <font>
      <sz val="8"/>
      <name val="Calibri"/>
      <family val="2"/>
      <scheme val="minor"/>
    </font>
    <font>
      <sz val="9"/>
      <name val="Calibri"/>
      <family val="2"/>
    </font>
    <font>
      <sz val="10"/>
      <color rgb="FF00B050"/>
      <name val="Calibri"/>
      <family val="2"/>
    </font>
    <font>
      <b/>
      <sz val="13"/>
      <name val="Calibri"/>
      <family val="2"/>
    </font>
    <font>
      <sz val="11"/>
      <color rgb="FF00B050"/>
      <name val="Calibri"/>
      <family val="2"/>
    </font>
    <font>
      <sz val="9"/>
      <color rgb="FF00B050"/>
      <name val="Calibri"/>
      <family val="2"/>
    </font>
    <font>
      <sz val="11"/>
      <color rgb="FF00B0F0"/>
      <name val="Calibri"/>
      <family val="2"/>
    </font>
    <font>
      <sz val="11"/>
      <color rgb="FFC00000"/>
      <name val="Calibri"/>
      <family val="2"/>
    </font>
    <font>
      <b/>
      <sz val="9"/>
      <name val="Calibri"/>
      <family val="2"/>
    </font>
    <font>
      <b/>
      <sz val="12"/>
      <color theme="7" tint="-0.249977111117893"/>
      <name val="Calibri"/>
      <family val="2"/>
      <scheme val="minor"/>
    </font>
    <font>
      <b/>
      <sz val="14"/>
      <color theme="7" tint="-0.249977111117893"/>
      <name val="Calibri"/>
      <family val="2"/>
      <scheme val="minor"/>
    </font>
    <font>
      <sz val="8"/>
      <color rgb="FFFF0000"/>
      <name val="Calibri"/>
      <family val="2"/>
    </font>
    <font>
      <b/>
      <sz val="12"/>
      <color theme="0"/>
      <name val="Calibri"/>
      <family val="2"/>
      <scheme val="minor"/>
    </font>
    <font>
      <b/>
      <sz val="10"/>
      <color rgb="FF00B050"/>
      <name val="Calibri"/>
      <family val="2"/>
    </font>
  </fonts>
  <fills count="9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47"/>
        <bgColor indexed="64"/>
      </patternFill>
    </fill>
    <fill>
      <patternFill patternType="solid">
        <fgColor indexed="43"/>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14999847407452621"/>
        <bgColor indexed="42"/>
      </patternFill>
    </fill>
    <fill>
      <patternFill patternType="solid">
        <fgColor rgb="FFE6E6E6"/>
        <bgColor indexed="64"/>
      </patternFill>
    </fill>
    <fill>
      <patternFill patternType="solid">
        <fgColor theme="0"/>
        <bgColor indexed="26"/>
      </patternFill>
    </fill>
    <fill>
      <patternFill patternType="solid">
        <fgColor rgb="FFFFFF00"/>
        <bgColor indexed="64"/>
      </patternFill>
    </fill>
    <fill>
      <patternFill patternType="solid">
        <fgColor theme="0" tint="-0.249977111117893"/>
        <bgColor indexed="42"/>
      </patternFill>
    </fill>
    <fill>
      <patternFill patternType="solid">
        <fgColor theme="0" tint="-0.249977111117893"/>
        <bgColor indexed="64"/>
      </patternFill>
    </fill>
    <fill>
      <patternFill patternType="solid">
        <fgColor theme="3" tint="0.79998168889431442"/>
        <bgColor indexed="64"/>
      </patternFill>
    </fill>
    <fill>
      <patternFill patternType="solid">
        <fgColor rgb="FFFFFF00"/>
        <bgColor indexed="42"/>
      </patternFill>
    </fill>
    <fill>
      <patternFill patternType="solid">
        <fgColor rgb="FF92D050"/>
        <bgColor indexed="64"/>
      </patternFill>
    </fill>
    <fill>
      <patternFill patternType="solid">
        <fgColor theme="0"/>
        <bgColor indexed="42"/>
      </patternFill>
    </fill>
    <fill>
      <patternFill patternType="solid">
        <fgColor theme="3" tint="0.79998168889431442"/>
        <bgColor indexed="26"/>
      </patternFill>
    </fill>
    <fill>
      <patternFill patternType="solid">
        <fgColor theme="2" tint="-0.249977111117893"/>
        <bgColor indexed="42"/>
      </patternFill>
    </fill>
    <fill>
      <patternFill patternType="solid">
        <fgColor theme="2" tint="-0.249977111117893"/>
        <bgColor indexed="64"/>
      </patternFill>
    </fill>
    <fill>
      <patternFill patternType="solid">
        <fgColor rgb="FFCCFFCC"/>
        <bgColor indexed="64"/>
      </patternFill>
    </fill>
    <fill>
      <patternFill patternType="solid">
        <fgColor rgb="FF66FF66"/>
        <bgColor indexed="64"/>
      </patternFill>
    </fill>
    <fill>
      <patternFill patternType="solid">
        <fgColor rgb="FFFFFFCC"/>
        <bgColor indexed="64"/>
      </patternFill>
    </fill>
    <fill>
      <patternFill patternType="solid">
        <fgColor theme="1" tint="0.14999847407452621"/>
        <bgColor indexed="64"/>
      </patternFill>
    </fill>
    <fill>
      <patternFill patternType="solid">
        <fgColor rgb="FFFFC000"/>
        <bgColor indexed="64"/>
      </patternFill>
    </fill>
    <fill>
      <patternFill patternType="solid">
        <fgColor theme="2"/>
        <bgColor indexed="64"/>
      </patternFill>
    </fill>
    <fill>
      <patternFill patternType="solid">
        <fgColor theme="8" tint="0.79998168889431442"/>
        <bgColor indexed="64"/>
      </patternFill>
    </fill>
    <fill>
      <patternFill patternType="solid">
        <fgColor rgb="FFFFC000"/>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theme="8" tint="0.79998168889431442"/>
        <bgColor indexed="42"/>
      </patternFill>
    </fill>
    <fill>
      <patternFill patternType="solid">
        <fgColor rgb="FFD7FF65"/>
        <bgColor indexed="64"/>
      </patternFill>
    </fill>
    <fill>
      <patternFill patternType="solid">
        <fgColor rgb="FFD7FF65"/>
        <bgColor indexed="42"/>
      </patternFill>
    </fill>
    <fill>
      <patternFill patternType="solid">
        <fgColor rgb="FF92D050"/>
        <bgColor indexed="42"/>
      </patternFill>
    </fill>
    <fill>
      <patternFill patternType="solid">
        <fgColor rgb="FFFFC000"/>
        <bgColor indexed="42"/>
      </patternFill>
    </fill>
    <fill>
      <patternFill patternType="solid">
        <fgColor theme="7" tint="0.79998168889431442"/>
        <bgColor indexed="64"/>
      </patternFill>
    </fill>
    <fill>
      <patternFill patternType="solid">
        <fgColor rgb="FF7030A0"/>
        <bgColor indexed="64"/>
      </patternFill>
    </fill>
    <fill>
      <patternFill patternType="solid">
        <fgColor theme="0" tint="-4.9989318521683403E-2"/>
        <bgColor indexed="42"/>
      </patternFill>
    </fill>
  </fills>
  <borders count="105">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8"/>
      </left>
      <right/>
      <top/>
      <bottom style="thin">
        <color indexed="8"/>
      </bottom>
      <diagonal/>
    </border>
    <border>
      <left style="thin">
        <color indexed="8"/>
      </left>
      <right style="thin">
        <color indexed="64"/>
      </right>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8"/>
      </left>
      <right style="thin">
        <color indexed="8"/>
      </right>
      <top style="thin">
        <color indexed="64"/>
      </top>
      <bottom style="thin">
        <color indexed="64"/>
      </bottom>
      <diagonal/>
    </border>
    <border>
      <left/>
      <right/>
      <top style="thin">
        <color indexed="64"/>
      </top>
      <bottom/>
      <diagonal/>
    </border>
    <border>
      <left/>
      <right/>
      <top/>
      <bottom style="dotted">
        <color indexed="64"/>
      </bottom>
      <diagonal/>
    </border>
    <border>
      <left/>
      <right/>
      <top style="thin">
        <color indexed="8"/>
      </top>
      <bottom/>
      <diagonal/>
    </border>
    <border>
      <left style="medium">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8"/>
      </top>
      <bottom/>
      <diagonal/>
    </border>
    <border>
      <left/>
      <right/>
      <top style="thin">
        <color indexed="64"/>
      </top>
      <bottom style="thin">
        <color indexed="8"/>
      </bottom>
      <diagonal/>
    </border>
    <border>
      <left style="thin">
        <color indexed="64"/>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s>
  <cellStyleXfs count="788">
    <xf numFmtId="0" fontId="0" fillId="0" borderId="0"/>
    <xf numFmtId="0" fontId="8" fillId="0" borderId="0"/>
    <xf numFmtId="0" fontId="8" fillId="0" borderId="0"/>
    <xf numFmtId="0" fontId="8" fillId="0" borderId="0"/>
    <xf numFmtId="0" fontId="8" fillId="0" borderId="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15" borderId="0" applyNumberFormat="0" applyBorder="0" applyAlignment="0" applyProtection="0"/>
    <xf numFmtId="0" fontId="10" fillId="6" borderId="0" applyNumberFormat="0" applyBorder="0" applyAlignment="0" applyProtection="0"/>
    <xf numFmtId="0" fontId="10" fillId="15"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6" borderId="0" applyNumberFormat="0" applyBorder="0" applyAlignment="0" applyProtection="0"/>
    <xf numFmtId="0" fontId="10" fillId="12" borderId="0" applyNumberFormat="0" applyBorder="0" applyAlignment="0" applyProtection="0"/>
    <xf numFmtId="0" fontId="10" fillId="16" borderId="0" applyNumberFormat="0" applyBorder="0" applyAlignment="0" applyProtection="0"/>
    <xf numFmtId="0" fontId="10" fillId="12"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19" borderId="0" applyNumberFormat="0" applyBorder="0" applyAlignment="0" applyProtection="0"/>
    <xf numFmtId="0" fontId="10" fillId="6" borderId="0" applyNumberFormat="0" applyBorder="0" applyAlignment="0" applyProtection="0"/>
    <xf numFmtId="0" fontId="10" fillId="19"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14" borderId="0" applyNumberFormat="0" applyBorder="0" applyAlignment="0" applyProtection="0"/>
    <xf numFmtId="0" fontId="10" fillId="3" borderId="0" applyNumberFormat="0" applyBorder="0" applyAlignment="0" applyProtection="0"/>
    <xf numFmtId="0" fontId="10" fillId="14" borderId="0" applyNumberFormat="0" applyBorder="0" applyAlignment="0" applyProtection="0"/>
    <xf numFmtId="0" fontId="10" fillId="3"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19" borderId="0" applyNumberFormat="0" applyBorder="0" applyAlignment="0" applyProtection="0"/>
    <xf numFmtId="0" fontId="10" fillId="6" borderId="0" applyNumberFormat="0" applyBorder="0" applyAlignment="0" applyProtection="0"/>
    <xf numFmtId="0" fontId="10" fillId="19"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23" borderId="0" applyNumberFormat="0" applyBorder="0" applyAlignment="0" applyProtection="0"/>
    <xf numFmtId="0" fontId="10" fillId="12" borderId="0" applyNumberFormat="0" applyBorder="0" applyAlignment="0" applyProtection="0"/>
    <xf numFmtId="0" fontId="10" fillId="23" borderId="0" applyNumberFormat="0" applyBorder="0" applyAlignment="0" applyProtection="0"/>
    <xf numFmtId="0" fontId="10" fillId="12"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0" borderId="0" applyNumberFormat="0" applyBorder="0" applyAlignment="0" applyProtection="0"/>
    <xf numFmtId="0" fontId="27" fillId="6" borderId="0" applyNumberFormat="0" applyBorder="0" applyAlignment="0" applyProtection="0"/>
    <xf numFmtId="0" fontId="27" fillId="31"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32" borderId="0" applyNumberFormat="0" applyBorder="0" applyAlignment="0" applyProtection="0"/>
    <xf numFmtId="0" fontId="17" fillId="6" borderId="0" applyNumberFormat="0" applyBorder="0" applyAlignment="0" applyProtection="0"/>
    <xf numFmtId="0" fontId="17" fillId="13" borderId="0" applyNumberFormat="0" applyBorder="0" applyAlignment="0" applyProtection="0"/>
    <xf numFmtId="0" fontId="34" fillId="0" borderId="1" applyNumberFormat="0" applyFill="0" applyAlignment="0" applyProtection="0"/>
    <xf numFmtId="0" fontId="34" fillId="0" borderId="1"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8" fillId="34" borderId="4"/>
    <xf numFmtId="0" fontId="28" fillId="34" borderId="4" applyNumberFormat="0" applyAlignment="0" applyProtection="0"/>
    <xf numFmtId="0" fontId="28" fillId="34" borderId="4" applyNumberFormat="0" applyAlignment="0" applyProtection="0"/>
    <xf numFmtId="0" fontId="28" fillId="34" borderId="4" applyNumberFormat="0" applyAlignment="0" applyProtection="0"/>
    <xf numFmtId="0" fontId="22" fillId="33" borderId="4" applyNumberFormat="0" applyAlignment="0" applyProtection="0"/>
    <xf numFmtId="0" fontId="22" fillId="33" borderId="4" applyNumberFormat="0" applyAlignment="0" applyProtection="0"/>
    <xf numFmtId="0" fontId="22" fillId="33" borderId="4" applyNumberFormat="0" applyAlignment="0" applyProtection="0"/>
    <xf numFmtId="0" fontId="28" fillId="34" borderId="4" applyNumberFormat="0" applyAlignment="0" applyProtection="0"/>
    <xf numFmtId="0" fontId="22" fillId="33" borderId="4" applyNumberFormat="0" applyAlignment="0" applyProtection="0"/>
    <xf numFmtId="0" fontId="28" fillId="35" borderId="4" applyNumberFormat="0" applyAlignment="0" applyProtection="0"/>
    <xf numFmtId="0" fontId="28" fillId="35" borderId="4" applyNumberFormat="0" applyAlignment="0" applyProtection="0"/>
    <xf numFmtId="0" fontId="28" fillId="35" borderId="4" applyNumberFormat="0" applyAlignment="0" applyProtection="0"/>
    <xf numFmtId="0" fontId="37" fillId="0" borderId="0"/>
    <xf numFmtId="0" fontId="24" fillId="36" borderId="5" applyNumberFormat="0" applyAlignment="0" applyProtection="0"/>
    <xf numFmtId="0" fontId="24" fillId="37" borderId="5" applyNumberFormat="0" applyAlignment="0" applyProtection="0"/>
    <xf numFmtId="0" fontId="38" fillId="0" borderId="6" applyNumberFormat="0" applyFill="0" applyAlignment="0" applyProtection="0"/>
    <xf numFmtId="0" fontId="38" fillId="0" borderId="6" applyNumberFormat="0" applyFill="0" applyAlignment="0" applyProtection="0"/>
    <xf numFmtId="0" fontId="23" fillId="0" borderId="7" applyNumberFormat="0" applyFill="0" applyAlignment="0" applyProtection="0"/>
    <xf numFmtId="0" fontId="38" fillId="0" borderId="6" applyNumberFormat="0" applyFill="0" applyAlignment="0" applyProtection="0"/>
    <xf numFmtId="175" fontId="39" fillId="0" borderId="0">
      <protection locked="0"/>
    </xf>
    <xf numFmtId="38" fontId="40" fillId="0" borderId="0" applyFont="0" applyFill="0" applyBorder="0" applyAlignment="0" applyProtection="0"/>
    <xf numFmtId="40" fontId="41" fillId="0" borderId="0" applyFont="0" applyFill="0" applyBorder="0" applyAlignment="0" applyProtection="0"/>
    <xf numFmtId="175" fontId="39" fillId="0" borderId="0">
      <protection locked="0"/>
    </xf>
    <xf numFmtId="0" fontId="42" fillId="0" borderId="0"/>
    <xf numFmtId="0" fontId="43" fillId="0" borderId="0"/>
    <xf numFmtId="0" fontId="42" fillId="0" borderId="0"/>
    <xf numFmtId="0" fontId="43" fillId="0" borderId="0"/>
    <xf numFmtId="0" fontId="27" fillId="38"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175" fontId="39" fillId="0" borderId="0">
      <protection locked="0"/>
    </xf>
    <xf numFmtId="176" fontId="8" fillId="0" borderId="0">
      <alignment horizontal="center"/>
    </xf>
    <xf numFmtId="177" fontId="8" fillId="0" borderId="0" applyFont="0" applyFill="0" applyBorder="0" applyAlignment="0" applyProtection="0"/>
    <xf numFmtId="178" fontId="8" fillId="0" borderId="0" applyFont="0" applyFill="0" applyBorder="0" applyAlignment="0" applyProtection="0"/>
    <xf numFmtId="175" fontId="39" fillId="0" borderId="0">
      <protection locked="0"/>
    </xf>
    <xf numFmtId="175" fontId="39" fillId="0" borderId="0">
      <protection locked="0"/>
    </xf>
    <xf numFmtId="0" fontId="44" fillId="0" borderId="0">
      <protection locked="0"/>
    </xf>
    <xf numFmtId="0" fontId="45" fillId="0" borderId="0">
      <protection locked="0"/>
    </xf>
    <xf numFmtId="0" fontId="45" fillId="0" borderId="0">
      <protection locked="0"/>
    </xf>
    <xf numFmtId="0" fontId="27" fillId="41" borderId="0" applyNumberFormat="0" applyBorder="0" applyAlignment="0" applyProtection="0"/>
    <xf numFmtId="0" fontId="27" fillId="42" borderId="0" applyNumberFormat="0" applyBorder="0" applyAlignment="0" applyProtection="0"/>
    <xf numFmtId="0" fontId="27" fillId="29" borderId="0" applyNumberFormat="0" applyBorder="0" applyAlignment="0" applyProtection="0"/>
    <xf numFmtId="0" fontId="27" fillId="43" borderId="0" applyNumberFormat="0" applyBorder="0" applyAlignment="0" applyProtection="0"/>
    <xf numFmtId="0" fontId="27" fillId="18"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30" borderId="0" applyNumberFormat="0" applyBorder="0" applyAlignment="0" applyProtection="0"/>
    <xf numFmtId="0" fontId="27" fillId="26" borderId="0" applyNumberFormat="0" applyBorder="0" applyAlignment="0" applyProtection="0"/>
    <xf numFmtId="0" fontId="27" fillId="31" borderId="0" applyNumberFormat="0" applyBorder="0" applyAlignment="0" applyProtection="0"/>
    <xf numFmtId="0" fontId="27" fillId="39" borderId="0" applyNumberFormat="0" applyBorder="0" applyAlignment="0" applyProtection="0"/>
    <xf numFmtId="0" fontId="27" fillId="46" borderId="0" applyNumberFormat="0" applyBorder="0" applyAlignment="0" applyProtection="0"/>
    <xf numFmtId="0" fontId="20" fillId="47" borderId="4"/>
    <xf numFmtId="0" fontId="20" fillId="16" borderId="4" applyNumberFormat="0" applyAlignment="0" applyProtection="0"/>
    <xf numFmtId="0" fontId="20" fillId="16" borderId="4" applyNumberFormat="0" applyAlignment="0" applyProtection="0"/>
    <xf numFmtId="0" fontId="20" fillId="16" borderId="4" applyNumberFormat="0" applyAlignment="0" applyProtection="0"/>
    <xf numFmtId="0" fontId="20" fillId="21" borderId="4" applyNumberFormat="0" applyAlignment="0" applyProtection="0"/>
    <xf numFmtId="0" fontId="20" fillId="21" borderId="4" applyNumberFormat="0" applyAlignment="0" applyProtection="0"/>
    <xf numFmtId="0" fontId="20" fillId="21" borderId="4" applyNumberFormat="0" applyAlignment="0" applyProtection="0"/>
    <xf numFmtId="0" fontId="20" fillId="16" borderId="4" applyNumberFormat="0" applyAlignment="0" applyProtection="0"/>
    <xf numFmtId="0" fontId="20" fillId="21" borderId="4" applyNumberFormat="0" applyAlignment="0" applyProtection="0"/>
    <xf numFmtId="0" fontId="20" fillId="7" borderId="4" applyNumberFormat="0" applyAlignment="0" applyProtection="0"/>
    <xf numFmtId="0" fontId="20" fillId="7" borderId="4" applyNumberFormat="0" applyAlignment="0" applyProtection="0"/>
    <xf numFmtId="0" fontId="20" fillId="7" borderId="4" applyNumberFormat="0" applyAlignment="0" applyProtection="0"/>
    <xf numFmtId="0" fontId="9" fillId="1" borderId="8" applyFont="0" applyFill="0" applyBorder="0" applyAlignment="0">
      <alignment horizontal="center" vertical="center"/>
    </xf>
    <xf numFmtId="0" fontId="29" fillId="0" borderId="0"/>
    <xf numFmtId="0" fontId="58" fillId="0" borderId="0"/>
    <xf numFmtId="0" fontId="58" fillId="0" borderId="0"/>
    <xf numFmtId="179" fontId="8" fillId="0" borderId="0" applyFont="0" applyFill="0" applyBorder="0" applyAlignment="0" applyProtection="0"/>
    <xf numFmtId="171" fontId="10" fillId="0" borderId="0"/>
    <xf numFmtId="171" fontId="8" fillId="0" borderId="0"/>
    <xf numFmtId="171" fontId="10" fillId="0" borderId="0"/>
    <xf numFmtId="171" fontId="8" fillId="0" borderId="0"/>
    <xf numFmtId="171" fontId="8" fillId="0" borderId="0"/>
    <xf numFmtId="171" fontId="8" fillId="0" borderId="0"/>
    <xf numFmtId="0" fontId="10" fillId="0" borderId="0"/>
    <xf numFmtId="0" fontId="8" fillId="0" borderId="0"/>
    <xf numFmtId="0" fontId="10" fillId="0" borderId="0"/>
    <xf numFmtId="0" fontId="8" fillId="0" borderId="0"/>
    <xf numFmtId="0" fontId="8" fillId="0" borderId="0"/>
    <xf numFmtId="0" fontId="8" fillId="0" borderId="0"/>
    <xf numFmtId="0" fontId="10" fillId="0" borderId="0"/>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175" fontId="39" fillId="0" borderId="0">
      <protection locked="0"/>
    </xf>
    <xf numFmtId="0" fontId="46" fillId="0" borderId="0" applyNumberFormat="0" applyFill="0" applyBorder="0" applyAlignment="0" applyProtection="0">
      <alignment vertical="top"/>
      <protection locked="0"/>
    </xf>
    <xf numFmtId="38" fontId="7" fillId="48" borderId="0" applyNumberFormat="0" applyBorder="0" applyAlignment="0" applyProtection="0"/>
    <xf numFmtId="0" fontId="47" fillId="0" borderId="0">
      <alignment horizontal="left"/>
    </xf>
    <xf numFmtId="175" fontId="48" fillId="0" borderId="0">
      <protection locked="0"/>
    </xf>
    <xf numFmtId="175" fontId="48" fillId="0" borderId="0">
      <protection locked="0"/>
    </xf>
    <xf numFmtId="0" fontId="4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10" fontId="7" fillId="48" borderId="9" applyNumberFormat="0" applyBorder="0" applyAlignment="0" applyProtection="0"/>
    <xf numFmtId="180" fontId="8" fillId="0" borderId="0" applyFont="0" applyFill="0" applyBorder="0" applyAlignment="0" applyProtection="0"/>
    <xf numFmtId="181" fontId="8" fillId="0" borderId="0" applyFont="0" applyFill="0" applyBorder="0" applyAlignment="0" applyProtection="0"/>
    <xf numFmtId="0" fontId="50" fillId="0" borderId="10"/>
    <xf numFmtId="44" fontId="6" fillId="0" borderId="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ill="0" applyBorder="0" applyAlignment="0" applyProtection="0"/>
    <xf numFmtId="169" fontId="8" fillId="0" borderId="0"/>
    <xf numFmtId="169" fontId="8" fillId="0" borderId="0"/>
    <xf numFmtId="44" fontId="8" fillId="0" borderId="0" applyFill="0" applyBorder="0" applyAlignment="0" applyProtection="0"/>
    <xf numFmtId="44" fontId="10" fillId="0" borderId="0" applyFont="0" applyFill="0" applyBorder="0" applyAlignment="0" applyProtection="0"/>
    <xf numFmtId="169" fontId="8" fillId="0" borderId="0"/>
    <xf numFmtId="44" fontId="8" fillId="0" borderId="0" applyFill="0" applyBorder="0" applyAlignment="0" applyProtection="0"/>
    <xf numFmtId="40" fontId="10" fillId="0" borderId="0"/>
    <xf numFmtId="182" fontId="8" fillId="0" borderId="0" applyFont="0" applyFill="0" applyBorder="0" applyAlignment="0" applyProtection="0"/>
    <xf numFmtId="182" fontId="8" fillId="0" borderId="0" applyFont="0" applyFill="0" applyBorder="0" applyAlignment="0" applyProtection="0"/>
    <xf numFmtId="44" fontId="8" fillId="0" borderId="0" applyFill="0" applyBorder="0" applyAlignment="0" applyProtection="0"/>
    <xf numFmtId="169" fontId="8" fillId="0" borderId="0"/>
    <xf numFmtId="44" fontId="8" fillId="0" borderId="0" applyFill="0" applyBorder="0" applyAlignment="0" applyProtection="0"/>
    <xf numFmtId="169" fontId="10" fillId="0" borderId="0"/>
    <xf numFmtId="169" fontId="8" fillId="0" borderId="0"/>
    <xf numFmtId="44" fontId="8" fillId="0" borderId="0" applyFill="0" applyBorder="0" applyAlignment="0" applyProtection="0"/>
    <xf numFmtId="44" fontId="8" fillId="0" borderId="0" applyFill="0" applyBorder="0" applyAlignment="0" applyProtection="0"/>
    <xf numFmtId="169" fontId="10" fillId="0" borderId="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69" fontId="10" fillId="0" borderId="0"/>
    <xf numFmtId="169" fontId="10" fillId="0" borderId="0"/>
    <xf numFmtId="44" fontId="30" fillId="0" borderId="0" applyFont="0" applyFill="0" applyBorder="0" applyAlignment="0" applyProtection="0"/>
    <xf numFmtId="44" fontId="60" fillId="0" borderId="0" applyFont="0" applyFill="0" applyBorder="0" applyAlignment="0" applyProtection="0"/>
    <xf numFmtId="44" fontId="30" fillId="0" borderId="0" applyFont="0" applyFill="0" applyBorder="0" applyAlignment="0" applyProtection="0"/>
    <xf numFmtId="44" fontId="60" fillId="0" borderId="0" applyFont="0" applyFill="0" applyBorder="0" applyAlignment="0" applyProtection="0"/>
    <xf numFmtId="44"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xf numFmtId="44" fontId="5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0"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0"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0" fillId="0" borderId="0" applyFont="0" applyFill="0" applyBorder="0" applyAlignment="0" applyProtection="0"/>
    <xf numFmtId="169" fontId="10" fillId="0" borderId="0"/>
    <xf numFmtId="44" fontId="30" fillId="0" borderId="0" applyFont="0" applyFill="0" applyBorder="0" applyAlignment="0" applyProtection="0"/>
    <xf numFmtId="44" fontId="60" fillId="0" borderId="0" applyFont="0" applyFill="0" applyBorder="0" applyAlignment="0" applyProtection="0"/>
    <xf numFmtId="44" fontId="30" fillId="0" borderId="0" applyFont="0" applyFill="0" applyBorder="0" applyAlignment="0" applyProtection="0"/>
    <xf numFmtId="44" fontId="60" fillId="0" borderId="0" applyFont="0" applyFill="0" applyBorder="0" applyAlignment="0" applyProtection="0"/>
    <xf numFmtId="44"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5" fontId="8" fillId="0" borderId="0" applyFont="0" applyFill="0" applyBorder="0" applyAlignment="0" applyProtection="0"/>
    <xf numFmtId="183" fontId="8" fillId="0" borderId="0" applyFont="0" applyFill="0" applyBorder="0" applyAlignment="0" applyProtection="0"/>
    <xf numFmtId="184" fontId="8" fillId="0" borderId="0" applyFont="0" applyFill="0" applyBorder="0" applyAlignment="0" applyProtection="0"/>
    <xf numFmtId="0" fontId="44" fillId="0" borderId="0">
      <protection locked="0"/>
    </xf>
    <xf numFmtId="0" fontId="19" fillId="21" borderId="0" applyNumberFormat="0" applyBorder="0" applyAlignment="0" applyProtection="0"/>
    <xf numFmtId="0" fontId="51" fillId="4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37" fontId="52" fillId="0" borderId="0"/>
    <xf numFmtId="185" fontId="8" fillId="0" borderId="0"/>
    <xf numFmtId="0" fontId="30" fillId="0" borderId="0"/>
    <xf numFmtId="0" fontId="30" fillId="0" borderId="0"/>
    <xf numFmtId="0" fontId="30" fillId="0" borderId="0"/>
    <xf numFmtId="0" fontId="70" fillId="0" borderId="0"/>
    <xf numFmtId="0" fontId="10" fillId="0" borderId="0"/>
    <xf numFmtId="0" fontId="70" fillId="0" borderId="0"/>
    <xf numFmtId="0" fontId="10" fillId="0" borderId="0"/>
    <xf numFmtId="0" fontId="31" fillId="0" borderId="0"/>
    <xf numFmtId="0" fontId="8" fillId="0" borderId="0"/>
    <xf numFmtId="0" fontId="8" fillId="0" borderId="0"/>
    <xf numFmtId="0" fontId="8" fillId="0" borderId="0"/>
    <xf numFmtId="0" fontId="8" fillId="0" borderId="0"/>
    <xf numFmtId="0" fontId="31" fillId="0" borderId="0"/>
    <xf numFmtId="0" fontId="53" fillId="0" borderId="0" applyNumberFormat="0" applyFill="0" applyBorder="0" applyAlignment="0" applyProtection="0"/>
    <xf numFmtId="0" fontId="10" fillId="0" borderId="0"/>
    <xf numFmtId="0" fontId="68" fillId="0" borderId="0"/>
    <xf numFmtId="0" fontId="68" fillId="0" borderId="0"/>
    <xf numFmtId="0" fontId="68" fillId="0" borderId="0"/>
    <xf numFmtId="0" fontId="10" fillId="0" borderId="0"/>
    <xf numFmtId="0" fontId="68" fillId="0" borderId="0"/>
    <xf numFmtId="0" fontId="68" fillId="0" borderId="0"/>
    <xf numFmtId="0" fontId="10" fillId="0" borderId="0"/>
    <xf numFmtId="0" fontId="68" fillId="0" borderId="0"/>
    <xf numFmtId="0" fontId="68" fillId="0" borderId="0"/>
    <xf numFmtId="0" fontId="8" fillId="0" borderId="0"/>
    <xf numFmtId="0" fontId="8" fillId="0" borderId="0" applyNumberFormat="0" applyFont="0" applyFill="0" applyBorder="0" applyAlignment="0" applyProtection="0"/>
    <xf numFmtId="0" fontId="8"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applyNumberFormat="0" applyFont="0" applyFill="0" applyBorder="0" applyAlignment="0" applyProtection="0"/>
    <xf numFmtId="0" fontId="8"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0" fontId="70" fillId="0" borderId="0"/>
    <xf numFmtId="0" fontId="8" fillId="0" borderId="0"/>
    <xf numFmtId="0" fontId="30" fillId="0" borderId="0"/>
    <xf numFmtId="0" fontId="30" fillId="0" borderId="0"/>
    <xf numFmtId="0" fontId="70" fillId="0" borderId="0"/>
    <xf numFmtId="0" fontId="8" fillId="0" borderId="0"/>
    <xf numFmtId="0" fontId="70" fillId="0" borderId="0"/>
    <xf numFmtId="0" fontId="8" fillId="0" borderId="0"/>
    <xf numFmtId="0" fontId="8" fillId="0" borderId="0"/>
    <xf numFmtId="0" fontId="8" fillId="0" borderId="0"/>
    <xf numFmtId="0" fontId="8" fillId="0" borderId="0"/>
    <xf numFmtId="0" fontId="8" fillId="0" borderId="0"/>
    <xf numFmtId="0" fontId="30" fillId="0" borderId="0"/>
    <xf numFmtId="0" fontId="7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53" fillId="0" borderId="0"/>
    <xf numFmtId="0" fontId="53" fillId="0" borderId="0"/>
    <xf numFmtId="0" fontId="8" fillId="0" borderId="0"/>
    <xf numFmtId="0" fontId="12" fillId="0" borderId="0"/>
    <xf numFmtId="0" fontId="10" fillId="0" borderId="0"/>
    <xf numFmtId="0" fontId="10" fillId="50" borderId="11"/>
    <xf numFmtId="0" fontId="10" fillId="51" borderId="11" applyNumberFormat="0" applyAlignment="0" applyProtection="0"/>
    <xf numFmtId="0" fontId="10" fillId="51" borderId="11" applyNumberFormat="0" applyAlignment="0" applyProtection="0"/>
    <xf numFmtId="0" fontId="10" fillId="51" borderId="11" applyNumberFormat="0" applyAlignment="0" applyProtection="0"/>
    <xf numFmtId="0" fontId="8" fillId="12" borderId="11" applyNumberFormat="0" applyFont="0" applyAlignment="0" applyProtection="0"/>
    <xf numFmtId="0" fontId="8" fillId="12" borderId="11" applyNumberFormat="0" applyFont="0" applyAlignment="0" applyProtection="0"/>
    <xf numFmtId="0" fontId="8" fillId="12" borderId="11" applyNumberFormat="0" applyFont="0" applyAlignment="0" applyProtection="0"/>
    <xf numFmtId="0" fontId="10" fillId="51" borderId="11" applyNumberFormat="0" applyAlignment="0" applyProtection="0"/>
    <xf numFmtId="0" fontId="8" fillId="12" borderId="11" applyNumberFormat="0" applyFont="0" applyAlignment="0" applyProtection="0"/>
    <xf numFmtId="0" fontId="10" fillId="12" borderId="11" applyNumberFormat="0" applyFont="0" applyAlignment="0" applyProtection="0"/>
    <xf numFmtId="0" fontId="10" fillId="12" borderId="11" applyNumberFormat="0" applyFont="0" applyAlignment="0" applyProtection="0"/>
    <xf numFmtId="0" fontId="10" fillId="12" borderId="11" applyNumberFormat="0" applyFont="0" applyAlignment="0" applyProtection="0"/>
    <xf numFmtId="0" fontId="10" fillId="12" borderId="11" applyNumberFormat="0" applyFont="0" applyAlignment="0" applyProtection="0"/>
    <xf numFmtId="0" fontId="10" fillId="12" borderId="11" applyNumberFormat="0" applyFont="0" applyAlignment="0" applyProtection="0"/>
    <xf numFmtId="0" fontId="10" fillId="12" borderId="11" applyNumberFormat="0" applyFont="0" applyAlignment="0" applyProtection="0"/>
    <xf numFmtId="0" fontId="10" fillId="12" borderId="11" applyNumberFormat="0" applyFont="0" applyAlignment="0" applyProtection="0"/>
    <xf numFmtId="175" fontId="39" fillId="0" borderId="0">
      <protection locked="0"/>
    </xf>
    <xf numFmtId="10" fontId="8" fillId="0" borderId="0" applyFont="0" applyFill="0" applyBorder="0" applyAlignment="0" applyProtection="0"/>
    <xf numFmtId="9" fontId="10" fillId="0" borderId="0"/>
    <xf numFmtId="9" fontId="8"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xf numFmtId="9" fontId="8" fillId="0" borderId="0" applyFill="0" applyBorder="0" applyAlignment="0" applyProtection="0"/>
    <xf numFmtId="9" fontId="8" fillId="0" borderId="0" applyFill="0" applyBorder="0" applyAlignment="0" applyProtection="0"/>
    <xf numFmtId="9" fontId="8" fillId="0" borderId="0"/>
    <xf numFmtId="9" fontId="8" fillId="0" borderId="0" applyFill="0" applyBorder="0" applyAlignment="0" applyProtection="0"/>
    <xf numFmtId="9" fontId="8" fillId="0" borderId="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54" fillId="0" borderId="12" applyNumberFormat="0" applyFont="0" applyBorder="0" applyAlignment="0"/>
    <xf numFmtId="9" fontId="6" fillId="0" borderId="0" applyFill="0" applyBorder="0" applyAlignment="0" applyProtection="0"/>
    <xf numFmtId="9" fontId="8" fillId="0" borderId="0"/>
    <xf numFmtId="9" fontId="8" fillId="0" borderId="0" applyFill="0" applyBorder="0" applyAlignment="0" applyProtection="0"/>
    <xf numFmtId="9" fontId="10" fillId="0" borderId="0"/>
    <xf numFmtId="9" fontId="8" fillId="0" borderId="0" applyFont="0" applyFill="0" applyBorder="0" applyAlignment="0" applyProtection="0"/>
    <xf numFmtId="9" fontId="8" fillId="0" borderId="0" applyFont="0" applyFill="0" applyBorder="0" applyAlignment="0" applyProtection="0"/>
    <xf numFmtId="9" fontId="10" fillId="0" borderId="0"/>
    <xf numFmtId="9" fontId="8" fillId="0" borderId="0" applyFont="0" applyFill="0" applyBorder="0" applyAlignment="0" applyProtection="0"/>
    <xf numFmtId="9" fontId="8" fillId="0" borderId="0" applyFont="0" applyFill="0" applyBorder="0" applyAlignment="0" applyProtection="0"/>
    <xf numFmtId="9"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xf numFmtId="9" fontId="8" fillId="0" borderId="0" applyFill="0" applyBorder="0" applyAlignment="0" applyProtection="0"/>
    <xf numFmtId="9" fontId="8"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ill="0" applyBorder="0" applyAlignment="0" applyProtection="0"/>
    <xf numFmtId="9" fontId="10" fillId="0" borderId="0"/>
    <xf numFmtId="9" fontId="8" fillId="0" borderId="0" applyFont="0" applyFill="0" applyBorder="0" applyAlignment="0" applyProtection="0"/>
    <xf numFmtId="9" fontId="10" fillId="0" borderId="0" applyFont="0" applyFill="0" applyBorder="0" applyAlignment="0" applyProtection="0"/>
    <xf numFmtId="9" fontId="10" fillId="0" borderId="0"/>
    <xf numFmtId="9" fontId="8" fillId="0" borderId="0" applyFont="0" applyFill="0" applyBorder="0" applyAlignment="0" applyProtection="0"/>
    <xf numFmtId="9"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xf numFmtId="9" fontId="8" fillId="0" borderId="0" applyFont="0" applyFill="0" applyBorder="0" applyAlignment="0" applyProtection="0"/>
    <xf numFmtId="9" fontId="8" fillId="0" borderId="0" applyFill="0" applyBorder="0" applyAlignment="0" applyProtection="0"/>
    <xf numFmtId="9" fontId="8" fillId="0" borderId="0" applyFont="0" applyFill="0" applyBorder="0" applyAlignment="0" applyProtection="0"/>
    <xf numFmtId="0" fontId="44" fillId="0" borderId="0">
      <protection locked="0"/>
    </xf>
    <xf numFmtId="38" fontId="55" fillId="0" borderId="0"/>
    <xf numFmtId="0" fontId="21" fillId="34" borderId="13"/>
    <xf numFmtId="0" fontId="21" fillId="34" borderId="13" applyNumberFormat="0" applyAlignment="0" applyProtection="0"/>
    <xf numFmtId="0" fontId="21" fillId="34" borderId="13" applyNumberFormat="0" applyAlignment="0" applyProtection="0"/>
    <xf numFmtId="0" fontId="21" fillId="34" borderId="13" applyNumberFormat="0" applyAlignment="0" applyProtection="0"/>
    <xf numFmtId="0" fontId="21" fillId="33" borderId="13" applyNumberFormat="0" applyAlignment="0" applyProtection="0"/>
    <xf numFmtId="0" fontId="21" fillId="33" borderId="13" applyNumberFormat="0" applyAlignment="0" applyProtection="0"/>
    <xf numFmtId="0" fontId="21" fillId="33" borderId="13" applyNumberFormat="0" applyAlignment="0" applyProtection="0"/>
    <xf numFmtId="0" fontId="21" fillId="34" borderId="13" applyNumberFormat="0" applyAlignment="0" applyProtection="0"/>
    <xf numFmtId="0" fontId="21" fillId="33" borderId="13" applyNumberFormat="0" applyAlignment="0" applyProtection="0"/>
    <xf numFmtId="0" fontId="21" fillId="35" borderId="13" applyNumberFormat="0" applyAlignment="0" applyProtection="0"/>
    <xf numFmtId="0" fontId="21" fillId="35" borderId="13" applyNumberFormat="0" applyAlignment="0" applyProtection="0"/>
    <xf numFmtId="0" fontId="21" fillId="35" borderId="13" applyNumberFormat="0" applyAlignment="0" applyProtection="0"/>
    <xf numFmtId="175" fontId="56" fillId="0" borderId="0">
      <protection locked="0"/>
    </xf>
    <xf numFmtId="170" fontId="8" fillId="0" borderId="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1" fontId="10" fillId="0" borderId="0"/>
    <xf numFmtId="164" fontId="8" fillId="0" borderId="0" applyFont="0" applyFill="0" applyBorder="0" applyAlignment="0" applyProtection="0"/>
    <xf numFmtId="164" fontId="8" fillId="0" borderId="0" applyFont="0" applyFill="0" applyBorder="0" applyAlignment="0" applyProtection="0"/>
    <xf numFmtId="171" fontId="10" fillId="0" borderId="0"/>
    <xf numFmtId="164" fontId="8" fillId="0" borderId="0" applyFont="0" applyFill="0" applyBorder="0" applyAlignment="0" applyProtection="0"/>
    <xf numFmtId="164" fontId="8" fillId="0" borderId="0" applyFont="0" applyFill="0" applyBorder="0" applyAlignment="0" applyProtection="0"/>
    <xf numFmtId="171" fontId="10" fillId="0" borderId="0"/>
    <xf numFmtId="164" fontId="8" fillId="0" borderId="0" applyFont="0" applyFill="0" applyBorder="0" applyAlignment="0" applyProtection="0"/>
    <xf numFmtId="164" fontId="8" fillId="0" borderId="0" applyFont="0" applyFill="0" applyBorder="0" applyAlignment="0" applyProtection="0"/>
    <xf numFmtId="170" fontId="8" fillId="0" borderId="0"/>
    <xf numFmtId="43" fontId="8" fillId="0" borderId="0" applyFill="0" applyBorder="0" applyAlignment="0" applyProtection="0"/>
    <xf numFmtId="43" fontId="8" fillId="0" borderId="0" applyFill="0" applyBorder="0" applyAlignment="0" applyProtection="0"/>
    <xf numFmtId="172" fontId="8" fillId="0" borderId="0" applyFill="0" applyBorder="0" applyAlignment="0" applyProtection="0"/>
    <xf numFmtId="172"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166" fontId="8" fillId="0" borderId="0"/>
    <xf numFmtId="166" fontId="8" fillId="0" borderId="0"/>
    <xf numFmtId="166" fontId="8" fillId="0" borderId="0" applyFill="0" applyBorder="0" applyAlignment="0" applyProtection="0"/>
    <xf numFmtId="43" fontId="10" fillId="0" borderId="0" applyFont="0" applyFill="0" applyBorder="0" applyAlignment="0" applyProtection="0"/>
    <xf numFmtId="166" fontId="8" fillId="0" borderId="0"/>
    <xf numFmtId="166" fontId="8" fillId="0" borderId="0" applyFill="0" applyBorder="0" applyAlignment="0" applyProtection="0"/>
    <xf numFmtId="171" fontId="10"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ill="0" applyBorder="0" applyAlignment="0" applyProtection="0"/>
    <xf numFmtId="166" fontId="8" fillId="0" borderId="0" applyFill="0" applyBorder="0" applyAlignment="0" applyProtection="0"/>
    <xf numFmtId="166" fontId="8" fillId="0" borderId="0"/>
    <xf numFmtId="166" fontId="8" fillId="0" borderId="0"/>
    <xf numFmtId="166" fontId="8" fillId="0" borderId="0" applyFill="0" applyBorder="0" applyAlignment="0" applyProtection="0"/>
    <xf numFmtId="166" fontId="8" fillId="0" borderId="0" applyFill="0" applyBorder="0" applyAlignment="0" applyProtection="0"/>
    <xf numFmtId="171" fontId="10"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ill="0" applyBorder="0" applyAlignment="0" applyProtection="0"/>
    <xf numFmtId="166" fontId="8" fillId="0" borderId="0" applyFill="0" applyBorder="0" applyAlignment="0" applyProtection="0"/>
    <xf numFmtId="171" fontId="10" fillId="0" borderId="0"/>
    <xf numFmtId="164" fontId="8" fillId="0" borderId="0" applyFont="0" applyFill="0" applyBorder="0" applyAlignment="0" applyProtection="0"/>
    <xf numFmtId="164" fontId="8" fillId="0" borderId="0" applyFont="0" applyFill="0" applyBorder="0" applyAlignment="0" applyProtection="0"/>
    <xf numFmtId="171" fontId="10" fillId="0" borderId="0"/>
    <xf numFmtId="164" fontId="8" fillId="0" borderId="0" applyFont="0" applyFill="0" applyBorder="0" applyAlignment="0" applyProtection="0"/>
    <xf numFmtId="164"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172" fontId="8" fillId="0" borderId="0" applyFill="0" applyBorder="0" applyAlignment="0" applyProtection="0"/>
    <xf numFmtId="0" fontId="50"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4" fillId="0" borderId="14" applyNumberFormat="0" applyFill="0" applyAlignment="0" applyProtection="0"/>
    <xf numFmtId="0" fontId="34" fillId="0" borderId="1" applyNumberFormat="0" applyFill="0" applyAlignment="0" applyProtection="0"/>
    <xf numFmtId="0" fontId="15" fillId="0" borderId="15" applyNumberFormat="0" applyFill="0" applyAlignment="0" applyProtection="0"/>
    <xf numFmtId="0" fontId="35" fillId="0" borderId="2" applyNumberFormat="0" applyFill="0" applyAlignment="0" applyProtection="0"/>
    <xf numFmtId="0" fontId="16" fillId="0" borderId="16" applyNumberFormat="0" applyFill="0" applyAlignment="0" applyProtection="0"/>
    <xf numFmtId="0" fontId="36" fillId="0" borderId="3" applyNumberFormat="0" applyFill="0" applyAlignment="0" applyProtection="0"/>
    <xf numFmtId="0" fontId="16" fillId="0" borderId="0" applyNumberFormat="0" applyFill="0" applyBorder="0" applyAlignment="0" applyProtection="0"/>
    <xf numFmtId="0" fontId="36" fillId="0" borderId="0" applyNumberFormat="0" applyFill="0" applyBorder="0" applyAlignment="0" applyProtection="0"/>
    <xf numFmtId="0" fontId="32" fillId="0" borderId="0"/>
    <xf numFmtId="0" fontId="3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32" fillId="0" borderId="0" applyNumberFormat="0" applyFill="0" applyBorder="0" applyAlignment="0" applyProtection="0"/>
    <xf numFmtId="0" fontId="26" fillId="0" borderId="18"/>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7" applyNumberFormat="0" applyFill="0" applyAlignment="0" applyProtection="0"/>
    <xf numFmtId="0" fontId="26" fillId="0" borderId="17" applyNumberFormat="0" applyFill="0" applyAlignment="0" applyProtection="0"/>
    <xf numFmtId="0" fontId="26" fillId="0" borderId="17" applyNumberFormat="0" applyFill="0" applyAlignment="0" applyProtection="0"/>
    <xf numFmtId="0" fontId="26" fillId="0" borderId="18" applyNumberFormat="0" applyFill="0" applyAlignment="0" applyProtection="0"/>
    <xf numFmtId="0" fontId="26" fillId="0" borderId="17"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4" fillId="36" borderId="5" applyNumberFormat="0" applyAlignment="0" applyProtection="0"/>
    <xf numFmtId="0" fontId="24" fillId="36" borderId="5" applyNumberFormat="0" applyAlignment="0" applyProtection="0"/>
    <xf numFmtId="43" fontId="6" fillId="0" borderId="0" applyFill="0" applyBorder="0" applyAlignment="0" applyProtection="0"/>
    <xf numFmtId="43" fontId="10" fillId="0" borderId="0" applyFont="0" applyFill="0" applyBorder="0" applyAlignment="0" applyProtection="0"/>
    <xf numFmtId="43" fontId="9" fillId="0" borderId="0" applyFill="0" applyBorder="0" applyAlignment="0" applyProtection="0"/>
    <xf numFmtId="170" fontId="10" fillId="0" borderId="0"/>
    <xf numFmtId="170" fontId="10" fillId="0" borderId="0"/>
    <xf numFmtId="171" fontId="10" fillId="0" borderId="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2" fontId="8" fillId="0" borderId="0" applyFill="0" applyBorder="0" applyAlignment="0" applyProtection="0"/>
    <xf numFmtId="172" fontId="8" fillId="0" borderId="0" applyFill="0" applyBorder="0" applyAlignment="0" applyProtection="0"/>
    <xf numFmtId="170" fontId="10" fillId="0" borderId="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10" fillId="0" borderId="0"/>
    <xf numFmtId="170" fontId="10" fillId="0" borderId="0"/>
    <xf numFmtId="170" fontId="10" fillId="0" borderId="0"/>
    <xf numFmtId="170" fontId="10" fillId="0" borderId="0"/>
    <xf numFmtId="43" fontId="30" fillId="0" borderId="0" applyFont="0" applyFill="0" applyBorder="0" applyAlignment="0" applyProtection="0"/>
    <xf numFmtId="170" fontId="8" fillId="0" borderId="0"/>
    <xf numFmtId="43" fontId="8" fillId="0" borderId="0" applyFill="0" applyBorder="0" applyAlignment="0" applyProtection="0"/>
    <xf numFmtId="43" fontId="8" fillId="0" borderId="0" applyFill="0" applyBorder="0" applyAlignment="0" applyProtection="0"/>
    <xf numFmtId="170" fontId="10" fillId="0" borderId="0"/>
    <xf numFmtId="43" fontId="3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172" fontId="8" fillId="0" borderId="0"/>
    <xf numFmtId="172" fontId="8" fillId="0" borderId="0" applyFill="0" applyBorder="0" applyAlignment="0" applyProtection="0"/>
    <xf numFmtId="43" fontId="10" fillId="0" borderId="0" applyFont="0" applyFill="0" applyBorder="0" applyAlignment="0" applyProtection="0"/>
    <xf numFmtId="170" fontId="10" fillId="0" borderId="0"/>
    <xf numFmtId="43" fontId="1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 fillId="0" borderId="0"/>
    <xf numFmtId="0" fontId="5" fillId="0" borderId="0"/>
    <xf numFmtId="0" fontId="8" fillId="0" borderId="0"/>
    <xf numFmtId="0" fontId="8" fillId="0" borderId="0"/>
    <xf numFmtId="9" fontId="8" fillId="0" borderId="0" applyFill="0" applyBorder="0" applyAlignment="0" applyProtection="0"/>
    <xf numFmtId="0" fontId="4" fillId="0" borderId="0"/>
    <xf numFmtId="0" fontId="4" fillId="0" borderId="0"/>
    <xf numFmtId="0" fontId="4" fillId="0" borderId="0"/>
    <xf numFmtId="0" fontId="86"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xf numFmtId="9" fontId="1" fillId="0" borderId="0" applyFont="0" applyFill="0" applyBorder="0" applyAlignment="0" applyProtection="0"/>
    <xf numFmtId="0" fontId="10" fillId="0" borderId="0">
      <alignment vertical="top"/>
    </xf>
    <xf numFmtId="0" fontId="8" fillId="0" borderId="0"/>
  </cellStyleXfs>
  <cellXfs count="1237">
    <xf numFmtId="0" fontId="0" fillId="0" borderId="0" xfId="0"/>
    <xf numFmtId="0" fontId="9" fillId="53" borderId="0" xfId="264" applyFont="1" applyFill="1" applyAlignment="1">
      <alignment horizontal="center" vertical="center" wrapText="1"/>
    </xf>
    <xf numFmtId="0" fontId="9" fillId="0" borderId="0" xfId="264" applyFont="1" applyAlignment="1">
      <alignment horizontal="center" vertical="center" wrapText="1"/>
    </xf>
    <xf numFmtId="2" fontId="9" fillId="53" borderId="0" xfId="264" applyNumberFormat="1" applyFont="1" applyFill="1" applyAlignment="1">
      <alignment horizontal="center" vertical="center" wrapText="1"/>
    </xf>
    <xf numFmtId="2" fontId="9" fillId="0" borderId="0" xfId="264" applyNumberFormat="1" applyFont="1" applyAlignment="1">
      <alignment horizontal="center" vertical="center" wrapText="1"/>
    </xf>
    <xf numFmtId="0" fontId="0" fillId="48" borderId="0" xfId="0" applyFill="1"/>
    <xf numFmtId="0" fontId="62" fillId="0" borderId="0" xfId="0" applyFont="1" applyAlignment="1">
      <alignment horizontal="center" vertical="justify"/>
    </xf>
    <xf numFmtId="2" fontId="64" fillId="54" borderId="29" xfId="0" applyNumberFormat="1" applyFont="1" applyFill="1" applyBorder="1" applyAlignment="1">
      <alignment horizontal="center" vertical="center"/>
    </xf>
    <xf numFmtId="2" fontId="0" fillId="0" borderId="0" xfId="0" applyNumberFormat="1"/>
    <xf numFmtId="0" fontId="26" fillId="0" borderId="0" xfId="0" applyFont="1"/>
    <xf numFmtId="0" fontId="62" fillId="48" borderId="29" xfId="0" applyFont="1" applyFill="1" applyBorder="1" applyAlignment="1">
      <alignment horizontal="center" vertical="center"/>
    </xf>
    <xf numFmtId="0" fontId="62" fillId="48" borderId="29" xfId="0" applyFont="1" applyFill="1" applyBorder="1" applyAlignment="1">
      <alignment horizontal="center" vertical="justify"/>
    </xf>
    <xf numFmtId="0" fontId="0" fillId="48" borderId="29" xfId="0" applyFill="1" applyBorder="1" applyAlignment="1">
      <alignment horizontal="center" vertical="center"/>
    </xf>
    <xf numFmtId="2" fontId="0" fillId="48" borderId="29" xfId="0" applyNumberFormat="1" applyFill="1" applyBorder="1" applyAlignment="1">
      <alignment horizontal="center" vertical="center"/>
    </xf>
    <xf numFmtId="0" fontId="62" fillId="48" borderId="20" xfId="0" applyFont="1" applyFill="1" applyBorder="1" applyAlignment="1">
      <alignment horizontal="center"/>
    </xf>
    <xf numFmtId="0" fontId="62" fillId="48" borderId="0" xfId="0" applyFont="1" applyFill="1" applyAlignment="1">
      <alignment horizontal="center"/>
    </xf>
    <xf numFmtId="0" fontId="62" fillId="48" borderId="24" xfId="0" applyFont="1" applyFill="1" applyBorder="1" applyAlignment="1">
      <alignment horizontal="center"/>
    </xf>
    <xf numFmtId="0" fontId="63" fillId="48" borderId="20" xfId="0" applyFont="1" applyFill="1" applyBorder="1" applyAlignment="1">
      <alignment horizontal="left"/>
    </xf>
    <xf numFmtId="0" fontId="65" fillId="48" borderId="24" xfId="0" applyFont="1" applyFill="1" applyBorder="1" applyAlignment="1">
      <alignment horizontal="right"/>
    </xf>
    <xf numFmtId="49" fontId="33" fillId="53" borderId="20" xfId="264" applyNumberFormat="1" applyFont="1" applyFill="1" applyBorder="1" applyAlignment="1">
      <alignment vertical="center"/>
    </xf>
    <xf numFmtId="0" fontId="10" fillId="48" borderId="0" xfId="264" applyFill="1" applyAlignment="1">
      <alignment vertical="center"/>
    </xf>
    <xf numFmtId="0" fontId="9" fillId="48" borderId="0" xfId="264" applyFont="1" applyFill="1" applyAlignment="1">
      <alignment horizontal="center" vertical="center" wrapText="1"/>
    </xf>
    <xf numFmtId="2" fontId="9" fillId="48" borderId="24" xfId="264" applyNumberFormat="1" applyFont="1" applyFill="1" applyBorder="1" applyAlignment="1">
      <alignment horizontal="center" vertical="center" wrapText="1"/>
    </xf>
    <xf numFmtId="0" fontId="0" fillId="48" borderId="20" xfId="0" applyFill="1" applyBorder="1"/>
    <xf numFmtId="0" fontId="0" fillId="48" borderId="24" xfId="0" applyFill="1" applyBorder="1"/>
    <xf numFmtId="0" fontId="0" fillId="48" borderId="20" xfId="0" applyFill="1" applyBorder="1" applyAlignment="1">
      <alignment vertical="center"/>
    </xf>
    <xf numFmtId="0" fontId="0" fillId="48" borderId="0" xfId="0" applyFill="1" applyAlignment="1">
      <alignment vertical="center"/>
    </xf>
    <xf numFmtId="0" fontId="0" fillId="48" borderId="24" xfId="0" applyFill="1" applyBorder="1" applyAlignment="1">
      <alignment vertical="center"/>
    </xf>
    <xf numFmtId="0" fontId="0" fillId="0" borderId="20" xfId="0" applyBorder="1"/>
    <xf numFmtId="0" fontId="0" fillId="0" borderId="24" xfId="0" applyBorder="1"/>
    <xf numFmtId="15" fontId="57" fillId="48" borderId="0" xfId="494" applyNumberFormat="1" applyFont="1" applyFill="1" applyAlignment="1">
      <alignment horizontal="center" vertical="center"/>
    </xf>
    <xf numFmtId="15" fontId="57" fillId="48" borderId="0" xfId="494" applyNumberFormat="1" applyFont="1" applyFill="1" applyAlignment="1">
      <alignment horizontal="justify" vertical="justify"/>
    </xf>
    <xf numFmtId="0" fontId="26" fillId="48" borderId="29" xfId="0" applyFont="1" applyFill="1" applyBorder="1" applyAlignment="1">
      <alignment horizontal="center" vertical="center"/>
    </xf>
    <xf numFmtId="2" fontId="26" fillId="48" borderId="29" xfId="0" applyNumberFormat="1" applyFont="1" applyFill="1" applyBorder="1" applyAlignment="1">
      <alignment horizontal="center" vertical="center"/>
    </xf>
    <xf numFmtId="2" fontId="26" fillId="0" borderId="0" xfId="0" applyNumberFormat="1" applyFont="1"/>
    <xf numFmtId="0" fontId="0" fillId="0" borderId="0" xfId="0" applyAlignment="1">
      <alignment vertical="center"/>
    </xf>
    <xf numFmtId="0" fontId="71" fillId="48" borderId="0" xfId="0" applyFont="1" applyFill="1" applyAlignment="1">
      <alignment horizontal="center"/>
    </xf>
    <xf numFmtId="0" fontId="71" fillId="48" borderId="0" xfId="0" applyFont="1" applyFill="1"/>
    <xf numFmtId="0" fontId="74" fillId="48" borderId="0" xfId="493" applyFont="1" applyFill="1"/>
    <xf numFmtId="0" fontId="77" fillId="48" borderId="0" xfId="493" applyFont="1" applyFill="1"/>
    <xf numFmtId="0" fontId="72" fillId="48" borderId="0" xfId="493" applyFont="1" applyFill="1"/>
    <xf numFmtId="0" fontId="72" fillId="48" borderId="0" xfId="493" applyFont="1" applyFill="1" applyAlignment="1">
      <alignment horizontal="center"/>
    </xf>
    <xf numFmtId="0" fontId="74" fillId="48" borderId="0" xfId="493" applyFont="1" applyFill="1" applyAlignment="1">
      <alignment horizontal="center"/>
    </xf>
    <xf numFmtId="0" fontId="75" fillId="58" borderId="0" xfId="493" applyFont="1" applyFill="1"/>
    <xf numFmtId="0" fontId="71" fillId="58" borderId="0" xfId="0" applyFont="1" applyFill="1"/>
    <xf numFmtId="0" fontId="26" fillId="48" borderId="0" xfId="0" applyFont="1" applyFill="1"/>
    <xf numFmtId="0" fontId="73" fillId="48" borderId="0" xfId="0" applyFont="1" applyFill="1"/>
    <xf numFmtId="0" fontId="73" fillId="48" borderId="0" xfId="0" applyFont="1" applyFill="1" applyAlignment="1">
      <alignment horizontal="center"/>
    </xf>
    <xf numFmtId="10" fontId="74" fillId="48" borderId="27" xfId="494" applyNumberFormat="1" applyFont="1" applyFill="1" applyBorder="1" applyAlignment="1">
      <alignment horizontal="right" vertical="center" wrapText="1"/>
    </xf>
    <xf numFmtId="10" fontId="74" fillId="48" borderId="42" xfId="494" applyNumberFormat="1" applyFont="1" applyFill="1" applyBorder="1" applyAlignment="1">
      <alignment horizontal="right" vertical="center" wrapText="1"/>
    </xf>
    <xf numFmtId="174" fontId="74" fillId="48" borderId="42" xfId="494" applyNumberFormat="1" applyFont="1" applyFill="1" applyBorder="1" applyAlignment="1">
      <alignment horizontal="right" vertical="center" wrapText="1"/>
    </xf>
    <xf numFmtId="0" fontId="79" fillId="48" borderId="0" xfId="493" applyFont="1" applyFill="1"/>
    <xf numFmtId="0" fontId="79" fillId="48" borderId="0" xfId="493" applyFont="1" applyFill="1" applyAlignment="1">
      <alignment horizontal="center"/>
    </xf>
    <xf numFmtId="0" fontId="80" fillId="48" borderId="0" xfId="0" applyFont="1" applyFill="1"/>
    <xf numFmtId="0" fontId="80" fillId="0" borderId="0" xfId="0" applyFont="1"/>
    <xf numFmtId="0" fontId="74" fillId="0" borderId="42" xfId="494" applyFont="1" applyBorder="1" applyAlignment="1" applyProtection="1">
      <alignment horizontal="left" vertical="center" wrapText="1"/>
      <protection locked="0"/>
    </xf>
    <xf numFmtId="0" fontId="74" fillId="48" borderId="0" xfId="493" applyFont="1" applyFill="1" applyAlignment="1">
      <alignment vertical="top"/>
    </xf>
    <xf numFmtId="0" fontId="0" fillId="48" borderId="0" xfId="0" applyFill="1" applyAlignment="1">
      <alignment vertical="top"/>
    </xf>
    <xf numFmtId="0" fontId="0" fillId="0" borderId="0" xfId="0" applyAlignment="1">
      <alignment vertical="top"/>
    </xf>
    <xf numFmtId="0" fontId="0" fillId="0" borderId="0" xfId="0" applyAlignment="1">
      <alignment horizontal="right"/>
    </xf>
    <xf numFmtId="0" fontId="81" fillId="0" borderId="0" xfId="0" applyFont="1"/>
    <xf numFmtId="0" fontId="0" fillId="0" borderId="0" xfId="0" applyAlignment="1">
      <alignment horizontal="center"/>
    </xf>
    <xf numFmtId="0" fontId="0" fillId="58" borderId="0" xfId="0" applyFill="1"/>
    <xf numFmtId="0" fontId="0" fillId="58" borderId="0" xfId="0" applyFill="1" applyAlignment="1">
      <alignment horizontal="right"/>
    </xf>
    <xf numFmtId="0" fontId="0" fillId="58" borderId="0" xfId="0" applyFill="1" applyAlignment="1">
      <alignment horizontal="center"/>
    </xf>
    <xf numFmtId="0" fontId="83" fillId="0" borderId="0" xfId="0" applyFont="1"/>
    <xf numFmtId="0" fontId="83" fillId="58" borderId="57" xfId="0" applyFont="1" applyFill="1" applyBorder="1"/>
    <xf numFmtId="0" fontId="74" fillId="48" borderId="0" xfId="768" applyFont="1" applyFill="1"/>
    <xf numFmtId="174" fontId="74" fillId="48" borderId="27" xfId="494" applyNumberFormat="1" applyFont="1" applyFill="1" applyBorder="1" applyAlignment="1">
      <alignment horizontal="right" vertical="center"/>
    </xf>
    <xf numFmtId="0" fontId="65" fillId="52" borderId="0" xfId="0" applyFont="1" applyFill="1" applyAlignment="1" applyProtection="1">
      <alignment vertical="center"/>
      <protection locked="0"/>
    </xf>
    <xf numFmtId="2" fontId="57" fillId="52" borderId="0" xfId="0" applyNumberFormat="1" applyFont="1" applyFill="1" applyAlignment="1" applyProtection="1">
      <alignment horizontal="center" vertical="center" wrapText="1"/>
      <protection locked="0"/>
    </xf>
    <xf numFmtId="0" fontId="83" fillId="0" borderId="0" xfId="0" applyFont="1" applyAlignment="1">
      <alignment horizontal="right"/>
    </xf>
    <xf numFmtId="0" fontId="83" fillId="0" borderId="0" xfId="0" applyFont="1" applyAlignment="1">
      <alignment horizontal="center"/>
    </xf>
    <xf numFmtId="0" fontId="64" fillId="0" borderId="0" xfId="0" applyFont="1" applyAlignment="1">
      <alignment horizontal="center"/>
    </xf>
    <xf numFmtId="0" fontId="83" fillId="0" borderId="57" xfId="0" applyFont="1" applyBorder="1"/>
    <xf numFmtId="0" fontId="83" fillId="0" borderId="57" xfId="0" applyFont="1" applyBorder="1" applyAlignment="1">
      <alignment horizontal="center"/>
    </xf>
    <xf numFmtId="0" fontId="71" fillId="0" borderId="0" xfId="0" applyFont="1"/>
    <xf numFmtId="0" fontId="74" fillId="0" borderId="0" xfId="493" applyFont="1" applyAlignment="1">
      <alignment horizontal="center"/>
    </xf>
    <xf numFmtId="0" fontId="74" fillId="0" borderId="0" xfId="493" applyFont="1"/>
    <xf numFmtId="188" fontId="74" fillId="53" borderId="37" xfId="418" applyNumberFormat="1" applyFont="1" applyFill="1" applyBorder="1" applyAlignment="1">
      <alignment horizontal="right" vertical="center"/>
    </xf>
    <xf numFmtId="10" fontId="73" fillId="53" borderId="9" xfId="264" applyNumberFormat="1" applyFont="1" applyFill="1" applyBorder="1" applyAlignment="1">
      <alignment horizontal="center" vertical="center"/>
    </xf>
    <xf numFmtId="2" fontId="65" fillId="52" borderId="0" xfId="0" applyNumberFormat="1" applyFont="1" applyFill="1" applyAlignment="1" applyProtection="1">
      <alignment horizontal="right" vertical="center"/>
      <protection locked="0"/>
    </xf>
    <xf numFmtId="0" fontId="83" fillId="0" borderId="9" xfId="0" applyFont="1" applyBorder="1" applyAlignment="1">
      <alignment horizontal="center"/>
    </xf>
    <xf numFmtId="0" fontId="89" fillId="0" borderId="0" xfId="0" applyFont="1" applyAlignment="1">
      <alignment horizontal="center"/>
    </xf>
    <xf numFmtId="0" fontId="74" fillId="48" borderId="9" xfId="493" applyFont="1" applyFill="1" applyBorder="1" applyAlignment="1" applyProtection="1">
      <alignment horizontal="center"/>
      <protection locked="0"/>
    </xf>
    <xf numFmtId="0" fontId="74" fillId="48" borderId="0" xfId="493" applyFont="1" applyFill="1" applyAlignment="1" applyProtection="1">
      <alignment horizontal="center"/>
      <protection locked="0"/>
    </xf>
    <xf numFmtId="0" fontId="74" fillId="0" borderId="0" xfId="492" applyFont="1"/>
    <xf numFmtId="0" fontId="74" fillId="0" borderId="0" xfId="492" applyFont="1" applyAlignment="1">
      <alignment horizontal="center"/>
    </xf>
    <xf numFmtId="0" fontId="74" fillId="48" borderId="0" xfId="492" applyFont="1" applyFill="1"/>
    <xf numFmtId="10" fontId="74" fillId="48" borderId="0" xfId="492" applyNumberFormat="1" applyFont="1" applyFill="1"/>
    <xf numFmtId="10" fontId="74" fillId="48" borderId="24" xfId="492" applyNumberFormat="1" applyFont="1" applyFill="1" applyBorder="1"/>
    <xf numFmtId="0" fontId="74" fillId="48" borderId="24" xfId="492" applyFont="1" applyFill="1" applyBorder="1"/>
    <xf numFmtId="0" fontId="74" fillId="48" borderId="0" xfId="492" applyFont="1" applyFill="1" applyAlignment="1">
      <alignment horizontal="center"/>
    </xf>
    <xf numFmtId="0" fontId="74" fillId="58" borderId="0" xfId="492" applyFont="1" applyFill="1"/>
    <xf numFmtId="0" fontId="74" fillId="48" borderId="0" xfId="492" applyFont="1" applyFill="1" applyAlignment="1">
      <alignment horizontal="right"/>
    </xf>
    <xf numFmtId="0" fontId="74" fillId="48" borderId="10" xfId="493" applyFont="1" applyFill="1" applyBorder="1"/>
    <xf numFmtId="0" fontId="74" fillId="48" borderId="10" xfId="768" applyFont="1" applyFill="1" applyBorder="1"/>
    <xf numFmtId="0" fontId="74" fillId="0" borderId="9" xfId="418" applyFont="1" applyBorder="1" applyAlignment="1" applyProtection="1">
      <alignment horizontal="center" vertical="center"/>
      <protection locked="0"/>
    </xf>
    <xf numFmtId="0" fontId="76" fillId="48" borderId="0" xfId="493" applyFont="1" applyFill="1" applyAlignment="1">
      <alignment vertical="top"/>
    </xf>
    <xf numFmtId="0" fontId="76" fillId="48" borderId="0" xfId="493" applyFont="1" applyFill="1"/>
    <xf numFmtId="0" fontId="76" fillId="48" borderId="0" xfId="493" applyFont="1" applyFill="1" applyAlignment="1">
      <alignment horizontal="center"/>
    </xf>
    <xf numFmtId="0" fontId="90" fillId="48" borderId="0" xfId="493" applyFont="1" applyFill="1"/>
    <xf numFmtId="0" fontId="91" fillId="48" borderId="0" xfId="493" applyFont="1" applyFill="1" applyAlignment="1" applyProtection="1">
      <alignment horizontal="center"/>
      <protection locked="0"/>
    </xf>
    <xf numFmtId="0" fontId="91" fillId="48" borderId="0" xfId="493" applyFont="1" applyFill="1" applyAlignment="1" applyProtection="1">
      <alignment horizontal="left"/>
      <protection locked="0"/>
    </xf>
    <xf numFmtId="190" fontId="75" fillId="60" borderId="0" xfId="493" applyNumberFormat="1" applyFont="1" applyFill="1"/>
    <xf numFmtId="0" fontId="75" fillId="48" borderId="0" xfId="493" applyFont="1" applyFill="1"/>
    <xf numFmtId="0" fontId="76" fillId="48" borderId="0" xfId="493" applyFont="1" applyFill="1" applyAlignment="1">
      <alignment vertical="center"/>
    </xf>
    <xf numFmtId="0" fontId="74" fillId="48" borderId="0" xfId="493" applyFont="1" applyFill="1" applyAlignment="1">
      <alignment vertical="center"/>
    </xf>
    <xf numFmtId="0" fontId="74" fillId="0" borderId="0" xfId="0" applyFont="1" applyAlignment="1">
      <alignment horizontal="center" vertical="center"/>
    </xf>
    <xf numFmtId="0" fontId="92" fillId="58" borderId="0" xfId="0" applyFont="1" applyFill="1" applyAlignment="1">
      <alignment horizontal="center" vertical="center"/>
    </xf>
    <xf numFmtId="0" fontId="93" fillId="58" borderId="0" xfId="0" applyFont="1" applyFill="1" applyAlignment="1">
      <alignment vertical="center"/>
    </xf>
    <xf numFmtId="0" fontId="93" fillId="58" borderId="0" xfId="0" applyFont="1" applyFill="1" applyAlignment="1">
      <alignment horizontal="center" vertical="center"/>
    </xf>
    <xf numFmtId="0" fontId="94" fillId="58" borderId="0" xfId="0" applyFont="1" applyFill="1" applyAlignment="1">
      <alignment horizontal="center" vertical="center"/>
    </xf>
    <xf numFmtId="49" fontId="95" fillId="58" borderId="0" xfId="0" applyNumberFormat="1" applyFont="1" applyFill="1" applyAlignment="1">
      <alignment horizontal="center" vertical="center"/>
    </xf>
    <xf numFmtId="49" fontId="96" fillId="58" borderId="0" xfId="0" applyNumberFormat="1" applyFont="1" applyFill="1" applyAlignment="1">
      <alignment horizontal="center" vertical="center"/>
    </xf>
    <xf numFmtId="0" fontId="97" fillId="0" borderId="9" xfId="0" applyFont="1" applyBorder="1" applyAlignment="1">
      <alignment horizontal="center"/>
    </xf>
    <xf numFmtId="0" fontId="65" fillId="52" borderId="0" xfId="0" applyFont="1" applyFill="1" applyAlignment="1" applyProtection="1">
      <alignment horizontal="center" vertical="center" wrapText="1"/>
      <protection locked="0"/>
    </xf>
    <xf numFmtId="1" fontId="74" fillId="56" borderId="0" xfId="561" applyNumberFormat="1" applyFont="1" applyFill="1" applyAlignment="1">
      <alignment horizontal="center"/>
    </xf>
    <xf numFmtId="0" fontId="76" fillId="58" borderId="0" xfId="0" applyFont="1" applyFill="1"/>
    <xf numFmtId="0" fontId="11" fillId="58" borderId="0" xfId="0" applyFont="1" applyFill="1"/>
    <xf numFmtId="0" fontId="75" fillId="58" borderId="0" xfId="0" applyFont="1" applyFill="1" applyAlignment="1">
      <alignment vertical="center"/>
    </xf>
    <xf numFmtId="0" fontId="67" fillId="0" borderId="0" xfId="0" applyFont="1" applyAlignment="1">
      <alignment vertical="center"/>
    </xf>
    <xf numFmtId="0" fontId="11" fillId="0" borderId="0" xfId="0" applyFont="1"/>
    <xf numFmtId="0" fontId="75" fillId="0" borderId="0" xfId="0" applyFont="1" applyAlignment="1">
      <alignment vertical="center"/>
    </xf>
    <xf numFmtId="0" fontId="76" fillId="0" borderId="0" xfId="0" applyFont="1"/>
    <xf numFmtId="0" fontId="65" fillId="58" borderId="0" xfId="0" applyFont="1" applyFill="1"/>
    <xf numFmtId="4" fontId="72" fillId="63" borderId="0" xfId="0" applyNumberFormat="1" applyFont="1" applyFill="1" applyAlignment="1" applyProtection="1">
      <alignment horizontal="right" vertical="center" wrapText="1"/>
      <protection locked="0"/>
    </xf>
    <xf numFmtId="49" fontId="99" fillId="58" borderId="0" xfId="0" applyNumberFormat="1" applyFont="1" applyFill="1" applyAlignment="1">
      <alignment horizontal="center" vertical="center"/>
    </xf>
    <xf numFmtId="0" fontId="99" fillId="58" borderId="0" xfId="0" applyFont="1" applyFill="1" applyAlignment="1">
      <alignment horizontal="center" vertical="center"/>
    </xf>
    <xf numFmtId="49" fontId="100" fillId="58" borderId="0" xfId="0" applyNumberFormat="1" applyFont="1" applyFill="1" applyAlignment="1">
      <alignment horizontal="center" vertical="center"/>
    </xf>
    <xf numFmtId="49" fontId="101" fillId="58" borderId="0" xfId="0" applyNumberFormat="1" applyFont="1" applyFill="1" applyAlignment="1">
      <alignment horizontal="center" vertical="center"/>
    </xf>
    <xf numFmtId="0" fontId="72" fillId="64" borderId="0" xfId="680" applyNumberFormat="1" applyFont="1" applyFill="1" applyAlignment="1" applyProtection="1">
      <alignment horizontal="center" vertical="center" wrapText="1"/>
      <protection locked="0"/>
    </xf>
    <xf numFmtId="2" fontId="72" fillId="63" borderId="0" xfId="0" applyNumberFormat="1" applyFont="1" applyFill="1" applyAlignment="1" applyProtection="1">
      <alignment horizontal="justify" vertical="justify" wrapText="1"/>
      <protection locked="0"/>
    </xf>
    <xf numFmtId="2" fontId="72" fillId="63" borderId="0" xfId="0" applyNumberFormat="1" applyFont="1" applyFill="1" applyAlignment="1" applyProtection="1">
      <alignment horizontal="center" vertical="center" wrapText="1"/>
      <protection locked="0"/>
    </xf>
    <xf numFmtId="43" fontId="72" fillId="63" borderId="0" xfId="716" applyFont="1" applyFill="1" applyAlignment="1" applyProtection="1">
      <alignment horizontal="right" vertical="center" wrapText="1"/>
      <protection locked="0"/>
    </xf>
    <xf numFmtId="2" fontId="72" fillId="63" borderId="0" xfId="0" applyNumberFormat="1" applyFont="1" applyFill="1" applyAlignment="1" applyProtection="1">
      <alignment horizontal="justify" vertical="center" wrapText="1"/>
      <protection locked="0"/>
    </xf>
    <xf numFmtId="4" fontId="72" fillId="63" borderId="0" xfId="0" applyNumberFormat="1" applyFont="1" applyFill="1" applyAlignment="1" applyProtection="1">
      <alignment horizontal="center" vertical="center" wrapText="1"/>
      <protection locked="0"/>
    </xf>
    <xf numFmtId="4" fontId="72" fillId="63" borderId="0" xfId="0" applyNumberFormat="1" applyFont="1" applyFill="1" applyAlignment="1" applyProtection="1">
      <alignment horizontal="right" vertical="center"/>
      <protection locked="0"/>
    </xf>
    <xf numFmtId="10" fontId="72" fillId="63" borderId="0" xfId="527" applyNumberFormat="1" applyFont="1" applyFill="1" applyAlignment="1" applyProtection="1">
      <alignment horizontal="right" vertical="center" wrapText="1"/>
      <protection locked="0"/>
    </xf>
    <xf numFmtId="10" fontId="74" fillId="60" borderId="42" xfId="494" applyNumberFormat="1" applyFont="1" applyFill="1" applyBorder="1" applyAlignment="1">
      <alignment horizontal="right" vertical="center" wrapText="1"/>
    </xf>
    <xf numFmtId="174" fontId="74" fillId="60" borderId="42" xfId="494" applyNumberFormat="1" applyFont="1" applyFill="1" applyBorder="1" applyAlignment="1">
      <alignment horizontal="right" vertical="center" wrapText="1"/>
    </xf>
    <xf numFmtId="0" fontId="74" fillId="60" borderId="42" xfId="494" applyFont="1" applyFill="1" applyBorder="1" applyAlignment="1" applyProtection="1">
      <alignment horizontal="right" vertical="center" wrapText="1"/>
      <protection locked="0"/>
    </xf>
    <xf numFmtId="0" fontId="74" fillId="48" borderId="0" xfId="493" applyFont="1" applyFill="1" applyAlignment="1">
      <alignment horizontal="center"/>
    </xf>
    <xf numFmtId="1" fontId="74" fillId="0" borderId="53" xfId="0" applyNumberFormat="1" applyFont="1" applyFill="1" applyBorder="1" applyAlignment="1" applyProtection="1">
      <alignment horizontal="center" vertical="center" wrapText="1"/>
      <protection locked="0"/>
    </xf>
    <xf numFmtId="0" fontId="98" fillId="0" borderId="9" xfId="0" applyFont="1" applyBorder="1" applyAlignment="1">
      <alignment horizontal="center"/>
    </xf>
    <xf numFmtId="49" fontId="74" fillId="0" borderId="64" xfId="0" applyNumberFormat="1" applyFont="1" applyBorder="1" applyAlignment="1">
      <alignment horizontal="left" vertical="center"/>
    </xf>
    <xf numFmtId="49" fontId="74" fillId="52" borderId="64" xfId="0" applyNumberFormat="1" applyFont="1" applyFill="1" applyBorder="1" applyAlignment="1">
      <alignment horizontal="left" vertical="center"/>
    </xf>
    <xf numFmtId="2" fontId="74" fillId="52" borderId="64" xfId="0" applyNumberFormat="1" applyFont="1" applyFill="1" applyBorder="1" applyAlignment="1">
      <alignment horizontal="left" vertical="center"/>
    </xf>
    <xf numFmtId="1" fontId="74" fillId="52" borderId="64" xfId="0" applyNumberFormat="1" applyFont="1" applyFill="1" applyBorder="1" applyAlignment="1">
      <alignment horizontal="left" vertical="center"/>
    </xf>
    <xf numFmtId="2" fontId="74" fillId="52" borderId="64" xfId="0" applyNumberFormat="1" applyFont="1" applyFill="1" applyBorder="1" applyAlignment="1" applyProtection="1">
      <alignment horizontal="left" vertical="center"/>
      <protection locked="0"/>
    </xf>
    <xf numFmtId="168" fontId="74" fillId="58" borderId="0" xfId="514" applyNumberFormat="1" applyFont="1" applyFill="1" applyBorder="1" applyAlignment="1">
      <alignment horizontal="right" vertical="center"/>
    </xf>
    <xf numFmtId="0" fontId="74" fillId="0" borderId="37" xfId="418" applyFont="1" applyBorder="1" applyAlignment="1" applyProtection="1">
      <alignment horizontal="center" vertical="center"/>
      <protection locked="0"/>
    </xf>
    <xf numFmtId="0" fontId="102" fillId="58" borderId="0" xfId="0" applyFont="1" applyFill="1" applyAlignment="1">
      <alignment vertical="center"/>
    </xf>
    <xf numFmtId="0" fontId="74" fillId="58" borderId="63" xfId="418" applyFont="1" applyFill="1" applyBorder="1" applyAlignment="1" applyProtection="1">
      <alignment vertical="center"/>
      <protection locked="0"/>
    </xf>
    <xf numFmtId="0" fontId="74" fillId="61" borderId="63" xfId="418" applyFont="1" applyFill="1" applyBorder="1" applyAlignment="1">
      <alignment horizontal="left" vertical="center" wrapText="1"/>
    </xf>
    <xf numFmtId="188" fontId="74" fillId="61" borderId="37" xfId="418" applyNumberFormat="1" applyFont="1" applyFill="1" applyBorder="1" applyAlignment="1">
      <alignment horizontal="right" vertical="center"/>
    </xf>
    <xf numFmtId="10" fontId="73" fillId="61" borderId="60" xfId="264" applyNumberFormat="1" applyFont="1" applyFill="1" applyBorder="1" applyAlignment="1">
      <alignment horizontal="center" vertical="center"/>
    </xf>
    <xf numFmtId="0" fontId="74" fillId="0" borderId="63" xfId="418" applyFont="1" applyBorder="1" applyAlignment="1" applyProtection="1">
      <alignment horizontal="center" vertical="center"/>
      <protection locked="0"/>
    </xf>
    <xf numFmtId="0" fontId="74" fillId="53" borderId="0" xfId="418" applyFont="1" applyFill="1" applyAlignment="1">
      <alignment horizontal="center" vertical="center"/>
    </xf>
    <xf numFmtId="0" fontId="74" fillId="53" borderId="0" xfId="418" applyFont="1" applyFill="1" applyAlignment="1">
      <alignment vertical="center"/>
    </xf>
    <xf numFmtId="0" fontId="74" fillId="58" borderId="0" xfId="418" applyFont="1" applyFill="1" applyAlignment="1">
      <alignment vertical="center"/>
    </xf>
    <xf numFmtId="0" fontId="74" fillId="58" borderId="0" xfId="418" applyFont="1" applyFill="1" applyAlignment="1">
      <alignment horizontal="center" vertical="center"/>
    </xf>
    <xf numFmtId="0" fontId="74" fillId="0" borderId="0" xfId="418" applyFont="1"/>
    <xf numFmtId="0" fontId="74" fillId="0" borderId="0" xfId="418" applyFont="1" applyAlignment="1">
      <alignment horizontal="center"/>
    </xf>
    <xf numFmtId="0" fontId="74" fillId="53" borderId="0" xfId="418" applyFont="1" applyFill="1"/>
    <xf numFmtId="0" fontId="74" fillId="53" borderId="0" xfId="418" applyFont="1" applyFill="1" applyAlignment="1">
      <alignment horizontal="center"/>
    </xf>
    <xf numFmtId="0" fontId="74" fillId="53" borderId="0" xfId="418" applyFont="1" applyFill="1" applyBorder="1" applyAlignment="1">
      <alignment vertical="center"/>
    </xf>
    <xf numFmtId="0" fontId="74" fillId="53" borderId="0" xfId="418" applyFont="1" applyFill="1" applyAlignment="1">
      <alignment vertical="top"/>
    </xf>
    <xf numFmtId="0" fontId="74" fillId="53" borderId="0" xfId="418" applyFont="1" applyFill="1" applyAlignment="1">
      <alignment horizontal="center" vertical="top"/>
    </xf>
    <xf numFmtId="10" fontId="102" fillId="58" borderId="0" xfId="514" applyNumberFormat="1" applyFont="1" applyFill="1" applyBorder="1" applyAlignment="1">
      <alignment horizontal="left" vertical="center" wrapText="1"/>
    </xf>
    <xf numFmtId="168" fontId="72" fillId="58" borderId="0" xfId="514" applyNumberFormat="1" applyFont="1" applyFill="1" applyBorder="1" applyAlignment="1">
      <alignment vertical="center"/>
    </xf>
    <xf numFmtId="168" fontId="102" fillId="53" borderId="0" xfId="514" applyNumberFormat="1" applyFont="1" applyFill="1" applyAlignment="1">
      <alignment vertical="center" wrapText="1"/>
    </xf>
    <xf numFmtId="168" fontId="102" fillId="53" borderId="0" xfId="514" applyNumberFormat="1" applyFont="1" applyFill="1" applyAlignment="1">
      <alignment horizontal="left" vertical="center" wrapText="1"/>
    </xf>
    <xf numFmtId="168" fontId="102" fillId="53" borderId="0" xfId="514" applyNumberFormat="1" applyFont="1" applyFill="1" applyAlignment="1">
      <alignment horizontal="center" vertical="center" wrapText="1"/>
    </xf>
    <xf numFmtId="0" fontId="102" fillId="58" borderId="0" xfId="0" applyFont="1" applyFill="1" applyAlignment="1">
      <alignment vertical="center" wrapText="1"/>
    </xf>
    <xf numFmtId="0" fontId="72" fillId="53" borderId="75" xfId="418" applyFont="1" applyFill="1" applyBorder="1" applyAlignment="1">
      <alignment horizontal="center" vertical="center" wrapText="1"/>
    </xf>
    <xf numFmtId="0" fontId="74" fillId="0" borderId="0" xfId="418" applyFont="1" applyAlignment="1">
      <alignment vertical="center"/>
    </xf>
    <xf numFmtId="188" fontId="72" fillId="53" borderId="43" xfId="302" applyNumberFormat="1" applyFont="1" applyFill="1" applyBorder="1" applyAlignment="1">
      <alignment vertical="center"/>
    </xf>
    <xf numFmtId="189" fontId="102" fillId="53" borderId="44" xfId="264" applyNumberFormat="1" applyFont="1" applyFill="1" applyBorder="1" applyAlignment="1">
      <alignment horizontal="center" vertical="center"/>
    </xf>
    <xf numFmtId="0" fontId="74" fillId="47" borderId="76" xfId="418" applyFont="1" applyFill="1" applyBorder="1" applyAlignment="1">
      <alignment vertical="center"/>
    </xf>
    <xf numFmtId="0" fontId="74" fillId="47" borderId="58" xfId="418" applyFont="1" applyFill="1" applyBorder="1" applyAlignment="1">
      <alignment vertical="center"/>
    </xf>
    <xf numFmtId="188" fontId="74" fillId="47" borderId="58" xfId="418" applyNumberFormat="1" applyFont="1" applyFill="1" applyBorder="1" applyAlignment="1">
      <alignment vertical="center"/>
    </xf>
    <xf numFmtId="188" fontId="74" fillId="47" borderId="76" xfId="418" applyNumberFormat="1" applyFont="1" applyFill="1" applyBorder="1" applyAlignment="1">
      <alignment vertical="center"/>
    </xf>
    <xf numFmtId="188" fontId="74" fillId="47" borderId="58" xfId="418" applyNumberFormat="1" applyFont="1" applyFill="1" applyBorder="1" applyAlignment="1">
      <alignment horizontal="center" vertical="center"/>
    </xf>
    <xf numFmtId="0" fontId="72" fillId="0" borderId="40" xfId="302" applyNumberFormat="1" applyFont="1" applyBorder="1" applyAlignment="1">
      <alignment horizontal="center" vertical="center"/>
    </xf>
    <xf numFmtId="3" fontId="102" fillId="53" borderId="40" xfId="514" applyNumberFormat="1" applyFont="1" applyFill="1" applyBorder="1" applyAlignment="1">
      <alignment horizontal="left" vertical="center"/>
    </xf>
    <xf numFmtId="168" fontId="102" fillId="53" borderId="40" xfId="514" applyNumberFormat="1" applyFont="1" applyFill="1" applyBorder="1" applyAlignment="1">
      <alignment horizontal="left" vertical="center"/>
    </xf>
    <xf numFmtId="168" fontId="102" fillId="53" borderId="63" xfId="514" applyNumberFormat="1" applyFont="1" applyFill="1" applyBorder="1" applyAlignment="1">
      <alignment horizontal="center" vertical="center"/>
    </xf>
    <xf numFmtId="4" fontId="72" fillId="53" borderId="41" xfId="264" applyNumberFormat="1" applyFont="1" applyFill="1" applyBorder="1" applyAlignment="1">
      <alignment horizontal="center" vertical="center"/>
    </xf>
    <xf numFmtId="0" fontId="72" fillId="58" borderId="0" xfId="418" applyFont="1" applyFill="1" applyBorder="1" applyAlignment="1">
      <alignment horizontal="left" vertical="center"/>
    </xf>
    <xf numFmtId="0" fontId="72" fillId="58" borderId="0" xfId="302" applyNumberFormat="1" applyFont="1" applyFill="1" applyBorder="1" applyAlignment="1">
      <alignment horizontal="center" vertical="center"/>
    </xf>
    <xf numFmtId="3" fontId="102" fillId="61" borderId="0" xfId="514" applyNumberFormat="1" applyFont="1" applyFill="1" applyBorder="1" applyAlignment="1">
      <alignment horizontal="left" vertical="center"/>
    </xf>
    <xf numFmtId="168" fontId="102" fillId="61" borderId="0" xfId="514" applyNumberFormat="1" applyFont="1" applyFill="1" applyBorder="1" applyAlignment="1">
      <alignment horizontal="left" vertical="center"/>
    </xf>
    <xf numFmtId="168" fontId="102" fillId="61" borderId="0" xfId="514" applyNumberFormat="1" applyFont="1" applyFill="1" applyBorder="1" applyAlignment="1">
      <alignment horizontal="center" vertical="center"/>
    </xf>
    <xf numFmtId="4" fontId="72" fillId="53" borderId="0" xfId="264" applyNumberFormat="1" applyFont="1" applyFill="1" applyBorder="1" applyAlignment="1">
      <alignment horizontal="center" vertical="center"/>
    </xf>
    <xf numFmtId="0" fontId="74" fillId="48" borderId="0" xfId="418" applyFont="1" applyFill="1" applyAlignment="1">
      <alignment horizontal="center" vertical="center"/>
    </xf>
    <xf numFmtId="0" fontId="74" fillId="58" borderId="19" xfId="418" applyFont="1" applyFill="1" applyBorder="1" applyAlignment="1">
      <alignment vertical="center"/>
    </xf>
    <xf numFmtId="0" fontId="73" fillId="61" borderId="19" xfId="0" applyFont="1" applyFill="1" applyBorder="1" applyAlignment="1">
      <alignment vertical="center"/>
    </xf>
    <xf numFmtId="0" fontId="74" fillId="48" borderId="0" xfId="418" applyFont="1" applyFill="1" applyAlignment="1">
      <alignment vertical="center"/>
    </xf>
    <xf numFmtId="0" fontId="74" fillId="0" borderId="0" xfId="418" applyFont="1" applyAlignment="1">
      <alignment horizontal="center" vertical="center"/>
    </xf>
    <xf numFmtId="0" fontId="74" fillId="58" borderId="63" xfId="418" applyFont="1" applyFill="1" applyBorder="1" applyAlignment="1" applyProtection="1">
      <alignment horizontal="center" vertical="center"/>
      <protection locked="0"/>
    </xf>
    <xf numFmtId="49" fontId="74" fillId="52" borderId="0" xfId="0" applyNumberFormat="1" applyFont="1" applyFill="1" applyBorder="1" applyAlignment="1">
      <alignment vertical="center"/>
    </xf>
    <xf numFmtId="0" fontId="72" fillId="48" borderId="35" xfId="418" applyFont="1" applyFill="1" applyBorder="1" applyAlignment="1">
      <alignment vertical="center"/>
    </xf>
    <xf numFmtId="0" fontId="72" fillId="48" borderId="40" xfId="418" applyFont="1" applyFill="1" applyBorder="1" applyAlignment="1">
      <alignment vertical="center"/>
    </xf>
    <xf numFmtId="4" fontId="72" fillId="61" borderId="0" xfId="264" applyNumberFormat="1" applyFont="1" applyFill="1" applyBorder="1" applyAlignment="1">
      <alignment horizontal="center" vertical="center"/>
    </xf>
    <xf numFmtId="0" fontId="74" fillId="58" borderId="0" xfId="418" applyFont="1" applyFill="1"/>
    <xf numFmtId="0" fontId="74" fillId="58" borderId="0" xfId="418" applyFont="1" applyFill="1" applyAlignment="1">
      <alignment horizontal="center"/>
    </xf>
    <xf numFmtId="0" fontId="105" fillId="53" borderId="0" xfId="418" applyFont="1" applyFill="1" applyAlignment="1">
      <alignment horizontal="center" wrapText="1"/>
    </xf>
    <xf numFmtId="0" fontId="73" fillId="61" borderId="0" xfId="0" applyFont="1" applyFill="1" applyAlignment="1">
      <alignment horizontal="center" vertical="center"/>
    </xf>
    <xf numFmtId="49" fontId="74" fillId="52" borderId="63" xfId="0" applyNumberFormat="1" applyFont="1" applyFill="1" applyBorder="1" applyAlignment="1">
      <alignment horizontal="left" vertical="center"/>
    </xf>
    <xf numFmtId="0" fontId="73" fillId="61" borderId="0" xfId="0" applyFont="1" applyFill="1" applyBorder="1" applyAlignment="1">
      <alignment vertical="center"/>
    </xf>
    <xf numFmtId="0" fontId="73" fillId="61" borderId="0" xfId="0" applyFont="1" applyFill="1" applyBorder="1" applyAlignment="1">
      <alignment horizontal="center" vertical="center"/>
    </xf>
    <xf numFmtId="0" fontId="74" fillId="53" borderId="63" xfId="418" applyFont="1" applyFill="1" applyBorder="1" applyAlignment="1">
      <alignment vertical="center"/>
    </xf>
    <xf numFmtId="0" fontId="72" fillId="58" borderId="63" xfId="514" applyNumberFormat="1" applyFont="1" applyFill="1" applyBorder="1" applyAlignment="1">
      <alignment vertical="center"/>
    </xf>
    <xf numFmtId="0" fontId="74" fillId="53" borderId="62" xfId="418" applyFont="1" applyFill="1" applyBorder="1" applyAlignment="1">
      <alignment vertical="top"/>
    </xf>
    <xf numFmtId="0" fontId="74" fillId="53" borderId="63" xfId="418" applyFont="1" applyFill="1" applyBorder="1" applyAlignment="1">
      <alignment vertical="top"/>
    </xf>
    <xf numFmtId="0" fontId="74" fillId="53" borderId="63" xfId="418" applyFont="1" applyFill="1" applyBorder="1"/>
    <xf numFmtId="0" fontId="74" fillId="53" borderId="62" xfId="418" applyFont="1" applyFill="1" applyBorder="1"/>
    <xf numFmtId="0" fontId="74" fillId="53" borderId="64" xfId="418" applyFont="1" applyFill="1" applyBorder="1"/>
    <xf numFmtId="168" fontId="72" fillId="58" borderId="63" xfId="514" applyNumberFormat="1" applyFont="1" applyFill="1" applyBorder="1" applyAlignment="1">
      <alignment vertical="center"/>
    </xf>
    <xf numFmtId="168" fontId="74" fillId="58" borderId="62" xfId="514" applyNumberFormat="1" applyFont="1" applyFill="1" applyBorder="1" applyAlignment="1">
      <alignment horizontal="right" vertical="center"/>
    </xf>
    <xf numFmtId="49" fontId="74" fillId="52" borderId="63" xfId="0" applyNumberFormat="1" applyFont="1" applyFill="1" applyBorder="1" applyAlignment="1">
      <alignment horizontal="right" vertical="center"/>
    </xf>
    <xf numFmtId="168" fontId="74" fillId="58" borderId="63" xfId="514" applyNumberFormat="1" applyFont="1" applyFill="1" applyBorder="1" applyAlignment="1">
      <alignment horizontal="right" vertical="center" wrapText="1"/>
    </xf>
    <xf numFmtId="168" fontId="73" fillId="53" borderId="62" xfId="514" applyNumberFormat="1" applyFont="1" applyFill="1" applyBorder="1" applyAlignment="1">
      <alignment horizontal="right" vertical="center" wrapText="1"/>
    </xf>
    <xf numFmtId="168" fontId="74" fillId="58" borderId="63" xfId="514" applyNumberFormat="1" applyFont="1" applyFill="1" applyBorder="1" applyAlignment="1">
      <alignment horizontal="left" vertical="center" wrapText="1"/>
    </xf>
    <xf numFmtId="168" fontId="74" fillId="58" borderId="72" xfId="514" applyNumberFormat="1" applyFont="1" applyFill="1" applyBorder="1" applyAlignment="1">
      <alignment horizontal="right" vertical="center" wrapText="1"/>
    </xf>
    <xf numFmtId="14" fontId="72" fillId="58" borderId="63" xfId="514" applyNumberFormat="1" applyFont="1" applyFill="1" applyBorder="1" applyAlignment="1">
      <alignment horizontal="left" vertical="center" wrapText="1"/>
    </xf>
    <xf numFmtId="1" fontId="74" fillId="52" borderId="0" xfId="0" applyNumberFormat="1" applyFont="1" applyFill="1" applyBorder="1" applyAlignment="1">
      <alignment horizontal="left" vertical="center"/>
    </xf>
    <xf numFmtId="0" fontId="57" fillId="52" borderId="63" xfId="0" applyFont="1" applyFill="1" applyBorder="1" applyAlignment="1" applyProtection="1">
      <alignment vertical="center"/>
      <protection locked="0"/>
    </xf>
    <xf numFmtId="0" fontId="72" fillId="52" borderId="63" xfId="0" applyFont="1" applyFill="1" applyBorder="1" applyAlignment="1">
      <alignment vertical="center"/>
    </xf>
    <xf numFmtId="0" fontId="65" fillId="52" borderId="63" xfId="0" applyFont="1" applyFill="1" applyBorder="1" applyAlignment="1" applyProtection="1">
      <alignment vertical="center"/>
      <protection locked="0"/>
    </xf>
    <xf numFmtId="0" fontId="65" fillId="52" borderId="0" xfId="0" applyFont="1" applyFill="1" applyBorder="1" applyAlignment="1" applyProtection="1">
      <alignment vertical="center"/>
      <protection locked="0"/>
    </xf>
    <xf numFmtId="0" fontId="57" fillId="52" borderId="0" xfId="0" applyFont="1" applyFill="1" applyBorder="1" applyAlignment="1" applyProtection="1">
      <alignment vertical="center"/>
      <protection locked="0"/>
    </xf>
    <xf numFmtId="0" fontId="65" fillId="52" borderId="19" xfId="0" applyFont="1" applyFill="1" applyBorder="1" applyAlignment="1" applyProtection="1">
      <alignment vertical="center"/>
      <protection locked="0"/>
    </xf>
    <xf numFmtId="10" fontId="72" fillId="52" borderId="63" xfId="0" applyNumberFormat="1" applyFont="1" applyFill="1" applyBorder="1" applyAlignment="1">
      <alignment horizontal="left" vertical="center"/>
    </xf>
    <xf numFmtId="2" fontId="74" fillId="52" borderId="80" xfId="0" applyNumberFormat="1" applyFont="1" applyFill="1" applyBorder="1" applyAlignment="1">
      <alignment horizontal="left" vertical="center"/>
    </xf>
    <xf numFmtId="10" fontId="72" fillId="52" borderId="72" xfId="0" applyNumberFormat="1" applyFont="1" applyFill="1" applyBorder="1" applyAlignment="1">
      <alignment horizontal="left" vertical="center"/>
    </xf>
    <xf numFmtId="4" fontId="72" fillId="52" borderId="63" xfId="0" applyNumberFormat="1" applyFont="1" applyFill="1" applyBorder="1" applyAlignment="1">
      <alignment horizontal="left" vertical="center" wrapText="1"/>
    </xf>
    <xf numFmtId="0" fontId="65" fillId="52" borderId="72" xfId="0" applyFont="1" applyFill="1" applyBorder="1" applyAlignment="1" applyProtection="1">
      <alignment vertical="center"/>
      <protection locked="0"/>
    </xf>
    <xf numFmtId="2" fontId="74" fillId="52" borderId="80" xfId="0" applyNumberFormat="1" applyFont="1" applyFill="1" applyBorder="1" applyAlignment="1" applyProtection="1">
      <alignment horizontal="left" vertical="center"/>
      <protection locked="0"/>
    </xf>
    <xf numFmtId="14" fontId="72" fillId="58" borderId="72" xfId="0" applyNumberFormat="1" applyFont="1" applyFill="1" applyBorder="1" applyAlignment="1">
      <alignment horizontal="left" vertical="center"/>
    </xf>
    <xf numFmtId="168" fontId="74" fillId="58" borderId="63" xfId="514" applyNumberFormat="1" applyFont="1" applyFill="1" applyBorder="1" applyAlignment="1">
      <alignment horizontal="left" vertical="center"/>
    </xf>
    <xf numFmtId="0" fontId="76" fillId="48" borderId="0" xfId="493" applyFont="1" applyFill="1" applyAlignment="1">
      <alignment horizontal="center"/>
    </xf>
    <xf numFmtId="0" fontId="74" fillId="52" borderId="64" xfId="0" applyFont="1" applyFill="1" applyBorder="1" applyAlignment="1">
      <alignment horizontal="left" vertical="center"/>
    </xf>
    <xf numFmtId="49" fontId="74" fillId="52" borderId="61" xfId="0" applyNumberFormat="1" applyFont="1" applyFill="1" applyBorder="1" applyAlignment="1">
      <alignment horizontal="left" vertical="center"/>
    </xf>
    <xf numFmtId="0" fontId="72" fillId="52" borderId="19" xfId="0" applyFont="1" applyFill="1" applyBorder="1" applyAlignment="1">
      <alignment vertical="center"/>
    </xf>
    <xf numFmtId="167" fontId="72" fillId="52" borderId="63" xfId="0" applyNumberFormat="1" applyFont="1" applyFill="1" applyBorder="1" applyAlignment="1">
      <alignment horizontal="left" vertical="center"/>
    </xf>
    <xf numFmtId="0" fontId="63" fillId="48" borderId="63" xfId="494" applyFont="1" applyFill="1" applyBorder="1" applyAlignment="1">
      <alignment vertical="top"/>
    </xf>
    <xf numFmtId="0" fontId="72" fillId="58" borderId="63" xfId="494" applyFont="1" applyFill="1" applyBorder="1" applyAlignment="1" applyProtection="1">
      <alignment vertical="center" wrapText="1"/>
      <protection hidden="1"/>
    </xf>
    <xf numFmtId="174" fontId="102" fillId="48" borderId="63" xfId="494" applyNumberFormat="1" applyFont="1" applyFill="1" applyBorder="1" applyAlignment="1">
      <alignment vertical="center"/>
    </xf>
    <xf numFmtId="0" fontId="63" fillId="48" borderId="62" xfId="494" applyFont="1" applyFill="1" applyBorder="1" applyAlignment="1">
      <alignment vertical="top"/>
    </xf>
    <xf numFmtId="0" fontId="63" fillId="48" borderId="0" xfId="494" applyFont="1" applyFill="1" applyAlignment="1">
      <alignment vertical="top"/>
    </xf>
    <xf numFmtId="0" fontId="63" fillId="48" borderId="63" xfId="494" applyFont="1" applyFill="1" applyBorder="1"/>
    <xf numFmtId="174" fontId="73" fillId="48" borderId="63" xfId="494" applyNumberFormat="1" applyFont="1" applyFill="1" applyBorder="1" applyAlignment="1">
      <alignment vertical="center"/>
    </xf>
    <xf numFmtId="0" fontId="72" fillId="48" borderId="63" xfId="494" applyFont="1" applyFill="1" applyBorder="1" applyAlignment="1" applyProtection="1">
      <alignment vertical="center" wrapText="1"/>
      <protection hidden="1"/>
    </xf>
    <xf numFmtId="0" fontId="63" fillId="48" borderId="62" xfId="494" applyFont="1" applyFill="1" applyBorder="1"/>
    <xf numFmtId="0" fontId="63" fillId="48" borderId="0" xfId="494" applyFont="1" applyFill="1"/>
    <xf numFmtId="174" fontId="73" fillId="48" borderId="19" xfId="494" applyNumberFormat="1" applyFont="1" applyFill="1" applyBorder="1" applyAlignment="1">
      <alignment vertical="center"/>
    </xf>
    <xf numFmtId="0" fontId="72" fillId="48" borderId="19" xfId="494" applyFont="1" applyFill="1" applyBorder="1" applyAlignment="1" applyProtection="1">
      <alignment vertical="center" wrapText="1"/>
      <protection hidden="1"/>
    </xf>
    <xf numFmtId="174" fontId="73" fillId="48" borderId="73" xfId="494" applyNumberFormat="1" applyFont="1" applyFill="1" applyBorder="1"/>
    <xf numFmtId="0" fontId="74" fillId="48" borderId="63" xfId="494" applyFont="1" applyFill="1" applyBorder="1" applyAlignment="1" applyProtection="1">
      <alignment horizontal="right" vertical="center"/>
      <protection hidden="1"/>
    </xf>
    <xf numFmtId="186" fontId="72" fillId="48" borderId="63" xfId="494" applyNumberFormat="1" applyFont="1" applyFill="1" applyBorder="1" applyAlignment="1">
      <alignment horizontal="left" vertical="center"/>
    </xf>
    <xf numFmtId="174" fontId="73" fillId="48" borderId="63" xfId="494" applyNumberFormat="1" applyFont="1" applyFill="1" applyBorder="1"/>
    <xf numFmtId="0" fontId="63" fillId="48" borderId="63" xfId="494" applyFont="1" applyFill="1" applyBorder="1" applyAlignment="1">
      <alignment vertical="center"/>
    </xf>
    <xf numFmtId="0" fontId="72" fillId="48" borderId="63" xfId="494" applyFont="1" applyFill="1" applyBorder="1" applyAlignment="1" applyProtection="1">
      <alignment horizontal="left" vertical="center"/>
      <protection hidden="1"/>
    </xf>
    <xf numFmtId="0" fontId="72" fillId="48" borderId="63" xfId="494" applyFont="1" applyFill="1" applyBorder="1" applyAlignment="1" applyProtection="1">
      <alignment vertical="center"/>
      <protection hidden="1"/>
    </xf>
    <xf numFmtId="0" fontId="63" fillId="48" borderId="62" xfId="494" applyFont="1" applyFill="1" applyBorder="1" applyAlignment="1">
      <alignment vertical="center"/>
    </xf>
    <xf numFmtId="0" fontId="63" fillId="48" borderId="0" xfId="494" applyFont="1" applyFill="1" applyAlignment="1">
      <alignment vertical="center"/>
    </xf>
    <xf numFmtId="173" fontId="74" fillId="48" borderId="0" xfId="494" quotePrefix="1" applyNumberFormat="1" applyFont="1" applyFill="1" applyAlignment="1">
      <alignment horizontal="center" vertical="center"/>
    </xf>
    <xf numFmtId="174" fontId="73" fillId="48" borderId="0" xfId="494" applyNumberFormat="1" applyFont="1" applyFill="1" applyAlignment="1">
      <alignment vertical="center"/>
    </xf>
    <xf numFmtId="0" fontId="72" fillId="48" borderId="0" xfId="494" applyFont="1" applyFill="1" applyAlignment="1" applyProtection="1">
      <alignment horizontal="left" vertical="center"/>
      <protection hidden="1"/>
    </xf>
    <xf numFmtId="0" fontId="74" fillId="48" borderId="0" xfId="494" applyFont="1" applyFill="1" applyAlignment="1" applyProtection="1">
      <alignment horizontal="right" vertical="center"/>
      <protection hidden="1"/>
    </xf>
    <xf numFmtId="0" fontId="72" fillId="48" borderId="0" xfId="494" applyFont="1" applyFill="1" applyAlignment="1" applyProtection="1">
      <alignment vertical="center"/>
      <protection hidden="1"/>
    </xf>
    <xf numFmtId="174" fontId="102" fillId="48" borderId="0" xfId="494" applyNumberFormat="1" applyFont="1" applyFill="1" applyAlignment="1">
      <alignment vertical="center"/>
    </xf>
    <xf numFmtId="10" fontId="72" fillId="48" borderId="0" xfId="494" applyNumberFormat="1" applyFont="1" applyFill="1" applyBorder="1" applyAlignment="1">
      <alignment horizontal="center" vertical="center"/>
    </xf>
    <xf numFmtId="168" fontId="74" fillId="0" borderId="0" xfId="769" applyNumberFormat="1" applyFont="1" applyFill="1" applyBorder="1" applyAlignment="1">
      <alignment horizontal="center" vertical="center"/>
    </xf>
    <xf numFmtId="10" fontId="73" fillId="48" borderId="0" xfId="494" applyNumberFormat="1" applyFont="1" applyFill="1" applyAlignment="1">
      <alignment vertical="center"/>
    </xf>
    <xf numFmtId="0" fontId="74" fillId="48" borderId="0" xfId="494" applyFont="1" applyFill="1" applyAlignment="1" applyProtection="1">
      <alignment horizontal="right" vertical="center" wrapText="1"/>
      <protection hidden="1"/>
    </xf>
    <xf numFmtId="174" fontId="102" fillId="48" borderId="0" xfId="494" applyNumberFormat="1" applyFont="1" applyFill="1" applyAlignment="1">
      <alignment horizontal="left" vertical="center"/>
    </xf>
    <xf numFmtId="168" fontId="74" fillId="60" borderId="29" xfId="769" applyNumberFormat="1" applyFont="1" applyFill="1" applyBorder="1" applyAlignment="1">
      <alignment horizontal="center" vertical="center"/>
    </xf>
    <xf numFmtId="173" fontId="74" fillId="48" borderId="21" xfId="494" quotePrefix="1" applyNumberFormat="1" applyFont="1" applyFill="1" applyBorder="1" applyAlignment="1">
      <alignment horizontal="center" vertical="top"/>
    </xf>
    <xf numFmtId="10" fontId="72" fillId="48" borderId="30" xfId="494" applyNumberFormat="1" applyFont="1" applyFill="1" applyBorder="1" applyAlignment="1">
      <alignment horizontal="right" vertical="center"/>
    </xf>
    <xf numFmtId="10" fontId="72" fillId="48" borderId="21" xfId="494" applyNumberFormat="1" applyFont="1" applyFill="1" applyBorder="1" applyAlignment="1">
      <alignment horizontal="center"/>
    </xf>
    <xf numFmtId="0" fontId="72" fillId="48" borderId="30" xfId="494" applyFont="1" applyFill="1" applyBorder="1" applyAlignment="1">
      <alignment horizontal="center" vertical="center"/>
    </xf>
    <xf numFmtId="0" fontId="65" fillId="48" borderId="0" xfId="494" applyFont="1" applyFill="1"/>
    <xf numFmtId="173" fontId="72" fillId="48" borderId="20" xfId="494" applyNumberFormat="1" applyFont="1" applyFill="1" applyBorder="1" applyAlignment="1">
      <alignment horizontal="center" vertical="center"/>
    </xf>
    <xf numFmtId="15" fontId="72" fillId="48" borderId="33" xfId="494" applyNumberFormat="1" applyFont="1" applyFill="1" applyBorder="1" applyAlignment="1">
      <alignment horizontal="center" vertical="center"/>
    </xf>
    <xf numFmtId="15" fontId="72" fillId="48" borderId="20" xfId="494" applyNumberFormat="1" applyFont="1" applyFill="1" applyBorder="1" applyAlignment="1">
      <alignment horizontal="center" vertical="center"/>
    </xf>
    <xf numFmtId="173" fontId="72" fillId="48" borderId="25" xfId="494" applyNumberFormat="1" applyFont="1" applyFill="1" applyBorder="1" applyAlignment="1">
      <alignment horizontal="center" vertical="center"/>
    </xf>
    <xf numFmtId="15" fontId="72" fillId="48" borderId="34" xfId="494" applyNumberFormat="1" applyFont="1" applyFill="1" applyBorder="1" applyAlignment="1">
      <alignment horizontal="center" vertical="center"/>
    </xf>
    <xf numFmtId="15" fontId="72" fillId="48" borderId="25" xfId="494" applyNumberFormat="1" applyFont="1" applyFill="1" applyBorder="1" applyAlignment="1">
      <alignment horizontal="center" vertical="center"/>
    </xf>
    <xf numFmtId="173" fontId="74" fillId="0" borderId="42" xfId="494" applyNumberFormat="1" applyFont="1" applyBorder="1" applyAlignment="1">
      <alignment horizontal="center" vertical="center" wrapText="1"/>
    </xf>
    <xf numFmtId="0" fontId="63" fillId="48" borderId="0" xfId="494" applyFont="1" applyFill="1" applyAlignment="1">
      <alignment vertical="center" wrapText="1"/>
    </xf>
    <xf numFmtId="0" fontId="6" fillId="48" borderId="0" xfId="716" applyNumberFormat="1" applyFont="1" applyFill="1" applyAlignment="1">
      <alignment vertical="center" wrapText="1"/>
    </xf>
    <xf numFmtId="173" fontId="74" fillId="60" borderId="42" xfId="494" applyNumberFormat="1" applyFont="1" applyFill="1" applyBorder="1" applyAlignment="1">
      <alignment horizontal="center" vertical="center" wrapText="1"/>
    </xf>
    <xf numFmtId="0" fontId="63" fillId="60" borderId="0" xfId="494" applyFont="1" applyFill="1" applyAlignment="1">
      <alignment vertical="center" wrapText="1"/>
    </xf>
    <xf numFmtId="0" fontId="6" fillId="60" borderId="0" xfId="716" applyNumberFormat="1" applyFont="1" applyFill="1" applyAlignment="1">
      <alignment vertical="center" wrapText="1"/>
    </xf>
    <xf numFmtId="43" fontId="6" fillId="48" borderId="0" xfId="716" applyFont="1" applyFill="1" applyAlignment="1">
      <alignment vertical="center" wrapText="1"/>
    </xf>
    <xf numFmtId="173" fontId="74" fillId="48" borderId="0" xfId="494" applyNumberFormat="1" applyFont="1" applyFill="1" applyAlignment="1">
      <alignment horizontal="center" vertical="top"/>
    </xf>
    <xf numFmtId="0" fontId="74" fillId="48" borderId="0" xfId="494" applyFont="1" applyFill="1" applyAlignment="1">
      <alignment horizontal="left" vertical="center" wrapText="1"/>
    </xf>
    <xf numFmtId="10" fontId="74" fillId="48" borderId="0" xfId="494" applyNumberFormat="1" applyFont="1" applyFill="1" applyAlignment="1">
      <alignment horizontal="right" vertical="center"/>
    </xf>
    <xf numFmtId="174" fontId="74" fillId="48" borderId="0" xfId="494" applyNumberFormat="1" applyFont="1" applyFill="1" applyAlignment="1">
      <alignment horizontal="center" vertical="center"/>
    </xf>
    <xf numFmtId="174" fontId="74" fillId="48" borderId="0" xfId="494" applyNumberFormat="1" applyFont="1" applyFill="1" applyAlignment="1">
      <alignment horizontal="center"/>
    </xf>
    <xf numFmtId="174" fontId="74" fillId="48" borderId="0" xfId="494" applyNumberFormat="1" applyFont="1" applyFill="1"/>
    <xf numFmtId="0" fontId="74" fillId="48" borderId="0" xfId="494" applyFont="1" applyFill="1"/>
    <xf numFmtId="173" fontId="104" fillId="48" borderId="0" xfId="494" applyNumberFormat="1" applyFont="1" applyFill="1" applyAlignment="1">
      <alignment horizontal="center" vertical="top"/>
    </xf>
    <xf numFmtId="0" fontId="104" fillId="48" borderId="0" xfId="494" applyFont="1" applyFill="1" applyAlignment="1">
      <alignment vertical="center" wrapText="1"/>
    </xf>
    <xf numFmtId="0" fontId="104" fillId="48" borderId="0" xfId="494" quotePrefix="1" applyFont="1" applyFill="1" applyAlignment="1">
      <alignment vertical="center"/>
    </xf>
    <xf numFmtId="174" fontId="104" fillId="48" borderId="0" xfId="494" quotePrefix="1" applyNumberFormat="1" applyFont="1" applyFill="1" applyAlignment="1">
      <alignment vertical="center"/>
    </xf>
    <xf numFmtId="174" fontId="104" fillId="48" borderId="0" xfId="494" quotePrefix="1" applyNumberFormat="1" applyFont="1" applyFill="1" applyAlignment="1">
      <alignment vertical="justify"/>
    </xf>
    <xf numFmtId="0" fontId="104" fillId="48" borderId="0" xfId="494" quotePrefix="1" applyFont="1" applyFill="1" applyAlignment="1">
      <alignment vertical="justify"/>
    </xf>
    <xf numFmtId="0" fontId="107" fillId="48" borderId="0" xfId="494" applyFont="1" applyFill="1"/>
    <xf numFmtId="0" fontId="104" fillId="48" borderId="0" xfId="494" quotePrefix="1" applyFont="1" applyFill="1" applyAlignment="1">
      <alignment vertical="center" wrapText="1"/>
    </xf>
    <xf numFmtId="0" fontId="72" fillId="48" borderId="0" xfId="494" applyFont="1" applyFill="1" applyAlignment="1">
      <alignment vertical="center" wrapText="1"/>
    </xf>
    <xf numFmtId="0" fontId="72" fillId="48" borderId="0" xfId="494" applyFont="1" applyFill="1" applyAlignment="1">
      <alignment vertical="center"/>
    </xf>
    <xf numFmtId="174" fontId="73" fillId="48" borderId="0" xfId="494" applyNumberFormat="1" applyFont="1" applyFill="1"/>
    <xf numFmtId="0" fontId="72" fillId="48" borderId="0" xfId="494" applyFont="1" applyFill="1" applyAlignment="1">
      <alignment vertical="justify"/>
    </xf>
    <xf numFmtId="0" fontId="73" fillId="48" borderId="0" xfId="494" applyFont="1" applyFill="1" applyAlignment="1">
      <alignment horizontal="left" vertical="center" wrapText="1"/>
    </xf>
    <xf numFmtId="174" fontId="74" fillId="48" borderId="0" xfId="494" quotePrefix="1" applyNumberFormat="1" applyFont="1" applyFill="1" applyAlignment="1">
      <alignment horizontal="center"/>
    </xf>
    <xf numFmtId="173" fontId="73" fillId="48" borderId="0" xfId="494" applyNumberFormat="1" applyFont="1" applyFill="1" applyAlignment="1">
      <alignment horizontal="center" vertical="top"/>
    </xf>
    <xf numFmtId="173" fontId="72" fillId="58" borderId="0" xfId="494" quotePrefix="1" applyNumberFormat="1" applyFont="1" applyFill="1" applyBorder="1" applyAlignment="1">
      <alignment horizontal="center" vertical="center"/>
    </xf>
    <xf numFmtId="173" fontId="74" fillId="58" borderId="0" xfId="494" quotePrefix="1" applyNumberFormat="1" applyFont="1" applyFill="1" applyBorder="1" applyAlignment="1">
      <alignment horizontal="center" vertical="center"/>
    </xf>
    <xf numFmtId="173" fontId="74" fillId="58" borderId="0" xfId="494" quotePrefix="1" applyNumberFormat="1" applyFont="1" applyFill="1" applyBorder="1" applyAlignment="1">
      <alignment horizontal="left" vertical="center"/>
    </xf>
    <xf numFmtId="193" fontId="73" fillId="58" borderId="0" xfId="494" applyNumberFormat="1" applyFont="1" applyFill="1" applyAlignment="1">
      <alignment horizontal="center" vertical="center"/>
    </xf>
    <xf numFmtId="165" fontId="74" fillId="56" borderId="60" xfId="374" applyFont="1" applyFill="1" applyBorder="1" applyAlignment="1">
      <alignment horizontal="center"/>
    </xf>
    <xf numFmtId="0" fontId="74" fillId="0" borderId="60" xfId="492" applyFont="1" applyBorder="1" applyAlignment="1">
      <alignment horizontal="center" vertical="center"/>
    </xf>
    <xf numFmtId="0" fontId="8" fillId="0" borderId="0" xfId="492" applyFont="1"/>
    <xf numFmtId="0" fontId="8" fillId="48" borderId="0" xfId="492" applyFont="1" applyFill="1"/>
    <xf numFmtId="0" fontId="8" fillId="0" borderId="0" xfId="492" applyFont="1" applyAlignment="1">
      <alignment vertical="center"/>
    </xf>
    <xf numFmtId="10" fontId="8" fillId="55" borderId="29" xfId="561" applyNumberFormat="1" applyFont="1" applyFill="1" applyBorder="1"/>
    <xf numFmtId="14" fontId="72" fillId="58" borderId="62" xfId="0" applyNumberFormat="1" applyFont="1" applyFill="1" applyBorder="1" applyAlignment="1">
      <alignment horizontal="left" vertical="center"/>
    </xf>
    <xf numFmtId="0" fontId="74" fillId="0" borderId="9" xfId="492" applyFont="1" applyBorder="1" applyAlignment="1">
      <alignment horizontal="center"/>
    </xf>
    <xf numFmtId="0" fontId="74" fillId="48" borderId="0" xfId="492" applyFont="1" applyFill="1" applyBorder="1" applyAlignment="1">
      <alignment horizontal="center"/>
    </xf>
    <xf numFmtId="0" fontId="74" fillId="57" borderId="9" xfId="492" applyFont="1" applyFill="1" applyBorder="1"/>
    <xf numFmtId="165" fontId="74" fillId="57" borderId="9" xfId="492" applyNumberFormat="1" applyFont="1" applyFill="1" applyBorder="1" applyAlignment="1">
      <alignment horizontal="center"/>
    </xf>
    <xf numFmtId="10" fontId="74" fillId="56" borderId="9" xfId="492" applyNumberFormat="1" applyFont="1" applyFill="1" applyBorder="1" applyAlignment="1" applyProtection="1">
      <alignment horizontal="center"/>
      <protection locked="0"/>
    </xf>
    <xf numFmtId="10" fontId="74" fillId="56" borderId="9" xfId="561" applyNumberFormat="1" applyFont="1" applyFill="1" applyBorder="1" applyAlignment="1" applyProtection="1">
      <alignment horizontal="center"/>
      <protection locked="0"/>
    </xf>
    <xf numFmtId="0" fontId="74" fillId="57" borderId="9" xfId="492" applyFont="1" applyFill="1" applyBorder="1" applyAlignment="1">
      <alignment horizontal="left"/>
    </xf>
    <xf numFmtId="165" fontId="74" fillId="57" borderId="9" xfId="374" applyFont="1" applyFill="1" applyBorder="1" applyAlignment="1">
      <alignment horizontal="center"/>
    </xf>
    <xf numFmtId="10" fontId="74" fillId="0" borderId="9" xfId="561" applyNumberFormat="1" applyFont="1" applyBorder="1" applyAlignment="1">
      <alignment horizontal="center"/>
    </xf>
    <xf numFmtId="165" fontId="74" fillId="0" borderId="9" xfId="492" applyNumberFormat="1" applyFont="1" applyBorder="1" applyAlignment="1">
      <alignment horizontal="center"/>
    </xf>
    <xf numFmtId="10" fontId="74" fillId="56" borderId="9" xfId="561" applyNumberFormat="1" applyFont="1" applyFill="1" applyBorder="1" applyAlignment="1">
      <alignment horizontal="center"/>
    </xf>
    <xf numFmtId="0" fontId="74" fillId="0" borderId="9" xfId="492" applyFont="1" applyBorder="1"/>
    <xf numFmtId="0" fontId="74" fillId="48" borderId="80" xfId="492" applyFont="1" applyFill="1" applyBorder="1"/>
    <xf numFmtId="0" fontId="74" fillId="48" borderId="72" xfId="492" applyFont="1" applyFill="1" applyBorder="1"/>
    <xf numFmtId="0" fontId="74" fillId="48" borderId="81" xfId="492" applyFont="1" applyFill="1" applyBorder="1"/>
    <xf numFmtId="0" fontId="74" fillId="48" borderId="82" xfId="492" applyFont="1" applyFill="1" applyBorder="1"/>
    <xf numFmtId="0" fontId="74" fillId="48" borderId="0" xfId="492" applyFont="1" applyFill="1" applyBorder="1"/>
    <xf numFmtId="0" fontId="74" fillId="48" borderId="69" xfId="492" applyFont="1" applyFill="1" applyBorder="1"/>
    <xf numFmtId="0" fontId="74" fillId="48" borderId="61" xfId="492" applyFont="1" applyFill="1" applyBorder="1"/>
    <xf numFmtId="0" fontId="74" fillId="48" borderId="19" xfId="492" applyFont="1" applyFill="1" applyBorder="1"/>
    <xf numFmtId="0" fontId="74" fillId="48" borderId="73" xfId="492" applyFont="1" applyFill="1" applyBorder="1"/>
    <xf numFmtId="0" fontId="72" fillId="48" borderId="0" xfId="492" applyFont="1" applyFill="1"/>
    <xf numFmtId="165" fontId="74" fillId="56" borderId="9" xfId="374" applyFont="1" applyFill="1" applyBorder="1" applyAlignment="1">
      <alignment horizontal="center"/>
    </xf>
    <xf numFmtId="0" fontId="74" fillId="0" borderId="9" xfId="492" applyFont="1" applyBorder="1" applyAlignment="1">
      <alignment horizontal="center" vertical="center"/>
    </xf>
    <xf numFmtId="0" fontId="75" fillId="60" borderId="0" xfId="493" applyFont="1" applyFill="1" applyAlignment="1" applyProtection="1">
      <alignment vertical="center"/>
      <protection locked="0"/>
    </xf>
    <xf numFmtId="0" fontId="75" fillId="48" borderId="0" xfId="493" applyFont="1" applyFill="1" applyAlignment="1"/>
    <xf numFmtId="0" fontId="76" fillId="60" borderId="0" xfId="493" applyFont="1" applyFill="1" applyAlignment="1">
      <alignment horizontal="center"/>
    </xf>
    <xf numFmtId="0" fontId="75" fillId="60" borderId="0" xfId="493" applyFont="1" applyFill="1" applyAlignment="1"/>
    <xf numFmtId="14" fontId="75" fillId="60" borderId="0" xfId="493" applyNumberFormat="1" applyFont="1" applyFill="1" applyAlignment="1" applyProtection="1">
      <protection locked="0"/>
    </xf>
    <xf numFmtId="49" fontId="74" fillId="58" borderId="64" xfId="0" applyNumberFormat="1" applyFont="1" applyFill="1" applyBorder="1" applyAlignment="1">
      <alignment horizontal="left" vertical="center"/>
    </xf>
    <xf numFmtId="0" fontId="72" fillId="68" borderId="63" xfId="0" applyFont="1" applyFill="1" applyBorder="1" applyAlignment="1">
      <alignment vertical="center"/>
    </xf>
    <xf numFmtId="0" fontId="72" fillId="58" borderId="63" xfId="492" applyFont="1" applyFill="1" applyBorder="1" applyAlignment="1"/>
    <xf numFmtId="0" fontId="72" fillId="58" borderId="62" xfId="492" applyFont="1" applyFill="1" applyBorder="1" applyAlignment="1"/>
    <xf numFmtId="2" fontId="74" fillId="68" borderId="64" xfId="0" applyNumberFormat="1" applyFont="1" applyFill="1" applyBorder="1" applyAlignment="1">
      <alignment horizontal="left" vertical="center"/>
    </xf>
    <xf numFmtId="0" fontId="8" fillId="58" borderId="63" xfId="492" applyFont="1" applyFill="1" applyBorder="1"/>
    <xf numFmtId="10" fontId="72" fillId="68" borderId="62" xfId="0" applyNumberFormat="1" applyFont="1" applyFill="1" applyBorder="1" applyAlignment="1">
      <alignment horizontal="left" vertical="center"/>
    </xf>
    <xf numFmtId="0" fontId="8" fillId="58" borderId="0" xfId="492" applyFont="1" applyFill="1"/>
    <xf numFmtId="49" fontId="74" fillId="68" borderId="64" xfId="0" applyNumberFormat="1" applyFont="1" applyFill="1" applyBorder="1" applyAlignment="1">
      <alignment horizontal="left" vertical="center"/>
    </xf>
    <xf numFmtId="0" fontId="74" fillId="58" borderId="63" xfId="492" applyFont="1" applyFill="1" applyBorder="1"/>
    <xf numFmtId="0" fontId="74" fillId="58" borderId="62" xfId="492" applyFont="1" applyFill="1" applyBorder="1"/>
    <xf numFmtId="0" fontId="72" fillId="58" borderId="63" xfId="492" applyFont="1" applyFill="1" applyBorder="1" applyAlignment="1">
      <alignment vertical="center" wrapText="1"/>
    </xf>
    <xf numFmtId="0" fontId="8" fillId="58" borderId="63" xfId="492" applyFont="1" applyFill="1" applyBorder="1" applyAlignment="1">
      <alignment vertical="top" wrapText="1"/>
    </xf>
    <xf numFmtId="2" fontId="74" fillId="68" borderId="64" xfId="0" applyNumberFormat="1" applyFont="1" applyFill="1" applyBorder="1" applyAlignment="1" applyProtection="1">
      <alignment horizontal="left" vertical="center"/>
      <protection locked="0"/>
    </xf>
    <xf numFmtId="0" fontId="72" fillId="58" borderId="62" xfId="492" applyFont="1" applyFill="1" applyBorder="1" applyAlignment="1">
      <alignment vertical="center" wrapText="1"/>
    </xf>
    <xf numFmtId="4" fontId="72" fillId="68" borderId="62" xfId="0" applyNumberFormat="1" applyFont="1" applyFill="1" applyBorder="1" applyAlignment="1">
      <alignment horizontal="left" vertical="center" wrapText="1"/>
    </xf>
    <xf numFmtId="0" fontId="8" fillId="58" borderId="0" xfId="492" applyFont="1" applyFill="1" applyAlignment="1">
      <alignment vertical="top" wrapText="1"/>
    </xf>
    <xf numFmtId="167" fontId="72" fillId="68" borderId="63" xfId="0" applyNumberFormat="1" applyFont="1" applyFill="1" applyBorder="1" applyAlignment="1">
      <alignment horizontal="left" vertical="center"/>
    </xf>
    <xf numFmtId="1" fontId="74" fillId="68" borderId="64" xfId="0" applyNumberFormat="1" applyFont="1" applyFill="1" applyBorder="1" applyAlignment="1">
      <alignment horizontal="left" vertical="center"/>
    </xf>
    <xf numFmtId="0" fontId="57" fillId="68" borderId="63" xfId="0" applyFont="1" applyFill="1" applyBorder="1" applyAlignment="1" applyProtection="1">
      <alignment vertical="center"/>
      <protection locked="0"/>
    </xf>
    <xf numFmtId="0" fontId="72" fillId="58" borderId="63" xfId="492" applyFont="1" applyFill="1" applyBorder="1" applyAlignment="1">
      <alignment vertical="center"/>
    </xf>
    <xf numFmtId="0" fontId="72" fillId="58" borderId="62" xfId="492" applyFont="1" applyFill="1" applyBorder="1" applyAlignment="1">
      <alignment vertical="center"/>
    </xf>
    <xf numFmtId="0" fontId="74" fillId="68" borderId="64" xfId="0" applyFont="1" applyFill="1" applyBorder="1" applyAlignment="1">
      <alignment horizontal="left" vertical="center"/>
    </xf>
    <xf numFmtId="0" fontId="74" fillId="58" borderId="0" xfId="492" applyFont="1" applyFill="1" applyAlignment="1">
      <alignment vertical="center"/>
    </xf>
    <xf numFmtId="0" fontId="73" fillId="58" borderId="0" xfId="0" applyFont="1" applyFill="1" applyAlignment="1">
      <alignment horizontal="right" vertical="center"/>
    </xf>
    <xf numFmtId="0" fontId="102" fillId="58" borderId="0" xfId="0" applyFont="1" applyFill="1" applyAlignment="1">
      <alignment horizontal="left" vertical="center"/>
    </xf>
    <xf numFmtId="0" fontId="8" fillId="58" borderId="0" xfId="492" applyFont="1" applyFill="1" applyAlignment="1">
      <alignment vertical="center"/>
    </xf>
    <xf numFmtId="0" fontId="74" fillId="58" borderId="0" xfId="492" applyFont="1" applyFill="1" applyAlignment="1">
      <alignment horizontal="right" vertical="center"/>
    </xf>
    <xf numFmtId="0" fontId="72" fillId="58" borderId="0" xfId="492" applyFont="1" applyFill="1" applyAlignment="1">
      <alignment vertical="center"/>
    </xf>
    <xf numFmtId="0" fontId="72" fillId="58" borderId="0" xfId="492" applyFont="1" applyFill="1"/>
    <xf numFmtId="0" fontId="74" fillId="58" borderId="0" xfId="492" applyFont="1" applyFill="1" applyAlignment="1">
      <alignment horizontal="center"/>
    </xf>
    <xf numFmtId="0" fontId="74" fillId="58" borderId="0" xfId="492" applyFont="1" applyFill="1" applyAlignment="1">
      <alignment horizontal="right"/>
    </xf>
    <xf numFmtId="14" fontId="6" fillId="58" borderId="0" xfId="492" applyNumberFormat="1" applyFont="1" applyFill="1" applyAlignment="1">
      <alignment horizontal="left"/>
    </xf>
    <xf numFmtId="0" fontId="57" fillId="68" borderId="62" xfId="0" applyFont="1" applyFill="1" applyBorder="1" applyAlignment="1" applyProtection="1">
      <alignment vertical="center"/>
      <protection locked="0"/>
    </xf>
    <xf numFmtId="0" fontId="74" fillId="0" borderId="9" xfId="492" applyFont="1" applyBorder="1" applyAlignment="1">
      <alignment horizontal="right" indent="5"/>
    </xf>
    <xf numFmtId="0" fontId="72" fillId="53" borderId="63" xfId="418" applyFont="1" applyFill="1" applyBorder="1" applyAlignment="1">
      <alignment vertical="center"/>
    </xf>
    <xf numFmtId="10" fontId="72" fillId="58" borderId="62" xfId="514" applyNumberFormat="1" applyFont="1" applyFill="1" applyBorder="1" applyAlignment="1">
      <alignment horizontal="left" vertical="center"/>
    </xf>
    <xf numFmtId="0" fontId="72" fillId="58" borderId="62" xfId="514" applyNumberFormat="1" applyFont="1" applyFill="1" applyBorder="1" applyAlignment="1">
      <alignment horizontal="left" vertical="center"/>
    </xf>
    <xf numFmtId="4" fontId="72" fillId="53" borderId="62" xfId="418" applyNumberFormat="1" applyFont="1" applyFill="1" applyBorder="1" applyAlignment="1">
      <alignment horizontal="left"/>
    </xf>
    <xf numFmtId="0" fontId="74" fillId="53" borderId="19" xfId="418" applyFont="1" applyFill="1" applyBorder="1"/>
    <xf numFmtId="0" fontId="72" fillId="48" borderId="63" xfId="494" applyFont="1" applyFill="1" applyBorder="1" applyAlignment="1" applyProtection="1">
      <alignment horizontal="right" vertical="center"/>
      <protection hidden="1"/>
    </xf>
    <xf numFmtId="0" fontId="65" fillId="68" borderId="0" xfId="0" applyFont="1" applyFill="1" applyAlignment="1" applyProtection="1">
      <alignment vertical="center"/>
      <protection locked="0"/>
    </xf>
    <xf numFmtId="0" fontId="65" fillId="68" borderId="0" xfId="0" applyFont="1" applyFill="1" applyBorder="1" applyAlignment="1" applyProtection="1">
      <alignment vertical="center"/>
      <protection locked="0"/>
    </xf>
    <xf numFmtId="10" fontId="72" fillId="68" borderId="0" xfId="0" applyNumberFormat="1" applyFont="1" applyFill="1" applyBorder="1" applyAlignment="1">
      <alignment horizontal="left" vertical="center"/>
    </xf>
    <xf numFmtId="10" fontId="74" fillId="68" borderId="0" xfId="0" applyNumberFormat="1" applyFont="1" applyFill="1" applyBorder="1" applyAlignment="1">
      <alignment horizontal="right" vertical="center"/>
    </xf>
    <xf numFmtId="2" fontId="65" fillId="68" borderId="0" xfId="0" applyNumberFormat="1" applyFont="1" applyFill="1" applyAlignment="1" applyProtection="1">
      <alignment horizontal="right" vertical="center"/>
      <protection locked="0"/>
    </xf>
    <xf numFmtId="2" fontId="65" fillId="68" borderId="0" xfId="0" applyNumberFormat="1" applyFont="1" applyFill="1" applyBorder="1" applyAlignment="1" applyProtection="1">
      <alignment horizontal="right" vertical="center"/>
      <protection locked="0"/>
    </xf>
    <xf numFmtId="1" fontId="57" fillId="68" borderId="0" xfId="0" applyNumberFormat="1" applyFont="1" applyFill="1" applyAlignment="1" applyProtection="1">
      <alignment horizontal="left" vertical="center"/>
      <protection locked="0"/>
    </xf>
    <xf numFmtId="0" fontId="72" fillId="52" borderId="0" xfId="0" applyFont="1" applyFill="1" applyAlignment="1" applyProtection="1">
      <alignment vertical="center" wrapText="1"/>
      <protection locked="0"/>
    </xf>
    <xf numFmtId="4" fontId="74" fillId="52" borderId="0" xfId="0" applyNumberFormat="1" applyFont="1" applyFill="1" applyAlignment="1" applyProtection="1">
      <alignment horizontal="center" vertical="center" wrapText="1"/>
      <protection locked="0"/>
    </xf>
    <xf numFmtId="44" fontId="65" fillId="52" borderId="0" xfId="0" applyNumberFormat="1" applyFont="1" applyFill="1" applyAlignment="1" applyProtection="1">
      <alignment vertical="center"/>
      <protection locked="0"/>
    </xf>
    <xf numFmtId="0" fontId="74" fillId="52" borderId="0" xfId="0" applyFont="1" applyFill="1" applyAlignment="1" applyProtection="1">
      <alignment vertical="center"/>
      <protection locked="0"/>
    </xf>
    <xf numFmtId="0" fontId="74" fillId="0" borderId="53" xfId="0" applyNumberFormat="1" applyFont="1" applyFill="1" applyBorder="1" applyAlignment="1" applyProtection="1">
      <alignment horizontal="center" vertical="center" wrapText="1"/>
      <protection locked="0"/>
    </xf>
    <xf numFmtId="0" fontId="65" fillId="52" borderId="86" xfId="0" applyFont="1" applyFill="1" applyBorder="1" applyAlignment="1" applyProtection="1">
      <alignment vertical="center"/>
      <protection locked="0"/>
    </xf>
    <xf numFmtId="0" fontId="72" fillId="69" borderId="71" xfId="418" applyFont="1" applyFill="1" applyBorder="1" applyAlignment="1">
      <alignment horizontal="center" vertical="center"/>
    </xf>
    <xf numFmtId="0" fontId="72" fillId="69" borderId="51" xfId="418" applyFont="1" applyFill="1" applyBorder="1" applyAlignment="1">
      <alignment horizontal="center" vertical="center"/>
    </xf>
    <xf numFmtId="10" fontId="74" fillId="65" borderId="42" xfId="494" applyNumberFormat="1" applyFont="1" applyFill="1" applyBorder="1" applyAlignment="1">
      <alignment horizontal="right" vertical="center" wrapText="1"/>
    </xf>
    <xf numFmtId="9" fontId="74" fillId="65" borderId="42" xfId="527" applyFont="1" applyFill="1" applyBorder="1" applyAlignment="1">
      <alignment horizontal="right" vertical="center" wrapText="1"/>
    </xf>
    <xf numFmtId="0" fontId="72" fillId="65" borderId="42" xfId="494" applyFont="1" applyFill="1" applyBorder="1" applyAlignment="1" applyProtection="1">
      <alignment horizontal="center" vertical="center" wrapText="1"/>
      <protection locked="0"/>
    </xf>
    <xf numFmtId="174" fontId="102" fillId="48" borderId="86" xfId="494" applyNumberFormat="1" applyFont="1" applyFill="1" applyBorder="1" applyAlignment="1">
      <alignment vertical="center"/>
    </xf>
    <xf numFmtId="174" fontId="73" fillId="48" borderId="86" xfId="494" applyNumberFormat="1" applyFont="1" applyFill="1" applyBorder="1" applyAlignment="1">
      <alignment vertical="center"/>
    </xf>
    <xf numFmtId="0" fontId="63" fillId="48" borderId="86" xfId="494" applyFont="1" applyFill="1" applyBorder="1" applyAlignment="1">
      <alignment vertical="center"/>
    </xf>
    <xf numFmtId="9" fontId="74" fillId="57" borderId="42" xfId="527" applyFont="1" applyFill="1" applyBorder="1" applyAlignment="1">
      <alignment horizontal="right" vertical="center" wrapText="1"/>
    </xf>
    <xf numFmtId="174" fontId="74" fillId="57" borderId="42" xfId="494" applyNumberFormat="1" applyFont="1" applyFill="1" applyBorder="1" applyAlignment="1">
      <alignment horizontal="right" vertical="center" wrapText="1"/>
    </xf>
    <xf numFmtId="43" fontId="8" fillId="48" borderId="0" xfId="716" applyFont="1" applyFill="1" applyAlignment="1">
      <alignment horizontal="center" vertical="center" wrapText="1"/>
    </xf>
    <xf numFmtId="10" fontId="8" fillId="60" borderId="42" xfId="527" applyNumberFormat="1" applyFont="1" applyFill="1" applyBorder="1" applyAlignment="1">
      <alignment horizontal="right" vertical="center" wrapText="1"/>
    </xf>
    <xf numFmtId="10" fontId="74" fillId="48" borderId="27" xfId="527" applyNumberFormat="1" applyFont="1" applyFill="1" applyBorder="1" applyAlignment="1">
      <alignment horizontal="right" vertical="center"/>
    </xf>
    <xf numFmtId="0" fontId="72" fillId="69" borderId="51" xfId="418" applyFont="1" applyFill="1" applyBorder="1" applyAlignment="1">
      <alignment horizontal="center" vertical="center" wrapText="1"/>
    </xf>
    <xf numFmtId="189" fontId="74" fillId="60" borderId="42" xfId="527" applyNumberFormat="1" applyFont="1" applyFill="1" applyBorder="1" applyAlignment="1">
      <alignment horizontal="right" vertical="center" wrapText="1"/>
    </xf>
    <xf numFmtId="173" fontId="74" fillId="58" borderId="0" xfId="494" quotePrefix="1" applyNumberFormat="1" applyFont="1" applyFill="1" applyBorder="1" applyAlignment="1">
      <alignment horizontal="right" vertical="center"/>
    </xf>
    <xf numFmtId="0" fontId="65" fillId="0" borderId="0" xfId="0" applyFont="1" applyFill="1" applyAlignment="1" applyProtection="1">
      <alignment vertical="center"/>
      <protection locked="0"/>
    </xf>
    <xf numFmtId="0" fontId="65" fillId="0" borderId="0" xfId="0" applyFont="1" applyFill="1" applyAlignment="1" applyProtection="1">
      <alignment horizontal="center" vertical="center"/>
      <protection locked="0"/>
    </xf>
    <xf numFmtId="10" fontId="74" fillId="53" borderId="37" xfId="716" applyNumberFormat="1" applyFont="1" applyFill="1" applyBorder="1" applyAlignment="1">
      <alignment horizontal="right" vertical="center"/>
    </xf>
    <xf numFmtId="43" fontId="65" fillId="0" borderId="0" xfId="0" applyNumberFormat="1" applyFont="1" applyFill="1" applyAlignment="1" applyProtection="1">
      <alignment vertical="center"/>
      <protection locked="0"/>
    </xf>
    <xf numFmtId="10" fontId="74" fillId="53" borderId="9" xfId="264" applyNumberFormat="1" applyFont="1" applyFill="1" applyBorder="1" applyAlignment="1">
      <alignment horizontal="right" vertical="center"/>
    </xf>
    <xf numFmtId="0" fontId="72" fillId="58" borderId="0" xfId="0" applyFont="1" applyFill="1" applyAlignment="1">
      <alignment vertical="center"/>
    </xf>
    <xf numFmtId="0" fontId="72" fillId="58" borderId="0" xfId="0" applyFont="1" applyFill="1" applyAlignment="1">
      <alignment horizontal="center" vertical="center"/>
    </xf>
    <xf numFmtId="0" fontId="74" fillId="0" borderId="37" xfId="264" applyFont="1" applyBorder="1" applyAlignment="1" applyProtection="1">
      <alignment horizontal="center" vertical="center"/>
      <protection locked="0"/>
    </xf>
    <xf numFmtId="168" fontId="8" fillId="48" borderId="0" xfId="527" applyNumberFormat="1" applyFont="1" applyFill="1" applyAlignment="1">
      <alignment horizontal="center" vertical="top"/>
    </xf>
    <xf numFmtId="168" fontId="8" fillId="48" borderId="0" xfId="527" applyNumberFormat="1" applyFont="1" applyFill="1" applyAlignment="1">
      <alignment horizontal="center"/>
    </xf>
    <xf numFmtId="168" fontId="8" fillId="48" borderId="0" xfId="527" applyNumberFormat="1" applyFont="1" applyFill="1" applyAlignment="1">
      <alignment horizontal="center" vertical="center"/>
    </xf>
    <xf numFmtId="168" fontId="8" fillId="48" borderId="0" xfId="527" applyNumberFormat="1" applyFont="1" applyFill="1" applyAlignment="1">
      <alignment horizontal="center" vertical="center" wrapText="1"/>
    </xf>
    <xf numFmtId="168" fontId="8" fillId="60" borderId="0" xfId="527" applyNumberFormat="1" applyFont="1" applyFill="1" applyAlignment="1">
      <alignment horizontal="center" vertical="center" wrapText="1"/>
    </xf>
    <xf numFmtId="43" fontId="8" fillId="0" borderId="42" xfId="716" applyFont="1" applyBorder="1" applyAlignment="1" applyProtection="1">
      <alignment horizontal="left" vertical="center" wrapText="1"/>
      <protection locked="0"/>
    </xf>
    <xf numFmtId="0" fontId="72" fillId="52" borderId="63" xfId="0" applyFont="1" applyFill="1" applyBorder="1" applyAlignment="1">
      <alignment horizontal="left" vertical="center"/>
    </xf>
    <xf numFmtId="0" fontId="72" fillId="53" borderId="63" xfId="418" applyFont="1" applyFill="1" applyBorder="1" applyAlignment="1">
      <alignment horizontal="left" vertical="center"/>
    </xf>
    <xf numFmtId="0" fontId="72" fillId="68" borderId="63" xfId="0" applyFont="1" applyFill="1" applyBorder="1" applyAlignment="1">
      <alignment horizontal="left" vertical="center"/>
    </xf>
    <xf numFmtId="0" fontId="72" fillId="69" borderId="51" xfId="418" applyFont="1" applyFill="1" applyBorder="1" applyAlignment="1">
      <alignment horizontal="center" vertical="center" wrapText="1"/>
    </xf>
    <xf numFmtId="0" fontId="74" fillId="58" borderId="0" xfId="0" applyFont="1" applyFill="1" applyAlignment="1">
      <alignment horizontal="center" vertical="center" wrapText="1"/>
    </xf>
    <xf numFmtId="0" fontId="74" fillId="58" borderId="0" xfId="0" applyFont="1" applyFill="1" applyAlignment="1">
      <alignment horizontal="center" vertical="center"/>
    </xf>
    <xf numFmtId="0" fontId="72" fillId="58" borderId="0" xfId="0" applyFont="1" applyFill="1" applyAlignment="1">
      <alignment horizontal="center" vertical="center" wrapText="1"/>
    </xf>
    <xf numFmtId="0" fontId="74" fillId="0" borderId="0" xfId="0" applyFont="1" applyAlignment="1">
      <alignment horizontal="center" vertical="center" wrapText="1"/>
    </xf>
    <xf numFmtId="0" fontId="74" fillId="58" borderId="0" xfId="0" applyFont="1" applyFill="1" applyAlignment="1">
      <alignment horizontal="center"/>
    </xf>
    <xf numFmtId="43" fontId="8" fillId="58" borderId="0" xfId="717" applyFont="1" applyFill="1" applyAlignment="1">
      <alignment horizontal="right" vertical="center"/>
    </xf>
    <xf numFmtId="0" fontId="110" fillId="58" borderId="0" xfId="0" applyFont="1" applyFill="1" applyAlignment="1">
      <alignment horizontal="center" vertical="center" wrapText="1"/>
    </xf>
    <xf numFmtId="0" fontId="74" fillId="58" borderId="0" xfId="0" applyFont="1" applyFill="1" applyAlignment="1">
      <alignment horizontal="center" wrapText="1"/>
    </xf>
    <xf numFmtId="0" fontId="74" fillId="0" borderId="0" xfId="0" applyFont="1" applyAlignment="1">
      <alignment horizontal="left" vertical="center" wrapText="1"/>
    </xf>
    <xf numFmtId="43" fontId="8" fillId="0" borderId="0" xfId="717" applyFont="1" applyAlignment="1">
      <alignment horizontal="right" vertical="center"/>
    </xf>
    <xf numFmtId="0" fontId="72" fillId="57" borderId="85" xfId="0" applyFont="1" applyFill="1" applyBorder="1" applyAlignment="1" applyProtection="1">
      <alignment horizontal="center" vertical="center" wrapText="1"/>
      <protection locked="0"/>
    </xf>
    <xf numFmtId="0" fontId="57" fillId="52" borderId="88" xfId="0" applyFont="1" applyFill="1" applyBorder="1" applyAlignment="1" applyProtection="1">
      <alignment vertical="center"/>
      <protection locked="0"/>
    </xf>
    <xf numFmtId="0" fontId="74" fillId="53" borderId="61" xfId="418" applyFont="1" applyFill="1" applyBorder="1" applyAlignment="1">
      <alignment vertical="center" wrapText="1"/>
    </xf>
    <xf numFmtId="0" fontId="74" fillId="53" borderId="19" xfId="418" applyFont="1" applyFill="1" applyBorder="1" applyAlignment="1">
      <alignment vertical="center" wrapText="1"/>
    </xf>
    <xf numFmtId="0" fontId="74" fillId="53" borderId="73" xfId="418" applyFont="1" applyFill="1" applyBorder="1" applyAlignment="1">
      <alignment vertical="center" wrapText="1"/>
    </xf>
    <xf numFmtId="0" fontId="74" fillId="53" borderId="64" xfId="418" applyFont="1" applyFill="1" applyBorder="1" applyAlignment="1">
      <alignment vertical="center" wrapText="1"/>
    </xf>
    <xf numFmtId="0" fontId="74" fillId="53" borderId="63" xfId="418" applyFont="1" applyFill="1" applyBorder="1" applyAlignment="1">
      <alignment vertical="center" wrapText="1"/>
    </xf>
    <xf numFmtId="0" fontId="74" fillId="53" borderId="62" xfId="418" applyFont="1" applyFill="1" applyBorder="1" applyAlignment="1">
      <alignment vertical="center" wrapText="1"/>
    </xf>
    <xf numFmtId="0" fontId="74" fillId="53" borderId="35" xfId="418" applyFont="1" applyFill="1" applyBorder="1" applyAlignment="1">
      <alignment vertical="center" wrapText="1"/>
    </xf>
    <xf numFmtId="0" fontId="74" fillId="53" borderId="40" xfId="418" applyFont="1" applyFill="1" applyBorder="1" applyAlignment="1">
      <alignment vertical="center" wrapText="1"/>
    </xf>
    <xf numFmtId="0" fontId="102" fillId="53" borderId="78" xfId="264" applyFont="1" applyFill="1" applyBorder="1" applyAlignment="1">
      <alignment vertical="center"/>
    </xf>
    <xf numFmtId="0" fontId="102" fillId="53" borderId="77" xfId="264" applyFont="1" applyFill="1" applyBorder="1" applyAlignment="1">
      <alignment vertical="center"/>
    </xf>
    <xf numFmtId="0" fontId="102" fillId="53" borderId="79" xfId="264" applyFont="1" applyFill="1" applyBorder="1" applyAlignment="1">
      <alignment vertical="center"/>
    </xf>
    <xf numFmtId="0" fontId="62" fillId="0" borderId="0" xfId="0" applyFont="1" applyAlignment="1">
      <alignment vertical="center"/>
    </xf>
    <xf numFmtId="0" fontId="62" fillId="0" borderId="0" xfId="0" applyFont="1" applyAlignment="1">
      <alignment horizontal="center" vertical="center"/>
    </xf>
    <xf numFmtId="14" fontId="57" fillId="52" borderId="86" xfId="0" applyNumberFormat="1" applyFont="1" applyFill="1" applyBorder="1" applyAlignment="1" applyProtection="1">
      <alignment vertical="center"/>
      <protection locked="0"/>
    </xf>
    <xf numFmtId="4" fontId="57" fillId="73" borderId="86" xfId="0" applyNumberFormat="1" applyFont="1" applyFill="1" applyBorder="1" applyAlignment="1" applyProtection="1">
      <alignment horizontal="center" vertical="center"/>
      <protection locked="0"/>
    </xf>
    <xf numFmtId="0" fontId="62" fillId="73" borderId="85" xfId="0" applyFont="1" applyFill="1" applyBorder="1" applyAlignment="1">
      <alignment horizontal="center" vertical="center"/>
    </xf>
    <xf numFmtId="4" fontId="57" fillId="73" borderId="37" xfId="0" applyNumberFormat="1" applyFont="1" applyFill="1" applyBorder="1" applyAlignment="1" applyProtection="1">
      <alignment horizontal="center" vertical="center" wrapText="1"/>
      <protection locked="0"/>
    </xf>
    <xf numFmtId="4" fontId="57" fillId="73" borderId="37" xfId="0" applyNumberFormat="1" applyFont="1" applyFill="1" applyBorder="1" applyAlignment="1" applyProtection="1">
      <alignment horizontal="center" vertical="center"/>
      <protection locked="0"/>
    </xf>
    <xf numFmtId="0" fontId="65" fillId="52" borderId="86" xfId="0" applyFont="1" applyFill="1" applyBorder="1" applyAlignment="1" applyProtection="1">
      <alignment vertical="center" wrapText="1"/>
      <protection locked="0"/>
    </xf>
    <xf numFmtId="0" fontId="65" fillId="52" borderId="0" xfId="0" applyFont="1" applyFill="1" applyBorder="1" applyAlignment="1" applyProtection="1">
      <alignment vertical="center" wrapText="1"/>
      <protection locked="0"/>
    </xf>
    <xf numFmtId="4" fontId="57" fillId="73" borderId="87" xfId="0" applyNumberFormat="1" applyFont="1" applyFill="1" applyBorder="1" applyAlignment="1" applyProtection="1">
      <alignment horizontal="center" vertical="center"/>
      <protection locked="0"/>
    </xf>
    <xf numFmtId="4" fontId="57" fillId="73" borderId="88" xfId="0" applyNumberFormat="1" applyFont="1" applyFill="1" applyBorder="1" applyAlignment="1" applyProtection="1">
      <alignment horizontal="center" vertical="center"/>
      <protection locked="0"/>
    </xf>
    <xf numFmtId="49" fontId="65" fillId="0" borderId="87" xfId="0" applyNumberFormat="1" applyFont="1" applyBorder="1" applyAlignment="1">
      <alignment horizontal="left" vertical="center"/>
    </xf>
    <xf numFmtId="49" fontId="65" fillId="0" borderId="86" xfId="0" applyNumberFormat="1" applyFont="1" applyBorder="1" applyAlignment="1">
      <alignment horizontal="left" vertical="center"/>
    </xf>
    <xf numFmtId="1" fontId="65" fillId="52" borderId="86" xfId="0" applyNumberFormat="1" applyFont="1" applyFill="1" applyBorder="1" applyAlignment="1" applyProtection="1">
      <alignment horizontal="center" vertical="center"/>
      <protection locked="0"/>
    </xf>
    <xf numFmtId="0" fontId="57" fillId="52" borderId="86" xfId="0" applyFont="1" applyFill="1" applyBorder="1" applyAlignment="1">
      <alignment vertical="center"/>
    </xf>
    <xf numFmtId="0" fontId="65" fillId="52" borderId="86" xfId="0" applyFont="1" applyFill="1" applyBorder="1" applyAlignment="1" applyProtection="1">
      <alignment horizontal="center" vertical="center"/>
      <protection locked="0"/>
    </xf>
    <xf numFmtId="0" fontId="57" fillId="52" borderId="86" xfId="0" applyFont="1" applyFill="1" applyBorder="1" applyAlignment="1">
      <alignment horizontal="left" vertical="center" wrapText="1"/>
    </xf>
    <xf numFmtId="2" fontId="65" fillId="52" borderId="88" xfId="0" applyNumberFormat="1" applyFont="1" applyFill="1" applyBorder="1" applyAlignment="1" applyProtection="1">
      <alignment horizontal="right" vertical="center"/>
      <protection locked="0"/>
    </xf>
    <xf numFmtId="2" fontId="65" fillId="52" borderId="87" xfId="0" applyNumberFormat="1" applyFont="1" applyFill="1" applyBorder="1" applyAlignment="1">
      <alignment horizontal="left" vertical="center"/>
    </xf>
    <xf numFmtId="10" fontId="57" fillId="52" borderId="88" xfId="0" applyNumberFormat="1" applyFont="1" applyFill="1" applyBorder="1" applyAlignment="1">
      <alignment horizontal="left" vertical="center"/>
    </xf>
    <xf numFmtId="49" fontId="65" fillId="52" borderId="87" xfId="0" applyNumberFormat="1" applyFont="1" applyFill="1" applyBorder="1" applyAlignment="1">
      <alignment horizontal="left" vertical="center"/>
    </xf>
    <xf numFmtId="49" fontId="65" fillId="52" borderId="86" xfId="0" applyNumberFormat="1" applyFont="1" applyFill="1" applyBorder="1" applyAlignment="1">
      <alignment horizontal="left" vertical="center"/>
    </xf>
    <xf numFmtId="0" fontId="57" fillId="52" borderId="86" xfId="0" applyFont="1" applyFill="1" applyBorder="1" applyAlignment="1">
      <alignment horizontal="left" vertical="center"/>
    </xf>
    <xf numFmtId="2" fontId="65" fillId="52" borderId="86" xfId="0" applyNumberFormat="1" applyFont="1" applyFill="1" applyBorder="1" applyAlignment="1" applyProtection="1">
      <alignment horizontal="left" vertical="center"/>
      <protection locked="0"/>
    </xf>
    <xf numFmtId="2" fontId="65" fillId="52" borderId="87" xfId="0" applyNumberFormat="1" applyFont="1" applyFill="1" applyBorder="1" applyAlignment="1" applyProtection="1">
      <alignment horizontal="left" vertical="center"/>
      <protection locked="0"/>
    </xf>
    <xf numFmtId="4" fontId="57" fillId="52" borderId="88" xfId="0" applyNumberFormat="1" applyFont="1" applyFill="1" applyBorder="1" applyAlignment="1">
      <alignment horizontal="left" vertical="center" wrapText="1"/>
    </xf>
    <xf numFmtId="49" fontId="65" fillId="52" borderId="80" xfId="0" applyNumberFormat="1" applyFont="1" applyFill="1" applyBorder="1" applyAlignment="1">
      <alignment horizontal="left" vertical="center"/>
    </xf>
    <xf numFmtId="49" fontId="65" fillId="52" borderId="72" xfId="0" applyNumberFormat="1" applyFont="1" applyFill="1" applyBorder="1" applyAlignment="1">
      <alignment horizontal="left" vertical="center"/>
    </xf>
    <xf numFmtId="1" fontId="65" fillId="52" borderId="72" xfId="0" applyNumberFormat="1" applyFont="1" applyFill="1" applyBorder="1" applyAlignment="1" applyProtection="1">
      <alignment horizontal="center" vertical="center"/>
      <protection locked="0"/>
    </xf>
    <xf numFmtId="167" fontId="57" fillId="52" borderId="72" xfId="0" applyNumberFormat="1" applyFont="1" applyFill="1" applyBorder="1" applyAlignment="1">
      <alignment horizontal="left" vertical="center"/>
    </xf>
    <xf numFmtId="0" fontId="65" fillId="52" borderId="72" xfId="0" applyFont="1" applyFill="1" applyBorder="1" applyAlignment="1" applyProtection="1">
      <alignment vertical="center" wrapText="1"/>
      <protection locked="0"/>
    </xf>
    <xf numFmtId="0" fontId="65" fillId="52" borderId="72" xfId="0" applyFont="1" applyFill="1" applyBorder="1" applyAlignment="1" applyProtection="1">
      <alignment horizontal="center" vertical="center"/>
      <protection locked="0"/>
    </xf>
    <xf numFmtId="2" fontId="65" fillId="52" borderId="80" xfId="0" applyNumberFormat="1" applyFont="1" applyFill="1" applyBorder="1" applyAlignment="1" applyProtection="1">
      <alignment horizontal="left" vertical="center"/>
      <protection locked="0"/>
    </xf>
    <xf numFmtId="14" fontId="57" fillId="58" borderId="81" xfId="0" applyNumberFormat="1" applyFont="1" applyFill="1" applyBorder="1" applyAlignment="1">
      <alignment horizontal="left" vertical="center"/>
    </xf>
    <xf numFmtId="1" fontId="65" fillId="52" borderId="87" xfId="0" applyNumberFormat="1" applyFont="1" applyFill="1" applyBorder="1" applyAlignment="1">
      <alignment horizontal="left" vertical="center"/>
    </xf>
    <xf numFmtId="1" fontId="65" fillId="52" borderId="86" xfId="0" applyNumberFormat="1" applyFont="1" applyFill="1" applyBorder="1" applyAlignment="1">
      <alignment horizontal="left" vertical="center"/>
    </xf>
    <xf numFmtId="2" fontId="65" fillId="52" borderId="86" xfId="0" applyNumberFormat="1" applyFont="1" applyFill="1" applyBorder="1" applyAlignment="1">
      <alignment horizontal="left" vertical="center"/>
    </xf>
    <xf numFmtId="0" fontId="65" fillId="52" borderId="87" xfId="0" applyFont="1" applyFill="1" applyBorder="1" applyAlignment="1">
      <alignment horizontal="left" vertical="center"/>
    </xf>
    <xf numFmtId="1" fontId="65" fillId="52" borderId="80" xfId="0" applyNumberFormat="1" applyFont="1" applyFill="1" applyBorder="1" applyAlignment="1">
      <alignment horizontal="left" vertical="center"/>
    </xf>
    <xf numFmtId="1" fontId="65" fillId="52" borderId="0" xfId="0" applyNumberFormat="1" applyFont="1" applyFill="1" applyBorder="1" applyAlignment="1">
      <alignment horizontal="left" vertical="center"/>
    </xf>
    <xf numFmtId="2" fontId="65" fillId="52" borderId="0" xfId="0" applyNumberFormat="1" applyFont="1" applyFill="1" applyBorder="1" applyAlignment="1">
      <alignment horizontal="left" vertical="center"/>
    </xf>
    <xf numFmtId="0" fontId="65" fillId="52" borderId="0" xfId="0" applyFont="1" applyFill="1" applyBorder="1" applyAlignment="1">
      <alignment horizontal="left" vertical="center"/>
    </xf>
    <xf numFmtId="10" fontId="65" fillId="52" borderId="0" xfId="0" applyNumberFormat="1" applyFont="1" applyFill="1" applyBorder="1" applyAlignment="1">
      <alignment horizontal="right" vertical="center"/>
    </xf>
    <xf numFmtId="0" fontId="65" fillId="52" borderId="69" xfId="0" applyFont="1" applyFill="1" applyBorder="1" applyAlignment="1">
      <alignment horizontal="left" vertical="center"/>
    </xf>
    <xf numFmtId="0" fontId="57" fillId="57" borderId="85" xfId="0" applyFont="1" applyFill="1" applyBorder="1" applyAlignment="1" applyProtection="1">
      <alignment horizontal="center" vertical="center" wrapText="1"/>
      <protection locked="0"/>
    </xf>
    <xf numFmtId="0" fontId="57" fillId="57" borderId="85" xfId="0" applyFont="1" applyFill="1" applyBorder="1" applyAlignment="1" applyProtection="1">
      <alignment horizontal="justify" vertical="center" wrapText="1"/>
      <protection locked="0"/>
    </xf>
    <xf numFmtId="0" fontId="65" fillId="0" borderId="85" xfId="0" applyFont="1" applyBorder="1" applyAlignment="1" applyProtection="1">
      <alignment horizontal="center" vertical="center" wrapText="1"/>
      <protection locked="0"/>
    </xf>
    <xf numFmtId="0" fontId="65" fillId="0" borderId="85" xfId="0" applyFont="1" applyBorder="1" applyAlignment="1">
      <alignment horizontal="center" vertical="center" wrapText="1"/>
    </xf>
    <xf numFmtId="0" fontId="63" fillId="0" borderId="86" xfId="0" applyFont="1" applyBorder="1" applyAlignment="1">
      <alignment vertical="center"/>
    </xf>
    <xf numFmtId="0" fontId="63" fillId="0" borderId="72" xfId="0" applyFont="1" applyBorder="1" applyAlignment="1">
      <alignment vertical="center"/>
    </xf>
    <xf numFmtId="0" fontId="63" fillId="0" borderId="0" xfId="0" applyFont="1" applyAlignment="1">
      <alignment vertical="center"/>
    </xf>
    <xf numFmtId="0" fontId="63" fillId="0" borderId="0" xfId="0" applyFont="1"/>
    <xf numFmtId="0" fontId="63" fillId="75" borderId="85" xfId="0" applyFont="1" applyFill="1" applyBorder="1" applyAlignment="1">
      <alignment horizontal="center" vertical="center"/>
    </xf>
    <xf numFmtId="0" fontId="63" fillId="75" borderId="85" xfId="0" applyFont="1" applyFill="1" applyBorder="1" applyAlignment="1">
      <alignment horizontal="center" vertical="center" wrapText="1"/>
    </xf>
    <xf numFmtId="0" fontId="63" fillId="57" borderId="85" xfId="0" applyFont="1" applyFill="1" applyBorder="1" applyAlignment="1">
      <alignment horizontal="center" vertical="center"/>
    </xf>
    <xf numFmtId="0" fontId="63" fillId="0" borderId="85" xfId="0" applyFont="1" applyBorder="1" applyAlignment="1">
      <alignment horizontal="center" vertical="center"/>
    </xf>
    <xf numFmtId="194" fontId="63" fillId="74" borderId="85" xfId="0" applyNumberFormat="1" applyFont="1" applyFill="1" applyBorder="1" applyAlignment="1">
      <alignment horizontal="center" vertical="center"/>
    </xf>
    <xf numFmtId="43" fontId="63" fillId="0" borderId="85" xfId="0" applyNumberFormat="1" applyFont="1" applyBorder="1" applyAlignment="1">
      <alignment horizontal="center" vertical="center"/>
    </xf>
    <xf numFmtId="194" fontId="63" fillId="57" borderId="85" xfId="0" applyNumberFormat="1" applyFont="1" applyFill="1" applyBorder="1" applyAlignment="1">
      <alignment horizontal="center" vertical="center"/>
    </xf>
    <xf numFmtId="43" fontId="63" fillId="57" borderId="85" xfId="0" applyNumberFormat="1" applyFont="1" applyFill="1" applyBorder="1" applyAlignment="1">
      <alignment horizontal="center" vertical="center"/>
    </xf>
    <xf numFmtId="0" fontId="63" fillId="74" borderId="85" xfId="0" applyFont="1" applyFill="1" applyBorder="1" applyAlignment="1">
      <alignment horizontal="center" vertical="center"/>
    </xf>
    <xf numFmtId="0" fontId="63" fillId="0" borderId="85" xfId="0" applyFont="1" applyBorder="1" applyAlignment="1">
      <alignment horizontal="left" vertical="center" wrapText="1"/>
    </xf>
    <xf numFmtId="0" fontId="63" fillId="0" borderId="0" xfId="0" applyFont="1" applyAlignment="1">
      <alignment vertical="center" wrapText="1"/>
    </xf>
    <xf numFmtId="43" fontId="62" fillId="57" borderId="85" xfId="0" applyNumberFormat="1" applyFont="1" applyFill="1" applyBorder="1" applyAlignment="1">
      <alignment horizontal="center" vertical="center"/>
    </xf>
    <xf numFmtId="49" fontId="65" fillId="0" borderId="64" xfId="0" applyNumberFormat="1" applyFont="1" applyBorder="1" applyAlignment="1">
      <alignment horizontal="left" vertical="center"/>
    </xf>
    <xf numFmtId="1" fontId="65" fillId="52" borderId="63" xfId="0" applyNumberFormat="1" applyFont="1" applyFill="1" applyBorder="1" applyAlignment="1" applyProtection="1">
      <alignment horizontal="center" vertical="center"/>
      <protection locked="0"/>
    </xf>
    <xf numFmtId="0" fontId="57" fillId="52" borderId="63" xfId="0" applyFont="1" applyFill="1" applyBorder="1" applyAlignment="1">
      <alignment vertical="center"/>
    </xf>
    <xf numFmtId="0" fontId="65" fillId="52" borderId="63" xfId="0" applyFont="1" applyFill="1" applyBorder="1" applyAlignment="1" applyProtection="1">
      <alignment horizontal="center" vertical="center"/>
      <protection locked="0"/>
    </xf>
    <xf numFmtId="0" fontId="57" fillId="52" borderId="63" xfId="0" applyFont="1" applyFill="1" applyBorder="1" applyAlignment="1">
      <alignment horizontal="left" vertical="center" wrapText="1"/>
    </xf>
    <xf numFmtId="2" fontId="65" fillId="52" borderId="73" xfId="0" applyNumberFormat="1" applyFont="1" applyFill="1" applyBorder="1" applyAlignment="1" applyProtection="1">
      <alignment horizontal="right" vertical="center"/>
      <protection locked="0"/>
    </xf>
    <xf numFmtId="10" fontId="65" fillId="52" borderId="0" xfId="0" applyNumberFormat="1" applyFont="1" applyFill="1" applyAlignment="1" applyProtection="1">
      <alignment vertical="center"/>
      <protection locked="0"/>
    </xf>
    <xf numFmtId="49" fontId="65" fillId="52" borderId="64" xfId="0" applyNumberFormat="1" applyFont="1" applyFill="1" applyBorder="1" applyAlignment="1">
      <alignment horizontal="left" vertical="center"/>
    </xf>
    <xf numFmtId="0" fontId="57" fillId="52" borderId="63" xfId="0" applyFont="1" applyFill="1" applyBorder="1" applyAlignment="1">
      <alignment horizontal="left" vertical="center"/>
    </xf>
    <xf numFmtId="2" fontId="65" fillId="52" borderId="64" xfId="0" applyNumberFormat="1" applyFont="1" applyFill="1" applyBorder="1" applyAlignment="1" applyProtection="1">
      <alignment horizontal="left" vertical="center"/>
      <protection locked="0"/>
    </xf>
    <xf numFmtId="1" fontId="65" fillId="52" borderId="64" xfId="0" applyNumberFormat="1" applyFont="1" applyFill="1" applyBorder="1" applyAlignment="1">
      <alignment horizontal="left" vertical="center"/>
    </xf>
    <xf numFmtId="2" fontId="65" fillId="52" borderId="63" xfId="0" applyNumberFormat="1" applyFont="1" applyFill="1" applyBorder="1" applyAlignment="1">
      <alignment horizontal="left" vertical="center"/>
    </xf>
    <xf numFmtId="0" fontId="65" fillId="52" borderId="64" xfId="0" applyFont="1" applyFill="1" applyBorder="1" applyAlignment="1">
      <alignment horizontal="left" vertical="center"/>
    </xf>
    <xf numFmtId="10" fontId="65" fillId="52" borderId="0" xfId="0" applyNumberFormat="1" applyFont="1" applyFill="1" applyAlignment="1">
      <alignment horizontal="right" vertical="center"/>
    </xf>
    <xf numFmtId="0" fontId="65" fillId="52" borderId="0" xfId="0" applyFont="1" applyFill="1" applyBorder="1" applyAlignment="1">
      <alignment horizontal="right" vertical="center"/>
    </xf>
    <xf numFmtId="49" fontId="65" fillId="52" borderId="0" xfId="0" applyNumberFormat="1" applyFont="1" applyFill="1" applyAlignment="1">
      <alignment horizontal="right" vertical="center"/>
    </xf>
    <xf numFmtId="1" fontId="65" fillId="52" borderId="0" xfId="0" applyNumberFormat="1" applyFont="1" applyFill="1" applyAlignment="1">
      <alignment horizontal="center" vertical="center"/>
    </xf>
    <xf numFmtId="167" fontId="57" fillId="52" borderId="0" xfId="0" applyNumberFormat="1" applyFont="1" applyFill="1" applyAlignment="1">
      <alignment horizontal="left" vertical="center" wrapText="1"/>
    </xf>
    <xf numFmtId="2" fontId="65" fillId="52" borderId="0" xfId="0" applyNumberFormat="1" applyFont="1" applyFill="1" applyAlignment="1">
      <alignment horizontal="left" vertical="center"/>
    </xf>
    <xf numFmtId="0" fontId="57" fillId="52" borderId="0" xfId="0" applyFont="1" applyFill="1" applyAlignment="1">
      <alignment horizontal="left" vertical="center"/>
    </xf>
    <xf numFmtId="0" fontId="65" fillId="52" borderId="0" xfId="0" applyFont="1" applyFill="1" applyAlignment="1">
      <alignment horizontal="right" vertical="center"/>
    </xf>
    <xf numFmtId="49" fontId="57" fillId="52" borderId="60" xfId="0" applyNumberFormat="1" applyFont="1" applyFill="1" applyBorder="1" applyAlignment="1" applyProtection="1">
      <alignment horizontal="center" vertical="center" wrapText="1"/>
      <protection locked="0"/>
    </xf>
    <xf numFmtId="0" fontId="57" fillId="52" borderId="60" xfId="0" applyFont="1" applyFill="1" applyBorder="1" applyAlignment="1" applyProtection="1">
      <alignment horizontal="center" vertical="center" wrapText="1"/>
      <protection locked="0"/>
    </xf>
    <xf numFmtId="2" fontId="57" fillId="0" borderId="60" xfId="0" applyNumberFormat="1" applyFont="1" applyFill="1" applyBorder="1" applyAlignment="1" applyProtection="1">
      <alignment horizontal="center" vertical="center" wrapText="1"/>
      <protection locked="0"/>
    </xf>
    <xf numFmtId="2" fontId="57" fillId="0" borderId="9" xfId="0" applyNumberFormat="1" applyFont="1" applyFill="1" applyBorder="1" applyAlignment="1" applyProtection="1">
      <alignment horizontal="center" vertical="center" wrapText="1"/>
      <protection locked="0"/>
    </xf>
    <xf numFmtId="10" fontId="57" fillId="52" borderId="60" xfId="0" applyNumberFormat="1" applyFont="1" applyFill="1" applyBorder="1" applyAlignment="1" applyProtection="1">
      <alignment horizontal="center" vertical="center"/>
      <protection locked="0"/>
    </xf>
    <xf numFmtId="2" fontId="57" fillId="52" borderId="60" xfId="0" applyNumberFormat="1" applyFont="1" applyFill="1" applyBorder="1" applyAlignment="1" applyProtection="1">
      <alignment horizontal="center" vertical="center" wrapText="1"/>
      <protection locked="0"/>
    </xf>
    <xf numFmtId="0" fontId="57" fillId="70" borderId="70" xfId="0" applyNumberFormat="1" applyFont="1" applyFill="1" applyBorder="1" applyAlignment="1" applyProtection="1">
      <alignment horizontal="center" vertical="center" wrapText="1"/>
      <protection locked="0"/>
    </xf>
    <xf numFmtId="49" fontId="57" fillId="70" borderId="70" xfId="0" applyNumberFormat="1" applyFont="1" applyFill="1" applyBorder="1" applyAlignment="1" applyProtection="1">
      <alignment horizontal="center" vertical="center" wrapText="1"/>
      <protection locked="0"/>
    </xf>
    <xf numFmtId="0" fontId="57" fillId="70" borderId="70" xfId="0" applyFont="1" applyFill="1" applyBorder="1" applyAlignment="1" applyProtection="1">
      <alignment horizontal="center" vertical="center" wrapText="1"/>
      <protection locked="0"/>
    </xf>
    <xf numFmtId="2" fontId="57" fillId="70" borderId="70" xfId="0" applyNumberFormat="1" applyFont="1" applyFill="1" applyBorder="1" applyAlignment="1" applyProtection="1">
      <alignment horizontal="center" vertical="center" wrapText="1"/>
      <protection locked="0"/>
    </xf>
    <xf numFmtId="2" fontId="57" fillId="71" borderId="70" xfId="0" applyNumberFormat="1" applyFont="1" applyFill="1" applyBorder="1" applyAlignment="1" applyProtection="1">
      <alignment horizontal="center" vertical="center" wrapText="1"/>
      <protection locked="0"/>
    </xf>
    <xf numFmtId="10" fontId="57" fillId="70" borderId="70" xfId="0" applyNumberFormat="1" applyFont="1" applyFill="1" applyBorder="1" applyAlignment="1" applyProtection="1">
      <alignment horizontal="center" vertical="center"/>
      <protection locked="0"/>
    </xf>
    <xf numFmtId="0" fontId="57" fillId="64" borderId="53" xfId="680" applyNumberFormat="1" applyFont="1" applyFill="1" applyBorder="1" applyAlignment="1" applyProtection="1">
      <alignment horizontal="center" vertical="center" wrapText="1"/>
      <protection locked="0"/>
    </xf>
    <xf numFmtId="1" fontId="57" fillId="63" borderId="53" xfId="0" applyNumberFormat="1" applyFont="1" applyFill="1" applyBorder="1" applyAlignment="1" applyProtection="1">
      <alignment horizontal="center" vertical="center" wrapText="1"/>
      <protection locked="0"/>
    </xf>
    <xf numFmtId="2" fontId="57" fillId="63" borderId="53" xfId="0" applyNumberFormat="1" applyFont="1" applyFill="1" applyBorder="1" applyAlignment="1" applyProtection="1">
      <alignment horizontal="center" vertical="center" wrapText="1"/>
      <protection locked="0"/>
    </xf>
    <xf numFmtId="43" fontId="65" fillId="63" borderId="53" xfId="716" applyFont="1" applyFill="1" applyBorder="1" applyAlignment="1" applyProtection="1">
      <alignment horizontal="right" vertical="center" wrapText="1"/>
      <protection locked="0"/>
    </xf>
    <xf numFmtId="0" fontId="65" fillId="0" borderId="53" xfId="680" applyNumberFormat="1" applyFont="1" applyFill="1" applyBorder="1" applyAlignment="1" applyProtection="1">
      <alignment horizontal="center" vertical="center" wrapText="1"/>
      <protection locked="0"/>
    </xf>
    <xf numFmtId="1" fontId="65" fillId="0" borderId="53" xfId="0" applyNumberFormat="1" applyFont="1" applyBorder="1" applyAlignment="1" applyProtection="1">
      <alignment horizontal="center" vertical="center" wrapText="1"/>
      <protection locked="0"/>
    </xf>
    <xf numFmtId="49" fontId="65" fillId="0" borderId="53" xfId="0" applyNumberFormat="1" applyFont="1" applyBorder="1" applyAlignment="1" applyProtection="1">
      <alignment horizontal="center" vertical="center" wrapText="1"/>
      <protection locked="0"/>
    </xf>
    <xf numFmtId="2" fontId="65" fillId="0" borderId="53" xfId="0" applyNumberFormat="1" applyFont="1" applyBorder="1" applyAlignment="1" applyProtection="1">
      <alignment horizontal="center" vertical="center" wrapText="1"/>
      <protection locked="0"/>
    </xf>
    <xf numFmtId="43" fontId="65" fillId="0" borderId="53" xfId="716" applyFont="1" applyFill="1" applyBorder="1" applyAlignment="1" applyProtection="1">
      <alignment horizontal="right" vertical="center" wrapText="1"/>
      <protection locked="0"/>
    </xf>
    <xf numFmtId="10" fontId="65" fillId="0" borderId="53" xfId="527" applyNumberFormat="1" applyFont="1" applyFill="1" applyBorder="1" applyAlignment="1" applyProtection="1">
      <alignment horizontal="right" vertical="center" wrapText="1"/>
      <protection locked="0"/>
    </xf>
    <xf numFmtId="2" fontId="65" fillId="0" borderId="53" xfId="0" applyNumberFormat="1" applyFont="1" applyFill="1" applyBorder="1" applyAlignment="1" applyProtection="1">
      <alignment horizontal="center" vertical="center" wrapText="1"/>
      <protection locked="0"/>
    </xf>
    <xf numFmtId="1" fontId="65" fillId="0" borderId="53" xfId="0" applyNumberFormat="1" applyFont="1" applyFill="1" applyBorder="1" applyAlignment="1" applyProtection="1">
      <alignment horizontal="center" vertical="center" wrapText="1"/>
      <protection locked="0"/>
    </xf>
    <xf numFmtId="0" fontId="65" fillId="0" borderId="53" xfId="0" applyNumberFormat="1" applyFont="1" applyFill="1" applyBorder="1" applyAlignment="1" applyProtection="1">
      <alignment horizontal="center" vertical="center" wrapText="1"/>
      <protection locked="0"/>
    </xf>
    <xf numFmtId="49" fontId="65" fillId="0" borderId="53" xfId="0" applyNumberFormat="1" applyFont="1" applyFill="1" applyBorder="1" applyAlignment="1" applyProtection="1">
      <alignment horizontal="center" vertical="center" wrapText="1"/>
      <protection locked="0"/>
    </xf>
    <xf numFmtId="49" fontId="65" fillId="52" borderId="0" xfId="0" applyNumberFormat="1" applyFont="1" applyFill="1" applyAlignment="1" applyProtection="1">
      <alignment horizontal="center" vertical="center"/>
      <protection locked="0"/>
    </xf>
    <xf numFmtId="1" fontId="65" fillId="52" borderId="0" xfId="0" applyNumberFormat="1" applyFont="1" applyFill="1" applyAlignment="1" applyProtection="1">
      <alignment horizontal="center" vertical="center"/>
      <protection locked="0"/>
    </xf>
    <xf numFmtId="0" fontId="65" fillId="52" borderId="0" xfId="0" applyFont="1" applyFill="1" applyAlignment="1" applyProtection="1">
      <alignment vertical="justify" wrapText="1"/>
      <protection locked="0"/>
    </xf>
    <xf numFmtId="0" fontId="65" fillId="52" borderId="0" xfId="0" applyFont="1" applyFill="1" applyAlignment="1" applyProtection="1">
      <alignment horizontal="center" vertical="center"/>
      <protection locked="0"/>
    </xf>
    <xf numFmtId="2" fontId="65" fillId="52"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wrapText="1"/>
      <protection locked="0"/>
    </xf>
    <xf numFmtId="0" fontId="57" fillId="0" borderId="0" xfId="0" applyFont="1" applyFill="1" applyAlignment="1" applyProtection="1">
      <alignment vertical="center" wrapText="1"/>
      <protection locked="0"/>
    </xf>
    <xf numFmtId="43" fontId="57" fillId="0" borderId="0" xfId="0" applyNumberFormat="1" applyFont="1" applyFill="1" applyAlignment="1" applyProtection="1">
      <alignment vertical="center" wrapText="1"/>
      <protection locked="0"/>
    </xf>
    <xf numFmtId="0" fontId="57" fillId="0" borderId="0" xfId="0" applyFont="1" applyFill="1" applyAlignment="1" applyProtection="1">
      <alignment horizontal="center" vertical="center" wrapText="1"/>
      <protection locked="0"/>
    </xf>
    <xf numFmtId="0" fontId="65" fillId="0" borderId="53" xfId="0" applyFont="1" applyFill="1" applyBorder="1" applyAlignment="1" applyProtection="1">
      <alignment horizontal="center" vertical="center" wrapText="1"/>
      <protection locked="0"/>
    </xf>
    <xf numFmtId="0" fontId="72" fillId="53" borderId="71" xfId="418" applyFont="1" applyFill="1" applyBorder="1" applyAlignment="1">
      <alignment horizontal="center" vertical="center" wrapText="1"/>
    </xf>
    <xf numFmtId="0" fontId="65" fillId="0" borderId="85" xfId="0" applyFont="1" applyFill="1" applyBorder="1" applyAlignment="1" applyProtection="1">
      <alignment horizontal="center" vertical="center" wrapText="1"/>
      <protection locked="0"/>
    </xf>
    <xf numFmtId="0" fontId="57" fillId="57" borderId="85" xfId="0" applyFont="1" applyFill="1" applyBorder="1" applyAlignment="1" applyProtection="1">
      <alignment horizontal="left" vertical="center" wrapText="1"/>
      <protection locked="0"/>
    </xf>
    <xf numFmtId="194" fontId="57" fillId="57" borderId="85" xfId="0" applyNumberFormat="1" applyFont="1" applyFill="1" applyBorder="1" applyAlignment="1" applyProtection="1">
      <alignment horizontal="center" vertical="center" wrapText="1"/>
      <protection locked="0"/>
    </xf>
    <xf numFmtId="4" fontId="57" fillId="57" borderId="85" xfId="0" applyNumberFormat="1" applyFont="1" applyFill="1" applyBorder="1" applyAlignment="1" applyProtection="1">
      <alignment horizontal="center" vertical="center" wrapText="1"/>
      <protection locked="0"/>
    </xf>
    <xf numFmtId="4" fontId="57" fillId="57" borderId="85" xfId="0" applyNumberFormat="1" applyFont="1" applyFill="1" applyBorder="1" applyAlignment="1" applyProtection="1">
      <alignment horizontal="right" vertical="center" wrapText="1"/>
      <protection locked="0"/>
    </xf>
    <xf numFmtId="0" fontId="111" fillId="57" borderId="87" xfId="0" applyFont="1" applyFill="1" applyBorder="1" applyAlignment="1" applyProtection="1">
      <alignment horizontal="center" vertical="center" wrapText="1"/>
      <protection locked="0"/>
    </xf>
    <xf numFmtId="0" fontId="111" fillId="57" borderId="85" xfId="0" applyFont="1" applyFill="1" applyBorder="1" applyAlignment="1" applyProtection="1">
      <alignment horizontal="center" vertical="center" wrapText="1"/>
      <protection locked="0"/>
    </xf>
    <xf numFmtId="4" fontId="57" fillId="58" borderId="87" xfId="0" applyNumberFormat="1" applyFont="1" applyFill="1" applyBorder="1" applyAlignment="1" applyProtection="1">
      <alignment vertical="center"/>
      <protection locked="0"/>
    </xf>
    <xf numFmtId="4" fontId="57" fillId="58" borderId="86" xfId="0" applyNumberFormat="1" applyFont="1" applyFill="1" applyBorder="1" applyAlignment="1" applyProtection="1">
      <alignment horizontal="center" vertical="center"/>
      <protection locked="0"/>
    </xf>
    <xf numFmtId="4" fontId="57" fillId="58" borderId="88" xfId="0" applyNumberFormat="1" applyFont="1" applyFill="1" applyBorder="1" applyAlignment="1" applyProtection="1">
      <alignment vertical="center"/>
      <protection locked="0"/>
    </xf>
    <xf numFmtId="4" fontId="57" fillId="58" borderId="37" xfId="0" applyNumberFormat="1" applyFont="1" applyFill="1" applyBorder="1" applyAlignment="1" applyProtection="1">
      <alignment horizontal="center" vertical="center" wrapText="1"/>
      <protection locked="0"/>
    </xf>
    <xf numFmtId="4" fontId="57" fillId="58" borderId="37" xfId="0" applyNumberFormat="1" applyFont="1" applyFill="1" applyBorder="1" applyAlignment="1" applyProtection="1">
      <alignment horizontal="center" vertical="center"/>
      <protection locked="0"/>
    </xf>
    <xf numFmtId="0" fontId="11" fillId="0" borderId="85" xfId="0" applyFont="1" applyBorder="1" applyAlignment="1">
      <alignment vertical="center"/>
    </xf>
    <xf numFmtId="0" fontId="11" fillId="0" borderId="85" xfId="0" applyFont="1" applyBorder="1"/>
    <xf numFmtId="0" fontId="11" fillId="67" borderId="85" xfId="0" applyFont="1" applyFill="1" applyBorder="1"/>
    <xf numFmtId="0" fontId="65" fillId="67" borderId="85" xfId="0" applyFont="1" applyFill="1" applyBorder="1"/>
    <xf numFmtId="0" fontId="67" fillId="67" borderId="85" xfId="0" applyFont="1" applyFill="1" applyBorder="1" applyAlignment="1">
      <alignment horizontal="left" wrapText="1"/>
    </xf>
    <xf numFmtId="49" fontId="111" fillId="57" borderId="85" xfId="0" applyNumberFormat="1" applyFont="1" applyFill="1" applyBorder="1" applyAlignment="1" applyProtection="1">
      <alignment horizontal="center" vertical="center" wrapText="1"/>
      <protection locked="0"/>
    </xf>
    <xf numFmtId="0" fontId="65" fillId="0" borderId="85" xfId="0" applyFont="1" applyFill="1" applyBorder="1" applyAlignment="1" applyProtection="1">
      <alignment horizontal="center" vertical="center"/>
      <protection locked="0"/>
    </xf>
    <xf numFmtId="0" fontId="74" fillId="0" borderId="85" xfId="0" applyFont="1" applyBorder="1" applyAlignment="1" applyProtection="1">
      <alignment horizontal="center" vertical="center" wrapText="1"/>
      <protection locked="0"/>
    </xf>
    <xf numFmtId="0" fontId="65" fillId="0" borderId="85" xfId="0" applyFont="1" applyBorder="1" applyAlignment="1" applyProtection="1">
      <alignment horizontal="justify" vertical="center" wrapText="1"/>
      <protection locked="0"/>
    </xf>
    <xf numFmtId="194" fontId="65" fillId="78" borderId="85" xfId="0" applyNumberFormat="1" applyFont="1" applyFill="1" applyBorder="1" applyAlignment="1" applyProtection="1">
      <alignment vertical="center"/>
      <protection locked="0"/>
    </xf>
    <xf numFmtId="4" fontId="65" fillId="0" borderId="85" xfId="0" quotePrefix="1" applyNumberFormat="1" applyFont="1" applyBorder="1" applyAlignment="1" applyProtection="1">
      <alignment horizontal="right" vertical="center"/>
      <protection locked="0"/>
    </xf>
    <xf numFmtId="4" fontId="65" fillId="0" borderId="85" xfId="0" applyNumberFormat="1" applyFont="1" applyBorder="1" applyAlignment="1" applyProtection="1">
      <alignment horizontal="right" vertical="center"/>
      <protection locked="0"/>
    </xf>
    <xf numFmtId="4" fontId="65" fillId="0" borderId="85" xfId="0" applyNumberFormat="1" applyFont="1" applyBorder="1" applyAlignment="1" applyProtection="1">
      <alignment vertical="center"/>
      <protection locked="0"/>
    </xf>
    <xf numFmtId="0" fontId="108" fillId="0" borderId="85" xfId="0" applyNumberFormat="1" applyFont="1" applyBorder="1" applyAlignment="1" applyProtection="1">
      <alignment horizontal="center" vertical="center"/>
      <protection locked="0"/>
    </xf>
    <xf numFmtId="49" fontId="74" fillId="0" borderId="87" xfId="457" applyNumberFormat="1" applyFont="1" applyBorder="1" applyAlignment="1">
      <alignment horizontal="center" vertical="center" wrapText="1"/>
    </xf>
    <xf numFmtId="0" fontId="74" fillId="0" borderId="85" xfId="0" applyNumberFormat="1" applyFont="1" applyBorder="1" applyAlignment="1" applyProtection="1">
      <alignment horizontal="center" vertical="center" wrapText="1"/>
      <protection locked="0"/>
    </xf>
    <xf numFmtId="194" fontId="74" fillId="78" borderId="88" xfId="722" applyNumberFormat="1" applyFont="1" applyFill="1" applyBorder="1" applyAlignment="1">
      <alignment vertical="center"/>
    </xf>
    <xf numFmtId="49" fontId="111" fillId="57" borderId="85" xfId="0" applyNumberFormat="1" applyFont="1" applyFill="1" applyBorder="1" applyAlignment="1" applyProtection="1">
      <alignment horizontal="center" vertical="center"/>
      <protection locked="0"/>
    </xf>
    <xf numFmtId="49" fontId="57" fillId="57" borderId="85" xfId="0" applyNumberFormat="1" applyFont="1" applyFill="1" applyBorder="1" applyAlignment="1" applyProtection="1">
      <alignment horizontal="justify" vertical="center" wrapText="1"/>
      <protection locked="0"/>
    </xf>
    <xf numFmtId="43" fontId="57" fillId="57" borderId="85" xfId="717" applyFont="1" applyFill="1" applyBorder="1" applyAlignment="1" applyProtection="1">
      <alignment horizontal="center" vertical="center" wrapText="1"/>
      <protection locked="0"/>
    </xf>
    <xf numFmtId="0" fontId="65" fillId="0" borderId="85" xfId="0" applyNumberFormat="1" applyFont="1" applyFill="1" applyBorder="1" applyAlignment="1" applyProtection="1">
      <alignment horizontal="center" vertical="center"/>
      <protection locked="0"/>
    </xf>
    <xf numFmtId="0" fontId="74" fillId="0" borderId="85" xfId="0" applyNumberFormat="1" applyFont="1" applyFill="1" applyBorder="1" applyAlignment="1" applyProtection="1">
      <alignment horizontal="center" vertical="center" wrapText="1"/>
      <protection locked="0"/>
    </xf>
    <xf numFmtId="194" fontId="74" fillId="78" borderId="85" xfId="722" applyNumberFormat="1" applyFont="1" applyFill="1" applyBorder="1" applyAlignment="1">
      <alignment vertical="center"/>
    </xf>
    <xf numFmtId="0" fontId="74" fillId="0" borderId="85" xfId="0" applyFont="1" applyFill="1" applyBorder="1" applyAlignment="1" applyProtection="1">
      <alignment horizontal="center" vertical="center" wrapText="1"/>
      <protection locked="0"/>
    </xf>
    <xf numFmtId="0" fontId="108" fillId="0" borderId="85" xfId="0" applyNumberFormat="1" applyFont="1" applyFill="1" applyBorder="1" applyAlignment="1" applyProtection="1">
      <alignment horizontal="center" vertical="center"/>
      <protection locked="0"/>
    </xf>
    <xf numFmtId="0" fontId="74" fillId="0" borderId="85" xfId="0" applyFont="1" applyBorder="1" applyAlignment="1">
      <alignment horizontal="center" vertical="center" wrapText="1"/>
    </xf>
    <xf numFmtId="4" fontId="65" fillId="0" borderId="85" xfId="0" applyNumberFormat="1" applyFont="1" applyFill="1" applyBorder="1" applyAlignment="1" applyProtection="1">
      <alignment vertical="center"/>
      <protection locked="0"/>
    </xf>
    <xf numFmtId="195" fontId="108" fillId="0" borderId="85" xfId="0" applyNumberFormat="1" applyFont="1" applyBorder="1" applyAlignment="1" applyProtection="1">
      <alignment horizontal="center" vertical="center"/>
      <protection locked="0"/>
    </xf>
    <xf numFmtId="195" fontId="111" fillId="0" borderId="85" xfId="0" applyNumberFormat="1" applyFont="1" applyBorder="1" applyAlignment="1" applyProtection="1">
      <alignment horizontal="center" vertical="center"/>
      <protection locked="0"/>
    </xf>
    <xf numFmtId="0" fontId="72" fillId="57" borderId="85" xfId="0" applyFont="1" applyFill="1" applyBorder="1" applyAlignment="1" applyProtection="1">
      <alignment horizontal="justify" vertical="center" wrapText="1"/>
      <protection locked="0"/>
    </xf>
    <xf numFmtId="194" fontId="72" fillId="57" borderId="85" xfId="0" applyNumberFormat="1" applyFont="1" applyFill="1" applyBorder="1" applyAlignment="1" applyProtection="1">
      <alignment horizontal="center" vertical="center" wrapText="1"/>
      <protection locked="0"/>
    </xf>
    <xf numFmtId="4" fontId="72" fillId="57" borderId="85" xfId="0" applyNumberFormat="1" applyFont="1" applyFill="1" applyBorder="1" applyAlignment="1" applyProtection="1">
      <alignment horizontal="right" vertical="center" wrapText="1"/>
      <protection locked="0"/>
    </xf>
    <xf numFmtId="0" fontId="11" fillId="57" borderId="85" xfId="0" applyFont="1" applyFill="1" applyBorder="1"/>
    <xf numFmtId="194" fontId="74" fillId="78" borderId="85" xfId="0" applyNumberFormat="1" applyFont="1" applyFill="1" applyBorder="1" applyAlignment="1" applyProtection="1">
      <alignment vertical="center"/>
      <protection locked="0"/>
    </xf>
    <xf numFmtId="0" fontId="11" fillId="57" borderId="85" xfId="0" applyFont="1" applyFill="1" applyBorder="1" applyAlignment="1">
      <alignment vertical="center"/>
    </xf>
    <xf numFmtId="0" fontId="112" fillId="0" borderId="85" xfId="0" applyNumberFormat="1" applyFont="1" applyBorder="1" applyAlignment="1" applyProtection="1">
      <alignment horizontal="center" vertical="center"/>
      <protection locked="0"/>
    </xf>
    <xf numFmtId="194" fontId="74" fillId="78" borderId="85" xfId="765" applyNumberFormat="1" applyFont="1" applyFill="1" applyBorder="1" applyAlignment="1">
      <alignment horizontal="right" vertical="center"/>
    </xf>
    <xf numFmtId="0" fontId="72" fillId="57" borderId="85" xfId="0" applyFont="1" applyFill="1" applyBorder="1" applyAlignment="1" applyProtection="1">
      <alignment horizontal="left" vertical="center" wrapText="1"/>
      <protection locked="0"/>
    </xf>
    <xf numFmtId="0" fontId="11" fillId="0" borderId="85" xfId="0" applyFont="1" applyFill="1" applyBorder="1"/>
    <xf numFmtId="194" fontId="65" fillId="78" borderId="85" xfId="0" quotePrefix="1" applyNumberFormat="1" applyFont="1" applyFill="1" applyBorder="1" applyAlignment="1" applyProtection="1">
      <alignment vertical="center"/>
      <protection locked="0"/>
    </xf>
    <xf numFmtId="195" fontId="108" fillId="0" borderId="85" xfId="0" applyNumberFormat="1" applyFont="1" applyFill="1" applyBorder="1" applyAlignment="1" applyProtection="1">
      <alignment horizontal="center" vertical="center"/>
      <protection locked="0"/>
    </xf>
    <xf numFmtId="43" fontId="111" fillId="57" borderId="85" xfId="717" applyFont="1" applyFill="1" applyBorder="1" applyAlignment="1" applyProtection="1">
      <alignment horizontal="center" vertical="center" wrapText="1"/>
      <protection locked="0"/>
    </xf>
    <xf numFmtId="43" fontId="111" fillId="0" borderId="85" xfId="717" applyFont="1" applyBorder="1" applyAlignment="1" applyProtection="1">
      <alignment horizontal="center" vertical="center"/>
      <protection locked="0"/>
    </xf>
    <xf numFmtId="195" fontId="65" fillId="0" borderId="85" xfId="0" applyNumberFormat="1" applyFont="1" applyBorder="1" applyAlignment="1" applyProtection="1">
      <alignment horizontal="center" vertical="center"/>
      <protection locked="0"/>
    </xf>
    <xf numFmtId="4" fontId="72" fillId="57" borderId="85" xfId="0" applyNumberFormat="1" applyFont="1" applyFill="1" applyBorder="1" applyAlignment="1" applyProtection="1">
      <alignment horizontal="center" vertical="center" wrapText="1"/>
      <protection locked="0"/>
    </xf>
    <xf numFmtId="195" fontId="65" fillId="0" borderId="85" xfId="0" applyNumberFormat="1" applyFont="1" applyFill="1" applyBorder="1" applyAlignment="1" applyProtection="1">
      <alignment horizontal="center" vertical="center"/>
      <protection locked="0"/>
    </xf>
    <xf numFmtId="197" fontId="111" fillId="57" borderId="85" xfId="0" applyNumberFormat="1" applyFont="1" applyFill="1" applyBorder="1" applyAlignment="1" applyProtection="1">
      <alignment horizontal="center" vertical="center" wrapText="1"/>
      <protection locked="0"/>
    </xf>
    <xf numFmtId="167" fontId="57" fillId="52" borderId="86" xfId="0" applyNumberFormat="1" applyFont="1" applyFill="1" applyBorder="1" applyAlignment="1">
      <alignment horizontal="left" vertical="center"/>
    </xf>
    <xf numFmtId="14" fontId="57" fillId="58" borderId="86" xfId="0" applyNumberFormat="1" applyFont="1" applyFill="1" applyBorder="1" applyAlignment="1">
      <alignment horizontal="left" vertical="center"/>
    </xf>
    <xf numFmtId="0" fontId="57" fillId="52" borderId="86" xfId="0" applyFont="1" applyFill="1" applyBorder="1" applyAlignment="1" applyProtection="1">
      <alignment vertical="center"/>
      <protection locked="0"/>
    </xf>
    <xf numFmtId="43" fontId="111" fillId="0" borderId="85" xfId="717" applyFont="1" applyFill="1" applyBorder="1" applyAlignment="1" applyProtection="1">
      <alignment horizontal="center" vertical="center"/>
      <protection locked="0"/>
    </xf>
    <xf numFmtId="0" fontId="113" fillId="0" borderId="68" xfId="0" applyFont="1" applyBorder="1" applyAlignment="1">
      <alignment horizontal="center" vertical="center"/>
    </xf>
    <xf numFmtId="8" fontId="11" fillId="0" borderId="68" xfId="0" applyNumberFormat="1" applyFont="1" applyBorder="1" applyAlignment="1">
      <alignment horizontal="center" vertical="center"/>
    </xf>
    <xf numFmtId="0" fontId="113" fillId="0" borderId="0" xfId="0" applyFont="1" applyFill="1" applyAlignment="1">
      <alignment horizontal="center" vertical="center"/>
    </xf>
    <xf numFmtId="0" fontId="57" fillId="0" borderId="0" xfId="0" applyFont="1" applyFill="1" applyAlignment="1">
      <alignment horizontal="center" vertical="center"/>
    </xf>
    <xf numFmtId="0" fontId="65" fillId="78" borderId="85" xfId="0" applyFont="1" applyFill="1" applyBorder="1" applyAlignment="1" applyProtection="1">
      <alignment horizontal="center" vertical="center"/>
      <protection locked="0"/>
    </xf>
    <xf numFmtId="0" fontId="74" fillId="78" borderId="85" xfId="0" applyFont="1" applyFill="1" applyBorder="1" applyAlignment="1" applyProtection="1">
      <alignment horizontal="center" vertical="center" wrapText="1"/>
      <protection locked="0"/>
    </xf>
    <xf numFmtId="0" fontId="74" fillId="78" borderId="85" xfId="0" applyFont="1" applyFill="1" applyBorder="1" applyAlignment="1">
      <alignment horizontal="center" vertical="center" wrapText="1"/>
    </xf>
    <xf numFmtId="49" fontId="74" fillId="78" borderId="87" xfId="457" applyNumberFormat="1" applyFont="1" applyFill="1" applyBorder="1" applyAlignment="1">
      <alignment horizontal="center" vertical="center" wrapText="1"/>
    </xf>
    <xf numFmtId="0" fontId="74" fillId="78" borderId="85" xfId="0" applyNumberFormat="1" applyFont="1" applyFill="1" applyBorder="1" applyAlignment="1" applyProtection="1">
      <alignment horizontal="center" vertical="center" wrapText="1"/>
      <protection locked="0"/>
    </xf>
    <xf numFmtId="0" fontId="65" fillId="78" borderId="85" xfId="0" applyNumberFormat="1" applyFont="1" applyFill="1" applyBorder="1" applyAlignment="1" applyProtection="1">
      <alignment horizontal="center" vertical="center"/>
      <protection locked="0"/>
    </xf>
    <xf numFmtId="0" fontId="74" fillId="78" borderId="85" xfId="0" applyFont="1" applyFill="1" applyBorder="1" applyAlignment="1" applyProtection="1">
      <alignment horizontal="center" vertical="center"/>
      <protection locked="0"/>
    </xf>
    <xf numFmtId="0" fontId="79" fillId="78" borderId="85" xfId="0" applyFont="1" applyFill="1" applyBorder="1" applyAlignment="1" applyProtection="1">
      <alignment horizontal="center" vertical="center" wrapText="1"/>
      <protection locked="0"/>
    </xf>
    <xf numFmtId="0" fontId="65" fillId="0" borderId="54" xfId="417" applyFont="1" applyFill="1" applyBorder="1" applyAlignment="1">
      <alignment horizontal="center" vertical="center" wrapText="1"/>
    </xf>
    <xf numFmtId="195" fontId="108" fillId="0" borderId="87" xfId="0" applyNumberFormat="1" applyFont="1" applyFill="1" applyBorder="1" applyAlignment="1" applyProtection="1">
      <alignment horizontal="center" vertical="center"/>
      <protection locked="0"/>
    </xf>
    <xf numFmtId="4" fontId="65" fillId="0" borderId="85" xfId="0" applyNumberFormat="1" applyFont="1" applyBorder="1" applyAlignment="1" applyProtection="1">
      <alignment horizontal="right" vertical="center" wrapText="1"/>
      <protection locked="0"/>
    </xf>
    <xf numFmtId="0" fontId="73" fillId="61" borderId="0" xfId="0" applyFont="1" applyFill="1" applyAlignment="1">
      <alignment horizontal="center" vertical="center"/>
    </xf>
    <xf numFmtId="8" fontId="11" fillId="0" borderId="68" xfId="0" applyNumberFormat="1" applyFont="1" applyFill="1" applyBorder="1" applyAlignment="1">
      <alignment horizontal="center" vertical="center"/>
    </xf>
    <xf numFmtId="43" fontId="57" fillId="0" borderId="53" xfId="716" applyFont="1" applyFill="1" applyBorder="1" applyAlignment="1" applyProtection="1">
      <alignment horizontal="right" vertical="center" wrapText="1"/>
      <protection locked="0"/>
    </xf>
    <xf numFmtId="9" fontId="65" fillId="0" borderId="0" xfId="0" applyNumberFormat="1" applyFont="1" applyFill="1" applyAlignment="1" applyProtection="1">
      <alignment vertical="center"/>
      <protection locked="0"/>
    </xf>
    <xf numFmtId="0" fontId="65" fillId="0" borderId="0" xfId="0" applyFont="1" applyFill="1" applyAlignment="1">
      <alignment horizontal="center" vertical="center"/>
    </xf>
    <xf numFmtId="188" fontId="72" fillId="64" borderId="0" xfId="680" applyNumberFormat="1" applyFont="1" applyFill="1" applyAlignment="1" applyProtection="1">
      <alignment horizontal="center" vertical="center" wrapText="1"/>
      <protection locked="0"/>
    </xf>
    <xf numFmtId="2" fontId="57" fillId="0" borderId="53" xfId="0" applyNumberFormat="1" applyFont="1" applyFill="1" applyBorder="1" applyAlignment="1" applyProtection="1">
      <alignment horizontal="center" vertical="center" wrapText="1"/>
      <protection locked="0"/>
    </xf>
    <xf numFmtId="2" fontId="72" fillId="64" borderId="0" xfId="680" applyNumberFormat="1" applyFont="1" applyFill="1" applyAlignment="1" applyProtection="1">
      <alignment horizontal="center" vertical="center" wrapText="1"/>
      <protection locked="0"/>
    </xf>
    <xf numFmtId="188" fontId="74" fillId="0" borderId="0" xfId="418" applyNumberFormat="1" applyFont="1"/>
    <xf numFmtId="0" fontId="57" fillId="0" borderId="0" xfId="0" applyFont="1" applyFill="1" applyAlignment="1" applyProtection="1">
      <alignment horizontal="center" vertical="center"/>
      <protection locked="0"/>
    </xf>
    <xf numFmtId="4" fontId="57" fillId="0" borderId="0" xfId="0" applyNumberFormat="1" applyFont="1" applyFill="1" applyAlignment="1" applyProtection="1">
      <alignment horizontal="center" vertical="center" wrapText="1"/>
      <protection locked="0"/>
    </xf>
    <xf numFmtId="1" fontId="57" fillId="0" borderId="53" xfId="0" applyNumberFormat="1" applyFont="1" applyFill="1" applyBorder="1" applyAlignment="1" applyProtection="1">
      <alignment horizontal="center" vertical="center" wrapText="1"/>
      <protection locked="0"/>
    </xf>
    <xf numFmtId="49" fontId="57" fillId="0" borderId="53" xfId="0" applyNumberFormat="1" applyFont="1" applyFill="1" applyBorder="1" applyAlignment="1" applyProtection="1">
      <alignment horizontal="center" vertical="center" wrapText="1"/>
      <protection locked="0"/>
    </xf>
    <xf numFmtId="10" fontId="57" fillId="0" borderId="53" xfId="527" applyNumberFormat="1" applyFont="1" applyFill="1" applyBorder="1" applyAlignment="1" applyProtection="1">
      <alignment horizontal="right" vertical="center" wrapText="1"/>
      <protection locked="0"/>
    </xf>
    <xf numFmtId="0" fontId="57" fillId="0" borderId="0" xfId="0" applyFont="1" applyFill="1" applyAlignment="1" applyProtection="1">
      <alignment vertical="center"/>
      <protection locked="0"/>
    </xf>
    <xf numFmtId="43" fontId="57" fillId="0" borderId="0" xfId="0" applyNumberFormat="1" applyFont="1" applyFill="1" applyAlignment="1" applyProtection="1">
      <alignment vertical="center"/>
      <protection locked="0"/>
    </xf>
    <xf numFmtId="44" fontId="6" fillId="63" borderId="0" xfId="296" applyFill="1" applyAlignment="1" applyProtection="1">
      <alignment horizontal="justify" vertical="justify" wrapText="1"/>
      <protection locked="0"/>
    </xf>
    <xf numFmtId="49" fontId="74" fillId="58" borderId="63" xfId="0" applyNumberFormat="1" applyFont="1" applyFill="1" applyBorder="1" applyAlignment="1">
      <alignment horizontal="left" vertical="center"/>
    </xf>
    <xf numFmtId="0" fontId="65" fillId="68" borderId="63" xfId="0" applyFont="1" applyFill="1" applyBorder="1" applyAlignment="1" applyProtection="1">
      <alignment horizontal="center" vertical="center"/>
      <protection locked="0"/>
    </xf>
    <xf numFmtId="0" fontId="74" fillId="68" borderId="63" xfId="0" applyFont="1" applyFill="1" applyBorder="1" applyAlignment="1" applyProtection="1">
      <alignment vertical="justify" wrapText="1"/>
      <protection locked="0"/>
    </xf>
    <xf numFmtId="0" fontId="74" fillId="68" borderId="63" xfId="0" applyFont="1" applyFill="1" applyBorder="1" applyAlignment="1" applyProtection="1">
      <alignment horizontal="center" vertical="center"/>
      <protection locked="0"/>
    </xf>
    <xf numFmtId="0" fontId="72" fillId="68" borderId="63" xfId="0" applyFont="1" applyFill="1" applyBorder="1" applyAlignment="1">
      <alignment horizontal="left" vertical="center" wrapText="1"/>
    </xf>
    <xf numFmtId="0" fontId="72" fillId="68" borderId="62" xfId="0" applyFont="1" applyFill="1" applyBorder="1" applyAlignment="1">
      <alignment vertical="center" wrapText="1"/>
    </xf>
    <xf numFmtId="2" fontId="74" fillId="68" borderId="80" xfId="0" applyNumberFormat="1" applyFont="1" applyFill="1" applyBorder="1" applyAlignment="1">
      <alignment horizontal="left" vertical="center"/>
    </xf>
    <xf numFmtId="0" fontId="72" fillId="68" borderId="63" xfId="0" applyFont="1" applyFill="1" applyBorder="1" applyAlignment="1">
      <alignment vertical="center" wrapText="1"/>
    </xf>
    <xf numFmtId="10" fontId="72" fillId="68" borderId="81" xfId="0" applyNumberFormat="1" applyFont="1" applyFill="1" applyBorder="1" applyAlignment="1">
      <alignment horizontal="left" vertical="center"/>
    </xf>
    <xf numFmtId="49" fontId="74" fillId="68" borderId="61" xfId="0" applyNumberFormat="1" applyFont="1" applyFill="1" applyBorder="1" applyAlignment="1">
      <alignment horizontal="left" vertical="center"/>
    </xf>
    <xf numFmtId="49" fontId="74" fillId="68" borderId="19" xfId="0" applyNumberFormat="1" applyFont="1" applyFill="1" applyBorder="1" applyAlignment="1">
      <alignment horizontal="left" vertical="center"/>
    </xf>
    <xf numFmtId="0" fontId="72" fillId="68" borderId="19" xfId="0" applyFont="1" applyFill="1" applyBorder="1" applyAlignment="1">
      <alignment horizontal="left" vertical="center"/>
    </xf>
    <xf numFmtId="0" fontId="74" fillId="68" borderId="19" xfId="0" applyFont="1" applyFill="1" applyBorder="1" applyAlignment="1" applyProtection="1">
      <alignment vertical="justify" wrapText="1"/>
      <protection locked="0"/>
    </xf>
    <xf numFmtId="0" fontId="74" fillId="68" borderId="19" xfId="0" applyFont="1" applyFill="1" applyBorder="1" applyAlignment="1" applyProtection="1">
      <alignment horizontal="center" vertical="center"/>
      <protection locked="0"/>
    </xf>
    <xf numFmtId="0" fontId="65" fillId="68" borderId="19" xfId="0" applyFont="1" applyFill="1" applyBorder="1" applyAlignment="1" applyProtection="1">
      <alignment vertical="center"/>
      <protection locked="0"/>
    </xf>
    <xf numFmtId="2" fontId="74" fillId="68" borderId="19" xfId="0" applyNumberFormat="1" applyFont="1" applyFill="1" applyBorder="1" applyAlignment="1" applyProtection="1">
      <alignment horizontal="center" vertical="center"/>
      <protection locked="0"/>
    </xf>
    <xf numFmtId="49" fontId="74" fillId="68" borderId="63" xfId="0" applyNumberFormat="1" applyFont="1" applyFill="1" applyBorder="1" applyAlignment="1">
      <alignment horizontal="left" vertical="center"/>
    </xf>
    <xf numFmtId="2" fontId="72" fillId="68" borderId="63" xfId="0" applyNumberFormat="1" applyFont="1" applyFill="1" applyBorder="1" applyAlignment="1" applyProtection="1">
      <alignment horizontal="center" vertical="center"/>
      <protection locked="0"/>
    </xf>
    <xf numFmtId="0" fontId="65" fillId="68" borderId="63" xfId="0" applyFont="1" applyFill="1" applyBorder="1" applyAlignment="1" applyProtection="1">
      <alignment vertical="center"/>
      <protection locked="0"/>
    </xf>
    <xf numFmtId="2" fontId="74" fillId="68" borderId="62" xfId="0" applyNumberFormat="1" applyFont="1" applyFill="1" applyBorder="1" applyAlignment="1" applyProtection="1">
      <alignment horizontal="center" vertical="center"/>
      <protection locked="0"/>
    </xf>
    <xf numFmtId="2" fontId="74" fillId="68" borderId="80" xfId="0" applyNumberFormat="1" applyFont="1" applyFill="1" applyBorder="1" applyAlignment="1" applyProtection="1">
      <alignment horizontal="left" vertical="center"/>
      <protection locked="0"/>
    </xf>
    <xf numFmtId="0" fontId="72" fillId="68" borderId="72" xfId="0" applyFont="1" applyFill="1" applyBorder="1" applyAlignment="1">
      <alignment horizontal="left" vertical="center"/>
    </xf>
    <xf numFmtId="14" fontId="72" fillId="58" borderId="81" xfId="0" applyNumberFormat="1" applyFont="1" applyFill="1" applyBorder="1" applyAlignment="1">
      <alignment horizontal="left" vertical="center"/>
    </xf>
    <xf numFmtId="1" fontId="74" fillId="68" borderId="61" xfId="0" applyNumberFormat="1" applyFont="1" applyFill="1" applyBorder="1" applyAlignment="1">
      <alignment horizontal="left" vertical="center"/>
    </xf>
    <xf numFmtId="1" fontId="74" fillId="68" borderId="19" xfId="0" applyNumberFormat="1" applyFont="1" applyFill="1" applyBorder="1" applyAlignment="1">
      <alignment horizontal="left" vertical="center"/>
    </xf>
    <xf numFmtId="2" fontId="74" fillId="68" borderId="19" xfId="0" applyNumberFormat="1" applyFont="1" applyFill="1" applyBorder="1" applyAlignment="1">
      <alignment horizontal="left" vertical="center"/>
    </xf>
    <xf numFmtId="17" fontId="72" fillId="68" borderId="19" xfId="0" applyNumberFormat="1" applyFont="1" applyFill="1" applyBorder="1" applyAlignment="1">
      <alignment horizontal="left" vertical="center"/>
    </xf>
    <xf numFmtId="0" fontId="74" fillId="68" borderId="63" xfId="0" applyFont="1" applyFill="1" applyBorder="1" applyAlignment="1">
      <alignment horizontal="left" vertical="center"/>
    </xf>
    <xf numFmtId="1" fontId="65" fillId="68" borderId="0" xfId="0" applyNumberFormat="1" applyFont="1" applyFill="1" applyAlignment="1">
      <alignment horizontal="center" vertical="center"/>
    </xf>
    <xf numFmtId="49" fontId="65" fillId="68" borderId="0" xfId="0" applyNumberFormat="1" applyFont="1" applyFill="1" applyAlignment="1">
      <alignment horizontal="right" vertical="center"/>
    </xf>
    <xf numFmtId="167" fontId="57" fillId="68" borderId="0" xfId="0" applyNumberFormat="1" applyFont="1" applyFill="1" applyAlignment="1">
      <alignment vertical="center" wrapText="1"/>
    </xf>
    <xf numFmtId="0" fontId="57" fillId="68" borderId="0" xfId="0" applyFont="1" applyFill="1" applyAlignment="1">
      <alignment vertical="center"/>
    </xf>
    <xf numFmtId="0" fontId="65" fillId="68" borderId="0" xfId="0" applyFont="1" applyFill="1" applyAlignment="1">
      <alignment vertical="center"/>
    </xf>
    <xf numFmtId="1" fontId="74" fillId="0" borderId="53" xfId="0" applyNumberFormat="1" applyFont="1" applyBorder="1" applyAlignment="1" applyProtection="1">
      <alignment horizontal="center" vertical="center" wrapText="1"/>
      <protection locked="0"/>
    </xf>
    <xf numFmtId="2" fontId="74" fillId="0" borderId="53" xfId="0" applyNumberFormat="1" applyFont="1" applyBorder="1" applyAlignment="1" applyProtection="1">
      <alignment horizontal="justify" vertical="justify" wrapText="1"/>
      <protection locked="0"/>
    </xf>
    <xf numFmtId="2" fontId="74" fillId="0" borderId="53" xfId="0" applyNumberFormat="1" applyFont="1" applyBorder="1" applyAlignment="1" applyProtection="1">
      <alignment horizontal="center" vertical="center" wrapText="1"/>
      <protection locked="0"/>
    </xf>
    <xf numFmtId="43" fontId="74" fillId="52" borderId="53" xfId="716" applyFont="1" applyFill="1" applyBorder="1" applyAlignment="1" applyProtection="1">
      <alignment vertical="center" wrapText="1"/>
      <protection locked="0"/>
    </xf>
    <xf numFmtId="43" fontId="74" fillId="0" borderId="53" xfId="716" applyFont="1" applyBorder="1" applyAlignment="1" applyProtection="1">
      <alignment horizontal="right" vertical="center" wrapText="1"/>
      <protection locked="0"/>
    </xf>
    <xf numFmtId="2" fontId="65" fillId="52" borderId="0" xfId="0" applyNumberFormat="1" applyFont="1" applyFill="1" applyAlignment="1" applyProtection="1">
      <alignment vertical="center"/>
      <protection locked="0"/>
    </xf>
    <xf numFmtId="49" fontId="65" fillId="68" borderId="0" xfId="0" applyNumberFormat="1" applyFont="1" applyFill="1" applyAlignment="1">
      <alignment horizontal="center" vertical="center"/>
    </xf>
    <xf numFmtId="0" fontId="65" fillId="68" borderId="0" xfId="0" applyFont="1" applyFill="1" applyAlignment="1">
      <alignment horizontal="justify" vertical="center" wrapText="1"/>
    </xf>
    <xf numFmtId="0" fontId="65" fillId="68" borderId="0" xfId="0" applyFont="1" applyFill="1" applyAlignment="1">
      <alignment horizontal="center" vertical="center"/>
    </xf>
    <xf numFmtId="2" fontId="65" fillId="68" borderId="0" xfId="0" applyNumberFormat="1" applyFont="1" applyFill="1" applyAlignment="1">
      <alignment vertical="center"/>
    </xf>
    <xf numFmtId="2" fontId="65" fillId="68" borderId="0" xfId="0" applyNumberFormat="1" applyFont="1" applyFill="1" applyAlignment="1">
      <alignment horizontal="right" vertical="center"/>
    </xf>
    <xf numFmtId="1" fontId="57" fillId="52" borderId="36" xfId="0" applyNumberFormat="1" applyFont="1" applyFill="1" applyBorder="1" applyAlignment="1">
      <alignment horizontal="center" vertical="center" wrapText="1"/>
    </xf>
    <xf numFmtId="49" fontId="57" fillId="52" borderId="55" xfId="0" applyNumberFormat="1" applyFont="1" applyFill="1" applyBorder="1" applyAlignment="1">
      <alignment horizontal="center" vertical="center" wrapText="1"/>
    </xf>
    <xf numFmtId="0" fontId="57" fillId="52" borderId="55" xfId="0" applyFont="1" applyFill="1" applyBorder="1" applyAlignment="1">
      <alignment horizontal="center" vertical="center" wrapText="1"/>
    </xf>
    <xf numFmtId="2" fontId="57" fillId="52" borderId="55" xfId="0" applyNumberFormat="1" applyFont="1" applyFill="1" applyBorder="1" applyAlignment="1">
      <alignment horizontal="center" vertical="center" wrapText="1"/>
    </xf>
    <xf numFmtId="4" fontId="74" fillId="52" borderId="53" xfId="0" applyNumberFormat="1" applyFont="1" applyFill="1" applyBorder="1" applyAlignment="1" applyProtection="1">
      <alignment horizontal="right" vertical="center" wrapText="1"/>
      <protection locked="0"/>
    </xf>
    <xf numFmtId="10" fontId="74" fillId="52" borderId="32" xfId="527" applyNumberFormat="1" applyFont="1" applyFill="1" applyBorder="1" applyAlignment="1" applyProtection="1">
      <alignment vertical="center"/>
      <protection locked="0"/>
    </xf>
    <xf numFmtId="4" fontId="74" fillId="52" borderId="32" xfId="0" applyNumberFormat="1" applyFont="1" applyFill="1" applyBorder="1" applyAlignment="1" applyProtection="1">
      <alignment horizontal="center" vertical="center" wrapText="1"/>
      <protection locked="0"/>
    </xf>
    <xf numFmtId="2" fontId="65" fillId="0" borderId="53" xfId="0" applyNumberFormat="1" applyFont="1" applyFill="1" applyBorder="1" applyAlignment="1" applyProtection="1">
      <alignment vertical="center" wrapText="1"/>
      <protection locked="0"/>
    </xf>
    <xf numFmtId="200" fontId="72" fillId="48" borderId="0" xfId="494" applyNumberFormat="1" applyFont="1" applyFill="1" applyAlignment="1">
      <alignment vertical="center"/>
    </xf>
    <xf numFmtId="43" fontId="72" fillId="48" borderId="0" xfId="494" applyNumberFormat="1" applyFont="1" applyFill="1" applyAlignment="1">
      <alignment vertical="justify"/>
    </xf>
    <xf numFmtId="200" fontId="72" fillId="48" borderId="0" xfId="494" applyNumberFormat="1" applyFont="1" applyFill="1" applyAlignment="1">
      <alignment vertical="justify"/>
    </xf>
    <xf numFmtId="10" fontId="72" fillId="53" borderId="43" xfId="527" applyNumberFormat="1" applyFont="1" applyFill="1" applyBorder="1" applyAlignment="1">
      <alignment vertical="center"/>
    </xf>
    <xf numFmtId="0" fontId="74" fillId="0" borderId="0" xfId="0" applyFont="1" applyFill="1" applyAlignment="1" applyProtection="1">
      <alignment vertical="center"/>
      <protection locked="0"/>
    </xf>
    <xf numFmtId="0" fontId="72" fillId="0" borderId="0" xfId="0" applyFont="1" applyFill="1" applyAlignment="1" applyProtection="1">
      <alignment vertical="center" wrapText="1"/>
      <protection locked="0"/>
    </xf>
    <xf numFmtId="49" fontId="65" fillId="0" borderId="54" xfId="0" applyNumberFormat="1" applyFont="1" applyFill="1" applyBorder="1" applyAlignment="1" applyProtection="1">
      <alignment horizontal="center" vertical="center" wrapText="1"/>
      <protection locked="0"/>
    </xf>
    <xf numFmtId="1" fontId="57" fillId="63" borderId="54" xfId="0" applyNumberFormat="1" applyFont="1" applyFill="1" applyBorder="1" applyAlignment="1" applyProtection="1">
      <alignment horizontal="center" vertical="center" wrapText="1"/>
      <protection locked="0"/>
    </xf>
    <xf numFmtId="0" fontId="65" fillId="52" borderId="63" xfId="0" applyFont="1" applyFill="1" applyBorder="1" applyAlignment="1" applyProtection="1">
      <alignment vertical="center" wrapText="1"/>
      <protection locked="0"/>
    </xf>
    <xf numFmtId="2" fontId="57" fillId="63" borderId="53" xfId="0" applyNumberFormat="1" applyFont="1" applyFill="1" applyBorder="1" applyAlignment="1" applyProtection="1">
      <alignment horizontal="justify" vertical="center" wrapText="1"/>
      <protection locked="0"/>
    </xf>
    <xf numFmtId="2" fontId="65" fillId="0" borderId="53" xfId="0" applyNumberFormat="1" applyFont="1" applyFill="1" applyBorder="1" applyAlignment="1" applyProtection="1">
      <alignment horizontal="justify" vertical="center" wrapText="1"/>
      <protection locked="0"/>
    </xf>
    <xf numFmtId="2" fontId="57" fillId="0" borderId="53" xfId="0" applyNumberFormat="1" applyFont="1" applyFill="1" applyBorder="1" applyAlignment="1" applyProtection="1">
      <alignment horizontal="justify" vertical="center" wrapText="1"/>
      <protection locked="0"/>
    </xf>
    <xf numFmtId="0" fontId="65" fillId="52" borderId="0" xfId="0" applyFont="1" applyFill="1" applyAlignment="1" applyProtection="1">
      <alignment vertical="center" wrapText="1"/>
      <protection locked="0"/>
    </xf>
    <xf numFmtId="195" fontId="108" fillId="0" borderId="87" xfId="0" applyNumberFormat="1" applyFont="1" applyFill="1" applyBorder="1" applyAlignment="1" applyProtection="1">
      <alignment horizontal="center" vertical="center" wrapText="1"/>
      <protection locked="0"/>
    </xf>
    <xf numFmtId="0" fontId="65" fillId="67" borderId="87" xfId="0" applyFont="1" applyFill="1" applyBorder="1" applyAlignment="1">
      <alignment wrapText="1"/>
    </xf>
    <xf numFmtId="0" fontId="72" fillId="57" borderId="87" xfId="0" applyFont="1" applyFill="1" applyBorder="1" applyAlignment="1" applyProtection="1">
      <alignment horizontal="center" vertical="center" wrapText="1"/>
      <protection locked="0"/>
    </xf>
    <xf numFmtId="0" fontId="11" fillId="67" borderId="87" xfId="0" applyFont="1" applyFill="1" applyBorder="1" applyAlignment="1">
      <alignment wrapText="1"/>
    </xf>
    <xf numFmtId="195" fontId="108" fillId="0" borderId="87" xfId="0" applyNumberFormat="1" applyFont="1" applyBorder="1" applyAlignment="1" applyProtection="1">
      <alignment horizontal="center" vertical="center"/>
      <protection locked="0"/>
    </xf>
    <xf numFmtId="0" fontId="108" fillId="57" borderId="87" xfId="0" applyFont="1" applyFill="1" applyBorder="1" applyAlignment="1" applyProtection="1">
      <alignment horizontal="center" vertical="center" wrapText="1"/>
      <protection locked="0"/>
    </xf>
    <xf numFmtId="44" fontId="6" fillId="63" borderId="0" xfId="296" applyFill="1" applyAlignment="1" applyProtection="1">
      <alignment horizontal="center" vertical="center" wrapText="1"/>
      <protection locked="0"/>
    </xf>
    <xf numFmtId="188" fontId="72" fillId="63" borderId="0" xfId="716" applyNumberFormat="1" applyFont="1" applyFill="1" applyAlignment="1" applyProtection="1">
      <alignment horizontal="right" vertical="center" wrapText="1"/>
      <protection locked="0"/>
    </xf>
    <xf numFmtId="0" fontId="65" fillId="0" borderId="53" xfId="417" applyFont="1" applyFill="1" applyBorder="1" applyAlignment="1">
      <alignment horizontal="center" vertical="center" wrapText="1"/>
    </xf>
    <xf numFmtId="2" fontId="57" fillId="0" borderId="53" xfId="0" applyNumberFormat="1" applyFont="1" applyBorder="1" applyAlignment="1" applyProtection="1">
      <alignment horizontal="justify" vertical="center" wrapText="1"/>
      <protection locked="0"/>
    </xf>
    <xf numFmtId="0" fontId="74" fillId="0" borderId="90" xfId="0" applyNumberFormat="1" applyFont="1" applyFill="1" applyBorder="1" applyAlignment="1" applyProtection="1">
      <alignment horizontal="center" vertical="center" wrapText="1"/>
      <protection locked="0"/>
    </xf>
    <xf numFmtId="43" fontId="6" fillId="0" borderId="0" xfId="716" applyFont="1" applyFill="1" applyAlignment="1" applyProtection="1">
      <alignment vertical="center"/>
      <protection locked="0"/>
    </xf>
    <xf numFmtId="199" fontId="113" fillId="0" borderId="93" xfId="0" applyNumberFormat="1" applyFont="1" applyBorder="1" applyAlignment="1">
      <alignment horizontal="center" vertical="center"/>
    </xf>
    <xf numFmtId="14" fontId="109" fillId="52" borderId="63" xfId="0" applyNumberFormat="1" applyFont="1" applyFill="1" applyBorder="1" applyAlignment="1" applyProtection="1">
      <alignment vertical="center"/>
      <protection locked="0"/>
    </xf>
    <xf numFmtId="14" fontId="109" fillId="68" borderId="19" xfId="0" applyNumberFormat="1" applyFont="1" applyFill="1" applyBorder="1" applyAlignment="1" applyProtection="1">
      <alignment vertical="center"/>
      <protection locked="0"/>
    </xf>
    <xf numFmtId="0" fontId="57" fillId="0" borderId="99" xfId="0" applyFont="1" applyBorder="1" applyAlignment="1">
      <alignment horizontal="center" vertical="center"/>
    </xf>
    <xf numFmtId="0" fontId="11" fillId="0" borderId="0" xfId="0" applyFont="1" applyAlignment="1">
      <alignment vertical="center"/>
    </xf>
    <xf numFmtId="0" fontId="11" fillId="0" borderId="0" xfId="0" applyFont="1" applyAlignment="1">
      <alignment horizontal="center" vertical="center"/>
    </xf>
    <xf numFmtId="0" fontId="11" fillId="0" borderId="20" xfId="0" applyFont="1" applyBorder="1" applyAlignment="1">
      <alignment vertical="center"/>
    </xf>
    <xf numFmtId="0" fontId="11" fillId="0" borderId="24" xfId="0" applyFont="1" applyBorder="1" applyAlignment="1">
      <alignment vertical="center"/>
    </xf>
    <xf numFmtId="0" fontId="11" fillId="0" borderId="0" xfId="0" applyFont="1" applyFill="1" applyAlignment="1">
      <alignment vertical="center"/>
    </xf>
    <xf numFmtId="0" fontId="57" fillId="80" borderId="45" xfId="0" applyFont="1" applyFill="1" applyBorder="1" applyAlignment="1">
      <alignment horizontal="center" vertical="center"/>
    </xf>
    <xf numFmtId="0" fontId="57" fillId="80" borderId="46" xfId="0" applyFont="1" applyFill="1" applyBorder="1" applyAlignment="1">
      <alignment horizontal="center" vertical="center"/>
    </xf>
    <xf numFmtId="0" fontId="57" fillId="0" borderId="59" xfId="0" applyFont="1" applyBorder="1" applyAlignment="1">
      <alignment horizontal="right" vertical="center"/>
    </xf>
    <xf numFmtId="0" fontId="57" fillId="0" borderId="92" xfId="0" applyFont="1" applyBorder="1" applyAlignment="1">
      <alignment vertical="center"/>
    </xf>
    <xf numFmtId="199" fontId="113" fillId="0" borderId="87" xfId="0" applyNumberFormat="1" applyFont="1" applyBorder="1" applyAlignment="1">
      <alignment horizontal="center" vertical="center"/>
    </xf>
    <xf numFmtId="199" fontId="113" fillId="0" borderId="85" xfId="0" applyNumberFormat="1" applyFont="1" applyBorder="1" applyAlignment="1">
      <alignment horizontal="center" vertical="center"/>
    </xf>
    <xf numFmtId="199" fontId="113" fillId="0" borderId="0" xfId="0" applyNumberFormat="1" applyFont="1" applyAlignment="1">
      <alignment horizontal="center" vertical="center"/>
    </xf>
    <xf numFmtId="0" fontId="57" fillId="0" borderId="93" xfId="0" applyFont="1" applyBorder="1" applyAlignment="1">
      <alignment horizontal="right" vertical="center"/>
    </xf>
    <xf numFmtId="0" fontId="57" fillId="0" borderId="95" xfId="0" applyFont="1" applyBorder="1" applyAlignment="1">
      <alignment vertical="center"/>
    </xf>
    <xf numFmtId="199" fontId="113" fillId="0" borderId="0" xfId="0" applyNumberFormat="1" applyFont="1" applyFill="1" applyAlignment="1">
      <alignment horizontal="center" vertical="center"/>
    </xf>
    <xf numFmtId="0" fontId="57" fillId="0" borderId="0" xfId="0" applyFont="1" applyAlignment="1">
      <alignment horizontal="right" vertical="center"/>
    </xf>
    <xf numFmtId="0" fontId="113" fillId="0" borderId="87" xfId="0" applyFont="1" applyBorder="1" applyAlignment="1">
      <alignment horizontal="center" vertical="center"/>
    </xf>
    <xf numFmtId="0" fontId="113" fillId="0" borderId="85" xfId="0" applyFont="1" applyBorder="1" applyAlignment="1">
      <alignment horizontal="center" vertical="center"/>
    </xf>
    <xf numFmtId="0" fontId="113" fillId="0" borderId="0" xfId="0" applyFont="1" applyAlignment="1">
      <alignment horizontal="center" vertical="center"/>
    </xf>
    <xf numFmtId="0" fontId="57" fillId="0" borderId="96" xfId="0" applyFont="1" applyBorder="1" applyAlignment="1">
      <alignment horizontal="right" vertical="center"/>
    </xf>
    <xf numFmtId="0" fontId="57" fillId="0" borderId="97" xfId="0" applyFont="1" applyBorder="1" applyAlignment="1">
      <alignment vertical="center"/>
    </xf>
    <xf numFmtId="0" fontId="113" fillId="0" borderId="75" xfId="0" applyFont="1" applyBorder="1" applyAlignment="1">
      <alignment horizontal="center" vertical="center"/>
    </xf>
    <xf numFmtId="0" fontId="113" fillId="0" borderId="49" xfId="0" applyFont="1" applyBorder="1" applyAlignment="1">
      <alignment horizontal="center" vertical="center" wrapText="1"/>
    </xf>
    <xf numFmtId="0" fontId="57" fillId="82" borderId="29" xfId="0" applyFont="1" applyFill="1" applyBorder="1" applyAlignment="1">
      <alignment horizontal="center" vertical="center"/>
    </xf>
    <xf numFmtId="0" fontId="57" fillId="82" borderId="39" xfId="0" applyFont="1" applyFill="1" applyBorder="1" applyAlignment="1">
      <alignment horizontal="center" vertical="center" wrapText="1"/>
    </xf>
    <xf numFmtId="0" fontId="11" fillId="82" borderId="29" xfId="0" applyFont="1" applyFill="1" applyBorder="1" applyAlignment="1">
      <alignment vertical="center"/>
    </xf>
    <xf numFmtId="0" fontId="11" fillId="0" borderId="0" xfId="0" applyFont="1" applyAlignment="1">
      <alignment horizontal="justify" vertical="center"/>
    </xf>
    <xf numFmtId="8" fontId="11" fillId="0" borderId="0" xfId="0" applyNumberFormat="1" applyFont="1" applyAlignment="1">
      <alignment horizontal="center" vertical="center"/>
    </xf>
    <xf numFmtId="8" fontId="11" fillId="0" borderId="0" xfId="0" applyNumberFormat="1" applyFont="1" applyFill="1" applyAlignment="1">
      <alignment horizontal="center" vertical="center"/>
    </xf>
    <xf numFmtId="0" fontId="57" fillId="0" borderId="102" xfId="0" applyFont="1" applyBorder="1" applyAlignment="1">
      <alignment horizontal="right" vertical="center"/>
    </xf>
    <xf numFmtId="0" fontId="57" fillId="0" borderId="103" xfId="0" applyFont="1" applyBorder="1" applyAlignment="1">
      <alignment vertical="center"/>
    </xf>
    <xf numFmtId="0" fontId="113" fillId="0" borderId="80" xfId="0" applyFont="1" applyBorder="1" applyAlignment="1">
      <alignment horizontal="center" vertical="center"/>
    </xf>
    <xf numFmtId="8" fontId="57" fillId="81" borderId="104" xfId="0" applyNumberFormat="1" applyFont="1" applyFill="1" applyBorder="1" applyAlignment="1">
      <alignment horizontal="center" vertical="center"/>
    </xf>
    <xf numFmtId="0" fontId="113" fillId="0" borderId="89" xfId="0" applyFont="1" applyBorder="1" applyAlignment="1">
      <alignment horizontal="center" vertical="center"/>
    </xf>
    <xf numFmtId="0" fontId="11" fillId="0" borderId="0" xfId="0" applyFont="1" applyBorder="1" applyAlignment="1">
      <alignment horizontal="justify" vertical="center"/>
    </xf>
    <xf numFmtId="0" fontId="11" fillId="0" borderId="0" xfId="0" applyFont="1" applyBorder="1" applyAlignment="1">
      <alignment vertical="center"/>
    </xf>
    <xf numFmtId="199" fontId="113" fillId="0" borderId="0" xfId="0" applyNumberFormat="1" applyFont="1" applyBorder="1" applyAlignment="1">
      <alignment horizontal="center" vertical="center"/>
    </xf>
    <xf numFmtId="0" fontId="113" fillId="0" borderId="0" xfId="0" applyFont="1" applyBorder="1" applyAlignment="1">
      <alignment horizontal="center" vertical="center"/>
    </xf>
    <xf numFmtId="0" fontId="113" fillId="0" borderId="80" xfId="0" applyFont="1" applyFill="1" applyBorder="1" applyAlignment="1">
      <alignment horizontal="center" vertical="center"/>
    </xf>
    <xf numFmtId="0" fontId="11" fillId="0" borderId="0" xfId="0" applyFont="1" applyFill="1" applyBorder="1" applyAlignment="1">
      <alignment vertical="center"/>
    </xf>
    <xf numFmtId="0" fontId="113" fillId="0" borderId="85" xfId="0" applyFont="1" applyFill="1" applyBorder="1" applyAlignment="1">
      <alignment horizontal="center" vertical="center"/>
    </xf>
    <xf numFmtId="0" fontId="113" fillId="0" borderId="49" xfId="0" applyFont="1" applyBorder="1" applyAlignment="1">
      <alignment horizontal="center" vertical="center"/>
    </xf>
    <xf numFmtId="0" fontId="85" fillId="0" borderId="0" xfId="0" applyFont="1" applyAlignment="1">
      <alignment vertical="center"/>
    </xf>
    <xf numFmtId="8" fontId="116" fillId="0" borderId="68" xfId="0" applyNumberFormat="1" applyFont="1" applyBorder="1" applyAlignment="1">
      <alignment horizontal="center" vertical="center"/>
    </xf>
    <xf numFmtId="8" fontId="116" fillId="0" borderId="68" xfId="0" applyNumberFormat="1" applyFont="1" applyFill="1" applyBorder="1" applyAlignment="1">
      <alignment horizontal="center" vertical="center"/>
    </xf>
    <xf numFmtId="0" fontId="118" fillId="0" borderId="0" xfId="0" applyFont="1" applyAlignment="1">
      <alignment horizontal="center" vertical="center"/>
    </xf>
    <xf numFmtId="0" fontId="49" fillId="0" borderId="0" xfId="286" applyAlignment="1" applyProtection="1">
      <alignment vertical="center"/>
    </xf>
    <xf numFmtId="0" fontId="65" fillId="0" borderId="0" xfId="0" applyFont="1" applyAlignment="1">
      <alignment horizontal="center" vertical="center"/>
    </xf>
    <xf numFmtId="0" fontId="113" fillId="0" borderId="87" xfId="0" applyFont="1" applyFill="1" applyBorder="1" applyAlignment="1">
      <alignment horizontal="center" vertical="center"/>
    </xf>
    <xf numFmtId="0" fontId="113" fillId="0" borderId="0" xfId="0" applyFont="1" applyFill="1" applyBorder="1" applyAlignment="1">
      <alignment horizontal="center" vertical="center"/>
    </xf>
    <xf numFmtId="8" fontId="11" fillId="0" borderId="0" xfId="0" applyNumberFormat="1" applyFont="1" applyBorder="1" applyAlignment="1">
      <alignment horizontal="center" vertical="center"/>
    </xf>
    <xf numFmtId="199" fontId="113" fillId="0" borderId="85" xfId="0" applyNumberFormat="1" applyFont="1" applyFill="1" applyBorder="1" applyAlignment="1">
      <alignment horizontal="center" vertical="center"/>
    </xf>
    <xf numFmtId="0" fontId="119" fillId="0" borderId="0" xfId="0" applyFont="1" applyAlignment="1">
      <alignment vertical="center"/>
    </xf>
    <xf numFmtId="199" fontId="113" fillId="0" borderId="85" xfId="0" applyNumberFormat="1" applyFont="1" applyBorder="1" applyAlignment="1">
      <alignment horizontal="center" vertical="center" wrapText="1"/>
    </xf>
    <xf numFmtId="0" fontId="119" fillId="0" borderId="0" xfId="0" applyFont="1" applyAlignment="1">
      <alignment horizontal="center" vertical="center"/>
    </xf>
    <xf numFmtId="0" fontId="113" fillId="62" borderId="68" xfId="0" applyFont="1" applyFill="1" applyBorder="1" applyAlignment="1">
      <alignment horizontal="center" vertical="center"/>
    </xf>
    <xf numFmtId="43" fontId="65" fillId="0" borderId="53" xfId="716" applyFont="1" applyFill="1" applyBorder="1" applyAlignment="1" applyProtection="1">
      <alignment horizontal="right" vertical="center"/>
      <protection locked="0"/>
    </xf>
    <xf numFmtId="4" fontId="65" fillId="0" borderId="53" xfId="0" applyNumberFormat="1" applyFont="1" applyFill="1" applyBorder="1" applyAlignment="1" applyProtection="1">
      <alignment horizontal="right" vertical="center" wrapText="1"/>
      <protection locked="0"/>
    </xf>
    <xf numFmtId="0" fontId="76" fillId="58" borderId="0" xfId="0" applyFont="1" applyFill="1" applyAlignment="1">
      <alignment horizontal="center" vertical="center" wrapText="1"/>
    </xf>
    <xf numFmtId="0" fontId="74" fillId="52" borderId="85" xfId="0" applyFont="1" applyFill="1" applyBorder="1" applyAlignment="1" applyProtection="1">
      <alignment horizontal="center" vertical="center" wrapText="1"/>
      <protection locked="0"/>
    </xf>
    <xf numFmtId="43" fontId="74" fillId="58" borderId="85" xfId="717" applyFont="1" applyFill="1" applyBorder="1" applyAlignment="1">
      <alignment horizontal="center" vertical="center"/>
    </xf>
    <xf numFmtId="0" fontId="74" fillId="58" borderId="85" xfId="717" applyNumberFormat="1" applyFont="1" applyFill="1" applyBorder="1" applyAlignment="1">
      <alignment horizontal="center" vertical="center"/>
    </xf>
    <xf numFmtId="0" fontId="74" fillId="0" borderId="85" xfId="717" applyNumberFormat="1" applyFont="1" applyFill="1" applyBorder="1" applyAlignment="1">
      <alignment horizontal="center" vertical="center" wrapText="1"/>
    </xf>
    <xf numFmtId="4" fontId="74" fillId="0" borderId="85" xfId="717" applyNumberFormat="1" applyFont="1" applyFill="1" applyBorder="1" applyAlignment="1">
      <alignment horizontal="center" vertical="center" wrapText="1"/>
    </xf>
    <xf numFmtId="1" fontId="74" fillId="52" borderId="85" xfId="0" applyNumberFormat="1" applyFont="1" applyFill="1" applyBorder="1" applyAlignment="1" applyProtection="1">
      <alignment horizontal="center" vertical="center" wrapText="1"/>
      <protection locked="0"/>
    </xf>
    <xf numFmtId="43" fontId="74" fillId="0" borderId="85" xfId="717" applyFont="1" applyFill="1" applyBorder="1" applyAlignment="1">
      <alignment horizontal="center" vertical="center"/>
    </xf>
    <xf numFmtId="0" fontId="74" fillId="0" borderId="85" xfId="717" applyNumberFormat="1" applyFont="1" applyFill="1" applyBorder="1" applyAlignment="1">
      <alignment horizontal="center" vertical="center"/>
    </xf>
    <xf numFmtId="0" fontId="74" fillId="62" borderId="0" xfId="0" applyFont="1" applyFill="1" applyAlignment="1">
      <alignment horizontal="center" vertical="center" wrapText="1"/>
    </xf>
    <xf numFmtId="0" fontId="74" fillId="66" borderId="85" xfId="0" applyFont="1" applyFill="1" applyBorder="1" applyAlignment="1" applyProtection="1">
      <alignment horizontal="center" vertical="center" wrapText="1"/>
      <protection locked="0"/>
    </xf>
    <xf numFmtId="0" fontId="74" fillId="62" borderId="85" xfId="0" applyFont="1" applyFill="1" applyBorder="1" applyAlignment="1">
      <alignment horizontal="center" vertical="center" wrapText="1"/>
    </xf>
    <xf numFmtId="43" fontId="74" fillId="62" borderId="85" xfId="717" applyFont="1" applyFill="1" applyBorder="1" applyAlignment="1">
      <alignment horizontal="center" vertical="center"/>
    </xf>
    <xf numFmtId="0" fontId="74" fillId="62" borderId="85" xfId="717" applyNumberFormat="1" applyFont="1" applyFill="1" applyBorder="1" applyAlignment="1">
      <alignment horizontal="center" vertical="center"/>
    </xf>
    <xf numFmtId="0" fontId="74" fillId="62" borderId="85" xfId="717" applyNumberFormat="1" applyFont="1" applyFill="1" applyBorder="1" applyAlignment="1">
      <alignment horizontal="center" vertical="center" wrapText="1"/>
    </xf>
    <xf numFmtId="0" fontId="74" fillId="72" borderId="0" xfId="0" applyFont="1" applyFill="1" applyAlignment="1">
      <alignment horizontal="center" vertical="center" wrapText="1"/>
    </xf>
    <xf numFmtId="4" fontId="74" fillId="58" borderId="85" xfId="717" applyNumberFormat="1" applyFont="1" applyFill="1" applyBorder="1" applyAlignment="1">
      <alignment horizontal="center" vertical="center"/>
    </xf>
    <xf numFmtId="0" fontId="74" fillId="85" borderId="85" xfId="0" applyFont="1" applyFill="1" applyBorder="1" applyAlignment="1" applyProtection="1">
      <alignment horizontal="center" vertical="center" wrapText="1"/>
      <protection locked="0"/>
    </xf>
    <xf numFmtId="0" fontId="74" fillId="86" borderId="85" xfId="0" applyFont="1" applyFill="1" applyBorder="1" applyAlignment="1" applyProtection="1">
      <alignment horizontal="center" vertical="center" wrapText="1"/>
      <protection locked="0"/>
    </xf>
    <xf numFmtId="0" fontId="65" fillId="58" borderId="0" xfId="0" applyFont="1" applyFill="1" applyAlignment="1">
      <alignment horizontal="center" vertical="center"/>
    </xf>
    <xf numFmtId="0" fontId="74" fillId="77" borderId="85" xfId="0" applyFont="1" applyFill="1" applyBorder="1" applyAlignment="1" applyProtection="1">
      <alignment horizontal="center" vertical="center" wrapText="1"/>
      <protection locked="0"/>
    </xf>
    <xf numFmtId="4" fontId="74" fillId="0" borderId="85" xfId="0" applyNumberFormat="1" applyFont="1" applyBorder="1" applyAlignment="1">
      <alignment horizontal="center" vertical="center" wrapText="1"/>
    </xf>
    <xf numFmtId="0" fontId="65" fillId="52" borderId="0" xfId="0" applyFont="1" applyFill="1" applyAlignment="1">
      <alignment horizontal="right" vertical="center" wrapText="1"/>
    </xf>
    <xf numFmtId="0" fontId="57" fillId="0" borderId="99" xfId="0" applyFont="1" applyFill="1" applyBorder="1" applyAlignment="1">
      <alignment horizontal="center" vertical="center"/>
    </xf>
    <xf numFmtId="8" fontId="118" fillId="0" borderId="68" xfId="0" applyNumberFormat="1" applyFont="1" applyFill="1" applyBorder="1" applyAlignment="1">
      <alignment horizontal="center" vertical="center"/>
    </xf>
    <xf numFmtId="1" fontId="57" fillId="0" borderId="0" xfId="0" applyNumberFormat="1" applyFont="1" applyFill="1" applyAlignment="1">
      <alignment horizontal="center" vertical="center"/>
    </xf>
    <xf numFmtId="0" fontId="74" fillId="68" borderId="86" xfId="0" applyFont="1" applyFill="1" applyBorder="1" applyAlignment="1" applyProtection="1">
      <alignment horizontal="center" vertical="center"/>
      <protection locked="0"/>
    </xf>
    <xf numFmtId="0" fontId="74" fillId="68" borderId="0" xfId="0" applyFont="1" applyFill="1" applyBorder="1" applyAlignment="1" applyProtection="1">
      <alignment horizontal="center" vertical="center"/>
      <protection locked="0"/>
    </xf>
    <xf numFmtId="10" fontId="65" fillId="0" borderId="53" xfId="716" applyNumberFormat="1" applyFont="1" applyFill="1" applyBorder="1" applyAlignment="1" applyProtection="1">
      <alignment horizontal="right" vertical="center"/>
      <protection locked="0"/>
    </xf>
    <xf numFmtId="4" fontId="65" fillId="52" borderId="53" xfId="0" applyNumberFormat="1" applyFont="1" applyFill="1" applyBorder="1" applyAlignment="1" applyProtection="1">
      <alignment horizontal="right" vertical="center"/>
      <protection locked="0"/>
    </xf>
    <xf numFmtId="10" fontId="65" fillId="52" borderId="32" xfId="527" applyNumberFormat="1" applyFont="1" applyFill="1" applyBorder="1" applyAlignment="1" applyProtection="1">
      <alignment vertical="center"/>
      <protection locked="0"/>
    </xf>
    <xf numFmtId="2" fontId="65" fillId="52" borderId="32" xfId="0" applyNumberFormat="1" applyFont="1" applyFill="1" applyBorder="1" applyAlignment="1" applyProtection="1">
      <alignment horizontal="center" vertical="center"/>
      <protection locked="0"/>
    </xf>
    <xf numFmtId="0" fontId="57" fillId="87" borderId="53" xfId="0" applyNumberFormat="1" applyFont="1" applyFill="1" applyBorder="1" applyAlignment="1" applyProtection="1">
      <alignment horizontal="center" vertical="center" wrapText="1"/>
      <protection locked="0"/>
    </xf>
    <xf numFmtId="49" fontId="57" fillId="87" borderId="53" xfId="0" applyNumberFormat="1" applyFont="1" applyFill="1" applyBorder="1" applyAlignment="1" applyProtection="1">
      <alignment horizontal="center" vertical="center" wrapText="1"/>
      <protection locked="0"/>
    </xf>
    <xf numFmtId="0" fontId="57" fillId="87" borderId="53" xfId="0" applyFont="1" applyFill="1" applyBorder="1" applyAlignment="1" applyProtection="1">
      <alignment horizontal="left" vertical="center" wrapText="1"/>
      <protection locked="0"/>
    </xf>
    <xf numFmtId="0" fontId="57" fillId="87" borderId="53" xfId="0" applyFont="1" applyFill="1" applyBorder="1" applyAlignment="1" applyProtection="1">
      <alignment horizontal="center" vertical="center" wrapText="1"/>
      <protection locked="0"/>
    </xf>
    <xf numFmtId="2" fontId="57" fillId="87" borderId="53" xfId="0" applyNumberFormat="1" applyFont="1" applyFill="1" applyBorder="1" applyAlignment="1" applyProtection="1">
      <alignment horizontal="center" vertical="center" wrapText="1"/>
      <protection locked="0"/>
    </xf>
    <xf numFmtId="43" fontId="57" fillId="76" borderId="53" xfId="716" applyFont="1" applyFill="1" applyBorder="1" applyAlignment="1" applyProtection="1">
      <alignment horizontal="right" vertical="center" wrapText="1"/>
      <protection locked="0"/>
    </xf>
    <xf numFmtId="10" fontId="57" fillId="87" borderId="53" xfId="0" applyNumberFormat="1" applyFont="1" applyFill="1" applyBorder="1" applyAlignment="1" applyProtection="1">
      <alignment horizontal="center" vertical="center"/>
      <protection locked="0"/>
    </xf>
    <xf numFmtId="2" fontId="57" fillId="76" borderId="53" xfId="0" applyNumberFormat="1" applyFont="1" applyFill="1" applyBorder="1" applyAlignment="1" applyProtection="1">
      <alignment horizontal="center" vertical="center" wrapText="1"/>
      <protection locked="0"/>
    </xf>
    <xf numFmtId="0" fontId="57" fillId="76" borderId="53" xfId="680" applyNumberFormat="1" applyFont="1" applyFill="1" applyBorder="1" applyAlignment="1" applyProtection="1">
      <alignment horizontal="center" vertical="center" wrapText="1"/>
      <protection locked="0"/>
    </xf>
    <xf numFmtId="1" fontId="57" fillId="87" borderId="53" xfId="0" applyNumberFormat="1" applyFont="1" applyFill="1" applyBorder="1" applyAlignment="1" applyProtection="1">
      <alignment horizontal="center" vertical="center" wrapText="1"/>
      <protection locked="0"/>
    </xf>
    <xf numFmtId="2" fontId="57" fillId="87" borderId="53" xfId="0" applyNumberFormat="1" applyFont="1" applyFill="1" applyBorder="1" applyAlignment="1" applyProtection="1">
      <alignment horizontal="justify" vertical="center" wrapText="1"/>
      <protection locked="0"/>
    </xf>
    <xf numFmtId="4" fontId="57" fillId="87" borderId="53" xfId="0" applyNumberFormat="1" applyFont="1" applyFill="1" applyBorder="1" applyAlignment="1" applyProtection="1">
      <alignment horizontal="center" vertical="center" wrapText="1"/>
      <protection locked="0"/>
    </xf>
    <xf numFmtId="4" fontId="57" fillId="87" borderId="53" xfId="0" applyNumberFormat="1" applyFont="1" applyFill="1" applyBorder="1" applyAlignment="1" applyProtection="1">
      <alignment horizontal="right" vertical="center"/>
      <protection locked="0"/>
    </xf>
    <xf numFmtId="4" fontId="57" fillId="87" borderId="53" xfId="0" applyNumberFormat="1" applyFont="1" applyFill="1" applyBorder="1" applyAlignment="1" applyProtection="1">
      <alignment horizontal="right" vertical="center" wrapText="1"/>
      <protection locked="0"/>
    </xf>
    <xf numFmtId="10" fontId="57" fillId="87" borderId="53" xfId="527" applyNumberFormat="1" applyFont="1" applyFill="1" applyBorder="1" applyAlignment="1" applyProtection="1">
      <alignment horizontal="right" vertical="center" wrapText="1"/>
      <protection locked="0"/>
    </xf>
    <xf numFmtId="43" fontId="111" fillId="58" borderId="85" xfId="717" applyFont="1" applyFill="1" applyBorder="1" applyAlignment="1" applyProtection="1">
      <alignment horizontal="center" vertical="center" wrapText="1"/>
      <protection locked="0"/>
    </xf>
    <xf numFmtId="0" fontId="57" fillId="58" borderId="85" xfId="0" applyFont="1" applyFill="1" applyBorder="1" applyAlignment="1" applyProtection="1">
      <alignment horizontal="center" vertical="center" wrapText="1"/>
      <protection locked="0"/>
    </xf>
    <xf numFmtId="0" fontId="111" fillId="58" borderId="37" xfId="0" applyFont="1" applyFill="1" applyBorder="1" applyAlignment="1" applyProtection="1">
      <alignment horizontal="center" vertical="center"/>
      <protection locked="0"/>
    </xf>
    <xf numFmtId="0" fontId="57" fillId="58" borderId="85" xfId="0" applyFont="1" applyFill="1" applyBorder="1" applyAlignment="1" applyProtection="1">
      <alignment horizontal="center" vertical="center"/>
      <protection locked="0"/>
    </xf>
    <xf numFmtId="194" fontId="57" fillId="58" borderId="85" xfId="0" applyNumberFormat="1" applyFont="1" applyFill="1" applyBorder="1" applyAlignment="1" applyProtection="1">
      <alignment horizontal="center" vertical="center"/>
      <protection locked="0"/>
    </xf>
    <xf numFmtId="43" fontId="57" fillId="58" borderId="85" xfId="717" applyFont="1" applyFill="1" applyBorder="1" applyAlignment="1" applyProtection="1">
      <alignment horizontal="center" vertical="center"/>
      <protection locked="0"/>
    </xf>
    <xf numFmtId="0" fontId="111" fillId="58" borderId="37" xfId="0" applyFont="1" applyFill="1" applyBorder="1" applyAlignment="1" applyProtection="1">
      <alignment horizontal="center" vertical="center" wrapText="1"/>
      <protection locked="0"/>
    </xf>
    <xf numFmtId="0" fontId="65" fillId="58" borderId="86" xfId="0" applyFont="1" applyFill="1" applyBorder="1"/>
    <xf numFmtId="0" fontId="57" fillId="58" borderId="86" xfId="0" applyFont="1" applyFill="1" applyBorder="1" applyAlignment="1">
      <alignment wrapText="1"/>
    </xf>
    <xf numFmtId="0" fontId="57" fillId="58" borderId="88" xfId="0" applyFont="1" applyFill="1" applyBorder="1" applyAlignment="1">
      <alignment wrapText="1"/>
    </xf>
    <xf numFmtId="0" fontId="65" fillId="58" borderId="88" xfId="0" applyFont="1" applyFill="1" applyBorder="1"/>
    <xf numFmtId="0" fontId="57" fillId="58" borderId="86" xfId="0" applyFont="1" applyFill="1" applyBorder="1" applyAlignment="1"/>
    <xf numFmtId="0" fontId="57" fillId="58" borderId="88" xfId="0" applyFont="1" applyFill="1" applyBorder="1" applyAlignment="1"/>
    <xf numFmtId="0" fontId="57" fillId="58" borderId="86" xfId="0" applyFont="1" applyFill="1" applyBorder="1" applyAlignment="1">
      <alignment horizontal="center" wrapText="1"/>
    </xf>
    <xf numFmtId="0" fontId="57" fillId="58" borderId="0" xfId="0" applyFont="1" applyFill="1" applyAlignment="1">
      <alignment horizontal="center" wrapText="1"/>
    </xf>
    <xf numFmtId="0" fontId="65" fillId="58" borderId="0" xfId="0" applyFont="1" applyFill="1" applyAlignment="1">
      <alignment horizontal="left" wrapText="1"/>
    </xf>
    <xf numFmtId="0" fontId="65" fillId="58" borderId="0" xfId="0" applyFont="1" applyFill="1" applyAlignment="1">
      <alignment horizontal="center"/>
    </xf>
    <xf numFmtId="0" fontId="65" fillId="58" borderId="0" xfId="0" applyFont="1" applyFill="1" applyAlignment="1">
      <alignment wrapText="1"/>
    </xf>
    <xf numFmtId="196" fontId="65" fillId="78" borderId="85" xfId="786" applyNumberFormat="1" applyFont="1" applyFill="1" applyBorder="1" applyAlignment="1">
      <alignment horizontal="center" vertical="center" wrapText="1"/>
    </xf>
    <xf numFmtId="0" fontId="11" fillId="67" borderId="0" xfId="0" applyFont="1" applyFill="1"/>
    <xf numFmtId="0" fontId="65" fillId="0" borderId="85" xfId="0" applyFont="1" applyFill="1" applyBorder="1" applyAlignment="1" applyProtection="1">
      <alignment horizontal="justify" vertical="center" wrapText="1"/>
      <protection locked="0"/>
    </xf>
    <xf numFmtId="0" fontId="74" fillId="78" borderId="54" xfId="417" applyFont="1" applyFill="1" applyBorder="1" applyAlignment="1">
      <alignment horizontal="center" vertical="center" wrapText="1"/>
    </xf>
    <xf numFmtId="0" fontId="11" fillId="0" borderId="0" xfId="0" applyFont="1" applyFill="1"/>
    <xf numFmtId="0" fontId="11" fillId="0" borderId="0" xfId="0" applyFont="1" applyAlignment="1">
      <alignment horizontal="left" wrapText="1"/>
    </xf>
    <xf numFmtId="0" fontId="11" fillId="0" borderId="0" xfId="0" applyFont="1" applyAlignment="1">
      <alignment wrapText="1"/>
    </xf>
    <xf numFmtId="0" fontId="74" fillId="0" borderId="85" xfId="0" applyFont="1" applyFill="1" applyBorder="1" applyAlignment="1">
      <alignment horizontal="left" vertical="center" wrapText="1"/>
    </xf>
    <xf numFmtId="8" fontId="85" fillId="0" borderId="68" xfId="0" applyNumberFormat="1" applyFont="1" applyFill="1" applyBorder="1" applyAlignment="1">
      <alignment horizontal="center" vertical="center"/>
    </xf>
    <xf numFmtId="49" fontId="65" fillId="0" borderId="0" xfId="0" applyNumberFormat="1" applyFont="1" applyFill="1" applyAlignment="1" applyProtection="1">
      <alignment horizontal="center" vertical="center"/>
      <protection locked="0"/>
    </xf>
    <xf numFmtId="1" fontId="65" fillId="0" borderId="0" xfId="0" applyNumberFormat="1" applyFont="1" applyFill="1" applyAlignment="1" applyProtection="1">
      <alignment horizontal="center" vertical="center"/>
      <protection locked="0"/>
    </xf>
    <xf numFmtId="0" fontId="65" fillId="0" borderId="0" xfId="0" applyFont="1" applyFill="1" applyAlignment="1" applyProtection="1">
      <alignment vertical="center" wrapText="1"/>
      <protection locked="0"/>
    </xf>
    <xf numFmtId="2" fontId="65" fillId="0" borderId="0" xfId="0" applyNumberFormat="1" applyFont="1" applyFill="1" applyAlignment="1" applyProtection="1">
      <alignment horizontal="center" vertical="center"/>
      <protection locked="0"/>
    </xf>
    <xf numFmtId="2" fontId="65" fillId="0" borderId="0" xfId="0" applyNumberFormat="1" applyFont="1" applyFill="1" applyAlignment="1" applyProtection="1">
      <alignment horizontal="right" vertical="center"/>
      <protection locked="0"/>
    </xf>
    <xf numFmtId="10" fontId="65" fillId="0" borderId="0" xfId="0" applyNumberFormat="1" applyFont="1" applyFill="1" applyAlignment="1" applyProtection="1">
      <alignment vertical="center"/>
      <protection locked="0"/>
    </xf>
    <xf numFmtId="43" fontId="6" fillId="0" borderId="0" xfId="296" applyNumberFormat="1" applyFont="1" applyFill="1" applyAlignment="1" applyProtection="1">
      <alignment horizontal="right" vertical="center"/>
      <protection locked="0"/>
    </xf>
    <xf numFmtId="43" fontId="57" fillId="0" borderId="0" xfId="716" applyFont="1" applyFill="1" applyAlignment="1" applyProtection="1">
      <alignment horizontal="right" vertical="center"/>
      <protection locked="0"/>
    </xf>
    <xf numFmtId="8" fontId="85" fillId="0" borderId="68" xfId="0" applyNumberFormat="1" applyFont="1" applyBorder="1" applyAlignment="1">
      <alignment horizontal="center" vertical="center"/>
    </xf>
    <xf numFmtId="1" fontId="65" fillId="52" borderId="53" xfId="0" applyNumberFormat="1" applyFont="1" applyFill="1" applyBorder="1" applyAlignment="1" applyProtection="1">
      <alignment horizontal="center" vertical="center"/>
      <protection locked="0"/>
    </xf>
    <xf numFmtId="49" fontId="65" fillId="52" borderId="53" xfId="0" applyNumberFormat="1" applyFont="1" applyFill="1" applyBorder="1" applyAlignment="1" applyProtection="1">
      <alignment horizontal="center" vertical="center"/>
      <protection locked="0"/>
    </xf>
    <xf numFmtId="49" fontId="65" fillId="52" borderId="54" xfId="0" applyNumberFormat="1" applyFont="1" applyFill="1" applyBorder="1" applyAlignment="1" applyProtection="1">
      <alignment horizontal="center" vertical="center"/>
      <protection locked="0"/>
    </xf>
    <xf numFmtId="0" fontId="65" fillId="52" borderId="53" xfId="0" applyFont="1" applyFill="1" applyBorder="1" applyAlignment="1" applyProtection="1">
      <alignment vertical="justify" wrapText="1"/>
      <protection locked="0"/>
    </xf>
    <xf numFmtId="0" fontId="65" fillId="52" borderId="53" xfId="0" applyFont="1" applyFill="1" applyBorder="1" applyAlignment="1" applyProtection="1">
      <alignment horizontal="center" vertical="center"/>
      <protection locked="0"/>
    </xf>
    <xf numFmtId="49" fontId="65" fillId="52" borderId="70" xfId="0" applyNumberFormat="1" applyFont="1" applyFill="1" applyBorder="1" applyAlignment="1" applyProtection="1">
      <alignment horizontal="center" vertical="center"/>
      <protection locked="0"/>
    </xf>
    <xf numFmtId="0" fontId="65" fillId="52" borderId="70" xfId="0" applyFont="1" applyFill="1" applyBorder="1" applyAlignment="1" applyProtection="1">
      <alignment vertical="justify" wrapText="1"/>
      <protection locked="0"/>
    </xf>
    <xf numFmtId="0" fontId="65" fillId="52" borderId="70" xfId="0" applyFont="1" applyFill="1" applyBorder="1" applyAlignment="1" applyProtection="1">
      <alignment horizontal="center" vertical="center"/>
      <protection locked="0"/>
    </xf>
    <xf numFmtId="49" fontId="65" fillId="52" borderId="90" xfId="0" applyNumberFormat="1" applyFont="1" applyFill="1" applyBorder="1" applyAlignment="1" applyProtection="1">
      <alignment horizontal="center" vertical="center"/>
      <protection locked="0"/>
    </xf>
    <xf numFmtId="4" fontId="65" fillId="52" borderId="53" xfId="0" applyNumberFormat="1" applyFont="1" applyFill="1" applyBorder="1" applyAlignment="1" applyProtection="1">
      <alignment vertical="center"/>
      <protection locked="0"/>
    </xf>
    <xf numFmtId="2" fontId="65" fillId="52" borderId="53" xfId="0" applyNumberFormat="1" applyFont="1" applyFill="1" applyBorder="1" applyAlignment="1" applyProtection="1">
      <alignment vertical="center"/>
      <protection locked="0"/>
    </xf>
    <xf numFmtId="2" fontId="57" fillId="0" borderId="53" xfId="0" applyNumberFormat="1" applyFont="1" applyFill="1" applyBorder="1" applyAlignment="1" applyProtection="1">
      <alignment vertical="center" wrapText="1"/>
      <protection locked="0"/>
    </xf>
    <xf numFmtId="2" fontId="65" fillId="0" borderId="53" xfId="0" applyNumberFormat="1" applyFont="1" applyFill="1" applyBorder="1" applyAlignment="1" applyProtection="1">
      <alignment horizontal="left" vertical="center" wrapText="1"/>
      <protection locked="0"/>
    </xf>
    <xf numFmtId="0" fontId="85" fillId="0" borderId="0" xfId="0" applyFont="1"/>
    <xf numFmtId="0" fontId="107" fillId="0" borderId="85" xfId="0" applyFont="1" applyFill="1" applyBorder="1" applyAlignment="1" applyProtection="1">
      <alignment horizontal="center" vertical="center"/>
      <protection locked="0"/>
    </xf>
    <xf numFmtId="0" fontId="107" fillId="78" borderId="85" xfId="0" applyFont="1" applyFill="1" applyBorder="1" applyAlignment="1" applyProtection="1">
      <alignment horizontal="center" vertical="center"/>
      <protection locked="0"/>
    </xf>
    <xf numFmtId="0" fontId="104" fillId="78" borderId="85" xfId="0" applyFont="1" applyFill="1" applyBorder="1" applyAlignment="1" applyProtection="1">
      <alignment horizontal="center" vertical="center" wrapText="1"/>
      <protection locked="0"/>
    </xf>
    <xf numFmtId="0" fontId="104" fillId="0" borderId="85" xfId="0" applyFont="1" applyBorder="1" applyAlignment="1" applyProtection="1">
      <alignment horizontal="center" vertical="center" wrapText="1"/>
      <protection locked="0"/>
    </xf>
    <xf numFmtId="0" fontId="107" fillId="0" borderId="85" xfId="0" applyFont="1" applyFill="1" applyBorder="1" applyAlignment="1" applyProtection="1">
      <alignment horizontal="center" vertical="center" wrapText="1"/>
      <protection locked="0"/>
    </xf>
    <xf numFmtId="4" fontId="107" fillId="0" borderId="85" xfId="0" applyNumberFormat="1" applyFont="1" applyBorder="1" applyAlignment="1" applyProtection="1">
      <alignment horizontal="right" vertical="center" wrapText="1"/>
      <protection locked="0"/>
    </xf>
    <xf numFmtId="4" fontId="107" fillId="0" borderId="85" xfId="0" quotePrefix="1" applyNumberFormat="1" applyFont="1" applyBorder="1" applyAlignment="1" applyProtection="1">
      <alignment horizontal="right" vertical="center"/>
      <protection locked="0"/>
    </xf>
    <xf numFmtId="4" fontId="107" fillId="0" borderId="85" xfId="0" applyNumberFormat="1" applyFont="1" applyBorder="1" applyAlignment="1" applyProtection="1">
      <alignment horizontal="right" vertical="center"/>
      <protection locked="0"/>
    </xf>
    <xf numFmtId="4" fontId="107" fillId="0" borderId="85" xfId="0" applyNumberFormat="1" applyFont="1" applyBorder="1" applyAlignment="1" applyProtection="1">
      <alignment vertical="center"/>
      <protection locked="0"/>
    </xf>
    <xf numFmtId="195" fontId="123" fillId="0" borderId="87" xfId="0" applyNumberFormat="1" applyFont="1" applyFill="1" applyBorder="1" applyAlignment="1" applyProtection="1">
      <alignment horizontal="center" vertical="center" wrapText="1"/>
      <protection locked="0"/>
    </xf>
    <xf numFmtId="194" fontId="107" fillId="78" borderId="85" xfId="0" applyNumberFormat="1" applyFont="1" applyFill="1" applyBorder="1" applyAlignment="1" applyProtection="1">
      <alignment vertical="center"/>
      <protection locked="0"/>
    </xf>
    <xf numFmtId="0" fontId="74" fillId="0" borderId="54" xfId="0" applyFont="1" applyBorder="1" applyAlignment="1">
      <alignment horizontal="center" vertical="center"/>
    </xf>
    <xf numFmtId="8" fontId="11" fillId="0" borderId="0" xfId="0" applyNumberFormat="1" applyFont="1" applyAlignment="1">
      <alignment horizontal="justify" vertical="center"/>
    </xf>
    <xf numFmtId="0" fontId="57" fillId="78" borderId="99" xfId="0" applyFont="1" applyFill="1" applyBorder="1" applyAlignment="1">
      <alignment horizontal="center" vertical="center"/>
    </xf>
    <xf numFmtId="0" fontId="113" fillId="78" borderId="68" xfId="0" applyFont="1" applyFill="1" applyBorder="1" applyAlignment="1">
      <alignment horizontal="center" vertical="center"/>
    </xf>
    <xf numFmtId="8" fontId="11" fillId="78" borderId="68" xfId="0" applyNumberFormat="1" applyFont="1" applyFill="1" applyBorder="1" applyAlignment="1">
      <alignment horizontal="center" vertical="center"/>
    </xf>
    <xf numFmtId="195" fontId="74" fillId="78" borderId="85" xfId="0" applyNumberFormat="1" applyFont="1" applyFill="1" applyBorder="1" applyAlignment="1" applyProtection="1">
      <alignment horizontal="center" vertical="center" wrapText="1"/>
      <protection locked="0"/>
    </xf>
    <xf numFmtId="43" fontId="111" fillId="57" borderId="85" xfId="717" applyFont="1" applyFill="1" applyBorder="1" applyAlignment="1" applyProtection="1">
      <alignment horizontal="center" vertical="center"/>
      <protection locked="0"/>
    </xf>
    <xf numFmtId="0" fontId="108" fillId="0" borderId="85" xfId="717" applyNumberFormat="1" applyFont="1" applyBorder="1" applyAlignment="1" applyProtection="1">
      <alignment horizontal="center" vertical="center"/>
      <protection locked="0"/>
    </xf>
    <xf numFmtId="43" fontId="108" fillId="0" borderId="85" xfId="717" applyFont="1" applyBorder="1" applyAlignment="1" applyProtection="1">
      <alignment horizontal="center" vertical="center"/>
      <protection locked="0"/>
    </xf>
    <xf numFmtId="43" fontId="111" fillId="57" borderId="85" xfId="717" applyFont="1" applyFill="1" applyBorder="1" applyAlignment="1" applyProtection="1">
      <alignment horizontal="justify" vertical="center"/>
      <protection locked="0"/>
    </xf>
    <xf numFmtId="0" fontId="74" fillId="83" borderId="85" xfId="0" applyFont="1" applyFill="1" applyBorder="1" applyAlignment="1" applyProtection="1">
      <alignment horizontal="center" vertical="center" wrapText="1"/>
      <protection locked="0"/>
    </xf>
    <xf numFmtId="0" fontId="57" fillId="57" borderId="87" xfId="0" applyFont="1" applyFill="1" applyBorder="1" applyAlignment="1" applyProtection="1">
      <alignment horizontal="center" vertical="center" wrapText="1"/>
      <protection locked="0"/>
    </xf>
    <xf numFmtId="0" fontId="65" fillId="78" borderId="85" xfId="0" applyFont="1" applyFill="1" applyBorder="1" applyAlignment="1" applyProtection="1">
      <alignment horizontal="center" wrapText="1"/>
      <protection locked="0"/>
    </xf>
    <xf numFmtId="0" fontId="65" fillId="0" borderId="85" xfId="0" applyFont="1" applyBorder="1" applyAlignment="1" applyProtection="1">
      <alignment horizontal="center"/>
      <protection locked="0"/>
    </xf>
    <xf numFmtId="0" fontId="111" fillId="57" borderId="85" xfId="717" applyNumberFormat="1" applyFont="1" applyFill="1" applyBorder="1" applyAlignment="1" applyProtection="1">
      <alignment horizontal="center" vertical="center"/>
      <protection locked="0"/>
    </xf>
    <xf numFmtId="43" fontId="108" fillId="0" borderId="85" xfId="717" applyFont="1" applyFill="1" applyBorder="1" applyAlignment="1" applyProtection="1">
      <alignment horizontal="center" vertical="center"/>
      <protection locked="0"/>
    </xf>
    <xf numFmtId="0" fontId="74" fillId="0" borderId="85" xfId="0" applyNumberFormat="1" applyFont="1" applyBorder="1" applyAlignment="1">
      <alignment horizontal="center" vertical="center" wrapText="1"/>
    </xf>
    <xf numFmtId="0" fontId="74" fillId="78" borderId="85" xfId="0" applyNumberFormat="1" applyFont="1" applyFill="1" applyBorder="1" applyAlignment="1">
      <alignment horizontal="center" vertical="center" wrapText="1"/>
    </xf>
    <xf numFmtId="17" fontId="111" fillId="57" borderId="85" xfId="0" applyNumberFormat="1" applyFont="1" applyFill="1" applyBorder="1" applyAlignment="1" applyProtection="1">
      <alignment horizontal="center" vertical="center" wrapText="1"/>
      <protection locked="0"/>
    </xf>
    <xf numFmtId="195" fontId="107" fillId="0" borderId="85" xfId="0" applyNumberFormat="1" applyFont="1" applyBorder="1" applyAlignment="1" applyProtection="1">
      <alignment horizontal="center" vertical="center"/>
      <protection locked="0"/>
    </xf>
    <xf numFmtId="0" fontId="107" fillId="0" borderId="85" xfId="0" applyFont="1" applyFill="1" applyBorder="1" applyAlignment="1" applyProtection="1">
      <alignment horizontal="justify" vertical="center" wrapText="1"/>
      <protection locked="0"/>
    </xf>
    <xf numFmtId="2" fontId="11" fillId="0" borderId="0" xfId="0" applyNumberFormat="1" applyFont="1" applyAlignment="1">
      <alignment horizontal="center" vertical="center"/>
    </xf>
    <xf numFmtId="0" fontId="57" fillId="0" borderId="0" xfId="0" applyFont="1" applyFill="1" applyBorder="1" applyAlignment="1">
      <alignment horizontal="center" vertical="center"/>
    </xf>
    <xf numFmtId="8" fontId="11" fillId="0" borderId="0" xfId="0" applyNumberFormat="1" applyFont="1" applyFill="1" applyBorder="1" applyAlignment="1">
      <alignment horizontal="center" vertical="center"/>
    </xf>
    <xf numFmtId="199" fontId="120" fillId="0" borderId="85" xfId="0" applyNumberFormat="1" applyFont="1" applyBorder="1" applyAlignment="1">
      <alignment horizontal="center" vertical="center"/>
    </xf>
    <xf numFmtId="0" fontId="11" fillId="0" borderId="0" xfId="0" applyFont="1" applyFill="1" applyAlignment="1">
      <alignment horizontal="justify" vertical="center"/>
    </xf>
    <xf numFmtId="0" fontId="11" fillId="0" borderId="0" xfId="0" applyFont="1" applyFill="1" applyBorder="1" applyAlignment="1">
      <alignment horizontal="justify" vertical="center"/>
    </xf>
    <xf numFmtId="0" fontId="118" fillId="0" borderId="0" xfId="0" applyFont="1" applyFill="1" applyBorder="1" applyAlignment="1">
      <alignment horizontal="center" vertical="center"/>
    </xf>
    <xf numFmtId="199" fontId="113" fillId="0" borderId="0" xfId="0" applyNumberFormat="1" applyFont="1" applyFill="1" applyBorder="1" applyAlignment="1">
      <alignment horizontal="center" vertical="center"/>
    </xf>
    <xf numFmtId="0" fontId="114" fillId="0" borderId="0" xfId="0" applyFont="1" applyFill="1" applyAlignment="1">
      <alignment horizontal="center" vertical="center"/>
    </xf>
    <xf numFmtId="199" fontId="117" fillId="0" borderId="0" xfId="0" applyNumberFormat="1" applyFont="1" applyFill="1" applyAlignment="1">
      <alignment horizontal="center" vertical="center"/>
    </xf>
    <xf numFmtId="0" fontId="117" fillId="0" borderId="0" xfId="0" applyFont="1" applyFill="1" applyAlignment="1">
      <alignment horizontal="center" vertical="center"/>
    </xf>
    <xf numFmtId="0" fontId="113" fillId="0" borderId="68" xfId="0" applyFont="1" applyFill="1" applyBorder="1" applyAlignment="1">
      <alignment horizontal="center" vertical="center"/>
    </xf>
    <xf numFmtId="0" fontId="11" fillId="58" borderId="0" xfId="0" applyFont="1" applyFill="1" applyAlignment="1">
      <alignment vertical="center"/>
    </xf>
    <xf numFmtId="0" fontId="11" fillId="58" borderId="0" xfId="0" applyFont="1" applyFill="1" applyAlignment="1">
      <alignment horizontal="center" vertical="center"/>
    </xf>
    <xf numFmtId="0" fontId="65" fillId="58" borderId="85" xfId="0" applyFont="1" applyFill="1" applyBorder="1" applyAlignment="1" applyProtection="1">
      <alignment horizontal="justify" vertical="center" wrapText="1"/>
      <protection locked="0"/>
    </xf>
    <xf numFmtId="0" fontId="11" fillId="58" borderId="0" xfId="0" applyFont="1" applyFill="1" applyAlignment="1">
      <alignment horizontal="left" wrapText="1"/>
    </xf>
    <xf numFmtId="0" fontId="11" fillId="58" borderId="0" xfId="0" applyFont="1" applyFill="1" applyAlignment="1">
      <alignment wrapText="1"/>
    </xf>
    <xf numFmtId="0" fontId="65" fillId="62" borderId="0" xfId="0" applyFont="1" applyFill="1" applyAlignment="1">
      <alignment horizontal="center" vertical="center"/>
    </xf>
    <xf numFmtId="0" fontId="65" fillId="72" borderId="0" xfId="0" applyFont="1" applyFill="1" applyAlignment="1">
      <alignment horizontal="center" vertical="center"/>
    </xf>
    <xf numFmtId="0" fontId="74" fillId="84" borderId="85" xfId="0" applyFont="1" applyFill="1" applyBorder="1" applyAlignment="1">
      <alignment horizontal="center" vertical="center" wrapText="1"/>
    </xf>
    <xf numFmtId="0" fontId="74" fillId="67" borderId="85" xfId="0" applyFont="1" applyFill="1" applyBorder="1" applyAlignment="1">
      <alignment horizontal="center" vertical="center" wrapText="1"/>
    </xf>
    <xf numFmtId="43" fontId="9" fillId="58" borderId="0" xfId="718" applyFill="1" applyBorder="1" applyAlignment="1">
      <alignment horizontal="center" vertical="center"/>
    </xf>
    <xf numFmtId="43" fontId="8" fillId="58" borderId="0" xfId="718" applyFont="1" applyFill="1" applyBorder="1" applyAlignment="1">
      <alignment horizontal="center" vertical="center"/>
    </xf>
    <xf numFmtId="43" fontId="65" fillId="58" borderId="0" xfId="0" applyNumberFormat="1" applyFont="1" applyFill="1" applyAlignment="1">
      <alignment horizontal="center" vertical="center"/>
    </xf>
    <xf numFmtId="0" fontId="74" fillId="58" borderId="85" xfId="0" applyFont="1" applyFill="1" applyBorder="1" applyAlignment="1">
      <alignment horizontal="center" vertical="center"/>
    </xf>
    <xf numFmtId="4" fontId="74" fillId="58" borderId="85" xfId="0" applyNumberFormat="1" applyFont="1" applyFill="1" applyBorder="1" applyAlignment="1">
      <alignment horizontal="center" vertical="center"/>
    </xf>
    <xf numFmtId="0" fontId="124" fillId="89" borderId="0" xfId="0" applyFont="1" applyFill="1" applyAlignment="1">
      <alignment horizontal="center" vertical="center" wrapText="1"/>
    </xf>
    <xf numFmtId="0" fontId="75" fillId="88" borderId="89" xfId="0" applyFont="1" applyFill="1" applyBorder="1" applyAlignment="1">
      <alignment horizontal="center" vertical="center" wrapText="1"/>
    </xf>
    <xf numFmtId="0" fontId="122" fillId="88" borderId="0" xfId="0" applyFont="1" applyFill="1" applyAlignment="1">
      <alignment horizontal="center" vertical="center" wrapText="1"/>
    </xf>
    <xf numFmtId="0" fontId="121" fillId="88" borderId="0" xfId="0" applyFont="1" applyFill="1" applyAlignment="1">
      <alignment horizontal="center" vertical="center" wrapText="1"/>
    </xf>
    <xf numFmtId="0" fontId="72" fillId="88" borderId="89" xfId="0" applyFont="1" applyFill="1" applyBorder="1" applyAlignment="1">
      <alignment horizontal="center" vertical="center" wrapText="1"/>
    </xf>
    <xf numFmtId="0" fontId="74" fillId="0" borderId="0" xfId="0" applyFont="1" applyFill="1" applyAlignment="1">
      <alignment horizontal="center" wrapText="1"/>
    </xf>
    <xf numFmtId="0" fontId="74" fillId="0" borderId="85" xfId="0" applyFont="1" applyFill="1" applyBorder="1" applyAlignment="1">
      <alignment horizontal="center" vertical="center" wrapText="1"/>
    </xf>
    <xf numFmtId="43" fontId="8" fillId="0" borderId="85" xfId="717" applyFont="1" applyFill="1" applyBorder="1" applyAlignment="1">
      <alignment horizontal="right" vertical="center" wrapText="1"/>
    </xf>
    <xf numFmtId="0" fontId="76" fillId="0" borderId="0" xfId="0" applyFont="1" applyFill="1"/>
    <xf numFmtId="0" fontId="104" fillId="0" borderId="85" xfId="0" applyFont="1" applyFill="1" applyBorder="1" applyAlignment="1">
      <alignment horizontal="center" vertical="center" wrapText="1"/>
    </xf>
    <xf numFmtId="0" fontId="103" fillId="0" borderId="0" xfId="0" applyFont="1" applyFill="1"/>
    <xf numFmtId="0" fontId="85" fillId="0" borderId="0" xfId="0" applyFont="1" applyFill="1"/>
    <xf numFmtId="0" fontId="74" fillId="0" borderId="0" xfId="0" applyFont="1" applyFill="1" applyAlignment="1">
      <alignment horizontal="center" vertical="center"/>
    </xf>
    <xf numFmtId="0" fontId="74" fillId="0" borderId="0" xfId="0" applyFont="1" applyFill="1" applyAlignment="1">
      <alignment horizontal="left" vertical="center" wrapText="1"/>
    </xf>
    <xf numFmtId="43" fontId="8" fillId="0" borderId="0" xfId="717" applyFont="1" applyFill="1" applyAlignment="1">
      <alignment horizontal="right" vertical="center"/>
    </xf>
    <xf numFmtId="49" fontId="74" fillId="48" borderId="0" xfId="494" applyNumberFormat="1" applyFont="1" applyFill="1" applyBorder="1" applyAlignment="1">
      <alignment horizontal="center" vertical="center" wrapText="1"/>
    </xf>
    <xf numFmtId="10" fontId="74" fillId="48" borderId="0" xfId="494" applyNumberFormat="1" applyFont="1" applyFill="1" applyBorder="1" applyAlignment="1">
      <alignment horizontal="right" vertical="center" wrapText="1"/>
    </xf>
    <xf numFmtId="10" fontId="74" fillId="48" borderId="0" xfId="527" applyNumberFormat="1" applyFont="1" applyFill="1" applyBorder="1" applyAlignment="1">
      <alignment horizontal="right" vertical="center"/>
    </xf>
    <xf numFmtId="174" fontId="74" fillId="48" borderId="0" xfId="494" applyNumberFormat="1" applyFont="1" applyFill="1" applyBorder="1" applyAlignment="1">
      <alignment horizontal="right" vertical="center"/>
    </xf>
    <xf numFmtId="0" fontId="63" fillId="48" borderId="0" xfId="494" applyFont="1" applyFill="1" applyAlignment="1">
      <alignment horizontal="right" vertical="center"/>
    </xf>
    <xf numFmtId="173" fontId="72" fillId="58" borderId="0" xfId="494" quotePrefix="1" applyNumberFormat="1" applyFont="1" applyFill="1" applyAlignment="1">
      <alignment horizontal="center" vertical="center"/>
    </xf>
    <xf numFmtId="173" fontId="74" fillId="58" borderId="0" xfId="494" quotePrefix="1" applyNumberFormat="1" applyFont="1" applyFill="1" applyAlignment="1">
      <alignment horizontal="left" vertical="center"/>
    </xf>
    <xf numFmtId="199" fontId="113" fillId="0" borderId="87" xfId="0" applyNumberFormat="1" applyFont="1" applyFill="1" applyBorder="1" applyAlignment="1">
      <alignment horizontal="center" vertical="center"/>
    </xf>
    <xf numFmtId="0" fontId="73" fillId="61" borderId="0" xfId="0" applyFont="1" applyFill="1" applyAlignment="1">
      <alignment horizontal="center" vertical="center"/>
    </xf>
    <xf numFmtId="0" fontId="114" fillId="0" borderId="0" xfId="0" applyFont="1" applyFill="1" applyAlignment="1" applyProtection="1">
      <alignment vertical="center"/>
      <protection locked="0"/>
    </xf>
    <xf numFmtId="0" fontId="125" fillId="0" borderId="0" xfId="0" applyFont="1" applyFill="1" applyAlignment="1" applyProtection="1">
      <alignment horizontal="center" vertical="center" wrapText="1"/>
      <protection locked="0"/>
    </xf>
    <xf numFmtId="0" fontId="114" fillId="0" borderId="0" xfId="0" applyFont="1" applyFill="1" applyAlignment="1" applyProtection="1">
      <alignment horizontal="center" vertical="center"/>
      <protection locked="0"/>
    </xf>
    <xf numFmtId="0" fontId="125" fillId="0" borderId="0" xfId="0" applyFont="1" applyFill="1" applyAlignment="1" applyProtection="1">
      <alignment vertical="center" wrapText="1"/>
      <protection locked="0"/>
    </xf>
    <xf numFmtId="43" fontId="125" fillId="0" borderId="0" xfId="0" applyNumberFormat="1" applyFont="1" applyFill="1" applyAlignment="1" applyProtection="1">
      <alignment vertical="center" wrapText="1"/>
      <protection locked="0"/>
    </xf>
    <xf numFmtId="43" fontId="114" fillId="0" borderId="0" xfId="0" applyNumberFormat="1" applyFont="1" applyFill="1" applyAlignment="1" applyProtection="1">
      <alignment vertical="center"/>
      <protection locked="0"/>
    </xf>
    <xf numFmtId="2" fontId="65" fillId="52" borderId="53" xfId="0" applyNumberFormat="1" applyFont="1" applyFill="1" applyBorder="1" applyAlignment="1" applyProtection="1">
      <alignment horizontal="right" vertical="center"/>
      <protection locked="0"/>
    </xf>
    <xf numFmtId="2" fontId="65" fillId="0" borderId="53" xfId="0" applyNumberFormat="1" applyFont="1" applyFill="1" applyBorder="1" applyAlignment="1" applyProtection="1">
      <alignment vertical="center"/>
      <protection locked="0"/>
    </xf>
    <xf numFmtId="4" fontId="65" fillId="52" borderId="70" xfId="0" applyNumberFormat="1" applyFont="1" applyFill="1" applyBorder="1" applyAlignment="1" applyProtection="1">
      <alignment vertical="center"/>
      <protection locked="0"/>
    </xf>
    <xf numFmtId="44" fontId="6" fillId="52" borderId="0" xfId="296" applyFill="1" applyAlignment="1" applyProtection="1">
      <alignment horizontal="right" vertical="center"/>
      <protection locked="0"/>
    </xf>
    <xf numFmtId="0" fontId="11" fillId="0" borderId="0" xfId="0" applyFont="1" applyBorder="1"/>
    <xf numFmtId="0" fontId="67" fillId="0" borderId="0" xfId="0" applyFont="1" applyBorder="1" applyAlignment="1">
      <alignment horizontal="center" vertical="center"/>
    </xf>
    <xf numFmtId="0" fontId="57" fillId="0" borderId="0" xfId="0" applyFont="1" applyBorder="1" applyAlignment="1" applyProtection="1">
      <alignment horizontal="center" vertical="center" wrapText="1"/>
      <protection locked="0"/>
    </xf>
    <xf numFmtId="194" fontId="65" fillId="0" borderId="0" xfId="0" applyNumberFormat="1" applyFont="1" applyBorder="1" applyAlignment="1" applyProtection="1">
      <alignment horizontal="center" vertical="center" wrapText="1"/>
      <protection locked="0"/>
    </xf>
    <xf numFmtId="2" fontId="11" fillId="0" borderId="0" xfId="0" applyNumberFormat="1" applyFont="1" applyBorder="1" applyAlignment="1">
      <alignment vertical="center"/>
    </xf>
    <xf numFmtId="0" fontId="72" fillId="79" borderId="81" xfId="418" applyFont="1" applyFill="1" applyBorder="1" applyAlignment="1">
      <alignment horizontal="center" vertical="center"/>
    </xf>
    <xf numFmtId="0" fontId="72" fillId="79" borderId="0" xfId="418" applyFont="1" applyFill="1" applyBorder="1" applyAlignment="1">
      <alignment horizontal="center" vertical="center" wrapText="1"/>
    </xf>
    <xf numFmtId="0" fontId="72" fillId="79" borderId="69" xfId="418" applyFont="1" applyFill="1" applyBorder="1" applyAlignment="1">
      <alignment horizontal="center" vertical="center" wrapText="1"/>
    </xf>
    <xf numFmtId="0" fontId="72" fillId="79" borderId="80" xfId="418" applyFont="1" applyFill="1" applyBorder="1" applyAlignment="1">
      <alignment horizontal="center" vertical="center"/>
    </xf>
    <xf numFmtId="0" fontId="72" fillId="79" borderId="51" xfId="418" applyFont="1" applyFill="1" applyBorder="1" applyAlignment="1">
      <alignment horizontal="center" vertical="center" wrapText="1"/>
    </xf>
    <xf numFmtId="0" fontId="72" fillId="79" borderId="46" xfId="418" applyFont="1" applyFill="1" applyBorder="1" applyAlignment="1">
      <alignment horizontal="center" vertical="center" wrapText="1"/>
    </xf>
    <xf numFmtId="0" fontId="72" fillId="79" borderId="71" xfId="418" applyFont="1" applyFill="1" applyBorder="1" applyAlignment="1">
      <alignment horizontal="center" vertical="center" wrapText="1"/>
    </xf>
    <xf numFmtId="0" fontId="82" fillId="0" borderId="0" xfId="0" applyFont="1" applyAlignment="1">
      <alignment horizontal="center"/>
    </xf>
    <xf numFmtId="187" fontId="76" fillId="60" borderId="0" xfId="493" applyNumberFormat="1" applyFont="1" applyFill="1" applyAlignment="1">
      <alignment horizontal="left"/>
    </xf>
    <xf numFmtId="0" fontId="106" fillId="58" borderId="0" xfId="493" applyFont="1" applyFill="1" applyAlignment="1" applyProtection="1">
      <alignment horizontal="center" vertical="center"/>
      <protection locked="0"/>
    </xf>
    <xf numFmtId="0" fontId="76" fillId="58" borderId="0" xfId="493" applyFont="1" applyFill="1" applyAlignment="1" applyProtection="1">
      <alignment horizontal="center" vertical="center"/>
      <protection locked="0"/>
    </xf>
    <xf numFmtId="0" fontId="75" fillId="60" borderId="0" xfId="493" applyFont="1" applyFill="1" applyAlignment="1">
      <alignment horizontal="center"/>
    </xf>
    <xf numFmtId="0" fontId="75" fillId="60" borderId="0" xfId="493" applyFont="1" applyFill="1" applyAlignment="1" applyProtection="1">
      <alignment horizontal="center"/>
      <protection locked="0"/>
    </xf>
    <xf numFmtId="14" fontId="75" fillId="60" borderId="0" xfId="493" applyNumberFormat="1" applyFont="1" applyFill="1" applyAlignment="1" applyProtection="1">
      <alignment horizontal="left"/>
      <protection locked="0"/>
    </xf>
    <xf numFmtId="187" fontId="76" fillId="48" borderId="0" xfId="493" applyNumberFormat="1" applyFont="1" applyFill="1" applyAlignment="1">
      <alignment horizontal="left"/>
    </xf>
    <xf numFmtId="191" fontId="75" fillId="48" borderId="0" xfId="493" applyNumberFormat="1" applyFont="1" applyFill="1" applyAlignment="1">
      <alignment horizontal="left"/>
    </xf>
    <xf numFmtId="0" fontId="75" fillId="60" borderId="0" xfId="493" applyFont="1" applyFill="1" applyAlignment="1" applyProtection="1">
      <alignment horizontal="left"/>
      <protection locked="0"/>
    </xf>
    <xf numFmtId="192" fontId="75" fillId="60" borderId="0" xfId="768" applyNumberFormat="1" applyFont="1" applyFill="1" applyAlignment="1" applyProtection="1">
      <alignment horizontal="left"/>
      <protection locked="0"/>
    </xf>
    <xf numFmtId="0" fontId="78" fillId="0" borderId="0" xfId="0" applyFont="1" applyAlignment="1">
      <alignment horizontal="center"/>
    </xf>
    <xf numFmtId="0" fontId="74" fillId="48" borderId="0" xfId="493" applyFont="1" applyFill="1" applyAlignment="1">
      <alignment horizontal="center"/>
    </xf>
    <xf numFmtId="0" fontId="75" fillId="60" borderId="0" xfId="493" applyFont="1" applyFill="1" applyAlignment="1">
      <alignment horizontal="left"/>
    </xf>
    <xf numFmtId="0" fontId="84" fillId="60" borderId="0" xfId="286" applyFont="1" applyFill="1" applyAlignment="1" applyProtection="1">
      <alignment horizontal="left"/>
    </xf>
    <xf numFmtId="0" fontId="75" fillId="60" borderId="0" xfId="768" applyFont="1" applyFill="1" applyAlignment="1" applyProtection="1">
      <alignment horizontal="left"/>
      <protection locked="0"/>
    </xf>
    <xf numFmtId="0" fontId="79" fillId="48" borderId="0" xfId="493" applyFont="1" applyFill="1" applyAlignment="1">
      <alignment horizontal="center"/>
    </xf>
    <xf numFmtId="0" fontId="74" fillId="48" borderId="19" xfId="493" applyFont="1" applyFill="1" applyBorder="1" applyAlignment="1">
      <alignment horizontal="center"/>
    </xf>
    <xf numFmtId="0" fontId="75" fillId="60" borderId="0" xfId="493" applyFont="1" applyFill="1" applyAlignment="1" applyProtection="1">
      <alignment horizontal="left" vertical="center" wrapText="1"/>
      <protection locked="0"/>
    </xf>
    <xf numFmtId="187" fontId="75" fillId="48" borderId="0" xfId="493" applyNumberFormat="1" applyFont="1" applyFill="1" applyAlignment="1">
      <alignment horizontal="left"/>
    </xf>
    <xf numFmtId="0" fontId="76" fillId="48" borderId="0" xfId="493" applyFont="1" applyFill="1" applyAlignment="1">
      <alignment horizontal="center"/>
    </xf>
    <xf numFmtId="49" fontId="75" fillId="60" borderId="0" xfId="768" applyNumberFormat="1" applyFont="1" applyFill="1" applyAlignment="1" applyProtection="1">
      <alignment horizontal="left" vertical="center" wrapText="1"/>
      <protection locked="0"/>
    </xf>
    <xf numFmtId="0" fontId="72" fillId="57" borderId="64" xfId="492" applyFont="1" applyFill="1" applyBorder="1" applyAlignment="1">
      <alignment horizontal="center"/>
    </xf>
    <xf numFmtId="0" fontId="72" fillId="57" borderId="63" xfId="492" applyFont="1" applyFill="1" applyBorder="1" applyAlignment="1">
      <alignment horizontal="center"/>
    </xf>
    <xf numFmtId="0" fontId="72" fillId="57" borderId="62" xfId="492" applyFont="1" applyFill="1" applyBorder="1" applyAlignment="1">
      <alignment horizontal="center"/>
    </xf>
    <xf numFmtId="0" fontId="72" fillId="57" borderId="60" xfId="492" applyFont="1" applyFill="1" applyBorder="1" applyAlignment="1">
      <alignment horizontal="center" vertical="center"/>
    </xf>
    <xf numFmtId="0" fontId="74" fillId="48" borderId="22" xfId="493" applyFont="1" applyFill="1" applyBorder="1" applyAlignment="1">
      <alignment horizontal="center"/>
    </xf>
    <xf numFmtId="0" fontId="74" fillId="0" borderId="9" xfId="492" applyFont="1" applyBorder="1" applyAlignment="1">
      <alignment horizontal="center"/>
    </xf>
    <xf numFmtId="0" fontId="74" fillId="0" borderId="83" xfId="492" applyFont="1" applyBorder="1" applyAlignment="1">
      <alignment horizontal="center" vertical="center"/>
    </xf>
    <xf numFmtId="0" fontId="74" fillId="0" borderId="28" xfId="492" applyFont="1" applyBorder="1" applyAlignment="1">
      <alignment horizontal="center" vertical="center"/>
    </xf>
    <xf numFmtId="0" fontId="74" fillId="0" borderId="84" xfId="492" applyFont="1" applyBorder="1" applyAlignment="1">
      <alignment horizontal="center" vertical="center"/>
    </xf>
    <xf numFmtId="0" fontId="74" fillId="0" borderId="9" xfId="492" applyFont="1" applyBorder="1" applyAlignment="1">
      <alignment horizontal="left"/>
    </xf>
    <xf numFmtId="0" fontId="74" fillId="0" borderId="49" xfId="492" applyFont="1" applyBorder="1" applyAlignment="1">
      <alignment horizontal="center" vertical="center"/>
    </xf>
    <xf numFmtId="0" fontId="74" fillId="0" borderId="46" xfId="492" applyFont="1" applyBorder="1" applyAlignment="1">
      <alignment horizontal="center" vertical="center"/>
    </xf>
    <xf numFmtId="0" fontId="74" fillId="0" borderId="74" xfId="492" applyFont="1" applyBorder="1" applyAlignment="1">
      <alignment horizontal="center" vertical="center" wrapText="1"/>
    </xf>
    <xf numFmtId="0" fontId="74" fillId="0" borderId="37" xfId="492" applyFont="1" applyBorder="1" applyAlignment="1">
      <alignment horizontal="center" vertical="center" wrapText="1"/>
    </xf>
    <xf numFmtId="0" fontId="74" fillId="0" borderId="9" xfId="492" applyFont="1" applyBorder="1" applyAlignment="1">
      <alignment horizontal="center" vertical="center"/>
    </xf>
    <xf numFmtId="0" fontId="74" fillId="0" borderId="9" xfId="492" applyFont="1" applyBorder="1" applyAlignment="1">
      <alignment horizontal="center" vertical="center" wrapText="1"/>
    </xf>
    <xf numFmtId="0" fontId="72" fillId="57" borderId="9" xfId="492" applyFont="1" applyFill="1" applyBorder="1" applyAlignment="1">
      <alignment horizontal="center"/>
    </xf>
    <xf numFmtId="0" fontId="74" fillId="48" borderId="22" xfId="768" applyFont="1" applyFill="1" applyBorder="1" applyAlignment="1">
      <alignment horizontal="center"/>
    </xf>
    <xf numFmtId="0" fontId="74" fillId="48" borderId="0" xfId="768" applyFont="1" applyFill="1" applyAlignment="1">
      <alignment horizontal="center"/>
    </xf>
    <xf numFmtId="0" fontId="74" fillId="53" borderId="87" xfId="418" applyFont="1" applyFill="1" applyBorder="1" applyAlignment="1">
      <alignment horizontal="justify" vertical="center"/>
    </xf>
    <xf numFmtId="0" fontId="74" fillId="53" borderId="86" xfId="418" applyFont="1" applyFill="1" applyBorder="1" applyAlignment="1">
      <alignment horizontal="justify" vertical="center"/>
    </xf>
    <xf numFmtId="0" fontId="74" fillId="53" borderId="88" xfId="418" applyFont="1" applyFill="1" applyBorder="1" applyAlignment="1">
      <alignment horizontal="justify" vertical="center"/>
    </xf>
    <xf numFmtId="0" fontId="72" fillId="69" borderId="51" xfId="418" applyFont="1" applyFill="1" applyBorder="1" applyAlignment="1">
      <alignment horizontal="center" vertical="center" wrapText="1"/>
    </xf>
    <xf numFmtId="0" fontId="72" fillId="69" borderId="52" xfId="418" applyFont="1" applyFill="1" applyBorder="1" applyAlignment="1">
      <alignment horizontal="center" vertical="center" wrapText="1"/>
    </xf>
    <xf numFmtId="0" fontId="72" fillId="69" borderId="71" xfId="418" applyFont="1" applyFill="1" applyBorder="1" applyAlignment="1">
      <alignment horizontal="center" vertical="center" wrapText="1"/>
    </xf>
    <xf numFmtId="49" fontId="72" fillId="59" borderId="64" xfId="0" applyNumberFormat="1" applyFont="1" applyFill="1" applyBorder="1" applyAlignment="1">
      <alignment horizontal="center" vertical="center"/>
    </xf>
    <xf numFmtId="49" fontId="72" fillId="59" borderId="63" xfId="0" applyNumberFormat="1" applyFont="1" applyFill="1" applyBorder="1" applyAlignment="1">
      <alignment horizontal="center" vertical="center"/>
    </xf>
    <xf numFmtId="49" fontId="72" fillId="59" borderId="62" xfId="0" applyNumberFormat="1" applyFont="1" applyFill="1" applyBorder="1" applyAlignment="1">
      <alignment horizontal="center" vertical="center"/>
    </xf>
    <xf numFmtId="0" fontId="73" fillId="61" borderId="0" xfId="0" applyFont="1" applyFill="1" applyAlignment="1">
      <alignment horizontal="center" vertical="center"/>
    </xf>
    <xf numFmtId="0" fontId="72" fillId="53" borderId="63" xfId="418" applyFont="1" applyFill="1" applyBorder="1" applyAlignment="1">
      <alignment horizontal="center" vertical="center" wrapText="1"/>
    </xf>
    <xf numFmtId="0" fontId="72" fillId="53" borderId="62" xfId="418" applyFont="1" applyFill="1" applyBorder="1" applyAlignment="1">
      <alignment horizontal="center" vertical="center" wrapText="1"/>
    </xf>
    <xf numFmtId="0" fontId="72" fillId="53" borderId="45" xfId="418" applyFont="1" applyFill="1" applyBorder="1" applyAlignment="1">
      <alignment horizontal="center" vertical="center"/>
    </xf>
    <xf numFmtId="0" fontId="72" fillId="53" borderId="48" xfId="418" applyFont="1" applyFill="1" applyBorder="1" applyAlignment="1">
      <alignment horizontal="center" vertical="center"/>
    </xf>
    <xf numFmtId="0" fontId="72" fillId="53" borderId="47" xfId="418" applyFont="1" applyFill="1" applyBorder="1" applyAlignment="1">
      <alignment horizontal="center" vertical="center"/>
    </xf>
    <xf numFmtId="0" fontId="72" fillId="53" borderId="50" xfId="418" applyFont="1" applyFill="1" applyBorder="1" applyAlignment="1">
      <alignment horizontal="center" vertical="center"/>
    </xf>
    <xf numFmtId="0" fontId="72" fillId="53" borderId="22" xfId="418" applyFont="1" applyFill="1" applyBorder="1" applyAlignment="1">
      <alignment horizontal="center" vertical="center" wrapText="1"/>
    </xf>
    <xf numFmtId="0" fontId="72" fillId="53" borderId="65" xfId="418" applyFont="1" applyFill="1" applyBorder="1" applyAlignment="1">
      <alignment horizontal="center" vertical="center" wrapText="1"/>
    </xf>
    <xf numFmtId="0" fontId="72" fillId="53" borderId="10" xfId="418" applyFont="1" applyFill="1" applyBorder="1" applyAlignment="1">
      <alignment horizontal="center" vertical="center" wrapText="1"/>
    </xf>
    <xf numFmtId="0" fontId="72" fillId="53" borderId="66" xfId="418" applyFont="1" applyFill="1" applyBorder="1" applyAlignment="1">
      <alignment horizontal="center" vertical="center" wrapText="1"/>
    </xf>
    <xf numFmtId="0" fontId="73" fillId="61" borderId="56" xfId="0" applyFont="1" applyFill="1" applyBorder="1" applyAlignment="1">
      <alignment horizontal="center" vertical="center"/>
    </xf>
    <xf numFmtId="0" fontId="73" fillId="61" borderId="72" xfId="0" applyFont="1" applyFill="1" applyBorder="1" applyAlignment="1">
      <alignment horizontal="center" vertical="center"/>
    </xf>
    <xf numFmtId="0" fontId="72" fillId="53" borderId="67" xfId="418" applyFont="1" applyFill="1" applyBorder="1" applyAlignment="1">
      <alignment horizontal="center" vertical="center" wrapText="1"/>
    </xf>
    <xf numFmtId="0" fontId="72" fillId="53" borderId="68" xfId="418" applyFont="1" applyFill="1" applyBorder="1" applyAlignment="1">
      <alignment horizontal="center" vertical="center" wrapText="1"/>
    </xf>
    <xf numFmtId="49" fontId="74" fillId="48" borderId="27" xfId="494" applyNumberFormat="1" applyFont="1" applyFill="1" applyBorder="1" applyAlignment="1">
      <alignment horizontal="center" vertical="center" wrapText="1"/>
    </xf>
    <xf numFmtId="49" fontId="74" fillId="48" borderId="59" xfId="494" applyNumberFormat="1" applyFont="1" applyFill="1" applyBorder="1" applyAlignment="1">
      <alignment horizontal="center" vertical="center" wrapText="1"/>
    </xf>
    <xf numFmtId="1" fontId="72" fillId="48" borderId="30" xfId="494" applyNumberFormat="1" applyFont="1" applyFill="1" applyBorder="1" applyAlignment="1" applyProtection="1">
      <alignment horizontal="center" vertical="center"/>
      <protection locked="0"/>
    </xf>
    <xf numFmtId="1" fontId="72" fillId="48" borderId="33" xfId="494" applyNumberFormat="1" applyFont="1" applyFill="1" applyBorder="1" applyAlignment="1" applyProtection="1">
      <alignment horizontal="center" vertical="center"/>
      <protection locked="0"/>
    </xf>
    <xf numFmtId="1" fontId="72" fillId="48" borderId="34" xfId="494" applyNumberFormat="1" applyFont="1" applyFill="1" applyBorder="1" applyAlignment="1" applyProtection="1">
      <alignment horizontal="center" vertical="center"/>
      <protection locked="0"/>
    </xf>
    <xf numFmtId="0" fontId="72" fillId="48" borderId="31" xfId="494" applyFont="1" applyFill="1" applyBorder="1" applyAlignment="1" applyProtection="1">
      <alignment horizontal="center" vertical="center"/>
      <protection hidden="1"/>
    </xf>
    <xf numFmtId="0" fontId="72" fillId="48" borderId="38" xfId="494" applyFont="1" applyFill="1" applyBorder="1" applyAlignment="1" applyProtection="1">
      <alignment horizontal="center" vertical="center"/>
      <protection hidden="1"/>
    </xf>
    <xf numFmtId="0" fontId="72" fillId="48" borderId="39" xfId="494" applyFont="1" applyFill="1" applyBorder="1" applyAlignment="1" applyProtection="1">
      <alignment horizontal="center" vertical="center"/>
      <protection hidden="1"/>
    </xf>
    <xf numFmtId="1" fontId="72" fillId="57" borderId="30" xfId="494" applyNumberFormat="1" applyFont="1" applyFill="1" applyBorder="1" applyAlignment="1" applyProtection="1">
      <alignment horizontal="center" vertical="center"/>
      <protection locked="0"/>
    </xf>
    <xf numFmtId="1" fontId="72" fillId="57" borderId="33" xfId="494" applyNumberFormat="1" applyFont="1" applyFill="1" applyBorder="1" applyAlignment="1" applyProtection="1">
      <alignment horizontal="center" vertical="center"/>
      <protection locked="0"/>
    </xf>
    <xf numFmtId="1" fontId="72" fillId="57" borderId="34" xfId="494" applyNumberFormat="1" applyFont="1" applyFill="1" applyBorder="1" applyAlignment="1" applyProtection="1">
      <alignment horizontal="center" vertical="center"/>
      <protection locked="0"/>
    </xf>
    <xf numFmtId="0" fontId="72" fillId="58" borderId="31" xfId="494" applyFont="1" applyFill="1" applyBorder="1" applyAlignment="1">
      <alignment horizontal="center" vertical="center"/>
    </xf>
    <xf numFmtId="0" fontId="72" fillId="58" borderId="39" xfId="494" applyFont="1" applyFill="1" applyBorder="1" applyAlignment="1">
      <alignment horizontal="center" vertical="center"/>
    </xf>
    <xf numFmtId="15" fontId="72" fillId="48" borderId="30" xfId="494" applyNumberFormat="1" applyFont="1" applyFill="1" applyBorder="1" applyAlignment="1">
      <alignment horizontal="center" vertical="center" wrapText="1"/>
    </xf>
    <xf numFmtId="15" fontId="72" fillId="48" borderId="33" xfId="494" applyNumberFormat="1" applyFont="1" applyFill="1" applyBorder="1" applyAlignment="1">
      <alignment horizontal="center" vertical="center" wrapText="1"/>
    </xf>
    <xf numFmtId="15" fontId="72" fillId="48" borderId="34" xfId="494" applyNumberFormat="1" applyFont="1" applyFill="1" applyBorder="1" applyAlignment="1">
      <alignment horizontal="center" vertical="center" wrapText="1"/>
    </xf>
    <xf numFmtId="173" fontId="72" fillId="57" borderId="64" xfId="494" quotePrefix="1" applyNumberFormat="1" applyFont="1" applyFill="1" applyBorder="1" applyAlignment="1">
      <alignment horizontal="center" vertical="center"/>
    </xf>
    <xf numFmtId="173" fontId="72" fillId="57" borderId="63" xfId="494" quotePrefix="1" applyNumberFormat="1" applyFont="1" applyFill="1" applyBorder="1" applyAlignment="1">
      <alignment horizontal="center" vertical="center"/>
    </xf>
    <xf numFmtId="173" fontId="72" fillId="57" borderId="86" xfId="494" quotePrefix="1" applyNumberFormat="1" applyFont="1" applyFill="1" applyBorder="1" applyAlignment="1">
      <alignment horizontal="center" vertical="center"/>
    </xf>
    <xf numFmtId="173" fontId="72" fillId="57" borderId="62" xfId="494" quotePrefix="1" applyNumberFormat="1" applyFont="1" applyFill="1" applyBorder="1" applyAlignment="1">
      <alignment horizontal="center" vertical="center"/>
    </xf>
    <xf numFmtId="168" fontId="8" fillId="48" borderId="0" xfId="527" applyNumberFormat="1" applyFont="1" applyFill="1" applyAlignment="1">
      <alignment horizontal="center" vertical="justify" wrapText="1"/>
    </xf>
    <xf numFmtId="1" fontId="72" fillId="0" borderId="30" xfId="494" applyNumberFormat="1" applyFont="1" applyFill="1" applyBorder="1" applyAlignment="1" applyProtection="1">
      <alignment horizontal="center" vertical="center"/>
      <protection locked="0"/>
    </xf>
    <xf numFmtId="1" fontId="72" fillId="0" borderId="33" xfId="494" applyNumberFormat="1" applyFont="1" applyFill="1" applyBorder="1" applyAlignment="1" applyProtection="1">
      <alignment horizontal="center" vertical="center"/>
      <protection locked="0"/>
    </xf>
    <xf numFmtId="1" fontId="72" fillId="0" borderId="34" xfId="494" applyNumberFormat="1" applyFont="1" applyFill="1" applyBorder="1" applyAlignment="1" applyProtection="1">
      <alignment horizontal="center" vertical="center"/>
      <protection locked="0"/>
    </xf>
    <xf numFmtId="1" fontId="57" fillId="59" borderId="87" xfId="0" applyNumberFormat="1" applyFont="1" applyFill="1" applyBorder="1" applyAlignment="1">
      <alignment horizontal="center" vertical="center"/>
    </xf>
    <xf numFmtId="1" fontId="57" fillId="59" borderId="86" xfId="0" applyNumberFormat="1" applyFont="1" applyFill="1" applyBorder="1" applyAlignment="1">
      <alignment horizontal="center" vertical="center"/>
    </xf>
    <xf numFmtId="1" fontId="57" fillId="59" borderId="88" xfId="0" applyNumberFormat="1" applyFont="1" applyFill="1" applyBorder="1" applyAlignment="1">
      <alignment horizontal="center" vertical="center"/>
    </xf>
    <xf numFmtId="1" fontId="109" fillId="90" borderId="72" xfId="0" applyNumberFormat="1" applyFont="1" applyFill="1" applyBorder="1" applyAlignment="1">
      <alignment horizontal="center" vertical="center"/>
    </xf>
    <xf numFmtId="0" fontId="57" fillId="73" borderId="88" xfId="0" applyFont="1" applyFill="1" applyBorder="1" applyAlignment="1" applyProtection="1">
      <alignment horizontal="center" vertical="center" wrapText="1"/>
      <protection locked="0"/>
    </xf>
    <xf numFmtId="0" fontId="57" fillId="73" borderId="85" xfId="0" applyFont="1" applyFill="1" applyBorder="1" applyAlignment="1" applyProtection="1">
      <alignment horizontal="center" vertical="center" wrapText="1"/>
      <protection locked="0"/>
    </xf>
    <xf numFmtId="1" fontId="57" fillId="59" borderId="85" xfId="0" applyNumberFormat="1" applyFont="1" applyFill="1" applyBorder="1" applyAlignment="1">
      <alignment horizontal="center" vertical="center"/>
    </xf>
    <xf numFmtId="0" fontId="62" fillId="73" borderId="85" xfId="0" applyFont="1" applyFill="1" applyBorder="1" applyAlignment="1">
      <alignment horizontal="center" vertical="center" wrapText="1"/>
    </xf>
    <xf numFmtId="0" fontId="62" fillId="73" borderId="87" xfId="0" applyFont="1" applyFill="1" applyBorder="1" applyAlignment="1">
      <alignment horizontal="center" vertical="center"/>
    </xf>
    <xf numFmtId="0" fontId="62" fillId="73" borderId="88" xfId="0" applyFont="1" applyFill="1" applyBorder="1" applyAlignment="1">
      <alignment horizontal="center" vertical="center"/>
    </xf>
    <xf numFmtId="0" fontId="62" fillId="73" borderId="89" xfId="0" applyFont="1" applyFill="1" applyBorder="1" applyAlignment="1">
      <alignment horizontal="center" vertical="center" wrapText="1"/>
    </xf>
    <xf numFmtId="0" fontId="62" fillId="73" borderId="37" xfId="0" applyFont="1" applyFill="1" applyBorder="1" applyAlignment="1">
      <alignment horizontal="center" vertical="center" wrapText="1"/>
    </xf>
    <xf numFmtId="0" fontId="57" fillId="73" borderId="85" xfId="0" applyFont="1" applyFill="1" applyBorder="1" applyAlignment="1" applyProtection="1">
      <alignment horizontal="center" vertical="center"/>
      <protection locked="0"/>
    </xf>
    <xf numFmtId="194" fontId="57" fillId="73" borderId="85" xfId="0" applyNumberFormat="1" applyFont="1" applyFill="1" applyBorder="1" applyAlignment="1" applyProtection="1">
      <alignment horizontal="center" vertical="center"/>
      <protection locked="0"/>
    </xf>
    <xf numFmtId="4" fontId="57" fillId="73" borderId="87" xfId="0" applyNumberFormat="1" applyFont="1" applyFill="1" applyBorder="1" applyAlignment="1" applyProtection="1">
      <alignment horizontal="center" vertical="center"/>
      <protection locked="0"/>
    </xf>
    <xf numFmtId="4" fontId="57" fillId="73" borderId="85" xfId="0" applyNumberFormat="1" applyFont="1" applyFill="1" applyBorder="1" applyAlignment="1" applyProtection="1">
      <alignment horizontal="center" vertical="center"/>
      <protection locked="0"/>
    </xf>
    <xf numFmtId="0" fontId="0" fillId="48" borderId="21" xfId="0" applyFill="1" applyBorder="1" applyAlignment="1">
      <alignment horizontal="left"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26" fillId="0" borderId="31" xfId="0" applyFont="1" applyBorder="1" applyAlignment="1">
      <alignment horizontal="center"/>
    </xf>
    <xf numFmtId="0" fontId="26" fillId="0" borderId="38" xfId="0" applyFont="1" applyBorder="1" applyAlignment="1">
      <alignment horizontal="center"/>
    </xf>
    <xf numFmtId="0" fontId="0" fillId="0" borderId="25" xfId="0" applyBorder="1" applyAlignment="1">
      <alignment horizontal="left"/>
    </xf>
    <xf numFmtId="0" fontId="0" fillId="0" borderId="10" xfId="0" applyBorder="1" applyAlignment="1">
      <alignment horizontal="left"/>
    </xf>
    <xf numFmtId="0" fontId="0" fillId="0" borderId="26" xfId="0" applyBorder="1" applyAlignment="1">
      <alignment horizontal="left"/>
    </xf>
    <xf numFmtId="0" fontId="0" fillId="48" borderId="21" xfId="0" applyFill="1" applyBorder="1" applyAlignment="1">
      <alignment horizontal="center" vertical="center"/>
    </xf>
    <xf numFmtId="0" fontId="0" fillId="48" borderId="25" xfId="0" applyFill="1" applyBorder="1" applyAlignment="1">
      <alignment horizontal="center" vertical="center"/>
    </xf>
    <xf numFmtId="2" fontId="0" fillId="48" borderId="30" xfId="0" applyNumberFormat="1" applyFill="1" applyBorder="1" applyAlignment="1">
      <alignment horizontal="center" vertical="center"/>
    </xf>
    <xf numFmtId="2" fontId="0" fillId="48" borderId="34" xfId="0" applyNumberFormat="1" applyFill="1" applyBorder="1" applyAlignment="1">
      <alignment horizontal="center" vertical="center"/>
    </xf>
    <xf numFmtId="0" fontId="0" fillId="48" borderId="25" xfId="0" applyFill="1" applyBorder="1" applyAlignment="1">
      <alignment horizontal="left" vertical="center"/>
    </xf>
    <xf numFmtId="0" fontId="0" fillId="48" borderId="10" xfId="0" applyFill="1" applyBorder="1" applyAlignment="1">
      <alignment horizontal="left" vertical="center"/>
    </xf>
    <xf numFmtId="0" fontId="0" fillId="48" borderId="26" xfId="0" applyFill="1" applyBorder="1" applyAlignment="1">
      <alignment horizontal="left" vertical="center"/>
    </xf>
    <xf numFmtId="0" fontId="26" fillId="48" borderId="31" xfId="0" applyFont="1" applyFill="1" applyBorder="1" applyAlignment="1">
      <alignment horizontal="left" vertical="center"/>
    </xf>
    <xf numFmtId="0" fontId="26" fillId="48" borderId="38" xfId="0" applyFont="1" applyFill="1" applyBorder="1" applyAlignment="1">
      <alignment horizontal="left" vertical="center"/>
    </xf>
    <xf numFmtId="0" fontId="26" fillId="48" borderId="39" xfId="0" applyFont="1" applyFill="1" applyBorder="1" applyAlignment="1">
      <alignment horizontal="left" vertical="center"/>
    </xf>
    <xf numFmtId="0" fontId="0" fillId="48" borderId="31" xfId="0" applyFill="1" applyBorder="1" applyAlignment="1">
      <alignment horizontal="left" vertical="center"/>
    </xf>
    <xf numFmtId="0" fontId="0" fillId="48" borderId="38" xfId="0" applyFill="1" applyBorder="1" applyAlignment="1">
      <alignment horizontal="left" vertical="center"/>
    </xf>
    <xf numFmtId="0" fontId="0" fillId="48" borderId="39" xfId="0" applyFill="1" applyBorder="1" applyAlignment="1">
      <alignment horizontal="left" vertical="center"/>
    </xf>
    <xf numFmtId="0" fontId="26" fillId="48" borderId="31" xfId="0" applyFont="1" applyFill="1" applyBorder="1" applyAlignment="1">
      <alignment horizontal="center" vertical="center"/>
    </xf>
    <xf numFmtId="0" fontId="26" fillId="48" borderId="38" xfId="0" applyFont="1" applyFill="1" applyBorder="1" applyAlignment="1">
      <alignment horizontal="center" vertical="center"/>
    </xf>
    <xf numFmtId="0" fontId="26" fillId="48" borderId="39" xfId="0" applyFont="1" applyFill="1" applyBorder="1" applyAlignment="1">
      <alignment horizontal="center" vertical="center"/>
    </xf>
    <xf numFmtId="49" fontId="33" fillId="53" borderId="21" xfId="264" applyNumberFormat="1" applyFont="1" applyFill="1" applyBorder="1" applyAlignment="1">
      <alignment horizontal="center" vertical="center"/>
    </xf>
    <xf numFmtId="49" fontId="33" fillId="53" borderId="22" xfId="264" applyNumberFormat="1" applyFont="1" applyFill="1" applyBorder="1" applyAlignment="1">
      <alignment horizontal="center" vertical="center"/>
    </xf>
    <xf numFmtId="49" fontId="33" fillId="53" borderId="23" xfId="264" applyNumberFormat="1" applyFont="1" applyFill="1" applyBorder="1" applyAlignment="1">
      <alignment horizontal="center" vertical="center"/>
    </xf>
    <xf numFmtId="0" fontId="62" fillId="48" borderId="20" xfId="0" applyFont="1" applyFill="1" applyBorder="1" applyAlignment="1">
      <alignment horizontal="center"/>
    </xf>
    <xf numFmtId="0" fontId="62" fillId="48" borderId="0" xfId="0" applyFont="1" applyFill="1" applyAlignment="1">
      <alignment horizontal="center"/>
    </xf>
    <xf numFmtId="0" fontId="62" fillId="48" borderId="24" xfId="0" applyFont="1" applyFill="1" applyBorder="1" applyAlignment="1">
      <alignment horizontal="center"/>
    </xf>
    <xf numFmtId="0" fontId="62" fillId="48" borderId="31" xfId="0" applyFont="1" applyFill="1" applyBorder="1" applyAlignment="1">
      <alignment horizontal="center"/>
    </xf>
    <xf numFmtId="0" fontId="62" fillId="48" borderId="38" xfId="0" applyFont="1" applyFill="1" applyBorder="1" applyAlignment="1">
      <alignment horizontal="center"/>
    </xf>
    <xf numFmtId="0" fontId="62" fillId="48" borderId="39" xfId="0" applyFont="1" applyFill="1" applyBorder="1" applyAlignment="1">
      <alignment horizontal="center"/>
    </xf>
    <xf numFmtId="0" fontId="62" fillId="48" borderId="31" xfId="0" applyFont="1" applyFill="1" applyBorder="1" applyAlignment="1">
      <alignment horizontal="center" vertical="center"/>
    </xf>
    <xf numFmtId="0" fontId="62" fillId="48" borderId="38" xfId="0" applyFont="1" applyFill="1" applyBorder="1" applyAlignment="1">
      <alignment horizontal="center" vertical="center"/>
    </xf>
    <xf numFmtId="0" fontId="62" fillId="48" borderId="39" xfId="0" applyFont="1" applyFill="1" applyBorder="1" applyAlignment="1">
      <alignment horizontal="center" vertical="center"/>
    </xf>
    <xf numFmtId="1" fontId="57" fillId="59" borderId="64" xfId="0" applyNumberFormat="1" applyFont="1" applyFill="1" applyBorder="1" applyAlignment="1">
      <alignment horizontal="center" vertical="center"/>
    </xf>
    <xf numFmtId="1" fontId="57" fillId="59" borderId="63" xfId="0" applyNumberFormat="1" applyFont="1" applyFill="1" applyBorder="1" applyAlignment="1">
      <alignment horizontal="center" vertical="center"/>
    </xf>
    <xf numFmtId="1" fontId="57" fillId="59" borderId="62" xfId="0" applyNumberFormat="1" applyFont="1" applyFill="1" applyBorder="1" applyAlignment="1">
      <alignment horizontal="center" vertical="center"/>
    </xf>
    <xf numFmtId="0" fontId="79" fillId="58" borderId="0" xfId="493" applyFont="1" applyFill="1" applyAlignment="1">
      <alignment horizontal="center"/>
    </xf>
    <xf numFmtId="0" fontId="74" fillId="58" borderId="19" xfId="493" applyFont="1" applyFill="1" applyBorder="1" applyAlignment="1">
      <alignment horizontal="center"/>
    </xf>
    <xf numFmtId="43" fontId="111" fillId="58" borderId="88" xfId="717" applyFont="1" applyFill="1" applyBorder="1" applyAlignment="1" applyProtection="1">
      <alignment horizontal="center" vertical="center" wrapText="1"/>
      <protection locked="0"/>
    </xf>
    <xf numFmtId="43" fontId="111" fillId="58" borderId="85" xfId="717" applyFont="1" applyFill="1" applyBorder="1" applyAlignment="1" applyProtection="1">
      <alignment horizontal="center" vertical="center" wrapText="1"/>
      <protection locked="0"/>
    </xf>
    <xf numFmtId="0" fontId="57" fillId="64" borderId="87" xfId="0" applyFont="1" applyFill="1" applyBorder="1" applyAlignment="1">
      <alignment horizontal="center"/>
    </xf>
    <xf numFmtId="0" fontId="57" fillId="64" borderId="86" xfId="0" applyFont="1" applyFill="1" applyBorder="1" applyAlignment="1">
      <alignment horizontal="center"/>
    </xf>
    <xf numFmtId="0" fontId="57" fillId="64" borderId="88" xfId="0" applyFont="1" applyFill="1" applyBorder="1" applyAlignment="1">
      <alignment horizontal="center"/>
    </xf>
    <xf numFmtId="0" fontId="57" fillId="58" borderId="85" xfId="0" applyFont="1" applyFill="1" applyBorder="1" applyAlignment="1" applyProtection="1">
      <alignment horizontal="center" vertical="center" wrapText="1"/>
      <protection locked="0"/>
    </xf>
    <xf numFmtId="0" fontId="57" fillId="58" borderId="87" xfId="0" applyFont="1" applyFill="1" applyBorder="1" applyAlignment="1" applyProtection="1">
      <alignment horizontal="center" vertical="center"/>
      <protection locked="0"/>
    </xf>
    <xf numFmtId="0" fontId="57" fillId="58" borderId="88" xfId="0" applyFont="1" applyFill="1" applyBorder="1" applyAlignment="1" applyProtection="1">
      <alignment horizontal="center" vertical="center"/>
      <protection locked="0"/>
    </xf>
    <xf numFmtId="0" fontId="111" fillId="58" borderId="89" xfId="0" applyFont="1" applyFill="1" applyBorder="1" applyAlignment="1" applyProtection="1">
      <alignment horizontal="center" vertical="center" wrapText="1"/>
      <protection locked="0"/>
    </xf>
    <xf numFmtId="0" fontId="111" fillId="58" borderId="37" xfId="0" applyFont="1" applyFill="1" applyBorder="1" applyAlignment="1" applyProtection="1">
      <alignment horizontal="center" vertical="center"/>
      <protection locked="0"/>
    </xf>
    <xf numFmtId="0" fontId="57" fillId="58" borderId="89" xfId="0" applyFont="1" applyFill="1" applyBorder="1" applyAlignment="1" applyProtection="1">
      <alignment horizontal="center" vertical="center" wrapText="1"/>
      <protection locked="0"/>
    </xf>
    <xf numFmtId="0" fontId="57" fillId="58" borderId="37" xfId="0" applyFont="1" applyFill="1" applyBorder="1" applyAlignment="1" applyProtection="1">
      <alignment horizontal="center" vertical="center" wrapText="1"/>
      <protection locked="0"/>
    </xf>
    <xf numFmtId="0" fontId="57" fillId="58" borderId="85" xfId="0" applyFont="1" applyFill="1" applyBorder="1" applyAlignment="1" applyProtection="1">
      <alignment horizontal="center" vertical="center"/>
      <protection locked="0"/>
    </xf>
    <xf numFmtId="194" fontId="57" fillId="58" borderId="85" xfId="0" applyNumberFormat="1" applyFont="1" applyFill="1" applyBorder="1" applyAlignment="1" applyProtection="1">
      <alignment horizontal="center" vertical="center"/>
      <protection locked="0"/>
    </xf>
    <xf numFmtId="43" fontId="57" fillId="58" borderId="87" xfId="717" applyFont="1" applyFill="1" applyBorder="1" applyAlignment="1" applyProtection="1">
      <alignment horizontal="center" vertical="center"/>
      <protection locked="0"/>
    </xf>
    <xf numFmtId="43" fontId="57" fillId="58" borderId="85" xfId="717" applyFont="1" applyFill="1" applyBorder="1" applyAlignment="1" applyProtection="1">
      <alignment horizontal="center" vertical="center"/>
      <protection locked="0"/>
    </xf>
    <xf numFmtId="0" fontId="111" fillId="58" borderId="37" xfId="0" applyFont="1" applyFill="1" applyBorder="1" applyAlignment="1" applyProtection="1">
      <alignment horizontal="center" vertical="center" wrapText="1"/>
      <protection locked="0"/>
    </xf>
    <xf numFmtId="0" fontId="113" fillId="0" borderId="100" xfId="0" applyFont="1" applyFill="1" applyBorder="1" applyAlignment="1">
      <alignment horizontal="justify" vertical="center"/>
    </xf>
    <xf numFmtId="0" fontId="113" fillId="0" borderId="38" xfId="0" applyFont="1" applyFill="1" applyBorder="1" applyAlignment="1">
      <alignment horizontal="justify" vertical="center"/>
    </xf>
    <xf numFmtId="0" fontId="113" fillId="0" borderId="101" xfId="0" applyFont="1" applyFill="1" applyBorder="1" applyAlignment="1">
      <alignment horizontal="justify" vertical="center"/>
    </xf>
    <xf numFmtId="0" fontId="67" fillId="81" borderId="91" xfId="0" applyFont="1" applyFill="1" applyBorder="1" applyAlignment="1">
      <alignment horizontal="center" vertical="center"/>
    </xf>
    <xf numFmtId="0" fontId="67" fillId="81" borderId="94" xfId="0" applyFont="1" applyFill="1" applyBorder="1" applyAlignment="1">
      <alignment horizontal="center" vertical="center"/>
    </xf>
    <xf numFmtId="0" fontId="57" fillId="82" borderId="31" xfId="0" applyFont="1" applyFill="1" applyBorder="1" applyAlignment="1">
      <alignment horizontal="center" vertical="center"/>
    </xf>
    <xf numFmtId="0" fontId="57" fillId="82" borderId="38" xfId="0" applyFont="1" applyFill="1" applyBorder="1" applyAlignment="1">
      <alignment horizontal="center" vertical="center"/>
    </xf>
    <xf numFmtId="0" fontId="57" fillId="82" borderId="39" xfId="0" applyFont="1" applyFill="1" applyBorder="1" applyAlignment="1">
      <alignment horizontal="center" vertical="center"/>
    </xf>
    <xf numFmtId="0" fontId="113" fillId="78" borderId="100" xfId="0" applyFont="1" applyFill="1" applyBorder="1" applyAlignment="1">
      <alignment horizontal="justify" vertical="center"/>
    </xf>
    <xf numFmtId="0" fontId="113" fillId="78" borderId="38" xfId="0" applyFont="1" applyFill="1" applyBorder="1" applyAlignment="1">
      <alignment horizontal="justify" vertical="center"/>
    </xf>
    <xf numFmtId="0" fontId="113" fillId="78" borderId="101" xfId="0" applyFont="1" applyFill="1" applyBorder="1" applyAlignment="1">
      <alignment horizontal="justify" vertical="center"/>
    </xf>
    <xf numFmtId="0" fontId="67" fillId="81" borderId="98" xfId="0" applyFont="1" applyFill="1" applyBorder="1" applyAlignment="1">
      <alignment horizontal="center" vertical="center"/>
    </xf>
    <xf numFmtId="0" fontId="113" fillId="0" borderId="100" xfId="0" applyFont="1" applyBorder="1" applyAlignment="1">
      <alignment horizontal="justify" vertical="center"/>
    </xf>
    <xf numFmtId="0" fontId="113" fillId="0" borderId="38" xfId="0" applyFont="1" applyBorder="1" applyAlignment="1">
      <alignment horizontal="justify" vertical="center"/>
    </xf>
    <xf numFmtId="0" fontId="113" fillId="0" borderId="101" xfId="0" applyFont="1" applyBorder="1" applyAlignment="1">
      <alignment horizontal="justify" vertical="center"/>
    </xf>
    <xf numFmtId="0" fontId="113" fillId="0" borderId="68" xfId="0" applyFont="1" applyFill="1" applyBorder="1" applyAlignment="1">
      <alignment horizontal="justify" vertical="center"/>
    </xf>
    <xf numFmtId="0" fontId="113" fillId="0" borderId="100" xfId="0" applyFont="1" applyBorder="1" applyAlignment="1">
      <alignment horizontal="left" vertical="center" wrapText="1"/>
    </xf>
    <xf numFmtId="0" fontId="113" fillId="0" borderId="38" xfId="0" applyFont="1" applyBorder="1" applyAlignment="1">
      <alignment horizontal="left" vertical="center" wrapText="1"/>
    </xf>
    <xf numFmtId="0" fontId="113" fillId="0" borderId="101" xfId="0" applyFont="1" applyBorder="1" applyAlignment="1">
      <alignment horizontal="left" vertical="center" wrapText="1"/>
    </xf>
    <xf numFmtId="0" fontId="113" fillId="0" borderId="68" xfId="0" applyFont="1" applyBorder="1" applyAlignment="1">
      <alignment horizontal="justify" vertical="center"/>
    </xf>
    <xf numFmtId="198" fontId="115" fillId="79" borderId="31" xfId="787" applyNumberFormat="1" applyFont="1" applyFill="1" applyBorder="1" applyAlignment="1" applyProtection="1">
      <alignment horizontal="center" vertical="center"/>
      <protection hidden="1"/>
    </xf>
    <xf numFmtId="198" fontId="115" fillId="79" borderId="38" xfId="787" applyNumberFormat="1" applyFont="1" applyFill="1" applyBorder="1" applyAlignment="1" applyProtection="1">
      <alignment horizontal="center" vertical="center"/>
      <protection hidden="1"/>
    </xf>
    <xf numFmtId="198" fontId="115" fillId="79" borderId="39" xfId="787" applyNumberFormat="1" applyFont="1" applyFill="1" applyBorder="1" applyAlignment="1" applyProtection="1">
      <alignment horizontal="center" vertical="center"/>
      <protection hidden="1"/>
    </xf>
    <xf numFmtId="0" fontId="120" fillId="0" borderId="100" xfId="0" applyFont="1" applyFill="1" applyBorder="1" applyAlignment="1">
      <alignment horizontal="justify" vertical="center"/>
    </xf>
    <xf numFmtId="0" fontId="120" fillId="0" borderId="38" xfId="0" applyFont="1" applyFill="1" applyBorder="1" applyAlignment="1">
      <alignment horizontal="justify" vertical="center"/>
    </xf>
    <xf numFmtId="0" fontId="120" fillId="0" borderId="101" xfId="0" applyFont="1" applyFill="1" applyBorder="1" applyAlignment="1">
      <alignment horizontal="justify" vertical="center"/>
    </xf>
    <xf numFmtId="1" fontId="65" fillId="52" borderId="0" xfId="0" applyNumberFormat="1" applyFont="1" applyFill="1" applyBorder="1" applyAlignment="1" applyProtection="1">
      <alignment horizontal="center" vertical="center"/>
      <protection locked="0"/>
    </xf>
    <xf numFmtId="49" fontId="65" fillId="52" borderId="0" xfId="0" applyNumberFormat="1" applyFont="1" applyFill="1" applyBorder="1" applyAlignment="1" applyProtection="1">
      <alignment horizontal="center" vertical="center"/>
      <protection locked="0"/>
    </xf>
    <xf numFmtId="0" fontId="65" fillId="52" borderId="0" xfId="0" applyFont="1" applyFill="1" applyBorder="1" applyAlignment="1" applyProtection="1">
      <alignment vertical="justify" wrapText="1"/>
      <protection locked="0"/>
    </xf>
    <xf numFmtId="0" fontId="65" fillId="52" borderId="0" xfId="0" applyFont="1" applyFill="1" applyBorder="1" applyAlignment="1" applyProtection="1">
      <alignment horizontal="center" vertical="center"/>
      <protection locked="0"/>
    </xf>
    <xf numFmtId="2" fontId="65" fillId="52" borderId="0" xfId="0" applyNumberFormat="1" applyFont="1" applyFill="1" applyBorder="1" applyAlignment="1" applyProtection="1">
      <alignment vertical="center"/>
      <protection locked="0"/>
    </xf>
    <xf numFmtId="2" fontId="65" fillId="52" borderId="0" xfId="0" applyNumberFormat="1" applyFont="1" applyFill="1" applyBorder="1" applyAlignment="1" applyProtection="1">
      <alignment horizontal="right" vertical="center"/>
      <protection locked="0"/>
    </xf>
    <xf numFmtId="10" fontId="65" fillId="0" borderId="0" xfId="716" applyNumberFormat="1" applyFont="1" applyFill="1" applyBorder="1" applyAlignment="1" applyProtection="1">
      <alignment horizontal="right" vertical="center"/>
      <protection locked="0"/>
    </xf>
    <xf numFmtId="43" fontId="65" fillId="0" borderId="0" xfId="716" applyFont="1" applyFill="1" applyBorder="1" applyAlignment="1" applyProtection="1">
      <alignment horizontal="right" vertical="center"/>
      <protection locked="0"/>
    </xf>
    <xf numFmtId="4" fontId="65" fillId="0" borderId="0" xfId="0" applyNumberFormat="1" applyFont="1" applyFill="1" applyBorder="1" applyAlignment="1" applyProtection="1">
      <alignment horizontal="right" vertical="center" wrapText="1"/>
      <protection locked="0"/>
    </xf>
    <xf numFmtId="4" fontId="65" fillId="52" borderId="0" xfId="0" applyNumberFormat="1" applyFont="1" applyFill="1" applyBorder="1" applyAlignment="1" applyProtection="1">
      <alignment horizontal="right" vertical="center"/>
      <protection locked="0"/>
    </xf>
    <xf numFmtId="10" fontId="65" fillId="52" borderId="0" xfId="527" applyNumberFormat="1" applyFont="1" applyFill="1" applyBorder="1" applyAlignment="1" applyProtection="1">
      <alignment vertical="center"/>
      <protection locked="0"/>
    </xf>
    <xf numFmtId="2" fontId="65" fillId="52" borderId="0" xfId="0" applyNumberFormat="1" applyFont="1" applyFill="1" applyBorder="1" applyAlignment="1" applyProtection="1">
      <alignment horizontal="center" vertical="center"/>
      <protection locked="0"/>
    </xf>
    <xf numFmtId="10" fontId="65" fillId="58" borderId="0" xfId="716" applyNumberFormat="1" applyFont="1" applyFill="1" applyBorder="1" applyAlignment="1" applyProtection="1">
      <alignment horizontal="right" vertical="center"/>
      <protection locked="0"/>
    </xf>
    <xf numFmtId="43" fontId="65" fillId="58" borderId="0" xfId="716" applyFont="1" applyFill="1" applyBorder="1" applyAlignment="1" applyProtection="1">
      <alignment horizontal="right" vertical="center"/>
      <protection locked="0"/>
    </xf>
    <xf numFmtId="4" fontId="65" fillId="58" borderId="0" xfId="0" applyNumberFormat="1" applyFont="1" applyFill="1" applyBorder="1" applyAlignment="1" applyProtection="1">
      <alignment horizontal="right" vertical="center" wrapText="1"/>
      <protection locked="0"/>
    </xf>
    <xf numFmtId="4" fontId="65" fillId="68" borderId="0" xfId="0" applyNumberFormat="1" applyFont="1" applyFill="1" applyBorder="1" applyAlignment="1" applyProtection="1">
      <alignment horizontal="right" vertical="center"/>
      <protection locked="0"/>
    </xf>
    <xf numFmtId="0" fontId="74" fillId="61" borderId="19" xfId="0" applyFont="1" applyFill="1" applyBorder="1" applyAlignment="1">
      <alignment vertical="center"/>
    </xf>
    <xf numFmtId="0" fontId="74" fillId="61" borderId="56" xfId="0" applyFont="1" applyFill="1" applyBorder="1" applyAlignment="1">
      <alignment horizontal="center" vertical="center"/>
    </xf>
    <xf numFmtId="0" fontId="74" fillId="61" borderId="72" xfId="0" applyFont="1" applyFill="1" applyBorder="1" applyAlignment="1">
      <alignment horizontal="center" vertical="center"/>
    </xf>
    <xf numFmtId="0" fontId="74" fillId="61" borderId="0" xfId="0" applyFont="1" applyFill="1" applyAlignment="1">
      <alignment horizontal="center" vertical="center"/>
    </xf>
  </cellXfs>
  <cellStyles count="788">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tilo 1" xfId="254" xr:uid="{00000000-0005-0000-0000-0000FD000000}"/>
    <cellStyle name="Estilo 1 2" xfId="255" xr:uid="{00000000-0005-0000-0000-0000FE000000}"/>
    <cellStyle name="Estilo 1_AQPNG_ORC_R01_2013_11_22(OBRA COMPLETA) 29112013-2" xfId="256" xr:uid="{00000000-0005-0000-0000-0000FF000000}"/>
    <cellStyle name="Euro" xfId="257" xr:uid="{00000000-0005-0000-0000-000000010000}"/>
    <cellStyle name="Excel Built-in Comma" xfId="258" xr:uid="{00000000-0005-0000-0000-000001010000}"/>
    <cellStyle name="Excel Built-in Comma 2" xfId="259" xr:uid="{00000000-0005-0000-0000-000002010000}"/>
    <cellStyle name="Excel Built-in Comma 2 2" xfId="260" xr:uid="{00000000-0005-0000-0000-000003010000}"/>
    <cellStyle name="Excel Built-in Comma 3" xfId="261" xr:uid="{00000000-0005-0000-0000-000004010000}"/>
    <cellStyle name="Excel Built-in Comma 4" xfId="262" xr:uid="{00000000-0005-0000-0000-000005010000}"/>
    <cellStyle name="Excel Built-in Comma 5" xfId="263" xr:uid="{00000000-0005-0000-0000-000006010000}"/>
    <cellStyle name="Excel Built-in Normal" xfId="264" xr:uid="{00000000-0005-0000-0000-000007010000}"/>
    <cellStyle name="Excel Built-in Normal 2" xfId="265" xr:uid="{00000000-0005-0000-0000-000008010000}"/>
    <cellStyle name="Excel Built-in Normal 2 2" xfId="266" xr:uid="{00000000-0005-0000-0000-000009010000}"/>
    <cellStyle name="Excel Built-in Normal 3" xfId="267" xr:uid="{00000000-0005-0000-0000-00000A010000}"/>
    <cellStyle name="Excel Built-in Normal 4" xfId="268" xr:uid="{00000000-0005-0000-0000-00000B010000}"/>
    <cellStyle name="Excel Built-in Normal 5" xfId="269" xr:uid="{00000000-0005-0000-0000-00000C010000}"/>
    <cellStyle name="Excel Built-in Normal_Planilha RETROFIT PALÁCIO - VRF  DEZEMBRO  2013 CRONOGRAMA 15 MESES _ R02 - 2" xfId="270" xr:uid="{00000000-0005-0000-0000-00000D010000}"/>
    <cellStyle name="F2" xfId="271" xr:uid="{00000000-0005-0000-0000-00000E010000}"/>
    <cellStyle name="F3" xfId="272" xr:uid="{00000000-0005-0000-0000-00000F010000}"/>
    <cellStyle name="F4" xfId="273" xr:uid="{00000000-0005-0000-0000-000010010000}"/>
    <cellStyle name="F5" xfId="274" xr:uid="{00000000-0005-0000-0000-000011010000}"/>
    <cellStyle name="F6" xfId="275" xr:uid="{00000000-0005-0000-0000-000012010000}"/>
    <cellStyle name="F7" xfId="276" xr:uid="{00000000-0005-0000-0000-000013010000}"/>
    <cellStyle name="F8" xfId="277" xr:uid="{00000000-0005-0000-0000-000014010000}"/>
    <cellStyle name="Fijo" xfId="278" xr:uid="{00000000-0005-0000-0000-000015010000}"/>
    <cellStyle name="Financiero" xfId="279" xr:uid="{00000000-0005-0000-0000-000016010000}"/>
    <cellStyle name="Fixed" xfId="280" xr:uid="{00000000-0005-0000-0000-000017010000}"/>
    <cellStyle name="Followed Hyperlink" xfId="281" xr:uid="{00000000-0005-0000-0000-000018010000}"/>
    <cellStyle name="Grey" xfId="282" xr:uid="{00000000-0005-0000-0000-000019010000}"/>
    <cellStyle name="HEADER" xfId="283" xr:uid="{00000000-0005-0000-0000-00001A010000}"/>
    <cellStyle name="Heading 1" xfId="284" xr:uid="{00000000-0005-0000-0000-00001B010000}"/>
    <cellStyle name="Heading 2" xfId="285" xr:uid="{00000000-0005-0000-0000-00001C010000}"/>
    <cellStyle name="Hiperlink" xfId="286" builtinId="8"/>
    <cellStyle name="Hiperlink 2" xfId="287" xr:uid="{00000000-0005-0000-0000-00001E010000}"/>
    <cellStyle name="Hiperlink 4" xfId="773"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Millares [0]_10 AVERIAS MASIVAS + ANT" xfId="293" xr:uid="{00000000-0005-0000-0000-000025010000}"/>
    <cellStyle name="Millares_10 AVERIAS MASIVAS + ANT" xfId="294" xr:uid="{00000000-0005-0000-0000-000026010000}"/>
    <cellStyle name="Model" xfId="295" xr:uid="{00000000-0005-0000-0000-000027010000}"/>
    <cellStyle name="Moeda" xfId="296" builtinId="4"/>
    <cellStyle name="Moeda 10" xfId="297" xr:uid="{00000000-0005-0000-0000-000029010000}"/>
    <cellStyle name="Moeda 11" xfId="298" xr:uid="{00000000-0005-0000-0000-00002A010000}"/>
    <cellStyle name="Moeda 12" xfId="299" xr:uid="{00000000-0005-0000-0000-00002B010000}"/>
    <cellStyle name="Moeda 2" xfId="300" xr:uid="{00000000-0005-0000-0000-00002C010000}"/>
    <cellStyle name="Moeda 2 2" xfId="301" xr:uid="{00000000-0005-0000-0000-00002D010000}"/>
    <cellStyle name="Moeda 2 2 2" xfId="302" xr:uid="{00000000-0005-0000-0000-00002E010000}"/>
    <cellStyle name="Moeda 2 2 3" xfId="303" xr:uid="{00000000-0005-0000-0000-00002F010000}"/>
    <cellStyle name="Moeda 2 2 4" xfId="304" xr:uid="{00000000-0005-0000-0000-000030010000}"/>
    <cellStyle name="Moeda 2 2_AQPNG_ORC_R01_2013_11_22(OBRA COMPLETA) 29112013-2" xfId="305" xr:uid="{00000000-0005-0000-0000-000031010000}"/>
    <cellStyle name="Moeda 2 3" xfId="306" xr:uid="{00000000-0005-0000-0000-000032010000}"/>
    <cellStyle name="Moeda 2 3 2" xfId="307" xr:uid="{00000000-0005-0000-0000-000033010000}"/>
    <cellStyle name="Moeda 2 3_AQPNG_ORC_R01_2013_11_22(OBRA COMPLETA) 29112013-2" xfId="308" xr:uid="{00000000-0005-0000-0000-000034010000}"/>
    <cellStyle name="Moeda 2 4" xfId="309" xr:uid="{00000000-0005-0000-0000-000035010000}"/>
    <cellStyle name="Moeda 2 5" xfId="310" xr:uid="{00000000-0005-0000-0000-000036010000}"/>
    <cellStyle name="Moeda 2_AQPNG_ORC_R01_2013_11_22(OBRA COMPLETA) 29112013-2" xfId="311" xr:uid="{00000000-0005-0000-0000-000037010000}"/>
    <cellStyle name="Moeda 3" xfId="312" xr:uid="{00000000-0005-0000-0000-000038010000}"/>
    <cellStyle name="Moeda 3 2" xfId="313" xr:uid="{00000000-0005-0000-0000-000039010000}"/>
    <cellStyle name="Moeda 3 2 2" xfId="314" xr:uid="{00000000-0005-0000-0000-00003A010000}"/>
    <cellStyle name="Moeda 3 2_AQPNG_ORC_R01_2013_11_22(OBRA COMPLETA) 29112013-2" xfId="315" xr:uid="{00000000-0005-0000-0000-00003B010000}"/>
    <cellStyle name="Moeda 3 3" xfId="316" xr:uid="{00000000-0005-0000-0000-00003C010000}"/>
    <cellStyle name="Moeda 3 3 2" xfId="317" xr:uid="{00000000-0005-0000-0000-00003D010000}"/>
    <cellStyle name="Moeda 3 3_AQPNG_ORC_R01_2013_11_22(OBRA COMPLETA) 29112013-2" xfId="318" xr:uid="{00000000-0005-0000-0000-00003E010000}"/>
    <cellStyle name="Moeda 3 4" xfId="319" xr:uid="{00000000-0005-0000-0000-00003F010000}"/>
    <cellStyle name="Moeda 3_AQPNG_ORC_R01_2013_11_22(OBRA COMPLETA) 29112013-2" xfId="320" xr:uid="{00000000-0005-0000-0000-000040010000}"/>
    <cellStyle name="Moeda 4" xfId="321" xr:uid="{00000000-0005-0000-0000-000041010000}"/>
    <cellStyle name="Moeda 4 2" xfId="322" xr:uid="{00000000-0005-0000-0000-000042010000}"/>
    <cellStyle name="Moeda 4 2 2" xfId="323" xr:uid="{00000000-0005-0000-0000-000043010000}"/>
    <cellStyle name="Moeda 4 2 2 2" xfId="324" xr:uid="{00000000-0005-0000-0000-000044010000}"/>
    <cellStyle name="Moeda 4 2 3" xfId="325" xr:uid="{00000000-0005-0000-0000-000045010000}"/>
    <cellStyle name="Moeda 4 2 4" xfId="326" xr:uid="{00000000-0005-0000-0000-000046010000}"/>
    <cellStyle name="Moeda 4 2_AQPNG_ORC_R01_2013_11_22(OBRA COMPLETA) 29112013-2" xfId="327" xr:uid="{00000000-0005-0000-0000-000047010000}"/>
    <cellStyle name="Moeda 4 3" xfId="328" xr:uid="{00000000-0005-0000-0000-000048010000}"/>
    <cellStyle name="Moeda 4 3 2" xfId="329" xr:uid="{00000000-0005-0000-0000-000049010000}"/>
    <cellStyle name="Moeda 4 3 3" xfId="330" xr:uid="{00000000-0005-0000-0000-00004A010000}"/>
    <cellStyle name="Moeda 4 4" xfId="331" xr:uid="{00000000-0005-0000-0000-00004B010000}"/>
    <cellStyle name="Moeda 4 5" xfId="332" xr:uid="{00000000-0005-0000-0000-00004C010000}"/>
    <cellStyle name="Moeda 4_AQPNG_ORC_R01_2013_11_22(OBRA COMPLETA) 29112013-2" xfId="333" xr:uid="{00000000-0005-0000-0000-00004D010000}"/>
    <cellStyle name="Moeda 5" xfId="334" xr:uid="{00000000-0005-0000-0000-00004E010000}"/>
    <cellStyle name="Moeda 5 10" xfId="335" xr:uid="{00000000-0005-0000-0000-00004F010000}"/>
    <cellStyle name="Moeda 5 11" xfId="336" xr:uid="{00000000-0005-0000-0000-000050010000}"/>
    <cellStyle name="Moeda 5 2" xfId="337" xr:uid="{00000000-0005-0000-0000-000051010000}"/>
    <cellStyle name="Moeda 5 2 2" xfId="338" xr:uid="{00000000-0005-0000-0000-000052010000}"/>
    <cellStyle name="Moeda 5 2 2 2" xfId="339" xr:uid="{00000000-0005-0000-0000-000053010000}"/>
    <cellStyle name="Moeda 5 2 2 3" xfId="340" xr:uid="{00000000-0005-0000-0000-000054010000}"/>
    <cellStyle name="Moeda 5 2 3" xfId="341" xr:uid="{00000000-0005-0000-0000-000055010000}"/>
    <cellStyle name="Moeda 5 2 3 2" xfId="342" xr:uid="{00000000-0005-0000-0000-000056010000}"/>
    <cellStyle name="Moeda 5 2 4" xfId="343" xr:uid="{00000000-0005-0000-0000-000057010000}"/>
    <cellStyle name="Moeda 5 2 5" xfId="344" xr:uid="{00000000-0005-0000-0000-000058010000}"/>
    <cellStyle name="Moeda 5 3" xfId="345" xr:uid="{00000000-0005-0000-0000-000059010000}"/>
    <cellStyle name="Moeda 5 3 2" xfId="346" xr:uid="{00000000-0005-0000-0000-00005A010000}"/>
    <cellStyle name="Moeda 5 3 2 2" xfId="347" xr:uid="{00000000-0005-0000-0000-00005B010000}"/>
    <cellStyle name="Moeda 5 3 3" xfId="348" xr:uid="{00000000-0005-0000-0000-00005C010000}"/>
    <cellStyle name="Moeda 5 3 4" xfId="349" xr:uid="{00000000-0005-0000-0000-00005D010000}"/>
    <cellStyle name="Moeda 5 4" xfId="350" xr:uid="{00000000-0005-0000-0000-00005E010000}"/>
    <cellStyle name="Moeda 5 5" xfId="351" xr:uid="{00000000-0005-0000-0000-00005F010000}"/>
    <cellStyle name="Moeda 5 5 2" xfId="352" xr:uid="{00000000-0005-0000-0000-000060010000}"/>
    <cellStyle name="Moeda 5 5 3" xfId="353" xr:uid="{00000000-0005-0000-0000-000061010000}"/>
    <cellStyle name="Moeda 5 6" xfId="354" xr:uid="{00000000-0005-0000-0000-000062010000}"/>
    <cellStyle name="Moeda 5 6 2" xfId="355" xr:uid="{00000000-0005-0000-0000-000063010000}"/>
    <cellStyle name="Moeda 5 6 3" xfId="356" xr:uid="{00000000-0005-0000-0000-000064010000}"/>
    <cellStyle name="Moeda 5 7" xfId="357" xr:uid="{00000000-0005-0000-0000-000065010000}"/>
    <cellStyle name="Moeda 5 7 2" xfId="358" xr:uid="{00000000-0005-0000-0000-000066010000}"/>
    <cellStyle name="Moeda 5 8" xfId="359" xr:uid="{00000000-0005-0000-0000-000067010000}"/>
    <cellStyle name="Moeda 5 8 2" xfId="360" xr:uid="{00000000-0005-0000-0000-000068010000}"/>
    <cellStyle name="Moeda 5 9" xfId="361" xr:uid="{00000000-0005-0000-0000-000069010000}"/>
    <cellStyle name="Moeda 5_AQPNG_ORC_R01_2013_11_22(OBRA COMPLETA) 29112013-2" xfId="362" xr:uid="{00000000-0005-0000-0000-00006A010000}"/>
    <cellStyle name="Moeda 6" xfId="363" xr:uid="{00000000-0005-0000-0000-00006B010000}"/>
    <cellStyle name="Moeda 6 2" xfId="364" xr:uid="{00000000-0005-0000-0000-00006C010000}"/>
    <cellStyle name="Moeda 6 2 2" xfId="365" xr:uid="{00000000-0005-0000-0000-00006D010000}"/>
    <cellStyle name="Moeda 6 3" xfId="366" xr:uid="{00000000-0005-0000-0000-00006E010000}"/>
    <cellStyle name="Moeda 6 4" xfId="367" xr:uid="{00000000-0005-0000-0000-00006F010000}"/>
    <cellStyle name="Moeda 6_AQPNG_ORC_R01_2013_11_22(OBRA COMPLETA) 29112013-2" xfId="368" xr:uid="{00000000-0005-0000-0000-000070010000}"/>
    <cellStyle name="Moeda 7" xfId="369" xr:uid="{00000000-0005-0000-0000-000071010000}"/>
    <cellStyle name="Moeda 7 2" xfId="370" xr:uid="{00000000-0005-0000-0000-000072010000}"/>
    <cellStyle name="Moeda 8" xfId="371" xr:uid="{00000000-0005-0000-0000-000073010000}"/>
    <cellStyle name="Moeda 8 2" xfId="372" xr:uid="{00000000-0005-0000-0000-000074010000}"/>
    <cellStyle name="Moeda 9" xfId="373" xr:uid="{00000000-0005-0000-0000-000075010000}"/>
    <cellStyle name="Moeda_pLANILHA DE BDI_MODELO v2_EXCEL" xfId="374" xr:uid="{00000000-0005-0000-0000-000076010000}"/>
    <cellStyle name="Moneda [0]_10 AVERIAS MASIVAS + ANT" xfId="375" xr:uid="{00000000-0005-0000-0000-000077010000}"/>
    <cellStyle name="Moneda_10 AVERIAS MASIVAS + ANT" xfId="376" xr:uid="{00000000-0005-0000-0000-000078010000}"/>
    <cellStyle name="Monetario" xfId="377" xr:uid="{00000000-0005-0000-0000-000079010000}"/>
    <cellStyle name="Neutra 2" xfId="378" xr:uid="{00000000-0005-0000-0000-00007A010000}"/>
    <cellStyle name="Neutra 3" xfId="379" xr:uid="{00000000-0005-0000-0000-00007B010000}"/>
    <cellStyle name="Neutro" xfId="380" xr:uid="{00000000-0005-0000-0000-00007C010000}"/>
    <cellStyle name="Neutro 2" xfId="381" xr:uid="{00000000-0005-0000-0000-00007D010000}"/>
    <cellStyle name="no dec" xfId="382" xr:uid="{00000000-0005-0000-0000-00007E010000}"/>
    <cellStyle name="Normal" xfId="0" builtinId="0"/>
    <cellStyle name="Normal - Style1" xfId="383" xr:uid="{00000000-0005-0000-0000-000080010000}"/>
    <cellStyle name="Normal 10" xfId="384" xr:uid="{00000000-0005-0000-0000-000081010000}"/>
    <cellStyle name="Normal 10 2" xfId="385" xr:uid="{00000000-0005-0000-0000-000082010000}"/>
    <cellStyle name="Normal 10 3" xfId="386" xr:uid="{00000000-0005-0000-0000-000083010000}"/>
    <cellStyle name="Normal 10 3 2" xfId="387" xr:uid="{00000000-0005-0000-0000-000084010000}"/>
    <cellStyle name="Normal 10 4" xfId="388" xr:uid="{00000000-0005-0000-0000-000085010000}"/>
    <cellStyle name="Normal 10 5" xfId="389" xr:uid="{00000000-0005-0000-0000-000086010000}"/>
    <cellStyle name="Normal 10_AQPNG_ORC_R01_2013_11_22(OBRA COMPLETA) 29112013-2" xfId="390" xr:uid="{00000000-0005-0000-0000-000087010000}"/>
    <cellStyle name="Normal 11" xfId="391" xr:uid="{00000000-0005-0000-0000-000088010000}"/>
    <cellStyle name="Normal 11 2" xfId="392" xr:uid="{00000000-0005-0000-0000-000089010000}"/>
    <cellStyle name="Normal 11 2 2" xfId="393" xr:uid="{00000000-0005-0000-0000-00008A010000}"/>
    <cellStyle name="Normal 11 3" xfId="394" xr:uid="{00000000-0005-0000-0000-00008B010000}"/>
    <cellStyle name="Normal 11 4" xfId="395" xr:uid="{00000000-0005-0000-0000-00008C010000}"/>
    <cellStyle name="Normal 11 5" xfId="396" xr:uid="{00000000-0005-0000-0000-00008D010000}"/>
    <cellStyle name="Normal 11_AQPNG_ORC_R01_2013_11_22(OBRA COMPLETA) 29112013-2" xfId="397" xr:uid="{00000000-0005-0000-0000-00008E010000}"/>
    <cellStyle name="Normal 12" xfId="398" xr:uid="{00000000-0005-0000-0000-00008F010000}"/>
    <cellStyle name="Normal 12 2" xfId="399" xr:uid="{00000000-0005-0000-0000-000090010000}"/>
    <cellStyle name="Normal 12 2 2" xfId="400" xr:uid="{00000000-0005-0000-0000-000091010000}"/>
    <cellStyle name="Normal 12 2 3" xfId="401" xr:uid="{00000000-0005-0000-0000-000092010000}"/>
    <cellStyle name="Normal 12 2_CÁLCULO DE HORAS - tabela MARÇO 2014" xfId="402" xr:uid="{00000000-0005-0000-0000-000093010000}"/>
    <cellStyle name="Normal 12 3" xfId="403" xr:uid="{00000000-0005-0000-0000-000094010000}"/>
    <cellStyle name="Normal 12 3 2" xfId="404" xr:uid="{00000000-0005-0000-0000-000095010000}"/>
    <cellStyle name="Normal 12 3_CÁLCULO DE HORAS - tabela MARÇO 2014" xfId="405" xr:uid="{00000000-0005-0000-0000-000096010000}"/>
    <cellStyle name="Normal 12 4" xfId="406" xr:uid="{00000000-0005-0000-0000-000097010000}"/>
    <cellStyle name="Normal 12 5" xfId="407" xr:uid="{00000000-0005-0000-0000-000098010000}"/>
    <cellStyle name="Normal 12_AQPNG_ORC_R01_2013_11_22(OBRA COMPLETA) 29112013-2" xfId="408" xr:uid="{00000000-0005-0000-0000-000099010000}"/>
    <cellStyle name="Normal 13" xfId="409" xr:uid="{00000000-0005-0000-0000-00009A010000}"/>
    <cellStyle name="Normal 139" xfId="783" xr:uid="{00000000-0005-0000-0000-00009B010000}"/>
    <cellStyle name="Normal 14" xfId="410" xr:uid="{00000000-0005-0000-0000-00009C010000}"/>
    <cellStyle name="Normal 15" xfId="411" xr:uid="{00000000-0005-0000-0000-00009D010000}"/>
    <cellStyle name="Normal 16" xfId="412" xr:uid="{00000000-0005-0000-0000-00009E010000}"/>
    <cellStyle name="Normal 17" xfId="413" xr:uid="{00000000-0005-0000-0000-00009F010000}"/>
    <cellStyle name="Normal 18" xfId="414" xr:uid="{00000000-0005-0000-0000-0000A0010000}"/>
    <cellStyle name="Normal 19" xfId="415" xr:uid="{00000000-0005-0000-0000-0000A1010000}"/>
    <cellStyle name="Normal 2" xfId="416" xr:uid="{00000000-0005-0000-0000-0000A2010000}"/>
    <cellStyle name="Normal 2 2" xfId="417" xr:uid="{00000000-0005-0000-0000-0000A3010000}"/>
    <cellStyle name="Normal 2 2 2" xfId="418" xr:uid="{00000000-0005-0000-0000-0000A4010000}"/>
    <cellStyle name="Normal 2 2 3" xfId="419" xr:uid="{00000000-0005-0000-0000-0000A5010000}"/>
    <cellStyle name="Normal 2 2 3 2" xfId="420" xr:uid="{00000000-0005-0000-0000-0000A6010000}"/>
    <cellStyle name="Normal 2 2 4" xfId="421" xr:uid="{00000000-0005-0000-0000-0000A7010000}"/>
    <cellStyle name="Normal 2 2 4 2" xfId="422" xr:uid="{00000000-0005-0000-0000-0000A8010000}"/>
    <cellStyle name="Normal 2 2 5" xfId="423" xr:uid="{00000000-0005-0000-0000-0000A9010000}"/>
    <cellStyle name="Normal 2 2 6" xfId="424" xr:uid="{00000000-0005-0000-0000-0000AA010000}"/>
    <cellStyle name="Normal 2 2 7" xfId="425" xr:uid="{00000000-0005-0000-0000-0000AB010000}"/>
    <cellStyle name="Normal 2 2_CEEP BANDEIRANTES - REV. SUELY" xfId="426" xr:uid="{00000000-0005-0000-0000-0000AC010000}"/>
    <cellStyle name="Normal 2 3" xfId="427" xr:uid="{00000000-0005-0000-0000-0000AD010000}"/>
    <cellStyle name="Normal 2 3 2" xfId="428" xr:uid="{00000000-0005-0000-0000-0000AE010000}"/>
    <cellStyle name="Normal 2 3 2 2" xfId="429" xr:uid="{00000000-0005-0000-0000-0000AF010000}"/>
    <cellStyle name="Normal 2 3 2 3" xfId="430" xr:uid="{00000000-0005-0000-0000-0000B0010000}"/>
    <cellStyle name="Normal 2 3 3" xfId="431" xr:uid="{00000000-0005-0000-0000-0000B1010000}"/>
    <cellStyle name="Normal 2 3 4" xfId="432" xr:uid="{00000000-0005-0000-0000-0000B2010000}"/>
    <cellStyle name="Normal 2 4" xfId="433" xr:uid="{00000000-0005-0000-0000-0000B3010000}"/>
    <cellStyle name="Normal 2 4 2" xfId="434" xr:uid="{00000000-0005-0000-0000-0000B4010000}"/>
    <cellStyle name="Normal 2 5" xfId="435" xr:uid="{00000000-0005-0000-0000-0000B5010000}"/>
    <cellStyle name="Normal 2 6" xfId="436" xr:uid="{00000000-0005-0000-0000-0000B6010000}"/>
    <cellStyle name="Normal 2_0130.02.IMUNIZAÇÃO SGA_PLANILHA ORÇAMENTARIA.R05" xfId="437" xr:uid="{00000000-0005-0000-0000-0000B7010000}"/>
    <cellStyle name="Normal 20" xfId="438" xr:uid="{00000000-0005-0000-0000-0000B8010000}"/>
    <cellStyle name="Normal 21" xfId="439" xr:uid="{00000000-0005-0000-0000-0000B9010000}"/>
    <cellStyle name="Normal 22" xfId="440" xr:uid="{00000000-0005-0000-0000-0000BA010000}"/>
    <cellStyle name="Normal 23" xfId="441" xr:uid="{00000000-0005-0000-0000-0000BB010000}"/>
    <cellStyle name="Normal 24" xfId="442" xr:uid="{00000000-0005-0000-0000-0000BC010000}"/>
    <cellStyle name="Normal 25" xfId="443" xr:uid="{00000000-0005-0000-0000-0000BD010000}"/>
    <cellStyle name="Normal 26" xfId="444" xr:uid="{00000000-0005-0000-0000-0000BE010000}"/>
    <cellStyle name="Normal 27" xfId="445" xr:uid="{00000000-0005-0000-0000-0000BF010000}"/>
    <cellStyle name="Normal 28" xfId="446" xr:uid="{00000000-0005-0000-0000-0000C0010000}"/>
    <cellStyle name="Normal 29" xfId="767" xr:uid="{00000000-0005-0000-0000-0000C1010000}"/>
    <cellStyle name="Normal 3" xfId="447" xr:uid="{00000000-0005-0000-0000-0000C2010000}"/>
    <cellStyle name="Normal 3 2" xfId="448" xr:uid="{00000000-0005-0000-0000-0000C3010000}"/>
    <cellStyle name="Normal 3 3" xfId="449" xr:uid="{00000000-0005-0000-0000-0000C4010000}"/>
    <cellStyle name="Normal 3 3 2" xfId="450" xr:uid="{00000000-0005-0000-0000-0000C5010000}"/>
    <cellStyle name="Normal 3 4" xfId="451" xr:uid="{00000000-0005-0000-0000-0000C6010000}"/>
    <cellStyle name="Normal 3 5" xfId="452" xr:uid="{00000000-0005-0000-0000-0000C7010000}"/>
    <cellStyle name="Normal 3 6" xfId="453" xr:uid="{00000000-0005-0000-0000-0000C8010000}"/>
    <cellStyle name="Normal 3 7" xfId="786" xr:uid="{00000000-0005-0000-0000-0000C9010000}"/>
    <cellStyle name="Normal 3_Planilha RETROFIT PALÁCIO - VRF  DEZEMBRO  2013 CRONOGRAMA 15 MESES _ R02 - 2" xfId="454" xr:uid="{00000000-0005-0000-0000-0000CA010000}"/>
    <cellStyle name="Normal 30" xfId="774" xr:uid="{00000000-0005-0000-0000-0000CB010000}"/>
    <cellStyle name="Normal 31" xfId="775" xr:uid="{00000000-0005-0000-0000-0000CC010000}"/>
    <cellStyle name="Normal 32" xfId="455" xr:uid="{00000000-0005-0000-0000-0000CD010000}"/>
    <cellStyle name="Normal 33" xfId="776" xr:uid="{00000000-0005-0000-0000-0000CE010000}"/>
    <cellStyle name="Normal 34" xfId="777" xr:uid="{00000000-0005-0000-0000-0000CF010000}"/>
    <cellStyle name="Normal 35" xfId="778" xr:uid="{00000000-0005-0000-0000-0000D0010000}"/>
    <cellStyle name="Normal 36" xfId="779" xr:uid="{00000000-0005-0000-0000-0000D1010000}"/>
    <cellStyle name="Normal 37" xfId="780" xr:uid="{00000000-0005-0000-0000-0000D2010000}"/>
    <cellStyle name="Normal 375" xfId="772" xr:uid="{00000000-0005-0000-0000-0000D3010000}"/>
    <cellStyle name="Normal 38" xfId="781" xr:uid="{00000000-0005-0000-0000-0000D4010000}"/>
    <cellStyle name="Normal 39" xfId="782" xr:uid="{00000000-0005-0000-0000-0000D5010000}"/>
    <cellStyle name="Normal 4" xfId="456" xr:uid="{00000000-0005-0000-0000-0000D6010000}"/>
    <cellStyle name="Normal 4 10" xfId="457" xr:uid="{00000000-0005-0000-0000-0000D7010000}"/>
    <cellStyle name="Normal 4 11" xfId="765" xr:uid="{00000000-0005-0000-0000-0000D8010000}"/>
    <cellStyle name="Normal 4 11 2" xfId="770" xr:uid="{00000000-0005-0000-0000-0000D9010000}"/>
    <cellStyle name="Normal 4 2" xfId="458" xr:uid="{00000000-0005-0000-0000-0000DA010000}"/>
    <cellStyle name="Normal 4 3" xfId="459" xr:uid="{00000000-0005-0000-0000-0000DB010000}"/>
    <cellStyle name="Normal 4 3 2" xfId="460" xr:uid="{00000000-0005-0000-0000-0000DC010000}"/>
    <cellStyle name="Normal 4 3 2 2" xfId="461" xr:uid="{00000000-0005-0000-0000-0000DD010000}"/>
    <cellStyle name="Normal 4 3 3" xfId="462" xr:uid="{00000000-0005-0000-0000-0000DE010000}"/>
    <cellStyle name="Normal 4 3 4" xfId="463" xr:uid="{00000000-0005-0000-0000-0000DF010000}"/>
    <cellStyle name="Normal 4 3_AQPNG_ORC_R01_2013_11_22(OBRA COMPLETA) 29112013-2" xfId="464" xr:uid="{00000000-0005-0000-0000-0000E0010000}"/>
    <cellStyle name="Normal 4 4" xfId="465" xr:uid="{00000000-0005-0000-0000-0000E1010000}"/>
    <cellStyle name="Normal 4 4 2" xfId="466" xr:uid="{00000000-0005-0000-0000-0000E2010000}"/>
    <cellStyle name="Normal 4 5" xfId="467" xr:uid="{00000000-0005-0000-0000-0000E3010000}"/>
    <cellStyle name="Normal 4 6" xfId="468" xr:uid="{00000000-0005-0000-0000-0000E4010000}"/>
    <cellStyle name="Normal 4 7" xfId="469" xr:uid="{00000000-0005-0000-0000-0000E5010000}"/>
    <cellStyle name="Normal 4 7 2 2" xfId="766" xr:uid="{00000000-0005-0000-0000-0000E6010000}"/>
    <cellStyle name="Normal 4 7 2 2 2" xfId="771" xr:uid="{00000000-0005-0000-0000-0000E7010000}"/>
    <cellStyle name="Normal 4 8" xfId="470" xr:uid="{00000000-0005-0000-0000-0000E8010000}"/>
    <cellStyle name="Normal 4_CEEP BANDEIRANTES - REV. SUELY" xfId="471" xr:uid="{00000000-0005-0000-0000-0000E9010000}"/>
    <cellStyle name="Normal 40" xfId="472" xr:uid="{00000000-0005-0000-0000-0000EA010000}"/>
    <cellStyle name="Normal 41" xfId="784" xr:uid="{00000000-0005-0000-0000-0000EB010000}"/>
    <cellStyle name="Normal 44" xfId="473" xr:uid="{00000000-0005-0000-0000-0000EC010000}"/>
    <cellStyle name="Normal 5" xfId="474" xr:uid="{00000000-0005-0000-0000-0000ED010000}"/>
    <cellStyle name="Normal 5 2" xfId="475" xr:uid="{00000000-0005-0000-0000-0000EE010000}"/>
    <cellStyle name="Normal 5 3" xfId="476" xr:uid="{00000000-0005-0000-0000-0000EF010000}"/>
    <cellStyle name="Normal 5 4" xfId="477" xr:uid="{00000000-0005-0000-0000-0000F0010000}"/>
    <cellStyle name="Normal 6" xfId="478" xr:uid="{00000000-0005-0000-0000-0000F1010000}"/>
    <cellStyle name="Normal 6 2" xfId="479" xr:uid="{00000000-0005-0000-0000-0000F2010000}"/>
    <cellStyle name="Normal 6 2 2" xfId="480" xr:uid="{00000000-0005-0000-0000-0000F3010000}"/>
    <cellStyle name="Normal 6 3" xfId="481" xr:uid="{00000000-0005-0000-0000-0000F4010000}"/>
    <cellStyle name="Normal 6_Cópia de CEEP INDÍGENA DO PARANÁ  - LICITAÇÃO" xfId="482" xr:uid="{00000000-0005-0000-0000-0000F5010000}"/>
    <cellStyle name="Normal 7" xfId="483" xr:uid="{00000000-0005-0000-0000-0000F6010000}"/>
    <cellStyle name="Normal 7 2" xfId="484" xr:uid="{00000000-0005-0000-0000-0000F7010000}"/>
    <cellStyle name="Normal 8" xfId="485" xr:uid="{00000000-0005-0000-0000-0000F8010000}"/>
    <cellStyle name="Normal 8 2" xfId="486" xr:uid="{00000000-0005-0000-0000-0000F9010000}"/>
    <cellStyle name="Normal 8 3" xfId="487" xr:uid="{00000000-0005-0000-0000-0000FA010000}"/>
    <cellStyle name="Normal 9" xfId="488" xr:uid="{00000000-0005-0000-0000-0000FB010000}"/>
    <cellStyle name="Normal 9 2" xfId="489" xr:uid="{00000000-0005-0000-0000-0000FC010000}"/>
    <cellStyle name="Normal 9 3" xfId="490" xr:uid="{00000000-0005-0000-0000-0000FD010000}"/>
    <cellStyle name="Normal 9_AQPNG_ORC_R01_2013_11_22(OBRA COMPLETA) 29112013-2" xfId="491" xr:uid="{00000000-0005-0000-0000-0000FE010000}"/>
    <cellStyle name="Normal_pLANILHA DE BDI_MODELO v2_EXCEL" xfId="492" xr:uid="{00000000-0005-0000-0000-0000FF010000}"/>
    <cellStyle name="Normal_Planilha Modelo" xfId="787" xr:uid="{00000000-0005-0000-0000-000000020000}"/>
    <cellStyle name="Normal_Planilha RETROFIT PALÁCIO - VRF  DEZEMBRO  2013 CRONOGRAMA 15 MESES _ R02 - 2" xfId="493" xr:uid="{00000000-0005-0000-0000-000001020000}"/>
    <cellStyle name="Normal_Planilha RETROFIT PALÁCIO - VRF  DEZEMBRO  2013 CRONOGRAMA 15 MESES _ R02 - 2 2" xfId="768" xr:uid="{00000000-0005-0000-0000-000002020000}"/>
    <cellStyle name="Normal_SEJU" xfId="494" xr:uid="{00000000-0005-0000-0000-000003020000}"/>
    <cellStyle name="Nota 2" xfId="495" xr:uid="{00000000-0005-0000-0000-000004020000}"/>
    <cellStyle name="Nota 2 2" xfId="496" xr:uid="{00000000-0005-0000-0000-000005020000}"/>
    <cellStyle name="Nota 2 2 2" xfId="497" xr:uid="{00000000-0005-0000-0000-000006020000}"/>
    <cellStyle name="Nota 2 2_CÁLCULO DE HORAS - tabela MARÇO 2014" xfId="498" xr:uid="{00000000-0005-0000-0000-000007020000}"/>
    <cellStyle name="Nota 2 3" xfId="499" xr:uid="{00000000-0005-0000-0000-000008020000}"/>
    <cellStyle name="Nota 2 3 2" xfId="500" xr:uid="{00000000-0005-0000-0000-000009020000}"/>
    <cellStyle name="Nota 2 3_CÁLCULO DE HORAS - tabela MARÇO 2014" xfId="501" xr:uid="{00000000-0005-0000-0000-00000A020000}"/>
    <cellStyle name="Nota 2 4" xfId="502" xr:uid="{00000000-0005-0000-0000-00000B020000}"/>
    <cellStyle name="Nota 2_AQPNG_ORC_R01_2013_11_22(OBRA COMPLETA) 29112013-2" xfId="503" xr:uid="{00000000-0005-0000-0000-00000C020000}"/>
    <cellStyle name="Nota 3" xfId="504" xr:uid="{00000000-0005-0000-0000-00000D020000}"/>
    <cellStyle name="Nota 3 2" xfId="505" xr:uid="{00000000-0005-0000-0000-00000E020000}"/>
    <cellStyle name="Nota 3_CÁLCULO DE HORAS - tabela MARÇO 2014" xfId="506" xr:uid="{00000000-0005-0000-0000-00000F020000}"/>
    <cellStyle name="Nota 4" xfId="507" xr:uid="{00000000-0005-0000-0000-000010020000}"/>
    <cellStyle name="Nota 5" xfId="508" xr:uid="{00000000-0005-0000-0000-000011020000}"/>
    <cellStyle name="Nota 6" xfId="509" xr:uid="{00000000-0005-0000-0000-000012020000}"/>
    <cellStyle name="Nota 6 2" xfId="510" xr:uid="{00000000-0005-0000-0000-000013020000}"/>
    <cellStyle name="Percent" xfId="511" xr:uid="{00000000-0005-0000-0000-000014020000}"/>
    <cellStyle name="Percent [2]" xfId="512" xr:uid="{00000000-0005-0000-0000-000015020000}"/>
    <cellStyle name="Percentagem 2" xfId="513" xr:uid="{00000000-0005-0000-0000-000016020000}"/>
    <cellStyle name="Percentagem 2 2" xfId="514" xr:uid="{00000000-0005-0000-0000-000017020000}"/>
    <cellStyle name="Percentagem 2 3" xfId="515" xr:uid="{00000000-0005-0000-0000-000018020000}"/>
    <cellStyle name="Percentagem 2_AQPNG_ORC_R01_2013_11_22(OBRA COMPLETA) 29112013-2" xfId="516" xr:uid="{00000000-0005-0000-0000-000019020000}"/>
    <cellStyle name="Percentagem 3" xfId="517" xr:uid="{00000000-0005-0000-0000-00001A020000}"/>
    <cellStyle name="Percentagem 3 2" xfId="518" xr:uid="{00000000-0005-0000-0000-00001B020000}"/>
    <cellStyle name="Percentagem 3_AQPNG_ORC_R01_2013_11_22(OBRA COMPLETA) 29112013-2" xfId="519" xr:uid="{00000000-0005-0000-0000-00001C020000}"/>
    <cellStyle name="Percentagem 4" xfId="520" xr:uid="{00000000-0005-0000-0000-00001D020000}"/>
    <cellStyle name="Percentagem 4 2" xfId="521" xr:uid="{00000000-0005-0000-0000-00001E020000}"/>
    <cellStyle name="Percentagem 4_AQPNG_ORC_R01_2013_11_22(OBRA COMPLETA) 29112013-2" xfId="522" xr:uid="{00000000-0005-0000-0000-00001F020000}"/>
    <cellStyle name="PLANILHA ANALITICA" xfId="523" xr:uid="{00000000-0005-0000-0000-000020020000}"/>
    <cellStyle name="PLANILHA ANALITICA 2" xfId="524" xr:uid="{00000000-0005-0000-0000-000021020000}"/>
    <cellStyle name="PLANILHA ANALITICA_AQPNG_ORC_R01_2013_11_22(OBRA COMPLETA) 29112013-2" xfId="525" xr:uid="{00000000-0005-0000-0000-000022020000}"/>
    <cellStyle name="planilhas" xfId="526" xr:uid="{00000000-0005-0000-0000-000023020000}"/>
    <cellStyle name="Porcentagem" xfId="527" builtinId="5"/>
    <cellStyle name="Porcentagem 2" xfId="528" xr:uid="{00000000-0005-0000-0000-000025020000}"/>
    <cellStyle name="Porcentagem 2 10" xfId="529" xr:uid="{00000000-0005-0000-0000-000026020000}"/>
    <cellStyle name="Porcentagem 2 2" xfId="530" xr:uid="{00000000-0005-0000-0000-000027020000}"/>
    <cellStyle name="Porcentagem 2 2 2" xfId="531" xr:uid="{00000000-0005-0000-0000-000028020000}"/>
    <cellStyle name="Porcentagem 2 2_AQPNG_ORC_R01_2013_11_22(OBRA COMPLETA) 29112013-2" xfId="532" xr:uid="{00000000-0005-0000-0000-000029020000}"/>
    <cellStyle name="Porcentagem 2 3" xfId="533" xr:uid="{00000000-0005-0000-0000-00002A020000}"/>
    <cellStyle name="Porcentagem 2 3 2" xfId="534" xr:uid="{00000000-0005-0000-0000-00002B020000}"/>
    <cellStyle name="Porcentagem 2 3_AQPNG_ORC_R01_2013_11_22(OBRA COMPLETA) 29112013-2" xfId="535" xr:uid="{00000000-0005-0000-0000-00002C020000}"/>
    <cellStyle name="Porcentagem 2 4" xfId="536" xr:uid="{00000000-0005-0000-0000-00002D020000}"/>
    <cellStyle name="Porcentagem 2 4 2" xfId="537" xr:uid="{00000000-0005-0000-0000-00002E020000}"/>
    <cellStyle name="Porcentagem 2 4_AQPNG_ORC_R01_2013_11_22(OBRA COMPLETA) 29112013-2" xfId="538" xr:uid="{00000000-0005-0000-0000-00002F020000}"/>
    <cellStyle name="Porcentagem 2 5" xfId="539" xr:uid="{00000000-0005-0000-0000-000030020000}"/>
    <cellStyle name="Porcentagem 2 5 2" xfId="540" xr:uid="{00000000-0005-0000-0000-000031020000}"/>
    <cellStyle name="Porcentagem 2 5_AQPNG_ORC_R01_2013_11_22(OBRA COMPLETA) 29112013-2" xfId="541" xr:uid="{00000000-0005-0000-0000-000032020000}"/>
    <cellStyle name="Porcentagem 2 6" xfId="542" xr:uid="{00000000-0005-0000-0000-000033020000}"/>
    <cellStyle name="Porcentagem 2 6 2" xfId="543" xr:uid="{00000000-0005-0000-0000-000034020000}"/>
    <cellStyle name="Porcentagem 2 7" xfId="544" xr:uid="{00000000-0005-0000-0000-000035020000}"/>
    <cellStyle name="Porcentagem 2 8" xfId="545" xr:uid="{00000000-0005-0000-0000-000036020000}"/>
    <cellStyle name="Porcentagem 2 9" xfId="546" xr:uid="{00000000-0005-0000-0000-000037020000}"/>
    <cellStyle name="Porcentagem 2_AQPNG_ORC_R01_2013_11_22(OBRA COMPLETA) 29112013-2" xfId="547" xr:uid="{00000000-0005-0000-0000-000038020000}"/>
    <cellStyle name="Porcentagem 3" xfId="548" xr:uid="{00000000-0005-0000-0000-000039020000}"/>
    <cellStyle name="Porcentagem 3 2" xfId="549" xr:uid="{00000000-0005-0000-0000-00003A020000}"/>
    <cellStyle name="Porcentagem 3 3" xfId="550" xr:uid="{00000000-0005-0000-0000-00003B020000}"/>
    <cellStyle name="Porcentagem 3 4" xfId="551" xr:uid="{00000000-0005-0000-0000-00003C020000}"/>
    <cellStyle name="Porcentagem 3_AQPNG_ORC_R01_2013_11_22(OBRA COMPLETA) 29112013-2" xfId="552" xr:uid="{00000000-0005-0000-0000-00003D020000}"/>
    <cellStyle name="Porcentagem 4" xfId="553" xr:uid="{00000000-0005-0000-0000-00003E020000}"/>
    <cellStyle name="Porcentagem 4 2" xfId="554" xr:uid="{00000000-0005-0000-0000-00003F020000}"/>
    <cellStyle name="Porcentagem 4 2 2" xfId="555" xr:uid="{00000000-0005-0000-0000-000040020000}"/>
    <cellStyle name="Porcentagem 4 3" xfId="556" xr:uid="{00000000-0005-0000-0000-000041020000}"/>
    <cellStyle name="Porcentagem 4 4" xfId="557" xr:uid="{00000000-0005-0000-0000-000042020000}"/>
    <cellStyle name="Porcentagem 4 5" xfId="558" xr:uid="{00000000-0005-0000-0000-000043020000}"/>
    <cellStyle name="Porcentagem 4_AQPNG_ORC_R01_2013_11_22(OBRA COMPLETA) 29112013-2" xfId="559" xr:uid="{00000000-0005-0000-0000-000044020000}"/>
    <cellStyle name="Porcentagem 5" xfId="560" xr:uid="{00000000-0005-0000-0000-000045020000}"/>
    <cellStyle name="Porcentagem 6" xfId="785" xr:uid="{00000000-0005-0000-0000-000046020000}"/>
    <cellStyle name="Porcentagem_pLANILHA DE BDI_MODELO v2_EXCEL" xfId="561" xr:uid="{00000000-0005-0000-0000-000047020000}"/>
    <cellStyle name="Porcentagem_SEJU 2" xfId="769" xr:uid="{00000000-0005-0000-0000-000048020000}"/>
    <cellStyle name="Porcentaje" xfId="562" xr:uid="{00000000-0005-0000-0000-000049020000}"/>
    <cellStyle name="RM" xfId="563" xr:uid="{00000000-0005-0000-0000-00004A020000}"/>
    <cellStyle name="Saída 2" xfId="564" xr:uid="{00000000-0005-0000-0000-00004B020000}"/>
    <cellStyle name="Saída 2 2" xfId="565" xr:uid="{00000000-0005-0000-0000-00004C020000}"/>
    <cellStyle name="Saída 2 2 2" xfId="566" xr:uid="{00000000-0005-0000-0000-00004D020000}"/>
    <cellStyle name="Saída 2 2_CÁLCULO DE HORAS - tabela MARÇO 2014" xfId="567" xr:uid="{00000000-0005-0000-0000-00004E020000}"/>
    <cellStyle name="Saída 2 3" xfId="568" xr:uid="{00000000-0005-0000-0000-00004F020000}"/>
    <cellStyle name="Saída 2 3 2" xfId="569" xr:uid="{00000000-0005-0000-0000-000050020000}"/>
    <cellStyle name="Saída 2 3_CÁLCULO DE HORAS - tabela MARÇO 2014" xfId="570" xr:uid="{00000000-0005-0000-0000-000051020000}"/>
    <cellStyle name="Saída 2 4" xfId="571" xr:uid="{00000000-0005-0000-0000-000052020000}"/>
    <cellStyle name="Saída 2_AQPNG_ORC_R01_2013_11_22(OBRA COMPLETA) 29112013-2" xfId="572" xr:uid="{00000000-0005-0000-0000-000053020000}"/>
    <cellStyle name="Saída 3" xfId="573" xr:uid="{00000000-0005-0000-0000-000054020000}"/>
    <cellStyle name="Saída 3 2" xfId="574" xr:uid="{00000000-0005-0000-0000-000055020000}"/>
    <cellStyle name="Saída 3_CÁLCULO DE HORAS - tabela MARÇO 2014" xfId="575" xr:uid="{00000000-0005-0000-0000-000056020000}"/>
    <cellStyle name="Separador de m" xfId="576" xr:uid="{00000000-0005-0000-0000-000057020000}"/>
    <cellStyle name="Separador de milhares 2" xfId="577" xr:uid="{00000000-0005-0000-0000-000058020000}"/>
    <cellStyle name="Separador de milhares 2 10" xfId="578" xr:uid="{00000000-0005-0000-0000-000059020000}"/>
    <cellStyle name="Separador de milhares 2 10 2" xfId="579" xr:uid="{00000000-0005-0000-0000-00005A020000}"/>
    <cellStyle name="Separador de milhares 2 10 2 2" xfId="580" xr:uid="{00000000-0005-0000-0000-00005B020000}"/>
    <cellStyle name="Separador de milhares 2 2" xfId="581" xr:uid="{00000000-0005-0000-0000-00005C020000}"/>
    <cellStyle name="Separador de milhares 2 2 2" xfId="582" xr:uid="{00000000-0005-0000-0000-00005D020000}"/>
    <cellStyle name="Separador de milhares 2 2_AQPNG_ORC_R01_2013_11_22(OBRA COMPLETA) 29112013-2" xfId="583" xr:uid="{00000000-0005-0000-0000-00005E020000}"/>
    <cellStyle name="Separador de milhares 2 3" xfId="584" xr:uid="{00000000-0005-0000-0000-00005F020000}"/>
    <cellStyle name="Separador de milhares 2 3 2" xfId="585" xr:uid="{00000000-0005-0000-0000-000060020000}"/>
    <cellStyle name="Separador de milhares 2 3_AQPNG_ORC_R01_2013_11_22(OBRA COMPLETA) 29112013-2" xfId="586" xr:uid="{00000000-0005-0000-0000-000061020000}"/>
    <cellStyle name="Separador de milhares 2 4" xfId="587" xr:uid="{00000000-0005-0000-0000-000062020000}"/>
    <cellStyle name="Separador de milhares 2 4 2" xfId="588" xr:uid="{00000000-0005-0000-0000-000063020000}"/>
    <cellStyle name="Separador de milhares 2 4_AQPNG_ORC_R01_2013_11_22(OBRA COMPLETA) 29112013-2" xfId="589" xr:uid="{00000000-0005-0000-0000-000064020000}"/>
    <cellStyle name="Separador de milhares 2 5" xfId="590" xr:uid="{00000000-0005-0000-0000-000065020000}"/>
    <cellStyle name="Separador de milhares 2 5 2" xfId="591" xr:uid="{00000000-0005-0000-0000-000066020000}"/>
    <cellStyle name="Separador de milhares 2 5 2 2" xfId="592" xr:uid="{00000000-0005-0000-0000-000067020000}"/>
    <cellStyle name="Separador de milhares 2 5 3" xfId="593" xr:uid="{00000000-0005-0000-0000-000068020000}"/>
    <cellStyle name="Separador de milhares 2 5_AQPNG_ORC_R01_2013_11_22(OBRA COMPLETA) 29112013-2" xfId="594" xr:uid="{00000000-0005-0000-0000-000069020000}"/>
    <cellStyle name="Separador de milhares 2 6" xfId="595" xr:uid="{00000000-0005-0000-0000-00006A020000}"/>
    <cellStyle name="Separador de milhares 2 6 2" xfId="596" xr:uid="{00000000-0005-0000-0000-00006B020000}"/>
    <cellStyle name="Separador de milhares 2 6 3" xfId="597" xr:uid="{00000000-0005-0000-0000-00006C020000}"/>
    <cellStyle name="Separador de milhares 2 7" xfId="598" xr:uid="{00000000-0005-0000-0000-00006D020000}"/>
    <cellStyle name="Separador de milhares 2 7 2" xfId="599" xr:uid="{00000000-0005-0000-0000-00006E020000}"/>
    <cellStyle name="Separador de milhares 2 7 2 2" xfId="600" xr:uid="{00000000-0005-0000-0000-00006F020000}"/>
    <cellStyle name="Separador de milhares 2 8" xfId="601" xr:uid="{00000000-0005-0000-0000-000070020000}"/>
    <cellStyle name="Separador de milhares 2 8 2" xfId="602" xr:uid="{00000000-0005-0000-0000-000071020000}"/>
    <cellStyle name="Separador de milhares 2 8 2 2" xfId="603" xr:uid="{00000000-0005-0000-0000-000072020000}"/>
    <cellStyle name="Separador de milhares 2 9" xfId="604" xr:uid="{00000000-0005-0000-0000-000073020000}"/>
    <cellStyle name="Separador de milhares 2 9 2" xfId="605" xr:uid="{00000000-0005-0000-0000-000074020000}"/>
    <cellStyle name="Separador de milhares 2 9 2 2" xfId="606" xr:uid="{00000000-0005-0000-0000-000075020000}"/>
    <cellStyle name="Separador de milhares 2_AQPNG_ORC_R01_2013_11_22(OBRA COMPLETA) 29112013-2" xfId="607" xr:uid="{00000000-0005-0000-0000-000076020000}"/>
    <cellStyle name="Separador de milhares 3" xfId="608" xr:uid="{00000000-0005-0000-0000-000077020000}"/>
    <cellStyle name="Separador de milhares 3 2" xfId="609" xr:uid="{00000000-0005-0000-0000-000078020000}"/>
    <cellStyle name="Separador de milhares 3 2 2" xfId="610" xr:uid="{00000000-0005-0000-0000-000079020000}"/>
    <cellStyle name="Separador de milhares 3 2 3" xfId="611" xr:uid="{00000000-0005-0000-0000-00007A020000}"/>
    <cellStyle name="Separador de milhares 3 2 4" xfId="612" xr:uid="{00000000-0005-0000-0000-00007B020000}"/>
    <cellStyle name="Separador de milhares 3 2_AQPNG_ORC_R01_2013_11_22(OBRA COMPLETA) 29112013-2" xfId="613" xr:uid="{00000000-0005-0000-0000-00007C020000}"/>
    <cellStyle name="Separador de milhares 3 3" xfId="614" xr:uid="{00000000-0005-0000-0000-00007D020000}"/>
    <cellStyle name="Separador de milhares 3 3 2" xfId="615" xr:uid="{00000000-0005-0000-0000-00007E020000}"/>
    <cellStyle name="Separador de milhares 3 3_AQPNG_ORC_R01_2013_11_22(OBRA COMPLETA) 29112013-2" xfId="616" xr:uid="{00000000-0005-0000-0000-00007F020000}"/>
    <cellStyle name="Separador de milhares 3 4" xfId="617" xr:uid="{00000000-0005-0000-0000-000080020000}"/>
    <cellStyle name="Separador de milhares 3 4 2" xfId="618" xr:uid="{00000000-0005-0000-0000-000081020000}"/>
    <cellStyle name="Separador de milhares 3 4 2 2" xfId="619" xr:uid="{00000000-0005-0000-0000-000082020000}"/>
    <cellStyle name="Separador de milhares 3 4 3" xfId="620" xr:uid="{00000000-0005-0000-0000-000083020000}"/>
    <cellStyle name="Separador de milhares 3 4 3 2" xfId="621" xr:uid="{00000000-0005-0000-0000-000084020000}"/>
    <cellStyle name="Separador de milhares 3 5" xfId="622" xr:uid="{00000000-0005-0000-0000-000085020000}"/>
    <cellStyle name="Separador de milhares 3 5 2" xfId="623" xr:uid="{00000000-0005-0000-0000-000086020000}"/>
    <cellStyle name="Separador de milhares 3 5 2 2" xfId="624" xr:uid="{00000000-0005-0000-0000-000087020000}"/>
    <cellStyle name="Separador de milhares 3 5 3" xfId="625" xr:uid="{00000000-0005-0000-0000-000088020000}"/>
    <cellStyle name="Separador de milhares 3 5 3 2" xfId="626" xr:uid="{00000000-0005-0000-0000-000089020000}"/>
    <cellStyle name="Separador de milhares 3 6" xfId="627" xr:uid="{00000000-0005-0000-0000-00008A020000}"/>
    <cellStyle name="Separador de milhares 3 6 2" xfId="628" xr:uid="{00000000-0005-0000-0000-00008B020000}"/>
    <cellStyle name="Separador de milhares 3 6 2 2" xfId="629" xr:uid="{00000000-0005-0000-0000-00008C020000}"/>
    <cellStyle name="Separador de milhares 3 7" xfId="630" xr:uid="{00000000-0005-0000-0000-00008D020000}"/>
    <cellStyle name="Separador de milhares 3 7 2" xfId="631" xr:uid="{00000000-0005-0000-0000-00008E020000}"/>
    <cellStyle name="Separador de milhares 3 7 2 2" xfId="632" xr:uid="{00000000-0005-0000-0000-00008F020000}"/>
    <cellStyle name="Separador de milhares 3 8" xfId="633" xr:uid="{00000000-0005-0000-0000-000090020000}"/>
    <cellStyle name="Separador de milhares 3_AQPNG_ORC_R01_2013_11_22(OBRA COMPLETA) 29112013-2" xfId="634" xr:uid="{00000000-0005-0000-0000-000091020000}"/>
    <cellStyle name="Separador de milhares 4" xfId="635" xr:uid="{00000000-0005-0000-0000-000092020000}"/>
    <cellStyle name="Separador de milhares 4 2" xfId="636" xr:uid="{00000000-0005-0000-0000-000093020000}"/>
    <cellStyle name="Separador de milhares 4 2 2" xfId="637" xr:uid="{00000000-0005-0000-0000-000094020000}"/>
    <cellStyle name="Separador de milhares 4 2_AQPNG_ORC_R01_2013_11_22(OBRA COMPLETA) 29112013-2" xfId="638" xr:uid="{00000000-0005-0000-0000-000095020000}"/>
    <cellStyle name="Separador de milhares 4 3" xfId="639" xr:uid="{00000000-0005-0000-0000-000096020000}"/>
    <cellStyle name="Separador de milhares 4 3 2" xfId="640" xr:uid="{00000000-0005-0000-0000-000097020000}"/>
    <cellStyle name="Separador de milhares 4 3_AQPNG_ORC_R01_2013_11_22(OBRA COMPLETA) 29112013-2" xfId="641" xr:uid="{00000000-0005-0000-0000-000098020000}"/>
    <cellStyle name="Separador de milhares 4 4" xfId="642" xr:uid="{00000000-0005-0000-0000-000099020000}"/>
    <cellStyle name="Separador de milhares 4 4 2" xfId="643" xr:uid="{00000000-0005-0000-0000-00009A020000}"/>
    <cellStyle name="Separador de milhares 4 4 2 2" xfId="644" xr:uid="{00000000-0005-0000-0000-00009B020000}"/>
    <cellStyle name="Separador de milhares 4 4 3" xfId="645" xr:uid="{00000000-0005-0000-0000-00009C020000}"/>
    <cellStyle name="Separador de milhares 4 4 3 2" xfId="646" xr:uid="{00000000-0005-0000-0000-00009D020000}"/>
    <cellStyle name="Separador de milhares 4 5" xfId="647" xr:uid="{00000000-0005-0000-0000-00009E020000}"/>
    <cellStyle name="Separador de milhares 4 5 2" xfId="648" xr:uid="{00000000-0005-0000-0000-00009F020000}"/>
    <cellStyle name="Separador de milhares 4 5 2 2" xfId="649" xr:uid="{00000000-0005-0000-0000-0000A0020000}"/>
    <cellStyle name="Separador de milhares 4 6" xfId="650" xr:uid="{00000000-0005-0000-0000-0000A1020000}"/>
    <cellStyle name="Separador de milhares 4 6 2" xfId="651" xr:uid="{00000000-0005-0000-0000-0000A2020000}"/>
    <cellStyle name="Separador de milhares 4 6 2 2" xfId="652" xr:uid="{00000000-0005-0000-0000-0000A3020000}"/>
    <cellStyle name="Separador de milhares 4 7" xfId="653" xr:uid="{00000000-0005-0000-0000-0000A4020000}"/>
    <cellStyle name="Separador de milhares 4 7 2" xfId="654" xr:uid="{00000000-0005-0000-0000-0000A5020000}"/>
    <cellStyle name="Separador de milhares 4 7 2 2" xfId="655" xr:uid="{00000000-0005-0000-0000-0000A6020000}"/>
    <cellStyle name="Separador de milhares 4 8" xfId="656" xr:uid="{00000000-0005-0000-0000-0000A7020000}"/>
    <cellStyle name="Separador de milhares 4_AQPNG_ORC_R01_2013_11_22(OBRA COMPLETA) 29112013-2" xfId="657" xr:uid="{00000000-0005-0000-0000-0000A8020000}"/>
    <cellStyle name="Separador de milhares 5" xfId="658" xr:uid="{00000000-0005-0000-0000-0000A9020000}"/>
    <cellStyle name="Separador de milhares 5 2" xfId="659" xr:uid="{00000000-0005-0000-0000-0000AA020000}"/>
    <cellStyle name="Separador de milhares 5_AQPNG_ORC_R01_2013_11_22(OBRA COMPLETA) 29112013-2" xfId="660" xr:uid="{00000000-0005-0000-0000-0000AB020000}"/>
    <cellStyle name="Separador de milhares 6" xfId="661" xr:uid="{00000000-0005-0000-0000-0000AC020000}"/>
    <cellStyle name="Separador de milhares 6 2" xfId="662" xr:uid="{00000000-0005-0000-0000-0000AD020000}"/>
    <cellStyle name="Separador de milhares 6_AQPNG_ORC_R01_2013_11_22(OBRA COMPLETA) 29112013-2" xfId="663" xr:uid="{00000000-0005-0000-0000-0000AE020000}"/>
    <cellStyle name="Separador de milhares 7" xfId="664" xr:uid="{00000000-0005-0000-0000-0000AF020000}"/>
    <cellStyle name="Separador de milhares 7 2" xfId="665" xr:uid="{00000000-0005-0000-0000-0000B0020000}"/>
    <cellStyle name="Separador de milhares 7 2 2" xfId="666" xr:uid="{00000000-0005-0000-0000-0000B1020000}"/>
    <cellStyle name="Separador de milhares 7 3" xfId="667" xr:uid="{00000000-0005-0000-0000-0000B2020000}"/>
    <cellStyle name="Separador de milhares 7 4" xfId="668" xr:uid="{00000000-0005-0000-0000-0000B3020000}"/>
    <cellStyle name="Separador de milhares 8" xfId="669" xr:uid="{00000000-0005-0000-0000-0000B4020000}"/>
    <cellStyle name="Separador de milhares 8 2" xfId="670" xr:uid="{00000000-0005-0000-0000-0000B5020000}"/>
    <cellStyle name="Separador de milhares 8 2 2" xfId="671" xr:uid="{00000000-0005-0000-0000-0000B6020000}"/>
    <cellStyle name="Separador de milhares 8 2 2 2" xfId="672" xr:uid="{00000000-0005-0000-0000-0000B7020000}"/>
    <cellStyle name="Separador de milhares 8 2 3" xfId="673" xr:uid="{00000000-0005-0000-0000-0000B8020000}"/>
    <cellStyle name="Separador de milhares 8 3" xfId="674" xr:uid="{00000000-0005-0000-0000-0000B9020000}"/>
    <cellStyle name="Separador de milhares 8 3 2" xfId="675" xr:uid="{00000000-0005-0000-0000-0000BA020000}"/>
    <cellStyle name="Separador de milhares 8 4" xfId="676" xr:uid="{00000000-0005-0000-0000-0000BB020000}"/>
    <cellStyle name="Separador de milhares 8 4 2" xfId="677" xr:uid="{00000000-0005-0000-0000-0000BC020000}"/>
    <cellStyle name="Separador de milhares 8 5" xfId="678" xr:uid="{00000000-0005-0000-0000-0000BD020000}"/>
    <cellStyle name="Separador de milhares 9" xfId="679" xr:uid="{00000000-0005-0000-0000-0000BE020000}"/>
    <cellStyle name="Separador de milhares_ELETRICA_2 2 2" xfId="680" xr:uid="{00000000-0005-0000-0000-0000BF020000}"/>
    <cellStyle name="subhead" xfId="681" xr:uid="{00000000-0005-0000-0000-0000C0020000}"/>
    <cellStyle name="Texto de Aviso 2" xfId="682" xr:uid="{00000000-0005-0000-0000-0000C1020000}"/>
    <cellStyle name="Texto de Aviso 2 2" xfId="683" xr:uid="{00000000-0005-0000-0000-0000C2020000}"/>
    <cellStyle name="Texto de Aviso 2_AQPNG_ORC_R01_2013_11_22(OBRA COMPLETA) 29112013-2" xfId="684" xr:uid="{00000000-0005-0000-0000-0000C3020000}"/>
    <cellStyle name="Texto Explicativo 2" xfId="685" xr:uid="{00000000-0005-0000-0000-0000C4020000}"/>
    <cellStyle name="Texto Explicativo 2 2" xfId="686" xr:uid="{00000000-0005-0000-0000-0000C5020000}"/>
    <cellStyle name="Texto Explicativo 2_AQPNG_ORC_R01_2013_11_22(OBRA COMPLETA) 29112013-2" xfId="687" xr:uid="{00000000-0005-0000-0000-0000C6020000}"/>
    <cellStyle name="Título 1 2" xfId="688" xr:uid="{00000000-0005-0000-0000-0000C7020000}"/>
    <cellStyle name="Título 1 3" xfId="689" xr:uid="{00000000-0005-0000-0000-0000C8020000}"/>
    <cellStyle name="Título 2 2" xfId="690" xr:uid="{00000000-0005-0000-0000-0000C9020000}"/>
    <cellStyle name="Título 2 3" xfId="691" xr:uid="{00000000-0005-0000-0000-0000CA020000}"/>
    <cellStyle name="Título 3 2" xfId="692" xr:uid="{00000000-0005-0000-0000-0000CB020000}"/>
    <cellStyle name="Título 3 3" xfId="693" xr:uid="{00000000-0005-0000-0000-0000CC020000}"/>
    <cellStyle name="Título 4 2" xfId="694" xr:uid="{00000000-0005-0000-0000-0000CD020000}"/>
    <cellStyle name="Título 4 3" xfId="695" xr:uid="{00000000-0005-0000-0000-0000CE020000}"/>
    <cellStyle name="Título 5" xfId="696" xr:uid="{00000000-0005-0000-0000-0000CF020000}"/>
    <cellStyle name="Título 5 2" xfId="697" xr:uid="{00000000-0005-0000-0000-0000D0020000}"/>
    <cellStyle name="Título 5 3" xfId="698" xr:uid="{00000000-0005-0000-0000-0000D1020000}"/>
    <cellStyle name="Título 5_AQPNG_ORC_R01_2013_11_22(OBRA COMPLETA) 29112013-2" xfId="699" xr:uid="{00000000-0005-0000-0000-0000D2020000}"/>
    <cellStyle name="Título 6" xfId="700" xr:uid="{00000000-0005-0000-0000-0000D3020000}"/>
    <cellStyle name="Título 7" xfId="701" xr:uid="{00000000-0005-0000-0000-0000D4020000}"/>
    <cellStyle name="Total 2" xfId="702" xr:uid="{00000000-0005-0000-0000-0000D5020000}"/>
    <cellStyle name="Total 2 2" xfId="703" xr:uid="{00000000-0005-0000-0000-0000D6020000}"/>
    <cellStyle name="Total 2 2 2" xfId="704" xr:uid="{00000000-0005-0000-0000-0000D7020000}"/>
    <cellStyle name="Total 2 2_CÁLCULO DE HORAS - tabela MARÇO 2014" xfId="705" xr:uid="{00000000-0005-0000-0000-0000D8020000}"/>
    <cellStyle name="Total 2 3" xfId="706" xr:uid="{00000000-0005-0000-0000-0000D9020000}"/>
    <cellStyle name="Total 2 3 2" xfId="707" xr:uid="{00000000-0005-0000-0000-0000DA020000}"/>
    <cellStyle name="Total 2 3_CÁLCULO DE HORAS - tabela MARÇO 2014" xfId="708" xr:uid="{00000000-0005-0000-0000-0000DB020000}"/>
    <cellStyle name="Total 2 4" xfId="709" xr:uid="{00000000-0005-0000-0000-0000DC020000}"/>
    <cellStyle name="Total 2_AQPNG_ORC_R01_2013_11_22(OBRA COMPLETA) 29112013-2" xfId="710" xr:uid="{00000000-0005-0000-0000-0000DD020000}"/>
    <cellStyle name="Total 3" xfId="711" xr:uid="{00000000-0005-0000-0000-0000DE020000}"/>
    <cellStyle name="Total 3 2" xfId="712" xr:uid="{00000000-0005-0000-0000-0000DF020000}"/>
    <cellStyle name="Total 3_CÁLCULO DE HORAS - tabela MARÇO 2014" xfId="713" xr:uid="{00000000-0005-0000-0000-0000E0020000}"/>
    <cellStyle name="Verificar Célula" xfId="714" xr:uid="{00000000-0005-0000-0000-0000E1020000}"/>
    <cellStyle name="Verificar Célula 2" xfId="715" xr:uid="{00000000-0005-0000-0000-0000E2020000}"/>
    <cellStyle name="Vírgula" xfId="716" builtinId="3"/>
    <cellStyle name="Vírgula 10" xfId="717" xr:uid="{00000000-0005-0000-0000-0000E4020000}"/>
    <cellStyle name="Vírgula 11" xfId="718" xr:uid="{00000000-0005-0000-0000-0000E5020000}"/>
    <cellStyle name="Vírgula 2" xfId="719" xr:uid="{00000000-0005-0000-0000-0000E6020000}"/>
    <cellStyle name="Vírgula 2 10" xfId="720" xr:uid="{00000000-0005-0000-0000-0000E7020000}"/>
    <cellStyle name="Vírgula 2 2" xfId="721" xr:uid="{00000000-0005-0000-0000-0000E8020000}"/>
    <cellStyle name="Vírgula 2 2 2" xfId="722" xr:uid="{00000000-0005-0000-0000-0000E9020000}"/>
    <cellStyle name="Vírgula 2 2 2 2" xfId="723" xr:uid="{00000000-0005-0000-0000-0000EA020000}"/>
    <cellStyle name="Vírgula 2 2 2 2 2" xfId="724" xr:uid="{00000000-0005-0000-0000-0000EB020000}"/>
    <cellStyle name="Vírgula 2 2 3" xfId="725" xr:uid="{00000000-0005-0000-0000-0000EC020000}"/>
    <cellStyle name="Vírgula 2 2_AQPNG_ORC_R01_2013_11_22(OBRA COMPLETA) 29112013-2" xfId="726" xr:uid="{00000000-0005-0000-0000-0000ED020000}"/>
    <cellStyle name="Vírgula 2 3" xfId="727" xr:uid="{00000000-0005-0000-0000-0000EE020000}"/>
    <cellStyle name="Vírgula 2 3 2" xfId="728" xr:uid="{00000000-0005-0000-0000-0000EF020000}"/>
    <cellStyle name="Vírgula 2 3_CÁLCULO DE HORAS - tabela MARÇO 2014" xfId="729" xr:uid="{00000000-0005-0000-0000-0000F0020000}"/>
    <cellStyle name="Vírgula 2 4" xfId="730" xr:uid="{00000000-0005-0000-0000-0000F1020000}"/>
    <cellStyle name="Vírgula 2 5" xfId="731" xr:uid="{00000000-0005-0000-0000-0000F2020000}"/>
    <cellStyle name="Vírgula 2 6" xfId="732" xr:uid="{00000000-0005-0000-0000-0000F3020000}"/>
    <cellStyle name="Vírgula 2 7" xfId="733" xr:uid="{00000000-0005-0000-0000-0000F4020000}"/>
    <cellStyle name="Vírgula 2 8" xfId="734" xr:uid="{00000000-0005-0000-0000-0000F5020000}"/>
    <cellStyle name="Vírgula 2 9" xfId="735" xr:uid="{00000000-0005-0000-0000-0000F6020000}"/>
    <cellStyle name="Vírgula 2_AQPNG_ORC_R01_2013_11_22(OBRA COMPLETA) 29112013-2" xfId="736" xr:uid="{00000000-0005-0000-0000-0000F7020000}"/>
    <cellStyle name="Vírgula 3" xfId="737" xr:uid="{00000000-0005-0000-0000-0000F8020000}"/>
    <cellStyle name="Vírgula 3 2" xfId="738" xr:uid="{00000000-0005-0000-0000-0000F9020000}"/>
    <cellStyle name="Vírgula 3_AQPNG_ORC_R01_2013_11_22(OBRA COMPLETA) 29112013-2" xfId="739" xr:uid="{00000000-0005-0000-0000-0000FA020000}"/>
    <cellStyle name="Vírgula 4" xfId="740" xr:uid="{00000000-0005-0000-0000-0000FB020000}"/>
    <cellStyle name="Vírgula 4 2" xfId="741" xr:uid="{00000000-0005-0000-0000-0000FC020000}"/>
    <cellStyle name="Vírgula 4 2 2" xfId="742" xr:uid="{00000000-0005-0000-0000-0000FD020000}"/>
    <cellStyle name="Vírgula 4 2 3" xfId="743" xr:uid="{00000000-0005-0000-0000-0000FE020000}"/>
    <cellStyle name="Vírgula 4 3" xfId="744" xr:uid="{00000000-0005-0000-0000-0000FF020000}"/>
    <cellStyle name="Vírgula 4 4" xfId="745" xr:uid="{00000000-0005-0000-0000-000000030000}"/>
    <cellStyle name="Vírgula 4_AQPNG_ORC_R01_2013_11_22(OBRA COMPLETA) 29112013-2" xfId="746" xr:uid="{00000000-0005-0000-0000-000001030000}"/>
    <cellStyle name="Vírgula 5" xfId="747" xr:uid="{00000000-0005-0000-0000-000002030000}"/>
    <cellStyle name="Vírgula 5 2" xfId="748" xr:uid="{00000000-0005-0000-0000-000003030000}"/>
    <cellStyle name="Vírgula 5_AQPNG_ORC_R01_2013_11_22(OBRA COMPLETA) 29112013-2" xfId="749" xr:uid="{00000000-0005-0000-0000-000004030000}"/>
    <cellStyle name="Vírgula 6" xfId="750" xr:uid="{00000000-0005-0000-0000-000005030000}"/>
    <cellStyle name="Vírgula 6 2" xfId="751" xr:uid="{00000000-0005-0000-0000-000006030000}"/>
    <cellStyle name="Vírgula 6 2 2" xfId="752" xr:uid="{00000000-0005-0000-0000-000007030000}"/>
    <cellStyle name="Vírgula 6 2 2 2" xfId="753" xr:uid="{00000000-0005-0000-0000-000008030000}"/>
    <cellStyle name="Vírgula 6 2 3" xfId="754" xr:uid="{00000000-0005-0000-0000-000009030000}"/>
    <cellStyle name="Vírgula 6 2 4" xfId="755" xr:uid="{00000000-0005-0000-0000-00000A030000}"/>
    <cellStyle name="Vírgula 6 3" xfId="756" xr:uid="{00000000-0005-0000-0000-00000B030000}"/>
    <cellStyle name="Vírgula 6 4" xfId="757" xr:uid="{00000000-0005-0000-0000-00000C030000}"/>
    <cellStyle name="Vírgula 6 4 2" xfId="758" xr:uid="{00000000-0005-0000-0000-00000D030000}"/>
    <cellStyle name="Vírgula 6 5" xfId="759" xr:uid="{00000000-0005-0000-0000-00000E030000}"/>
    <cellStyle name="Vírgula 6 6" xfId="760" xr:uid="{00000000-0005-0000-0000-00000F030000}"/>
    <cellStyle name="Vírgula 6_CÁLCULO DE HORAS - tabela MARÇO 2014" xfId="761" xr:uid="{00000000-0005-0000-0000-000010030000}"/>
    <cellStyle name="Vírgula 7" xfId="762" xr:uid="{00000000-0005-0000-0000-000011030000}"/>
    <cellStyle name="Vírgula 8" xfId="763" xr:uid="{00000000-0005-0000-0000-000012030000}"/>
    <cellStyle name="Vírgula 9" xfId="764" xr:uid="{00000000-0005-0000-0000-000013030000}"/>
  </cellStyles>
  <dxfs count="6">
    <dxf>
      <font>
        <color rgb="FF9C0006"/>
      </font>
      <fill>
        <patternFill>
          <bgColor rgb="FFFFC7CE"/>
        </patternFill>
      </fill>
    </dxf>
    <dxf>
      <font>
        <color rgb="FF9C0006"/>
      </font>
      <fill>
        <patternFill>
          <bgColor rgb="FFFFC7CE"/>
        </patternFill>
      </fill>
    </dxf>
    <dxf>
      <font>
        <color rgb="FFC00000"/>
      </font>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00FF"/>
      <color rgb="FF66FF66"/>
      <color rgb="FFD7FF65"/>
      <color rgb="FF4747FF"/>
      <color rgb="FFFFFFCC"/>
      <color rgb="FFE6E6E6"/>
      <color rgb="FFE2E2E2"/>
      <color rgb="FFBE028D"/>
      <color rgb="FFFF3505"/>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CRONO_FASES!$E$71:$AB$71</c:f>
              <c:numCache>
                <c:formatCode>#,##0.00_ ;[Red]\-#,##0.00\ </c:formatCode>
                <c:ptCount val="12"/>
                <c:pt idx="0">
                  <c:v>5.7192726720262696E-2</c:v>
                </c:pt>
                <c:pt idx="1">
                  <c:v>0.11194486100180646</c:v>
                </c:pt>
                <c:pt idx="2">
                  <c:v>0.21181688195761988</c:v>
                </c:pt>
                <c:pt idx="3">
                  <c:v>0.3256523284135906</c:v>
                </c:pt>
                <c:pt idx="4">
                  <c:v>0.44905039066911462</c:v>
                </c:pt>
                <c:pt idx="5">
                  <c:v>0.58539451026927858</c:v>
                </c:pt>
                <c:pt idx="6">
                  <c:v>0.70572102043308416</c:v>
                </c:pt>
                <c:pt idx="7">
                  <c:v>0.79036535116164175</c:v>
                </c:pt>
                <c:pt idx="8">
                  <c:v>0.88977406669702275</c:v>
                </c:pt>
                <c:pt idx="9">
                  <c:v>0.99602713845911572</c:v>
                </c:pt>
                <c:pt idx="10">
                  <c:v>0.99602713845911572</c:v>
                </c:pt>
                <c:pt idx="11">
                  <c:v>0.99602713845911572</c:v>
                </c:pt>
              </c:numCache>
            </c:numRef>
          </c:val>
          <c:smooth val="0"/>
          <c:extLst>
            <c:ext xmlns:c16="http://schemas.microsoft.com/office/drawing/2014/chart" uri="{C3380CC4-5D6E-409C-BE32-E72D297353CC}">
              <c16:uniqueId val="{00000000-E7D2-4273-A146-A1E8EF91D3DA}"/>
            </c:ext>
          </c:extLst>
        </c:ser>
        <c:ser>
          <c:idx val="1"/>
          <c:order val="1"/>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CRONO_FASES!$E$72:$AB$72</c:f>
              <c:numCache>
                <c:formatCode>#,##0.00_);[Red]\-#,##0.00;</c:formatCode>
                <c:ptCount val="12"/>
                <c:pt idx="0">
                  <c:v>9.0179962843336403E-3</c:v>
                </c:pt>
                <c:pt idx="1">
                  <c:v>2.9129672173677013E-2</c:v>
                </c:pt>
                <c:pt idx="2">
                  <c:v>5.7585798308347314E-2</c:v>
                </c:pt>
                <c:pt idx="3">
                  <c:v>9.3004708569897176E-2</c:v>
                </c:pt>
                <c:pt idx="4">
                  <c:v>0.1343505714062796</c:v>
                </c:pt>
                <c:pt idx="5">
                  <c:v>0.18073542553162703</c:v>
                </c:pt>
                <c:pt idx="6">
                  <c:v>0.23134516675963657</c:v>
                </c:pt>
                <c:pt idx="7">
                  <c:v>0.28540467598561181</c:v>
                </c:pt>
                <c:pt idx="8">
                  <c:v>0.34215908749881152</c:v>
                </c:pt>
                <c:pt idx="9">
                  <c:v>0.40086283468656569</c:v>
                </c:pt>
                <c:pt idx="10">
                  <c:v>0.46077285544691038</c:v>
                </c:pt>
                <c:pt idx="11">
                  <c:v>0.52114419625132402</c:v>
                </c:pt>
              </c:numCache>
            </c:numRef>
          </c:val>
          <c:smooth val="0"/>
          <c:extLst>
            <c:ext xmlns:c16="http://schemas.microsoft.com/office/drawing/2014/chart" uri="{C3380CC4-5D6E-409C-BE32-E72D297353CC}">
              <c16:uniqueId val="{00000001-E7D2-4273-A146-A1E8EF91D3DA}"/>
            </c:ext>
          </c:extLst>
        </c:ser>
        <c:dLbls>
          <c:showLegendKey val="0"/>
          <c:showVal val="0"/>
          <c:showCatName val="0"/>
          <c:showSerName val="0"/>
          <c:showPercent val="0"/>
          <c:showBubbleSize val="0"/>
        </c:dLbls>
        <c:marker val="1"/>
        <c:smooth val="0"/>
        <c:axId val="-373077520"/>
        <c:axId val="-373764464"/>
      </c:lineChart>
      <c:catAx>
        <c:axId val="-3730775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3764464"/>
        <c:crosses val="autoZero"/>
        <c:auto val="1"/>
        <c:lblAlgn val="ctr"/>
        <c:lblOffset val="100"/>
        <c:noMultiLvlLbl val="0"/>
      </c:catAx>
      <c:valAx>
        <c:axId val="-373764464"/>
        <c:scaling>
          <c:orientation val="minMax"/>
        </c:scaling>
        <c:delete val="0"/>
        <c:axPos val="l"/>
        <c:majorGridlines>
          <c:spPr>
            <a:ln w="9525" cap="flat" cmpd="sng" algn="ctr">
              <a:solidFill>
                <a:schemeClr val="tx1">
                  <a:lumMod val="15000"/>
                  <a:lumOff val="85000"/>
                </a:schemeClr>
              </a:solidFill>
              <a:round/>
            </a:ln>
            <a:effectLst/>
          </c:spPr>
        </c:majorGridlines>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3077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571500</xdr:colOff>
      <xdr:row>26</xdr:row>
      <xdr:rowOff>76200</xdr:rowOff>
    </xdr:from>
    <xdr:to>
      <xdr:col>8</xdr:col>
      <xdr:colOff>333375</xdr:colOff>
      <xdr:row>30</xdr:row>
      <xdr:rowOff>37650</xdr:rowOff>
    </xdr:to>
    <xdr:pic>
      <xdr:nvPicPr>
        <xdr:cNvPr id="38245" name="Picture 4">
          <a:extLst>
            <a:ext uri="{FF2B5EF4-FFF2-40B4-BE49-F238E27FC236}">
              <a16:creationId xmlns:a16="http://schemas.microsoft.com/office/drawing/2014/main" id="{00000000-0008-0000-0400-000065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00775" y="5000625"/>
          <a:ext cx="3152775" cy="60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590550</xdr:colOff>
      <xdr:row>26</xdr:row>
      <xdr:rowOff>47625</xdr:rowOff>
    </xdr:from>
    <xdr:to>
      <xdr:col>8</xdr:col>
      <xdr:colOff>601248</xdr:colOff>
      <xdr:row>30</xdr:row>
      <xdr:rowOff>57150</xdr:rowOff>
    </xdr:to>
    <xdr:pic>
      <xdr:nvPicPr>
        <xdr:cNvPr id="2" name="Picture 4">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6975" y="4933950"/>
          <a:ext cx="3401598"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228600</xdr:colOff>
          <xdr:row>1</xdr:row>
          <xdr:rowOff>0</xdr:rowOff>
        </xdr:from>
        <xdr:to>
          <xdr:col>2</xdr:col>
          <xdr:colOff>638175</xdr:colOff>
          <xdr:row>1</xdr:row>
          <xdr:rowOff>0</xdr:rowOff>
        </xdr:to>
        <xdr:sp macro="" textlink="">
          <xdr:nvSpPr>
            <xdr:cNvPr id="47105" name="Objeto 3" hidden="1">
              <a:extLst>
                <a:ext uri="{63B3BB69-23CF-44E3-9099-C40C66FF867C}">
                  <a14:compatExt spid="_x0000_s47105"/>
                </a:ext>
                <a:ext uri="{FF2B5EF4-FFF2-40B4-BE49-F238E27FC236}">
                  <a16:creationId xmlns:a16="http://schemas.microsoft.com/office/drawing/2014/main" id="{00000000-0008-0000-0700-000001B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228600</xdr:colOff>
          <xdr:row>1</xdr:row>
          <xdr:rowOff>0</xdr:rowOff>
        </xdr:from>
        <xdr:to>
          <xdr:col>2</xdr:col>
          <xdr:colOff>638175</xdr:colOff>
          <xdr:row>1</xdr:row>
          <xdr:rowOff>0</xdr:rowOff>
        </xdr:to>
        <xdr:sp macro="" textlink="">
          <xdr:nvSpPr>
            <xdr:cNvPr id="64513" name="Objeto 3" hidden="1">
              <a:extLst>
                <a:ext uri="{63B3BB69-23CF-44E3-9099-C40C66FF867C}">
                  <a14:compatExt spid="_x0000_s64513"/>
                </a:ext>
                <a:ext uri="{FF2B5EF4-FFF2-40B4-BE49-F238E27FC236}">
                  <a16:creationId xmlns:a16="http://schemas.microsoft.com/office/drawing/2014/main" id="{00000000-0008-0000-0900-000001F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11</xdr:col>
      <xdr:colOff>308161</xdr:colOff>
      <xdr:row>79</xdr:row>
      <xdr:rowOff>73959</xdr:rowOff>
    </xdr:from>
    <xdr:to>
      <xdr:col>16</xdr:col>
      <xdr:colOff>0</xdr:colOff>
      <xdr:row>96</xdr:row>
      <xdr:rowOff>150159</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C00-000002000000}"/>
            </a:ext>
          </a:extLst>
        </xdr:cNvPr>
        <xdr:cNvSpPr>
          <a:spLocks noChangeArrowheads="1"/>
        </xdr:cNvSpPr>
      </xdr:nvSpPr>
      <xdr:spPr bwMode="auto">
        <a:xfrm>
          <a:off x="1238250" y="123825"/>
          <a:ext cx="3543300"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DEZEMBRO/2016</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g-dpp-gco-publico\Arquivos%20para%20o%20site\Folha%20de%20Fechament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EP3\Or&#231;amento\03_Clientes\506%20Santa%20Casa%20Campo%20Mour&#227;o\orcamento\506%20ORC_PLANILHAS_R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sheetData sheetId="14"/>
      <sheetData sheetId="15"/>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FOLHA FECHAMENTO DIF"/>
      <sheetName val="BDI"/>
      <sheetName val="BDI equip"/>
      <sheetName val="RESUMO"/>
      <sheetName val="CRONOGRAMA"/>
      <sheetName val="PLANILHA_SINTÉTICA"/>
      <sheetName val="CURVA ABC"/>
      <sheetName val="CPU-D"/>
      <sheetName val="serv-10-D"/>
      <sheetName val="ins-D"/>
      <sheetName val="serv-10-N"/>
      <sheetName val="ins-N"/>
      <sheetName val="ENCARGOS SOCIAIS"/>
    </sheetNames>
    <sheetDataSet>
      <sheetData sheetId="0"/>
      <sheetData sheetId="1">
        <row r="31">
          <cell r="G31">
            <v>300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image" Target="../media/image3.emf"/><Relationship Id="rId5" Type="http://schemas.openxmlformats.org/officeDocument/2006/relationships/oleObject" Target="../embeddings/oleObject2.bin"/><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8" Type="http://schemas.openxmlformats.org/officeDocument/2006/relationships/hyperlink" Target="https://www.construtintasonline.com.br/esmalte-pu-branco-acabamento-3-6-litros-adpoly-7990-advance-56706" TargetMode="External"/><Relationship Id="rId3" Type="http://schemas.openxmlformats.org/officeDocument/2006/relationships/hyperlink" Target="https://www.rackfort.com.br/guia-cabo-horizontal-rack-19-1u-50mm?utm_source=Site&amp;utm_medium=GoogleMerchant&amp;utm_campaign=GoogleMerchant" TargetMode="External"/><Relationship Id="rId7" Type="http://schemas.openxmlformats.org/officeDocument/2006/relationships/hyperlink" Target="https://www.madeiramadeira.com.br/alarme-pne-sem-fio-com-botoeira-na-cor-preto-1592846.html" TargetMode="External"/><Relationship Id="rId12" Type="http://schemas.openxmlformats.org/officeDocument/2006/relationships/printerSettings" Target="../printerSettings/printerSettings17.bin"/><Relationship Id="rId2" Type="http://schemas.openxmlformats.org/officeDocument/2006/relationships/hyperlink" Target="https://www.centralcabos.com.br/bandeja-movel-1u/p?idsku=1077313&amp;gclid=CjwKCAiA0KmPBhBqEiwAJqKK4wuvQ_0M03H4OFJC0wi7CN185yeAIKtXoOspQvjq0nq0jxkIbLfswRoCQ60QAvD_BwE" TargetMode="External"/><Relationship Id="rId1" Type="http://schemas.openxmlformats.org/officeDocument/2006/relationships/hyperlink" Target="https://safeparksinalizacao.com/produtos/detalhes/braille-corrimao-indicacao-de-pavimento/?gclid=CjwKCAjwp7eUBhBeEiwAZbHwkaBaOEl6ZjMWRqiYqvN5XsotAUz7pUa9V2tnjGTRz332l-eP1j5U9RoCl30QAvD_BwE" TargetMode="External"/><Relationship Id="rId6" Type="http://schemas.openxmlformats.org/officeDocument/2006/relationships/hyperlink" Target="https://www.carrefour.com.br/alarmeaudiovisualparabanheiropnepcdsemfio-mp922828441/p" TargetMode="External"/><Relationship Id="rId11" Type="http://schemas.openxmlformats.org/officeDocument/2006/relationships/hyperlink" Target="https://www.submarino.com.br/produto/3587203332?opn=XMLGOOGLE&amp;offerId=60f9a2800fff249a32f9b1ef" TargetMode="External"/><Relationship Id="rId5" Type="http://schemas.openxmlformats.org/officeDocument/2006/relationships/hyperlink" Target="https://www.levebarras.com.br/alarme-pcd-pne-audiovisual-sem-fio-slim.html" TargetMode="External"/><Relationship Id="rId10" Type="http://schemas.openxmlformats.org/officeDocument/2006/relationships/hyperlink" Target="https://www.afrel.com.br/vylon-plus-21000592.html" TargetMode="External"/><Relationship Id="rId4" Type="http://schemas.openxmlformats.org/officeDocument/2006/relationships/hyperlink" Target="https://www.eletrotrafo.com.br/haste-cobreada-5-8-x-240m-ntc-normatizada-intelli-similar-02010097/p?idsku=9431&amp;https://www.eletrotrafo.com.br/?utm_source=google&amp;utm_medium=Shopping_inteligente&amp;gclid=CjwKCAjw4ayUBhA4EiwATWyBrref4DVW3uPKj3XU1NF47fqD7aMUjaLdCXK4w1w5vzQH76D68DhScxoCtr8QAvD_BwE" TargetMode="External"/><Relationship Id="rId9" Type="http://schemas.openxmlformats.org/officeDocument/2006/relationships/hyperlink" Target="https://sicflux.minhalojanouol.com.br/caixa-de-filtro-filbox-100-red---100mm/p"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8.bin"/><Relationship Id="rId6" Type="http://schemas.openxmlformats.org/officeDocument/2006/relationships/image" Target="../media/image3.emf"/><Relationship Id="rId5" Type="http://schemas.openxmlformats.org/officeDocument/2006/relationships/oleObject" Target="../embeddings/oleObject1.bin"/><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M45"/>
  <sheetViews>
    <sheetView view="pageBreakPreview" zoomScaleNormal="100" zoomScaleSheetLayoutView="100" workbookViewId="0">
      <selection activeCell="G13" sqref="G13"/>
    </sheetView>
  </sheetViews>
  <sheetFormatPr defaultRowHeight="15"/>
  <cols>
    <col min="7" max="7" width="13.42578125" bestFit="1" customWidth="1"/>
    <col min="12" max="12" width="9.140625" customWidth="1"/>
  </cols>
  <sheetData>
    <row r="1" spans="2:13" ht="8.25" customHeight="1">
      <c r="B1" s="62"/>
      <c r="C1" s="62"/>
      <c r="D1" s="62"/>
      <c r="E1" s="62"/>
      <c r="F1" s="62"/>
      <c r="G1" s="62"/>
      <c r="H1" s="62"/>
      <c r="I1" s="62"/>
      <c r="J1" s="62"/>
      <c r="K1" s="62"/>
      <c r="L1" s="62"/>
      <c r="M1" s="62"/>
    </row>
    <row r="2" spans="2:13">
      <c r="B2" s="62"/>
      <c r="C2" s="62"/>
      <c r="D2" s="62"/>
      <c r="E2" s="62"/>
      <c r="F2" s="62"/>
      <c r="G2" s="62"/>
      <c r="H2" s="62"/>
      <c r="I2" s="62"/>
      <c r="J2" s="62"/>
      <c r="K2" s="62"/>
      <c r="L2" s="62"/>
      <c r="M2" s="62"/>
    </row>
    <row r="3" spans="2:13">
      <c r="B3" s="62"/>
      <c r="C3" s="62"/>
      <c r="D3" s="62"/>
      <c r="E3" s="62"/>
      <c r="F3" s="62"/>
      <c r="G3" s="62"/>
      <c r="H3" s="62"/>
      <c r="I3" s="62"/>
      <c r="J3" s="62"/>
      <c r="K3" s="62"/>
      <c r="L3" s="62"/>
      <c r="M3" s="62"/>
    </row>
    <row r="4" spans="2:13">
      <c r="B4" s="62"/>
      <c r="C4" s="62"/>
      <c r="D4" s="62"/>
      <c r="E4" s="62"/>
      <c r="F4" s="62"/>
      <c r="G4" s="62"/>
      <c r="H4" s="62"/>
      <c r="I4" s="62"/>
      <c r="J4" s="62"/>
      <c r="K4" s="62"/>
      <c r="L4" s="62"/>
      <c r="M4" s="62"/>
    </row>
    <row r="5" spans="2:13">
      <c r="B5" s="62"/>
      <c r="C5" s="62"/>
      <c r="D5" s="62"/>
      <c r="E5" s="62"/>
      <c r="F5" s="62"/>
      <c r="G5" s="62"/>
      <c r="H5" s="62"/>
      <c r="I5" s="62"/>
      <c r="J5" s="62"/>
      <c r="K5" s="62"/>
      <c r="L5" s="62"/>
      <c r="M5" s="62"/>
    </row>
    <row r="6" spans="2:13">
      <c r="B6" s="62"/>
      <c r="C6" s="62"/>
      <c r="D6" s="62"/>
      <c r="E6" s="62"/>
      <c r="F6" s="62"/>
      <c r="G6" s="62"/>
      <c r="H6" s="62"/>
      <c r="I6" s="62"/>
      <c r="J6" s="62"/>
      <c r="K6" s="62"/>
      <c r="L6" s="62"/>
      <c r="M6" s="62"/>
    </row>
    <row r="7" spans="2:13">
      <c r="B7" s="62"/>
      <c r="C7" s="62"/>
      <c r="D7" s="62"/>
      <c r="E7" s="62"/>
      <c r="F7" s="62"/>
      <c r="G7" s="62"/>
      <c r="H7" s="62"/>
      <c r="I7" s="62"/>
      <c r="J7" s="62"/>
      <c r="K7" s="62"/>
      <c r="L7" s="62"/>
      <c r="M7" s="62"/>
    </row>
    <row r="8" spans="2:13" ht="26.25">
      <c r="B8" s="62"/>
      <c r="C8" s="62"/>
      <c r="D8" s="62"/>
      <c r="E8" s="62"/>
      <c r="F8" s="62"/>
      <c r="G8" s="128" t="s">
        <v>2870</v>
      </c>
      <c r="H8" s="62"/>
      <c r="I8" s="62"/>
      <c r="J8" s="62"/>
      <c r="K8" s="62"/>
      <c r="L8" s="62"/>
      <c r="M8" s="62"/>
    </row>
    <row r="9" spans="2:13" ht="26.25">
      <c r="B9" s="62"/>
      <c r="C9" s="62"/>
      <c r="D9" s="62"/>
      <c r="E9" s="62"/>
      <c r="F9" s="62"/>
      <c r="G9" s="128" t="s">
        <v>2871</v>
      </c>
      <c r="H9" s="62"/>
      <c r="I9" s="62"/>
      <c r="J9" s="62"/>
      <c r="K9" s="62"/>
      <c r="L9" s="62"/>
      <c r="M9" s="62"/>
    </row>
    <row r="10" spans="2:13" ht="26.25">
      <c r="B10" s="62"/>
      <c r="C10" s="62"/>
      <c r="D10" s="62"/>
      <c r="E10" s="62"/>
      <c r="F10" s="62"/>
      <c r="G10" s="128" t="s">
        <v>2695</v>
      </c>
      <c r="H10" s="62"/>
      <c r="I10" s="62"/>
      <c r="J10" s="62"/>
      <c r="K10" s="62"/>
      <c r="L10" s="62"/>
      <c r="M10" s="62"/>
    </row>
    <row r="11" spans="2:13" ht="15.75">
      <c r="B11" s="62"/>
      <c r="C11" s="62"/>
      <c r="D11" s="62"/>
      <c r="E11" s="62"/>
      <c r="F11" s="62"/>
      <c r="G11" s="110"/>
      <c r="H11" s="62"/>
      <c r="I11" s="62"/>
      <c r="J11" s="62"/>
      <c r="K11" s="62"/>
      <c r="L11" s="62"/>
      <c r="M11" s="62"/>
    </row>
    <row r="12" spans="2:13" ht="15.75">
      <c r="B12" s="62"/>
      <c r="C12" s="62"/>
      <c r="D12" s="62"/>
      <c r="E12" s="62"/>
      <c r="F12" s="62"/>
      <c r="G12" s="111"/>
      <c r="H12" s="62"/>
      <c r="I12" s="62"/>
      <c r="J12" s="62"/>
      <c r="K12" s="62"/>
      <c r="L12" s="62"/>
      <c r="M12" s="62"/>
    </row>
    <row r="13" spans="2:13" ht="23.25">
      <c r="B13" s="62"/>
      <c r="C13" s="62"/>
      <c r="D13" s="62"/>
      <c r="E13" s="62"/>
      <c r="F13" s="62"/>
      <c r="G13" s="129" t="s">
        <v>3106</v>
      </c>
      <c r="H13" s="62"/>
      <c r="I13" s="62"/>
      <c r="J13" s="62"/>
      <c r="K13" s="62"/>
      <c r="L13" s="62"/>
      <c r="M13" s="62"/>
    </row>
    <row r="14" spans="2:13" ht="15.75">
      <c r="B14" s="62"/>
      <c r="C14" s="62"/>
      <c r="D14" s="62"/>
      <c r="E14" s="62"/>
      <c r="F14" s="62"/>
      <c r="G14" s="111"/>
      <c r="H14" s="62"/>
      <c r="I14" s="62"/>
      <c r="J14" s="62"/>
      <c r="K14" s="62"/>
      <c r="L14" s="62"/>
      <c r="M14" s="62"/>
    </row>
    <row r="15" spans="2:13" ht="23.25">
      <c r="B15" s="62"/>
      <c r="C15" s="62"/>
      <c r="D15" s="62"/>
      <c r="E15" s="62"/>
      <c r="F15" s="62"/>
      <c r="G15" s="129"/>
      <c r="H15" s="62"/>
      <c r="I15" s="62"/>
      <c r="J15" s="62"/>
      <c r="K15" s="62"/>
      <c r="L15" s="62"/>
      <c r="M15" s="62"/>
    </row>
    <row r="16" spans="2:13" ht="25.5">
      <c r="B16" s="62"/>
      <c r="C16" s="62"/>
      <c r="D16" s="62"/>
      <c r="E16" s="62"/>
      <c r="F16" s="62"/>
      <c r="G16" s="114"/>
      <c r="H16" s="62"/>
      <c r="I16" s="62"/>
      <c r="J16" s="62"/>
      <c r="K16" s="62"/>
      <c r="L16" s="62"/>
      <c r="M16" s="62"/>
    </row>
    <row r="17" spans="2:13" s="62" customFormat="1"/>
    <row r="18" spans="2:13" s="62" customFormat="1"/>
    <row r="19" spans="2:13" s="62" customFormat="1" ht="15.75">
      <c r="G19" s="111"/>
    </row>
    <row r="20" spans="2:13" s="62" customFormat="1"/>
    <row r="21" spans="2:13" s="62" customFormat="1" ht="35.25">
      <c r="G21" s="130"/>
    </row>
    <row r="22" spans="2:13" s="62" customFormat="1"/>
    <row r="23" spans="2:13" s="62" customFormat="1" ht="35.25">
      <c r="G23" s="130"/>
    </row>
    <row r="24" spans="2:13" ht="30">
      <c r="B24" s="62"/>
      <c r="C24" s="62"/>
      <c r="D24" s="62"/>
      <c r="E24" s="62"/>
      <c r="F24" s="62"/>
      <c r="G24" s="112"/>
      <c r="H24" s="62"/>
      <c r="I24" s="62"/>
      <c r="J24" s="62"/>
      <c r="K24" s="62"/>
      <c r="L24" s="62"/>
      <c r="M24" s="62"/>
    </row>
    <row r="25" spans="2:13" ht="26.25">
      <c r="B25" s="62"/>
      <c r="C25" s="62"/>
      <c r="D25" s="62"/>
      <c r="E25" s="62"/>
      <c r="F25" s="62"/>
      <c r="G25" s="127"/>
      <c r="H25" s="62"/>
      <c r="I25" s="62"/>
      <c r="J25" s="62"/>
      <c r="K25" s="62"/>
      <c r="L25" s="62"/>
      <c r="M25" s="62"/>
    </row>
    <row r="26" spans="2:13">
      <c r="B26" s="62"/>
      <c r="C26" s="62"/>
      <c r="D26" s="62"/>
      <c r="E26" s="62"/>
      <c r="F26" s="62"/>
      <c r="H26" s="62"/>
      <c r="I26" s="62"/>
      <c r="J26" s="62"/>
      <c r="K26" s="62"/>
      <c r="L26" s="62"/>
      <c r="M26" s="62"/>
    </row>
    <row r="27" spans="2:13" ht="23.25">
      <c r="B27" s="62"/>
      <c r="C27" s="62"/>
      <c r="D27" s="62"/>
      <c r="E27" s="62"/>
      <c r="F27" s="62"/>
      <c r="G27" s="109"/>
      <c r="H27" s="62"/>
      <c r="I27" s="62"/>
      <c r="J27" s="62"/>
      <c r="K27" s="62"/>
      <c r="L27" s="62"/>
      <c r="M27" s="62"/>
    </row>
    <row r="28" spans="2:13" ht="23.25">
      <c r="B28" s="62"/>
      <c r="C28" s="62"/>
      <c r="D28" s="62"/>
      <c r="E28" s="62"/>
      <c r="F28" s="62"/>
      <c r="G28" s="109"/>
      <c r="H28" s="62"/>
      <c r="I28" s="62"/>
      <c r="J28" s="62"/>
      <c r="K28" s="62"/>
      <c r="L28" s="62"/>
      <c r="M28" s="62"/>
    </row>
    <row r="29" spans="2:13" ht="23.25">
      <c r="B29" s="62"/>
      <c r="C29" s="62"/>
      <c r="D29" s="62"/>
      <c r="E29" s="62"/>
      <c r="F29" s="62"/>
      <c r="G29" s="109"/>
      <c r="H29" s="62"/>
      <c r="I29" s="62"/>
      <c r="J29" s="62"/>
      <c r="K29" s="62"/>
      <c r="L29" s="62"/>
      <c r="M29" s="62"/>
    </row>
    <row r="30" spans="2:13" ht="23.25">
      <c r="B30" s="62"/>
      <c r="C30" s="62"/>
      <c r="D30" s="62"/>
      <c r="E30" s="62"/>
      <c r="F30" s="62"/>
      <c r="G30" s="109"/>
      <c r="H30" s="62"/>
      <c r="I30" s="62"/>
      <c r="J30" s="62"/>
      <c r="K30" s="62"/>
      <c r="L30" s="62"/>
      <c r="M30" s="62"/>
    </row>
    <row r="31" spans="2:13" ht="20.25">
      <c r="B31" s="62"/>
      <c r="C31" s="62"/>
      <c r="D31" s="62"/>
      <c r="E31" s="62"/>
      <c r="F31" s="62"/>
      <c r="G31" s="113"/>
      <c r="H31" s="62"/>
      <c r="I31" s="62"/>
      <c r="J31" s="62"/>
      <c r="K31" s="62"/>
      <c r="L31" s="62"/>
      <c r="M31" s="62"/>
    </row>
    <row r="32" spans="2:13">
      <c r="B32" s="62"/>
      <c r="C32" s="62"/>
      <c r="D32" s="62"/>
      <c r="E32" s="62"/>
      <c r="F32" s="62"/>
      <c r="G32" s="62"/>
      <c r="H32" s="62"/>
      <c r="I32" s="62"/>
      <c r="J32" s="62"/>
      <c r="K32" s="62"/>
      <c r="L32" s="62"/>
      <c r="M32" s="62"/>
    </row>
    <row r="33" spans="2:13">
      <c r="B33" s="62"/>
      <c r="C33" s="62"/>
      <c r="D33" s="62"/>
      <c r="E33" s="62"/>
      <c r="F33" s="62"/>
      <c r="G33" s="62"/>
      <c r="H33" s="62"/>
      <c r="I33" s="62"/>
      <c r="J33" s="62"/>
      <c r="K33" s="62"/>
      <c r="L33" s="62"/>
      <c r="M33" s="62"/>
    </row>
    <row r="34" spans="2:13">
      <c r="B34" s="62"/>
      <c r="C34" s="62"/>
      <c r="D34" s="62"/>
      <c r="E34" s="62"/>
      <c r="F34" s="62"/>
      <c r="G34" s="62"/>
      <c r="H34" s="62"/>
      <c r="I34" s="62"/>
      <c r="J34" s="62"/>
      <c r="K34" s="62"/>
      <c r="L34" s="62"/>
      <c r="M34" s="62"/>
    </row>
    <row r="35" spans="2:13">
      <c r="B35" s="62"/>
      <c r="C35" s="62"/>
      <c r="D35" s="62"/>
      <c r="E35" s="62"/>
      <c r="F35" s="62"/>
      <c r="G35" s="62"/>
      <c r="H35" s="62"/>
      <c r="I35" s="62"/>
      <c r="J35" s="62"/>
      <c r="K35" s="62"/>
      <c r="L35" s="62"/>
      <c r="M35" s="62"/>
    </row>
    <row r="36" spans="2:13">
      <c r="B36" s="62"/>
      <c r="C36" s="62"/>
      <c r="D36" s="62"/>
      <c r="E36" s="62"/>
      <c r="F36" s="62"/>
      <c r="G36" s="62"/>
      <c r="H36" s="62"/>
      <c r="I36" s="62"/>
      <c r="J36" s="62"/>
      <c r="K36" s="62"/>
      <c r="L36" s="62"/>
      <c r="M36" s="62"/>
    </row>
    <row r="37" spans="2:13">
      <c r="B37" s="62"/>
      <c r="C37" s="62"/>
      <c r="D37" s="62"/>
      <c r="E37" s="62"/>
      <c r="F37" s="62"/>
      <c r="G37" s="62"/>
      <c r="H37" s="62"/>
      <c r="I37" s="62"/>
      <c r="J37" s="62"/>
      <c r="K37" s="62"/>
      <c r="L37" s="62"/>
      <c r="M37" s="62"/>
    </row>
    <row r="38" spans="2:13">
      <c r="B38" s="62"/>
      <c r="C38" s="62"/>
      <c r="D38" s="62"/>
      <c r="E38" s="62"/>
      <c r="F38" s="62"/>
      <c r="G38" s="62"/>
      <c r="H38" s="62"/>
      <c r="I38" s="62"/>
      <c r="J38" s="62"/>
      <c r="K38" s="62"/>
      <c r="L38" s="62"/>
      <c r="M38" s="62"/>
    </row>
    <row r="39" spans="2:13">
      <c r="B39" s="62"/>
      <c r="C39" s="62"/>
      <c r="D39" s="62"/>
      <c r="E39" s="62"/>
      <c r="F39" s="62"/>
      <c r="G39" s="62"/>
      <c r="H39" s="62"/>
      <c r="I39" s="62"/>
      <c r="J39" s="62"/>
      <c r="K39" s="62"/>
      <c r="L39" s="62"/>
      <c r="M39" s="62"/>
    </row>
    <row r="40" spans="2:13">
      <c r="B40" s="62"/>
      <c r="C40" s="62"/>
      <c r="D40" s="62"/>
      <c r="E40" s="62"/>
      <c r="F40" s="62"/>
      <c r="G40" s="62"/>
      <c r="H40" s="62"/>
      <c r="I40" s="62"/>
      <c r="J40" s="62"/>
      <c r="K40" s="62"/>
      <c r="L40" s="62"/>
      <c r="M40" s="62"/>
    </row>
    <row r="41" spans="2:13">
      <c r="B41" s="62"/>
      <c r="C41" s="62"/>
      <c r="D41" s="62"/>
      <c r="E41" s="62"/>
      <c r="F41" s="62"/>
      <c r="G41" s="62"/>
      <c r="H41" s="62"/>
      <c r="I41" s="62"/>
      <c r="J41" s="62"/>
      <c r="K41" s="62"/>
      <c r="L41" s="62"/>
      <c r="M41" s="62"/>
    </row>
    <row r="42" spans="2:13">
      <c r="B42" s="62"/>
      <c r="C42" s="62"/>
      <c r="D42" s="62"/>
      <c r="E42" s="62"/>
      <c r="F42" s="62"/>
      <c r="G42" s="62"/>
      <c r="H42" s="62"/>
      <c r="I42" s="62"/>
      <c r="J42" s="62"/>
      <c r="K42" s="62"/>
      <c r="L42" s="62"/>
      <c r="M42" s="62"/>
    </row>
    <row r="43" spans="2:13">
      <c r="B43" s="62"/>
      <c r="C43" s="62"/>
      <c r="D43" s="62"/>
      <c r="E43" s="62"/>
      <c r="F43" s="62"/>
      <c r="G43" s="62"/>
      <c r="H43" s="62"/>
      <c r="I43" s="62"/>
      <c r="J43" s="62"/>
      <c r="K43" s="62"/>
      <c r="L43" s="62"/>
      <c r="M43" s="62"/>
    </row>
    <row r="44" spans="2:13" ht="25.5" customHeight="1">
      <c r="B44" s="62"/>
      <c r="C44" s="62"/>
      <c r="D44" s="62"/>
      <c r="E44" s="62"/>
      <c r="F44" s="62"/>
      <c r="G44" s="62"/>
      <c r="H44" s="62"/>
      <c r="I44" s="62"/>
      <c r="J44" s="62"/>
      <c r="K44" s="62"/>
      <c r="L44" s="62"/>
      <c r="M44" s="62"/>
    </row>
    <row r="45" spans="2:13">
      <c r="B45" s="62"/>
      <c r="C45" s="62"/>
      <c r="D45" s="62"/>
      <c r="E45" s="62"/>
      <c r="F45" s="62"/>
      <c r="G45" s="62"/>
      <c r="H45" s="62"/>
      <c r="I45" s="62"/>
      <c r="J45" s="62"/>
      <c r="K45" s="62"/>
      <c r="L45" s="62"/>
      <c r="M45" s="62"/>
    </row>
  </sheetData>
  <printOptions horizontalCentered="1" verticalCentered="1"/>
  <pageMargins left="0" right="0" top="0" bottom="0" header="0" footer="0"/>
  <pageSetup paperSize="9" scale="97"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BH72"/>
  <sheetViews>
    <sheetView showGridLines="0" view="pageBreakPreview" zoomScale="85" zoomScaleNormal="55" zoomScaleSheetLayoutView="85" zoomScalePageLayoutView="55" workbookViewId="0">
      <selection activeCell="L43" sqref="L43"/>
    </sheetView>
  </sheetViews>
  <sheetFormatPr defaultColWidth="11.42578125" defaultRowHeight="12.75"/>
  <cols>
    <col min="1" max="1" width="11.42578125" style="256"/>
    <col min="2" max="2" width="4.7109375" style="319" customWidth="1"/>
    <col min="3" max="3" width="38.42578125" style="317" customWidth="1"/>
    <col min="4" max="4" width="9.140625" style="276" customWidth="1"/>
    <col min="5" max="7" width="13.28515625" style="269" customWidth="1"/>
    <col min="8" max="16" width="13.28515625" style="315" customWidth="1"/>
    <col min="17" max="54" width="13.28515625" style="315" hidden="1" customWidth="1"/>
    <col min="55" max="55" width="14" style="303" bestFit="1" customWidth="1"/>
    <col min="56" max="56" width="14.28515625" style="304" customWidth="1"/>
    <col min="57" max="57" width="8.85546875" style="256" customWidth="1"/>
    <col min="58" max="58" width="16.28515625" style="256" customWidth="1"/>
    <col min="59" max="59" width="13" style="439" customWidth="1"/>
    <col min="60" max="60" width="10.42578125" style="256" customWidth="1"/>
    <col min="61" max="63" width="11.42578125" style="256"/>
    <col min="64" max="64" width="24.140625" style="256" customWidth="1"/>
    <col min="65" max="16384" width="11.42578125" style="256"/>
  </cols>
  <sheetData>
    <row r="1" spans="1:60" s="251" customFormat="1">
      <c r="B1" s="145" t="s">
        <v>2690</v>
      </c>
      <c r="C1" s="247"/>
      <c r="D1" s="229" t="str">
        <f>IF(DADOS!$D$9&lt;&gt;"",DADOS!$D$9,"")</f>
        <v>CÂMARA MUNICIPAL DE TAMARANA</v>
      </c>
      <c r="E1" s="247"/>
      <c r="F1" s="248"/>
      <c r="G1" s="248"/>
      <c r="H1" s="248"/>
      <c r="I1" s="248"/>
      <c r="J1" s="248"/>
      <c r="K1" s="248"/>
      <c r="L1" s="249"/>
      <c r="M1" s="249"/>
      <c r="N1" s="249"/>
      <c r="O1" s="249"/>
      <c r="P1" s="235" t="s">
        <v>29</v>
      </c>
      <c r="Q1" s="249"/>
      <c r="R1" s="249"/>
      <c r="S1" s="249"/>
      <c r="T1" s="249"/>
      <c r="U1" s="249"/>
      <c r="V1" s="249"/>
      <c r="W1" s="419"/>
      <c r="X1" s="419"/>
      <c r="Y1" s="419"/>
      <c r="Z1" s="419"/>
      <c r="AA1" s="419"/>
      <c r="AC1" s="419"/>
      <c r="AD1" s="419"/>
      <c r="AE1" s="419"/>
      <c r="AF1" s="419"/>
      <c r="AG1" s="419"/>
      <c r="AH1" s="419"/>
      <c r="AI1" s="419"/>
      <c r="AJ1" s="419"/>
      <c r="AK1" s="419"/>
      <c r="AL1" s="419"/>
      <c r="AM1" s="419"/>
      <c r="AN1" s="419"/>
      <c r="AO1" s="419"/>
      <c r="AP1" s="419"/>
      <c r="AQ1" s="419"/>
      <c r="AR1" s="419"/>
      <c r="AS1" s="419"/>
      <c r="AT1" s="249"/>
      <c r="AU1" s="249"/>
      <c r="AV1" s="419"/>
      <c r="AW1" s="419"/>
      <c r="AX1" s="419"/>
      <c r="AY1" s="247"/>
      <c r="AZ1" s="247"/>
      <c r="BA1" s="250"/>
      <c r="BC1" s="236">
        <f>BDI!D24</f>
        <v>0.2354</v>
      </c>
      <c r="BG1" s="438"/>
    </row>
    <row r="2" spans="1:60">
      <c r="B2" s="146" t="s">
        <v>3714</v>
      </c>
      <c r="C2" s="252"/>
      <c r="D2" s="444">
        <f>IF(DADOS!N7&lt;&gt;"",DADOS!N7)</f>
        <v>81</v>
      </c>
      <c r="E2" s="253"/>
      <c r="F2" s="254"/>
      <c r="G2" s="254"/>
      <c r="H2" s="254"/>
      <c r="I2" s="254"/>
      <c r="J2" s="254"/>
      <c r="K2" s="254"/>
      <c r="L2" s="253"/>
      <c r="M2" s="253"/>
      <c r="N2" s="253"/>
      <c r="O2" s="253"/>
      <c r="P2" s="147"/>
      <c r="Q2" s="253"/>
      <c r="R2" s="253"/>
      <c r="S2" s="253"/>
      <c r="T2" s="253"/>
      <c r="U2" s="253"/>
      <c r="V2" s="253"/>
      <c r="W2" s="420"/>
      <c r="X2" s="420"/>
      <c r="Y2" s="420"/>
      <c r="Z2" s="420"/>
      <c r="AA2" s="420"/>
      <c r="AC2" s="420"/>
      <c r="AD2" s="420"/>
      <c r="AE2" s="420"/>
      <c r="AF2" s="420"/>
      <c r="AG2" s="420"/>
      <c r="AH2" s="420"/>
      <c r="AI2" s="420"/>
      <c r="AJ2" s="420"/>
      <c r="AK2" s="420"/>
      <c r="AL2" s="420"/>
      <c r="AM2" s="420"/>
      <c r="AN2" s="420"/>
      <c r="AO2" s="420"/>
      <c r="AP2" s="420"/>
      <c r="AQ2" s="420"/>
      <c r="AR2" s="420"/>
      <c r="AS2" s="420"/>
      <c r="AT2" s="253"/>
      <c r="AU2" s="253"/>
      <c r="AV2" s="420"/>
      <c r="AW2" s="420"/>
      <c r="AX2" s="420"/>
      <c r="AY2" s="252"/>
      <c r="AZ2" s="252"/>
      <c r="BA2" s="255"/>
      <c r="BC2" s="234"/>
    </row>
    <row r="3" spans="1:60">
      <c r="B3" s="244" t="s">
        <v>6942</v>
      </c>
      <c r="C3" s="252"/>
      <c r="D3" s="245" t="str">
        <f>IF(DADOS!$D$13&lt;&gt;"",DADOS!$D$13,"")</f>
        <v>CÂMARA MUNICIPAL DE TAMARANA</v>
      </c>
      <c r="E3" s="257"/>
      <c r="F3" s="258"/>
      <c r="G3" s="258"/>
      <c r="H3" s="258"/>
      <c r="I3" s="259"/>
      <c r="J3" s="149"/>
      <c r="K3" s="400"/>
      <c r="L3" s="261"/>
      <c r="M3" s="262"/>
      <c r="N3" s="252"/>
      <c r="O3" s="252"/>
      <c r="P3" s="149"/>
      <c r="Q3" s="263"/>
      <c r="R3" s="263"/>
      <c r="S3" s="263"/>
      <c r="T3" s="263"/>
      <c r="U3" s="263"/>
      <c r="V3" s="263"/>
      <c r="W3" s="421"/>
      <c r="X3" s="421"/>
      <c r="Y3" s="421"/>
      <c r="Z3" s="421"/>
      <c r="AA3" s="421"/>
      <c r="AC3" s="421"/>
      <c r="AD3" s="421"/>
      <c r="AE3" s="421"/>
      <c r="AF3" s="421"/>
      <c r="AG3" s="421"/>
      <c r="AH3" s="421"/>
      <c r="AI3" s="421"/>
      <c r="AJ3" s="421"/>
      <c r="AK3" s="421"/>
      <c r="AL3" s="421"/>
      <c r="AM3" s="421"/>
      <c r="AN3" s="421"/>
      <c r="AO3" s="421"/>
      <c r="AP3" s="421"/>
      <c r="AQ3" s="421"/>
      <c r="AR3" s="421"/>
      <c r="AS3" s="421"/>
      <c r="AT3" s="263"/>
      <c r="AU3" s="263"/>
      <c r="AV3" s="421"/>
      <c r="AW3" s="421"/>
      <c r="AX3" s="421"/>
      <c r="AY3" s="252"/>
      <c r="AZ3" s="252"/>
      <c r="BA3" s="255"/>
      <c r="BC3" s="237"/>
    </row>
    <row r="4" spans="1:60" s="267" customFormat="1" ht="15.75" customHeight="1">
      <c r="B4" s="146" t="s">
        <v>3716</v>
      </c>
      <c r="C4" s="263"/>
      <c r="D4" s="246" t="str">
        <f>IF(DADOS!$D$11&lt;&gt;"",DADOS!$D$11,"")</f>
        <v>RUA UBALDINO DE SÁ BITERNCOURT, S/N. - PRAÇA "A-B-3"</v>
      </c>
      <c r="E4" s="253"/>
      <c r="F4" s="264"/>
      <c r="G4" s="253"/>
      <c r="H4" s="253"/>
      <c r="I4" s="253"/>
      <c r="J4" s="253"/>
      <c r="K4" s="260"/>
      <c r="L4" s="265"/>
      <c r="M4" s="253"/>
      <c r="N4" s="253"/>
      <c r="O4" s="249"/>
      <c r="P4" s="239" t="s">
        <v>903</v>
      </c>
      <c r="Q4" s="249"/>
      <c r="R4" s="249"/>
      <c r="S4" s="249"/>
      <c r="T4" s="249"/>
      <c r="U4" s="249"/>
      <c r="V4" s="249"/>
      <c r="W4" s="419"/>
      <c r="X4" s="419"/>
      <c r="Y4" s="419"/>
      <c r="Z4" s="419"/>
      <c r="AA4" s="419"/>
      <c r="AC4" s="419"/>
      <c r="AD4" s="419"/>
      <c r="AE4" s="419"/>
      <c r="AF4" s="419"/>
      <c r="AG4" s="419"/>
      <c r="AH4" s="419"/>
      <c r="AI4" s="419"/>
      <c r="AJ4" s="419"/>
      <c r="AK4" s="419"/>
      <c r="AL4" s="419"/>
      <c r="AM4" s="419"/>
      <c r="AN4" s="419"/>
      <c r="AO4" s="419"/>
      <c r="AP4" s="419"/>
      <c r="AQ4" s="419"/>
      <c r="AR4" s="419"/>
      <c r="AS4" s="419"/>
      <c r="AT4" s="249"/>
      <c r="AU4" s="249"/>
      <c r="AV4" s="419"/>
      <c r="AW4" s="419"/>
      <c r="AX4" s="419"/>
      <c r="AY4" s="263"/>
      <c r="AZ4" s="263"/>
      <c r="BA4" s="266"/>
      <c r="BC4" s="240">
        <f ca="1">IF(DADOS!$D$19&lt;&gt;"",DADOS!$D$19,"")</f>
        <v>44860</v>
      </c>
      <c r="BG4" s="440"/>
    </row>
    <row r="5" spans="1:60" s="267" customFormat="1" ht="15.75" customHeight="1">
      <c r="B5" s="148" t="s">
        <v>4877</v>
      </c>
      <c r="C5" s="263"/>
      <c r="D5" s="228" t="str">
        <f>SERVIÇOS!D2</f>
        <v>SINAPI PR - JULHO 2022 - NÃO DESONERADO</v>
      </c>
      <c r="E5" s="253"/>
      <c r="F5" s="264"/>
      <c r="G5" s="253"/>
      <c r="H5" s="253"/>
      <c r="I5" s="253"/>
      <c r="J5" s="253"/>
      <c r="K5" s="260"/>
      <c r="L5" s="265"/>
      <c r="M5" s="253"/>
      <c r="N5" s="253"/>
      <c r="O5" s="249"/>
      <c r="P5" s="243" t="s">
        <v>4879</v>
      </c>
      <c r="Q5" s="249"/>
      <c r="R5" s="249"/>
      <c r="S5" s="249"/>
      <c r="T5" s="249"/>
      <c r="U5" s="249"/>
      <c r="V5" s="249"/>
      <c r="W5" s="419"/>
      <c r="X5" s="419"/>
      <c r="Y5" s="419"/>
      <c r="Z5" s="419"/>
      <c r="AA5" s="419"/>
      <c r="AC5" s="419"/>
      <c r="AD5" s="419"/>
      <c r="AE5" s="419"/>
      <c r="AF5" s="419"/>
      <c r="AG5" s="419"/>
      <c r="AH5" s="419"/>
      <c r="AI5" s="419"/>
      <c r="AJ5" s="419"/>
      <c r="AK5" s="419"/>
      <c r="AL5" s="419"/>
      <c r="AM5" s="419"/>
      <c r="AN5" s="419"/>
      <c r="AO5" s="419"/>
      <c r="AP5" s="419"/>
      <c r="AQ5" s="419"/>
      <c r="AR5" s="419"/>
      <c r="AS5" s="419"/>
      <c r="AT5" s="249"/>
      <c r="AU5" s="249"/>
      <c r="AV5" s="419"/>
      <c r="AW5" s="419"/>
      <c r="AX5" s="419"/>
      <c r="AY5" s="263"/>
      <c r="AZ5" s="263"/>
      <c r="BA5" s="266"/>
      <c r="BC5" s="228" t="str">
        <f>IF(DADOS!M19&lt;&gt;"",DADOS!M19)</f>
        <v>R01</v>
      </c>
      <c r="BG5" s="440"/>
    </row>
    <row r="6" spans="1:60" s="267" customFormat="1" ht="15.75" customHeight="1">
      <c r="B6" s="268"/>
      <c r="C6" s="227"/>
      <c r="D6" s="232"/>
      <c r="E6" s="269"/>
      <c r="F6" s="270"/>
      <c r="G6" s="269"/>
      <c r="H6" s="269"/>
      <c r="I6" s="269"/>
      <c r="J6" s="269"/>
      <c r="K6" s="271"/>
      <c r="L6" s="272"/>
      <c r="M6" s="269"/>
      <c r="N6" s="269"/>
      <c r="O6" s="273"/>
      <c r="P6" s="273"/>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4"/>
      <c r="BD6" s="275"/>
      <c r="BG6" s="440"/>
    </row>
    <row r="7" spans="1:60" s="267" customFormat="1" ht="15.75" customHeight="1">
      <c r="B7" s="1109" t="s">
        <v>2695</v>
      </c>
      <c r="C7" s="1110"/>
      <c r="D7" s="1110"/>
      <c r="E7" s="1110"/>
      <c r="F7" s="1110"/>
      <c r="G7" s="1110"/>
      <c r="H7" s="1110"/>
      <c r="I7" s="1110"/>
      <c r="J7" s="1110"/>
      <c r="K7" s="1110"/>
      <c r="L7" s="1110"/>
      <c r="M7" s="1110"/>
      <c r="N7" s="1110"/>
      <c r="O7" s="1110"/>
      <c r="P7" s="1110"/>
      <c r="Q7" s="1110"/>
      <c r="R7" s="1110"/>
      <c r="S7" s="1110"/>
      <c r="T7" s="1110"/>
      <c r="U7" s="1110"/>
      <c r="V7" s="1110"/>
      <c r="W7" s="1111"/>
      <c r="X7" s="1111"/>
      <c r="Y7" s="1111"/>
      <c r="Z7" s="1111"/>
      <c r="AA7" s="1111"/>
      <c r="AB7" s="1111"/>
      <c r="AC7" s="1111"/>
      <c r="AD7" s="1111"/>
      <c r="AE7" s="1111"/>
      <c r="AF7" s="1111"/>
      <c r="AG7" s="1111"/>
      <c r="AH7" s="1111"/>
      <c r="AI7" s="1111"/>
      <c r="AJ7" s="1111"/>
      <c r="AK7" s="1111"/>
      <c r="AL7" s="1111"/>
      <c r="AM7" s="1111"/>
      <c r="AN7" s="1111"/>
      <c r="AO7" s="1111"/>
      <c r="AP7" s="1111"/>
      <c r="AQ7" s="1111"/>
      <c r="AR7" s="1111"/>
      <c r="AS7" s="1111"/>
      <c r="AT7" s="1110"/>
      <c r="AU7" s="1110"/>
      <c r="AV7" s="1111"/>
      <c r="AW7" s="1111"/>
      <c r="AX7" s="1111"/>
      <c r="AY7" s="1110"/>
      <c r="AZ7" s="1110"/>
      <c r="BA7" s="1110"/>
      <c r="BB7" s="1110"/>
      <c r="BC7" s="1110"/>
      <c r="BD7" s="1112"/>
      <c r="BG7" s="440"/>
    </row>
    <row r="8" spans="1:60" s="267" customFormat="1" ht="15.75" customHeight="1" thickBot="1">
      <c r="B8" s="320"/>
      <c r="C8" s="320"/>
      <c r="D8" s="320"/>
      <c r="E8" s="320"/>
      <c r="F8" s="320"/>
      <c r="G8" s="320"/>
      <c r="H8" s="320"/>
      <c r="I8" s="320"/>
      <c r="J8" s="320"/>
      <c r="K8" s="320"/>
      <c r="L8" s="320"/>
      <c r="M8" s="320"/>
      <c r="N8" s="321"/>
      <c r="P8" s="1001" t="s">
        <v>14549</v>
      </c>
      <c r="R8" s="1002"/>
      <c r="S8" s="1002"/>
      <c r="T8" s="1002"/>
      <c r="U8" s="1002"/>
      <c r="V8" s="1002"/>
      <c r="W8" s="1002"/>
      <c r="X8" s="1002"/>
      <c r="Y8" s="1002"/>
      <c r="Z8" s="1002"/>
      <c r="AA8" s="1002"/>
      <c r="AB8" s="1002"/>
      <c r="AC8" s="1002"/>
      <c r="AD8" s="1002"/>
      <c r="AE8" s="1002"/>
      <c r="AF8" s="1002"/>
      <c r="AG8" s="1002"/>
      <c r="AH8" s="1002"/>
      <c r="AI8" s="1002"/>
      <c r="AJ8" s="1002"/>
      <c r="AK8" s="1002"/>
      <c r="AL8" s="1002"/>
      <c r="AM8" s="1002"/>
      <c r="AN8" s="1002"/>
      <c r="AO8" s="1002"/>
      <c r="AP8" s="1002"/>
      <c r="AQ8" s="1002"/>
      <c r="AR8" s="1002"/>
      <c r="AS8" s="1002"/>
      <c r="AT8" s="1002"/>
      <c r="AU8" s="1002"/>
      <c r="AV8" s="1002"/>
      <c r="AW8" s="1002"/>
      <c r="AX8" s="1002"/>
      <c r="AY8" s="1002"/>
      <c r="AZ8" s="1002"/>
      <c r="BA8" s="1002"/>
      <c r="BB8" s="1002"/>
      <c r="BC8" s="1003">
        <v>300</v>
      </c>
      <c r="BD8" s="320"/>
      <c r="BG8" s="440"/>
    </row>
    <row r="9" spans="1:60" s="267" customFormat="1" ht="15.75" customHeight="1" thickBot="1">
      <c r="B9" s="268"/>
      <c r="C9" s="277"/>
      <c r="D9" s="278" t="s">
        <v>2701</v>
      </c>
      <c r="E9" s="1098" t="s">
        <v>3108</v>
      </c>
      <c r="F9" s="1099"/>
      <c r="G9" s="1099"/>
      <c r="H9" s="1099"/>
      <c r="I9" s="1099"/>
      <c r="J9" s="1099"/>
      <c r="K9" s="1099"/>
      <c r="L9" s="1099"/>
      <c r="M9" s="1099"/>
      <c r="N9" s="1099"/>
      <c r="O9" s="1099"/>
      <c r="P9" s="1100"/>
      <c r="Q9" s="1098" t="s">
        <v>3107</v>
      </c>
      <c r="R9" s="1099"/>
      <c r="S9" s="1099"/>
      <c r="T9" s="1099"/>
      <c r="U9" s="1099"/>
      <c r="V9" s="1099"/>
      <c r="W9" s="1099"/>
      <c r="X9" s="1099"/>
      <c r="Y9" s="1099"/>
      <c r="Z9" s="1099"/>
      <c r="AA9" s="1099"/>
      <c r="AB9" s="1100"/>
      <c r="AC9" s="1098" t="s">
        <v>5318</v>
      </c>
      <c r="AD9" s="1099"/>
      <c r="AE9" s="1099"/>
      <c r="AF9" s="1099"/>
      <c r="AG9" s="1099"/>
      <c r="AH9" s="1099"/>
      <c r="AI9" s="1099"/>
      <c r="AJ9" s="1099"/>
      <c r="AK9" s="1099"/>
      <c r="AL9" s="1099"/>
      <c r="AM9" s="1099"/>
      <c r="AN9" s="1100"/>
      <c r="AO9" s="1098" t="s">
        <v>5319</v>
      </c>
      <c r="AP9" s="1099"/>
      <c r="AQ9" s="1099"/>
      <c r="AR9" s="1099"/>
      <c r="AS9" s="1099"/>
      <c r="AT9" s="1099"/>
      <c r="AU9" s="1099"/>
      <c r="AV9" s="1099"/>
      <c r="AW9" s="1099"/>
      <c r="AX9" s="1099"/>
      <c r="AY9" s="1099"/>
      <c r="AZ9" s="1100"/>
      <c r="BA9" s="1104"/>
      <c r="BB9" s="1105"/>
      <c r="BC9" s="279"/>
      <c r="BD9" s="279"/>
      <c r="BG9" s="440"/>
    </row>
    <row r="10" spans="1:60" s="284" customFormat="1">
      <c r="B10" s="280"/>
      <c r="C10" s="1106" t="s">
        <v>544</v>
      </c>
      <c r="D10" s="281"/>
      <c r="E10" s="1095" t="s">
        <v>5288</v>
      </c>
      <c r="F10" s="1095" t="s">
        <v>5289</v>
      </c>
      <c r="G10" s="1095" t="s">
        <v>5290</v>
      </c>
      <c r="H10" s="1095" t="s">
        <v>5291</v>
      </c>
      <c r="I10" s="1114" t="s">
        <v>5292</v>
      </c>
      <c r="J10" s="1095" t="s">
        <v>5293</v>
      </c>
      <c r="K10" s="1095" t="s">
        <v>5294</v>
      </c>
      <c r="L10" s="1095" t="s">
        <v>5295</v>
      </c>
      <c r="M10" s="1095" t="s">
        <v>5296</v>
      </c>
      <c r="N10" s="1095" t="s">
        <v>5297</v>
      </c>
      <c r="O10" s="1095" t="s">
        <v>5298</v>
      </c>
      <c r="P10" s="1095" t="s">
        <v>5299</v>
      </c>
      <c r="Q10" s="1095" t="s">
        <v>5300</v>
      </c>
      <c r="R10" s="1114" t="s">
        <v>5301</v>
      </c>
      <c r="S10" s="1095" t="s">
        <v>5302</v>
      </c>
      <c r="T10" s="1095" t="s">
        <v>5303</v>
      </c>
      <c r="U10" s="1095" t="s">
        <v>5304</v>
      </c>
      <c r="V10" s="1095" t="s">
        <v>5305</v>
      </c>
      <c r="W10" s="1095" t="s">
        <v>5306</v>
      </c>
      <c r="X10" s="1095" t="s">
        <v>5307</v>
      </c>
      <c r="Y10" s="1095" t="s">
        <v>5308</v>
      </c>
      <c r="Z10" s="1095" t="s">
        <v>5309</v>
      </c>
      <c r="AA10" s="1095" t="s">
        <v>5310</v>
      </c>
      <c r="AB10" s="1095" t="s">
        <v>5311</v>
      </c>
      <c r="AC10" s="1095" t="s">
        <v>5312</v>
      </c>
      <c r="AD10" s="1095" t="s">
        <v>5313</v>
      </c>
      <c r="AE10" s="1095" t="s">
        <v>5314</v>
      </c>
      <c r="AF10" s="1095" t="s">
        <v>5315</v>
      </c>
      <c r="AG10" s="1095" t="s">
        <v>5316</v>
      </c>
      <c r="AH10" s="1095" t="s">
        <v>5317</v>
      </c>
      <c r="AI10" s="1101"/>
      <c r="AJ10" s="1101"/>
      <c r="AK10" s="1095" t="s">
        <v>5288</v>
      </c>
      <c r="AL10" s="1095" t="s">
        <v>5289</v>
      </c>
      <c r="AM10" s="1095" t="s">
        <v>5290</v>
      </c>
      <c r="AN10" s="1095" t="s">
        <v>5291</v>
      </c>
      <c r="AO10" s="1095" t="s">
        <v>5292</v>
      </c>
      <c r="AP10" s="1095" t="s">
        <v>5293</v>
      </c>
      <c r="AQ10" s="1095" t="s">
        <v>5294</v>
      </c>
      <c r="AR10" s="1095" t="s">
        <v>5295</v>
      </c>
      <c r="AS10" s="1095" t="s">
        <v>5296</v>
      </c>
      <c r="AT10" s="1095" t="s">
        <v>5297</v>
      </c>
      <c r="AU10" s="1095" t="s">
        <v>5298</v>
      </c>
      <c r="AV10" s="1095" t="s">
        <v>5299</v>
      </c>
      <c r="AW10" s="1095" t="s">
        <v>5300</v>
      </c>
      <c r="AX10" s="1095" t="s">
        <v>5301</v>
      </c>
      <c r="AY10" s="1095" t="s">
        <v>5302</v>
      </c>
      <c r="AZ10" s="1095" t="s">
        <v>5303</v>
      </c>
      <c r="BA10" s="1095" t="s">
        <v>5304</v>
      </c>
      <c r="BB10" s="1095" t="s">
        <v>5305</v>
      </c>
      <c r="BC10" s="282" t="s">
        <v>545</v>
      </c>
      <c r="BD10" s="283" t="s">
        <v>545</v>
      </c>
      <c r="BG10" s="439"/>
    </row>
    <row r="11" spans="1:60" s="30" customFormat="1">
      <c r="B11" s="285" t="s">
        <v>904</v>
      </c>
      <c r="C11" s="1107"/>
      <c r="D11" s="286" t="s">
        <v>546</v>
      </c>
      <c r="E11" s="1096"/>
      <c r="F11" s="1096"/>
      <c r="G11" s="1096"/>
      <c r="H11" s="1096"/>
      <c r="I11" s="1115"/>
      <c r="J11" s="1096"/>
      <c r="K11" s="1096"/>
      <c r="L11" s="1096"/>
      <c r="M11" s="1096"/>
      <c r="N11" s="1096"/>
      <c r="O11" s="1096"/>
      <c r="P11" s="1096"/>
      <c r="Q11" s="1096"/>
      <c r="R11" s="1115"/>
      <c r="S11" s="1096"/>
      <c r="T11" s="1096"/>
      <c r="U11" s="1096"/>
      <c r="V11" s="1096"/>
      <c r="W11" s="1096"/>
      <c r="X11" s="1096"/>
      <c r="Y11" s="1096"/>
      <c r="Z11" s="1096"/>
      <c r="AA11" s="1096"/>
      <c r="AB11" s="1096"/>
      <c r="AC11" s="1096"/>
      <c r="AD11" s="1096"/>
      <c r="AE11" s="1096"/>
      <c r="AF11" s="1096"/>
      <c r="AG11" s="1096"/>
      <c r="AH11" s="1096"/>
      <c r="AI11" s="1102"/>
      <c r="AJ11" s="1102"/>
      <c r="AK11" s="1096"/>
      <c r="AL11" s="1096"/>
      <c r="AM11" s="1096"/>
      <c r="AN11" s="1096"/>
      <c r="AO11" s="1096"/>
      <c r="AP11" s="1096"/>
      <c r="AQ11" s="1096"/>
      <c r="AR11" s="1096"/>
      <c r="AS11" s="1096"/>
      <c r="AT11" s="1096"/>
      <c r="AU11" s="1096"/>
      <c r="AV11" s="1096"/>
      <c r="AW11" s="1096"/>
      <c r="AX11" s="1096"/>
      <c r="AY11" s="1096"/>
      <c r="AZ11" s="1096"/>
      <c r="BA11" s="1096"/>
      <c r="BB11" s="1096"/>
      <c r="BC11" s="287" t="s">
        <v>542</v>
      </c>
      <c r="BD11" s="286" t="s">
        <v>547</v>
      </c>
      <c r="BG11" s="1113" t="s">
        <v>2696</v>
      </c>
    </row>
    <row r="12" spans="1:60" s="31" customFormat="1" ht="13.5" thickBot="1">
      <c r="B12" s="288"/>
      <c r="C12" s="1108"/>
      <c r="D12" s="289"/>
      <c r="E12" s="1097"/>
      <c r="F12" s="1097"/>
      <c r="G12" s="1097"/>
      <c r="H12" s="1097"/>
      <c r="I12" s="1116"/>
      <c r="J12" s="1097"/>
      <c r="K12" s="1097"/>
      <c r="L12" s="1097"/>
      <c r="M12" s="1097"/>
      <c r="N12" s="1097"/>
      <c r="O12" s="1097"/>
      <c r="P12" s="1097"/>
      <c r="Q12" s="1097"/>
      <c r="R12" s="1116"/>
      <c r="S12" s="1097"/>
      <c r="T12" s="1097"/>
      <c r="U12" s="1097"/>
      <c r="V12" s="1097"/>
      <c r="W12" s="1097"/>
      <c r="X12" s="1097"/>
      <c r="Y12" s="1097"/>
      <c r="Z12" s="1097"/>
      <c r="AA12" s="1097"/>
      <c r="AB12" s="1097"/>
      <c r="AC12" s="1097"/>
      <c r="AD12" s="1097"/>
      <c r="AE12" s="1097"/>
      <c r="AF12" s="1097"/>
      <c r="AG12" s="1097"/>
      <c r="AH12" s="1097"/>
      <c r="AI12" s="1103"/>
      <c r="AJ12" s="1103"/>
      <c r="AK12" s="1097"/>
      <c r="AL12" s="1097"/>
      <c r="AM12" s="1097"/>
      <c r="AN12" s="1097"/>
      <c r="AO12" s="1097"/>
      <c r="AP12" s="1097"/>
      <c r="AQ12" s="1097"/>
      <c r="AR12" s="1097"/>
      <c r="AS12" s="1097"/>
      <c r="AT12" s="1097"/>
      <c r="AU12" s="1097"/>
      <c r="AV12" s="1097"/>
      <c r="AW12" s="1097"/>
      <c r="AX12" s="1097"/>
      <c r="AY12" s="1097"/>
      <c r="AZ12" s="1097"/>
      <c r="BA12" s="1097"/>
      <c r="BB12" s="1097"/>
      <c r="BC12" s="290" t="s">
        <v>548</v>
      </c>
      <c r="BD12" s="289" t="s">
        <v>549</v>
      </c>
      <c r="BG12" s="1113"/>
    </row>
    <row r="13" spans="1:60" s="292" customFormat="1">
      <c r="B13" s="291"/>
      <c r="C13" s="55"/>
      <c r="D13" s="49"/>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423"/>
      <c r="AJ13" s="423"/>
      <c r="AK13" s="50"/>
      <c r="AL13" s="50"/>
      <c r="AM13" s="50"/>
      <c r="AN13" s="50"/>
      <c r="AO13" s="50"/>
      <c r="AP13" s="50"/>
      <c r="AQ13" s="50"/>
      <c r="AR13" s="50"/>
      <c r="AS13" s="50"/>
      <c r="AT13" s="50"/>
      <c r="AU13" s="50"/>
      <c r="AV13" s="50"/>
      <c r="AW13" s="50"/>
      <c r="AX13" s="50"/>
      <c r="AY13" s="50"/>
      <c r="AZ13" s="50"/>
      <c r="BA13" s="50"/>
      <c r="BB13" s="50"/>
      <c r="BC13" s="443"/>
      <c r="BD13" s="443"/>
      <c r="BF13" s="424"/>
      <c r="BG13" s="441"/>
      <c r="BH13" s="293"/>
    </row>
    <row r="14" spans="1:60" s="292" customFormat="1">
      <c r="A14" s="292">
        <v>2</v>
      </c>
      <c r="B14" s="291">
        <v>1</v>
      </c>
      <c r="C14" s="55" t="str">
        <f>IF($B14&lt;&gt;"",VLOOKUP($B14,ORC!$E:$N,4,0),"")</f>
        <v>SERVIÇOS PRELIMINARES</v>
      </c>
      <c r="D14" s="49">
        <f>+BC14/BC$56</f>
        <v>8.7352580125807808E-2</v>
      </c>
      <c r="E14" s="50">
        <f>IF(E15&lt;&gt;"",E15*$BC14,0)</f>
        <v>10544.113438219756</v>
      </c>
      <c r="F14" s="50">
        <f t="shared" ref="F14:AH14" si="0">IF(F15&lt;&gt;"",F15*$BC14,0)</f>
        <v>10094.163155971777</v>
      </c>
      <c r="G14" s="50">
        <f t="shared" si="0"/>
        <v>18412.514643916609</v>
      </c>
      <c r="H14" s="50">
        <f t="shared" si="0"/>
        <v>20986.826989259393</v>
      </c>
      <c r="I14" s="50">
        <f t="shared" si="0"/>
        <v>22749.801261316268</v>
      </c>
      <c r="J14" s="50">
        <f t="shared" si="0"/>
        <v>25136.550504576597</v>
      </c>
      <c r="K14" s="50">
        <f t="shared" si="0"/>
        <v>22183.526569695267</v>
      </c>
      <c r="L14" s="50">
        <f t="shared" si="0"/>
        <v>15605.121075437377</v>
      </c>
      <c r="M14" s="50">
        <f t="shared" si="0"/>
        <v>18327.099151602779</v>
      </c>
      <c r="N14" s="50">
        <f t="shared" si="0"/>
        <v>19588.932125907682</v>
      </c>
      <c r="O14" s="50">
        <f t="shared" si="0"/>
        <v>0</v>
      </c>
      <c r="P14" s="50">
        <f t="shared" si="0"/>
        <v>0</v>
      </c>
      <c r="Q14" s="50">
        <f t="shared" si="0"/>
        <v>0</v>
      </c>
      <c r="R14" s="50">
        <f t="shared" si="0"/>
        <v>0</v>
      </c>
      <c r="S14" s="50">
        <f t="shared" si="0"/>
        <v>0</v>
      </c>
      <c r="T14" s="50">
        <f t="shared" si="0"/>
        <v>0</v>
      </c>
      <c r="U14" s="50">
        <f t="shared" si="0"/>
        <v>0</v>
      </c>
      <c r="V14" s="50">
        <f t="shared" si="0"/>
        <v>0</v>
      </c>
      <c r="W14" s="50">
        <f t="shared" si="0"/>
        <v>0</v>
      </c>
      <c r="X14" s="50">
        <f t="shared" si="0"/>
        <v>0</v>
      </c>
      <c r="Y14" s="50">
        <f t="shared" si="0"/>
        <v>0</v>
      </c>
      <c r="Z14" s="50">
        <f t="shared" si="0"/>
        <v>0</v>
      </c>
      <c r="AA14" s="50">
        <f t="shared" si="0"/>
        <v>0</v>
      </c>
      <c r="AB14" s="50">
        <f t="shared" si="0"/>
        <v>0</v>
      </c>
      <c r="AC14" s="50">
        <f t="shared" si="0"/>
        <v>0</v>
      </c>
      <c r="AD14" s="50">
        <f t="shared" si="0"/>
        <v>0</v>
      </c>
      <c r="AE14" s="50">
        <f t="shared" si="0"/>
        <v>0</v>
      </c>
      <c r="AF14" s="50">
        <f t="shared" si="0"/>
        <v>0</v>
      </c>
      <c r="AG14" s="50">
        <f t="shared" si="0"/>
        <v>0</v>
      </c>
      <c r="AH14" s="50">
        <f t="shared" si="0"/>
        <v>0</v>
      </c>
      <c r="AI14" s="423"/>
      <c r="AJ14" s="423"/>
      <c r="AK14" s="50">
        <f t="shared" ref="AK14:BB14" si="1">IF(AK15&lt;&gt;"",AK15*$BC14,0)</f>
        <v>0</v>
      </c>
      <c r="AL14" s="50">
        <f t="shared" si="1"/>
        <v>0</v>
      </c>
      <c r="AM14" s="50">
        <f t="shared" si="1"/>
        <v>0</v>
      </c>
      <c r="AN14" s="50">
        <f t="shared" si="1"/>
        <v>0</v>
      </c>
      <c r="AO14" s="50">
        <f t="shared" si="1"/>
        <v>0</v>
      </c>
      <c r="AP14" s="50">
        <f t="shared" si="1"/>
        <v>0</v>
      </c>
      <c r="AQ14" s="50">
        <f t="shared" si="1"/>
        <v>0</v>
      </c>
      <c r="AR14" s="50">
        <f t="shared" si="1"/>
        <v>0</v>
      </c>
      <c r="AS14" s="50">
        <f t="shared" si="1"/>
        <v>0</v>
      </c>
      <c r="AT14" s="50">
        <f t="shared" si="1"/>
        <v>0</v>
      </c>
      <c r="AU14" s="50">
        <f t="shared" si="1"/>
        <v>0</v>
      </c>
      <c r="AV14" s="50">
        <f t="shared" si="1"/>
        <v>0</v>
      </c>
      <c r="AW14" s="50">
        <f t="shared" si="1"/>
        <v>0</v>
      </c>
      <c r="AX14" s="50">
        <f t="shared" si="1"/>
        <v>0</v>
      </c>
      <c r="AY14" s="50">
        <f t="shared" si="1"/>
        <v>0</v>
      </c>
      <c r="AZ14" s="50">
        <f t="shared" si="1"/>
        <v>0</v>
      </c>
      <c r="BA14" s="50">
        <f t="shared" si="1"/>
        <v>0</v>
      </c>
      <c r="BB14" s="50">
        <f t="shared" si="1"/>
        <v>0</v>
      </c>
      <c r="BC14" s="443">
        <f>IF($B14&lt;&gt;"",VLOOKUP($B14,RESUMO_FASES!$A$12:$H$34,8),"")</f>
        <v>184361.09</v>
      </c>
      <c r="BD14" s="443">
        <f>IF($B14&lt;&gt;"",VLOOKUP($B14,RESUMO_FASES!$A$12:$H$34,6),"")</f>
        <v>0</v>
      </c>
      <c r="BF14" s="424">
        <f>SUM(E14:BB14)-BC14</f>
        <v>-732.44108409649925</v>
      </c>
      <c r="BG14" s="441"/>
      <c r="BH14" s="293"/>
    </row>
    <row r="15" spans="1:60" s="295" customFormat="1">
      <c r="A15" s="295">
        <v>3</v>
      </c>
      <c r="B15" s="294"/>
      <c r="C15" s="141" t="s">
        <v>3051</v>
      </c>
      <c r="D15" s="139"/>
      <c r="E15" s="425">
        <f t="shared" ref="E15:N15" si="2">+E68</f>
        <v>5.7192726720262696E-2</v>
      </c>
      <c r="F15" s="425">
        <f t="shared" si="2"/>
        <v>5.4752134281543775E-2</v>
      </c>
      <c r="G15" s="425">
        <f t="shared" si="2"/>
        <v>9.9872020955813448E-2</v>
      </c>
      <c r="H15" s="425">
        <f t="shared" si="2"/>
        <v>0.11383544645597068</v>
      </c>
      <c r="I15" s="425">
        <f t="shared" si="2"/>
        <v>0.12339806225552402</v>
      </c>
      <c r="J15" s="425">
        <f t="shared" si="2"/>
        <v>0.13634411960016399</v>
      </c>
      <c r="K15" s="425">
        <f t="shared" si="2"/>
        <v>0.12032651016380554</v>
      </c>
      <c r="L15" s="425">
        <f t="shared" si="2"/>
        <v>8.4644330728557621E-2</v>
      </c>
      <c r="M15" s="425">
        <f t="shared" si="2"/>
        <v>9.9408715535381026E-2</v>
      </c>
      <c r="N15" s="425">
        <f t="shared" si="2"/>
        <v>0.10625307176209299</v>
      </c>
      <c r="O15" s="425"/>
      <c r="P15" s="425"/>
      <c r="Q15" s="425"/>
      <c r="R15" s="425"/>
      <c r="S15" s="425"/>
      <c r="T15" s="425"/>
      <c r="U15" s="425"/>
      <c r="V15" s="425"/>
      <c r="W15" s="425"/>
      <c r="X15" s="425"/>
      <c r="Y15" s="425"/>
      <c r="Z15" s="425"/>
      <c r="AA15" s="425"/>
      <c r="AB15" s="425"/>
      <c r="AC15" s="425"/>
      <c r="AD15" s="425"/>
      <c r="AE15" s="425"/>
      <c r="AF15" s="425"/>
      <c r="AG15" s="425"/>
      <c r="AH15" s="425"/>
      <c r="AI15" s="422"/>
      <c r="AJ15" s="422"/>
      <c r="AK15" s="425"/>
      <c r="AL15" s="425"/>
      <c r="AM15" s="425"/>
      <c r="AN15" s="425"/>
      <c r="AO15" s="425"/>
      <c r="AP15" s="425"/>
      <c r="AQ15" s="425"/>
      <c r="AR15" s="425"/>
      <c r="AS15" s="425"/>
      <c r="AT15" s="425"/>
      <c r="AU15" s="425"/>
      <c r="AV15" s="425"/>
      <c r="AW15" s="425"/>
      <c r="AX15" s="425"/>
      <c r="AY15" s="425"/>
      <c r="AZ15" s="425"/>
      <c r="BA15" s="425"/>
      <c r="BB15" s="425"/>
      <c r="BC15" s="140"/>
      <c r="BD15" s="140"/>
      <c r="BF15" s="424"/>
      <c r="BG15" s="442">
        <f>SUM(E15:BB15)</f>
        <v>0.99602713845911572</v>
      </c>
      <c r="BH15" s="296"/>
    </row>
    <row r="16" spans="1:60" s="292" customFormat="1">
      <c r="A16" s="292">
        <v>4</v>
      </c>
      <c r="B16" s="291">
        <v>2</v>
      </c>
      <c r="C16" s="55" t="str">
        <f>IF($B16&lt;&gt;"",VLOOKUP($B16,ORC!$E:$N,4,0),"")</f>
        <v>SERVIÇOS INICIAIS</v>
      </c>
      <c r="D16" s="49">
        <f>+BC16/BC$56</f>
        <v>6.9012915805251925E-3</v>
      </c>
      <c r="E16" s="50">
        <f t="shared" ref="E16:AH16" si="3">IF(E17&lt;&gt;"",E17*$BC16,0)</f>
        <v>14565.449999999999</v>
      </c>
      <c r="F16" s="50">
        <f t="shared" si="3"/>
        <v>0</v>
      </c>
      <c r="G16" s="50">
        <f t="shared" si="3"/>
        <v>0</v>
      </c>
      <c r="H16" s="50">
        <f t="shared" si="3"/>
        <v>0</v>
      </c>
      <c r="I16" s="50">
        <f t="shared" si="3"/>
        <v>0</v>
      </c>
      <c r="J16" s="50">
        <f t="shared" si="3"/>
        <v>0</v>
      </c>
      <c r="K16" s="50">
        <f t="shared" si="3"/>
        <v>0</v>
      </c>
      <c r="L16" s="50">
        <f t="shared" si="3"/>
        <v>0</v>
      </c>
      <c r="M16" s="50">
        <f t="shared" si="3"/>
        <v>0</v>
      </c>
      <c r="N16" s="50">
        <f t="shared" si="3"/>
        <v>0</v>
      </c>
      <c r="O16" s="50">
        <f t="shared" si="3"/>
        <v>0</v>
      </c>
      <c r="P16" s="50">
        <f t="shared" si="3"/>
        <v>0</v>
      </c>
      <c r="Q16" s="50">
        <f t="shared" si="3"/>
        <v>0</v>
      </c>
      <c r="R16" s="50">
        <f t="shared" si="3"/>
        <v>0</v>
      </c>
      <c r="S16" s="50">
        <f t="shared" si="3"/>
        <v>0</v>
      </c>
      <c r="T16" s="50">
        <f t="shared" si="3"/>
        <v>0</v>
      </c>
      <c r="U16" s="50">
        <f t="shared" si="3"/>
        <v>0</v>
      </c>
      <c r="V16" s="50">
        <f t="shared" si="3"/>
        <v>0</v>
      </c>
      <c r="W16" s="50">
        <f t="shared" si="3"/>
        <v>0</v>
      </c>
      <c r="X16" s="50">
        <f t="shared" si="3"/>
        <v>0</v>
      </c>
      <c r="Y16" s="50">
        <f t="shared" si="3"/>
        <v>0</v>
      </c>
      <c r="Z16" s="50">
        <f t="shared" si="3"/>
        <v>0</v>
      </c>
      <c r="AA16" s="50">
        <f t="shared" si="3"/>
        <v>0</v>
      </c>
      <c r="AB16" s="50">
        <f t="shared" si="3"/>
        <v>0</v>
      </c>
      <c r="AC16" s="50">
        <f t="shared" si="3"/>
        <v>0</v>
      </c>
      <c r="AD16" s="50">
        <f t="shared" si="3"/>
        <v>0</v>
      </c>
      <c r="AE16" s="50">
        <f t="shared" si="3"/>
        <v>0</v>
      </c>
      <c r="AF16" s="50">
        <f t="shared" si="3"/>
        <v>0</v>
      </c>
      <c r="AG16" s="50">
        <f t="shared" si="3"/>
        <v>0</v>
      </c>
      <c r="AH16" s="50">
        <f t="shared" si="3"/>
        <v>0</v>
      </c>
      <c r="AI16" s="423"/>
      <c r="AJ16" s="423"/>
      <c r="AK16" s="50"/>
      <c r="AL16" s="50"/>
      <c r="AM16" s="50"/>
      <c r="AN16" s="50"/>
      <c r="AO16" s="50"/>
      <c r="AP16" s="50"/>
      <c r="AQ16" s="50"/>
      <c r="AR16" s="50"/>
      <c r="AS16" s="50"/>
      <c r="AT16" s="50"/>
      <c r="AU16" s="50"/>
      <c r="AV16" s="50"/>
      <c r="AW16" s="50"/>
      <c r="AX16" s="50"/>
      <c r="AY16" s="50"/>
      <c r="AZ16" s="50"/>
      <c r="BA16" s="50"/>
      <c r="BB16" s="50"/>
      <c r="BC16" s="443">
        <f>IF($B16&lt;&gt;"",VLOOKUP($B16,RESUMO_FASES!$A$12:$H$34,8),"")</f>
        <v>14565.449999999999</v>
      </c>
      <c r="BD16" s="443">
        <f>IF($B16&lt;&gt;"",VLOOKUP($B16,RESUMO_FASES!$A$12:$H$34,6),"")</f>
        <v>0</v>
      </c>
      <c r="BF16" s="424">
        <f t="shared" ref="BF16:BF52" si="4">SUM(E16:BB16)-BC16</f>
        <v>0</v>
      </c>
      <c r="BG16" s="441"/>
      <c r="BH16" s="297"/>
    </row>
    <row r="17" spans="1:60" s="295" customFormat="1">
      <c r="A17" s="295">
        <v>5</v>
      </c>
      <c r="B17" s="294"/>
      <c r="C17" s="141" t="s">
        <v>3051</v>
      </c>
      <c r="D17" s="139"/>
      <c r="E17" s="425">
        <v>1</v>
      </c>
      <c r="F17" s="425"/>
      <c r="G17" s="425"/>
      <c r="H17" s="425"/>
      <c r="I17" s="425"/>
      <c r="J17" s="425"/>
      <c r="K17" s="425"/>
      <c r="L17" s="425"/>
      <c r="M17" s="425"/>
      <c r="N17" s="425"/>
      <c r="O17" s="425"/>
      <c r="P17" s="425"/>
      <c r="Q17" s="425"/>
      <c r="R17" s="425"/>
      <c r="S17" s="425"/>
      <c r="T17" s="425"/>
      <c r="U17" s="425"/>
      <c r="V17" s="425"/>
      <c r="W17" s="425"/>
      <c r="X17" s="425"/>
      <c r="Y17" s="425"/>
      <c r="Z17" s="425"/>
      <c r="AA17" s="425"/>
      <c r="AB17" s="425"/>
      <c r="AC17" s="425"/>
      <c r="AD17" s="425"/>
      <c r="AE17" s="425"/>
      <c r="AF17" s="425"/>
      <c r="AG17" s="425"/>
      <c r="AH17" s="425"/>
      <c r="AI17" s="425"/>
      <c r="AJ17" s="425"/>
      <c r="AK17" s="425"/>
      <c r="AL17" s="425"/>
      <c r="AM17" s="425"/>
      <c r="AN17" s="425"/>
      <c r="AO17" s="425"/>
      <c r="AP17" s="425"/>
      <c r="AQ17" s="425"/>
      <c r="AR17" s="425"/>
      <c r="AS17" s="425"/>
      <c r="AT17" s="425"/>
      <c r="AU17" s="425"/>
      <c r="AV17" s="425"/>
      <c r="AW17" s="425"/>
      <c r="AX17" s="425"/>
      <c r="AY17" s="425"/>
      <c r="AZ17" s="425"/>
      <c r="BA17" s="425"/>
      <c r="BB17" s="425"/>
      <c r="BC17" s="140"/>
      <c r="BD17" s="140"/>
      <c r="BF17" s="424"/>
      <c r="BG17" s="442">
        <f>SUM(E17:BB17)</f>
        <v>1</v>
      </c>
      <c r="BH17" s="296"/>
    </row>
    <row r="18" spans="1:60" s="292" customFormat="1">
      <c r="A18" s="292">
        <v>6</v>
      </c>
      <c r="B18" s="291">
        <v>3</v>
      </c>
      <c r="C18" s="55" t="str">
        <f>IF($B18&lt;&gt;"",VLOOKUP($B18,ORC!$E:$N,4,0),"")</f>
        <v>INFRA-ESTRUTURA</v>
      </c>
      <c r="D18" s="49">
        <f>+BC18/BC$56</f>
        <v>2.1893030281372766E-2</v>
      </c>
      <c r="E18" s="50">
        <f>IF(E19&lt;&gt;"",E19*$BC18,0)</f>
        <v>46206.11</v>
      </c>
      <c r="F18" s="50">
        <f t="shared" ref="F18:AH18" si="5">IF(F19&lt;&gt;"",F19*$BC18,0)</f>
        <v>0</v>
      </c>
      <c r="G18" s="50">
        <f t="shared" si="5"/>
        <v>0</v>
      </c>
      <c r="H18" s="50">
        <f t="shared" si="5"/>
        <v>0</v>
      </c>
      <c r="I18" s="50">
        <f t="shared" si="5"/>
        <v>0</v>
      </c>
      <c r="J18" s="50">
        <f t="shared" si="5"/>
        <v>0</v>
      </c>
      <c r="K18" s="50">
        <f t="shared" si="5"/>
        <v>0</v>
      </c>
      <c r="L18" s="50">
        <f t="shared" si="5"/>
        <v>0</v>
      </c>
      <c r="M18" s="50">
        <f t="shared" si="5"/>
        <v>0</v>
      </c>
      <c r="N18" s="50">
        <f t="shared" si="5"/>
        <v>0</v>
      </c>
      <c r="O18" s="50">
        <f t="shared" si="5"/>
        <v>0</v>
      </c>
      <c r="P18" s="50">
        <f t="shared" si="5"/>
        <v>0</v>
      </c>
      <c r="Q18" s="50">
        <f t="shared" si="5"/>
        <v>0</v>
      </c>
      <c r="R18" s="50">
        <f t="shared" si="5"/>
        <v>0</v>
      </c>
      <c r="S18" s="50">
        <f t="shared" si="5"/>
        <v>0</v>
      </c>
      <c r="T18" s="50">
        <f t="shared" si="5"/>
        <v>0</v>
      </c>
      <c r="U18" s="50">
        <f t="shared" si="5"/>
        <v>0</v>
      </c>
      <c r="V18" s="50">
        <f t="shared" si="5"/>
        <v>0</v>
      </c>
      <c r="W18" s="50">
        <f t="shared" si="5"/>
        <v>0</v>
      </c>
      <c r="X18" s="50">
        <f t="shared" si="5"/>
        <v>0</v>
      </c>
      <c r="Y18" s="50">
        <f t="shared" si="5"/>
        <v>0</v>
      </c>
      <c r="Z18" s="50">
        <f t="shared" si="5"/>
        <v>0</v>
      </c>
      <c r="AA18" s="50">
        <f t="shared" si="5"/>
        <v>0</v>
      </c>
      <c r="AB18" s="50">
        <f t="shared" si="5"/>
        <v>0</v>
      </c>
      <c r="AC18" s="50">
        <f t="shared" si="5"/>
        <v>0</v>
      </c>
      <c r="AD18" s="50">
        <f t="shared" si="5"/>
        <v>0</v>
      </c>
      <c r="AE18" s="50">
        <f t="shared" si="5"/>
        <v>0</v>
      </c>
      <c r="AF18" s="50">
        <f t="shared" si="5"/>
        <v>0</v>
      </c>
      <c r="AG18" s="50">
        <f t="shared" si="5"/>
        <v>0</v>
      </c>
      <c r="AH18" s="50">
        <f t="shared" si="5"/>
        <v>0</v>
      </c>
      <c r="AI18" s="423"/>
      <c r="AJ18" s="423"/>
      <c r="AK18" s="50"/>
      <c r="AL18" s="50"/>
      <c r="AM18" s="50"/>
      <c r="AN18" s="50"/>
      <c r="AO18" s="50"/>
      <c r="AP18" s="50"/>
      <c r="AQ18" s="50"/>
      <c r="AR18" s="50"/>
      <c r="AS18" s="50"/>
      <c r="AT18" s="50"/>
      <c r="AU18" s="50"/>
      <c r="AV18" s="50"/>
      <c r="AW18" s="50"/>
      <c r="AX18" s="50"/>
      <c r="AY18" s="50"/>
      <c r="AZ18" s="50"/>
      <c r="BA18" s="50"/>
      <c r="BB18" s="50"/>
      <c r="BC18" s="443">
        <f>IF($B18&lt;&gt;"",VLOOKUP($B18,RESUMO_FASES!$A$12:$H$34,8),"")</f>
        <v>46206.11</v>
      </c>
      <c r="BD18" s="443">
        <f>IF($B18&lt;&gt;"",VLOOKUP($B18,RESUMO_FASES!$A$12:$H$34,6),"")</f>
        <v>0</v>
      </c>
      <c r="BF18" s="424">
        <f t="shared" si="4"/>
        <v>0</v>
      </c>
      <c r="BG18" s="441"/>
      <c r="BH18" s="297"/>
    </row>
    <row r="19" spans="1:60" s="295" customFormat="1">
      <c r="A19" s="295">
        <v>7</v>
      </c>
      <c r="B19" s="294"/>
      <c r="C19" s="141" t="s">
        <v>3051</v>
      </c>
      <c r="D19" s="139"/>
      <c r="E19" s="425">
        <v>1</v>
      </c>
      <c r="F19" s="425"/>
      <c r="G19" s="425"/>
      <c r="H19" s="425"/>
      <c r="I19" s="425"/>
      <c r="J19" s="425"/>
      <c r="K19" s="425"/>
      <c r="L19" s="425"/>
      <c r="M19" s="425"/>
      <c r="N19" s="425"/>
      <c r="O19" s="425"/>
      <c r="P19" s="425"/>
      <c r="Q19" s="425"/>
      <c r="R19" s="425"/>
      <c r="S19" s="425"/>
      <c r="T19" s="425"/>
      <c r="U19" s="425"/>
      <c r="V19" s="425"/>
      <c r="W19" s="425"/>
      <c r="X19" s="425"/>
      <c r="Y19" s="425"/>
      <c r="Z19" s="425"/>
      <c r="AA19" s="425"/>
      <c r="AB19" s="425"/>
      <c r="AC19" s="425"/>
      <c r="AD19" s="425"/>
      <c r="AE19" s="425"/>
      <c r="AF19" s="425"/>
      <c r="AG19" s="425"/>
      <c r="AH19" s="425"/>
      <c r="AI19" s="422"/>
      <c r="AJ19" s="422"/>
      <c r="AK19" s="425"/>
      <c r="AL19" s="425"/>
      <c r="AM19" s="425"/>
      <c r="AN19" s="425"/>
      <c r="AO19" s="425"/>
      <c r="AP19" s="425"/>
      <c r="AQ19" s="425"/>
      <c r="AR19" s="425"/>
      <c r="AS19" s="425"/>
      <c r="AT19" s="425"/>
      <c r="AU19" s="425"/>
      <c r="AV19" s="425"/>
      <c r="AW19" s="425"/>
      <c r="AX19" s="425"/>
      <c r="AY19" s="425"/>
      <c r="AZ19" s="425"/>
      <c r="BA19" s="425"/>
      <c r="BB19" s="425"/>
      <c r="BC19" s="140"/>
      <c r="BD19" s="140"/>
      <c r="BF19" s="424"/>
      <c r="BG19" s="442">
        <f>SUM(E19:BB19)</f>
        <v>1</v>
      </c>
      <c r="BH19" s="296"/>
    </row>
    <row r="20" spans="1:60" s="292" customFormat="1">
      <c r="A20" s="292">
        <v>8</v>
      </c>
      <c r="B20" s="291">
        <v>4</v>
      </c>
      <c r="C20" s="55" t="str">
        <f>IF($B20&lt;&gt;"",VLOOKUP($B20,ORC!$E:$N,4,0),"")</f>
        <v>SUPRA ESTRUTURA</v>
      </c>
      <c r="D20" s="49">
        <f>+BC20/BC$56</f>
        <v>2.9253090768649449E-2</v>
      </c>
      <c r="E20" s="50">
        <f>IF(E21&lt;&gt;"",E21*$BC20,0)</f>
        <v>49391.847999999998</v>
      </c>
      <c r="F20" s="50">
        <f t="shared" ref="F20:AH20" si="6">IF(F21&lt;&gt;"",F21*$BC20,0)</f>
        <v>12347.962</v>
      </c>
      <c r="G20" s="50">
        <f t="shared" si="6"/>
        <v>0</v>
      </c>
      <c r="H20" s="50">
        <f t="shared" si="6"/>
        <v>0</v>
      </c>
      <c r="I20" s="50">
        <f t="shared" si="6"/>
        <v>0</v>
      </c>
      <c r="J20" s="50">
        <f t="shared" si="6"/>
        <v>0</v>
      </c>
      <c r="K20" s="50">
        <f t="shared" si="6"/>
        <v>0</v>
      </c>
      <c r="L20" s="50">
        <f t="shared" si="6"/>
        <v>0</v>
      </c>
      <c r="M20" s="50">
        <f t="shared" si="6"/>
        <v>0</v>
      </c>
      <c r="N20" s="50">
        <f t="shared" si="6"/>
        <v>0</v>
      </c>
      <c r="O20" s="50">
        <f t="shared" si="6"/>
        <v>0</v>
      </c>
      <c r="P20" s="50">
        <f t="shared" si="6"/>
        <v>0</v>
      </c>
      <c r="Q20" s="50">
        <f t="shared" si="6"/>
        <v>0</v>
      </c>
      <c r="R20" s="50">
        <f t="shared" si="6"/>
        <v>0</v>
      </c>
      <c r="S20" s="50">
        <f t="shared" si="6"/>
        <v>0</v>
      </c>
      <c r="T20" s="50">
        <f t="shared" si="6"/>
        <v>0</v>
      </c>
      <c r="U20" s="50">
        <f t="shared" si="6"/>
        <v>0</v>
      </c>
      <c r="V20" s="50">
        <f t="shared" si="6"/>
        <v>0</v>
      </c>
      <c r="W20" s="50">
        <f t="shared" si="6"/>
        <v>0</v>
      </c>
      <c r="X20" s="50">
        <f t="shared" si="6"/>
        <v>0</v>
      </c>
      <c r="Y20" s="50">
        <f t="shared" si="6"/>
        <v>0</v>
      </c>
      <c r="Z20" s="50">
        <f t="shared" si="6"/>
        <v>0</v>
      </c>
      <c r="AA20" s="50">
        <f t="shared" si="6"/>
        <v>0</v>
      </c>
      <c r="AB20" s="50">
        <f t="shared" si="6"/>
        <v>0</v>
      </c>
      <c r="AC20" s="50">
        <f t="shared" si="6"/>
        <v>0</v>
      </c>
      <c r="AD20" s="50">
        <f t="shared" si="6"/>
        <v>0</v>
      </c>
      <c r="AE20" s="50">
        <f t="shared" si="6"/>
        <v>0</v>
      </c>
      <c r="AF20" s="50">
        <f t="shared" si="6"/>
        <v>0</v>
      </c>
      <c r="AG20" s="50">
        <f t="shared" si="6"/>
        <v>0</v>
      </c>
      <c r="AH20" s="50">
        <f t="shared" si="6"/>
        <v>0</v>
      </c>
      <c r="AI20" s="423"/>
      <c r="AJ20" s="423"/>
      <c r="AK20" s="50"/>
      <c r="AL20" s="50"/>
      <c r="AM20" s="50"/>
      <c r="AN20" s="50"/>
      <c r="AO20" s="50"/>
      <c r="AP20" s="50"/>
      <c r="AQ20" s="50"/>
      <c r="AR20" s="50"/>
      <c r="AS20" s="50"/>
      <c r="AT20" s="50"/>
      <c r="AU20" s="50"/>
      <c r="AV20" s="50"/>
      <c r="AW20" s="50"/>
      <c r="AX20" s="50"/>
      <c r="AY20" s="50"/>
      <c r="AZ20" s="50"/>
      <c r="BA20" s="50"/>
      <c r="BB20" s="50"/>
      <c r="BC20" s="443">
        <f>IF($B20&lt;&gt;"",VLOOKUP($B20,RESUMO_FASES!$A$12:$H$34,8),"")</f>
        <v>61739.81</v>
      </c>
      <c r="BD20" s="443">
        <f>IF($B20&lt;&gt;"",VLOOKUP($B20,RESUMO_FASES!$A$12:$H$34,6),"")</f>
        <v>0</v>
      </c>
      <c r="BF20" s="424">
        <f t="shared" si="4"/>
        <v>0</v>
      </c>
      <c r="BG20" s="441"/>
      <c r="BH20" s="297"/>
    </row>
    <row r="21" spans="1:60" s="295" customFormat="1">
      <c r="A21" s="295">
        <v>9</v>
      </c>
      <c r="B21" s="294"/>
      <c r="C21" s="141" t="s">
        <v>3051</v>
      </c>
      <c r="D21" s="139"/>
      <c r="E21" s="425">
        <v>0.8</v>
      </c>
      <c r="F21" s="425">
        <v>0.2</v>
      </c>
      <c r="G21" s="425"/>
      <c r="H21" s="425"/>
      <c r="I21" s="425"/>
      <c r="J21" s="425"/>
      <c r="K21" s="425"/>
      <c r="L21" s="425"/>
      <c r="M21" s="425"/>
      <c r="N21" s="425"/>
      <c r="O21" s="425"/>
      <c r="P21" s="425"/>
      <c r="Q21" s="425"/>
      <c r="R21" s="425"/>
      <c r="S21" s="425"/>
      <c r="T21" s="425"/>
      <c r="U21" s="425"/>
      <c r="V21" s="425"/>
      <c r="W21" s="425"/>
      <c r="X21" s="425"/>
      <c r="Y21" s="425"/>
      <c r="Z21" s="425"/>
      <c r="AA21" s="425"/>
      <c r="AB21" s="425"/>
      <c r="AC21" s="425"/>
      <c r="AD21" s="425"/>
      <c r="AE21" s="425"/>
      <c r="AF21" s="425"/>
      <c r="AG21" s="425"/>
      <c r="AH21" s="425"/>
      <c r="AI21" s="422"/>
      <c r="AJ21" s="422"/>
      <c r="AK21" s="425"/>
      <c r="AL21" s="425"/>
      <c r="AM21" s="425"/>
      <c r="AN21" s="425"/>
      <c r="AO21" s="425"/>
      <c r="AP21" s="425"/>
      <c r="AQ21" s="425"/>
      <c r="AR21" s="425"/>
      <c r="AS21" s="425"/>
      <c r="AT21" s="425"/>
      <c r="AU21" s="425"/>
      <c r="AV21" s="425"/>
      <c r="AW21" s="425"/>
      <c r="AX21" s="425"/>
      <c r="AY21" s="425"/>
      <c r="AZ21" s="425"/>
      <c r="BA21" s="425"/>
      <c r="BB21" s="425"/>
      <c r="BC21" s="140"/>
      <c r="BD21" s="140"/>
      <c r="BF21" s="424"/>
      <c r="BG21" s="442">
        <f>SUM(E21:BB21)</f>
        <v>1</v>
      </c>
      <c r="BH21" s="296"/>
    </row>
    <row r="22" spans="1:60" s="292" customFormat="1">
      <c r="A22" s="292">
        <v>10</v>
      </c>
      <c r="B22" s="291">
        <v>5</v>
      </c>
      <c r="C22" s="55" t="str">
        <f>IF($B22&lt;&gt;"",VLOOKUP($B22,ORC!$E:$N,4,0),"")</f>
        <v>PAREDES E PAINÉIS</v>
      </c>
      <c r="D22" s="49">
        <f>+BC22/BC$56</f>
        <v>1.1140723757617791E-2</v>
      </c>
      <c r="E22" s="50">
        <f>IF(E23&lt;&gt;"",E23*$BC22,0)</f>
        <v>0</v>
      </c>
      <c r="F22" s="50">
        <f t="shared" ref="F22:AH22" si="7">IF(F23&lt;&gt;"",F23*$BC22,0)</f>
        <v>11756.470000000001</v>
      </c>
      <c r="G22" s="50">
        <f t="shared" si="7"/>
        <v>11756.470000000001</v>
      </c>
      <c r="H22" s="50">
        <f t="shared" si="7"/>
        <v>0</v>
      </c>
      <c r="I22" s="50">
        <f t="shared" si="7"/>
        <v>0</v>
      </c>
      <c r="J22" s="50">
        <f t="shared" si="7"/>
        <v>0</v>
      </c>
      <c r="K22" s="50">
        <f t="shared" si="7"/>
        <v>0</v>
      </c>
      <c r="L22" s="50">
        <f t="shared" si="7"/>
        <v>0</v>
      </c>
      <c r="M22" s="50">
        <f t="shared" si="7"/>
        <v>0</v>
      </c>
      <c r="N22" s="50">
        <f t="shared" si="7"/>
        <v>0</v>
      </c>
      <c r="O22" s="50">
        <f t="shared" si="7"/>
        <v>0</v>
      </c>
      <c r="P22" s="50">
        <f t="shared" si="7"/>
        <v>0</v>
      </c>
      <c r="Q22" s="50">
        <f t="shared" si="7"/>
        <v>0</v>
      </c>
      <c r="R22" s="50">
        <f t="shared" si="7"/>
        <v>0</v>
      </c>
      <c r="S22" s="50">
        <f t="shared" si="7"/>
        <v>0</v>
      </c>
      <c r="T22" s="50">
        <f t="shared" si="7"/>
        <v>0</v>
      </c>
      <c r="U22" s="50">
        <f t="shared" si="7"/>
        <v>0</v>
      </c>
      <c r="V22" s="50">
        <f t="shared" si="7"/>
        <v>0</v>
      </c>
      <c r="W22" s="50">
        <f t="shared" si="7"/>
        <v>0</v>
      </c>
      <c r="X22" s="50">
        <f t="shared" si="7"/>
        <v>0</v>
      </c>
      <c r="Y22" s="50">
        <f t="shared" si="7"/>
        <v>0</v>
      </c>
      <c r="Z22" s="50">
        <f t="shared" si="7"/>
        <v>0</v>
      </c>
      <c r="AA22" s="50">
        <f t="shared" si="7"/>
        <v>0</v>
      </c>
      <c r="AB22" s="50">
        <f t="shared" si="7"/>
        <v>0</v>
      </c>
      <c r="AC22" s="50">
        <f t="shared" si="7"/>
        <v>0</v>
      </c>
      <c r="AD22" s="50">
        <f t="shared" si="7"/>
        <v>0</v>
      </c>
      <c r="AE22" s="50">
        <f t="shared" si="7"/>
        <v>0</v>
      </c>
      <c r="AF22" s="50">
        <f t="shared" si="7"/>
        <v>0</v>
      </c>
      <c r="AG22" s="50">
        <f t="shared" si="7"/>
        <v>0</v>
      </c>
      <c r="AH22" s="50">
        <f t="shared" si="7"/>
        <v>0</v>
      </c>
      <c r="AI22" s="423"/>
      <c r="AJ22" s="423"/>
      <c r="AK22" s="50"/>
      <c r="AL22" s="50"/>
      <c r="AM22" s="50"/>
      <c r="AN22" s="50"/>
      <c r="AO22" s="50"/>
      <c r="AP22" s="50"/>
      <c r="AQ22" s="50"/>
      <c r="AR22" s="50"/>
      <c r="AS22" s="50"/>
      <c r="AT22" s="50"/>
      <c r="AU22" s="50"/>
      <c r="AV22" s="50"/>
      <c r="AW22" s="50"/>
      <c r="AX22" s="50"/>
      <c r="AY22" s="50"/>
      <c r="AZ22" s="50"/>
      <c r="BA22" s="50"/>
      <c r="BB22" s="50"/>
      <c r="BC22" s="443">
        <f>IF($B22&lt;&gt;"",VLOOKUP($B22,RESUMO_FASES!$A$12:$H$34,8),"")</f>
        <v>23512.940000000002</v>
      </c>
      <c r="BD22" s="443">
        <f>IF($B22&lt;&gt;"",VLOOKUP($B22,RESUMO_FASES!$A$12:$H$34,6),"")</f>
        <v>0</v>
      </c>
      <c r="BF22" s="424">
        <f t="shared" si="4"/>
        <v>0</v>
      </c>
      <c r="BG22" s="441"/>
      <c r="BH22" s="297"/>
    </row>
    <row r="23" spans="1:60" s="295" customFormat="1">
      <c r="A23" s="295">
        <v>11</v>
      </c>
      <c r="B23" s="294"/>
      <c r="C23" s="141" t="s">
        <v>3051</v>
      </c>
      <c r="D23" s="139"/>
      <c r="E23" s="425"/>
      <c r="F23" s="425">
        <v>0.5</v>
      </c>
      <c r="G23" s="425">
        <v>0.5</v>
      </c>
      <c r="H23" s="425"/>
      <c r="I23" s="425"/>
      <c r="J23" s="425"/>
      <c r="K23" s="425"/>
      <c r="L23" s="425"/>
      <c r="M23" s="425"/>
      <c r="N23" s="425"/>
      <c r="O23" s="425"/>
      <c r="P23" s="425"/>
      <c r="Q23" s="425"/>
      <c r="R23" s="425"/>
      <c r="S23" s="425"/>
      <c r="T23" s="425"/>
      <c r="U23" s="425"/>
      <c r="V23" s="425"/>
      <c r="W23" s="425"/>
      <c r="X23" s="425"/>
      <c r="Y23" s="425"/>
      <c r="Z23" s="425"/>
      <c r="AA23" s="425"/>
      <c r="AB23" s="425"/>
      <c r="AC23" s="425"/>
      <c r="AD23" s="425"/>
      <c r="AE23" s="425"/>
      <c r="AF23" s="425"/>
      <c r="AG23" s="425"/>
      <c r="AH23" s="425"/>
      <c r="AI23" s="422"/>
      <c r="AJ23" s="422"/>
      <c r="AK23" s="425"/>
      <c r="AL23" s="425"/>
      <c r="AM23" s="425"/>
      <c r="AN23" s="425"/>
      <c r="AO23" s="425"/>
      <c r="AP23" s="425"/>
      <c r="AQ23" s="425"/>
      <c r="AR23" s="425"/>
      <c r="AS23" s="425"/>
      <c r="AT23" s="425"/>
      <c r="AU23" s="425"/>
      <c r="AV23" s="425"/>
      <c r="AW23" s="425"/>
      <c r="AX23" s="425"/>
      <c r="AY23" s="425"/>
      <c r="AZ23" s="425"/>
      <c r="BA23" s="425"/>
      <c r="BB23" s="425"/>
      <c r="BC23" s="140"/>
      <c r="BD23" s="140"/>
      <c r="BF23" s="424"/>
      <c r="BG23" s="442">
        <f>SUM(E23:BB23)</f>
        <v>1</v>
      </c>
      <c r="BH23" s="296"/>
    </row>
    <row r="24" spans="1:60" s="292" customFormat="1">
      <c r="A24" s="292">
        <v>12</v>
      </c>
      <c r="B24" s="291">
        <v>6</v>
      </c>
      <c r="C24" s="55" t="str">
        <f>IF($B24&lt;&gt;"",VLOOKUP($B24,ORC!$E:$N,4,0),"")</f>
        <v>ESQUADRIAS, FERRAGENS E VIDROS</v>
      </c>
      <c r="D24" s="49">
        <f>+BC24/BC$56</f>
        <v>0.24698244011252243</v>
      </c>
      <c r="E24" s="50">
        <f>IF(E25&lt;&gt;"",E25*$BC24,0)</f>
        <v>0</v>
      </c>
      <c r="F24" s="50">
        <f t="shared" ref="F24:AH24" si="8">IF(F25&lt;&gt;"",F25*$BC24,0)</f>
        <v>0</v>
      </c>
      <c r="G24" s="50">
        <f t="shared" si="8"/>
        <v>104253.25</v>
      </c>
      <c r="H24" s="50">
        <f t="shared" si="8"/>
        <v>156379.87499999997</v>
      </c>
      <c r="I24" s="50">
        <f t="shared" si="8"/>
        <v>156379.87499999997</v>
      </c>
      <c r="J24" s="50">
        <f t="shared" si="8"/>
        <v>104253.25</v>
      </c>
      <c r="K24" s="50">
        <f t="shared" si="8"/>
        <v>0</v>
      </c>
      <c r="L24" s="50">
        <f t="shared" si="8"/>
        <v>0</v>
      </c>
      <c r="M24" s="50">
        <f t="shared" si="8"/>
        <v>0</v>
      </c>
      <c r="N24" s="50">
        <f t="shared" si="8"/>
        <v>0</v>
      </c>
      <c r="O24" s="50">
        <f t="shared" si="8"/>
        <v>0</v>
      </c>
      <c r="P24" s="50">
        <f t="shared" si="8"/>
        <v>0</v>
      </c>
      <c r="Q24" s="50">
        <f t="shared" si="8"/>
        <v>0</v>
      </c>
      <c r="R24" s="50">
        <f t="shared" si="8"/>
        <v>0</v>
      </c>
      <c r="S24" s="50">
        <f t="shared" si="8"/>
        <v>0</v>
      </c>
      <c r="T24" s="50">
        <f t="shared" si="8"/>
        <v>0</v>
      </c>
      <c r="U24" s="50">
        <f t="shared" si="8"/>
        <v>0</v>
      </c>
      <c r="V24" s="50">
        <f t="shared" si="8"/>
        <v>0</v>
      </c>
      <c r="W24" s="50">
        <f t="shared" si="8"/>
        <v>0</v>
      </c>
      <c r="X24" s="50">
        <f t="shared" si="8"/>
        <v>0</v>
      </c>
      <c r="Y24" s="50">
        <f t="shared" si="8"/>
        <v>0</v>
      </c>
      <c r="Z24" s="50">
        <f t="shared" si="8"/>
        <v>0</v>
      </c>
      <c r="AA24" s="50">
        <f t="shared" si="8"/>
        <v>0</v>
      </c>
      <c r="AB24" s="50">
        <f t="shared" si="8"/>
        <v>0</v>
      </c>
      <c r="AC24" s="50">
        <f t="shared" si="8"/>
        <v>0</v>
      </c>
      <c r="AD24" s="50">
        <f t="shared" si="8"/>
        <v>0</v>
      </c>
      <c r="AE24" s="50">
        <f t="shared" si="8"/>
        <v>0</v>
      </c>
      <c r="AF24" s="50">
        <f t="shared" si="8"/>
        <v>0</v>
      </c>
      <c r="AG24" s="50">
        <f t="shared" si="8"/>
        <v>0</v>
      </c>
      <c r="AH24" s="50">
        <f t="shared" si="8"/>
        <v>0</v>
      </c>
      <c r="AI24" s="423"/>
      <c r="AJ24" s="423"/>
      <c r="AK24" s="50"/>
      <c r="AL24" s="50"/>
      <c r="AM24" s="50"/>
      <c r="AN24" s="50"/>
      <c r="AO24" s="50"/>
      <c r="AP24" s="50"/>
      <c r="AQ24" s="50"/>
      <c r="AR24" s="50"/>
      <c r="AS24" s="50"/>
      <c r="AT24" s="50"/>
      <c r="AU24" s="50"/>
      <c r="AV24" s="50"/>
      <c r="AW24" s="50"/>
      <c r="AX24" s="50"/>
      <c r="AY24" s="50"/>
      <c r="AZ24" s="50"/>
      <c r="BA24" s="50"/>
      <c r="BB24" s="50"/>
      <c r="BC24" s="443">
        <f>IF($B24&lt;&gt;"",VLOOKUP($B24,RESUMO_FASES!$A$12:$H$34,8),"")</f>
        <v>521266.24999999994</v>
      </c>
      <c r="BD24" s="443">
        <f>IF($B24&lt;&gt;"",VLOOKUP($B24,RESUMO_FASES!$A$12:$H$34,6),"")</f>
        <v>0</v>
      </c>
      <c r="BF24" s="424">
        <f t="shared" si="4"/>
        <v>0</v>
      </c>
      <c r="BG24" s="441"/>
      <c r="BH24" s="297"/>
    </row>
    <row r="25" spans="1:60" s="295" customFormat="1">
      <c r="A25" s="295">
        <v>13</v>
      </c>
      <c r="B25" s="294"/>
      <c r="C25" s="141" t="s">
        <v>3051</v>
      </c>
      <c r="D25" s="139"/>
      <c r="E25" s="425"/>
      <c r="F25" s="425"/>
      <c r="G25" s="425">
        <v>0.2</v>
      </c>
      <c r="H25" s="425">
        <v>0.3</v>
      </c>
      <c r="I25" s="425">
        <v>0.3</v>
      </c>
      <c r="J25" s="425">
        <v>0.2</v>
      </c>
      <c r="K25" s="425"/>
      <c r="L25" s="425"/>
      <c r="M25" s="425"/>
      <c r="N25" s="425"/>
      <c r="O25" s="425"/>
      <c r="P25" s="425"/>
      <c r="Q25" s="425"/>
      <c r="R25" s="425"/>
      <c r="S25" s="425"/>
      <c r="T25" s="425"/>
      <c r="U25" s="425"/>
      <c r="V25" s="425"/>
      <c r="W25" s="425"/>
      <c r="X25" s="425"/>
      <c r="Y25" s="425"/>
      <c r="Z25" s="425"/>
      <c r="AA25" s="425"/>
      <c r="AB25" s="425"/>
      <c r="AC25" s="425"/>
      <c r="AD25" s="425"/>
      <c r="AE25" s="425"/>
      <c r="AF25" s="425"/>
      <c r="AG25" s="425"/>
      <c r="AH25" s="425"/>
      <c r="AI25" s="422"/>
      <c r="AJ25" s="422"/>
      <c r="AK25" s="425"/>
      <c r="AL25" s="425"/>
      <c r="AM25" s="425"/>
      <c r="AN25" s="425"/>
      <c r="AO25" s="425"/>
      <c r="AP25" s="425"/>
      <c r="AQ25" s="425"/>
      <c r="AR25" s="425"/>
      <c r="AS25" s="425"/>
      <c r="AT25" s="425"/>
      <c r="AU25" s="425"/>
      <c r="AV25" s="425"/>
      <c r="AW25" s="425"/>
      <c r="AX25" s="425"/>
      <c r="AY25" s="425"/>
      <c r="AZ25" s="425"/>
      <c r="BA25" s="425"/>
      <c r="BB25" s="425"/>
      <c r="BC25" s="140"/>
      <c r="BD25" s="140"/>
      <c r="BF25" s="424"/>
      <c r="BG25" s="442">
        <f>SUM(E25:BB25)</f>
        <v>1</v>
      </c>
      <c r="BH25" s="296"/>
    </row>
    <row r="26" spans="1:60" s="292" customFormat="1">
      <c r="A26" s="292">
        <v>14</v>
      </c>
      <c r="B26" s="291">
        <v>7</v>
      </c>
      <c r="C26" s="55" t="str">
        <f>IF($B26&lt;&gt;"",VLOOKUP($B26,ORC!$E:$N,4,0),"")</f>
        <v>COBERTURA</v>
      </c>
      <c r="D26" s="49">
        <f>+BC26/BC$56</f>
        <v>1.4765336896857833E-2</v>
      </c>
      <c r="E26" s="50">
        <f>IF(E27&lt;&gt;"",E27*$BC26,0)</f>
        <v>0</v>
      </c>
      <c r="F26" s="50">
        <f t="shared" ref="F26:AH26" si="9">IF(F27&lt;&gt;"",F27*$BC26,0)</f>
        <v>9348.8490000000002</v>
      </c>
      <c r="G26" s="50">
        <f t="shared" si="9"/>
        <v>9348.8490000000002</v>
      </c>
      <c r="H26" s="50">
        <f t="shared" si="9"/>
        <v>4986.0528000000004</v>
      </c>
      <c r="I26" s="50">
        <f t="shared" si="9"/>
        <v>0</v>
      </c>
      <c r="J26" s="50">
        <f t="shared" si="9"/>
        <v>0</v>
      </c>
      <c r="K26" s="50">
        <f t="shared" si="9"/>
        <v>0</v>
      </c>
      <c r="L26" s="50">
        <f t="shared" si="9"/>
        <v>0</v>
      </c>
      <c r="M26" s="50">
        <f t="shared" si="9"/>
        <v>0</v>
      </c>
      <c r="N26" s="50">
        <f t="shared" si="9"/>
        <v>7479.0792000000001</v>
      </c>
      <c r="O26" s="50">
        <f t="shared" si="9"/>
        <v>0</v>
      </c>
      <c r="P26" s="50">
        <f t="shared" si="9"/>
        <v>0</v>
      </c>
      <c r="Q26" s="50">
        <f t="shared" si="9"/>
        <v>0</v>
      </c>
      <c r="R26" s="50">
        <f t="shared" si="9"/>
        <v>0</v>
      </c>
      <c r="S26" s="50">
        <f t="shared" si="9"/>
        <v>0</v>
      </c>
      <c r="T26" s="50">
        <f t="shared" si="9"/>
        <v>0</v>
      </c>
      <c r="U26" s="50">
        <f t="shared" si="9"/>
        <v>0</v>
      </c>
      <c r="V26" s="50">
        <f t="shared" si="9"/>
        <v>0</v>
      </c>
      <c r="W26" s="50">
        <f t="shared" si="9"/>
        <v>0</v>
      </c>
      <c r="X26" s="50">
        <f t="shared" si="9"/>
        <v>0</v>
      </c>
      <c r="Y26" s="50">
        <f t="shared" si="9"/>
        <v>0</v>
      </c>
      <c r="Z26" s="50">
        <f t="shared" si="9"/>
        <v>0</v>
      </c>
      <c r="AA26" s="50">
        <f t="shared" si="9"/>
        <v>0</v>
      </c>
      <c r="AB26" s="50">
        <f t="shared" si="9"/>
        <v>0</v>
      </c>
      <c r="AC26" s="50">
        <f t="shared" si="9"/>
        <v>0</v>
      </c>
      <c r="AD26" s="50">
        <f t="shared" si="9"/>
        <v>0</v>
      </c>
      <c r="AE26" s="50">
        <f t="shared" si="9"/>
        <v>0</v>
      </c>
      <c r="AF26" s="50">
        <f t="shared" si="9"/>
        <v>0</v>
      </c>
      <c r="AG26" s="50">
        <f t="shared" si="9"/>
        <v>0</v>
      </c>
      <c r="AH26" s="50">
        <f t="shared" si="9"/>
        <v>0</v>
      </c>
      <c r="AI26" s="423"/>
      <c r="AJ26" s="423"/>
      <c r="AK26" s="50">
        <f t="shared" ref="AK26:BB26" si="10">IF(AK27&lt;&gt;"",AK27*$BC26,0)</f>
        <v>0</v>
      </c>
      <c r="AL26" s="50">
        <f t="shared" si="10"/>
        <v>0</v>
      </c>
      <c r="AM26" s="50">
        <f t="shared" si="10"/>
        <v>0</v>
      </c>
      <c r="AN26" s="50">
        <f t="shared" si="10"/>
        <v>0</v>
      </c>
      <c r="AO26" s="50">
        <f t="shared" si="10"/>
        <v>0</v>
      </c>
      <c r="AP26" s="50">
        <f t="shared" si="10"/>
        <v>0</v>
      </c>
      <c r="AQ26" s="50">
        <f t="shared" si="10"/>
        <v>0</v>
      </c>
      <c r="AR26" s="50">
        <f t="shared" si="10"/>
        <v>0</v>
      </c>
      <c r="AS26" s="50">
        <f t="shared" si="10"/>
        <v>0</v>
      </c>
      <c r="AT26" s="50">
        <f t="shared" si="10"/>
        <v>0</v>
      </c>
      <c r="AU26" s="50">
        <f t="shared" si="10"/>
        <v>0</v>
      </c>
      <c r="AV26" s="50">
        <f t="shared" si="10"/>
        <v>0</v>
      </c>
      <c r="AW26" s="50">
        <f t="shared" si="10"/>
        <v>0</v>
      </c>
      <c r="AX26" s="50">
        <f t="shared" si="10"/>
        <v>0</v>
      </c>
      <c r="AY26" s="50">
        <f t="shared" si="10"/>
        <v>0</v>
      </c>
      <c r="AZ26" s="50">
        <f t="shared" si="10"/>
        <v>0</v>
      </c>
      <c r="BA26" s="50">
        <f t="shared" si="10"/>
        <v>0</v>
      </c>
      <c r="BB26" s="50">
        <f t="shared" si="10"/>
        <v>0</v>
      </c>
      <c r="BC26" s="443">
        <f>IF($B26&lt;&gt;"",VLOOKUP($B26,RESUMO_FASES!$A$12:$H$34,8),"")</f>
        <v>31162.83</v>
      </c>
      <c r="BD26" s="443">
        <f>IF($B26&lt;&gt;"",VLOOKUP($B26,RESUMO_FASES!$A$12:$H$34,6),"")</f>
        <v>0</v>
      </c>
      <c r="BF26" s="424">
        <f t="shared" si="4"/>
        <v>0</v>
      </c>
      <c r="BG26" s="441"/>
      <c r="BH26" s="297"/>
    </row>
    <row r="27" spans="1:60" s="295" customFormat="1">
      <c r="A27" s="295">
        <v>15</v>
      </c>
      <c r="B27" s="294"/>
      <c r="C27" s="141" t="s">
        <v>3051</v>
      </c>
      <c r="D27" s="139"/>
      <c r="E27" s="425"/>
      <c r="F27" s="425">
        <v>0.3</v>
      </c>
      <c r="G27" s="425">
        <v>0.3</v>
      </c>
      <c r="H27" s="425">
        <v>0.16</v>
      </c>
      <c r="I27" s="425"/>
      <c r="J27" s="425"/>
      <c r="K27" s="425"/>
      <c r="L27" s="425"/>
      <c r="M27" s="425"/>
      <c r="N27" s="425">
        <v>0.24</v>
      </c>
      <c r="O27" s="425"/>
      <c r="P27" s="425"/>
      <c r="Q27" s="425"/>
      <c r="R27" s="425"/>
      <c r="S27" s="425"/>
      <c r="T27" s="425"/>
      <c r="U27" s="425"/>
      <c r="V27" s="425"/>
      <c r="W27" s="425"/>
      <c r="X27" s="425"/>
      <c r="Y27" s="425"/>
      <c r="Z27" s="425"/>
      <c r="AA27" s="425"/>
      <c r="AB27" s="425"/>
      <c r="AC27" s="425"/>
      <c r="AD27" s="425"/>
      <c r="AE27" s="425"/>
      <c r="AF27" s="425"/>
      <c r="AG27" s="425"/>
      <c r="AH27" s="425"/>
      <c r="AI27" s="422"/>
      <c r="AJ27" s="422"/>
      <c r="AK27" s="425"/>
      <c r="AL27" s="425"/>
      <c r="AM27" s="425"/>
      <c r="AN27" s="425"/>
      <c r="AO27" s="425"/>
      <c r="AP27" s="425"/>
      <c r="AQ27" s="425"/>
      <c r="AR27" s="425"/>
      <c r="AS27" s="425"/>
      <c r="AT27" s="425"/>
      <c r="AU27" s="425"/>
      <c r="AV27" s="425"/>
      <c r="AW27" s="425"/>
      <c r="AX27" s="425"/>
      <c r="AY27" s="425"/>
      <c r="AZ27" s="425"/>
      <c r="BA27" s="425"/>
      <c r="BB27" s="425"/>
      <c r="BC27" s="140"/>
      <c r="BD27" s="140"/>
      <c r="BF27" s="424"/>
      <c r="BG27" s="442">
        <f>SUM(E27:BB27)</f>
        <v>1</v>
      </c>
      <c r="BH27" s="296"/>
    </row>
    <row r="28" spans="1:60" s="292" customFormat="1">
      <c r="A28" s="292">
        <v>16</v>
      </c>
      <c r="B28" s="291">
        <v>8</v>
      </c>
      <c r="C28" s="55" t="str">
        <f>IF($B28&lt;&gt;"",VLOOKUP($B28,ORC!$E:$N,4,0),"")</f>
        <v>REVESTIMENTOS EM TETO</v>
      </c>
      <c r="D28" s="49">
        <f>+BC28/BC$56</f>
        <v>6.5746173211087444E-2</v>
      </c>
      <c r="E28" s="50">
        <f>IF(E29&lt;&gt;"",E29*$BC28,0)</f>
        <v>0</v>
      </c>
      <c r="F28" s="50">
        <f t="shared" ref="F28:AH28" si="11">IF(F29&lt;&gt;"",F29*$BC28,0)</f>
        <v>0</v>
      </c>
      <c r="G28" s="50">
        <f t="shared" si="11"/>
        <v>0</v>
      </c>
      <c r="H28" s="50">
        <f t="shared" si="11"/>
        <v>0</v>
      </c>
      <c r="I28" s="50">
        <f t="shared" si="11"/>
        <v>41627.972999999998</v>
      </c>
      <c r="J28" s="50">
        <f t="shared" si="11"/>
        <v>41627.972999999998</v>
      </c>
      <c r="K28" s="50">
        <f t="shared" si="11"/>
        <v>55503.964000000007</v>
      </c>
      <c r="L28" s="50">
        <f t="shared" si="11"/>
        <v>0</v>
      </c>
      <c r="M28" s="50">
        <f t="shared" si="11"/>
        <v>0</v>
      </c>
      <c r="N28" s="50">
        <f t="shared" si="11"/>
        <v>0</v>
      </c>
      <c r="O28" s="50">
        <f t="shared" si="11"/>
        <v>0</v>
      </c>
      <c r="P28" s="50">
        <f t="shared" si="11"/>
        <v>0</v>
      </c>
      <c r="Q28" s="50">
        <f t="shared" si="11"/>
        <v>0</v>
      </c>
      <c r="R28" s="50">
        <f t="shared" si="11"/>
        <v>0</v>
      </c>
      <c r="S28" s="50">
        <f t="shared" si="11"/>
        <v>0</v>
      </c>
      <c r="T28" s="50">
        <f t="shared" si="11"/>
        <v>0</v>
      </c>
      <c r="U28" s="50">
        <f t="shared" si="11"/>
        <v>0</v>
      </c>
      <c r="V28" s="50">
        <f t="shared" si="11"/>
        <v>0</v>
      </c>
      <c r="W28" s="50">
        <f t="shared" si="11"/>
        <v>0</v>
      </c>
      <c r="X28" s="50">
        <f t="shared" si="11"/>
        <v>0</v>
      </c>
      <c r="Y28" s="50">
        <f t="shared" si="11"/>
        <v>0</v>
      </c>
      <c r="Z28" s="50">
        <f t="shared" si="11"/>
        <v>0</v>
      </c>
      <c r="AA28" s="50">
        <f t="shared" si="11"/>
        <v>0</v>
      </c>
      <c r="AB28" s="50">
        <f t="shared" si="11"/>
        <v>0</v>
      </c>
      <c r="AC28" s="50">
        <f t="shared" si="11"/>
        <v>0</v>
      </c>
      <c r="AD28" s="50">
        <f t="shared" si="11"/>
        <v>0</v>
      </c>
      <c r="AE28" s="50">
        <f t="shared" si="11"/>
        <v>0</v>
      </c>
      <c r="AF28" s="50">
        <f t="shared" si="11"/>
        <v>0</v>
      </c>
      <c r="AG28" s="50">
        <f t="shared" si="11"/>
        <v>0</v>
      </c>
      <c r="AH28" s="50">
        <f t="shared" si="11"/>
        <v>0</v>
      </c>
      <c r="AI28" s="423"/>
      <c r="AJ28" s="423"/>
      <c r="AK28" s="50">
        <f t="shared" ref="AK28:BB28" si="12">IF(AK29&lt;&gt;"",AK29*$BC28,0)</f>
        <v>0</v>
      </c>
      <c r="AL28" s="50">
        <f t="shared" si="12"/>
        <v>0</v>
      </c>
      <c r="AM28" s="50">
        <f t="shared" si="12"/>
        <v>0</v>
      </c>
      <c r="AN28" s="50">
        <f t="shared" si="12"/>
        <v>0</v>
      </c>
      <c r="AO28" s="50">
        <f t="shared" si="12"/>
        <v>0</v>
      </c>
      <c r="AP28" s="50">
        <f t="shared" si="12"/>
        <v>0</v>
      </c>
      <c r="AQ28" s="50">
        <f t="shared" si="12"/>
        <v>0</v>
      </c>
      <c r="AR28" s="50">
        <f t="shared" si="12"/>
        <v>0</v>
      </c>
      <c r="AS28" s="50">
        <f t="shared" si="12"/>
        <v>0</v>
      </c>
      <c r="AT28" s="50">
        <f t="shared" si="12"/>
        <v>0</v>
      </c>
      <c r="AU28" s="50">
        <f t="shared" si="12"/>
        <v>0</v>
      </c>
      <c r="AV28" s="50">
        <f t="shared" si="12"/>
        <v>0</v>
      </c>
      <c r="AW28" s="50">
        <f t="shared" si="12"/>
        <v>0</v>
      </c>
      <c r="AX28" s="50">
        <f t="shared" si="12"/>
        <v>0</v>
      </c>
      <c r="AY28" s="50">
        <f t="shared" si="12"/>
        <v>0</v>
      </c>
      <c r="AZ28" s="50">
        <f t="shared" si="12"/>
        <v>0</v>
      </c>
      <c r="BA28" s="50">
        <f t="shared" si="12"/>
        <v>0</v>
      </c>
      <c r="BB28" s="50">
        <f t="shared" si="12"/>
        <v>0</v>
      </c>
      <c r="BC28" s="443">
        <f>IF($B28&lt;&gt;"",VLOOKUP($B28,RESUMO_FASES!$A$12:$H$34,8),"")</f>
        <v>138759.91</v>
      </c>
      <c r="BD28" s="443">
        <f>IF($B28&lt;&gt;"",VLOOKUP($B28,RESUMO_FASES!$A$12:$H$34,6),"")</f>
        <v>0</v>
      </c>
      <c r="BF28" s="424">
        <f t="shared" si="4"/>
        <v>0</v>
      </c>
      <c r="BG28" s="441"/>
      <c r="BH28" s="297"/>
    </row>
    <row r="29" spans="1:60" s="295" customFormat="1">
      <c r="A29" s="295">
        <v>17</v>
      </c>
      <c r="B29" s="294"/>
      <c r="C29" s="141" t="s">
        <v>3051</v>
      </c>
      <c r="D29" s="139"/>
      <c r="E29" s="425"/>
      <c r="F29" s="425"/>
      <c r="G29" s="428"/>
      <c r="H29" s="428"/>
      <c r="I29" s="428">
        <v>0.3</v>
      </c>
      <c r="J29" s="428">
        <v>0.3</v>
      </c>
      <c r="K29" s="428">
        <v>0.4</v>
      </c>
      <c r="L29" s="428"/>
      <c r="M29" s="425"/>
      <c r="N29" s="425"/>
      <c r="O29" s="425"/>
      <c r="P29" s="425"/>
      <c r="Q29" s="425"/>
      <c r="R29" s="425"/>
      <c r="S29" s="425"/>
      <c r="T29" s="425"/>
      <c r="U29" s="425"/>
      <c r="V29" s="425"/>
      <c r="W29" s="425"/>
      <c r="X29" s="425"/>
      <c r="Y29" s="425"/>
      <c r="Z29" s="425"/>
      <c r="AA29" s="425"/>
      <c r="AB29" s="425"/>
      <c r="AC29" s="425"/>
      <c r="AD29" s="425"/>
      <c r="AE29" s="425"/>
      <c r="AF29" s="425"/>
      <c r="AG29" s="425"/>
      <c r="AH29" s="425"/>
      <c r="AI29" s="422"/>
      <c r="AJ29" s="422"/>
      <c r="AK29" s="425"/>
      <c r="AL29" s="425"/>
      <c r="AM29" s="425"/>
      <c r="AN29" s="425"/>
      <c r="AO29" s="425"/>
      <c r="AP29" s="425"/>
      <c r="AQ29" s="425"/>
      <c r="AR29" s="425"/>
      <c r="AS29" s="425"/>
      <c r="AT29" s="425"/>
      <c r="AU29" s="425"/>
      <c r="AV29" s="425"/>
      <c r="AW29" s="425"/>
      <c r="AX29" s="425"/>
      <c r="AY29" s="425"/>
      <c r="AZ29" s="425"/>
      <c r="BA29" s="425"/>
      <c r="BB29" s="425"/>
      <c r="BC29" s="140"/>
      <c r="BD29" s="140"/>
      <c r="BF29" s="424"/>
      <c r="BG29" s="442">
        <f>SUM(E29:BB29)</f>
        <v>1</v>
      </c>
      <c r="BH29" s="296"/>
    </row>
    <row r="30" spans="1:60" s="292" customFormat="1">
      <c r="A30" s="292">
        <v>18</v>
      </c>
      <c r="B30" s="291">
        <v>9</v>
      </c>
      <c r="C30" s="55" t="str">
        <f>IF($B30&lt;&gt;"",VLOOKUP($B30,ORC!$E:$N,4,0),"")</f>
        <v>REVESTIMENTOS EM PAREDES</v>
      </c>
      <c r="D30" s="49">
        <f>+BC30/BC$56</f>
        <v>3.9786036341452974E-2</v>
      </c>
      <c r="E30" s="50">
        <f>IF(E31&lt;&gt;"",E31*$BC30,0)</f>
        <v>0</v>
      </c>
      <c r="F30" s="50">
        <f t="shared" ref="F30:AH32" si="13">IF(F31&lt;&gt;"",F31*$BC30,0)</f>
        <v>0</v>
      </c>
      <c r="G30" s="50">
        <f t="shared" si="13"/>
        <v>0</v>
      </c>
      <c r="H30" s="50">
        <f t="shared" si="13"/>
        <v>0</v>
      </c>
      <c r="I30" s="50">
        <f t="shared" si="13"/>
        <v>0</v>
      </c>
      <c r="J30" s="50">
        <f t="shared" si="13"/>
        <v>25191.002999999997</v>
      </c>
      <c r="K30" s="50">
        <f t="shared" si="13"/>
        <v>25191.002999999997</v>
      </c>
      <c r="L30" s="50">
        <f t="shared" si="13"/>
        <v>25191.002999999997</v>
      </c>
      <c r="M30" s="50">
        <f t="shared" si="13"/>
        <v>8397.0010000000002</v>
      </c>
      <c r="N30" s="50">
        <f t="shared" si="13"/>
        <v>0</v>
      </c>
      <c r="O30" s="50">
        <f t="shared" si="13"/>
        <v>0</v>
      </c>
      <c r="P30" s="50">
        <f t="shared" si="13"/>
        <v>0</v>
      </c>
      <c r="Q30" s="50">
        <f t="shared" si="13"/>
        <v>0</v>
      </c>
      <c r="R30" s="50">
        <f t="shared" si="13"/>
        <v>0</v>
      </c>
      <c r="S30" s="50">
        <f t="shared" si="13"/>
        <v>0</v>
      </c>
      <c r="T30" s="50">
        <f t="shared" si="13"/>
        <v>0</v>
      </c>
      <c r="U30" s="50">
        <f t="shared" si="13"/>
        <v>0</v>
      </c>
      <c r="V30" s="50">
        <f t="shared" si="13"/>
        <v>0</v>
      </c>
      <c r="W30" s="50">
        <f t="shared" si="13"/>
        <v>0</v>
      </c>
      <c r="X30" s="50">
        <f t="shared" si="13"/>
        <v>0</v>
      </c>
      <c r="Y30" s="50">
        <f t="shared" si="13"/>
        <v>0</v>
      </c>
      <c r="Z30" s="50">
        <f t="shared" si="13"/>
        <v>0</v>
      </c>
      <c r="AA30" s="50">
        <f t="shared" si="13"/>
        <v>0</v>
      </c>
      <c r="AB30" s="50">
        <f t="shared" si="13"/>
        <v>0</v>
      </c>
      <c r="AC30" s="50">
        <f t="shared" si="13"/>
        <v>0</v>
      </c>
      <c r="AD30" s="50">
        <f t="shared" si="13"/>
        <v>0</v>
      </c>
      <c r="AE30" s="50">
        <f t="shared" si="13"/>
        <v>0</v>
      </c>
      <c r="AF30" s="50">
        <f t="shared" si="13"/>
        <v>0</v>
      </c>
      <c r="AG30" s="50">
        <f t="shared" si="13"/>
        <v>0</v>
      </c>
      <c r="AH30" s="50">
        <f t="shared" si="13"/>
        <v>0</v>
      </c>
      <c r="AI30" s="423"/>
      <c r="AJ30" s="423"/>
      <c r="AK30" s="50">
        <f t="shared" ref="AK30:BB30" si="14">IF(AK31&lt;&gt;"",AK31*$BC30,0)</f>
        <v>0</v>
      </c>
      <c r="AL30" s="50">
        <f t="shared" si="14"/>
        <v>0</v>
      </c>
      <c r="AM30" s="50">
        <f t="shared" si="14"/>
        <v>0</v>
      </c>
      <c r="AN30" s="50">
        <f t="shared" si="14"/>
        <v>0</v>
      </c>
      <c r="AO30" s="50">
        <f t="shared" si="14"/>
        <v>0</v>
      </c>
      <c r="AP30" s="50">
        <f t="shared" si="14"/>
        <v>0</v>
      </c>
      <c r="AQ30" s="50">
        <f t="shared" si="14"/>
        <v>0</v>
      </c>
      <c r="AR30" s="50">
        <f t="shared" si="14"/>
        <v>0</v>
      </c>
      <c r="AS30" s="50">
        <f t="shared" si="14"/>
        <v>0</v>
      </c>
      <c r="AT30" s="50">
        <f t="shared" si="14"/>
        <v>0</v>
      </c>
      <c r="AU30" s="50">
        <f t="shared" si="14"/>
        <v>0</v>
      </c>
      <c r="AV30" s="50">
        <f t="shared" si="14"/>
        <v>0</v>
      </c>
      <c r="AW30" s="50">
        <f t="shared" si="14"/>
        <v>0</v>
      </c>
      <c r="AX30" s="50">
        <f t="shared" si="14"/>
        <v>0</v>
      </c>
      <c r="AY30" s="50">
        <f t="shared" si="14"/>
        <v>0</v>
      </c>
      <c r="AZ30" s="50">
        <f t="shared" si="14"/>
        <v>0</v>
      </c>
      <c r="BA30" s="50">
        <f t="shared" si="14"/>
        <v>0</v>
      </c>
      <c r="BB30" s="50">
        <f t="shared" si="14"/>
        <v>0</v>
      </c>
      <c r="BC30" s="443">
        <f>IF($B30&lt;&gt;"",VLOOKUP($B30,RESUMO_FASES!$A$12:$H$34,8),"")</f>
        <v>83970.01</v>
      </c>
      <c r="BD30" s="443">
        <f>IF($B30&lt;&gt;"",VLOOKUP($B30,RESUMO_FASES!$A$12:$H$34,6),"")</f>
        <v>0</v>
      </c>
      <c r="BF30" s="424">
        <f t="shared" si="4"/>
        <v>0</v>
      </c>
      <c r="BG30" s="441"/>
      <c r="BH30" s="297"/>
    </row>
    <row r="31" spans="1:60" s="295" customFormat="1">
      <c r="A31" s="295">
        <v>19</v>
      </c>
      <c r="B31" s="294"/>
      <c r="C31" s="141" t="s">
        <v>3051</v>
      </c>
      <c r="D31" s="139"/>
      <c r="E31" s="425"/>
      <c r="F31" s="425"/>
      <c r="G31" s="425"/>
      <c r="H31" s="425"/>
      <c r="I31" s="425"/>
      <c r="J31" s="425">
        <v>0.3</v>
      </c>
      <c r="K31" s="425">
        <v>0.3</v>
      </c>
      <c r="L31" s="425">
        <v>0.3</v>
      </c>
      <c r="M31" s="425">
        <v>0.1</v>
      </c>
      <c r="N31" s="425"/>
      <c r="O31" s="425"/>
      <c r="P31" s="425"/>
      <c r="Q31" s="425"/>
      <c r="R31" s="425"/>
      <c r="S31" s="425"/>
      <c r="T31" s="425"/>
      <c r="U31" s="425"/>
      <c r="V31" s="425"/>
      <c r="W31" s="425"/>
      <c r="X31" s="425"/>
      <c r="Y31" s="425"/>
      <c r="Z31" s="425"/>
      <c r="AA31" s="425"/>
      <c r="AB31" s="425"/>
      <c r="AC31" s="425"/>
      <c r="AD31" s="425"/>
      <c r="AE31" s="425"/>
      <c r="AF31" s="425"/>
      <c r="AG31" s="425"/>
      <c r="AH31" s="425"/>
      <c r="AI31" s="422"/>
      <c r="AJ31" s="422"/>
      <c r="AK31" s="425"/>
      <c r="AL31" s="425"/>
      <c r="AM31" s="425"/>
      <c r="AN31" s="425"/>
      <c r="AO31" s="425"/>
      <c r="AP31" s="425"/>
      <c r="AQ31" s="425"/>
      <c r="AR31" s="425"/>
      <c r="AS31" s="425"/>
      <c r="AT31" s="425"/>
      <c r="AU31" s="425"/>
      <c r="AV31" s="425"/>
      <c r="AW31" s="425"/>
      <c r="AX31" s="425"/>
      <c r="AY31" s="425"/>
      <c r="AZ31" s="425"/>
      <c r="BA31" s="425"/>
      <c r="BB31" s="425"/>
      <c r="BC31" s="140"/>
      <c r="BD31" s="140"/>
      <c r="BF31" s="424"/>
      <c r="BG31" s="442">
        <f>SUM(E31:BB31)</f>
        <v>0.99999999999999989</v>
      </c>
      <c r="BH31" s="296"/>
    </row>
    <row r="32" spans="1:60" s="292" customFormat="1">
      <c r="A32" s="292">
        <v>20</v>
      </c>
      <c r="B32" s="291">
        <v>10</v>
      </c>
      <c r="C32" s="55" t="str">
        <f>IF($B32&lt;&gt;"",VLOOKUP($B32,ORC!$E:$N,4,0),"")</f>
        <v>PISOS</v>
      </c>
      <c r="D32" s="49">
        <f>+BC32/BC$56</f>
        <v>0.10475898553569986</v>
      </c>
      <c r="E32" s="50">
        <f>IF(E33&lt;&gt;"",E33*$BC32,0)</f>
        <v>0</v>
      </c>
      <c r="F32" s="50">
        <f t="shared" ref="F32:K32" si="15">IF(F33&lt;&gt;"",F33*$BC32,0)</f>
        <v>0</v>
      </c>
      <c r="G32" s="50">
        <f t="shared" si="15"/>
        <v>0</v>
      </c>
      <c r="H32" s="50">
        <f t="shared" si="15"/>
        <v>0</v>
      </c>
      <c r="I32" s="50">
        <f t="shared" si="15"/>
        <v>0</v>
      </c>
      <c r="J32" s="50">
        <f t="shared" si="15"/>
        <v>44219.600000000013</v>
      </c>
      <c r="K32" s="50">
        <f t="shared" si="15"/>
        <v>88439.200000000026</v>
      </c>
      <c r="L32" s="50">
        <f t="shared" si="13"/>
        <v>88439.200000000026</v>
      </c>
      <c r="M32" s="50">
        <f t="shared" si="13"/>
        <v>0</v>
      </c>
      <c r="N32" s="50">
        <f t="shared" si="13"/>
        <v>0</v>
      </c>
      <c r="O32" s="50">
        <f t="shared" si="13"/>
        <v>0</v>
      </c>
      <c r="P32" s="50">
        <f t="shared" si="13"/>
        <v>0</v>
      </c>
      <c r="Q32" s="50">
        <f t="shared" si="13"/>
        <v>0</v>
      </c>
      <c r="R32" s="50">
        <f t="shared" si="13"/>
        <v>0</v>
      </c>
      <c r="S32" s="50">
        <f t="shared" si="13"/>
        <v>0</v>
      </c>
      <c r="T32" s="50">
        <f t="shared" si="13"/>
        <v>0</v>
      </c>
      <c r="U32" s="50">
        <f t="shared" si="13"/>
        <v>0</v>
      </c>
      <c r="V32" s="50">
        <f t="shared" si="13"/>
        <v>0</v>
      </c>
      <c r="W32" s="50">
        <f t="shared" si="13"/>
        <v>0</v>
      </c>
      <c r="X32" s="50">
        <f t="shared" si="13"/>
        <v>0</v>
      </c>
      <c r="Y32" s="50">
        <f t="shared" si="13"/>
        <v>0</v>
      </c>
      <c r="Z32" s="50">
        <f t="shared" si="13"/>
        <v>0</v>
      </c>
      <c r="AA32" s="50">
        <f t="shared" si="13"/>
        <v>0</v>
      </c>
      <c r="AB32" s="50">
        <f t="shared" si="13"/>
        <v>0</v>
      </c>
      <c r="AC32" s="50">
        <f t="shared" si="13"/>
        <v>0</v>
      </c>
      <c r="AD32" s="50">
        <f t="shared" si="13"/>
        <v>0</v>
      </c>
      <c r="AE32" s="50">
        <f t="shared" si="13"/>
        <v>0</v>
      </c>
      <c r="AF32" s="50">
        <f t="shared" si="13"/>
        <v>0</v>
      </c>
      <c r="AG32" s="50">
        <f t="shared" si="13"/>
        <v>0</v>
      </c>
      <c r="AH32" s="50">
        <f t="shared" si="13"/>
        <v>0</v>
      </c>
      <c r="AI32" s="423"/>
      <c r="AJ32" s="423"/>
      <c r="AK32" s="50">
        <f t="shared" ref="AK32:BB32" si="16">IF(AK33&lt;&gt;"",AK33*$BC32,0)</f>
        <v>0</v>
      </c>
      <c r="AL32" s="50">
        <f t="shared" si="16"/>
        <v>0</v>
      </c>
      <c r="AM32" s="50">
        <f t="shared" si="16"/>
        <v>0</v>
      </c>
      <c r="AN32" s="50">
        <f t="shared" si="16"/>
        <v>0</v>
      </c>
      <c r="AO32" s="50">
        <f t="shared" si="16"/>
        <v>0</v>
      </c>
      <c r="AP32" s="50">
        <f t="shared" si="16"/>
        <v>0</v>
      </c>
      <c r="AQ32" s="50">
        <f t="shared" si="16"/>
        <v>0</v>
      </c>
      <c r="AR32" s="50">
        <f t="shared" si="16"/>
        <v>0</v>
      </c>
      <c r="AS32" s="50">
        <f t="shared" si="16"/>
        <v>0</v>
      </c>
      <c r="AT32" s="50">
        <f t="shared" si="16"/>
        <v>0</v>
      </c>
      <c r="AU32" s="50">
        <f t="shared" si="16"/>
        <v>0</v>
      </c>
      <c r="AV32" s="50">
        <f t="shared" si="16"/>
        <v>0</v>
      </c>
      <c r="AW32" s="50">
        <f t="shared" si="16"/>
        <v>0</v>
      </c>
      <c r="AX32" s="50">
        <f t="shared" si="16"/>
        <v>0</v>
      </c>
      <c r="AY32" s="50">
        <f t="shared" si="16"/>
        <v>0</v>
      </c>
      <c r="AZ32" s="50">
        <f t="shared" si="16"/>
        <v>0</v>
      </c>
      <c r="BA32" s="50">
        <f t="shared" si="16"/>
        <v>0</v>
      </c>
      <c r="BB32" s="50">
        <f t="shared" si="16"/>
        <v>0</v>
      </c>
      <c r="BC32" s="443">
        <f>IF($B32&lt;&gt;"",VLOOKUP($B32,RESUMO_FASES!$A$12:$H$34,8),"")</f>
        <v>221098.00000000006</v>
      </c>
      <c r="BD32" s="443">
        <f>IF($B32&lt;&gt;"",VLOOKUP($B32,RESUMO_FASES!$A$12:$H$34,6),"")</f>
        <v>0</v>
      </c>
      <c r="BF32" s="424">
        <f t="shared" si="4"/>
        <v>0</v>
      </c>
      <c r="BG32" s="441"/>
      <c r="BH32" s="297"/>
    </row>
    <row r="33" spans="1:60" s="295" customFormat="1">
      <c r="A33" s="295">
        <v>21</v>
      </c>
      <c r="B33" s="294"/>
      <c r="C33" s="141" t="s">
        <v>3051</v>
      </c>
      <c r="D33" s="139"/>
      <c r="E33" s="425"/>
      <c r="F33" s="425"/>
      <c r="G33" s="425"/>
      <c r="H33" s="425"/>
      <c r="I33" s="425"/>
      <c r="J33" s="425">
        <v>0.2</v>
      </c>
      <c r="K33" s="425">
        <v>0.4</v>
      </c>
      <c r="L33" s="425">
        <v>0.4</v>
      </c>
      <c r="M33" s="425"/>
      <c r="N33" s="425"/>
      <c r="O33" s="425"/>
      <c r="P33" s="425"/>
      <c r="Q33" s="425"/>
      <c r="R33" s="425"/>
      <c r="S33" s="425"/>
      <c r="T33" s="425"/>
      <c r="U33" s="425"/>
      <c r="V33" s="425"/>
      <c r="W33" s="425"/>
      <c r="X33" s="425"/>
      <c r="Y33" s="425"/>
      <c r="Z33" s="425"/>
      <c r="AA33" s="425"/>
      <c r="AB33" s="425"/>
      <c r="AC33" s="425"/>
      <c r="AD33" s="425"/>
      <c r="AE33" s="425"/>
      <c r="AF33" s="425"/>
      <c r="AG33" s="425"/>
      <c r="AH33" s="425"/>
      <c r="AI33" s="422"/>
      <c r="AJ33" s="422"/>
      <c r="AK33" s="425"/>
      <c r="AL33" s="425"/>
      <c r="AM33" s="425"/>
      <c r="AN33" s="425"/>
      <c r="AO33" s="425"/>
      <c r="AP33" s="425"/>
      <c r="AQ33" s="425"/>
      <c r="AR33" s="425"/>
      <c r="AS33" s="425"/>
      <c r="AT33" s="425"/>
      <c r="AU33" s="425"/>
      <c r="AV33" s="425"/>
      <c r="AW33" s="425"/>
      <c r="AX33" s="425"/>
      <c r="AY33" s="425"/>
      <c r="AZ33" s="425"/>
      <c r="BA33" s="425"/>
      <c r="BB33" s="425"/>
      <c r="BC33" s="140"/>
      <c r="BD33" s="140"/>
      <c r="BF33" s="424"/>
      <c r="BG33" s="442">
        <f>SUM(E33:BB33)</f>
        <v>1</v>
      </c>
      <c r="BH33" s="296"/>
    </row>
    <row r="34" spans="1:60" s="292" customFormat="1">
      <c r="A34" s="292">
        <v>22</v>
      </c>
      <c r="B34" s="291">
        <v>11</v>
      </c>
      <c r="C34" s="55" t="str">
        <f>IF($B34&lt;&gt;"",VLOOKUP($B34,ORC!$E:$N,4,0),"")</f>
        <v>INSTALAÇÕES HIDROSSANITÁRIAS</v>
      </c>
      <c r="D34" s="49">
        <f>+BC34/BC$56</f>
        <v>4.317050711559222E-2</v>
      </c>
      <c r="E34" s="50">
        <f>IF(E35&lt;&gt;"",E35*$BC34,0)</f>
        <v>0</v>
      </c>
      <c r="F34" s="50">
        <f t="shared" ref="F34:AH34" si="17">IF(F35&lt;&gt;"",F35*$BC34,0)</f>
        <v>45556.535000000011</v>
      </c>
      <c r="G34" s="50">
        <f t="shared" si="17"/>
        <v>27333.921000000006</v>
      </c>
      <c r="H34" s="50">
        <f t="shared" si="17"/>
        <v>18222.614000000005</v>
      </c>
      <c r="I34" s="50">
        <f t="shared" si="17"/>
        <v>0</v>
      </c>
      <c r="J34" s="50">
        <f t="shared" si="17"/>
        <v>0</v>
      </c>
      <c r="K34" s="50">
        <f t="shared" si="17"/>
        <v>0</v>
      </c>
      <c r="L34" s="50">
        <f t="shared" si="17"/>
        <v>0</v>
      </c>
      <c r="M34" s="50">
        <f t="shared" si="17"/>
        <v>0</v>
      </c>
      <c r="N34" s="50">
        <f t="shared" si="17"/>
        <v>0</v>
      </c>
      <c r="O34" s="50">
        <f t="shared" si="17"/>
        <v>0</v>
      </c>
      <c r="P34" s="50">
        <f t="shared" si="17"/>
        <v>0</v>
      </c>
      <c r="Q34" s="50">
        <f t="shared" si="17"/>
        <v>0</v>
      </c>
      <c r="R34" s="50">
        <f t="shared" si="17"/>
        <v>0</v>
      </c>
      <c r="S34" s="50">
        <f t="shared" si="17"/>
        <v>0</v>
      </c>
      <c r="T34" s="50">
        <f t="shared" si="17"/>
        <v>0</v>
      </c>
      <c r="U34" s="50">
        <f t="shared" si="17"/>
        <v>0</v>
      </c>
      <c r="V34" s="50">
        <f t="shared" si="17"/>
        <v>0</v>
      </c>
      <c r="W34" s="50">
        <f t="shared" si="17"/>
        <v>0</v>
      </c>
      <c r="X34" s="50">
        <f t="shared" si="17"/>
        <v>0</v>
      </c>
      <c r="Y34" s="50">
        <f t="shared" si="17"/>
        <v>0</v>
      </c>
      <c r="Z34" s="50">
        <f t="shared" si="17"/>
        <v>0</v>
      </c>
      <c r="AA34" s="50">
        <f t="shared" si="17"/>
        <v>0</v>
      </c>
      <c r="AB34" s="50">
        <f t="shared" si="17"/>
        <v>0</v>
      </c>
      <c r="AC34" s="50">
        <f t="shared" si="17"/>
        <v>0</v>
      </c>
      <c r="AD34" s="50">
        <f t="shared" si="17"/>
        <v>0</v>
      </c>
      <c r="AE34" s="50">
        <f t="shared" si="17"/>
        <v>0</v>
      </c>
      <c r="AF34" s="50">
        <f t="shared" si="17"/>
        <v>0</v>
      </c>
      <c r="AG34" s="50">
        <f t="shared" si="17"/>
        <v>0</v>
      </c>
      <c r="AH34" s="50">
        <f t="shared" si="17"/>
        <v>0</v>
      </c>
      <c r="AI34" s="423"/>
      <c r="AJ34" s="423"/>
      <c r="AK34" s="50">
        <f t="shared" ref="AK34:BB34" si="18">IF(AK35&lt;&gt;"",AK35*$BC34,0)</f>
        <v>0</v>
      </c>
      <c r="AL34" s="50">
        <f t="shared" si="18"/>
        <v>0</v>
      </c>
      <c r="AM34" s="50">
        <f t="shared" si="18"/>
        <v>0</v>
      </c>
      <c r="AN34" s="50">
        <f t="shared" si="18"/>
        <v>0</v>
      </c>
      <c r="AO34" s="50">
        <f t="shared" si="18"/>
        <v>0</v>
      </c>
      <c r="AP34" s="50">
        <f t="shared" si="18"/>
        <v>0</v>
      </c>
      <c r="AQ34" s="50">
        <f t="shared" si="18"/>
        <v>0</v>
      </c>
      <c r="AR34" s="50">
        <f t="shared" si="18"/>
        <v>0</v>
      </c>
      <c r="AS34" s="50">
        <f t="shared" si="18"/>
        <v>0</v>
      </c>
      <c r="AT34" s="50">
        <f t="shared" si="18"/>
        <v>0</v>
      </c>
      <c r="AU34" s="50">
        <f t="shared" si="18"/>
        <v>0</v>
      </c>
      <c r="AV34" s="50">
        <f t="shared" si="18"/>
        <v>0</v>
      </c>
      <c r="AW34" s="50">
        <f t="shared" si="18"/>
        <v>0</v>
      </c>
      <c r="AX34" s="50">
        <f t="shared" si="18"/>
        <v>0</v>
      </c>
      <c r="AY34" s="50">
        <f t="shared" si="18"/>
        <v>0</v>
      </c>
      <c r="AZ34" s="50">
        <f t="shared" si="18"/>
        <v>0</v>
      </c>
      <c r="BA34" s="50">
        <f t="shared" si="18"/>
        <v>0</v>
      </c>
      <c r="BB34" s="50">
        <f t="shared" si="18"/>
        <v>0</v>
      </c>
      <c r="BC34" s="443">
        <f>IF($B34&lt;&gt;"",VLOOKUP($B34,RESUMO_FASES!$A$12:$H$34,8),"")</f>
        <v>91113.070000000022</v>
      </c>
      <c r="BD34" s="443">
        <f>IF($B34&lt;&gt;"",VLOOKUP($B34,RESUMO_FASES!$A$12:$H$34,6),"")</f>
        <v>0</v>
      </c>
      <c r="BF34" s="424">
        <f t="shared" si="4"/>
        <v>0</v>
      </c>
      <c r="BG34" s="441"/>
      <c r="BH34" s="297"/>
    </row>
    <row r="35" spans="1:60" s="295" customFormat="1">
      <c r="A35" s="295">
        <v>23</v>
      </c>
      <c r="B35" s="294"/>
      <c r="C35" s="141" t="s">
        <v>3051</v>
      </c>
      <c r="D35" s="139"/>
      <c r="E35" s="425"/>
      <c r="F35" s="425">
        <v>0.5</v>
      </c>
      <c r="G35" s="425">
        <v>0.3</v>
      </c>
      <c r="H35" s="425">
        <v>0.2</v>
      </c>
      <c r="I35" s="425"/>
      <c r="J35" s="425"/>
      <c r="K35" s="425"/>
      <c r="L35" s="425"/>
      <c r="M35" s="425"/>
      <c r="N35" s="425"/>
      <c r="O35" s="425"/>
      <c r="P35" s="425"/>
      <c r="Q35" s="425"/>
      <c r="R35" s="425"/>
      <c r="S35" s="425"/>
      <c r="T35" s="425"/>
      <c r="U35" s="425"/>
      <c r="V35" s="425"/>
      <c r="W35" s="425"/>
      <c r="X35" s="425"/>
      <c r="Y35" s="425"/>
      <c r="Z35" s="425"/>
      <c r="AA35" s="425"/>
      <c r="AB35" s="425"/>
      <c r="AC35" s="425"/>
      <c r="AD35" s="425"/>
      <c r="AE35" s="425"/>
      <c r="AF35" s="425"/>
      <c r="AG35" s="425"/>
      <c r="AH35" s="425"/>
      <c r="AI35" s="422"/>
      <c r="AJ35" s="422"/>
      <c r="AK35" s="425"/>
      <c r="AL35" s="425"/>
      <c r="AM35" s="425"/>
      <c r="AN35" s="425"/>
      <c r="AO35" s="425"/>
      <c r="AP35" s="425"/>
      <c r="AQ35" s="425"/>
      <c r="AR35" s="425"/>
      <c r="AS35" s="425"/>
      <c r="AT35" s="425"/>
      <c r="AU35" s="425"/>
      <c r="AV35" s="425"/>
      <c r="AW35" s="425"/>
      <c r="AX35" s="425"/>
      <c r="AY35" s="425"/>
      <c r="AZ35" s="425"/>
      <c r="BA35" s="425"/>
      <c r="BB35" s="425"/>
      <c r="BC35" s="140"/>
      <c r="BD35" s="140"/>
      <c r="BF35" s="424"/>
      <c r="BG35" s="442">
        <f>SUM(E35:BB35)</f>
        <v>1</v>
      </c>
      <c r="BH35" s="296"/>
    </row>
    <row r="36" spans="1:60" s="292" customFormat="1">
      <c r="A36" s="292">
        <v>24</v>
      </c>
      <c r="B36" s="291">
        <v>12</v>
      </c>
      <c r="C36" s="55" t="str">
        <f>IF($B36&lt;&gt;"",VLOOKUP($B36,ORC!$E:$N,4,0),"")</f>
        <v>PREVENÇÃO E COMBATE A INCÊNDIO</v>
      </c>
      <c r="D36" s="49">
        <f>+BC36/BC$56</f>
        <v>2.8611686114109235E-3</v>
      </c>
      <c r="E36" s="50">
        <f>IF(E37&lt;&gt;"",E37*$BC36,0)</f>
        <v>0</v>
      </c>
      <c r="F36" s="50">
        <f t="shared" ref="F36:AH36" si="19">IF(F37&lt;&gt;"",F37*$BC36,0)</f>
        <v>0</v>
      </c>
      <c r="G36" s="50">
        <f t="shared" si="19"/>
        <v>0</v>
      </c>
      <c r="H36" s="50">
        <f t="shared" si="19"/>
        <v>0</v>
      </c>
      <c r="I36" s="50">
        <f t="shared" si="19"/>
        <v>0</v>
      </c>
      <c r="J36" s="50">
        <f t="shared" si="19"/>
        <v>0</v>
      </c>
      <c r="K36" s="50">
        <f t="shared" si="19"/>
        <v>0</v>
      </c>
      <c r="L36" s="50">
        <f t="shared" si="19"/>
        <v>0</v>
      </c>
      <c r="M36" s="50">
        <f t="shared" si="19"/>
        <v>0</v>
      </c>
      <c r="N36" s="50">
        <f t="shared" si="19"/>
        <v>6038.61</v>
      </c>
      <c r="O36" s="50">
        <f t="shared" si="19"/>
        <v>0</v>
      </c>
      <c r="P36" s="50">
        <f t="shared" si="19"/>
        <v>0</v>
      </c>
      <c r="Q36" s="50">
        <f t="shared" si="19"/>
        <v>0</v>
      </c>
      <c r="R36" s="50">
        <f t="shared" si="19"/>
        <v>0</v>
      </c>
      <c r="S36" s="50">
        <f t="shared" si="19"/>
        <v>0</v>
      </c>
      <c r="T36" s="50">
        <f t="shared" si="19"/>
        <v>0</v>
      </c>
      <c r="U36" s="50">
        <f t="shared" si="19"/>
        <v>0</v>
      </c>
      <c r="V36" s="50">
        <f t="shared" si="19"/>
        <v>0</v>
      </c>
      <c r="W36" s="50">
        <f t="shared" si="19"/>
        <v>0</v>
      </c>
      <c r="X36" s="50">
        <f t="shared" si="19"/>
        <v>0</v>
      </c>
      <c r="Y36" s="50">
        <f t="shared" si="19"/>
        <v>0</v>
      </c>
      <c r="Z36" s="50">
        <f t="shared" si="19"/>
        <v>0</v>
      </c>
      <c r="AA36" s="50">
        <f t="shared" si="19"/>
        <v>0</v>
      </c>
      <c r="AB36" s="50">
        <f t="shared" si="19"/>
        <v>0</v>
      </c>
      <c r="AC36" s="50">
        <f t="shared" si="19"/>
        <v>0</v>
      </c>
      <c r="AD36" s="50">
        <f t="shared" si="19"/>
        <v>0</v>
      </c>
      <c r="AE36" s="50">
        <f t="shared" si="19"/>
        <v>0</v>
      </c>
      <c r="AF36" s="50">
        <f t="shared" si="19"/>
        <v>0</v>
      </c>
      <c r="AG36" s="50">
        <f t="shared" si="19"/>
        <v>0</v>
      </c>
      <c r="AH36" s="50">
        <f t="shared" si="19"/>
        <v>0</v>
      </c>
      <c r="AI36" s="423"/>
      <c r="AJ36" s="423"/>
      <c r="AK36" s="50">
        <f t="shared" ref="AK36:BB36" si="20">IF(AK37&lt;&gt;"",AK37*$BC36,0)</f>
        <v>0</v>
      </c>
      <c r="AL36" s="50">
        <f t="shared" si="20"/>
        <v>0</v>
      </c>
      <c r="AM36" s="50">
        <f t="shared" si="20"/>
        <v>0</v>
      </c>
      <c r="AN36" s="50">
        <f t="shared" si="20"/>
        <v>0</v>
      </c>
      <c r="AO36" s="50">
        <f t="shared" si="20"/>
        <v>0</v>
      </c>
      <c r="AP36" s="50">
        <f t="shared" si="20"/>
        <v>0</v>
      </c>
      <c r="AQ36" s="50">
        <f t="shared" si="20"/>
        <v>0</v>
      </c>
      <c r="AR36" s="50">
        <f t="shared" si="20"/>
        <v>0</v>
      </c>
      <c r="AS36" s="50">
        <f t="shared" si="20"/>
        <v>0</v>
      </c>
      <c r="AT36" s="50">
        <f t="shared" si="20"/>
        <v>0</v>
      </c>
      <c r="AU36" s="50">
        <f t="shared" si="20"/>
        <v>0</v>
      </c>
      <c r="AV36" s="50">
        <f t="shared" si="20"/>
        <v>0</v>
      </c>
      <c r="AW36" s="50">
        <f t="shared" si="20"/>
        <v>0</v>
      </c>
      <c r="AX36" s="50">
        <f t="shared" si="20"/>
        <v>0</v>
      </c>
      <c r="AY36" s="50">
        <f t="shared" si="20"/>
        <v>0</v>
      </c>
      <c r="AZ36" s="50">
        <f t="shared" si="20"/>
        <v>0</v>
      </c>
      <c r="BA36" s="50">
        <f t="shared" si="20"/>
        <v>0</v>
      </c>
      <c r="BB36" s="50">
        <f t="shared" si="20"/>
        <v>0</v>
      </c>
      <c r="BC36" s="443">
        <f>IF($B36&lt;&gt;"",VLOOKUP($B36,RESUMO_FASES!$A$12:$H$34,8),"")</f>
        <v>6038.61</v>
      </c>
      <c r="BD36" s="443">
        <f>IF($B36&lt;&gt;"",VLOOKUP($B36,RESUMO_FASES!$A$12:$H$34,6),"")</f>
        <v>0</v>
      </c>
      <c r="BF36" s="424">
        <f t="shared" si="4"/>
        <v>0</v>
      </c>
      <c r="BG36" s="441"/>
      <c r="BH36" s="297"/>
    </row>
    <row r="37" spans="1:60" s="295" customFormat="1">
      <c r="A37" s="295">
        <v>25</v>
      </c>
      <c r="B37" s="294"/>
      <c r="C37" s="141" t="s">
        <v>3051</v>
      </c>
      <c r="D37" s="139"/>
      <c r="E37" s="425"/>
      <c r="F37" s="425"/>
      <c r="G37" s="425"/>
      <c r="H37" s="425"/>
      <c r="I37" s="425"/>
      <c r="J37" s="425"/>
      <c r="K37" s="425"/>
      <c r="L37" s="425"/>
      <c r="M37" s="425"/>
      <c r="N37" s="425">
        <v>1</v>
      </c>
      <c r="O37" s="425"/>
      <c r="P37" s="425"/>
      <c r="Q37" s="425"/>
      <c r="R37" s="425"/>
      <c r="S37" s="425"/>
      <c r="T37" s="425"/>
      <c r="U37" s="425"/>
      <c r="V37" s="425"/>
      <c r="W37" s="425"/>
      <c r="X37" s="425"/>
      <c r="Y37" s="425"/>
      <c r="Z37" s="425"/>
      <c r="AA37" s="425"/>
      <c r="AB37" s="425"/>
      <c r="AC37" s="425"/>
      <c r="AD37" s="425"/>
      <c r="AE37" s="425"/>
      <c r="AF37" s="425"/>
      <c r="AG37" s="425"/>
      <c r="AH37" s="425"/>
      <c r="AI37" s="422"/>
      <c r="AJ37" s="422"/>
      <c r="AK37" s="425"/>
      <c r="AL37" s="425"/>
      <c r="AM37" s="425"/>
      <c r="AN37" s="425"/>
      <c r="AO37" s="425"/>
      <c r="AP37" s="425"/>
      <c r="AQ37" s="425"/>
      <c r="AR37" s="425"/>
      <c r="AS37" s="425"/>
      <c r="AT37" s="425"/>
      <c r="AU37" s="425"/>
      <c r="AV37" s="425"/>
      <c r="AW37" s="425"/>
      <c r="AX37" s="425"/>
      <c r="AY37" s="425"/>
      <c r="AZ37" s="425"/>
      <c r="BA37" s="425"/>
      <c r="BB37" s="425"/>
      <c r="BC37" s="140"/>
      <c r="BD37" s="140"/>
      <c r="BF37" s="424"/>
      <c r="BG37" s="442">
        <f>SUM(E37:BB37)</f>
        <v>1</v>
      </c>
      <c r="BH37" s="296"/>
    </row>
    <row r="38" spans="1:60" s="292" customFormat="1" ht="25.5">
      <c r="A38" s="292">
        <v>26</v>
      </c>
      <c r="B38" s="291">
        <v>13</v>
      </c>
      <c r="C38" s="55" t="str">
        <f>IF($B38&lt;&gt;"",VLOOKUP($B38,ORC!$E:$N,4,0),"")</f>
        <v>INSTALAÇÕES ELÉTRICAS / ELETRIFICAÇÃO E ILUMINAÇÃO EXTERNA</v>
      </c>
      <c r="D38" s="49">
        <f>+BC38/BC$56</f>
        <v>0.12533559425263982</v>
      </c>
      <c r="E38" s="50">
        <f>IF(E39&lt;&gt;"",E39*$BC38,0)</f>
        <v>0</v>
      </c>
      <c r="F38" s="50">
        <f t="shared" ref="F38:AH38" si="21">IF(F39&lt;&gt;"",F39*$BC38,0)</f>
        <v>26452.575000000008</v>
      </c>
      <c r="G38" s="50">
        <f t="shared" si="21"/>
        <v>39678.86250000001</v>
      </c>
      <c r="H38" s="50">
        <f t="shared" si="21"/>
        <v>39678.86250000001</v>
      </c>
      <c r="I38" s="50">
        <f t="shared" si="21"/>
        <v>39678.86250000001</v>
      </c>
      <c r="J38" s="50">
        <f t="shared" si="21"/>
        <v>39678.86250000001</v>
      </c>
      <c r="K38" s="50">
        <f t="shared" si="21"/>
        <v>39678.86250000001</v>
      </c>
      <c r="L38" s="50">
        <f t="shared" si="21"/>
        <v>26452.575000000008</v>
      </c>
      <c r="M38" s="50">
        <f t="shared" si="21"/>
        <v>13226.287500000004</v>
      </c>
      <c r="N38" s="50">
        <f t="shared" si="21"/>
        <v>0</v>
      </c>
      <c r="O38" s="50">
        <f t="shared" si="21"/>
        <v>0</v>
      </c>
      <c r="P38" s="50">
        <f t="shared" si="21"/>
        <v>0</v>
      </c>
      <c r="Q38" s="50">
        <f t="shared" si="21"/>
        <v>0</v>
      </c>
      <c r="R38" s="50">
        <f t="shared" si="21"/>
        <v>0</v>
      </c>
      <c r="S38" s="50">
        <f t="shared" si="21"/>
        <v>0</v>
      </c>
      <c r="T38" s="50">
        <f t="shared" si="21"/>
        <v>0</v>
      </c>
      <c r="U38" s="50">
        <f t="shared" si="21"/>
        <v>0</v>
      </c>
      <c r="V38" s="50">
        <f t="shared" si="21"/>
        <v>0</v>
      </c>
      <c r="W38" s="50">
        <f t="shared" si="21"/>
        <v>0</v>
      </c>
      <c r="X38" s="50">
        <f t="shared" si="21"/>
        <v>0</v>
      </c>
      <c r="Y38" s="50">
        <f t="shared" si="21"/>
        <v>0</v>
      </c>
      <c r="Z38" s="50">
        <f t="shared" si="21"/>
        <v>0</v>
      </c>
      <c r="AA38" s="50">
        <f t="shared" si="21"/>
        <v>0</v>
      </c>
      <c r="AB38" s="50">
        <f t="shared" si="21"/>
        <v>0</v>
      </c>
      <c r="AC38" s="50">
        <f t="shared" si="21"/>
        <v>0</v>
      </c>
      <c r="AD38" s="50">
        <f t="shared" si="21"/>
        <v>0</v>
      </c>
      <c r="AE38" s="50">
        <f t="shared" si="21"/>
        <v>0</v>
      </c>
      <c r="AF38" s="50">
        <f t="shared" si="21"/>
        <v>0</v>
      </c>
      <c r="AG38" s="50">
        <f t="shared" si="21"/>
        <v>0</v>
      </c>
      <c r="AH38" s="50">
        <f t="shared" si="21"/>
        <v>0</v>
      </c>
      <c r="AI38" s="423"/>
      <c r="AJ38" s="423"/>
      <c r="AK38" s="50">
        <f t="shared" ref="AK38:BB38" si="22">IF(AK39&lt;&gt;"",AK39*$BC38,0)</f>
        <v>0</v>
      </c>
      <c r="AL38" s="50">
        <f t="shared" si="22"/>
        <v>0</v>
      </c>
      <c r="AM38" s="50">
        <f t="shared" si="22"/>
        <v>0</v>
      </c>
      <c r="AN38" s="50">
        <f t="shared" si="22"/>
        <v>0</v>
      </c>
      <c r="AO38" s="50">
        <f t="shared" si="22"/>
        <v>0</v>
      </c>
      <c r="AP38" s="50">
        <f t="shared" si="22"/>
        <v>0</v>
      </c>
      <c r="AQ38" s="50">
        <f t="shared" si="22"/>
        <v>0</v>
      </c>
      <c r="AR38" s="50">
        <f t="shared" si="22"/>
        <v>0</v>
      </c>
      <c r="AS38" s="50">
        <f t="shared" si="22"/>
        <v>0</v>
      </c>
      <c r="AT38" s="50">
        <f t="shared" si="22"/>
        <v>0</v>
      </c>
      <c r="AU38" s="50">
        <f t="shared" si="22"/>
        <v>0</v>
      </c>
      <c r="AV38" s="50">
        <f t="shared" si="22"/>
        <v>0</v>
      </c>
      <c r="AW38" s="50">
        <f t="shared" si="22"/>
        <v>0</v>
      </c>
      <c r="AX38" s="50">
        <f t="shared" si="22"/>
        <v>0</v>
      </c>
      <c r="AY38" s="50">
        <f t="shared" si="22"/>
        <v>0</v>
      </c>
      <c r="AZ38" s="50">
        <f t="shared" si="22"/>
        <v>0</v>
      </c>
      <c r="BA38" s="50">
        <f t="shared" si="22"/>
        <v>0</v>
      </c>
      <c r="BB38" s="50">
        <f t="shared" si="22"/>
        <v>0</v>
      </c>
      <c r="BC38" s="443">
        <f>IF($B38&lt;&gt;"",VLOOKUP($B38,RESUMO_FASES!$A$12:$H$34,8),"")</f>
        <v>264525.75000000006</v>
      </c>
      <c r="BD38" s="443">
        <f>IF($B38&lt;&gt;"",VLOOKUP($B38,RESUMO_FASES!$A$12:$H$34,6),"")</f>
        <v>0</v>
      </c>
      <c r="BF38" s="424">
        <f t="shared" si="4"/>
        <v>0</v>
      </c>
      <c r="BG38" s="441"/>
      <c r="BH38" s="297"/>
    </row>
    <row r="39" spans="1:60" s="295" customFormat="1">
      <c r="A39" s="295">
        <v>27</v>
      </c>
      <c r="B39" s="294"/>
      <c r="C39" s="141" t="s">
        <v>3051</v>
      </c>
      <c r="D39" s="139"/>
      <c r="E39" s="425"/>
      <c r="F39" s="425">
        <v>0.1</v>
      </c>
      <c r="G39" s="425">
        <v>0.15</v>
      </c>
      <c r="H39" s="425">
        <v>0.15</v>
      </c>
      <c r="I39" s="425">
        <v>0.15</v>
      </c>
      <c r="J39" s="425">
        <v>0.15</v>
      </c>
      <c r="K39" s="425">
        <v>0.15</v>
      </c>
      <c r="L39" s="425">
        <v>0.1</v>
      </c>
      <c r="M39" s="425">
        <v>0.05</v>
      </c>
      <c r="N39" s="425"/>
      <c r="O39" s="425"/>
      <c r="P39" s="425"/>
      <c r="Q39" s="425"/>
      <c r="R39" s="425"/>
      <c r="S39" s="425"/>
      <c r="T39" s="425"/>
      <c r="U39" s="425"/>
      <c r="V39" s="425"/>
      <c r="W39" s="425"/>
      <c r="X39" s="425"/>
      <c r="Y39" s="425"/>
      <c r="Z39" s="425"/>
      <c r="AA39" s="425"/>
      <c r="AB39" s="425"/>
      <c r="AC39" s="425"/>
      <c r="AD39" s="425"/>
      <c r="AE39" s="425"/>
      <c r="AF39" s="425"/>
      <c r="AG39" s="425"/>
      <c r="AH39" s="425"/>
      <c r="AI39" s="422"/>
      <c r="AJ39" s="422"/>
      <c r="AK39" s="425"/>
      <c r="AL39" s="425"/>
      <c r="AM39" s="425"/>
      <c r="AN39" s="425"/>
      <c r="AO39" s="425"/>
      <c r="AP39" s="425"/>
      <c r="AQ39" s="425"/>
      <c r="AR39" s="425"/>
      <c r="AS39" s="425"/>
      <c r="AT39" s="425"/>
      <c r="AU39" s="425"/>
      <c r="AV39" s="425"/>
      <c r="AW39" s="425"/>
      <c r="AX39" s="425"/>
      <c r="AY39" s="425"/>
      <c r="AZ39" s="425"/>
      <c r="BA39" s="425"/>
      <c r="BB39" s="425"/>
      <c r="BC39" s="140"/>
      <c r="BD39" s="140"/>
      <c r="BF39" s="424"/>
      <c r="BG39" s="442">
        <f>SUM(E39:BB39)</f>
        <v>1</v>
      </c>
      <c r="BH39" s="296"/>
    </row>
    <row r="40" spans="1:60" s="292" customFormat="1">
      <c r="A40" s="292">
        <v>28</v>
      </c>
      <c r="B40" s="291">
        <v>14</v>
      </c>
      <c r="C40" s="55" t="str">
        <f>IF($B40&lt;&gt;"",VLOOKUP($B40,ORC!$E:$N,4,0),"")</f>
        <v>AR CONDICIONADO E EXAUSTÃO</v>
      </c>
      <c r="D40" s="49">
        <f>+BC40/BC$56</f>
        <v>3.6258218348053643E-2</v>
      </c>
      <c r="E40" s="50">
        <f>IF(E41&lt;&gt;"",E41*$BC40,0)</f>
        <v>0</v>
      </c>
      <c r="F40" s="50">
        <f t="shared" ref="F40:AH40" si="23">IF(F41&lt;&gt;"",F41*$BC40,0)</f>
        <v>0</v>
      </c>
      <c r="G40" s="50">
        <f t="shared" si="23"/>
        <v>0</v>
      </c>
      <c r="H40" s="50">
        <f t="shared" si="23"/>
        <v>0</v>
      </c>
      <c r="I40" s="50">
        <f t="shared" si="23"/>
        <v>0</v>
      </c>
      <c r="J40" s="50">
        <f t="shared" si="23"/>
        <v>7652.4410000000007</v>
      </c>
      <c r="K40" s="50">
        <f t="shared" si="23"/>
        <v>22957.323</v>
      </c>
      <c r="L40" s="50">
        <f t="shared" si="23"/>
        <v>22957.323</v>
      </c>
      <c r="M40" s="50">
        <f t="shared" si="23"/>
        <v>15304.882000000001</v>
      </c>
      <c r="N40" s="50">
        <f t="shared" si="23"/>
        <v>0</v>
      </c>
      <c r="O40" s="50">
        <f t="shared" si="23"/>
        <v>0</v>
      </c>
      <c r="P40" s="50">
        <f t="shared" si="23"/>
        <v>0</v>
      </c>
      <c r="Q40" s="50">
        <f t="shared" si="23"/>
        <v>0</v>
      </c>
      <c r="R40" s="50">
        <f t="shared" si="23"/>
        <v>0</v>
      </c>
      <c r="S40" s="50">
        <f t="shared" si="23"/>
        <v>0</v>
      </c>
      <c r="T40" s="50">
        <f t="shared" si="23"/>
        <v>0</v>
      </c>
      <c r="U40" s="50">
        <f t="shared" si="23"/>
        <v>0</v>
      </c>
      <c r="V40" s="50">
        <f t="shared" si="23"/>
        <v>0</v>
      </c>
      <c r="W40" s="50">
        <f t="shared" si="23"/>
        <v>0</v>
      </c>
      <c r="X40" s="50">
        <f t="shared" si="23"/>
        <v>0</v>
      </c>
      <c r="Y40" s="50">
        <f t="shared" si="23"/>
        <v>0</v>
      </c>
      <c r="Z40" s="50">
        <f t="shared" si="23"/>
        <v>0</v>
      </c>
      <c r="AA40" s="50">
        <f t="shared" si="23"/>
        <v>0</v>
      </c>
      <c r="AB40" s="50">
        <f t="shared" si="23"/>
        <v>0</v>
      </c>
      <c r="AC40" s="50">
        <f t="shared" si="23"/>
        <v>0</v>
      </c>
      <c r="AD40" s="50">
        <f t="shared" si="23"/>
        <v>0</v>
      </c>
      <c r="AE40" s="50">
        <f t="shared" si="23"/>
        <v>0</v>
      </c>
      <c r="AF40" s="50">
        <f t="shared" si="23"/>
        <v>0</v>
      </c>
      <c r="AG40" s="50">
        <f t="shared" si="23"/>
        <v>0</v>
      </c>
      <c r="AH40" s="50">
        <f t="shared" si="23"/>
        <v>0</v>
      </c>
      <c r="AI40" s="423"/>
      <c r="AJ40" s="423"/>
      <c r="AK40" s="50">
        <f t="shared" ref="AK40:BB40" si="24">IF(AK41&lt;&gt;"",AK41*$BC40,0)</f>
        <v>0</v>
      </c>
      <c r="AL40" s="50">
        <f t="shared" si="24"/>
        <v>0</v>
      </c>
      <c r="AM40" s="50">
        <f t="shared" si="24"/>
        <v>0</v>
      </c>
      <c r="AN40" s="50">
        <f t="shared" si="24"/>
        <v>0</v>
      </c>
      <c r="AO40" s="50">
        <f t="shared" si="24"/>
        <v>0</v>
      </c>
      <c r="AP40" s="50">
        <f t="shared" si="24"/>
        <v>0</v>
      </c>
      <c r="AQ40" s="50">
        <f t="shared" si="24"/>
        <v>0</v>
      </c>
      <c r="AR40" s="50">
        <f t="shared" si="24"/>
        <v>0</v>
      </c>
      <c r="AS40" s="50">
        <f t="shared" si="24"/>
        <v>0</v>
      </c>
      <c r="AT40" s="50">
        <f t="shared" si="24"/>
        <v>0</v>
      </c>
      <c r="AU40" s="50">
        <f t="shared" si="24"/>
        <v>0</v>
      </c>
      <c r="AV40" s="50">
        <f t="shared" si="24"/>
        <v>0</v>
      </c>
      <c r="AW40" s="50">
        <f t="shared" si="24"/>
        <v>0</v>
      </c>
      <c r="AX40" s="50">
        <f t="shared" si="24"/>
        <v>0</v>
      </c>
      <c r="AY40" s="50">
        <f t="shared" si="24"/>
        <v>0</v>
      </c>
      <c r="AZ40" s="50">
        <f t="shared" si="24"/>
        <v>0</v>
      </c>
      <c r="BA40" s="50">
        <f t="shared" si="24"/>
        <v>0</v>
      </c>
      <c r="BB40" s="50">
        <f t="shared" si="24"/>
        <v>0</v>
      </c>
      <c r="BC40" s="443">
        <f>IF($B40&lt;&gt;"",VLOOKUP($B40,RESUMO_FASES!$A$12:$H$34,8),"")</f>
        <v>76524.41</v>
      </c>
      <c r="BD40" s="443">
        <f>IF($B40&lt;&gt;"",VLOOKUP($B40,RESUMO_FASES!$A$12:$H$34,6),"")</f>
        <v>0</v>
      </c>
      <c r="BF40" s="424">
        <f t="shared" si="4"/>
        <v>-7652.4410000000062</v>
      </c>
      <c r="BG40" s="441"/>
      <c r="BH40" s="297"/>
    </row>
    <row r="41" spans="1:60" s="295" customFormat="1">
      <c r="A41" s="295">
        <v>29</v>
      </c>
      <c r="B41" s="294"/>
      <c r="C41" s="141" t="s">
        <v>3051</v>
      </c>
      <c r="D41" s="139"/>
      <c r="E41" s="425"/>
      <c r="F41" s="425"/>
      <c r="G41" s="425"/>
      <c r="H41" s="425"/>
      <c r="I41" s="425"/>
      <c r="J41" s="425">
        <v>0.1</v>
      </c>
      <c r="K41" s="425">
        <v>0.3</v>
      </c>
      <c r="L41" s="425">
        <v>0.3</v>
      </c>
      <c r="M41" s="425">
        <v>0.2</v>
      </c>
      <c r="N41" s="425"/>
      <c r="O41" s="425"/>
      <c r="P41" s="425"/>
      <c r="Q41" s="425"/>
      <c r="R41" s="425"/>
      <c r="S41" s="425"/>
      <c r="T41" s="425"/>
      <c r="U41" s="425"/>
      <c r="V41" s="425"/>
      <c r="W41" s="425"/>
      <c r="X41" s="425"/>
      <c r="Y41" s="425"/>
      <c r="Z41" s="425"/>
      <c r="AA41" s="425"/>
      <c r="AB41" s="425"/>
      <c r="AC41" s="425"/>
      <c r="AD41" s="425"/>
      <c r="AE41" s="425"/>
      <c r="AF41" s="425"/>
      <c r="AG41" s="425"/>
      <c r="AH41" s="425"/>
      <c r="AI41" s="422"/>
      <c r="AJ41" s="422"/>
      <c r="AK41" s="425"/>
      <c r="AL41" s="425"/>
      <c r="AM41" s="425"/>
      <c r="AN41" s="425"/>
      <c r="AO41" s="425"/>
      <c r="AP41" s="425"/>
      <c r="AQ41" s="425"/>
      <c r="AR41" s="425"/>
      <c r="AS41" s="425"/>
      <c r="AT41" s="425"/>
      <c r="AU41" s="425"/>
      <c r="AV41" s="425"/>
      <c r="AW41" s="425"/>
      <c r="AX41" s="425"/>
      <c r="AY41" s="425"/>
      <c r="AZ41" s="425"/>
      <c r="BA41" s="425"/>
      <c r="BB41" s="425"/>
      <c r="BC41" s="140"/>
      <c r="BD41" s="140"/>
      <c r="BF41" s="424"/>
      <c r="BG41" s="442">
        <f>SUM(E41:BB41)</f>
        <v>0.89999999999999991</v>
      </c>
      <c r="BH41" s="296"/>
    </row>
    <row r="42" spans="1:60" s="292" customFormat="1">
      <c r="A42" s="292">
        <v>30</v>
      </c>
      <c r="B42" s="291">
        <v>15</v>
      </c>
      <c r="C42" s="55" t="str">
        <f>IF($B42&lt;&gt;"",VLOOKUP($B42,ORC!$E:$N,4,0),"")</f>
        <v>PINTURA</v>
      </c>
      <c r="D42" s="49">
        <f>+BC42/BC$56</f>
        <v>6.1227248544746642E-2</v>
      </c>
      <c r="E42" s="50">
        <f>IF(E43&lt;&gt;"",E43*$BC42,0)</f>
        <v>0</v>
      </c>
      <c r="F42" s="50">
        <f t="shared" ref="F42:AH42" si="25">IF(F43&lt;&gt;"",F43*$BC42,0)</f>
        <v>0</v>
      </c>
      <c r="G42" s="50">
        <f t="shared" si="25"/>
        <v>0</v>
      </c>
      <c r="H42" s="50">
        <f t="shared" si="25"/>
        <v>0</v>
      </c>
      <c r="I42" s="50">
        <f t="shared" si="25"/>
        <v>0</v>
      </c>
      <c r="J42" s="50">
        <f t="shared" si="25"/>
        <v>0</v>
      </c>
      <c r="K42" s="50">
        <f t="shared" si="25"/>
        <v>0</v>
      </c>
      <c r="L42" s="50">
        <f t="shared" si="25"/>
        <v>0</v>
      </c>
      <c r="M42" s="50">
        <f t="shared" si="25"/>
        <v>64611.27</v>
      </c>
      <c r="N42" s="50">
        <f t="shared" si="25"/>
        <v>64611.27</v>
      </c>
      <c r="O42" s="50">
        <f t="shared" si="25"/>
        <v>0</v>
      </c>
      <c r="P42" s="50">
        <f t="shared" si="25"/>
        <v>0</v>
      </c>
      <c r="Q42" s="50">
        <f t="shared" si="25"/>
        <v>0</v>
      </c>
      <c r="R42" s="50">
        <f t="shared" si="25"/>
        <v>0</v>
      </c>
      <c r="S42" s="50">
        <f t="shared" si="25"/>
        <v>0</v>
      </c>
      <c r="T42" s="50">
        <f t="shared" si="25"/>
        <v>0</v>
      </c>
      <c r="U42" s="50">
        <f t="shared" si="25"/>
        <v>0</v>
      </c>
      <c r="V42" s="50">
        <f t="shared" si="25"/>
        <v>0</v>
      </c>
      <c r="W42" s="50">
        <f t="shared" si="25"/>
        <v>0</v>
      </c>
      <c r="X42" s="50">
        <f t="shared" si="25"/>
        <v>0</v>
      </c>
      <c r="Y42" s="50">
        <f t="shared" si="25"/>
        <v>0</v>
      </c>
      <c r="Z42" s="50">
        <f t="shared" si="25"/>
        <v>0</v>
      </c>
      <c r="AA42" s="50">
        <f t="shared" si="25"/>
        <v>0</v>
      </c>
      <c r="AB42" s="50">
        <f t="shared" si="25"/>
        <v>0</v>
      </c>
      <c r="AC42" s="50">
        <f t="shared" si="25"/>
        <v>0</v>
      </c>
      <c r="AD42" s="50">
        <f t="shared" si="25"/>
        <v>0</v>
      </c>
      <c r="AE42" s="50">
        <f t="shared" si="25"/>
        <v>0</v>
      </c>
      <c r="AF42" s="50">
        <f t="shared" si="25"/>
        <v>0</v>
      </c>
      <c r="AG42" s="50">
        <f t="shared" si="25"/>
        <v>0</v>
      </c>
      <c r="AH42" s="50">
        <f t="shared" si="25"/>
        <v>0</v>
      </c>
      <c r="AI42" s="423"/>
      <c r="AJ42" s="423"/>
      <c r="AK42" s="50">
        <f t="shared" ref="AK42:BB42" si="26">IF(AK43&lt;&gt;"",AK43*$BC42,0)</f>
        <v>0</v>
      </c>
      <c r="AL42" s="50">
        <f t="shared" si="26"/>
        <v>0</v>
      </c>
      <c r="AM42" s="50">
        <f t="shared" si="26"/>
        <v>0</v>
      </c>
      <c r="AN42" s="50">
        <f t="shared" si="26"/>
        <v>0</v>
      </c>
      <c r="AO42" s="50">
        <f t="shared" si="26"/>
        <v>0</v>
      </c>
      <c r="AP42" s="50">
        <f t="shared" si="26"/>
        <v>0</v>
      </c>
      <c r="AQ42" s="50">
        <f t="shared" si="26"/>
        <v>0</v>
      </c>
      <c r="AR42" s="50">
        <f t="shared" si="26"/>
        <v>0</v>
      </c>
      <c r="AS42" s="50">
        <f t="shared" si="26"/>
        <v>0</v>
      </c>
      <c r="AT42" s="50">
        <f t="shared" si="26"/>
        <v>0</v>
      </c>
      <c r="AU42" s="50">
        <f t="shared" si="26"/>
        <v>0</v>
      </c>
      <c r="AV42" s="50">
        <f t="shared" si="26"/>
        <v>0</v>
      </c>
      <c r="AW42" s="50">
        <f t="shared" si="26"/>
        <v>0</v>
      </c>
      <c r="AX42" s="50">
        <f t="shared" si="26"/>
        <v>0</v>
      </c>
      <c r="AY42" s="50">
        <f t="shared" si="26"/>
        <v>0</v>
      </c>
      <c r="AZ42" s="50">
        <f t="shared" si="26"/>
        <v>0</v>
      </c>
      <c r="BA42" s="50">
        <f t="shared" si="26"/>
        <v>0</v>
      </c>
      <c r="BB42" s="50">
        <f t="shared" si="26"/>
        <v>0</v>
      </c>
      <c r="BC42" s="443">
        <f>IF($B42&lt;&gt;"",VLOOKUP($B42,RESUMO_FASES!$A$12:$H$34,8),"")</f>
        <v>129222.54</v>
      </c>
      <c r="BD42" s="443">
        <f>IF($B42&lt;&gt;"",VLOOKUP($B42,RESUMO_FASES!$A$12:$H$34,6),"")</f>
        <v>0</v>
      </c>
      <c r="BF42" s="424">
        <f t="shared" si="4"/>
        <v>0</v>
      </c>
      <c r="BG42" s="441"/>
      <c r="BH42" s="297"/>
    </row>
    <row r="43" spans="1:60" s="295" customFormat="1">
      <c r="A43" s="295">
        <v>31</v>
      </c>
      <c r="B43" s="294"/>
      <c r="C43" s="141" t="s">
        <v>3051</v>
      </c>
      <c r="D43" s="139"/>
      <c r="E43" s="425"/>
      <c r="F43" s="425"/>
      <c r="G43" s="425"/>
      <c r="H43" s="425"/>
      <c r="I43" s="425"/>
      <c r="J43" s="425"/>
      <c r="K43" s="425"/>
      <c r="L43" s="425"/>
      <c r="M43" s="425">
        <v>0.5</v>
      </c>
      <c r="N43" s="425">
        <v>0.5</v>
      </c>
      <c r="O43" s="425"/>
      <c r="P43" s="425"/>
      <c r="Q43" s="425"/>
      <c r="R43" s="425"/>
      <c r="S43" s="425"/>
      <c r="T43" s="425"/>
      <c r="U43" s="425"/>
      <c r="V43" s="425"/>
      <c r="W43" s="425"/>
      <c r="X43" s="425"/>
      <c r="Y43" s="425"/>
      <c r="Z43" s="425"/>
      <c r="AA43" s="425"/>
      <c r="AB43" s="425"/>
      <c r="AC43" s="425"/>
      <c r="AD43" s="425"/>
      <c r="AE43" s="425"/>
      <c r="AF43" s="425"/>
      <c r="AG43" s="425"/>
      <c r="AH43" s="425"/>
      <c r="AI43" s="422"/>
      <c r="AJ43" s="422"/>
      <c r="AK43" s="425"/>
      <c r="AL43" s="425"/>
      <c r="AM43" s="425"/>
      <c r="AN43" s="425"/>
      <c r="AO43" s="425"/>
      <c r="AP43" s="425"/>
      <c r="AQ43" s="425"/>
      <c r="AR43" s="425"/>
      <c r="AS43" s="425"/>
      <c r="AT43" s="425"/>
      <c r="AU43" s="425"/>
      <c r="AV43" s="425"/>
      <c r="AW43" s="425"/>
      <c r="AX43" s="425"/>
      <c r="AY43" s="425"/>
      <c r="AZ43" s="425"/>
      <c r="BA43" s="425"/>
      <c r="BB43" s="425"/>
      <c r="BC43" s="140"/>
      <c r="BD43" s="140"/>
      <c r="BF43" s="424"/>
      <c r="BG43" s="442">
        <f>SUM(E43:BB43)</f>
        <v>1</v>
      </c>
      <c r="BH43" s="296"/>
    </row>
    <row r="44" spans="1:60" s="292" customFormat="1">
      <c r="A44" s="292">
        <v>32</v>
      </c>
      <c r="B44" s="291">
        <v>16</v>
      </c>
      <c r="C44" s="55" t="str">
        <f>IF($B44&lt;&gt;"",VLOOKUP($B44,ORC!$E:$N,4,0),"")</f>
        <v>SERVIÇOS DIVERSOS</v>
      </c>
      <c r="D44" s="49">
        <f>+BC44/BC$56</f>
        <v>6.1294250363598916E-2</v>
      </c>
      <c r="E44" s="50">
        <f>IF(E45&lt;&gt;"",E45*$BC44,0)</f>
        <v>0</v>
      </c>
      <c r="F44" s="50">
        <f t="shared" ref="F44:AH44" si="27">IF(F45&lt;&gt;"",F45*$BC44,0)</f>
        <v>0</v>
      </c>
      <c r="G44" s="50">
        <f t="shared" si="27"/>
        <v>0</v>
      </c>
      <c r="H44" s="50">
        <f t="shared" si="27"/>
        <v>0</v>
      </c>
      <c r="I44" s="50">
        <f t="shared" si="27"/>
        <v>0</v>
      </c>
      <c r="J44" s="50">
        <f t="shared" si="27"/>
        <v>0</v>
      </c>
      <c r="K44" s="50">
        <f t="shared" si="27"/>
        <v>0</v>
      </c>
      <c r="L44" s="50">
        <f t="shared" si="27"/>
        <v>0</v>
      </c>
      <c r="M44" s="50">
        <f t="shared" si="27"/>
        <v>64681.974999999984</v>
      </c>
      <c r="N44" s="50">
        <f t="shared" si="27"/>
        <v>64681.974999999984</v>
      </c>
      <c r="O44" s="50">
        <f t="shared" si="27"/>
        <v>0</v>
      </c>
      <c r="P44" s="50">
        <f t="shared" si="27"/>
        <v>0</v>
      </c>
      <c r="Q44" s="50">
        <f t="shared" si="27"/>
        <v>0</v>
      </c>
      <c r="R44" s="50">
        <f t="shared" si="27"/>
        <v>0</v>
      </c>
      <c r="S44" s="50">
        <f t="shared" si="27"/>
        <v>0</v>
      </c>
      <c r="T44" s="50">
        <f t="shared" si="27"/>
        <v>0</v>
      </c>
      <c r="U44" s="50">
        <f t="shared" si="27"/>
        <v>0</v>
      </c>
      <c r="V44" s="50">
        <f t="shared" si="27"/>
        <v>0</v>
      </c>
      <c r="W44" s="50">
        <f t="shared" si="27"/>
        <v>0</v>
      </c>
      <c r="X44" s="50">
        <f t="shared" si="27"/>
        <v>0</v>
      </c>
      <c r="Y44" s="50">
        <f t="shared" si="27"/>
        <v>0</v>
      </c>
      <c r="Z44" s="50">
        <f t="shared" si="27"/>
        <v>0</v>
      </c>
      <c r="AA44" s="50">
        <f t="shared" si="27"/>
        <v>0</v>
      </c>
      <c r="AB44" s="50">
        <f t="shared" si="27"/>
        <v>0</v>
      </c>
      <c r="AC44" s="50">
        <f t="shared" si="27"/>
        <v>0</v>
      </c>
      <c r="AD44" s="50">
        <f t="shared" si="27"/>
        <v>0</v>
      </c>
      <c r="AE44" s="50">
        <f t="shared" si="27"/>
        <v>0</v>
      </c>
      <c r="AF44" s="50">
        <f t="shared" si="27"/>
        <v>0</v>
      </c>
      <c r="AG44" s="50">
        <f t="shared" si="27"/>
        <v>0</v>
      </c>
      <c r="AH44" s="50">
        <f t="shared" si="27"/>
        <v>0</v>
      </c>
      <c r="AI44" s="423"/>
      <c r="AJ44" s="423"/>
      <c r="AK44" s="50">
        <f t="shared" ref="AK44:BB44" si="28">IF(AK45&lt;&gt;"",AK45*$BC44,0)</f>
        <v>0</v>
      </c>
      <c r="AL44" s="50">
        <f t="shared" si="28"/>
        <v>0</v>
      </c>
      <c r="AM44" s="50">
        <f t="shared" si="28"/>
        <v>0</v>
      </c>
      <c r="AN44" s="50">
        <f t="shared" si="28"/>
        <v>0</v>
      </c>
      <c r="AO44" s="50">
        <f t="shared" si="28"/>
        <v>0</v>
      </c>
      <c r="AP44" s="50">
        <f t="shared" si="28"/>
        <v>0</v>
      </c>
      <c r="AQ44" s="50">
        <f t="shared" si="28"/>
        <v>0</v>
      </c>
      <c r="AR44" s="50">
        <f t="shared" si="28"/>
        <v>0</v>
      </c>
      <c r="AS44" s="50">
        <f t="shared" si="28"/>
        <v>0</v>
      </c>
      <c r="AT44" s="50">
        <f t="shared" si="28"/>
        <v>0</v>
      </c>
      <c r="AU44" s="50">
        <f t="shared" si="28"/>
        <v>0</v>
      </c>
      <c r="AV44" s="50">
        <f t="shared" si="28"/>
        <v>0</v>
      </c>
      <c r="AW44" s="50">
        <f t="shared" si="28"/>
        <v>0</v>
      </c>
      <c r="AX44" s="50">
        <f t="shared" si="28"/>
        <v>0</v>
      </c>
      <c r="AY44" s="50">
        <f t="shared" si="28"/>
        <v>0</v>
      </c>
      <c r="AZ44" s="50">
        <f t="shared" si="28"/>
        <v>0</v>
      </c>
      <c r="BA44" s="50">
        <f t="shared" si="28"/>
        <v>0</v>
      </c>
      <c r="BB44" s="50">
        <f t="shared" si="28"/>
        <v>0</v>
      </c>
      <c r="BC44" s="443">
        <f>IF($B44&lt;&gt;"",VLOOKUP($B44,RESUMO_FASES!$A$12:$H$34,8),"")</f>
        <v>129363.94999999997</v>
      </c>
      <c r="BD44" s="443">
        <f>IF($B44&lt;&gt;"",VLOOKUP($B44,RESUMO_FASES!$A$12:$H$34,6),"")</f>
        <v>0</v>
      </c>
      <c r="BF44" s="424">
        <f t="shared" si="4"/>
        <v>0</v>
      </c>
      <c r="BG44" s="441"/>
      <c r="BH44" s="297"/>
    </row>
    <row r="45" spans="1:60" s="295" customFormat="1">
      <c r="A45" s="295">
        <v>33</v>
      </c>
      <c r="B45" s="294"/>
      <c r="C45" s="141" t="s">
        <v>3051</v>
      </c>
      <c r="D45" s="139"/>
      <c r="E45" s="425"/>
      <c r="F45" s="425"/>
      <c r="G45" s="425"/>
      <c r="H45" s="425"/>
      <c r="I45" s="425"/>
      <c r="J45" s="425"/>
      <c r="K45" s="425"/>
      <c r="L45" s="425"/>
      <c r="M45" s="425">
        <v>0.5</v>
      </c>
      <c r="N45" s="425">
        <v>0.5</v>
      </c>
      <c r="O45" s="425"/>
      <c r="P45" s="425"/>
      <c r="Q45" s="425"/>
      <c r="R45" s="425"/>
      <c r="S45" s="425"/>
      <c r="T45" s="425"/>
      <c r="U45" s="425"/>
      <c r="V45" s="425"/>
      <c r="W45" s="425"/>
      <c r="X45" s="425"/>
      <c r="Y45" s="425"/>
      <c r="Z45" s="425"/>
      <c r="AA45" s="425"/>
      <c r="AB45" s="425"/>
      <c r="AC45" s="425"/>
      <c r="AD45" s="425"/>
      <c r="AE45" s="425"/>
      <c r="AF45" s="425"/>
      <c r="AG45" s="425"/>
      <c r="AH45" s="425"/>
      <c r="AI45" s="422"/>
      <c r="AJ45" s="422"/>
      <c r="AK45" s="425"/>
      <c r="AL45" s="425"/>
      <c r="AM45" s="425"/>
      <c r="AN45" s="425"/>
      <c r="AO45" s="425"/>
      <c r="AP45" s="425"/>
      <c r="AQ45" s="425"/>
      <c r="AR45" s="425"/>
      <c r="AS45" s="425"/>
      <c r="AT45" s="425"/>
      <c r="AU45" s="425"/>
      <c r="AV45" s="425"/>
      <c r="AW45" s="425"/>
      <c r="AX45" s="425"/>
      <c r="AY45" s="425"/>
      <c r="AZ45" s="425"/>
      <c r="BA45" s="425"/>
      <c r="BB45" s="425"/>
      <c r="BC45" s="140"/>
      <c r="BD45" s="140"/>
      <c r="BF45" s="424"/>
      <c r="BG45" s="442">
        <f>SUM(E45:BB45)</f>
        <v>1</v>
      </c>
      <c r="BH45" s="296"/>
    </row>
    <row r="46" spans="1:60" s="292" customFormat="1">
      <c r="A46" s="292">
        <v>34</v>
      </c>
      <c r="B46" s="291">
        <v>17</v>
      </c>
      <c r="C46" s="55" t="str">
        <f>IF($B46&lt;&gt;"",VLOOKUP($B46,ORC!$E:$N,4,0),"")</f>
        <v>PAVIMENTAÇÃO</v>
      </c>
      <c r="D46" s="49">
        <f>+BC46/BC$56</f>
        <v>3.9891104252707456E-2</v>
      </c>
      <c r="E46" s="50">
        <f>IF(E47&lt;&gt;"",E47*$BC46,0)</f>
        <v>0</v>
      </c>
      <c r="F46" s="50">
        <f t="shared" ref="F46:AH46" si="29">IF(F47&lt;&gt;"",F47*$BC46,0)</f>
        <v>0</v>
      </c>
      <c r="G46" s="50">
        <f t="shared" si="29"/>
        <v>0</v>
      </c>
      <c r="H46" s="50">
        <f t="shared" si="29"/>
        <v>0</v>
      </c>
      <c r="I46" s="50">
        <f t="shared" si="29"/>
        <v>0</v>
      </c>
      <c r="J46" s="50">
        <f t="shared" si="29"/>
        <v>0</v>
      </c>
      <c r="K46" s="50">
        <f t="shared" si="29"/>
        <v>0</v>
      </c>
      <c r="L46" s="50">
        <f t="shared" si="29"/>
        <v>0</v>
      </c>
      <c r="M46" s="50">
        <f t="shared" si="29"/>
        <v>25257.528000000002</v>
      </c>
      <c r="N46" s="50">
        <f t="shared" si="29"/>
        <v>58934.232000000004</v>
      </c>
      <c r="O46" s="50">
        <f t="shared" si="29"/>
        <v>0</v>
      </c>
      <c r="P46" s="50">
        <f t="shared" si="29"/>
        <v>0</v>
      </c>
      <c r="Q46" s="50">
        <f t="shared" si="29"/>
        <v>0</v>
      </c>
      <c r="R46" s="50">
        <f t="shared" si="29"/>
        <v>0</v>
      </c>
      <c r="S46" s="50">
        <f t="shared" si="29"/>
        <v>0</v>
      </c>
      <c r="T46" s="50">
        <f t="shared" si="29"/>
        <v>0</v>
      </c>
      <c r="U46" s="50">
        <f t="shared" si="29"/>
        <v>0</v>
      </c>
      <c r="V46" s="50">
        <f t="shared" si="29"/>
        <v>0</v>
      </c>
      <c r="W46" s="50">
        <f t="shared" si="29"/>
        <v>0</v>
      </c>
      <c r="X46" s="50">
        <f t="shared" si="29"/>
        <v>0</v>
      </c>
      <c r="Y46" s="50">
        <f t="shared" si="29"/>
        <v>0</v>
      </c>
      <c r="Z46" s="50">
        <f t="shared" si="29"/>
        <v>0</v>
      </c>
      <c r="AA46" s="50">
        <f t="shared" si="29"/>
        <v>0</v>
      </c>
      <c r="AB46" s="50">
        <f t="shared" si="29"/>
        <v>0</v>
      </c>
      <c r="AC46" s="50">
        <f t="shared" si="29"/>
        <v>0</v>
      </c>
      <c r="AD46" s="50">
        <f t="shared" si="29"/>
        <v>0</v>
      </c>
      <c r="AE46" s="50">
        <f t="shared" si="29"/>
        <v>0</v>
      </c>
      <c r="AF46" s="50">
        <f t="shared" si="29"/>
        <v>0</v>
      </c>
      <c r="AG46" s="50">
        <f t="shared" si="29"/>
        <v>0</v>
      </c>
      <c r="AH46" s="50">
        <f t="shared" si="29"/>
        <v>0</v>
      </c>
      <c r="AI46" s="423"/>
      <c r="AJ46" s="423"/>
      <c r="AK46" s="50">
        <f t="shared" ref="AK46:BB46" si="30">IF(AK47&lt;&gt;"",AK47*$BC46,0)</f>
        <v>0</v>
      </c>
      <c r="AL46" s="50">
        <f t="shared" si="30"/>
        <v>0</v>
      </c>
      <c r="AM46" s="50">
        <f t="shared" si="30"/>
        <v>0</v>
      </c>
      <c r="AN46" s="50">
        <f t="shared" si="30"/>
        <v>0</v>
      </c>
      <c r="AO46" s="50">
        <f t="shared" si="30"/>
        <v>0</v>
      </c>
      <c r="AP46" s="50">
        <f t="shared" si="30"/>
        <v>0</v>
      </c>
      <c r="AQ46" s="50">
        <f t="shared" si="30"/>
        <v>0</v>
      </c>
      <c r="AR46" s="50">
        <f t="shared" si="30"/>
        <v>0</v>
      </c>
      <c r="AS46" s="50">
        <f t="shared" si="30"/>
        <v>0</v>
      </c>
      <c r="AT46" s="50">
        <f t="shared" si="30"/>
        <v>0</v>
      </c>
      <c r="AU46" s="50">
        <f t="shared" si="30"/>
        <v>0</v>
      </c>
      <c r="AV46" s="50">
        <f t="shared" si="30"/>
        <v>0</v>
      </c>
      <c r="AW46" s="50">
        <f t="shared" si="30"/>
        <v>0</v>
      </c>
      <c r="AX46" s="50">
        <f t="shared" si="30"/>
        <v>0</v>
      </c>
      <c r="AY46" s="50">
        <f t="shared" si="30"/>
        <v>0</v>
      </c>
      <c r="AZ46" s="50">
        <f t="shared" si="30"/>
        <v>0</v>
      </c>
      <c r="BA46" s="50">
        <f t="shared" si="30"/>
        <v>0</v>
      </c>
      <c r="BB46" s="50">
        <f t="shared" si="30"/>
        <v>0</v>
      </c>
      <c r="BC46" s="443">
        <f>IF($B46&lt;&gt;"",VLOOKUP($B46,RESUMO_FASES!$A$12:$H$34,8),"")</f>
        <v>84191.760000000009</v>
      </c>
      <c r="BD46" s="443">
        <f>IF($B46&lt;&gt;"",VLOOKUP($B46,RESUMO_FASES!$A$12:$H$34,6),"")</f>
        <v>0</v>
      </c>
      <c r="BF46" s="424">
        <f t="shared" si="4"/>
        <v>0</v>
      </c>
      <c r="BG46" s="441"/>
      <c r="BH46" s="297"/>
    </row>
    <row r="47" spans="1:60" s="295" customFormat="1">
      <c r="A47" s="295">
        <v>35</v>
      </c>
      <c r="B47" s="294"/>
      <c r="C47" s="141" t="s">
        <v>3051</v>
      </c>
      <c r="D47" s="139"/>
      <c r="E47" s="425"/>
      <c r="F47" s="425"/>
      <c r="G47" s="425"/>
      <c r="H47" s="425"/>
      <c r="I47" s="425"/>
      <c r="J47" s="425"/>
      <c r="K47" s="425"/>
      <c r="L47" s="425"/>
      <c r="M47" s="425">
        <v>0.3</v>
      </c>
      <c r="N47" s="425">
        <v>0.7</v>
      </c>
      <c r="O47" s="425"/>
      <c r="P47" s="425"/>
      <c r="Q47" s="425"/>
      <c r="R47" s="425"/>
      <c r="S47" s="425"/>
      <c r="T47" s="425"/>
      <c r="U47" s="425"/>
      <c r="V47" s="425"/>
      <c r="W47" s="425"/>
      <c r="X47" s="425"/>
      <c r="Y47" s="425"/>
      <c r="Z47" s="425"/>
      <c r="AA47" s="425"/>
      <c r="AB47" s="425"/>
      <c r="AC47" s="425"/>
      <c r="AD47" s="425"/>
      <c r="AE47" s="425"/>
      <c r="AF47" s="425"/>
      <c r="AG47" s="425"/>
      <c r="AH47" s="425"/>
      <c r="AI47" s="422"/>
      <c r="AJ47" s="422"/>
      <c r="AK47" s="425"/>
      <c r="AL47" s="425"/>
      <c r="AM47" s="425"/>
      <c r="AN47" s="425"/>
      <c r="AO47" s="425"/>
      <c r="AP47" s="425"/>
      <c r="AQ47" s="425"/>
      <c r="AR47" s="425"/>
      <c r="AS47" s="425"/>
      <c r="AT47" s="425"/>
      <c r="AU47" s="425"/>
      <c r="AV47" s="425"/>
      <c r="AW47" s="425"/>
      <c r="AX47" s="425"/>
      <c r="AY47" s="425"/>
      <c r="AZ47" s="425"/>
      <c r="BA47" s="425"/>
      <c r="BB47" s="425"/>
      <c r="BC47" s="140"/>
      <c r="BD47" s="140"/>
      <c r="BF47" s="424"/>
      <c r="BG47" s="442">
        <f>SUM(E47:BB47)</f>
        <v>1</v>
      </c>
      <c r="BH47" s="296"/>
    </row>
    <row r="48" spans="1:60" s="292" customFormat="1">
      <c r="A48" s="292">
        <v>36</v>
      </c>
      <c r="B48" s="291">
        <v>18</v>
      </c>
      <c r="C48" s="55" t="str">
        <f>IF($B48&lt;&gt;"",VLOOKUP($B48,ORC!$E:$N,4,0),"")</f>
        <v xml:space="preserve">LIMPEZA FINAL DE OBRA </v>
      </c>
      <c r="D48" s="49">
        <f>+BC48/BC$56</f>
        <v>1.3822198996567569E-3</v>
      </c>
      <c r="E48" s="50">
        <f>IF(E49&lt;&gt;"",E49*$BC48,0)</f>
        <v>0</v>
      </c>
      <c r="F48" s="50">
        <f t="shared" ref="F48:AH48" si="31">IF(F49&lt;&gt;"",F49*$BC48,0)</f>
        <v>0</v>
      </c>
      <c r="G48" s="50">
        <f t="shared" si="31"/>
        <v>0</v>
      </c>
      <c r="H48" s="50">
        <f t="shared" si="31"/>
        <v>0</v>
      </c>
      <c r="I48" s="50">
        <f t="shared" si="31"/>
        <v>0</v>
      </c>
      <c r="J48" s="50">
        <f t="shared" si="31"/>
        <v>0</v>
      </c>
      <c r="K48" s="50">
        <f t="shared" si="31"/>
        <v>0</v>
      </c>
      <c r="L48" s="50">
        <f t="shared" si="31"/>
        <v>0</v>
      </c>
      <c r="M48" s="50">
        <f t="shared" si="31"/>
        <v>0</v>
      </c>
      <c r="N48" s="50">
        <f t="shared" si="31"/>
        <v>2917.23</v>
      </c>
      <c r="O48" s="50">
        <f t="shared" si="31"/>
        <v>0</v>
      </c>
      <c r="P48" s="50">
        <f t="shared" si="31"/>
        <v>0</v>
      </c>
      <c r="Q48" s="50">
        <f t="shared" si="31"/>
        <v>0</v>
      </c>
      <c r="R48" s="50">
        <f t="shared" si="31"/>
        <v>0</v>
      </c>
      <c r="S48" s="50">
        <f t="shared" si="31"/>
        <v>0</v>
      </c>
      <c r="T48" s="50">
        <f t="shared" si="31"/>
        <v>0</v>
      </c>
      <c r="U48" s="50">
        <f t="shared" si="31"/>
        <v>0</v>
      </c>
      <c r="V48" s="50">
        <f t="shared" si="31"/>
        <v>0</v>
      </c>
      <c r="W48" s="50">
        <f t="shared" si="31"/>
        <v>0</v>
      </c>
      <c r="X48" s="50">
        <f t="shared" si="31"/>
        <v>0</v>
      </c>
      <c r="Y48" s="50">
        <f t="shared" si="31"/>
        <v>0</v>
      </c>
      <c r="Z48" s="50">
        <f t="shared" si="31"/>
        <v>0</v>
      </c>
      <c r="AA48" s="50">
        <f t="shared" si="31"/>
        <v>0</v>
      </c>
      <c r="AB48" s="50">
        <f t="shared" si="31"/>
        <v>0</v>
      </c>
      <c r="AC48" s="50">
        <f t="shared" si="31"/>
        <v>0</v>
      </c>
      <c r="AD48" s="50">
        <f t="shared" si="31"/>
        <v>0</v>
      </c>
      <c r="AE48" s="50">
        <f t="shared" si="31"/>
        <v>0</v>
      </c>
      <c r="AF48" s="50">
        <f t="shared" si="31"/>
        <v>0</v>
      </c>
      <c r="AG48" s="50">
        <f t="shared" si="31"/>
        <v>0</v>
      </c>
      <c r="AH48" s="50">
        <f t="shared" si="31"/>
        <v>0</v>
      </c>
      <c r="AI48" s="423"/>
      <c r="AJ48" s="423"/>
      <c r="AK48" s="50">
        <f t="shared" ref="AK48:BB48" si="32">IF(AK49&lt;&gt;"",AK49*$BC48,0)</f>
        <v>0</v>
      </c>
      <c r="AL48" s="50">
        <f t="shared" si="32"/>
        <v>0</v>
      </c>
      <c r="AM48" s="50">
        <f t="shared" si="32"/>
        <v>0</v>
      </c>
      <c r="AN48" s="50">
        <f t="shared" si="32"/>
        <v>0</v>
      </c>
      <c r="AO48" s="50">
        <f t="shared" si="32"/>
        <v>0</v>
      </c>
      <c r="AP48" s="50">
        <f t="shared" si="32"/>
        <v>0</v>
      </c>
      <c r="AQ48" s="50">
        <f t="shared" si="32"/>
        <v>0</v>
      </c>
      <c r="AR48" s="50">
        <f t="shared" si="32"/>
        <v>0</v>
      </c>
      <c r="AS48" s="50">
        <f t="shared" si="32"/>
        <v>0</v>
      </c>
      <c r="AT48" s="50">
        <f t="shared" si="32"/>
        <v>0</v>
      </c>
      <c r="AU48" s="50">
        <f t="shared" si="32"/>
        <v>0</v>
      </c>
      <c r="AV48" s="50">
        <f t="shared" si="32"/>
        <v>0</v>
      </c>
      <c r="AW48" s="50">
        <f t="shared" si="32"/>
        <v>0</v>
      </c>
      <c r="AX48" s="50">
        <f t="shared" si="32"/>
        <v>0</v>
      </c>
      <c r="AY48" s="50">
        <f t="shared" si="32"/>
        <v>0</v>
      </c>
      <c r="AZ48" s="50">
        <f t="shared" si="32"/>
        <v>0</v>
      </c>
      <c r="BA48" s="50">
        <f t="shared" si="32"/>
        <v>0</v>
      </c>
      <c r="BB48" s="50">
        <f t="shared" si="32"/>
        <v>0</v>
      </c>
      <c r="BC48" s="443">
        <f>IF($B48&lt;&gt;"",VLOOKUP($B48,RESUMO_FASES!$A$12:$H$34,8),"")</f>
        <v>2917.23</v>
      </c>
      <c r="BD48" s="443">
        <f>IF($B48&lt;&gt;"",VLOOKUP($B48,RESUMO_FASES!$A$12:$H$34,6),"")</f>
        <v>0</v>
      </c>
      <c r="BF48" s="424">
        <f t="shared" si="4"/>
        <v>0</v>
      </c>
      <c r="BG48" s="441"/>
      <c r="BH48" s="297"/>
    </row>
    <row r="49" spans="1:60" s="295" customFormat="1">
      <c r="A49" s="295">
        <v>37</v>
      </c>
      <c r="B49" s="294"/>
      <c r="C49" s="141" t="s">
        <v>3051</v>
      </c>
      <c r="D49" s="139"/>
      <c r="E49" s="425"/>
      <c r="F49" s="425"/>
      <c r="G49" s="425"/>
      <c r="H49" s="425"/>
      <c r="I49" s="425"/>
      <c r="J49" s="425"/>
      <c r="K49" s="425"/>
      <c r="L49" s="425"/>
      <c r="M49" s="425"/>
      <c r="N49" s="425">
        <v>1</v>
      </c>
      <c r="O49" s="425"/>
      <c r="P49" s="425"/>
      <c r="Q49" s="425"/>
      <c r="R49" s="425"/>
      <c r="S49" s="425"/>
      <c r="T49" s="425"/>
      <c r="U49" s="425"/>
      <c r="V49" s="425"/>
      <c r="W49" s="425"/>
      <c r="X49" s="425"/>
      <c r="Y49" s="425"/>
      <c r="Z49" s="425"/>
      <c r="AA49" s="425"/>
      <c r="AB49" s="425"/>
      <c r="AC49" s="425"/>
      <c r="AD49" s="425"/>
      <c r="AE49" s="425"/>
      <c r="AF49" s="425"/>
      <c r="AG49" s="425"/>
      <c r="AH49" s="425"/>
      <c r="AI49" s="422"/>
      <c r="AJ49" s="422"/>
      <c r="AK49" s="425"/>
      <c r="AL49" s="425"/>
      <c r="AM49" s="425"/>
      <c r="AN49" s="425"/>
      <c r="AO49" s="425"/>
      <c r="AP49" s="425"/>
      <c r="AQ49" s="425"/>
      <c r="AR49" s="425"/>
      <c r="AS49" s="425"/>
      <c r="AT49" s="425"/>
      <c r="AU49" s="425"/>
      <c r="AV49" s="425"/>
      <c r="AW49" s="425"/>
      <c r="AX49" s="425"/>
      <c r="AY49" s="425"/>
      <c r="AZ49" s="425"/>
      <c r="BA49" s="425"/>
      <c r="BB49" s="425"/>
      <c r="BC49" s="140"/>
      <c r="BD49" s="140"/>
      <c r="BF49" s="424"/>
      <c r="BG49" s="442">
        <f>SUM(E49:BB49)</f>
        <v>1</v>
      </c>
      <c r="BH49" s="296"/>
    </row>
    <row r="50" spans="1:60" s="292" customFormat="1">
      <c r="A50" s="292">
        <v>38</v>
      </c>
      <c r="B50" s="291"/>
      <c r="C50" s="55" t="str">
        <f>IF($B50&lt;&gt;"",VLOOKUP($B50,ORC!$E:$N,4,0),"")</f>
        <v/>
      </c>
      <c r="D50" s="49"/>
      <c r="E50" s="50">
        <f>IF(E51&lt;&gt;"",E51*$BC50,0)</f>
        <v>0</v>
      </c>
      <c r="F50" s="50">
        <f t="shared" ref="F50:AH50" si="33">IF(F51&lt;&gt;"",F51*$BC50,0)</f>
        <v>0</v>
      </c>
      <c r="G50" s="50">
        <f t="shared" si="33"/>
        <v>0</v>
      </c>
      <c r="H50" s="50">
        <f t="shared" si="33"/>
        <v>0</v>
      </c>
      <c r="I50" s="50">
        <f t="shared" si="33"/>
        <v>0</v>
      </c>
      <c r="J50" s="50">
        <f t="shared" si="33"/>
        <v>0</v>
      </c>
      <c r="K50" s="50">
        <f t="shared" si="33"/>
        <v>0</v>
      </c>
      <c r="L50" s="50">
        <f t="shared" si="33"/>
        <v>0</v>
      </c>
      <c r="M50" s="50">
        <f t="shared" si="33"/>
        <v>0</v>
      </c>
      <c r="N50" s="50">
        <f t="shared" si="33"/>
        <v>0</v>
      </c>
      <c r="O50" s="50">
        <f t="shared" si="33"/>
        <v>0</v>
      </c>
      <c r="P50" s="50">
        <f t="shared" si="33"/>
        <v>0</v>
      </c>
      <c r="Q50" s="50">
        <f t="shared" si="33"/>
        <v>0</v>
      </c>
      <c r="R50" s="50">
        <f t="shared" si="33"/>
        <v>0</v>
      </c>
      <c r="S50" s="50">
        <f t="shared" si="33"/>
        <v>0</v>
      </c>
      <c r="T50" s="50">
        <f t="shared" si="33"/>
        <v>0</v>
      </c>
      <c r="U50" s="50">
        <f t="shared" si="33"/>
        <v>0</v>
      </c>
      <c r="V50" s="50">
        <f t="shared" si="33"/>
        <v>0</v>
      </c>
      <c r="W50" s="50">
        <f t="shared" si="33"/>
        <v>0</v>
      </c>
      <c r="X50" s="50">
        <f t="shared" si="33"/>
        <v>0</v>
      </c>
      <c r="Y50" s="50">
        <f t="shared" si="33"/>
        <v>0</v>
      </c>
      <c r="Z50" s="50">
        <f t="shared" si="33"/>
        <v>0</v>
      </c>
      <c r="AA50" s="50">
        <f t="shared" si="33"/>
        <v>0</v>
      </c>
      <c r="AB50" s="50">
        <f t="shared" si="33"/>
        <v>0</v>
      </c>
      <c r="AC50" s="50">
        <f t="shared" si="33"/>
        <v>0</v>
      </c>
      <c r="AD50" s="50">
        <f t="shared" si="33"/>
        <v>0</v>
      </c>
      <c r="AE50" s="50">
        <f t="shared" si="33"/>
        <v>0</v>
      </c>
      <c r="AF50" s="50">
        <f t="shared" si="33"/>
        <v>0</v>
      </c>
      <c r="AG50" s="50">
        <f t="shared" si="33"/>
        <v>0</v>
      </c>
      <c r="AH50" s="50">
        <f t="shared" si="33"/>
        <v>0</v>
      </c>
      <c r="AI50" s="423"/>
      <c r="AJ50" s="423"/>
      <c r="AK50" s="50">
        <f t="shared" ref="AK50:BB50" si="34">IF(AK51&lt;&gt;"",AK51*$BC50,0)</f>
        <v>0</v>
      </c>
      <c r="AL50" s="50">
        <f t="shared" si="34"/>
        <v>0</v>
      </c>
      <c r="AM50" s="50">
        <f t="shared" si="34"/>
        <v>0</v>
      </c>
      <c r="AN50" s="50">
        <f t="shared" si="34"/>
        <v>0</v>
      </c>
      <c r="AO50" s="50">
        <f t="shared" si="34"/>
        <v>0</v>
      </c>
      <c r="AP50" s="50">
        <f t="shared" si="34"/>
        <v>0</v>
      </c>
      <c r="AQ50" s="50">
        <f t="shared" si="34"/>
        <v>0</v>
      </c>
      <c r="AR50" s="50">
        <f t="shared" si="34"/>
        <v>0</v>
      </c>
      <c r="AS50" s="50">
        <f t="shared" si="34"/>
        <v>0</v>
      </c>
      <c r="AT50" s="50">
        <f t="shared" si="34"/>
        <v>0</v>
      </c>
      <c r="AU50" s="50">
        <f t="shared" si="34"/>
        <v>0</v>
      </c>
      <c r="AV50" s="50">
        <f t="shared" si="34"/>
        <v>0</v>
      </c>
      <c r="AW50" s="50">
        <f t="shared" si="34"/>
        <v>0</v>
      </c>
      <c r="AX50" s="50">
        <f t="shared" si="34"/>
        <v>0</v>
      </c>
      <c r="AY50" s="50">
        <f t="shared" si="34"/>
        <v>0</v>
      </c>
      <c r="AZ50" s="50">
        <f t="shared" si="34"/>
        <v>0</v>
      </c>
      <c r="BA50" s="50">
        <f t="shared" si="34"/>
        <v>0</v>
      </c>
      <c r="BB50" s="50">
        <f t="shared" si="34"/>
        <v>0</v>
      </c>
      <c r="BC50" s="443" t="str">
        <f>IF($B50&lt;&gt;"",VLOOKUP($B50,RESUMO_FASES!$A$12:$H$34,8),"")</f>
        <v/>
      </c>
      <c r="BD50" s="443" t="str">
        <f>IF($B50&lt;&gt;"",VLOOKUP($B50,RESUMO_FASES!$A$12:$H$34,6),"")</f>
        <v/>
      </c>
      <c r="BF50" s="424" t="e">
        <f t="shared" si="4"/>
        <v>#VALUE!</v>
      </c>
      <c r="BG50" s="441"/>
      <c r="BH50" s="297"/>
    </row>
    <row r="51" spans="1:60" s="295" customFormat="1">
      <c r="A51" s="295">
        <v>39</v>
      </c>
      <c r="B51" s="294"/>
      <c r="C51" s="141" t="s">
        <v>3051</v>
      </c>
      <c r="D51" s="139"/>
      <c r="E51" s="425"/>
      <c r="F51" s="425"/>
      <c r="G51" s="425"/>
      <c r="H51" s="425"/>
      <c r="I51" s="425"/>
      <c r="J51" s="425"/>
      <c r="K51" s="425"/>
      <c r="L51" s="425"/>
      <c r="M51" s="425"/>
      <c r="N51" s="425"/>
      <c r="O51" s="425"/>
      <c r="P51" s="425"/>
      <c r="Q51" s="425"/>
      <c r="R51" s="425"/>
      <c r="S51" s="425"/>
      <c r="T51" s="425"/>
      <c r="U51" s="425"/>
      <c r="V51" s="425"/>
      <c r="W51" s="425"/>
      <c r="X51" s="425"/>
      <c r="Y51" s="425"/>
      <c r="Z51" s="425"/>
      <c r="AA51" s="425"/>
      <c r="AB51" s="425"/>
      <c r="AC51" s="425"/>
      <c r="AD51" s="425"/>
      <c r="AE51" s="425"/>
      <c r="AF51" s="425"/>
      <c r="AG51" s="425"/>
      <c r="AH51" s="425"/>
      <c r="AI51" s="422"/>
      <c r="AJ51" s="422"/>
      <c r="AK51" s="425"/>
      <c r="AL51" s="425"/>
      <c r="AM51" s="425"/>
      <c r="AN51" s="425"/>
      <c r="AO51" s="425"/>
      <c r="AP51" s="425"/>
      <c r="AQ51" s="425"/>
      <c r="AR51" s="425"/>
      <c r="AS51" s="425"/>
      <c r="AT51" s="425"/>
      <c r="AU51" s="425"/>
      <c r="AV51" s="425"/>
      <c r="AW51" s="425"/>
      <c r="AX51" s="425"/>
      <c r="AY51" s="425"/>
      <c r="AZ51" s="425"/>
      <c r="BA51" s="425"/>
      <c r="BB51" s="425"/>
      <c r="BC51" s="140"/>
      <c r="BD51" s="140"/>
      <c r="BF51" s="424"/>
      <c r="BG51" s="442">
        <f>SUM(E51:BB51)</f>
        <v>0</v>
      </c>
      <c r="BH51" s="296"/>
    </row>
    <row r="52" spans="1:60" s="292" customFormat="1">
      <c r="A52" s="292">
        <v>40</v>
      </c>
      <c r="B52" s="291"/>
      <c r="C52" s="55" t="str">
        <f>IF($B52&lt;&gt;"",VLOOKUP($B52,ORC!$E:$N,4,0),"")</f>
        <v/>
      </c>
      <c r="D52" s="49"/>
      <c r="E52" s="50"/>
      <c r="F52" s="50">
        <f t="shared" ref="F52:AH52" si="35">IF(F53&lt;&gt;"",F53*$BC52,0)</f>
        <v>0</v>
      </c>
      <c r="G52" s="50">
        <f t="shared" si="35"/>
        <v>0</v>
      </c>
      <c r="H52" s="50">
        <f t="shared" si="35"/>
        <v>0</v>
      </c>
      <c r="I52" s="50">
        <f t="shared" si="35"/>
        <v>0</v>
      </c>
      <c r="J52" s="50">
        <f t="shared" si="35"/>
        <v>0</v>
      </c>
      <c r="K52" s="50">
        <f t="shared" si="35"/>
        <v>0</v>
      </c>
      <c r="L52" s="50">
        <f t="shared" si="35"/>
        <v>0</v>
      </c>
      <c r="M52" s="50">
        <f t="shared" si="35"/>
        <v>0</v>
      </c>
      <c r="N52" s="50">
        <f t="shared" si="35"/>
        <v>0</v>
      </c>
      <c r="O52" s="50">
        <f t="shared" si="35"/>
        <v>0</v>
      </c>
      <c r="P52" s="50">
        <f t="shared" si="35"/>
        <v>0</v>
      </c>
      <c r="Q52" s="50">
        <f t="shared" si="35"/>
        <v>0</v>
      </c>
      <c r="R52" s="50">
        <f t="shared" si="35"/>
        <v>0</v>
      </c>
      <c r="S52" s="50">
        <f t="shared" si="35"/>
        <v>0</v>
      </c>
      <c r="T52" s="50">
        <f t="shared" si="35"/>
        <v>0</v>
      </c>
      <c r="U52" s="50">
        <f t="shared" si="35"/>
        <v>0</v>
      </c>
      <c r="V52" s="50">
        <f t="shared" si="35"/>
        <v>0</v>
      </c>
      <c r="W52" s="50">
        <f t="shared" si="35"/>
        <v>0</v>
      </c>
      <c r="X52" s="50">
        <f t="shared" si="35"/>
        <v>0</v>
      </c>
      <c r="Y52" s="50">
        <f t="shared" si="35"/>
        <v>0</v>
      </c>
      <c r="Z52" s="50">
        <f t="shared" si="35"/>
        <v>0</v>
      </c>
      <c r="AA52" s="50">
        <f t="shared" si="35"/>
        <v>0</v>
      </c>
      <c r="AB52" s="50">
        <f t="shared" si="35"/>
        <v>0</v>
      </c>
      <c r="AC52" s="50">
        <f t="shared" si="35"/>
        <v>0</v>
      </c>
      <c r="AD52" s="50">
        <f t="shared" si="35"/>
        <v>0</v>
      </c>
      <c r="AE52" s="50">
        <f t="shared" si="35"/>
        <v>0</v>
      </c>
      <c r="AF52" s="50">
        <f t="shared" si="35"/>
        <v>0</v>
      </c>
      <c r="AG52" s="50">
        <f t="shared" si="35"/>
        <v>0</v>
      </c>
      <c r="AH52" s="50">
        <f t="shared" si="35"/>
        <v>0</v>
      </c>
      <c r="AI52" s="423"/>
      <c r="AJ52" s="423"/>
      <c r="AK52" s="50">
        <f t="shared" ref="AK52:BB52" si="36">IF(AK53&lt;&gt;"",AK53*$BC52,0)</f>
        <v>0</v>
      </c>
      <c r="AL52" s="50">
        <f t="shared" si="36"/>
        <v>0</v>
      </c>
      <c r="AM52" s="50">
        <f t="shared" si="36"/>
        <v>0</v>
      </c>
      <c r="AN52" s="50">
        <f t="shared" si="36"/>
        <v>0</v>
      </c>
      <c r="AO52" s="50">
        <f t="shared" si="36"/>
        <v>0</v>
      </c>
      <c r="AP52" s="50">
        <f t="shared" si="36"/>
        <v>0</v>
      </c>
      <c r="AQ52" s="50">
        <f t="shared" si="36"/>
        <v>0</v>
      </c>
      <c r="AR52" s="50">
        <f t="shared" si="36"/>
        <v>0</v>
      </c>
      <c r="AS52" s="50">
        <f t="shared" si="36"/>
        <v>0</v>
      </c>
      <c r="AT52" s="50">
        <f t="shared" si="36"/>
        <v>0</v>
      </c>
      <c r="AU52" s="50">
        <f t="shared" si="36"/>
        <v>0</v>
      </c>
      <c r="AV52" s="50">
        <f t="shared" si="36"/>
        <v>0</v>
      </c>
      <c r="AW52" s="50">
        <f t="shared" si="36"/>
        <v>0</v>
      </c>
      <c r="AX52" s="50">
        <f t="shared" si="36"/>
        <v>0</v>
      </c>
      <c r="AY52" s="50">
        <f t="shared" si="36"/>
        <v>0</v>
      </c>
      <c r="AZ52" s="50">
        <f t="shared" si="36"/>
        <v>0</v>
      </c>
      <c r="BA52" s="50">
        <f t="shared" si="36"/>
        <v>0</v>
      </c>
      <c r="BB52" s="50">
        <f t="shared" si="36"/>
        <v>0</v>
      </c>
      <c r="BC52" s="443" t="str">
        <f>IF($B52&lt;&gt;"",VLOOKUP($B52,RESUMO_FASES!$A$12:$H$34,8),"")</f>
        <v/>
      </c>
      <c r="BD52" s="443" t="str">
        <f>IF($B52&lt;&gt;"",VLOOKUP($B52,RESUMO_FASES!$A$12:$H$34,6),"")</f>
        <v/>
      </c>
      <c r="BF52" s="424" t="e">
        <f t="shared" si="4"/>
        <v>#VALUE!</v>
      </c>
      <c r="BG52" s="441"/>
      <c r="BH52" s="297"/>
    </row>
    <row r="53" spans="1:60" s="295" customFormat="1">
      <c r="A53" s="295">
        <v>41</v>
      </c>
      <c r="B53" s="294"/>
      <c r="C53" s="141" t="s">
        <v>3051</v>
      </c>
      <c r="D53" s="139"/>
      <c r="E53" s="425"/>
      <c r="F53" s="425"/>
      <c r="G53" s="425"/>
      <c r="H53" s="425"/>
      <c r="I53" s="425"/>
      <c r="J53" s="425"/>
      <c r="K53" s="425"/>
      <c r="L53" s="425"/>
      <c r="M53" s="425"/>
      <c r="N53" s="425"/>
      <c r="O53" s="425"/>
      <c r="P53" s="425"/>
      <c r="Q53" s="425"/>
      <c r="R53" s="425"/>
      <c r="S53" s="425"/>
      <c r="T53" s="425"/>
      <c r="U53" s="425"/>
      <c r="V53" s="425"/>
      <c r="W53" s="425"/>
      <c r="X53" s="425"/>
      <c r="Y53" s="425"/>
      <c r="Z53" s="425"/>
      <c r="AA53" s="425"/>
      <c r="AB53" s="425"/>
      <c r="AC53" s="425"/>
      <c r="AD53" s="425"/>
      <c r="AE53" s="425"/>
      <c r="AF53" s="425"/>
      <c r="AG53" s="425"/>
      <c r="AH53" s="425"/>
      <c r="AI53" s="422"/>
      <c r="AJ53" s="422"/>
      <c r="AK53" s="425"/>
      <c r="AL53" s="425"/>
      <c r="AM53" s="425"/>
      <c r="AN53" s="425"/>
      <c r="AO53" s="425"/>
      <c r="AP53" s="425"/>
      <c r="AQ53" s="425"/>
      <c r="AR53" s="425"/>
      <c r="AS53" s="425"/>
      <c r="AT53" s="425"/>
      <c r="AU53" s="425"/>
      <c r="AV53" s="425"/>
      <c r="AW53" s="425"/>
      <c r="AX53" s="425"/>
      <c r="AY53" s="425"/>
      <c r="AZ53" s="425"/>
      <c r="BA53" s="425"/>
      <c r="BB53" s="425"/>
      <c r="BC53" s="140"/>
      <c r="BD53" s="140"/>
      <c r="BF53" s="424"/>
      <c r="BG53" s="442">
        <f>SUM(E53:BB53)</f>
        <v>0</v>
      </c>
      <c r="BH53" s="296"/>
    </row>
    <row r="54" spans="1:60" s="292" customFormat="1">
      <c r="A54" s="295"/>
      <c r="B54" s="291"/>
      <c r="C54" s="55"/>
      <c r="D54" s="49"/>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423"/>
      <c r="AJ54" s="423"/>
      <c r="AK54" s="50"/>
      <c r="AL54" s="50"/>
      <c r="AM54" s="50"/>
      <c r="AN54" s="50"/>
      <c r="AO54" s="50"/>
      <c r="AP54" s="50"/>
      <c r="AQ54" s="50"/>
      <c r="AR54" s="50"/>
      <c r="AS54" s="50"/>
      <c r="AT54" s="50"/>
      <c r="AU54" s="50"/>
      <c r="AV54" s="50"/>
      <c r="AW54" s="50"/>
      <c r="AX54" s="50"/>
      <c r="AY54" s="50"/>
      <c r="AZ54" s="50"/>
      <c r="BA54" s="50"/>
      <c r="BB54" s="50"/>
      <c r="BC54" s="443"/>
      <c r="BD54" s="443"/>
      <c r="BF54" s="424"/>
      <c r="BG54" s="441"/>
      <c r="BH54" s="297"/>
    </row>
    <row r="55" spans="1:60" s="295" customFormat="1" ht="13.5" thickBot="1">
      <c r="A55" s="292"/>
      <c r="B55" s="294"/>
      <c r="C55" s="141"/>
      <c r="D55" s="139"/>
      <c r="E55" s="425"/>
      <c r="F55" s="425"/>
      <c r="G55" s="425"/>
      <c r="H55" s="425"/>
      <c r="I55" s="425"/>
      <c r="J55" s="425"/>
      <c r="K55" s="425"/>
      <c r="L55" s="425"/>
      <c r="M55" s="425"/>
      <c r="N55" s="425"/>
      <c r="O55" s="425"/>
      <c r="P55" s="425"/>
      <c r="Q55" s="425"/>
      <c r="R55" s="425"/>
      <c r="S55" s="425"/>
      <c r="T55" s="425"/>
      <c r="U55" s="425"/>
      <c r="V55" s="425"/>
      <c r="W55" s="425"/>
      <c r="X55" s="425"/>
      <c r="Y55" s="425"/>
      <c r="Z55" s="425"/>
      <c r="AA55" s="425"/>
      <c r="AB55" s="425"/>
      <c r="AC55" s="425"/>
      <c r="AD55" s="425"/>
      <c r="AE55" s="425"/>
      <c r="AF55" s="425"/>
      <c r="AG55" s="425"/>
      <c r="AH55" s="425"/>
      <c r="AI55" s="423"/>
      <c r="AJ55" s="423"/>
      <c r="AK55" s="425"/>
      <c r="AL55" s="425"/>
      <c r="AM55" s="425"/>
      <c r="AN55" s="425"/>
      <c r="AO55" s="425"/>
      <c r="AP55" s="425"/>
      <c r="AQ55" s="425"/>
      <c r="AR55" s="425"/>
      <c r="AS55" s="425"/>
      <c r="AT55" s="425"/>
      <c r="AU55" s="425"/>
      <c r="AV55" s="425"/>
      <c r="AW55" s="425"/>
      <c r="AX55" s="425"/>
      <c r="AY55" s="425"/>
      <c r="AZ55" s="425"/>
      <c r="BA55" s="425"/>
      <c r="BB55" s="425"/>
      <c r="BC55" s="140"/>
      <c r="BD55" s="140"/>
      <c r="BF55" s="424"/>
      <c r="BG55" s="442"/>
      <c r="BH55" s="296"/>
    </row>
    <row r="56" spans="1:60" ht="13.5" thickBot="1">
      <c r="A56" s="295">
        <v>123</v>
      </c>
      <c r="B56" s="1093" t="s">
        <v>5320</v>
      </c>
      <c r="C56" s="1094"/>
      <c r="D56" s="48">
        <f>SUM(D14:D55)</f>
        <v>1</v>
      </c>
      <c r="E56" s="68">
        <f>SUM(E14,E16,E18,E20,E22,E24,E26,E28,E30,E32,E34,E36,E38,E40,E42,E44,E46,E48,E50,E52,E54)</f>
        <v>120707.52143821976</v>
      </c>
      <c r="F56" s="68">
        <f t="shared" ref="F56:P56" si="37">SUM(F14,F16,F18,F20,F22,F24,F26,F28,F30,F32,F34,F36,F38,F40,F42,F44,F46,F48,F50,F52,F54)</f>
        <v>115556.5541559718</v>
      </c>
      <c r="G56" s="68">
        <f t="shared" si="37"/>
        <v>210783.86714391661</v>
      </c>
      <c r="H56" s="68">
        <f t="shared" si="37"/>
        <v>240254.23128925939</v>
      </c>
      <c r="I56" s="68">
        <f t="shared" si="37"/>
        <v>260436.51176131624</v>
      </c>
      <c r="J56" s="68">
        <f t="shared" si="37"/>
        <v>287759.68000457657</v>
      </c>
      <c r="K56" s="68">
        <f t="shared" si="37"/>
        <v>253953.87906969531</v>
      </c>
      <c r="L56" s="68">
        <f t="shared" si="37"/>
        <v>178645.2220754374</v>
      </c>
      <c r="M56" s="68">
        <f t="shared" si="37"/>
        <v>209806.04265160274</v>
      </c>
      <c r="N56" s="68">
        <f t="shared" si="37"/>
        <v>224251.32832590767</v>
      </c>
      <c r="O56" s="68">
        <f t="shared" si="37"/>
        <v>0</v>
      </c>
      <c r="P56" s="68">
        <f t="shared" si="37"/>
        <v>0</v>
      </c>
      <c r="Q56" s="68" t="e">
        <f>SUM(Q14,Q16,Q18,Q20,Q22,Q24,Q26,Q28,Q30,Q32,Q34,Q36,Q38,Q40,Q42,Q44,Q46,Q48,Q50,Q52,#REF!,#REF!,#REF!,#REF!,#REF!,#REF!,#REF!,#REF!,#REF!,#REF!,#REF!,#REF!,#REF!,#REF!,#REF!,#REF!,#REF!,#REF!,#REF!,#REF!,#REF!,#REF!,#REF!,#REF!,#REF!,#REF!,#REF!,#REF!,#REF!,#REF!,#REF!,#REF!,#REF!,#REF!,#REF!,#REF!,#REF!,#REF!,#REF!,Q54)</f>
        <v>#REF!</v>
      </c>
      <c r="R56" s="68" t="e">
        <f>SUM(R14,R16,R18,R20,R22,R24,R26,R28,R30,R32,R34,R36,R38,R40,R42,R44,R46,R48,R50,R52,#REF!,#REF!,#REF!,#REF!,#REF!,#REF!,#REF!,#REF!,#REF!,#REF!,#REF!,#REF!,#REF!,#REF!,#REF!,#REF!,#REF!,#REF!,#REF!,#REF!,#REF!,#REF!,#REF!,#REF!,#REF!,#REF!,#REF!,#REF!,#REF!,#REF!,#REF!,#REF!,#REF!,#REF!,#REF!,#REF!,#REF!,#REF!,#REF!,R54)</f>
        <v>#REF!</v>
      </c>
      <c r="S56" s="68" t="e">
        <f>SUM(S14,S16,S18,S20,S22,S24,S26,S28,S30,S32,S34,S36,S38,S40,S42,S44,S46,S48,S50,S52,#REF!,#REF!,#REF!,#REF!,#REF!,#REF!,#REF!,#REF!,#REF!,#REF!,#REF!,#REF!,#REF!,#REF!,#REF!,#REF!,#REF!,#REF!,#REF!,#REF!,#REF!,#REF!,#REF!,#REF!,#REF!,#REF!,#REF!,#REF!,#REF!,#REF!,#REF!,#REF!,#REF!,#REF!,#REF!,#REF!,#REF!,#REF!,#REF!,S54)</f>
        <v>#REF!</v>
      </c>
      <c r="T56" s="68" t="e">
        <f>SUM(T14,T16,T18,T20,T22,T24,T26,T28,T30,T32,T34,T36,T38,T40,T42,T44,T46,T48,T50,T52,#REF!,#REF!,#REF!,#REF!,#REF!,#REF!,#REF!,#REF!,#REF!,#REF!,#REF!,#REF!,#REF!,#REF!,#REF!,#REF!,#REF!,#REF!,#REF!,#REF!,#REF!,#REF!,#REF!,#REF!,#REF!,#REF!,#REF!,#REF!,#REF!,#REF!,#REF!,#REF!,#REF!,#REF!,#REF!,#REF!,#REF!,#REF!,#REF!,T54)</f>
        <v>#REF!</v>
      </c>
      <c r="U56" s="68" t="e">
        <f>SUM(U14,U16,U18,U20,U22,U24,U26,U28,U30,U32,U34,U36,U38,U40,U42,U44,U46,U48,U50,U52,#REF!,#REF!,#REF!,#REF!,#REF!,#REF!,#REF!,#REF!,#REF!,#REF!,#REF!,#REF!,#REF!,#REF!,#REF!,#REF!,#REF!,#REF!,#REF!,#REF!,#REF!,#REF!,#REF!,#REF!,#REF!,#REF!,#REF!,#REF!,#REF!,#REF!,#REF!,#REF!,#REF!,#REF!,#REF!,#REF!,#REF!,#REF!,#REF!,U54)</f>
        <v>#REF!</v>
      </c>
      <c r="V56" s="68" t="e">
        <f>SUM(V14,V16,V18,V20,V22,V24,V26,V28,V30,V32,V34,V36,V38,V40,V42,V44,V46,V48,V50,V52,#REF!,#REF!,#REF!,#REF!,#REF!,#REF!,#REF!,#REF!,#REF!,#REF!,#REF!,#REF!,#REF!,#REF!,#REF!,#REF!,#REF!,#REF!,#REF!,#REF!,#REF!,#REF!,#REF!,#REF!,#REF!,#REF!,#REF!,#REF!,#REF!,#REF!,#REF!,#REF!,#REF!,#REF!,#REF!,#REF!,#REF!,#REF!,#REF!,V54)</f>
        <v>#REF!</v>
      </c>
      <c r="W56" s="68" t="e">
        <f>SUM(W14,W16,W18,W20,W22,W24,W26,W28,W30,W32,W34,W36,W38,W40,W42,W44,W46,W48,W50,W52,#REF!,#REF!,#REF!,#REF!,#REF!,#REF!,#REF!,#REF!,#REF!,#REF!,#REF!,#REF!,#REF!,#REF!,#REF!,#REF!,#REF!,#REF!,#REF!,#REF!,#REF!,#REF!,#REF!,#REF!,#REF!,#REF!,#REF!,#REF!,#REF!,#REF!,#REF!,#REF!,#REF!,#REF!,#REF!,#REF!,#REF!,#REF!,#REF!,W54)</f>
        <v>#REF!</v>
      </c>
      <c r="X56" s="68" t="e">
        <f>SUM(X14,X16,X18,X20,X22,X24,X26,X28,X30,X32,X34,X36,X38,X40,X42,X44,X46,X48,X50,X52,#REF!,#REF!,#REF!,#REF!,#REF!,#REF!,#REF!,#REF!,#REF!,#REF!,#REF!,#REF!,#REF!,#REF!,#REF!,#REF!,#REF!,#REF!,#REF!,#REF!,#REF!,#REF!,#REF!,#REF!,#REF!,#REF!,#REF!,#REF!,#REF!,#REF!,#REF!,#REF!,#REF!,#REF!,#REF!,#REF!,#REF!,#REF!,#REF!,X54)</f>
        <v>#REF!</v>
      </c>
      <c r="Y56" s="68" t="e">
        <f>SUM(Y14,Y16,Y18,Y20,Y22,Y24,Y26,Y28,Y30,Y32,Y34,Y36,Y38,Y40,Y42,Y44,Y46,Y48,Y50,Y52,#REF!,#REF!,#REF!,#REF!,#REF!,#REF!,#REF!,#REF!,#REF!,#REF!,#REF!,#REF!,#REF!,#REF!,#REF!,#REF!,#REF!,#REF!,#REF!,#REF!,#REF!,#REF!,#REF!,#REF!,#REF!,#REF!,#REF!,#REF!,#REF!,#REF!,#REF!,#REF!,#REF!,#REF!,#REF!,#REF!,#REF!,#REF!,#REF!,Y54)</f>
        <v>#REF!</v>
      </c>
      <c r="Z56" s="68" t="e">
        <f>SUM(Z14,Z16,Z18,Z20,Z22,Z24,Z26,Z28,Z30,Z32,Z34,Z36,Z38,Z40,Z42,Z44,Z46,Z48,Z50,Z52,#REF!,#REF!,#REF!,#REF!,#REF!,#REF!,#REF!,#REF!,#REF!,#REF!,#REF!,#REF!,#REF!,#REF!,#REF!,#REF!,#REF!,#REF!,#REF!,#REF!,#REF!,#REF!,#REF!,#REF!,#REF!,#REF!,#REF!,#REF!,#REF!,#REF!,#REF!,#REF!,#REF!,#REF!,#REF!,#REF!,#REF!,#REF!,#REF!,Z54)</f>
        <v>#REF!</v>
      </c>
      <c r="AA56" s="68" t="e">
        <f>SUM(AA14,AA16,AA18,AA20,AA22,AA24,AA26,AA28,AA30,AA32,AA34,AA36,AA38,AA40,AA42,AA44,AA46,AA48,AA50,AA52,#REF!,#REF!,#REF!,#REF!,#REF!,#REF!,#REF!,#REF!,#REF!,#REF!,#REF!,#REF!,#REF!,#REF!,#REF!,#REF!,#REF!,#REF!,#REF!,#REF!,#REF!,#REF!,#REF!,#REF!,#REF!,#REF!,#REF!,#REF!,#REF!,#REF!,#REF!,#REF!,#REF!,#REF!,#REF!,#REF!,#REF!,#REF!,#REF!,AA54)</f>
        <v>#REF!</v>
      </c>
      <c r="AB56" s="68" t="e">
        <f>SUM(AB14,AB16,AB18,AB20,AB22,AB24,AB26,AB28,AB30,AB32,AB34,AB36,AB38,AB40,AB42,AB44,AB46,AB48,AB50,AB52,#REF!,#REF!,#REF!,#REF!,#REF!,#REF!,#REF!,#REF!,#REF!,#REF!,#REF!,#REF!,#REF!,#REF!,#REF!,#REF!,#REF!,#REF!,#REF!,#REF!,#REF!,#REF!,#REF!,#REF!,#REF!,#REF!,#REF!,#REF!,#REF!,#REF!,#REF!,#REF!,#REF!,#REF!,#REF!,#REF!,#REF!,#REF!,#REF!,AB54)</f>
        <v>#REF!</v>
      </c>
      <c r="AC56" s="68" t="e">
        <f>SUM(AC14,AC16,AC18,AC20,AC22,AC24,AC26,AC28,AC30,AC32,AC34,AC36,AC38,AC40,AC42,AC44,AC46,AC48,AC50,AC52,#REF!,#REF!,#REF!,#REF!,#REF!,#REF!,#REF!,#REF!,#REF!,#REF!,#REF!,#REF!,#REF!,#REF!,#REF!,#REF!,#REF!,#REF!,#REF!,#REF!,#REF!,#REF!,#REF!,#REF!,#REF!,#REF!,#REF!,#REF!,#REF!,#REF!,#REF!,#REF!,#REF!,#REF!,#REF!,#REF!,#REF!,#REF!,#REF!,AC54)</f>
        <v>#REF!</v>
      </c>
      <c r="AD56" s="68" t="e">
        <f>SUM(AD14,AD16,AD18,AD20,AD22,AD24,AD26,AD28,AD30,AD32,AD34,AD36,AD38,AD40,AD42,AD44,AD46,AD48,AD50,AD52,#REF!,#REF!,#REF!,#REF!,#REF!,#REF!,#REF!,#REF!,#REF!,#REF!,#REF!,#REF!,#REF!,#REF!,#REF!,#REF!,#REF!,#REF!,#REF!,#REF!,#REF!,#REF!,#REF!,#REF!,#REF!,#REF!,#REF!,#REF!,#REF!,#REF!,#REF!,#REF!,#REF!,#REF!,#REF!,#REF!,#REF!,#REF!,#REF!,AD54)</f>
        <v>#REF!</v>
      </c>
      <c r="AE56" s="68" t="e">
        <f>SUM(AE14,AE16,AE18,AE20,AE22,AE24,AE26,AE28,AE30,AE32,AE34,AE36,AE38,AE40,AE42,AE44,AE46,AE48,AE50,AE52,#REF!,#REF!,#REF!,#REF!,#REF!,#REF!,#REF!,#REF!,#REF!,#REF!,#REF!,#REF!,#REF!,#REF!,#REF!,#REF!,#REF!,#REF!,#REF!,#REF!,#REF!,#REF!,#REF!,#REF!,#REF!,#REF!,#REF!,#REF!,#REF!,#REF!,#REF!,#REF!,#REF!,#REF!,#REF!,#REF!,#REF!,#REF!,#REF!,AE54)</f>
        <v>#REF!</v>
      </c>
      <c r="AF56" s="68" t="e">
        <f>SUM(AF14,AF16,AF18,AF20,AF22,AF24,AF26,AF28,AF30,AF32,AF34,AF36,AF38,AF40,AF42,AF44,AF46,AF48,AF50,AF52,#REF!,#REF!,#REF!,#REF!,#REF!,#REF!,#REF!,#REF!,#REF!,#REF!,#REF!,#REF!,#REF!,#REF!,#REF!,#REF!,#REF!,#REF!,#REF!,#REF!,#REF!,#REF!,#REF!,#REF!,#REF!,#REF!,#REF!,#REF!,#REF!,#REF!,#REF!,#REF!,#REF!,#REF!,#REF!,#REF!,#REF!,#REF!,#REF!,AF54)</f>
        <v>#REF!</v>
      </c>
      <c r="AG56" s="68" t="e">
        <f>SUM(AG14,AG16,AG18,AG20,AG22,AG24,AG26,AG28,AG30,AG32,AG34,AG36,AG38,AG40,AG42,AG44,AG46,AG48,AG50,AG52,#REF!,#REF!,#REF!,#REF!,#REF!,#REF!,#REF!,#REF!,#REF!,#REF!,#REF!,#REF!,#REF!,#REF!,#REF!,#REF!,#REF!,#REF!,#REF!,#REF!,#REF!,#REF!,#REF!,#REF!,#REF!,#REF!,#REF!,#REF!,#REF!,#REF!,#REF!,#REF!,#REF!,#REF!,#REF!,#REF!,#REF!,#REF!,#REF!,AG54)</f>
        <v>#REF!</v>
      </c>
      <c r="AH56" s="68" t="e">
        <f>SUM(AH14,AH16,AH18,AH20,AH22,AH24,AH26,AH28,AH30,AH32,AH34,AH36,AH38,AH40,AH42,AH44,AH46,AH48,AH50,AH52,#REF!,#REF!,#REF!,#REF!,#REF!,#REF!,#REF!,#REF!,#REF!,#REF!,#REF!,#REF!,#REF!,#REF!,#REF!,#REF!,#REF!,#REF!,#REF!,#REF!,#REF!,#REF!,#REF!,#REF!,#REF!,#REF!,#REF!,#REF!,#REF!,#REF!,#REF!,#REF!,#REF!,#REF!,#REF!,#REF!,#REF!,#REF!,#REF!,AH54)</f>
        <v>#REF!</v>
      </c>
      <c r="AI56" s="68" t="e">
        <f>SUM(AI14,AI16,AI18,AI20,AI22,AI24,AI26,AI28,AI30,AI32,AI34,AI36,AI38,AI40,AI42,AI44,AI46,AI48,AI50,AI52,#REF!,#REF!,#REF!,#REF!,#REF!,#REF!,#REF!,#REF!,#REF!,#REF!,#REF!,#REF!,#REF!,#REF!,#REF!,#REF!,#REF!,#REF!,#REF!,#REF!,#REF!,#REF!,#REF!,#REF!,#REF!,#REF!,#REF!,#REF!,#REF!,#REF!,#REF!,#REF!,#REF!,#REF!,#REF!,#REF!,#REF!,#REF!,#REF!,AI54)</f>
        <v>#REF!</v>
      </c>
      <c r="AJ56" s="68" t="e">
        <f>SUM(AJ14,AJ16,AJ18,AJ20,AJ22,AJ24,AJ26,AJ28,AJ30,AJ32,AJ34,AJ36,AJ38,AJ40,AJ42,AJ44,AJ46,AJ48,AJ50,AJ52,#REF!,#REF!,#REF!,#REF!,#REF!,#REF!,#REF!,#REF!,#REF!,#REF!,#REF!,#REF!,#REF!,#REF!,#REF!,#REF!,#REF!,#REF!,#REF!,#REF!,#REF!,#REF!,#REF!,#REF!,#REF!,#REF!,#REF!,#REF!,#REF!,#REF!,#REF!,#REF!,#REF!,#REF!,#REF!,#REF!,#REF!,#REF!,#REF!,AJ54)</f>
        <v>#REF!</v>
      </c>
      <c r="AK56" s="68" t="e">
        <f>SUM(AK14,AK16,AK18,AK20,AK22,AK24,AK26,AK28,AK30,AK32,AK34,AK36,AK38,AK40,AK42,AK44,AK46,AK48,AK50,AK52,#REF!,#REF!,#REF!,#REF!,#REF!,#REF!,#REF!,#REF!,#REF!,#REF!,#REF!,#REF!,#REF!,#REF!,#REF!,#REF!,#REF!,#REF!,#REF!,#REF!,#REF!,#REF!,#REF!,#REF!,#REF!,#REF!,#REF!,#REF!,#REF!,#REF!,#REF!,#REF!,#REF!,#REF!,#REF!,#REF!,#REF!,#REF!,#REF!,AK54)</f>
        <v>#REF!</v>
      </c>
      <c r="AL56" s="68" t="e">
        <f>SUM(AL14,AL16,AL18,AL20,AL22,AL24,AL26,AL28,AL30,AL32,AL34,AL36,AL38,AL40,AL42,AL44,AL46,AL48,AL50,AL52,#REF!,#REF!,#REF!,#REF!,#REF!,#REF!,#REF!,#REF!,#REF!,#REF!,#REF!,#REF!,#REF!,#REF!,#REF!,#REF!,#REF!,#REF!,#REF!,#REF!,#REF!,#REF!,#REF!,#REF!,#REF!,#REF!,#REF!,#REF!,#REF!,#REF!,#REF!,#REF!,#REF!,#REF!,#REF!,#REF!,#REF!,#REF!,#REF!,AL54)</f>
        <v>#REF!</v>
      </c>
      <c r="AM56" s="68" t="e">
        <f>SUM(AM14,AM16,AM18,AM20,AM22,AM24,AM26,AM28,AM30,AM32,AM34,AM36,AM38,AM40,AM42,AM44,AM46,AM48,AM50,AM52,#REF!,#REF!,#REF!,#REF!,#REF!,#REF!,#REF!,#REF!,#REF!,#REF!,#REF!,#REF!,#REF!,#REF!,#REF!,#REF!,#REF!,#REF!,#REF!,#REF!,#REF!,#REF!,#REF!,#REF!,#REF!,#REF!,#REF!,#REF!,#REF!,#REF!,#REF!,#REF!,#REF!,#REF!,#REF!,#REF!,#REF!,#REF!,#REF!,AM54)</f>
        <v>#REF!</v>
      </c>
      <c r="AN56" s="68" t="e">
        <f>SUM(AN14,AN16,AN18,AN20,AN22,AN24,AN26,AN28,AN30,AN32,AN34,AN36,AN38,AN40,AN42,AN44,AN46,AN48,AN50,AN52,#REF!,#REF!,#REF!,#REF!,#REF!,#REF!,#REF!,#REF!,#REF!,#REF!,#REF!,#REF!,#REF!,#REF!,#REF!,#REF!,#REF!,#REF!,#REF!,#REF!,#REF!,#REF!,#REF!,#REF!,#REF!,#REF!,#REF!,#REF!,#REF!,#REF!,#REF!,#REF!,#REF!,#REF!,#REF!,#REF!,#REF!,#REF!,#REF!,AN54)</f>
        <v>#REF!</v>
      </c>
      <c r="AO56" s="68" t="e">
        <f>SUM(AO14,AO16,AO18,AO20,AO22,AO24,AO26,AO28,AO30,AO32,AO34,AO36,AO38,AO40,AO42,AO44,AO46,AO48,AO50,AO52,#REF!,#REF!,#REF!,#REF!,#REF!,#REF!,#REF!,#REF!,#REF!,#REF!,#REF!,#REF!,#REF!,#REF!,#REF!,#REF!,#REF!,#REF!,#REF!,#REF!,#REF!,#REF!,#REF!,#REF!,#REF!,#REF!,#REF!,#REF!,#REF!,#REF!,#REF!,#REF!,#REF!,#REF!,#REF!,#REF!,#REF!,#REF!,#REF!,AO54)</f>
        <v>#REF!</v>
      </c>
      <c r="AP56" s="68" t="e">
        <f>SUM(AP14,AP16,AP18,AP20,AP22,AP24,AP26,AP28,AP30,AP32,AP34,AP36,AP38,AP40,AP42,AP44,AP46,AP48,AP50,AP52,#REF!,#REF!,#REF!,#REF!,#REF!,#REF!,#REF!,#REF!,#REF!,#REF!,#REF!,#REF!,#REF!,#REF!,#REF!,#REF!,#REF!,#REF!,#REF!,#REF!,#REF!,#REF!,#REF!,#REF!,#REF!,#REF!,#REF!,#REF!,#REF!,#REF!,#REF!,#REF!,#REF!,#REF!,#REF!,#REF!,#REF!,#REF!,#REF!,AP54)</f>
        <v>#REF!</v>
      </c>
      <c r="AQ56" s="68" t="e">
        <f>SUM(AQ14,AQ16,AQ18,AQ20,AQ22,AQ24,AQ26,AQ28,AQ30,AQ32,AQ34,AQ36,AQ38,AQ40,AQ42,AQ44,AQ46,AQ48,AQ50,AQ52,#REF!,#REF!,#REF!,#REF!,#REF!,#REF!,#REF!,#REF!,#REF!,#REF!,#REF!,#REF!,#REF!,#REF!,#REF!,#REF!,#REF!,#REF!,#REF!,#REF!,#REF!,#REF!,#REF!,#REF!,#REF!,#REF!,#REF!,#REF!,#REF!,#REF!,#REF!,#REF!,#REF!,#REF!,#REF!,#REF!,#REF!,#REF!,#REF!,AQ54)</f>
        <v>#REF!</v>
      </c>
      <c r="AR56" s="68" t="e">
        <f>SUM(AR14,AR16,AR18,AR20,AR22,AR24,AR26,AR28,AR30,AR32,AR34,AR36,AR38,AR40,AR42,AR44,AR46,AR48,AR50,AR52,#REF!,#REF!,#REF!,#REF!,#REF!,#REF!,#REF!,#REF!,#REF!,#REF!,#REF!,#REF!,#REF!,#REF!,#REF!,#REF!,#REF!,#REF!,#REF!,#REF!,#REF!,#REF!,#REF!,#REF!,#REF!,#REF!,#REF!,#REF!,#REF!,#REF!,#REF!,#REF!,#REF!,#REF!,#REF!,#REF!,#REF!,#REF!,#REF!,AR54)</f>
        <v>#REF!</v>
      </c>
      <c r="AS56" s="68" t="e">
        <f>SUM(AS14,AS16,AS18,AS20,AS22,AS24,AS26,AS28,AS30,AS32,AS34,AS36,AS38,AS40,AS42,AS44,AS46,AS48,AS50,AS52,#REF!,#REF!,#REF!,#REF!,#REF!,#REF!,#REF!,#REF!,#REF!,#REF!,#REF!,#REF!,#REF!,#REF!,#REF!,#REF!,#REF!,#REF!,#REF!,#REF!,#REF!,#REF!,#REF!,#REF!,#REF!,#REF!,#REF!,#REF!,#REF!,#REF!,#REF!,#REF!,#REF!,#REF!,#REF!,#REF!,#REF!,#REF!,#REF!,AS54)</f>
        <v>#REF!</v>
      </c>
      <c r="AT56" s="68" t="e">
        <f>SUM(AT14,AT16,AT18,AT20,AT22,AT24,AT26,AT28,AT30,AT32,AT34,AT36,AT38,AT40,AT42,AT44,AT46,AT48,AT50,AT52,#REF!,#REF!,#REF!,#REF!,#REF!,#REF!,#REF!,#REF!,#REF!,#REF!,#REF!,#REF!,#REF!,#REF!,#REF!,#REF!,#REF!,#REF!,#REF!,#REF!,#REF!,#REF!,#REF!,#REF!,#REF!,#REF!,#REF!,#REF!,#REF!,#REF!,#REF!,#REF!,#REF!,#REF!,#REF!,#REF!,#REF!,#REF!,#REF!,AT54)</f>
        <v>#REF!</v>
      </c>
      <c r="AU56" s="68" t="e">
        <f>SUM(AU14,AU16,AU18,AU20,AU22,AU24,AU26,AU28,AU30,AU32,AU34,AU36,AU38,AU40,AU42,AU44,AU46,AU48,AU50,AU52,#REF!,#REF!,#REF!,#REF!,#REF!,#REF!,#REF!,#REF!,#REF!,#REF!,#REF!,#REF!,#REF!,#REF!,#REF!,#REF!,#REF!,#REF!,#REF!,#REF!,#REF!,#REF!,#REF!,#REF!,#REF!,#REF!,#REF!,#REF!,#REF!,#REF!,#REF!,#REF!,#REF!,#REF!,#REF!,#REF!,#REF!,#REF!,#REF!,AU54)</f>
        <v>#REF!</v>
      </c>
      <c r="AV56" s="68" t="e">
        <f>SUM(AV14,AV16,AV18,AV20,AV22,AV24,AV26,AV28,AV30,AV32,AV34,AV36,AV38,AV40,AV42,AV44,AV46,AV48,AV50,AV52,#REF!,#REF!,#REF!,#REF!,#REF!,#REF!,#REF!,#REF!,#REF!,#REF!,#REF!,#REF!,#REF!,#REF!,#REF!,#REF!,#REF!,#REF!,#REF!,#REF!,#REF!,#REF!,#REF!,#REF!,#REF!,#REF!,#REF!,#REF!,#REF!,#REF!,#REF!,#REF!,#REF!,#REF!,#REF!,#REF!,#REF!,#REF!,#REF!,AV54)</f>
        <v>#REF!</v>
      </c>
      <c r="AW56" s="68" t="e">
        <f>SUM(AW14,AW16,AW18,AW20,AW22,AW24,AW26,AW28,AW30,AW32,AW34,AW36,AW38,AW40,AW42,AW44,AW46,AW48,AW50,AW52,#REF!,#REF!,#REF!,#REF!,#REF!,#REF!,#REF!,#REF!,#REF!,#REF!,#REF!,#REF!,#REF!,#REF!,#REF!,#REF!,#REF!,#REF!,#REF!,#REF!,#REF!,#REF!,#REF!,#REF!,#REF!,#REF!,#REF!,#REF!,#REF!,#REF!,#REF!,#REF!,#REF!,#REF!,#REF!,#REF!,#REF!,#REF!,#REF!,AW54)</f>
        <v>#REF!</v>
      </c>
      <c r="AX56" s="68" t="e">
        <f>SUM(AX14,AX16,AX18,AX20,AX22,AX24,AX26,AX28,AX30,AX32,AX34,AX36,AX38,AX40,AX42,AX44,AX46,AX48,AX50,AX52,#REF!,#REF!,#REF!,#REF!,#REF!,#REF!,#REF!,#REF!,#REF!,#REF!,#REF!,#REF!,#REF!,#REF!,#REF!,#REF!,#REF!,#REF!,#REF!,#REF!,#REF!,#REF!,#REF!,#REF!,#REF!,#REF!,#REF!,#REF!,#REF!,#REF!,#REF!,#REF!,#REF!,#REF!,#REF!,#REF!,#REF!,#REF!,#REF!,AX54)</f>
        <v>#REF!</v>
      </c>
      <c r="AY56" s="68" t="e">
        <f>SUM(AY14,AY16,AY18,AY20,AY22,AY24,AY26,AY28,AY30,AY32,AY34,AY36,AY38,AY40,AY42,AY44,AY46,AY48,AY50,AY52,#REF!,#REF!,#REF!,#REF!,#REF!,#REF!,#REF!,#REF!,#REF!,#REF!,#REF!,#REF!,#REF!,#REF!,#REF!,#REF!,#REF!,#REF!,#REF!,#REF!,#REF!,#REF!,#REF!,#REF!,#REF!,#REF!,#REF!,#REF!,#REF!,#REF!,#REF!,#REF!,#REF!,#REF!,#REF!,#REF!,#REF!,#REF!,#REF!,AY54)</f>
        <v>#REF!</v>
      </c>
      <c r="AZ56" s="68" t="e">
        <f>SUM(AZ14,AZ16,AZ18,AZ20,AZ22,AZ24,AZ26,AZ28,AZ30,AZ32,AZ34,AZ36,AZ38,AZ40,AZ42,AZ44,AZ46,AZ48,AZ50,AZ52,#REF!,#REF!,#REF!,#REF!,#REF!,#REF!,#REF!,#REF!,#REF!,#REF!,#REF!,#REF!,#REF!,#REF!,#REF!,#REF!,#REF!,#REF!,#REF!,#REF!,#REF!,#REF!,#REF!,#REF!,#REF!,#REF!,#REF!,#REF!,#REF!,#REF!,#REF!,#REF!,#REF!,#REF!,#REF!,#REF!,#REF!,#REF!,#REF!,AZ54)</f>
        <v>#REF!</v>
      </c>
      <c r="BA56" s="68" t="e">
        <f>SUM(BA14,BA16,BA18,BA20,BA22,BA24,BA26,BA28,BA30,BA32,BA34,BA36,BA38,BA40,BA42,BA44,BA46,BA48,BA50,BA52,#REF!,#REF!,#REF!,#REF!,#REF!,#REF!,#REF!,#REF!,#REF!,#REF!,#REF!,#REF!,#REF!,#REF!,#REF!,#REF!,#REF!,#REF!,#REF!,#REF!,#REF!,#REF!,#REF!,#REF!,#REF!,#REF!,#REF!,#REF!,#REF!,#REF!,#REF!,#REF!,#REF!,#REF!,#REF!,#REF!,#REF!,#REF!,#REF!,BA54)</f>
        <v>#REF!</v>
      </c>
      <c r="BB56" s="68" t="e">
        <f>SUM(BB14,BB16,BB18,BB20,BB22,BB24,BB26,BB28,BB30,BB32,BB34,BB36,BB38,BB40,BB42,BB44,BB46,BB48,BB50,BB52,#REF!,#REF!,#REF!,#REF!,#REF!,#REF!,#REF!,#REF!,#REF!,#REF!,#REF!,#REF!,#REF!,#REF!,#REF!,#REF!,#REF!,#REF!,#REF!,#REF!,#REF!,#REF!,#REF!,#REF!,#REF!,#REF!,#REF!,#REF!,#REF!,#REF!,#REF!,#REF!,#REF!,#REF!,#REF!,#REF!,#REF!,#REF!,#REF!,BB54)</f>
        <v>#REF!</v>
      </c>
      <c r="BC56" s="68">
        <f t="shared" ref="BC56" si="38">SUM(BC14,BC16,BC18,BC20,BC22,BC24,BC26,BC28,BC30,BC32,BC34,BC36,BC38,BC40,BC42,BC44,BC46,BC48,BC50,BC52,BC54)</f>
        <v>2110539.7200000002</v>
      </c>
      <c r="BD56" s="68" t="e">
        <f>SUM(BD14,BD16,BD18,BD20,BD22,BD24,BD26,BD28,BD30,BD32,BD34,BD36,BD38,BD40,BD42,BD44,BD46,BD48,BD50,BD52,#REF!,#REF!,#REF!,#REF!,#REF!,#REF!,#REF!,#REF!,#REF!,#REF!,#REF!,#REF!,#REF!,#REF!,#REF!,#REF!,#REF!,#REF!,#REF!,#REF!,#REF!,#REF!,#REF!,#REF!,#REF!,#REF!,#REF!,#REF!,#REF!,#REF!,#REF!,#REF!,#REF!,#REF!,#REF!,#REF!,#REF!,#REF!,BD54)</f>
        <v>#REF!</v>
      </c>
    </row>
    <row r="57" spans="1:60" ht="13.5" thickBot="1">
      <c r="A57" s="292">
        <v>124</v>
      </c>
      <c r="B57" s="1093" t="s">
        <v>5321</v>
      </c>
      <c r="C57" s="1094"/>
      <c r="D57" s="48"/>
      <c r="E57" s="426">
        <f>+E56/$BC56</f>
        <v>5.7192726720262696E-2</v>
      </c>
      <c r="F57" s="426">
        <f>+F56/$BC56</f>
        <v>5.4752134281543768E-2</v>
      </c>
      <c r="G57" s="426">
        <f t="shared" ref="G57:BC57" si="39">+G56/$BC56</f>
        <v>9.987202095581342E-2</v>
      </c>
      <c r="H57" s="426">
        <f t="shared" si="39"/>
        <v>0.11383544645597068</v>
      </c>
      <c r="I57" s="426">
        <f t="shared" si="39"/>
        <v>0.12339806225552401</v>
      </c>
      <c r="J57" s="426">
        <f t="shared" si="39"/>
        <v>0.13634411960016396</v>
      </c>
      <c r="K57" s="426">
        <f t="shared" si="39"/>
        <v>0.12032651016380554</v>
      </c>
      <c r="L57" s="426">
        <f t="shared" si="39"/>
        <v>8.4644330728557607E-2</v>
      </c>
      <c r="M57" s="426">
        <f t="shared" si="39"/>
        <v>9.9408715535381026E-2</v>
      </c>
      <c r="N57" s="426">
        <f t="shared" si="39"/>
        <v>0.10625307176209299</v>
      </c>
      <c r="O57" s="426">
        <f t="shared" si="39"/>
        <v>0</v>
      </c>
      <c r="P57" s="426">
        <f t="shared" si="39"/>
        <v>0</v>
      </c>
      <c r="Q57" s="426" t="e">
        <f t="shared" si="39"/>
        <v>#REF!</v>
      </c>
      <c r="R57" s="426" t="e">
        <f t="shared" si="39"/>
        <v>#REF!</v>
      </c>
      <c r="S57" s="426" t="e">
        <f t="shared" si="39"/>
        <v>#REF!</v>
      </c>
      <c r="T57" s="426" t="e">
        <f t="shared" si="39"/>
        <v>#REF!</v>
      </c>
      <c r="U57" s="426" t="e">
        <f t="shared" si="39"/>
        <v>#REF!</v>
      </c>
      <c r="V57" s="426" t="e">
        <f t="shared" si="39"/>
        <v>#REF!</v>
      </c>
      <c r="W57" s="426" t="e">
        <f t="shared" si="39"/>
        <v>#REF!</v>
      </c>
      <c r="X57" s="426" t="e">
        <f t="shared" si="39"/>
        <v>#REF!</v>
      </c>
      <c r="Y57" s="426" t="e">
        <f t="shared" si="39"/>
        <v>#REF!</v>
      </c>
      <c r="Z57" s="426" t="e">
        <f t="shared" si="39"/>
        <v>#REF!</v>
      </c>
      <c r="AA57" s="426" t="e">
        <f t="shared" si="39"/>
        <v>#REF!</v>
      </c>
      <c r="AB57" s="426" t="e">
        <f t="shared" si="39"/>
        <v>#REF!</v>
      </c>
      <c r="AC57" s="426" t="e">
        <f t="shared" si="39"/>
        <v>#REF!</v>
      </c>
      <c r="AD57" s="426" t="e">
        <f t="shared" si="39"/>
        <v>#REF!</v>
      </c>
      <c r="AE57" s="426" t="e">
        <f t="shared" si="39"/>
        <v>#REF!</v>
      </c>
      <c r="AF57" s="426" t="e">
        <f t="shared" si="39"/>
        <v>#REF!</v>
      </c>
      <c r="AG57" s="426" t="e">
        <f t="shared" si="39"/>
        <v>#REF!</v>
      </c>
      <c r="AH57" s="426" t="e">
        <f t="shared" si="39"/>
        <v>#REF!</v>
      </c>
      <c r="AI57" s="426" t="e">
        <f t="shared" si="39"/>
        <v>#REF!</v>
      </c>
      <c r="AJ57" s="426" t="e">
        <f t="shared" si="39"/>
        <v>#REF!</v>
      </c>
      <c r="AK57" s="426" t="e">
        <f t="shared" si="39"/>
        <v>#REF!</v>
      </c>
      <c r="AL57" s="426" t="e">
        <f t="shared" si="39"/>
        <v>#REF!</v>
      </c>
      <c r="AM57" s="426" t="e">
        <f t="shared" si="39"/>
        <v>#REF!</v>
      </c>
      <c r="AN57" s="426" t="e">
        <f t="shared" si="39"/>
        <v>#REF!</v>
      </c>
      <c r="AO57" s="426" t="e">
        <f t="shared" si="39"/>
        <v>#REF!</v>
      </c>
      <c r="AP57" s="426" t="e">
        <f t="shared" si="39"/>
        <v>#REF!</v>
      </c>
      <c r="AQ57" s="426" t="e">
        <f t="shared" si="39"/>
        <v>#REF!</v>
      </c>
      <c r="AR57" s="426" t="e">
        <f t="shared" si="39"/>
        <v>#REF!</v>
      </c>
      <c r="AS57" s="426" t="e">
        <f t="shared" si="39"/>
        <v>#REF!</v>
      </c>
      <c r="AT57" s="426" t="e">
        <f t="shared" si="39"/>
        <v>#REF!</v>
      </c>
      <c r="AU57" s="426" t="e">
        <f t="shared" si="39"/>
        <v>#REF!</v>
      </c>
      <c r="AV57" s="426" t="e">
        <f t="shared" si="39"/>
        <v>#REF!</v>
      </c>
      <c r="AW57" s="426" t="e">
        <f t="shared" si="39"/>
        <v>#REF!</v>
      </c>
      <c r="AX57" s="426" t="e">
        <f t="shared" si="39"/>
        <v>#REF!</v>
      </c>
      <c r="AY57" s="426" t="e">
        <f t="shared" si="39"/>
        <v>#REF!</v>
      </c>
      <c r="AZ57" s="426" t="e">
        <f t="shared" si="39"/>
        <v>#REF!</v>
      </c>
      <c r="BA57" s="426" t="e">
        <f t="shared" si="39"/>
        <v>#REF!</v>
      </c>
      <c r="BB57" s="426" t="e">
        <f t="shared" si="39"/>
        <v>#REF!</v>
      </c>
      <c r="BC57" s="426">
        <f t="shared" si="39"/>
        <v>1</v>
      </c>
      <c r="BD57" s="68" t="e">
        <f>SUM(BD15,BD17,BD19,BD21,BD23,BD25,BD27,BD29,BD31,BD33,BD35,BD37,BD39,BD41,BD43,BD45,BD47,BD49,BD51,BD53,#REF!,#REF!,#REF!,#REF!,#REF!,#REF!,#REF!,#REF!,#REF!,#REF!,#REF!,#REF!,#REF!,#REF!,#REF!,#REF!,#REF!,#REF!,#REF!,#REF!,#REF!,#REF!,#REF!,#REF!,#REF!,#REF!,#REF!,#REF!,#REF!,#REF!,#REF!,#REF!,#REF!,#REF!,#REF!,#REF!,#REF!,#REF!,BD55)</f>
        <v>#REF!</v>
      </c>
    </row>
    <row r="58" spans="1:60" ht="13.5" thickBot="1">
      <c r="A58" s="295">
        <v>125</v>
      </c>
      <c r="B58" s="1093" t="s">
        <v>5322</v>
      </c>
      <c r="C58" s="1094"/>
      <c r="D58" s="48"/>
      <c r="E58" s="68">
        <f>+E56</f>
        <v>120707.52143821976</v>
      </c>
      <c r="F58" s="68">
        <f>+F56+E58</f>
        <v>236264.07559419156</v>
      </c>
      <c r="G58" s="68">
        <f t="shared" ref="G58:AB58" si="40">+G56+F58</f>
        <v>447047.94273810816</v>
      </c>
      <c r="H58" s="68">
        <f t="shared" si="40"/>
        <v>687302.1740273675</v>
      </c>
      <c r="I58" s="68">
        <f t="shared" si="40"/>
        <v>947738.68578868371</v>
      </c>
      <c r="J58" s="68">
        <f t="shared" si="40"/>
        <v>1235498.3657932603</v>
      </c>
      <c r="K58" s="68">
        <f t="shared" si="40"/>
        <v>1489452.2448629555</v>
      </c>
      <c r="L58" s="68">
        <f t="shared" si="40"/>
        <v>1668097.466938393</v>
      </c>
      <c r="M58" s="68">
        <f t="shared" si="40"/>
        <v>1877903.5095899957</v>
      </c>
      <c r="N58" s="68">
        <f t="shared" si="40"/>
        <v>2102154.8379159034</v>
      </c>
      <c r="O58" s="68">
        <f t="shared" si="40"/>
        <v>2102154.8379159034</v>
      </c>
      <c r="P58" s="68">
        <f t="shared" si="40"/>
        <v>2102154.8379159034</v>
      </c>
      <c r="Q58" s="68" t="e">
        <f t="shared" si="40"/>
        <v>#REF!</v>
      </c>
      <c r="R58" s="68" t="e">
        <f t="shared" si="40"/>
        <v>#REF!</v>
      </c>
      <c r="S58" s="68" t="e">
        <f t="shared" si="40"/>
        <v>#REF!</v>
      </c>
      <c r="T58" s="68" t="e">
        <f t="shared" si="40"/>
        <v>#REF!</v>
      </c>
      <c r="U58" s="68" t="e">
        <f t="shared" si="40"/>
        <v>#REF!</v>
      </c>
      <c r="V58" s="68" t="e">
        <f t="shared" si="40"/>
        <v>#REF!</v>
      </c>
      <c r="W58" s="68" t="e">
        <f t="shared" si="40"/>
        <v>#REF!</v>
      </c>
      <c r="X58" s="68" t="e">
        <f t="shared" si="40"/>
        <v>#REF!</v>
      </c>
      <c r="Y58" s="68" t="e">
        <f t="shared" si="40"/>
        <v>#REF!</v>
      </c>
      <c r="Z58" s="68" t="e">
        <f t="shared" si="40"/>
        <v>#REF!</v>
      </c>
      <c r="AA58" s="68" t="e">
        <f t="shared" si="40"/>
        <v>#REF!</v>
      </c>
      <c r="AB58" s="68" t="e">
        <f t="shared" si="40"/>
        <v>#REF!</v>
      </c>
      <c r="AC58" s="68" t="e">
        <f t="shared" ref="G58:BA59" si="41">+AC56+AB58</f>
        <v>#REF!</v>
      </c>
      <c r="AD58" s="68" t="e">
        <f t="shared" si="41"/>
        <v>#REF!</v>
      </c>
      <c r="AE58" s="68" t="e">
        <f t="shared" si="41"/>
        <v>#REF!</v>
      </c>
      <c r="AF58" s="68" t="e">
        <f t="shared" si="41"/>
        <v>#REF!</v>
      </c>
      <c r="AG58" s="68" t="e">
        <f t="shared" si="41"/>
        <v>#REF!</v>
      </c>
      <c r="AH58" s="68" t="e">
        <f t="shared" si="41"/>
        <v>#REF!</v>
      </c>
      <c r="AI58" s="68" t="e">
        <f t="shared" si="41"/>
        <v>#REF!</v>
      </c>
      <c r="AJ58" s="68" t="e">
        <f t="shared" si="41"/>
        <v>#REF!</v>
      </c>
      <c r="AK58" s="68" t="e">
        <f t="shared" si="41"/>
        <v>#REF!</v>
      </c>
      <c r="AL58" s="68" t="e">
        <f t="shared" si="41"/>
        <v>#REF!</v>
      </c>
      <c r="AM58" s="68" t="e">
        <f t="shared" si="41"/>
        <v>#REF!</v>
      </c>
      <c r="AN58" s="68" t="e">
        <f t="shared" si="41"/>
        <v>#REF!</v>
      </c>
      <c r="AO58" s="68" t="e">
        <f t="shared" si="41"/>
        <v>#REF!</v>
      </c>
      <c r="AP58" s="68" t="e">
        <f t="shared" si="41"/>
        <v>#REF!</v>
      </c>
      <c r="AQ58" s="68" t="e">
        <f t="shared" si="41"/>
        <v>#REF!</v>
      </c>
      <c r="AR58" s="68" t="e">
        <f t="shared" si="41"/>
        <v>#REF!</v>
      </c>
      <c r="AS58" s="68" t="e">
        <f t="shared" si="41"/>
        <v>#REF!</v>
      </c>
      <c r="AT58" s="68" t="e">
        <f t="shared" si="41"/>
        <v>#REF!</v>
      </c>
      <c r="AU58" s="68" t="e">
        <f t="shared" si="41"/>
        <v>#REF!</v>
      </c>
      <c r="AV58" s="68" t="e">
        <f t="shared" si="41"/>
        <v>#REF!</v>
      </c>
      <c r="AW58" s="68" t="e">
        <f t="shared" si="41"/>
        <v>#REF!</v>
      </c>
      <c r="AX58" s="68" t="e">
        <f t="shared" si="41"/>
        <v>#REF!</v>
      </c>
      <c r="AY58" s="68" t="e">
        <f t="shared" si="41"/>
        <v>#REF!</v>
      </c>
      <c r="AZ58" s="68" t="e">
        <f t="shared" si="41"/>
        <v>#REF!</v>
      </c>
      <c r="BA58" s="68" t="e">
        <f t="shared" si="41"/>
        <v>#REF!</v>
      </c>
      <c r="BB58" s="68" t="e">
        <f>+BB56+BA58</f>
        <v>#REF!</v>
      </c>
      <c r="BC58" s="68"/>
      <c r="BD58" s="68"/>
    </row>
    <row r="59" spans="1:60">
      <c r="A59" s="292">
        <v>126</v>
      </c>
      <c r="B59" s="1093" t="s">
        <v>5323</v>
      </c>
      <c r="C59" s="1094"/>
      <c r="D59" s="48"/>
      <c r="E59" s="426">
        <f>+E57</f>
        <v>5.7192726720262696E-2</v>
      </c>
      <c r="F59" s="426">
        <f>+F57+E59</f>
        <v>0.11194486100180646</v>
      </c>
      <c r="G59" s="426">
        <f t="shared" si="41"/>
        <v>0.21181688195761988</v>
      </c>
      <c r="H59" s="426">
        <f t="shared" si="41"/>
        <v>0.3256523284135906</v>
      </c>
      <c r="I59" s="426">
        <f t="shared" si="41"/>
        <v>0.44905039066911462</v>
      </c>
      <c r="J59" s="426">
        <f t="shared" si="41"/>
        <v>0.58539451026927858</v>
      </c>
      <c r="K59" s="426">
        <f t="shared" si="41"/>
        <v>0.70572102043308416</v>
      </c>
      <c r="L59" s="426">
        <f t="shared" si="41"/>
        <v>0.79036535116164175</v>
      </c>
      <c r="M59" s="426">
        <f t="shared" si="41"/>
        <v>0.88977406669702275</v>
      </c>
      <c r="N59" s="426">
        <f t="shared" si="41"/>
        <v>0.99602713845911572</v>
      </c>
      <c r="O59" s="426">
        <f t="shared" si="41"/>
        <v>0.99602713845911572</v>
      </c>
      <c r="P59" s="426">
        <f t="shared" si="41"/>
        <v>0.99602713845911572</v>
      </c>
      <c r="Q59" s="426" t="e">
        <f t="shared" si="41"/>
        <v>#REF!</v>
      </c>
      <c r="R59" s="426" t="e">
        <f t="shared" si="41"/>
        <v>#REF!</v>
      </c>
      <c r="S59" s="426" t="e">
        <f t="shared" si="41"/>
        <v>#REF!</v>
      </c>
      <c r="T59" s="426" t="e">
        <f t="shared" si="41"/>
        <v>#REF!</v>
      </c>
      <c r="U59" s="426" t="e">
        <f t="shared" si="41"/>
        <v>#REF!</v>
      </c>
      <c r="V59" s="426" t="e">
        <f t="shared" si="41"/>
        <v>#REF!</v>
      </c>
      <c r="W59" s="426" t="e">
        <f t="shared" si="41"/>
        <v>#REF!</v>
      </c>
      <c r="X59" s="426" t="e">
        <f t="shared" si="41"/>
        <v>#REF!</v>
      </c>
      <c r="Y59" s="426" t="e">
        <f t="shared" si="41"/>
        <v>#REF!</v>
      </c>
      <c r="Z59" s="426" t="e">
        <f t="shared" si="41"/>
        <v>#REF!</v>
      </c>
      <c r="AA59" s="426" t="e">
        <f t="shared" si="41"/>
        <v>#REF!</v>
      </c>
      <c r="AB59" s="426" t="e">
        <f t="shared" si="41"/>
        <v>#REF!</v>
      </c>
      <c r="AC59" s="426" t="e">
        <f t="shared" si="41"/>
        <v>#REF!</v>
      </c>
      <c r="AD59" s="426" t="e">
        <f t="shared" si="41"/>
        <v>#REF!</v>
      </c>
      <c r="AE59" s="426" t="e">
        <f t="shared" si="41"/>
        <v>#REF!</v>
      </c>
      <c r="AF59" s="426" t="e">
        <f t="shared" si="41"/>
        <v>#REF!</v>
      </c>
      <c r="AG59" s="426" t="e">
        <f t="shared" si="41"/>
        <v>#REF!</v>
      </c>
      <c r="AH59" s="426" t="e">
        <f t="shared" si="41"/>
        <v>#REF!</v>
      </c>
      <c r="AI59" s="426" t="e">
        <f t="shared" si="41"/>
        <v>#REF!</v>
      </c>
      <c r="AJ59" s="426" t="e">
        <f t="shared" si="41"/>
        <v>#REF!</v>
      </c>
      <c r="AK59" s="426" t="e">
        <f t="shared" si="41"/>
        <v>#REF!</v>
      </c>
      <c r="AL59" s="426" t="e">
        <f t="shared" si="41"/>
        <v>#REF!</v>
      </c>
      <c r="AM59" s="426" t="e">
        <f t="shared" si="41"/>
        <v>#REF!</v>
      </c>
      <c r="AN59" s="426" t="e">
        <f t="shared" si="41"/>
        <v>#REF!</v>
      </c>
      <c r="AO59" s="426" t="e">
        <f t="shared" si="41"/>
        <v>#REF!</v>
      </c>
      <c r="AP59" s="426" t="e">
        <f t="shared" si="41"/>
        <v>#REF!</v>
      </c>
      <c r="AQ59" s="426" t="e">
        <f t="shared" si="41"/>
        <v>#REF!</v>
      </c>
      <c r="AR59" s="426" t="e">
        <f t="shared" si="41"/>
        <v>#REF!</v>
      </c>
      <c r="AS59" s="426" t="e">
        <f t="shared" si="41"/>
        <v>#REF!</v>
      </c>
      <c r="AT59" s="426" t="e">
        <f t="shared" si="41"/>
        <v>#REF!</v>
      </c>
      <c r="AU59" s="426" t="e">
        <f t="shared" si="41"/>
        <v>#REF!</v>
      </c>
      <c r="AV59" s="426" t="e">
        <f t="shared" si="41"/>
        <v>#REF!</v>
      </c>
      <c r="AW59" s="426" t="e">
        <f t="shared" si="41"/>
        <v>#REF!</v>
      </c>
      <c r="AX59" s="426" t="e">
        <f t="shared" si="41"/>
        <v>#REF!</v>
      </c>
      <c r="AY59" s="426" t="e">
        <f t="shared" si="41"/>
        <v>#REF!</v>
      </c>
      <c r="AZ59" s="426" t="e">
        <f t="shared" si="41"/>
        <v>#REF!</v>
      </c>
      <c r="BA59" s="426" t="e">
        <f t="shared" si="41"/>
        <v>#REF!</v>
      </c>
      <c r="BB59" s="426" t="e">
        <f>+BB57+BA59</f>
        <v>#REF!</v>
      </c>
      <c r="BC59" s="426"/>
      <c r="BD59" s="68" t="e">
        <f>SUM(BD17,BD19,BD21,BD23,BD25,BD27,BD29,BD31,BD33,BD35,BD37,BD39,BD41,BD43,BD45,BD47,BD49,BD51,BD53,#REF!,#REF!,#REF!,#REF!,#REF!,#REF!,#REF!,#REF!,#REF!,#REF!,#REF!,#REF!,#REF!,#REF!,#REF!,#REF!,#REF!,#REF!,#REF!,#REF!,#REF!,#REF!,#REF!,#REF!,#REF!,#REF!,#REF!,#REF!,#REF!,#REF!,#REF!,#REF!,#REF!,#REF!,#REF!,#REF!,#REF!,#REF!,BD55,BD57)</f>
        <v>#REF!</v>
      </c>
    </row>
    <row r="60" spans="1:60">
      <c r="A60" s="292"/>
      <c r="B60" s="997"/>
      <c r="C60" s="997"/>
      <c r="D60" s="998"/>
      <c r="E60" s="999"/>
      <c r="F60" s="999"/>
      <c r="G60" s="999"/>
      <c r="H60" s="999"/>
      <c r="I60" s="999"/>
      <c r="J60" s="999"/>
      <c r="K60" s="999"/>
      <c r="L60" s="999"/>
      <c r="M60" s="999"/>
      <c r="N60" s="999"/>
      <c r="O60" s="999"/>
      <c r="P60" s="999"/>
      <c r="Q60" s="999"/>
      <c r="R60" s="999"/>
      <c r="S60" s="999"/>
      <c r="T60" s="999"/>
      <c r="U60" s="999"/>
      <c r="V60" s="999"/>
      <c r="W60" s="999"/>
      <c r="X60" s="999"/>
      <c r="Y60" s="999"/>
      <c r="Z60" s="999"/>
      <c r="AA60" s="999"/>
      <c r="AB60" s="999"/>
      <c r="AC60" s="999"/>
      <c r="AD60" s="999"/>
      <c r="AE60" s="999"/>
      <c r="AF60" s="999"/>
      <c r="AG60" s="999"/>
      <c r="AH60" s="999"/>
      <c r="AI60" s="999"/>
      <c r="AJ60" s="999"/>
      <c r="AK60" s="999"/>
      <c r="AL60" s="999"/>
      <c r="AM60" s="999"/>
      <c r="AN60" s="999"/>
      <c r="AO60" s="999"/>
      <c r="AP60" s="999"/>
      <c r="AQ60" s="999"/>
      <c r="AR60" s="999"/>
      <c r="AS60" s="999"/>
      <c r="AT60" s="999"/>
      <c r="AU60" s="999"/>
      <c r="AV60" s="999"/>
      <c r="AW60" s="999"/>
      <c r="AX60" s="999"/>
      <c r="AY60" s="999"/>
      <c r="AZ60" s="999"/>
      <c r="BA60" s="999"/>
      <c r="BB60" s="999"/>
      <c r="BC60" s="999"/>
      <c r="BD60" s="1000"/>
    </row>
    <row r="61" spans="1:60">
      <c r="A61" s="292"/>
      <c r="B61" s="997"/>
      <c r="C61" s="997"/>
      <c r="D61" s="998"/>
      <c r="E61" s="999"/>
      <c r="F61" s="999"/>
      <c r="G61" s="999"/>
      <c r="H61" s="999"/>
      <c r="I61" s="999"/>
      <c r="J61" s="999"/>
      <c r="K61" s="999"/>
      <c r="L61" s="999"/>
      <c r="M61" s="999"/>
      <c r="N61" s="999"/>
      <c r="O61" s="999"/>
      <c r="P61" s="999"/>
      <c r="Q61" s="999"/>
      <c r="R61" s="999"/>
      <c r="S61" s="999"/>
      <c r="T61" s="999"/>
      <c r="U61" s="999"/>
      <c r="V61" s="999"/>
      <c r="W61" s="999"/>
      <c r="X61" s="999"/>
      <c r="Y61" s="999"/>
      <c r="Z61" s="999"/>
      <c r="AA61" s="999"/>
      <c r="AB61" s="999"/>
      <c r="AC61" s="999"/>
      <c r="AD61" s="999"/>
      <c r="AE61" s="999"/>
      <c r="AF61" s="999"/>
      <c r="AG61" s="999"/>
      <c r="AH61" s="999"/>
      <c r="AI61" s="999"/>
      <c r="AJ61" s="999"/>
      <c r="AK61" s="999"/>
      <c r="AL61" s="999"/>
      <c r="AM61" s="999"/>
      <c r="AN61" s="999"/>
      <c r="AO61" s="999"/>
      <c r="AP61" s="999"/>
      <c r="AQ61" s="999"/>
      <c r="AR61" s="999"/>
      <c r="AS61" s="999"/>
      <c r="AT61" s="999"/>
      <c r="AU61" s="999"/>
      <c r="AV61" s="999"/>
      <c r="AW61" s="999"/>
      <c r="AX61" s="999"/>
      <c r="AY61" s="999"/>
      <c r="AZ61" s="999"/>
      <c r="BA61" s="999"/>
      <c r="BB61" s="999"/>
      <c r="BC61" s="999"/>
      <c r="BD61" s="1000"/>
    </row>
    <row r="62" spans="1:60">
      <c r="A62" s="292"/>
      <c r="B62" s="997"/>
      <c r="C62" s="997"/>
      <c r="D62" s="998"/>
      <c r="E62" s="999"/>
      <c r="F62" s="999"/>
      <c r="G62" s="999"/>
      <c r="H62" s="999"/>
      <c r="I62" s="999"/>
      <c r="J62" s="999"/>
      <c r="K62" s="999"/>
      <c r="L62" s="999"/>
      <c r="M62" s="999"/>
      <c r="N62" s="999"/>
      <c r="O62" s="196"/>
      <c r="P62" s="196"/>
      <c r="Q62" s="197"/>
      <c r="R62" s="999"/>
      <c r="S62" s="999"/>
      <c r="T62" s="999"/>
      <c r="U62" s="999"/>
      <c r="V62" s="999"/>
      <c r="W62" s="999"/>
      <c r="X62" s="999"/>
      <c r="Y62" s="999"/>
      <c r="Z62" s="999"/>
      <c r="AA62" s="999"/>
      <c r="AB62" s="999"/>
      <c r="AC62" s="999"/>
      <c r="AD62" s="999"/>
      <c r="AE62" s="999"/>
      <c r="AF62" s="999"/>
      <c r="AG62" s="999"/>
      <c r="AH62" s="999"/>
      <c r="AI62" s="999"/>
      <c r="AJ62" s="999"/>
      <c r="AK62" s="999"/>
      <c r="AL62" s="999"/>
      <c r="AM62" s="999"/>
      <c r="AN62" s="999"/>
      <c r="AO62" s="999"/>
      <c r="AP62" s="999"/>
      <c r="AQ62" s="999"/>
      <c r="AR62" s="999"/>
      <c r="AS62" s="999"/>
      <c r="AT62" s="999"/>
      <c r="AU62" s="999"/>
      <c r="AV62" s="999"/>
      <c r="AW62" s="999"/>
      <c r="AX62" s="999"/>
      <c r="AY62" s="999"/>
      <c r="AZ62" s="999"/>
      <c r="BA62" s="999"/>
      <c r="BB62" s="999"/>
      <c r="BC62" s="999"/>
      <c r="BD62" s="1000"/>
    </row>
    <row r="63" spans="1:60">
      <c r="A63" s="292"/>
      <c r="B63" s="997"/>
      <c r="C63" s="997"/>
      <c r="D63" s="998"/>
      <c r="E63" s="999"/>
      <c r="F63" s="999"/>
      <c r="G63" s="999"/>
      <c r="H63" s="999"/>
      <c r="I63" s="999"/>
      <c r="J63" s="999"/>
      <c r="K63" s="999"/>
      <c r="L63" s="999"/>
      <c r="M63" s="999"/>
      <c r="N63" s="999"/>
      <c r="O63" s="1089" t="s">
        <v>2691</v>
      </c>
      <c r="P63" s="1090"/>
      <c r="Q63" s="1089"/>
      <c r="R63" s="999"/>
      <c r="S63" s="999"/>
      <c r="T63" s="999"/>
      <c r="U63" s="999"/>
      <c r="V63" s="999"/>
      <c r="W63" s="999"/>
      <c r="X63" s="999"/>
      <c r="Y63" s="999"/>
      <c r="Z63" s="999"/>
      <c r="AA63" s="999"/>
      <c r="AB63" s="999"/>
      <c r="AC63" s="999"/>
      <c r="AD63" s="999"/>
      <c r="AE63" s="999"/>
      <c r="AF63" s="999"/>
      <c r="AG63" s="999"/>
      <c r="AH63" s="999"/>
      <c r="AI63" s="999"/>
      <c r="AJ63" s="999"/>
      <c r="AK63" s="999"/>
      <c r="AL63" s="999"/>
      <c r="AM63" s="999"/>
      <c r="AN63" s="999"/>
      <c r="AO63" s="999"/>
      <c r="AP63" s="999"/>
      <c r="AQ63" s="999"/>
      <c r="AR63" s="999"/>
      <c r="AS63" s="999"/>
      <c r="AT63" s="999"/>
      <c r="AU63" s="999"/>
      <c r="AV63" s="999"/>
      <c r="AW63" s="999"/>
      <c r="AX63" s="999"/>
      <c r="AY63" s="999"/>
      <c r="AZ63" s="999"/>
      <c r="BA63" s="999"/>
      <c r="BB63" s="999"/>
      <c r="BC63" s="999"/>
      <c r="BD63" s="1000"/>
    </row>
    <row r="64" spans="1:60">
      <c r="B64" s="298"/>
      <c r="C64" s="299"/>
      <c r="D64" s="300"/>
      <c r="E64" s="301"/>
      <c r="F64" s="301"/>
      <c r="G64" s="301"/>
      <c r="H64" s="302"/>
      <c r="I64" s="302"/>
      <c r="J64" s="302"/>
      <c r="K64" s="302"/>
      <c r="L64" s="302"/>
      <c r="M64" s="302"/>
      <c r="N64" s="302"/>
      <c r="O64" s="1078" t="s">
        <v>2692</v>
      </c>
      <c r="P64" s="1078"/>
      <c r="Q64" s="1078"/>
      <c r="R64" s="302"/>
      <c r="S64" s="302"/>
      <c r="T64" s="302"/>
      <c r="U64" s="302"/>
      <c r="V64" s="302"/>
      <c r="W64" s="302"/>
      <c r="X64" s="302"/>
      <c r="Y64" s="302"/>
      <c r="Z64" s="302"/>
      <c r="AA64" s="302"/>
      <c r="AB64" s="302"/>
      <c r="AC64" s="302"/>
      <c r="AD64" s="302"/>
      <c r="AE64" s="302"/>
      <c r="AF64" s="302"/>
      <c r="AG64" s="302"/>
      <c r="AH64" s="302"/>
      <c r="AI64" s="302"/>
      <c r="AJ64" s="302"/>
      <c r="AK64" s="302"/>
      <c r="AL64" s="302"/>
      <c r="AM64" s="302"/>
      <c r="AN64" s="302"/>
      <c r="AO64" s="302"/>
      <c r="AP64" s="302"/>
      <c r="AQ64" s="302"/>
      <c r="AR64" s="302"/>
      <c r="AS64" s="302"/>
      <c r="AT64" s="302"/>
      <c r="AU64" s="302"/>
      <c r="AV64" s="302"/>
      <c r="AW64" s="302"/>
      <c r="AX64" s="302"/>
      <c r="AY64" s="302"/>
      <c r="AZ64" s="302"/>
      <c r="BA64" s="302"/>
      <c r="BB64" s="302"/>
    </row>
    <row r="65" spans="2:59" s="311" customFormat="1">
      <c r="B65" s="305"/>
      <c r="C65" s="306"/>
      <c r="D65" s="307"/>
      <c r="E65" s="308">
        <f>+BC56</f>
        <v>2110539.7200000002</v>
      </c>
      <c r="F65" s="308">
        <f t="shared" ref="F65:P65" si="42">+E65</f>
        <v>2110539.7200000002</v>
      </c>
      <c r="G65" s="308">
        <f t="shared" si="42"/>
        <v>2110539.7200000002</v>
      </c>
      <c r="H65" s="309">
        <f t="shared" si="42"/>
        <v>2110539.7200000002</v>
      </c>
      <c r="I65" s="309">
        <f t="shared" si="42"/>
        <v>2110539.7200000002</v>
      </c>
      <c r="J65" s="309">
        <f t="shared" si="42"/>
        <v>2110539.7200000002</v>
      </c>
      <c r="K65" s="309">
        <f t="shared" si="42"/>
        <v>2110539.7200000002</v>
      </c>
      <c r="L65" s="309">
        <f t="shared" si="42"/>
        <v>2110539.7200000002</v>
      </c>
      <c r="M65" s="309">
        <f t="shared" si="42"/>
        <v>2110539.7200000002</v>
      </c>
      <c r="N65" s="309">
        <f t="shared" si="42"/>
        <v>2110539.7200000002</v>
      </c>
      <c r="O65" s="309">
        <f t="shared" si="42"/>
        <v>2110539.7200000002</v>
      </c>
      <c r="P65" s="309">
        <f t="shared" si="42"/>
        <v>2110539.7200000002</v>
      </c>
      <c r="Q65" s="309"/>
      <c r="R65" s="309"/>
      <c r="S65" s="309"/>
      <c r="T65" s="309"/>
      <c r="U65" s="309"/>
      <c r="V65" s="309"/>
      <c r="W65" s="309"/>
      <c r="X65" s="309"/>
      <c r="Y65" s="309"/>
      <c r="Z65" s="309"/>
      <c r="AA65" s="309"/>
      <c r="AB65" s="309"/>
      <c r="AC65" s="309"/>
      <c r="AD65" s="309"/>
      <c r="AE65" s="309"/>
      <c r="AF65" s="309"/>
      <c r="AG65" s="309"/>
      <c r="AH65" s="309"/>
      <c r="AI65" s="309"/>
      <c r="AJ65" s="309"/>
      <c r="AK65" s="309"/>
      <c r="AL65" s="309"/>
      <c r="AM65" s="309"/>
      <c r="AN65" s="309"/>
      <c r="AO65" s="309"/>
      <c r="AP65" s="309"/>
      <c r="AQ65" s="309"/>
      <c r="AR65" s="309"/>
      <c r="AS65" s="309"/>
      <c r="AT65" s="309"/>
      <c r="AU65" s="309"/>
      <c r="AV65" s="309"/>
      <c r="AW65" s="309"/>
      <c r="AX65" s="309"/>
      <c r="AY65" s="309"/>
      <c r="AZ65" s="309"/>
      <c r="BA65" s="309"/>
      <c r="BB65" s="309"/>
      <c r="BC65" s="310"/>
      <c r="BD65" s="310"/>
      <c r="BG65" s="439"/>
    </row>
    <row r="66" spans="2:59" s="311" customFormat="1">
      <c r="B66" s="305"/>
      <c r="C66" s="312"/>
      <c r="D66" s="307"/>
      <c r="E66" s="307"/>
      <c r="F66" s="307"/>
      <c r="G66" s="307"/>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310"/>
      <c r="AF66" s="310"/>
      <c r="AG66" s="310"/>
      <c r="AH66" s="310"/>
      <c r="AI66" s="310"/>
      <c r="AJ66" s="310"/>
      <c r="AK66" s="310"/>
      <c r="AL66" s="310"/>
      <c r="AM66" s="310"/>
      <c r="AN66" s="310"/>
      <c r="AO66" s="310"/>
      <c r="AP66" s="310"/>
      <c r="AQ66" s="310"/>
      <c r="AR66" s="310"/>
      <c r="AS66" s="310"/>
      <c r="AT66" s="310"/>
      <c r="AU66" s="310"/>
      <c r="AV66" s="310"/>
      <c r="AW66" s="310"/>
      <c r="AX66" s="310"/>
      <c r="AY66" s="310"/>
      <c r="AZ66" s="310"/>
      <c r="BA66" s="310"/>
      <c r="BB66" s="310"/>
      <c r="BC66" s="310"/>
      <c r="BD66" s="310"/>
      <c r="BG66" s="439"/>
    </row>
    <row r="67" spans="2:59" s="311" customFormat="1">
      <c r="B67" s="305"/>
      <c r="C67" s="312"/>
      <c r="D67" s="307"/>
      <c r="E67" s="308">
        <f>SUM(E16,E18,E20,E22,E24,E26,E28,E30,E32,E34,E36,E38,E40,E42,E44,E46,E48,E50,E52,E54)</f>
        <v>110163.408</v>
      </c>
      <c r="F67" s="308">
        <f t="shared" ref="F67:BC67" si="43">SUM(F16,F18,F20,F22,F24,F26,F28,F30,F32,F34,F36,F38,F40,F42,F44,F46,F48,F50,F52,F54)</f>
        <v>105462.39100000003</v>
      </c>
      <c r="G67" s="308">
        <f t="shared" si="43"/>
        <v>192371.35250000004</v>
      </c>
      <c r="H67" s="308">
        <f t="shared" si="43"/>
        <v>219267.40429999999</v>
      </c>
      <c r="I67" s="308">
        <f t="shared" si="43"/>
        <v>237686.71049999999</v>
      </c>
      <c r="J67" s="308">
        <f t="shared" si="43"/>
        <v>262623.12950000004</v>
      </c>
      <c r="K67" s="308">
        <f t="shared" si="43"/>
        <v>231770.35250000004</v>
      </c>
      <c r="L67" s="308">
        <f t="shared" si="43"/>
        <v>163040.10100000002</v>
      </c>
      <c r="M67" s="308">
        <f t="shared" si="43"/>
        <v>191478.94349999996</v>
      </c>
      <c r="N67" s="308">
        <f t="shared" si="43"/>
        <v>204662.39619999999</v>
      </c>
      <c r="O67" s="308">
        <f t="shared" si="43"/>
        <v>0</v>
      </c>
      <c r="P67" s="308">
        <f t="shared" si="43"/>
        <v>0</v>
      </c>
      <c r="Q67" s="308">
        <f t="shared" si="43"/>
        <v>0</v>
      </c>
      <c r="R67" s="308">
        <f t="shared" si="43"/>
        <v>0</v>
      </c>
      <c r="S67" s="308">
        <f t="shared" si="43"/>
        <v>0</v>
      </c>
      <c r="T67" s="308">
        <f t="shared" si="43"/>
        <v>0</v>
      </c>
      <c r="U67" s="308">
        <f t="shared" si="43"/>
        <v>0</v>
      </c>
      <c r="V67" s="308">
        <f t="shared" si="43"/>
        <v>0</v>
      </c>
      <c r="W67" s="308">
        <f t="shared" si="43"/>
        <v>0</v>
      </c>
      <c r="X67" s="308">
        <f t="shared" si="43"/>
        <v>0</v>
      </c>
      <c r="Y67" s="308">
        <f t="shared" si="43"/>
        <v>0</v>
      </c>
      <c r="Z67" s="308">
        <f t="shared" si="43"/>
        <v>0</v>
      </c>
      <c r="AA67" s="308">
        <f t="shared" si="43"/>
        <v>0</v>
      </c>
      <c r="AB67" s="308">
        <f t="shared" si="43"/>
        <v>0</v>
      </c>
      <c r="AC67" s="308">
        <f t="shared" si="43"/>
        <v>0</v>
      </c>
      <c r="AD67" s="308">
        <f t="shared" si="43"/>
        <v>0</v>
      </c>
      <c r="AE67" s="308">
        <f t="shared" si="43"/>
        <v>0</v>
      </c>
      <c r="AF67" s="308">
        <f t="shared" si="43"/>
        <v>0</v>
      </c>
      <c r="AG67" s="308">
        <f t="shared" si="43"/>
        <v>0</v>
      </c>
      <c r="AH67" s="308">
        <f t="shared" si="43"/>
        <v>0</v>
      </c>
      <c r="AI67" s="308">
        <f t="shared" si="43"/>
        <v>0</v>
      </c>
      <c r="AJ67" s="308">
        <f t="shared" si="43"/>
        <v>0</v>
      </c>
      <c r="AK67" s="308">
        <f t="shared" si="43"/>
        <v>0</v>
      </c>
      <c r="AL67" s="308">
        <f t="shared" si="43"/>
        <v>0</v>
      </c>
      <c r="AM67" s="308">
        <f t="shared" si="43"/>
        <v>0</v>
      </c>
      <c r="AN67" s="308">
        <f t="shared" si="43"/>
        <v>0</v>
      </c>
      <c r="AO67" s="308">
        <f t="shared" si="43"/>
        <v>0</v>
      </c>
      <c r="AP67" s="308">
        <f t="shared" si="43"/>
        <v>0</v>
      </c>
      <c r="AQ67" s="308">
        <f t="shared" si="43"/>
        <v>0</v>
      </c>
      <c r="AR67" s="308">
        <f t="shared" si="43"/>
        <v>0</v>
      </c>
      <c r="AS67" s="308">
        <f t="shared" si="43"/>
        <v>0</v>
      </c>
      <c r="AT67" s="308">
        <f t="shared" si="43"/>
        <v>0</v>
      </c>
      <c r="AU67" s="308">
        <f t="shared" si="43"/>
        <v>0</v>
      </c>
      <c r="AV67" s="308">
        <f t="shared" si="43"/>
        <v>0</v>
      </c>
      <c r="AW67" s="308">
        <f t="shared" si="43"/>
        <v>0</v>
      </c>
      <c r="AX67" s="308">
        <f t="shared" si="43"/>
        <v>0</v>
      </c>
      <c r="AY67" s="308">
        <f t="shared" si="43"/>
        <v>0</v>
      </c>
      <c r="AZ67" s="308">
        <f t="shared" si="43"/>
        <v>0</v>
      </c>
      <c r="BA67" s="308">
        <f t="shared" si="43"/>
        <v>0</v>
      </c>
      <c r="BB67" s="308">
        <f t="shared" si="43"/>
        <v>0</v>
      </c>
      <c r="BC67" s="308">
        <f t="shared" si="43"/>
        <v>1926178.6300000001</v>
      </c>
      <c r="BD67" s="310"/>
      <c r="BG67" s="439"/>
    </row>
    <row r="68" spans="2:59">
      <c r="B68" s="298"/>
      <c r="C68" s="313"/>
      <c r="D68" s="314"/>
      <c r="E68" s="740">
        <f>+E67/$BC67</f>
        <v>5.7192726720262696E-2</v>
      </c>
      <c r="F68" s="740">
        <f t="shared" ref="F68:AB68" si="44">+F67/$BC67</f>
        <v>5.4752134281543775E-2</v>
      </c>
      <c r="G68" s="740">
        <f t="shared" si="44"/>
        <v>9.9872020955813448E-2</v>
      </c>
      <c r="H68" s="740">
        <f t="shared" si="44"/>
        <v>0.11383544645597068</v>
      </c>
      <c r="I68" s="740">
        <f t="shared" si="44"/>
        <v>0.12339806225552402</v>
      </c>
      <c r="J68" s="740">
        <f t="shared" si="44"/>
        <v>0.13634411960016399</v>
      </c>
      <c r="K68" s="740">
        <f t="shared" si="44"/>
        <v>0.12032651016380554</v>
      </c>
      <c r="L68" s="740">
        <f t="shared" si="44"/>
        <v>8.4644330728557621E-2</v>
      </c>
      <c r="M68" s="740">
        <f t="shared" si="44"/>
        <v>9.9408715535381026E-2</v>
      </c>
      <c r="N68" s="740">
        <f t="shared" si="44"/>
        <v>0.10625307176209299</v>
      </c>
      <c r="O68" s="740">
        <f t="shared" si="44"/>
        <v>0</v>
      </c>
      <c r="P68" s="740">
        <f t="shared" si="44"/>
        <v>0</v>
      </c>
      <c r="Q68" s="740">
        <f t="shared" si="44"/>
        <v>0</v>
      </c>
      <c r="R68" s="740">
        <f t="shared" si="44"/>
        <v>0</v>
      </c>
      <c r="S68" s="740">
        <f t="shared" si="44"/>
        <v>0</v>
      </c>
      <c r="T68" s="740">
        <f t="shared" si="44"/>
        <v>0</v>
      </c>
      <c r="U68" s="740">
        <f t="shared" si="44"/>
        <v>0</v>
      </c>
      <c r="V68" s="740">
        <f t="shared" si="44"/>
        <v>0</v>
      </c>
      <c r="W68" s="740">
        <f t="shared" si="44"/>
        <v>0</v>
      </c>
      <c r="X68" s="740">
        <f t="shared" si="44"/>
        <v>0</v>
      </c>
      <c r="Y68" s="740">
        <f t="shared" si="44"/>
        <v>0</v>
      </c>
      <c r="Z68" s="740">
        <f t="shared" si="44"/>
        <v>0</v>
      </c>
      <c r="AA68" s="740">
        <f t="shared" si="44"/>
        <v>0</v>
      </c>
      <c r="AB68" s="740">
        <f t="shared" si="44"/>
        <v>0</v>
      </c>
      <c r="AC68" s="740"/>
      <c r="AD68" s="740"/>
      <c r="AE68" s="740"/>
      <c r="AF68" s="740"/>
      <c r="AG68" s="740"/>
      <c r="AH68" s="740"/>
      <c r="AI68" s="740"/>
      <c r="AJ68" s="740"/>
      <c r="AK68" s="740"/>
      <c r="AL68" s="740"/>
      <c r="AM68" s="740"/>
      <c r="AN68" s="740"/>
      <c r="AO68" s="740"/>
      <c r="AP68" s="740"/>
      <c r="AQ68" s="740"/>
      <c r="AR68" s="740"/>
      <c r="AS68" s="740"/>
      <c r="AT68" s="740"/>
      <c r="AU68" s="740"/>
      <c r="AV68" s="740"/>
      <c r="AW68" s="740"/>
      <c r="AX68" s="740"/>
      <c r="AY68" s="740"/>
      <c r="AZ68" s="740"/>
      <c r="BA68" s="740"/>
      <c r="BB68" s="740"/>
      <c r="BC68" s="740"/>
      <c r="BD68" s="316"/>
    </row>
    <row r="69" spans="2:59">
      <c r="B69" s="298"/>
      <c r="C69" s="313"/>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6"/>
      <c r="AD69" s="316"/>
      <c r="AE69" s="316"/>
      <c r="AF69" s="316"/>
      <c r="AG69" s="316"/>
      <c r="AH69" s="316"/>
      <c r="AI69" s="316"/>
      <c r="AJ69" s="316"/>
      <c r="AK69" s="316"/>
      <c r="AL69" s="316"/>
      <c r="AM69" s="316"/>
      <c r="AN69" s="316"/>
      <c r="AO69" s="316"/>
      <c r="AP69" s="316"/>
      <c r="AQ69" s="316"/>
      <c r="AR69" s="316"/>
      <c r="AS69" s="316"/>
      <c r="AT69" s="316"/>
      <c r="AU69" s="316"/>
      <c r="AV69" s="316"/>
      <c r="AW69" s="316"/>
      <c r="AX69" s="316"/>
      <c r="AY69" s="316"/>
      <c r="AZ69" s="316"/>
      <c r="BA69" s="316"/>
      <c r="BB69" s="316"/>
      <c r="BC69" s="316"/>
      <c r="BD69" s="316"/>
    </row>
    <row r="70" spans="2:59">
      <c r="B70" s="298"/>
      <c r="E70" s="741"/>
      <c r="F70" s="741"/>
      <c r="G70" s="741"/>
      <c r="H70" s="741"/>
      <c r="I70" s="741"/>
      <c r="J70" s="741"/>
      <c r="K70" s="741"/>
      <c r="L70" s="741"/>
      <c r="M70" s="741"/>
      <c r="N70" s="741"/>
      <c r="O70" s="741"/>
      <c r="P70" s="741"/>
      <c r="Q70" s="741"/>
      <c r="R70" s="741"/>
      <c r="S70" s="741"/>
      <c r="T70" s="741"/>
      <c r="U70" s="741"/>
      <c r="V70" s="741"/>
      <c r="W70" s="741"/>
      <c r="X70" s="741"/>
      <c r="Y70" s="741"/>
      <c r="Z70" s="741"/>
      <c r="AA70" s="741"/>
      <c r="AB70" s="741"/>
      <c r="AC70" s="316"/>
      <c r="AD70" s="316"/>
      <c r="AE70" s="316"/>
      <c r="AF70" s="316"/>
      <c r="AG70" s="316"/>
      <c r="AH70" s="316"/>
      <c r="AI70" s="316"/>
      <c r="AJ70" s="316"/>
      <c r="AK70" s="316"/>
      <c r="AL70" s="316"/>
      <c r="AM70" s="316"/>
      <c r="AN70" s="316"/>
      <c r="AO70" s="316"/>
      <c r="AP70" s="316"/>
      <c r="AQ70" s="316"/>
      <c r="AR70" s="316"/>
      <c r="AS70" s="316"/>
      <c r="AT70" s="316"/>
      <c r="AU70" s="316"/>
      <c r="AV70" s="316"/>
      <c r="AW70" s="316"/>
      <c r="AX70" s="316"/>
      <c r="AY70" s="316"/>
      <c r="AZ70" s="316"/>
      <c r="BA70" s="316"/>
      <c r="BB70" s="316"/>
      <c r="BC70" s="741"/>
      <c r="BD70" s="316"/>
    </row>
    <row r="71" spans="2:59">
      <c r="B71" s="298"/>
      <c r="E71" s="742">
        <f>+E59</f>
        <v>5.7192726720262696E-2</v>
      </c>
      <c r="F71" s="742">
        <f t="shared" ref="F71:AB71" si="45">+F59</f>
        <v>0.11194486100180646</v>
      </c>
      <c r="G71" s="742">
        <f t="shared" si="45"/>
        <v>0.21181688195761988</v>
      </c>
      <c r="H71" s="742">
        <f t="shared" si="45"/>
        <v>0.3256523284135906</v>
      </c>
      <c r="I71" s="742">
        <f t="shared" si="45"/>
        <v>0.44905039066911462</v>
      </c>
      <c r="J71" s="742">
        <f t="shared" si="45"/>
        <v>0.58539451026927858</v>
      </c>
      <c r="K71" s="742">
        <f t="shared" si="45"/>
        <v>0.70572102043308416</v>
      </c>
      <c r="L71" s="742">
        <f t="shared" si="45"/>
        <v>0.79036535116164175</v>
      </c>
      <c r="M71" s="742">
        <f t="shared" si="45"/>
        <v>0.88977406669702275</v>
      </c>
      <c r="N71" s="742">
        <f t="shared" si="45"/>
        <v>0.99602713845911572</v>
      </c>
      <c r="O71" s="742">
        <f t="shared" si="45"/>
        <v>0.99602713845911572</v>
      </c>
      <c r="P71" s="742">
        <f t="shared" si="45"/>
        <v>0.99602713845911572</v>
      </c>
      <c r="Q71" s="742" t="e">
        <f t="shared" si="45"/>
        <v>#REF!</v>
      </c>
      <c r="R71" s="742" t="e">
        <f t="shared" si="45"/>
        <v>#REF!</v>
      </c>
      <c r="S71" s="742" t="e">
        <f t="shared" si="45"/>
        <v>#REF!</v>
      </c>
      <c r="T71" s="742" t="e">
        <f t="shared" si="45"/>
        <v>#REF!</v>
      </c>
      <c r="U71" s="742" t="e">
        <f t="shared" si="45"/>
        <v>#REF!</v>
      </c>
      <c r="V71" s="742" t="e">
        <f t="shared" si="45"/>
        <v>#REF!</v>
      </c>
      <c r="W71" s="742" t="e">
        <f t="shared" si="45"/>
        <v>#REF!</v>
      </c>
      <c r="X71" s="742" t="e">
        <f t="shared" si="45"/>
        <v>#REF!</v>
      </c>
      <c r="Y71" s="742" t="e">
        <f t="shared" si="45"/>
        <v>#REF!</v>
      </c>
      <c r="Z71" s="742" t="e">
        <f t="shared" si="45"/>
        <v>#REF!</v>
      </c>
      <c r="AA71" s="742" t="e">
        <f t="shared" si="45"/>
        <v>#REF!</v>
      </c>
      <c r="AB71" s="742" t="e">
        <f t="shared" si="45"/>
        <v>#REF!</v>
      </c>
      <c r="AC71" s="316"/>
      <c r="AD71" s="316"/>
      <c r="AE71" s="316"/>
      <c r="AF71" s="316"/>
      <c r="AG71" s="316"/>
      <c r="AH71" s="316"/>
      <c r="AI71" s="316"/>
      <c r="AJ71" s="316"/>
      <c r="AK71" s="316"/>
      <c r="AL71" s="316"/>
      <c r="AM71" s="316"/>
      <c r="AN71" s="316"/>
      <c r="AO71" s="316"/>
      <c r="AP71" s="316"/>
      <c r="AQ71" s="316"/>
      <c r="AR71" s="316"/>
      <c r="AS71" s="316"/>
      <c r="AT71" s="316"/>
      <c r="AU71" s="316"/>
      <c r="AV71" s="316"/>
      <c r="AW71" s="316"/>
      <c r="AX71" s="316"/>
      <c r="AY71" s="316"/>
      <c r="AZ71" s="316"/>
      <c r="BA71" s="316"/>
      <c r="BB71" s="316"/>
      <c r="BC71" s="742"/>
      <c r="BD71" s="316"/>
    </row>
    <row r="72" spans="2:59">
      <c r="B72" s="298"/>
      <c r="E72" s="269">
        <v>9.0179962843336403E-3</v>
      </c>
      <c r="F72" s="269">
        <v>2.9129672173677013E-2</v>
      </c>
      <c r="G72" s="269">
        <v>5.7585798308347314E-2</v>
      </c>
      <c r="H72" s="318">
        <v>9.3004708569897176E-2</v>
      </c>
      <c r="I72" s="318">
        <v>0.1343505714062796</v>
      </c>
      <c r="J72" s="318">
        <v>0.18073542553162703</v>
      </c>
      <c r="K72" s="318">
        <v>0.23134516675963657</v>
      </c>
      <c r="L72" s="318">
        <v>0.28540467598561181</v>
      </c>
      <c r="M72" s="318">
        <v>0.34215908749881152</v>
      </c>
      <c r="N72" s="318">
        <v>0.40086283468656569</v>
      </c>
      <c r="O72" s="318">
        <v>0.46077285544691038</v>
      </c>
      <c r="P72" s="318">
        <v>0.52114419625132402</v>
      </c>
      <c r="Q72" s="318">
        <v>0.58122708028908632</v>
      </c>
      <c r="R72" s="318">
        <v>0.64026490979903028</v>
      </c>
      <c r="S72" s="318">
        <v>0.69749288596839398</v>
      </c>
      <c r="T72" s="318">
        <v>0.75213704898447709</v>
      </c>
      <c r="U72" s="318">
        <v>0.80341361073672102</v>
      </c>
      <c r="V72" s="318">
        <v>0.85052849534756569</v>
      </c>
      <c r="W72" s="318">
        <v>0.89267702966751095</v>
      </c>
      <c r="X72" s="318">
        <v>0.9290437433993769</v>
      </c>
      <c r="Y72" s="318">
        <v>0.95880225020735554</v>
      </c>
      <c r="Z72" s="318">
        <v>0.98111518913696827</v>
      </c>
      <c r="AA72" s="318">
        <v>0.99513421121286083</v>
      </c>
      <c r="AB72" s="318">
        <v>1</v>
      </c>
      <c r="AC72" s="318"/>
      <c r="AD72" s="318"/>
      <c r="AE72" s="318"/>
      <c r="AF72" s="318"/>
      <c r="AG72" s="318"/>
      <c r="AH72" s="318"/>
      <c r="AI72" s="318"/>
      <c r="AJ72" s="318"/>
      <c r="AK72" s="318"/>
      <c r="AL72" s="318"/>
      <c r="AM72" s="318"/>
      <c r="AN72" s="318"/>
      <c r="AO72" s="318"/>
      <c r="AP72" s="318"/>
      <c r="AQ72" s="318"/>
      <c r="AR72" s="318"/>
      <c r="AS72" s="318"/>
      <c r="AT72" s="318"/>
      <c r="AU72" s="318"/>
      <c r="AV72" s="318"/>
      <c r="AW72" s="318"/>
      <c r="AX72" s="318"/>
      <c r="AY72" s="318"/>
      <c r="AZ72" s="318"/>
      <c r="BA72" s="318"/>
      <c r="BB72" s="318"/>
    </row>
  </sheetData>
  <autoFilter ref="B13:BF59" xr:uid="{00000000-0009-0000-0000-00000A000000}"/>
  <mergeCells count="64">
    <mergeCell ref="B7:BD7"/>
    <mergeCell ref="E9:P9"/>
    <mergeCell ref="Q9:AB9"/>
    <mergeCell ref="AC9:AN9"/>
    <mergeCell ref="AO9:AZ9"/>
    <mergeCell ref="BA9:BB9"/>
    <mergeCell ref="L10:L12"/>
    <mergeCell ref="M10:M12"/>
    <mergeCell ref="N10:N12"/>
    <mergeCell ref="T10:T12"/>
    <mergeCell ref="U10:U12"/>
    <mergeCell ref="G10:G12"/>
    <mergeCell ref="H10:H12"/>
    <mergeCell ref="I10:I12"/>
    <mergeCell ref="J10:J12"/>
    <mergeCell ref="K10:K12"/>
    <mergeCell ref="V10:V12"/>
    <mergeCell ref="W10:W12"/>
    <mergeCell ref="X10:X12"/>
    <mergeCell ref="BG11:BG12"/>
    <mergeCell ref="B56:C56"/>
    <mergeCell ref="AX10:AX12"/>
    <mergeCell ref="AY10:AY12"/>
    <mergeCell ref="BA10:BA12"/>
    <mergeCell ref="BB10:BB12"/>
    <mergeCell ref="AM10:AM12"/>
    <mergeCell ref="Y10:Y12"/>
    <mergeCell ref="Z10:Z12"/>
    <mergeCell ref="O10:O12"/>
    <mergeCell ref="C10:C12"/>
    <mergeCell ref="E10:E12"/>
    <mergeCell ref="F10:F12"/>
    <mergeCell ref="B57:C57"/>
    <mergeCell ref="AT10:AT12"/>
    <mergeCell ref="AU10:AU12"/>
    <mergeCell ref="AV10:AV12"/>
    <mergeCell ref="AW10:AW12"/>
    <mergeCell ref="AN10:AN12"/>
    <mergeCell ref="AO10:AO12"/>
    <mergeCell ref="AP10:AP12"/>
    <mergeCell ref="AQ10:AQ12"/>
    <mergeCell ref="AR10:AR12"/>
    <mergeCell ref="AS10:AS12"/>
    <mergeCell ref="AH10:AH12"/>
    <mergeCell ref="AI10:AI12"/>
    <mergeCell ref="AJ10:AJ12"/>
    <mergeCell ref="AK10:AK12"/>
    <mergeCell ref="AL10:AL12"/>
    <mergeCell ref="O63:Q63"/>
    <mergeCell ref="O64:Q64"/>
    <mergeCell ref="B58:C58"/>
    <mergeCell ref="B59:C59"/>
    <mergeCell ref="AZ10:AZ12"/>
    <mergeCell ref="AB10:AB12"/>
    <mergeCell ref="AC10:AC12"/>
    <mergeCell ref="AD10:AD12"/>
    <mergeCell ref="AE10:AE12"/>
    <mergeCell ref="AF10:AF12"/>
    <mergeCell ref="AG10:AG12"/>
    <mergeCell ref="AA10:AA12"/>
    <mergeCell ref="P10:P12"/>
    <mergeCell ref="Q10:Q12"/>
    <mergeCell ref="R10:R12"/>
    <mergeCell ref="S10:S12"/>
  </mergeCells>
  <printOptions horizontalCentered="1"/>
  <pageMargins left="0.19685039370078741" right="0.19685039370078741" top="1.1811023622047245" bottom="0.98425196850393704" header="0.59055118110236227" footer="0.19685039370078741"/>
  <pageSetup paperSize="9" scale="49" orientation="landscape" r:id="rId1"/>
  <headerFooter>
    <oddFooter>&amp;R&amp;P</oddFooter>
  </headerFooter>
  <drawing r:id="rId2"/>
  <legacyDrawing r:id="rId3"/>
  <legacyDrawingHF r:id="rId4"/>
  <oleObjects>
    <mc:AlternateContent xmlns:mc="http://schemas.openxmlformats.org/markup-compatibility/2006">
      <mc:Choice Requires="x14">
        <oleObject progId="MSPhotoEd.3" shapeId="64513" r:id="rId5">
          <objectPr defaultSize="0" autoPict="0" r:id="rId6">
            <anchor moveWithCells="1" sizeWithCells="1">
              <from>
                <xdr:col>1</xdr:col>
                <xdr:colOff>228600</xdr:colOff>
                <xdr:row>1</xdr:row>
                <xdr:rowOff>0</xdr:rowOff>
              </from>
              <to>
                <xdr:col>2</xdr:col>
                <xdr:colOff>638175</xdr:colOff>
                <xdr:row>1</xdr:row>
                <xdr:rowOff>0</xdr:rowOff>
              </to>
            </anchor>
          </objectPr>
        </oleObject>
      </mc:Choice>
      <mc:Fallback>
        <oleObject progId="MSPhotoEd.3" shapeId="64513" r:id="rId5"/>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U613"/>
  <sheetViews>
    <sheetView showGridLines="0" tabSelected="1" view="pageBreakPreview" topLeftCell="C1" zoomScale="85" zoomScaleNormal="85" zoomScaleSheetLayoutView="85" zoomScalePageLayoutView="85" workbookViewId="0">
      <pane ySplit="11" topLeftCell="A461" activePane="bottomLeft" state="frozen"/>
      <selection pane="bottomLeft" activeCell="C10" sqref="C10:N481"/>
    </sheetView>
  </sheetViews>
  <sheetFormatPr defaultColWidth="10.42578125" defaultRowHeight="12.75"/>
  <cols>
    <col min="1" max="1" width="10.42578125" style="430"/>
    <col min="2" max="2" width="16.42578125" style="680" customWidth="1"/>
    <col min="3" max="3" width="10.42578125" style="431"/>
    <col min="4" max="4" width="5.7109375" style="431" customWidth="1"/>
    <col min="5" max="5" width="7.5703125" style="582" customWidth="1"/>
    <col min="6" max="6" width="9.7109375" style="583" customWidth="1"/>
    <col min="7" max="7" width="14.5703125" style="583" customWidth="1"/>
    <col min="8" max="8" width="69.7109375" style="752" customWidth="1"/>
    <col min="9" max="9" width="10.140625" style="585" customWidth="1"/>
    <col min="10" max="10" width="11.7109375" style="586" bestFit="1" customWidth="1"/>
    <col min="11" max="11" width="11.42578125" style="81" bestFit="1" customWidth="1"/>
    <col min="12" max="12" width="8.28515625" style="541" customWidth="1"/>
    <col min="13" max="13" width="11.7109375" style="81" bestFit="1" customWidth="1"/>
    <col min="14" max="14" width="15.85546875" style="81" bestFit="1" customWidth="1"/>
    <col min="15" max="15" width="14.28515625" style="431" customWidth="1"/>
    <col min="16" max="16" width="18.7109375" style="430" customWidth="1"/>
    <col min="17" max="17" width="13.42578125" style="430" customWidth="1"/>
    <col min="18" max="19" width="12.28515625" style="430" customWidth="1"/>
    <col min="20" max="20" width="13.5703125" style="430" customWidth="1"/>
    <col min="21" max="21" width="12.42578125" style="430" bestFit="1" customWidth="1"/>
    <col min="22" max="16384" width="10.42578125" style="430"/>
  </cols>
  <sheetData>
    <row r="1" spans="1:21">
      <c r="E1" s="535" t="s">
        <v>2690</v>
      </c>
      <c r="F1" s="536"/>
      <c r="G1" s="537" t="str">
        <f>IF(DADOS!$D$9&lt;&gt;"",DADOS!$D$9,"")</f>
        <v>CÂMARA MUNICIPAL DE TAMARANA</v>
      </c>
      <c r="H1" s="748"/>
      <c r="I1" s="538"/>
      <c r="J1" s="539"/>
      <c r="K1" s="540"/>
      <c r="L1" s="489" t="s">
        <v>29</v>
      </c>
      <c r="M1" s="413"/>
      <c r="N1" s="490">
        <f>IF(BDI!D24&lt;&gt;"",BDI!D24,"")</f>
        <v>0.2354</v>
      </c>
    </row>
    <row r="2" spans="1:21">
      <c r="B2" s="590"/>
      <c r="D2" s="587"/>
      <c r="E2" s="542" t="s">
        <v>3714</v>
      </c>
      <c r="F2" s="536"/>
      <c r="G2" s="543">
        <f>IF(DADOS!N7&lt;&gt;"",DADOS!N7)</f>
        <v>81</v>
      </c>
      <c r="H2" s="748"/>
      <c r="I2" s="538"/>
      <c r="J2" s="230"/>
      <c r="K2" s="488"/>
      <c r="L2" s="489"/>
      <c r="M2" s="413"/>
      <c r="N2" s="490"/>
      <c r="O2" s="680" t="s">
        <v>7662</v>
      </c>
      <c r="P2" s="430" t="s">
        <v>7660</v>
      </c>
      <c r="Q2" s="430" t="s">
        <v>8779</v>
      </c>
      <c r="S2" s="674"/>
    </row>
    <row r="3" spans="1:21">
      <c r="B3" s="590"/>
      <c r="D3" s="587"/>
      <c r="E3" s="542" t="s">
        <v>5330</v>
      </c>
      <c r="F3" s="536"/>
      <c r="G3" s="537" t="str">
        <f>IF(DADOS!$D$13&lt;&gt;"",DADOS!$D$13,"")</f>
        <v>CÂMARA MUNICIPAL DE TAMARANA</v>
      </c>
      <c r="H3" s="748"/>
      <c r="I3" s="538"/>
      <c r="J3" s="544"/>
      <c r="K3" s="488"/>
      <c r="L3" s="544"/>
      <c r="M3" s="230"/>
      <c r="N3" s="496"/>
      <c r="O3" s="852" t="s">
        <v>7661</v>
      </c>
      <c r="P3" s="430" t="s">
        <v>8781</v>
      </c>
      <c r="Q3" s="430" t="s">
        <v>8780</v>
      </c>
      <c r="S3" s="674"/>
    </row>
    <row r="4" spans="1:21">
      <c r="B4" s="590"/>
      <c r="D4" s="587"/>
      <c r="E4" s="497" t="s">
        <v>6829</v>
      </c>
      <c r="F4" s="499"/>
      <c r="G4" s="500" t="str">
        <f>IF(DADOS!$D$11&lt;&gt;"",DADOS!$D$11,"")</f>
        <v>RUA UBALDINO DE SÁ BITERNCOURT, S/N. - PRAÇA "A-B-3"</v>
      </c>
      <c r="H4" s="501"/>
      <c r="I4" s="502"/>
      <c r="J4" s="238"/>
      <c r="K4" s="488"/>
      <c r="L4" s="503" t="s">
        <v>903</v>
      </c>
      <c r="M4" s="231"/>
      <c r="N4" s="504">
        <f ca="1">IF(DADOS!$D$19&lt;&gt;"",DADOS!$D$19,"")</f>
        <v>44860</v>
      </c>
      <c r="O4" s="675"/>
      <c r="S4" s="674"/>
    </row>
    <row r="5" spans="1:21">
      <c r="B5" s="590"/>
      <c r="D5" s="587"/>
      <c r="E5" s="545" t="s">
        <v>4877</v>
      </c>
      <c r="F5" s="230"/>
      <c r="G5" s="766" t="str">
        <f>DADOS!D21</f>
        <v>SINAPI PR - JULHO 2022 - NÃO DESONERADO</v>
      </c>
      <c r="H5" s="230"/>
      <c r="I5" s="230"/>
      <c r="J5" s="546"/>
      <c r="K5" s="488"/>
      <c r="L5" s="547" t="s">
        <v>4879</v>
      </c>
      <c r="M5" s="230"/>
      <c r="N5" s="459" t="str">
        <f>IF(DADOS!M19&lt;&gt;"",DADOS!M19)</f>
        <v>R01</v>
      </c>
      <c r="S5" s="674"/>
    </row>
    <row r="6" spans="1:21">
      <c r="B6" s="590"/>
      <c r="D6" s="587"/>
      <c r="E6" s="510"/>
      <c r="F6" s="231"/>
      <c r="G6" s="232"/>
      <c r="H6" s="231"/>
      <c r="I6" s="231"/>
      <c r="J6" s="511"/>
      <c r="K6" s="512"/>
      <c r="L6" s="513"/>
      <c r="M6" s="549"/>
      <c r="N6" s="514"/>
    </row>
    <row r="7" spans="1:21">
      <c r="B7" s="590"/>
      <c r="D7" s="587"/>
      <c r="E7" s="1117" t="s">
        <v>3719</v>
      </c>
      <c r="F7" s="1118"/>
      <c r="G7" s="1118"/>
      <c r="H7" s="1118"/>
      <c r="I7" s="1118"/>
      <c r="J7" s="1118"/>
      <c r="K7" s="1118"/>
      <c r="L7" s="1118"/>
      <c r="M7" s="1118"/>
      <c r="N7" s="1119"/>
    </row>
    <row r="8" spans="1:21">
      <c r="B8" s="590"/>
      <c r="D8" s="587"/>
      <c r="E8" s="1120" t="s">
        <v>6516</v>
      </c>
      <c r="F8" s="1120"/>
      <c r="G8" s="1120"/>
      <c r="H8" s="1120"/>
      <c r="I8" s="1120"/>
      <c r="J8" s="1120"/>
      <c r="K8" s="1120"/>
      <c r="L8" s="1120"/>
      <c r="M8" s="1120"/>
      <c r="N8" s="1120"/>
    </row>
    <row r="9" spans="1:21">
      <c r="B9" s="590"/>
      <c r="D9" s="587"/>
      <c r="E9" s="550"/>
      <c r="F9" s="551"/>
      <c r="G9" s="551"/>
      <c r="H9" s="552"/>
      <c r="I9" s="553"/>
      <c r="J9" s="553"/>
      <c r="K9" s="554"/>
      <c r="L9" s="548"/>
      <c r="M9" s="555"/>
      <c r="N9" s="849"/>
    </row>
    <row r="10" spans="1:21" s="431" customFormat="1" ht="25.5">
      <c r="A10" s="430">
        <v>1</v>
      </c>
      <c r="B10" s="590" t="s">
        <v>5334</v>
      </c>
      <c r="D10" s="587"/>
      <c r="E10" s="556" t="s">
        <v>904</v>
      </c>
      <c r="F10" s="556" t="s">
        <v>6795</v>
      </c>
      <c r="G10" s="556" t="s">
        <v>504</v>
      </c>
      <c r="H10" s="557" t="s">
        <v>791</v>
      </c>
      <c r="I10" s="557" t="s">
        <v>6508</v>
      </c>
      <c r="J10" s="558" t="s">
        <v>6509</v>
      </c>
      <c r="K10" s="559" t="s">
        <v>6941</v>
      </c>
      <c r="L10" s="560" t="s">
        <v>543</v>
      </c>
      <c r="M10" s="559" t="s">
        <v>6510</v>
      </c>
      <c r="N10" s="561" t="s">
        <v>4876</v>
      </c>
      <c r="T10" s="559" t="s">
        <v>6510</v>
      </c>
      <c r="U10" s="561" t="s">
        <v>4876</v>
      </c>
    </row>
    <row r="11" spans="1:21">
      <c r="A11" s="430">
        <v>2</v>
      </c>
      <c r="B11" s="590"/>
      <c r="D11" s="587"/>
      <c r="E11" s="562"/>
      <c r="F11" s="563"/>
      <c r="G11" s="563"/>
      <c r="H11" s="564"/>
      <c r="I11" s="564"/>
      <c r="J11" s="565"/>
      <c r="K11" s="566"/>
      <c r="L11" s="567"/>
      <c r="M11" s="566"/>
      <c r="N11" s="565"/>
    </row>
    <row r="12" spans="1:21">
      <c r="A12" s="430">
        <v>3</v>
      </c>
      <c r="B12" s="590"/>
      <c r="C12" s="431">
        <f>+E12</f>
        <v>1</v>
      </c>
      <c r="D12" s="587"/>
      <c r="E12" s="859">
        <v>1</v>
      </c>
      <c r="F12" s="860"/>
      <c r="G12" s="860"/>
      <c r="H12" s="861" t="s">
        <v>6992</v>
      </c>
      <c r="I12" s="862"/>
      <c r="J12" s="863"/>
      <c r="K12" s="864"/>
      <c r="L12" s="865"/>
      <c r="M12" s="864"/>
      <c r="N12" s="864">
        <f>SUM(N13:N35)</f>
        <v>184361.09</v>
      </c>
      <c r="S12" s="433"/>
      <c r="T12" s="433">
        <v>1953343.07</v>
      </c>
      <c r="U12" s="433">
        <v>2465118.98</v>
      </c>
    </row>
    <row r="13" spans="1:21" s="588" customFormat="1">
      <c r="A13" s="430">
        <v>4</v>
      </c>
      <c r="B13" s="590"/>
      <c r="C13" s="431" t="str">
        <f>+E13</f>
        <v>1.1</v>
      </c>
      <c r="D13" s="587"/>
      <c r="E13" s="568" t="s">
        <v>5325</v>
      </c>
      <c r="F13" s="569"/>
      <c r="G13" s="569"/>
      <c r="H13" s="749" t="s">
        <v>4884</v>
      </c>
      <c r="I13" s="570"/>
      <c r="J13" s="571"/>
      <c r="K13" s="571"/>
      <c r="L13" s="571"/>
      <c r="M13" s="571"/>
      <c r="N13" s="571"/>
      <c r="O13" s="431"/>
      <c r="Q13" s="589"/>
      <c r="S13" s="433"/>
    </row>
    <row r="14" spans="1:21">
      <c r="A14" s="430">
        <v>5</v>
      </c>
      <c r="B14" s="590"/>
      <c r="C14" s="431" t="str">
        <f t="shared" ref="C14:C19" si="0">+C13</f>
        <v>1.1</v>
      </c>
      <c r="D14" s="587">
        <f t="shared" ref="D14:D19" si="1">1+D13</f>
        <v>1</v>
      </c>
      <c r="E14" s="572" t="str">
        <f t="shared" ref="E14:E19" si="2">C14&amp;"."&amp;D14</f>
        <v>1.1.1</v>
      </c>
      <c r="F14" s="573"/>
      <c r="G14" s="574"/>
      <c r="H14" s="762" t="s">
        <v>6767</v>
      </c>
      <c r="I14" s="575" t="s">
        <v>3048</v>
      </c>
      <c r="J14" s="576"/>
      <c r="K14" s="576"/>
      <c r="L14" s="577"/>
      <c r="M14" s="576"/>
      <c r="N14" s="576"/>
      <c r="Q14" s="589"/>
      <c r="S14" s="433"/>
    </row>
    <row r="15" spans="1:21">
      <c r="A15" s="430">
        <v>6</v>
      </c>
      <c r="B15" s="590"/>
      <c r="C15" s="431" t="str">
        <f t="shared" si="0"/>
        <v>1.1</v>
      </c>
      <c r="D15" s="587">
        <f t="shared" si="1"/>
        <v>2</v>
      </c>
      <c r="E15" s="572" t="str">
        <f t="shared" si="2"/>
        <v>1.1.2</v>
      </c>
      <c r="F15" s="579" t="s">
        <v>2239</v>
      </c>
      <c r="G15" s="581" t="s">
        <v>2944</v>
      </c>
      <c r="H15" s="739" t="str">
        <f>IF($G15="","",IFERROR(VLOOKUP($G15,SERVIÇOS!$C:$G,2,0),IFERROR(VLOOKUP($G15,CPU!$F:$M,2,0),IFERROR(VLOOKUP($G15,INSUMOS!$B:$E,2,0),""))))</f>
        <v xml:space="preserve">ADMINISTRAÇÃO DE OBRA - EQUIPE DE APOIO </v>
      </c>
      <c r="I15" s="578" t="str">
        <f>IF($G15="","",IFERROR(VLOOKUP($G15,SERVIÇOS!$C:$G,3,0),IFERROR(VLOOKUP($G15,CPU!$F:$M,3,0),IFERROR(VLOOKUP($G15,INSUMOS!$B:$E,3,0),""))))</f>
        <v>%</v>
      </c>
      <c r="J15" s="576">
        <v>100</v>
      </c>
      <c r="K15" s="576">
        <f>IF($G15="","",IFERROR(VLOOKUP($G15,SERVIÇOS!$C:$H,6,0),IFERROR(VLOOKUP($G15,CPU!$F:$M,8,0),"")))</f>
        <v>1061.24</v>
      </c>
      <c r="L15" s="577">
        <f>IF(J15&lt;&gt;"",$N$1,"")</f>
        <v>0.2354</v>
      </c>
      <c r="M15" s="576">
        <f>IF(J15&lt;&gt;0,(ROUND(K15*(L15+1),2)),0)</f>
        <v>1311.06</v>
      </c>
      <c r="N15" s="576">
        <f>IF(J15="","",ROUND((J15*M15),2))</f>
        <v>131106</v>
      </c>
      <c r="Q15" s="589">
        <f>N15</f>
        <v>131106</v>
      </c>
      <c r="S15" s="433"/>
    </row>
    <row r="16" spans="1:21" s="588" customFormat="1">
      <c r="A16" s="430">
        <v>7</v>
      </c>
      <c r="B16" s="590"/>
      <c r="C16" s="431" t="str">
        <f>+C15</f>
        <v>1.1</v>
      </c>
      <c r="D16" s="587">
        <f>1+D15</f>
        <v>3</v>
      </c>
      <c r="E16" s="572" t="str">
        <f t="shared" si="2"/>
        <v>1.1.3</v>
      </c>
      <c r="F16" s="573"/>
      <c r="G16" s="574"/>
      <c r="H16" s="762" t="s">
        <v>5281</v>
      </c>
      <c r="I16" s="575"/>
      <c r="J16" s="576"/>
      <c r="K16" s="576"/>
      <c r="L16" s="577"/>
      <c r="M16" s="576"/>
      <c r="N16" s="576"/>
      <c r="O16" s="431"/>
      <c r="Q16" s="589"/>
      <c r="S16" s="433"/>
    </row>
    <row r="17" spans="1:19" s="588" customFormat="1" ht="38.25">
      <c r="A17" s="430">
        <v>8</v>
      </c>
      <c r="B17" s="590"/>
      <c r="C17" s="431" t="str">
        <f t="shared" si="0"/>
        <v>1.1</v>
      </c>
      <c r="D17" s="587">
        <f t="shared" si="1"/>
        <v>4</v>
      </c>
      <c r="E17" s="572" t="str">
        <f t="shared" si="2"/>
        <v>1.1.4</v>
      </c>
      <c r="F17" s="579" t="s">
        <v>2239</v>
      </c>
      <c r="G17" s="581" t="s">
        <v>2877</v>
      </c>
      <c r="H17" s="739" t="str">
        <f>IF($G17="","",IFERROR(VLOOKUP($G17,SERVIÇOS!$C:$G,2,0),IFERROR(VLOOKUP($G17,CPU!$F:$M,2,0),IFERROR(VLOOKUP($G17,INSUMOS!$B:$E,2,0),""))))</f>
        <v>BEBEDOURO DE PRESSÃO EM INOX, JATO INCLINADO COM FILTRO DE ÁGUA, 2 JATOS, MARCA IBBL BAG40, OU EQUIVALENCIA TÉCNICA, INCLUSO 2 ENGATES FLEXIVEL PVC 1/2" 40CM</v>
      </c>
      <c r="I17" s="578" t="str">
        <f>IF($G17="","",IFERROR(VLOOKUP($G17,SERVIÇOS!$C:$G,3,0),IFERROR(VLOOKUP($G17,CPU!$F:$M,3,0),IFERROR(VLOOKUP($G17,INSUMOS!$B:$E,3,0),""))))</f>
        <v>UN</v>
      </c>
      <c r="J17" s="576">
        <v>1</v>
      </c>
      <c r="K17" s="576">
        <f>IF($G17="","",IFERROR(VLOOKUP($G17,SERVIÇOS!$C:$H,6,0),IFERROR(VLOOKUP($G17,CPU!$F:$M,8,0),"")))</f>
        <v>1543.8400000000001</v>
      </c>
      <c r="L17" s="577">
        <f>IF(J17&lt;&gt;"",$N$1,"")</f>
        <v>0.2354</v>
      </c>
      <c r="M17" s="576">
        <f>IF(J17&lt;&gt;0,(ROUND(K17*(L17+1),2)),0)</f>
        <v>1907.26</v>
      </c>
      <c r="N17" s="576">
        <f>IF(J17="","",ROUND((J17*M17),2))</f>
        <v>1907.26</v>
      </c>
      <c r="O17" s="431"/>
      <c r="Q17" s="589">
        <f>N17</f>
        <v>1907.26</v>
      </c>
      <c r="S17" s="433"/>
    </row>
    <row r="18" spans="1:19" ht="25.5">
      <c r="A18" s="430">
        <v>10</v>
      </c>
      <c r="B18" s="590"/>
      <c r="C18" s="431" t="str">
        <f t="shared" si="0"/>
        <v>1.1</v>
      </c>
      <c r="D18" s="587">
        <f t="shared" si="1"/>
        <v>5</v>
      </c>
      <c r="E18" s="572" t="str">
        <f t="shared" si="2"/>
        <v>1.1.5</v>
      </c>
      <c r="F18" s="579" t="s">
        <v>2238</v>
      </c>
      <c r="G18" s="581">
        <v>101907</v>
      </c>
      <c r="H18" s="739" t="str">
        <f>IF($G18="","",IFERROR(VLOOKUP($G18,SERVIÇOS!$C:$G,2,0),IFERROR(VLOOKUP($G18,CPU!$F:$M,2,0),IFERROR(VLOOKUP($G18,INSUMOS!$B:$E,2,0),""))))</f>
        <v>EXTINTOR DE INCÊNDIO PORTÁTIL COM CARGA DE CO2 DE 6 KG, CLASSE BC - FORNECIMENTO E INSTALAÇÃO. AF_10/2020_P</v>
      </c>
      <c r="I18" s="578" t="str">
        <f>IF($G18="","",IFERROR(VLOOKUP($G18,SERVIÇOS!$C:$G,3,0),IFERROR(VLOOKUP($G18,CPU!$F:$M,3,0),IFERROR(VLOOKUP($G18,INSUMOS!$B:$E,3,0),""))))</f>
        <v>UN</v>
      </c>
      <c r="J18" s="576">
        <v>1</v>
      </c>
      <c r="K18" s="576">
        <f>IF($G18="","",IFERROR(VLOOKUP($G18,SERVIÇOS!$C:$H,6,0),IFERROR(VLOOKUP($G18,CPU!$F:$M,8,0),"")))</f>
        <v>602.27</v>
      </c>
      <c r="L18" s="577">
        <f>IF(J18&lt;&gt;"",$N$1,"")</f>
        <v>0.2354</v>
      </c>
      <c r="M18" s="576">
        <f>IF(J18&lt;&gt;0,(ROUND(K18*(L18+1),2)),0)</f>
        <v>744.04</v>
      </c>
      <c r="N18" s="576">
        <f>IF(J18="","",ROUND((J18*M18),2))</f>
        <v>744.04</v>
      </c>
      <c r="Q18" s="589">
        <f>N18</f>
        <v>744.04</v>
      </c>
      <c r="S18" s="433"/>
    </row>
    <row r="19" spans="1:19" s="588" customFormat="1" ht="25.5">
      <c r="A19" s="430">
        <v>11</v>
      </c>
      <c r="B19" s="590"/>
      <c r="C19" s="431" t="str">
        <f t="shared" si="0"/>
        <v>1.1</v>
      </c>
      <c r="D19" s="587">
        <f t="shared" si="1"/>
        <v>6</v>
      </c>
      <c r="E19" s="572" t="str">
        <f t="shared" si="2"/>
        <v>1.1.6</v>
      </c>
      <c r="F19" s="579" t="s">
        <v>2238</v>
      </c>
      <c r="G19" s="581">
        <v>101905</v>
      </c>
      <c r="H19" s="739" t="str">
        <f>IF($G19="","",IFERROR(VLOOKUP($G19,SERVIÇOS!$C:$G,2,0),IFERROR(VLOOKUP($G19,CPU!$F:$M,2,0),IFERROR(VLOOKUP($G19,INSUMOS!$B:$E,2,0),""))))</f>
        <v>EXTINTOR DE INCÊNDIO PORTÁTIL COM CARGA DE ÁGUA PRESSURIZADA DE 10 L, CLASSE A - FORNECIMENTO E INSTALAÇÃO. AF_10/2020_P</v>
      </c>
      <c r="I19" s="578" t="str">
        <f>IF($G19="","",IFERROR(VLOOKUP($G19,SERVIÇOS!$C:$G,3,0),IFERROR(VLOOKUP($G19,CPU!$F:$M,3,0),IFERROR(VLOOKUP($G19,INSUMOS!$B:$E,3,0),""))))</f>
        <v>UN</v>
      </c>
      <c r="J19" s="576">
        <v>1</v>
      </c>
      <c r="K19" s="576">
        <f>IF($G19="","",IFERROR(VLOOKUP($G19,SERVIÇOS!$C:$H,6,0),IFERROR(VLOOKUP($G19,CPU!$F:$M,8,0),"")))</f>
        <v>194.27</v>
      </c>
      <c r="L19" s="577">
        <f>IF(J19&lt;&gt;"",$N$1,"")</f>
        <v>0.2354</v>
      </c>
      <c r="M19" s="576">
        <f>IF(J19&lt;&gt;0,(ROUND(K19*(L19+1),2)),0)</f>
        <v>240</v>
      </c>
      <c r="N19" s="576">
        <f>IF(J19="","",ROUND((J19*M19),2))</f>
        <v>240</v>
      </c>
      <c r="O19" s="431"/>
      <c r="Q19" s="589">
        <f>N19</f>
        <v>240</v>
      </c>
      <c r="S19" s="433"/>
    </row>
    <row r="20" spans="1:19" s="588" customFormat="1">
      <c r="A20" s="430">
        <v>12</v>
      </c>
      <c r="B20" s="590"/>
      <c r="C20" s="431" t="str">
        <f>+E20</f>
        <v>1.2</v>
      </c>
      <c r="D20" s="587"/>
      <c r="E20" s="568" t="s">
        <v>6906</v>
      </c>
      <c r="F20" s="569"/>
      <c r="G20" s="569"/>
      <c r="H20" s="749" t="s">
        <v>6991</v>
      </c>
      <c r="I20" s="570"/>
      <c r="J20" s="571"/>
      <c r="K20" s="571"/>
      <c r="L20" s="571"/>
      <c r="M20" s="571"/>
      <c r="N20" s="571"/>
      <c r="O20" s="431"/>
      <c r="Q20" s="589"/>
      <c r="S20" s="433"/>
    </row>
    <row r="21" spans="1:19" s="588" customFormat="1">
      <c r="A21" s="430">
        <v>13</v>
      </c>
      <c r="B21" s="590"/>
      <c r="C21" s="431" t="str">
        <f>+C20</f>
        <v>1.2</v>
      </c>
      <c r="D21" s="587">
        <f>1+D20</f>
        <v>1</v>
      </c>
      <c r="E21" s="572" t="str">
        <f>C21&amp;"."&amp;D21</f>
        <v>1.2.1</v>
      </c>
      <c r="F21" s="579" t="s">
        <v>2239</v>
      </c>
      <c r="G21" s="581" t="s">
        <v>5279</v>
      </c>
      <c r="H21" s="739" t="str">
        <f>IF($G21="","",IFERROR(VLOOKUP($G21,SERVIÇOS!$C:$G,2,0),IFERROR(VLOOKUP($G21,CPU!$F:$M,2,0),IFERROR(VLOOKUP($G21,INSUMOS!$B:$E,2,0),""))))</f>
        <v>ART</v>
      </c>
      <c r="I21" s="578" t="str">
        <f>IF($G21="","",IFERROR(VLOOKUP($G21,SERVIÇOS!$C:$G,3,0),IFERROR(VLOOKUP($G21,CPU!$F:$M,3,0),IFERROR(VLOOKUP($G21,INSUMOS!$B:$E,3,0),""))))</f>
        <v>UN</v>
      </c>
      <c r="J21" s="576">
        <v>1</v>
      </c>
      <c r="K21" s="576">
        <f>IF($G21="","",IFERROR(VLOOKUP($G21,SERVIÇOS!$C:$H,6,0),IFERROR(VLOOKUP($G21,CPU!$F:$M,8,0),+#REF!)))</f>
        <v>233.94</v>
      </c>
      <c r="L21" s="577">
        <f>IF(J21&lt;&gt;"",$N$1,"")</f>
        <v>0.2354</v>
      </c>
      <c r="M21" s="576">
        <f>IF(J21&lt;&gt;0,(ROUND(K21*(L21+1),2)),0)</f>
        <v>289.01</v>
      </c>
      <c r="N21" s="576">
        <f>IF(J21="","",ROUND((J21*M21),2))</f>
        <v>289.01</v>
      </c>
      <c r="O21" s="431"/>
      <c r="Q21" s="589">
        <f>N21</f>
        <v>289.01</v>
      </c>
      <c r="S21" s="433"/>
    </row>
    <row r="22" spans="1:19" s="588" customFormat="1">
      <c r="A22" s="430">
        <v>14</v>
      </c>
      <c r="B22" s="590"/>
      <c r="C22" s="431" t="str">
        <f>+E22</f>
        <v>1.3</v>
      </c>
      <c r="D22" s="587"/>
      <c r="E22" s="568" t="s">
        <v>6907</v>
      </c>
      <c r="F22" s="569"/>
      <c r="G22" s="569"/>
      <c r="H22" s="749" t="s">
        <v>3111</v>
      </c>
      <c r="I22" s="570"/>
      <c r="J22" s="571"/>
      <c r="K22" s="571"/>
      <c r="L22" s="571"/>
      <c r="M22" s="571"/>
      <c r="N22" s="571"/>
      <c r="O22" s="431"/>
      <c r="Q22" s="589"/>
      <c r="S22" s="433"/>
    </row>
    <row r="23" spans="1:19" s="588" customFormat="1">
      <c r="A23" s="430">
        <v>16</v>
      </c>
      <c r="B23" s="590"/>
      <c r="C23" s="431" t="str">
        <f>+C22</f>
        <v>1.3</v>
      </c>
      <c r="D23" s="587">
        <f>1+D22</f>
        <v>1</v>
      </c>
      <c r="E23" s="572" t="str">
        <f t="shared" ref="E23:E25" si="3">C23&amp;"."&amp;D23</f>
        <v>1.3.1</v>
      </c>
      <c r="F23" s="579" t="s">
        <v>2239</v>
      </c>
      <c r="G23" s="581" t="s">
        <v>2946</v>
      </c>
      <c r="H23" s="739" t="str">
        <f>IF($G23="","",IFERROR(VLOOKUP($G23,SERVIÇOS!$C:$G,2,0),IFERROR(VLOOKUP($G23,CPU!$F:$M,2,0),IFERROR(VLOOKUP($G23,INSUMOS!$B:$E,2,0),""))))</f>
        <v>PLACA DE OBRA EM CHAPA DE AÇO GALVANIZADO</v>
      </c>
      <c r="I23" s="578" t="str">
        <f>IF($G23="","",IFERROR(VLOOKUP($G23,SERVIÇOS!$C:$G,3,0),IFERROR(VLOOKUP($G23,CPU!$F:$M,3,0),IFERROR(VLOOKUP($G23,INSUMOS!$B:$E,3,0),""))))</f>
        <v>M2</v>
      </c>
      <c r="J23" s="576">
        <f>ROUND(2.5*1.5,2)</f>
        <v>3.75</v>
      </c>
      <c r="K23" s="576">
        <f>IF($G23="","",IFERROR(VLOOKUP($G23,SERVIÇOS!$C:$H,6,0),IFERROR(VLOOKUP($G23,CPU!$F:$M,8,0),+#REF!)))</f>
        <v>564.66999999999996</v>
      </c>
      <c r="L23" s="577">
        <f>IF(J23&lt;&gt;"",$N$1,"")</f>
        <v>0.2354</v>
      </c>
      <c r="M23" s="576">
        <f>IF(J23&lt;&gt;0,(ROUND(K23*(L23+1),2)),0)</f>
        <v>697.59</v>
      </c>
      <c r="N23" s="576">
        <f>IF(J23="","",ROUND((J23*M23),2))</f>
        <v>2615.96</v>
      </c>
      <c r="O23" s="431"/>
      <c r="Q23" s="589">
        <f>N23</f>
        <v>2615.96</v>
      </c>
      <c r="S23" s="433"/>
    </row>
    <row r="24" spans="1:19" s="588" customFormat="1" ht="25.5">
      <c r="A24" s="430">
        <v>17</v>
      </c>
      <c r="B24" s="590"/>
      <c r="C24" s="431" t="str">
        <f t="shared" ref="C24:C27" si="4">+C23</f>
        <v>1.3</v>
      </c>
      <c r="D24" s="587">
        <f t="shared" ref="D24:D27" si="5">1+D23</f>
        <v>2</v>
      </c>
      <c r="E24" s="572" t="str">
        <f t="shared" si="3"/>
        <v>1.3.2</v>
      </c>
      <c r="F24" s="579" t="s">
        <v>2239</v>
      </c>
      <c r="G24" s="581" t="s">
        <v>5277</v>
      </c>
      <c r="H24" s="739" t="str">
        <f>IF($G24="","",IFERROR(VLOOKUP($G24,SERVIÇOS!$C:$G,2,0),IFERROR(VLOOKUP($G24,CPU!$F:$M,2,0),IFERROR(VLOOKUP($G24,INSUMOS!$B:$E,2,0),""))))</f>
        <v>LOCAÇÃO CONVENCIONAL DE OBRA, ATRAVÉS DE GABARITO DE TABUAS CORRIDAS PONTALETADAS, COM REAPROVEITAMENTO DE 3 VEZES</v>
      </c>
      <c r="I24" s="578" t="str">
        <f>IF($G24="","",IFERROR(VLOOKUP($G24,SERVIÇOS!$C:$G,3,0),IFERROR(VLOOKUP($G24,CPU!$F:$M,3,0),IFERROR(VLOOKUP($G24,INSUMOS!$B:$E,3,0),""))))</f>
        <v>M2</v>
      </c>
      <c r="J24" s="576">
        <v>3.7</v>
      </c>
      <c r="K24" s="576">
        <f>IF($G24="","",IFERROR(VLOOKUP($G24,SERVIÇOS!$C:$H,6,0),IFERROR(VLOOKUP($G24,CPU!$F:$M,8,0),+#REF!)))</f>
        <v>10.82</v>
      </c>
      <c r="L24" s="577">
        <f>IF(J24&lt;&gt;"",$N$1,"")</f>
        <v>0.2354</v>
      </c>
      <c r="M24" s="576">
        <f>IF(J24&lt;&gt;0,(ROUND(K24*(L24+1),2)),0)</f>
        <v>13.37</v>
      </c>
      <c r="N24" s="576">
        <f>IF(J24="","",ROUND((J24*M24),2))</f>
        <v>49.47</v>
      </c>
      <c r="O24" s="431"/>
      <c r="Q24" s="589">
        <f>N24</f>
        <v>49.47</v>
      </c>
      <c r="S24" s="433"/>
    </row>
    <row r="25" spans="1:19" s="588" customFormat="1" ht="25.5">
      <c r="A25" s="430">
        <v>19</v>
      </c>
      <c r="B25" s="590"/>
      <c r="C25" s="431" t="str">
        <f t="shared" si="4"/>
        <v>1.3</v>
      </c>
      <c r="D25" s="587">
        <f t="shared" si="5"/>
        <v>3</v>
      </c>
      <c r="E25" s="572" t="str">
        <f t="shared" si="3"/>
        <v>1.3.3</v>
      </c>
      <c r="F25" s="579" t="s">
        <v>2239</v>
      </c>
      <c r="G25" s="412" t="s">
        <v>881</v>
      </c>
      <c r="H25" s="739" t="str">
        <f>IF($G25="","",IFERROR(VLOOKUP($G25,SERVIÇOS!$C:$G,2,0),IFERROR(VLOOKUP($G25,CPU!$F:$M,2,0),IFERROR(VLOOKUP($G25,INSUMOS!$B:$E,2,0),""))))</f>
        <v>LOCACAO DE CONTAINER 2,30 X 4,30 M, ALT. 2,50 M, P/ SANITARIO, C/ 5 BACIAS, 1 LAVATORIO E 4 MICTORIOS</v>
      </c>
      <c r="I25" s="578" t="str">
        <f>IF($G25="","",IFERROR(VLOOKUP($G25,SERVIÇOS!$C:$G,3,0),IFERROR(VLOOKUP($G25,CPU!$F:$M,3,0),IFERROR(VLOOKUP($G25,INSUMOS!$B:$E,3,0),""))))</f>
        <v xml:space="preserve">MES   </v>
      </c>
      <c r="J25" s="576">
        <v>10</v>
      </c>
      <c r="K25" s="576">
        <f>IF($G25="","",IFERROR(VLOOKUP($G25,SERVIÇOS!$C:$H,6,0),IFERROR(VLOOKUP($G25,CPU!$F:$M,8,0),+#REF!)))</f>
        <v>762.5</v>
      </c>
      <c r="L25" s="577">
        <f>IF(J25&lt;&gt;"",$N$1,"")</f>
        <v>0.2354</v>
      </c>
      <c r="M25" s="576">
        <f>IF(J25&lt;&gt;0,(ROUND(K25*(L25+1),2)),0)</f>
        <v>941.99</v>
      </c>
      <c r="N25" s="576">
        <f>IF(J25="","",ROUND((J25*M25),2))</f>
        <v>9419.9</v>
      </c>
      <c r="O25" s="431"/>
      <c r="Q25" s="589">
        <f>N25</f>
        <v>9419.9</v>
      </c>
      <c r="S25" s="433"/>
    </row>
    <row r="26" spans="1:19" s="588" customFormat="1" ht="25.5">
      <c r="A26" s="430">
        <v>21</v>
      </c>
      <c r="B26" s="590"/>
      <c r="C26" s="431" t="str">
        <f t="shared" si="4"/>
        <v>1.3</v>
      </c>
      <c r="D26" s="587">
        <f t="shared" si="5"/>
        <v>4</v>
      </c>
      <c r="E26" s="572" t="str">
        <f t="shared" ref="E26" si="6">C26&amp;"."&amp;D26</f>
        <v>1.3.4</v>
      </c>
      <c r="F26" s="579" t="s">
        <v>2238</v>
      </c>
      <c r="G26" s="581">
        <v>93210</v>
      </c>
      <c r="H26" s="739" t="str">
        <f>IF($G26="","",IFERROR(VLOOKUP($G26,SERVIÇOS!$C:$G,2,0),IFERROR(VLOOKUP($G26,CPU!$F:$M,2,0),IFERROR(VLOOKUP($G26,INSUMOS!$B:$E,2,0),""))))</f>
        <v>EXECUÇÃO DE REFEITÓRIO EM CANTEIRO DE OBRA EM CHAPA DE MADEIRA COMPENSADA, NÃO INCLUSO MOBILIÁRIO E EQUIPAMENTOS. AF_02/2016</v>
      </c>
      <c r="I26" s="578" t="str">
        <f>IF($G26="","",IFERROR(VLOOKUP($G26,SERVIÇOS!$C:$G,3,0),IFERROR(VLOOKUP($G26,CPU!$F:$M,3,0),IFERROR(VLOOKUP($G26,INSUMOS!$B:$E,3,0),""))))</f>
        <v>M2</v>
      </c>
      <c r="J26" s="576">
        <v>9</v>
      </c>
      <c r="K26" s="576">
        <f>IF($G26="","",IFERROR(VLOOKUP($G26,SERVIÇOS!$C:$H,6,0),IFERROR(VLOOKUP($G26,CPU!$F:$M,8,0),+#REF!)))</f>
        <v>661.83</v>
      </c>
      <c r="L26" s="577">
        <f>IF(J26&lt;&gt;"",$N$1,"")</f>
        <v>0.2354</v>
      </c>
      <c r="M26" s="576">
        <f>IF(J26&lt;&gt;0,(ROUND(K26*(L26+1),2)),0)</f>
        <v>817.62</v>
      </c>
      <c r="N26" s="576">
        <f>IF(J26="","",ROUND((J26*M26),2))</f>
        <v>7358.58</v>
      </c>
      <c r="O26" s="431"/>
      <c r="Q26" s="589">
        <f>N26</f>
        <v>7358.58</v>
      </c>
      <c r="S26" s="433"/>
    </row>
    <row r="27" spans="1:19" s="588" customFormat="1" ht="25.5">
      <c r="A27" s="430">
        <v>23</v>
      </c>
      <c r="B27" s="590"/>
      <c r="C27" s="431" t="str">
        <f t="shared" si="4"/>
        <v>1.3</v>
      </c>
      <c r="D27" s="587">
        <f t="shared" si="5"/>
        <v>5</v>
      </c>
      <c r="E27" s="572" t="str">
        <f t="shared" ref="E27" si="7">C27&amp;"."&amp;D27</f>
        <v>1.3.5</v>
      </c>
      <c r="F27" s="143" t="s">
        <v>2238</v>
      </c>
      <c r="G27" s="763">
        <v>93208</v>
      </c>
      <c r="H27" s="739" t="str">
        <f>IF($G27="","",IFERROR(VLOOKUP($G27,SERVIÇOS!$C:$G,2,0),IFERROR(VLOOKUP($G27,CPU!$F:$M,2,0),IFERROR(VLOOKUP($G27,INSUMOS!$B:$E,2,0),""))))</f>
        <v>EXECUÇÃO DE ALMOXARIFADO EM CANTEIRO DE OBRA EM CHAPA DE MADEIRA COMPENSADA, INCLUSO PRATELEIRAS. AF_02/2016</v>
      </c>
      <c r="I27" s="578" t="str">
        <f>IF($G27="","",IFERROR(VLOOKUP($G27,SERVIÇOS!$C:$G,3,0),IFERROR(VLOOKUP($G27,CPU!$F:$M,3,0),IFERROR(VLOOKUP($G27,INSUMOS!$B:$E,3,0),""))))</f>
        <v>M2</v>
      </c>
      <c r="J27" s="576">
        <v>9</v>
      </c>
      <c r="K27" s="576">
        <f>IF($G27="","",IFERROR(VLOOKUP($G27,SERVIÇOS!$C:$H,6,0),IFERROR(VLOOKUP($G27,CPU!$F:$M,8,0),+#REF!)))</f>
        <v>1052.29</v>
      </c>
      <c r="L27" s="577">
        <f>IF(J27&lt;&gt;"",$N$1,"")</f>
        <v>0.2354</v>
      </c>
      <c r="M27" s="576">
        <f>IF(J27&lt;&gt;0,(ROUND(K27*(L27+1),2)),0)</f>
        <v>1300</v>
      </c>
      <c r="N27" s="576">
        <f>IF(J27="","",ROUND((J27*M27),2))</f>
        <v>11700</v>
      </c>
      <c r="O27" s="431"/>
      <c r="Q27" s="589">
        <f>N27</f>
        <v>11700</v>
      </c>
      <c r="S27" s="433"/>
    </row>
    <row r="28" spans="1:19" s="588" customFormat="1">
      <c r="A28" s="430">
        <v>30</v>
      </c>
      <c r="B28" s="590"/>
      <c r="C28" s="431" t="str">
        <f>+E28</f>
        <v>1.4</v>
      </c>
      <c r="D28" s="587"/>
      <c r="E28" s="568" t="s">
        <v>6908</v>
      </c>
      <c r="F28" s="569"/>
      <c r="G28" s="569"/>
      <c r="H28" s="749" t="s">
        <v>5337</v>
      </c>
      <c r="I28" s="570"/>
      <c r="J28" s="571"/>
      <c r="K28" s="571"/>
      <c r="L28" s="571"/>
      <c r="M28" s="571"/>
      <c r="N28" s="571"/>
      <c r="O28" s="431"/>
      <c r="Q28" s="589"/>
      <c r="S28" s="433"/>
    </row>
    <row r="29" spans="1:19" ht="25.5">
      <c r="A29" s="430">
        <v>31</v>
      </c>
      <c r="B29" s="590"/>
      <c r="C29" s="431" t="str">
        <f>+C28</f>
        <v>1.4</v>
      </c>
      <c r="D29" s="587">
        <f>1+D28</f>
        <v>1</v>
      </c>
      <c r="E29" s="572" t="str">
        <f>C29&amp;"."&amp;D29</f>
        <v>1.4.1</v>
      </c>
      <c r="F29" s="579" t="s">
        <v>2239</v>
      </c>
      <c r="G29" s="579" t="s">
        <v>2939</v>
      </c>
      <c r="H29" s="739" t="str">
        <f>IF($G29="","",IFERROR(VLOOKUP($G29,SERVIÇOS!$C:$G,2,0),IFERROR(VLOOKUP($G29,CPU!$F:$M,2,0),IFERROR(VLOOKUP($G29,INSUMOS!$B:$E,2,0),""))))</f>
        <v>LOCACAO DE ANDAIME METALICO TUBULAR DE ENCAIXE, TIPO DE TORRE, COM LARGURA DE 1 ATE 1,5 M E ALTURA DE *1,00* M</v>
      </c>
      <c r="I29" s="578" t="str">
        <f>IF($G29="","",IFERROR(VLOOKUP($G29,SERVIÇOS!$C:$G,3,0),IFERROR(VLOOKUP($G29,CPU!$F:$M,3,0),IFERROR(VLOOKUP($G29,INSUMOS!$B:$E,3,0),""))))</f>
        <v>MXMES</v>
      </c>
      <c r="J29" s="576">
        <f>26*10</f>
        <v>260</v>
      </c>
      <c r="K29" s="576">
        <f>IF($G29="","",IFERROR(VLOOKUP($G29,SERVIÇOS!$C:$H,6,0),IFERROR(VLOOKUP($G29,CPU!$F:$M,8,0),+#REF!)))</f>
        <v>18</v>
      </c>
      <c r="L29" s="577">
        <f>IF(J29&lt;&gt;"",$N$1,"")</f>
        <v>0.2354</v>
      </c>
      <c r="M29" s="576">
        <f>IF(J29&lt;&gt;0,(ROUND(K29*(L29+1),2)),0)</f>
        <v>22.24</v>
      </c>
      <c r="N29" s="576">
        <f>IF(J29="","",ROUND((J29*M29),2))</f>
        <v>5782.4</v>
      </c>
      <c r="Q29" s="589">
        <f>N29</f>
        <v>5782.4</v>
      </c>
      <c r="S29" s="433"/>
    </row>
    <row r="30" spans="1:19" ht="25.5">
      <c r="A30" s="430">
        <v>32</v>
      </c>
      <c r="B30" s="590"/>
      <c r="C30" s="431" t="str">
        <f>+C29</f>
        <v>1.4</v>
      </c>
      <c r="D30" s="587">
        <f>1+D29</f>
        <v>2</v>
      </c>
      <c r="E30" s="572" t="str">
        <f>C30&amp;"."&amp;D30</f>
        <v>1.4.2</v>
      </c>
      <c r="F30" s="579" t="s">
        <v>2238</v>
      </c>
      <c r="G30" s="581">
        <v>97064</v>
      </c>
      <c r="H30" s="739" t="str">
        <f>IF($G30="","",IFERROR(VLOOKUP($G30,SERVIÇOS!$C:$G,2,0),IFERROR(VLOOKUP($G30,CPU!$F:$M,2,0),IFERROR(VLOOKUP($G30,INSUMOS!$B:$E,2,0),""))))</f>
        <v>MONTAGEM E DESMONTAGEM DE ANDAIME TUBULAR TIPO TORRE (EXCLUSIVE ANDAIME E LIMPEZA). AF_11/2017</v>
      </c>
      <c r="I30" s="578" t="str">
        <f>IF($G30="","",IFERROR(VLOOKUP($G30,SERVIÇOS!$C:$G,3,0),IFERROR(VLOOKUP($G30,CPU!$F:$M,3,0),IFERROR(VLOOKUP($G30,INSUMOS!$B:$E,3,0),""))))</f>
        <v>M</v>
      </c>
      <c r="J30" s="576">
        <f>J29/4*2</f>
        <v>130</v>
      </c>
      <c r="K30" s="576">
        <f>IF($G30="","",IFERROR(VLOOKUP($G30,SERVIÇOS!$C:$H,6,0),IFERROR(VLOOKUP($G30,CPU!$F:$M,8,0),+#REF!)))</f>
        <v>22.25</v>
      </c>
      <c r="L30" s="577">
        <f>IF(J30&lt;&gt;"",$N$1,"")</f>
        <v>0.2354</v>
      </c>
      <c r="M30" s="576">
        <f>IF(J30&lt;&gt;0,(ROUND(K30*(L30+1),2)),0)</f>
        <v>27.49</v>
      </c>
      <c r="N30" s="576">
        <f>IF(J30="","",ROUND((J30*M30),2))</f>
        <v>3573.7</v>
      </c>
      <c r="Q30" s="589">
        <f>N30</f>
        <v>3573.7</v>
      </c>
      <c r="S30" s="433"/>
    </row>
    <row r="31" spans="1:19" s="588" customFormat="1">
      <c r="A31" s="430">
        <v>33</v>
      </c>
      <c r="B31" s="590"/>
      <c r="C31" s="431" t="str">
        <f>+E31</f>
        <v>1.5</v>
      </c>
      <c r="D31" s="587"/>
      <c r="E31" s="568" t="s">
        <v>6909</v>
      </c>
      <c r="F31" s="569"/>
      <c r="G31" s="569"/>
      <c r="H31" s="749" t="s">
        <v>6768</v>
      </c>
      <c r="I31" s="570"/>
      <c r="J31" s="571"/>
      <c r="K31" s="571"/>
      <c r="L31" s="571"/>
      <c r="M31" s="571"/>
      <c r="N31" s="571"/>
      <c r="O31" s="431"/>
      <c r="Q31" s="589"/>
      <c r="S31" s="433"/>
    </row>
    <row r="32" spans="1:19">
      <c r="A32" s="430">
        <v>34</v>
      </c>
      <c r="B32" s="590"/>
      <c r="C32" s="431" t="str">
        <f>+C31</f>
        <v>1.5</v>
      </c>
      <c r="D32" s="587">
        <f>1+D31</f>
        <v>1</v>
      </c>
      <c r="E32" s="572" t="str">
        <f>C32&amp;"."&amp;D32</f>
        <v>1.5.1</v>
      </c>
      <c r="F32" s="579" t="s">
        <v>2239</v>
      </c>
      <c r="G32" s="581" t="s">
        <v>5286</v>
      </c>
      <c r="H32" s="739" t="str">
        <f>IF($G32="","",IFERROR(VLOOKUP($G32,SERVIÇOS!$C:$G,2,0),IFERROR(VLOOKUP($G32,CPU!$F:$M,2,0),IFERROR(VLOOKUP($G32,INSUMOS!$B:$E,2,0),""))))</f>
        <v>MOBILIZAÇÃO E DESMOBILIZAÇÃO DE CANTEIRO</v>
      </c>
      <c r="I32" s="578" t="str">
        <f>IF($G32="","",IFERROR(VLOOKUP($G32,SERVIÇOS!$C:$G,3,0),IFERROR(VLOOKUP($G32,CPU!$F:$M,3,0),IFERROR(VLOOKUP($G32,INSUMOS!$B:$E,3,0),""))))</f>
        <v>UN</v>
      </c>
      <c r="J32" s="576">
        <v>1</v>
      </c>
      <c r="K32" s="576">
        <f>IF($G32="","",IFERROR(VLOOKUP($G32,SERVIÇOS!$C:$H,6,0),IFERROR(VLOOKUP($G32,CPU!$F:$M,8,0),+#REF!)))</f>
        <v>2434.04</v>
      </c>
      <c r="L32" s="577">
        <f>IF(J32&lt;&gt;"",$N$1,"")</f>
        <v>0.2354</v>
      </c>
      <c r="M32" s="576">
        <f>IF(J32&lt;&gt;0,(ROUND(K32*(L32+1),2)),0)</f>
        <v>3007.01</v>
      </c>
      <c r="N32" s="576">
        <f>IF(J32="","",ROUND((J32*M32),2))</f>
        <v>3007.01</v>
      </c>
      <c r="Q32" s="589">
        <f>N32</f>
        <v>3007.01</v>
      </c>
      <c r="S32" s="433"/>
    </row>
    <row r="33" spans="1:21" s="588" customFormat="1">
      <c r="A33" s="430">
        <v>35</v>
      </c>
      <c r="B33" s="590"/>
      <c r="C33" s="431" t="str">
        <f>+C32</f>
        <v>1.5</v>
      </c>
      <c r="D33" s="587">
        <f>1+D32</f>
        <v>2</v>
      </c>
      <c r="E33" s="572" t="str">
        <f>C33&amp;"."&amp;D33</f>
        <v>1.5.2</v>
      </c>
      <c r="F33" s="579" t="s">
        <v>2239</v>
      </c>
      <c r="G33" s="581" t="s">
        <v>6769</v>
      </c>
      <c r="H33" s="739" t="str">
        <f>IF($G33="","",IFERROR(VLOOKUP($G33,SERVIÇOS!$C:$G,2,0),IFERROR(VLOOKUP($G33,CPU!$F:$M,2,0),IFERROR(VLOOKUP($G33,INSUMOS!$B:$E,2,0),""))))</f>
        <v>MOBILIZAÇÃO DE PESSOAL, MÁQUINAS E EQUIPAMENTOS</v>
      </c>
      <c r="I33" s="578" t="str">
        <f>IF($G33="","",IFERROR(VLOOKUP($G33,SERVIÇOS!$C:$G,3,0),IFERROR(VLOOKUP($G33,CPU!$F:$M,3,0),IFERROR(VLOOKUP($G33,INSUMOS!$B:$E,3,0),""))))</f>
        <v>MÊS</v>
      </c>
      <c r="J33" s="576">
        <v>10</v>
      </c>
      <c r="K33" s="576">
        <f>IF($G33="","",IFERROR(VLOOKUP($G33,SERVIÇOS!$C:$H,6,0),IFERROR(VLOOKUP($G33,CPU!$F:$M,8,0),+#REF!)))</f>
        <v>297.91000000000003</v>
      </c>
      <c r="L33" s="577">
        <f>IF(J33&lt;&gt;"",$N$1,"")</f>
        <v>0.2354</v>
      </c>
      <c r="M33" s="576">
        <f>IF(J33&lt;&gt;0,(ROUND(K33*(L33+1),2)),0)</f>
        <v>368.04</v>
      </c>
      <c r="N33" s="576">
        <f>IF(J33="","",ROUND((J33*M33),2))</f>
        <v>3680.4</v>
      </c>
      <c r="O33" s="431"/>
      <c r="Q33" s="589">
        <f>N33</f>
        <v>3680.4</v>
      </c>
      <c r="S33" s="433"/>
    </row>
    <row r="34" spans="1:21" s="588" customFormat="1">
      <c r="A34" s="430">
        <v>36</v>
      </c>
      <c r="B34" s="590"/>
      <c r="C34" s="431" t="str">
        <f t="shared" ref="C34:C35" si="8">+C33</f>
        <v>1.5</v>
      </c>
      <c r="D34" s="587">
        <f t="shared" ref="D34:D35" si="9">1+D33</f>
        <v>3</v>
      </c>
      <c r="E34" s="572" t="str">
        <f>C34&amp;"."&amp;D34</f>
        <v>1.5.3</v>
      </c>
      <c r="F34" s="579" t="s">
        <v>2239</v>
      </c>
      <c r="G34" s="581" t="s">
        <v>5283</v>
      </c>
      <c r="H34" s="739" t="str">
        <f>IF($G34="","",IFERROR(VLOOKUP($G34,SERVIÇOS!$C:$G,2,0),IFERROR(VLOOKUP($G34,CPU!$F:$M,2,0),IFERROR(VLOOKUP($G34,INSUMOS!$B:$E,2,0),""))))</f>
        <v>DESMOBILIZAÇÃO DE CONSTRUÇÃO PROVISÓRIA</v>
      </c>
      <c r="I34" s="578" t="str">
        <f>IF($G34="","",IFERROR(VLOOKUP($G34,SERVIÇOS!$C:$G,3,0),IFERROR(VLOOKUP($G34,CPU!$F:$M,3,0),IFERROR(VLOOKUP($G34,INSUMOS!$B:$E,3,0),""))))</f>
        <v>M2</v>
      </c>
      <c r="J34" s="576">
        <f>J27+J26</f>
        <v>18</v>
      </c>
      <c r="K34" s="576">
        <f>IF($G34="","",IFERROR(VLOOKUP($G34,SERVIÇOS!$C:$H,6,0),IFERROR(VLOOKUP($G34,CPU!$F:$M,8,0),+#REF!)))</f>
        <v>27.43</v>
      </c>
      <c r="L34" s="577">
        <f>IF(J34&lt;&gt;"",$N$1,"")</f>
        <v>0.2354</v>
      </c>
      <c r="M34" s="576">
        <f>IF(J34&lt;&gt;0,(ROUND(K34*(L34+1),2)),0)</f>
        <v>33.89</v>
      </c>
      <c r="N34" s="576">
        <f>IF(J34="","",ROUND((J34*M34),2))</f>
        <v>610.02</v>
      </c>
      <c r="O34" s="431"/>
      <c r="Q34" s="589">
        <f>N34</f>
        <v>610.02</v>
      </c>
      <c r="S34" s="433"/>
    </row>
    <row r="35" spans="1:21" s="588" customFormat="1">
      <c r="A35" s="430">
        <v>40</v>
      </c>
      <c r="B35" s="590"/>
      <c r="C35" s="431" t="str">
        <f t="shared" si="8"/>
        <v>1.5</v>
      </c>
      <c r="D35" s="587">
        <f t="shared" si="9"/>
        <v>4</v>
      </c>
      <c r="E35" s="572" t="str">
        <f>C35&amp;"."&amp;D35</f>
        <v>1.5.4</v>
      </c>
      <c r="F35" s="579" t="s">
        <v>2239</v>
      </c>
      <c r="G35" s="580" t="s">
        <v>7658</v>
      </c>
      <c r="H35" s="739" t="str">
        <f>IF($G35="","",IFERROR(VLOOKUP($G35,SERVIÇOS!$C:$G,2,0),IFERROR(VLOOKUP($G35,CPU!$F:$M,2,0),IFERROR(VLOOKUP($G35,INSUMOS!$B:$E,2,0),""))))</f>
        <v>TAXA DE DESTINAÇÃO AMBIENTAL ENTULHO GERAL</v>
      </c>
      <c r="I35" s="578" t="str">
        <f>IF($G35="","",IFERROR(VLOOKUP($G35,SERVIÇOS!$C:$G,3,0),IFERROR(VLOOKUP($G35,CPU!$F:$M,3,0),IFERROR(VLOOKUP($G35,INSUMOS!$B:$E,3,0),""))))</f>
        <v>M3</v>
      </c>
      <c r="J35" s="576">
        <f>J53</f>
        <v>122.9</v>
      </c>
      <c r="K35" s="576">
        <f>IF($G35="","",IFERROR(VLOOKUP($G35,SERVIÇOS!$C:$H,6,0),IFERROR(VLOOKUP($G35,CPU!$F:$M,8,0),"")))</f>
        <v>15</v>
      </c>
      <c r="L35" s="577">
        <f>IF(J35&lt;&gt;"",$N$1,"")</f>
        <v>0.2354</v>
      </c>
      <c r="M35" s="576">
        <f>IF(J35&lt;&gt;0,(ROUND(K35*(L35+1),2)),0)</f>
        <v>18.53</v>
      </c>
      <c r="N35" s="576">
        <f>IF(J35="","",ROUND((J35*M35),2))</f>
        <v>2277.34</v>
      </c>
      <c r="O35" s="431"/>
      <c r="Q35" s="589">
        <f>N35</f>
        <v>2277.34</v>
      </c>
      <c r="S35" s="433"/>
    </row>
    <row r="36" spans="1:21">
      <c r="A36" s="430">
        <v>38</v>
      </c>
      <c r="B36" s="590"/>
      <c r="C36" s="431">
        <f>+E36</f>
        <v>2</v>
      </c>
      <c r="D36" s="587"/>
      <c r="E36" s="859">
        <v>2</v>
      </c>
      <c r="F36" s="860"/>
      <c r="G36" s="860"/>
      <c r="H36" s="861" t="s">
        <v>5335</v>
      </c>
      <c r="I36" s="862"/>
      <c r="J36" s="863"/>
      <c r="K36" s="864"/>
      <c r="L36" s="865"/>
      <c r="M36" s="864"/>
      <c r="N36" s="864">
        <f>SUM(N37:N54)</f>
        <v>14565.449999999999</v>
      </c>
      <c r="S36" s="433"/>
      <c r="T36" s="433">
        <v>20138.600000000002</v>
      </c>
      <c r="U36" s="433">
        <v>25414.9</v>
      </c>
    </row>
    <row r="37" spans="1:21" s="588" customFormat="1">
      <c r="A37" s="430">
        <v>42</v>
      </c>
      <c r="B37" s="590"/>
      <c r="C37" s="431" t="str">
        <f>+E37</f>
        <v>2.1</v>
      </c>
      <c r="D37" s="587"/>
      <c r="E37" s="568" t="s">
        <v>8746</v>
      </c>
      <c r="F37" s="569"/>
      <c r="G37" s="569"/>
      <c r="H37" s="749" t="s">
        <v>5336</v>
      </c>
      <c r="I37" s="570"/>
      <c r="J37" s="571"/>
      <c r="K37" s="571"/>
      <c r="L37" s="571"/>
      <c r="M37" s="571"/>
      <c r="N37" s="571"/>
      <c r="O37" s="431"/>
      <c r="Q37" s="589"/>
      <c r="S37" s="433"/>
      <c r="T37" s="588">
        <v>20138.600000000002</v>
      </c>
      <c r="U37" s="588">
        <v>25414.9</v>
      </c>
    </row>
    <row r="38" spans="1:21" s="588" customFormat="1">
      <c r="A38" s="430">
        <v>43</v>
      </c>
      <c r="B38" s="590"/>
      <c r="C38" s="431" t="str">
        <f>+C37</f>
        <v>2.1</v>
      </c>
      <c r="D38" s="587">
        <f>1+D37</f>
        <v>1</v>
      </c>
      <c r="E38" s="572" t="str">
        <f t="shared" ref="E38:E39" si="10">C38&amp;"."&amp;D38</f>
        <v>2.1.1</v>
      </c>
      <c r="F38" s="579"/>
      <c r="G38" s="580"/>
      <c r="H38" s="921" t="s">
        <v>8626</v>
      </c>
      <c r="I38" s="578"/>
      <c r="J38" s="576"/>
      <c r="K38" s="576"/>
      <c r="L38" s="577"/>
      <c r="M38" s="576"/>
      <c r="N38" s="576"/>
      <c r="O38" s="431"/>
      <c r="Q38" s="589">
        <f>N38</f>
        <v>0</v>
      </c>
      <c r="S38" s="433"/>
    </row>
    <row r="39" spans="1:21" s="588" customFormat="1">
      <c r="A39" s="430">
        <v>43</v>
      </c>
      <c r="B39" s="590"/>
      <c r="C39" s="431" t="str">
        <f>+C38</f>
        <v>2.1</v>
      </c>
      <c r="D39" s="587">
        <f>1+D38</f>
        <v>2</v>
      </c>
      <c r="E39" s="572" t="str">
        <f t="shared" si="10"/>
        <v>2.1.2</v>
      </c>
      <c r="F39" s="579" t="s">
        <v>2238</v>
      </c>
      <c r="G39" s="580">
        <v>98524</v>
      </c>
      <c r="H39" s="739" t="str">
        <f>IF($G39="","",IFERROR(VLOOKUP($G39,SERVIÇOS!$C:$G,2,0),IFERROR(VLOOKUP($G39,CPU!$F:$M,2,0),IFERROR(VLOOKUP($G39,INSUMOS!$B:$E,2,0),""))))</f>
        <v>LIMPEZA MANUAL DE VEGETAÇÃO EM TERRENO COM ENXADA.AF_05/2018</v>
      </c>
      <c r="I39" s="578" t="str">
        <f>IF($G39="","",IFERROR(VLOOKUP($G39,SERVIÇOS!$C:$G,3,0),IFERROR(VLOOKUP($G39,CPU!$F:$M,3,0),"")))</f>
        <v>M2</v>
      </c>
      <c r="J39" s="576">
        <v>718.93</v>
      </c>
      <c r="K39" s="576">
        <f>IF($G39="","",IFERROR(VLOOKUP($G39,SERVIÇOS!$C:$H,6,0),IFERROR(VLOOKUP($G39,CPU!$F:$M,8,0),"")))</f>
        <v>3.47</v>
      </c>
      <c r="L39" s="577">
        <f>IF(J39&lt;&gt;"",$N$1,"")</f>
        <v>0.2354</v>
      </c>
      <c r="M39" s="576">
        <f t="shared" ref="M39" si="11">IF(J39&lt;&gt;0,(ROUND(K39*(L39+1),2)),0)</f>
        <v>4.29</v>
      </c>
      <c r="N39" s="576">
        <f t="shared" ref="N39" si="12">IF(J39="","",ROUND((J39*M39),2))</f>
        <v>3084.21</v>
      </c>
      <c r="O39" s="431"/>
      <c r="Q39" s="589">
        <f t="shared" ref="Q39" si="13">N39</f>
        <v>3084.21</v>
      </c>
      <c r="S39" s="433"/>
    </row>
    <row r="40" spans="1:21" s="588" customFormat="1">
      <c r="A40" s="430">
        <v>43</v>
      </c>
      <c r="B40" s="590"/>
      <c r="C40" s="431" t="str">
        <f t="shared" ref="C40:C54" si="14">+C39</f>
        <v>2.1</v>
      </c>
      <c r="D40" s="587">
        <f t="shared" ref="D40:D54" si="15">1+D39</f>
        <v>3</v>
      </c>
      <c r="E40" s="572" t="str">
        <f t="shared" ref="E40:E41" si="16">C40&amp;"."&amp;D40</f>
        <v>2.1.3</v>
      </c>
      <c r="F40" s="579"/>
      <c r="G40" s="580"/>
      <c r="H40" s="921" t="s">
        <v>8627</v>
      </c>
      <c r="I40" s="578"/>
      <c r="J40" s="576"/>
      <c r="K40" s="576"/>
      <c r="L40" s="577"/>
      <c r="M40" s="576"/>
      <c r="N40" s="576"/>
      <c r="O40" s="431"/>
      <c r="Q40" s="589">
        <f>N40</f>
        <v>0</v>
      </c>
      <c r="S40" s="433"/>
    </row>
    <row r="41" spans="1:21" s="588" customFormat="1">
      <c r="A41" s="430">
        <v>43</v>
      </c>
      <c r="B41" s="590"/>
      <c r="C41" s="431" t="str">
        <f t="shared" si="14"/>
        <v>2.1</v>
      </c>
      <c r="D41" s="587">
        <f t="shared" si="15"/>
        <v>4</v>
      </c>
      <c r="E41" s="572" t="str">
        <f t="shared" si="16"/>
        <v>2.1.4</v>
      </c>
      <c r="F41" s="579" t="s">
        <v>2239</v>
      </c>
      <c r="G41" s="580" t="s">
        <v>4867</v>
      </c>
      <c r="H41" s="739" t="str">
        <f>IF($G41="","",IFERROR(VLOOKUP($G41,SERVIÇOS!$C:$G,2,0),IFERROR(VLOOKUP($G41,CPU!$F:$M,2,0),IFERROR(VLOOKUP($G41,INSUMOS!$B:$E,2,0),""))))</f>
        <v>ARRANCAMENTO / RETIRADA DE MEIO-FIOS DE CONCRETO (RETOS E CURVOS)</v>
      </c>
      <c r="I41" s="578" t="str">
        <f>IF($G41="","",IFERROR(VLOOKUP($G41,SERVIÇOS!$C:$G,3,0),IFERROR(VLOOKUP($G41,CPU!$F:$M,3,0),"")))</f>
        <v>M</v>
      </c>
      <c r="J41" s="576">
        <v>4.7699999999999996</v>
      </c>
      <c r="K41" s="576">
        <f>IF($G41="","",IFERROR(VLOOKUP($G41,SERVIÇOS!$C:$H,6,0),IFERROR(VLOOKUP($G41,CPU!$F:$M,8,0),"")))</f>
        <v>23.03</v>
      </c>
      <c r="L41" s="577">
        <f>IF(J41&lt;&gt;"",$N$1,"")</f>
        <v>0.2354</v>
      </c>
      <c r="M41" s="576">
        <f t="shared" ref="M41" si="17">IF(J41&lt;&gt;0,(ROUND(K41*(L41+1),2)),0)</f>
        <v>28.45</v>
      </c>
      <c r="N41" s="576">
        <f t="shared" ref="N41" si="18">IF(J41="","",ROUND((J41*M41),2))</f>
        <v>135.71</v>
      </c>
      <c r="O41" s="431"/>
      <c r="Q41" s="589">
        <f t="shared" ref="Q41" si="19">N41</f>
        <v>135.71</v>
      </c>
      <c r="S41" s="433"/>
    </row>
    <row r="42" spans="1:21" s="588" customFormat="1">
      <c r="A42" s="430">
        <v>43</v>
      </c>
      <c r="B42" s="590"/>
      <c r="C42" s="431" t="str">
        <f t="shared" si="14"/>
        <v>2.1</v>
      </c>
      <c r="D42" s="587">
        <f t="shared" si="15"/>
        <v>5</v>
      </c>
      <c r="E42" s="572" t="str">
        <f t="shared" ref="E42:E43" si="20">C42&amp;"."&amp;D42</f>
        <v>2.1.5</v>
      </c>
      <c r="F42" s="579"/>
      <c r="G42" s="580"/>
      <c r="H42" s="921" t="s">
        <v>14548</v>
      </c>
      <c r="I42" s="578"/>
      <c r="J42" s="576"/>
      <c r="K42" s="576"/>
      <c r="L42" s="577"/>
      <c r="M42" s="576"/>
      <c r="N42" s="576"/>
      <c r="O42" s="431"/>
      <c r="Q42" s="589">
        <f>N42</f>
        <v>0</v>
      </c>
      <c r="S42" s="433"/>
    </row>
    <row r="43" spans="1:21" s="588" customFormat="1">
      <c r="A43" s="430">
        <v>43</v>
      </c>
      <c r="B43" s="590"/>
      <c r="C43" s="431" t="str">
        <f t="shared" si="14"/>
        <v>2.1</v>
      </c>
      <c r="D43" s="587">
        <f t="shared" si="15"/>
        <v>6</v>
      </c>
      <c r="E43" s="572" t="str">
        <f t="shared" si="20"/>
        <v>2.1.6</v>
      </c>
      <c r="F43" s="579" t="s">
        <v>2239</v>
      </c>
      <c r="G43" s="580" t="s">
        <v>8470</v>
      </c>
      <c r="H43" s="739" t="str">
        <f>IF($G43="","",IFERROR(VLOOKUP($G43,SERVIÇOS!$C:$G,2,0),IFERROR(VLOOKUP($G43,CPU!$F:$M,2,0),IFERROR(VLOOKUP($G43,INSUMOS!$B:$E,2,0),""))))</f>
        <v>DEMOLIÇÃO MECANIZADA DE PISO DE ALTA RESISTÊNCIA, SEM REAPROVEITAMENTO</v>
      </c>
      <c r="I43" s="578" t="str">
        <f>IF($G43="","",IFERROR(VLOOKUP($G43,SERVIÇOS!$C:$G,3,0),IFERROR(VLOOKUP($G43,CPU!$F:$M,3,0),"")))</f>
        <v>M3</v>
      </c>
      <c r="J43" s="576">
        <v>5.0599999999999996</v>
      </c>
      <c r="K43" s="576">
        <f>IF($G43="","",IFERROR(VLOOKUP($G43,SERVIÇOS!$C:$H,6,0),IFERROR(VLOOKUP($G43,CPU!$F:$M,8,0),"")))</f>
        <v>139.19</v>
      </c>
      <c r="L43" s="577">
        <f>IF(J43&lt;&gt;"",$N$1,"")</f>
        <v>0.2354</v>
      </c>
      <c r="M43" s="576">
        <f t="shared" ref="M43" si="21">IF(J43&lt;&gt;0,(ROUND(K43*(L43+1),2)),0)</f>
        <v>171.96</v>
      </c>
      <c r="N43" s="576">
        <f t="shared" ref="N43" si="22">IF(J43="","",ROUND((J43*M43),2))</f>
        <v>870.12</v>
      </c>
      <c r="O43" s="431"/>
      <c r="Q43" s="589">
        <f t="shared" ref="Q43" si="23">N43</f>
        <v>870.12</v>
      </c>
      <c r="S43" s="433"/>
    </row>
    <row r="44" spans="1:21" s="588" customFormat="1">
      <c r="A44" s="430">
        <v>43</v>
      </c>
      <c r="B44" s="590"/>
      <c r="C44" s="431" t="str">
        <f>+C41</f>
        <v>2.1</v>
      </c>
      <c r="D44" s="587">
        <f>1+D41</f>
        <v>5</v>
      </c>
      <c r="E44" s="572" t="str">
        <f t="shared" ref="E44:E45" si="24">C44&amp;"."&amp;D44</f>
        <v>2.1.5</v>
      </c>
      <c r="F44" s="579"/>
      <c r="G44" s="580"/>
      <c r="H44" s="921" t="s">
        <v>8880</v>
      </c>
      <c r="I44" s="578"/>
      <c r="J44" s="576"/>
      <c r="K44" s="576"/>
      <c r="L44" s="577"/>
      <c r="M44" s="576"/>
      <c r="N44" s="576"/>
      <c r="O44" s="431"/>
      <c r="Q44" s="589">
        <f>N44</f>
        <v>0</v>
      </c>
      <c r="S44" s="433"/>
    </row>
    <row r="45" spans="1:21" s="588" customFormat="1" ht="25.5">
      <c r="A45" s="430">
        <v>43</v>
      </c>
      <c r="B45" s="590"/>
      <c r="C45" s="431" t="str">
        <f t="shared" si="14"/>
        <v>2.1</v>
      </c>
      <c r="D45" s="587">
        <f t="shared" si="15"/>
        <v>6</v>
      </c>
      <c r="E45" s="572" t="str">
        <f t="shared" si="24"/>
        <v>2.1.6</v>
      </c>
      <c r="F45" s="579" t="s">
        <v>2238</v>
      </c>
      <c r="G45" s="580">
        <v>97631</v>
      </c>
      <c r="H45" s="739" t="str">
        <f>IF($G45="","",IFERROR(VLOOKUP($G45,SERVIÇOS!$C:$G,2,0),IFERROR(VLOOKUP($G45,CPU!$F:$M,2,0),IFERROR(VLOOKUP($G45,INSUMOS!$B:$E,2,0),""))))</f>
        <v>DEMOLIÇÃO DE ARGAMASSAS, DE FORMA MANUAL, SEM REAPROVEITAMENTO. AF_12/2017</v>
      </c>
      <c r="I45" s="578" t="str">
        <f>IF($G45="","",IFERROR(VLOOKUP($G45,SERVIÇOS!$C:$G,3,0),IFERROR(VLOOKUP($G45,CPU!$F:$M,3,0),"")))</f>
        <v>M2</v>
      </c>
      <c r="J45" s="576">
        <v>57.83</v>
      </c>
      <c r="K45" s="576">
        <f>IF($G45="","",IFERROR(VLOOKUP($G45,SERVIÇOS!$C:$H,6,0),IFERROR(VLOOKUP($G45,CPU!$F:$M,8,0),"")))</f>
        <v>3.64</v>
      </c>
      <c r="L45" s="577">
        <f>IF(J45&lt;&gt;"",$N$1,"")</f>
        <v>0.2354</v>
      </c>
      <c r="M45" s="576">
        <f t="shared" ref="M45" si="25">IF(J45&lt;&gt;0,(ROUND(K45*(L45+1),2)),0)</f>
        <v>4.5</v>
      </c>
      <c r="N45" s="576">
        <f t="shared" ref="N45" si="26">IF(J45="","",ROUND((J45*M45),2))</f>
        <v>260.24</v>
      </c>
      <c r="O45" s="431"/>
      <c r="Q45" s="589">
        <f t="shared" ref="Q45" si="27">N45</f>
        <v>260.24</v>
      </c>
      <c r="S45" s="433"/>
    </row>
    <row r="46" spans="1:21" s="588" customFormat="1">
      <c r="A46" s="430">
        <v>43</v>
      </c>
      <c r="B46" s="590"/>
      <c r="C46" s="431" t="str">
        <f t="shared" si="14"/>
        <v>2.1</v>
      </c>
      <c r="D46" s="587">
        <f t="shared" si="15"/>
        <v>7</v>
      </c>
      <c r="E46" s="572" t="str">
        <f t="shared" ref="E46:E54" si="28">C46&amp;"."&amp;D46</f>
        <v>2.1.7</v>
      </c>
      <c r="F46" s="579"/>
      <c r="G46" s="580"/>
      <c r="H46" s="921" t="s">
        <v>8469</v>
      </c>
      <c r="I46" s="578"/>
      <c r="J46" s="576"/>
      <c r="K46" s="576"/>
      <c r="L46" s="577"/>
      <c r="M46" s="576"/>
      <c r="N46" s="576"/>
      <c r="O46" s="431"/>
      <c r="Q46" s="589">
        <f>N46</f>
        <v>0</v>
      </c>
      <c r="S46" s="433"/>
    </row>
    <row r="47" spans="1:21" s="588" customFormat="1" ht="25.5">
      <c r="A47" s="430">
        <v>43</v>
      </c>
      <c r="B47" s="590"/>
      <c r="C47" s="431" t="str">
        <f t="shared" si="14"/>
        <v>2.1</v>
      </c>
      <c r="D47" s="587">
        <f t="shared" si="15"/>
        <v>8</v>
      </c>
      <c r="E47" s="572" t="str">
        <f t="shared" si="28"/>
        <v>2.1.8</v>
      </c>
      <c r="F47" s="579" t="s">
        <v>2238</v>
      </c>
      <c r="G47" s="580">
        <v>97622</v>
      </c>
      <c r="H47" s="739" t="str">
        <f>IF($G47="","",IFERROR(VLOOKUP($G47,SERVIÇOS!$C:$G,2,0),IFERROR(VLOOKUP($G47,CPU!$F:$M,2,0),IFERROR(VLOOKUP($G47,INSUMOS!$B:$E,2,0),""))))</f>
        <v>DEMOLIÇÃO DE ALVENARIA DE BLOCO FURADO, DE FORMA MANUAL, SEM REAPROVEITAMENTO. AF_12/2017</v>
      </c>
      <c r="I47" s="578" t="str">
        <f>IF($G47="","",IFERROR(VLOOKUP($G47,SERVIÇOS!$C:$G,3,0),IFERROR(VLOOKUP($G47,CPU!$F:$M,3,0),"")))</f>
        <v>M3</v>
      </c>
      <c r="J47" s="576">
        <v>6.62</v>
      </c>
      <c r="K47" s="576">
        <f>IF($G47="","",IFERROR(VLOOKUP($G47,SERVIÇOS!$C:$H,6,0),IFERROR(VLOOKUP($G47,CPU!$F:$M,8,0),"")))</f>
        <v>62.09</v>
      </c>
      <c r="L47" s="577">
        <f>IF(J47&lt;&gt;"",$N$1,"")</f>
        <v>0.2354</v>
      </c>
      <c r="M47" s="576">
        <f t="shared" ref="M47:M54" si="29">IF(J47&lt;&gt;0,(ROUND(K47*(L47+1),2)),0)</f>
        <v>76.709999999999994</v>
      </c>
      <c r="N47" s="576">
        <f t="shared" ref="N47:N54" si="30">IF(J47="","",ROUND((J47*M47),2))</f>
        <v>507.82</v>
      </c>
      <c r="O47" s="431"/>
      <c r="Q47" s="589">
        <f t="shared" ref="Q47:Q54" si="31">N47</f>
        <v>507.82</v>
      </c>
      <c r="S47" s="433"/>
    </row>
    <row r="48" spans="1:21" s="588" customFormat="1">
      <c r="A48" s="430">
        <v>43</v>
      </c>
      <c r="B48" s="590"/>
      <c r="C48" s="431" t="str">
        <f t="shared" si="14"/>
        <v>2.1</v>
      </c>
      <c r="D48" s="587">
        <f t="shared" si="15"/>
        <v>9</v>
      </c>
      <c r="E48" s="572" t="str">
        <f t="shared" ref="E48:E49" si="32">C48&amp;"."&amp;D48</f>
        <v>2.1.9</v>
      </c>
      <c r="F48" s="579"/>
      <c r="G48" s="580"/>
      <c r="H48" s="921" t="s">
        <v>8471</v>
      </c>
      <c r="I48" s="578"/>
      <c r="J48" s="576"/>
      <c r="K48" s="576"/>
      <c r="L48" s="577"/>
      <c r="M48" s="576"/>
      <c r="N48" s="576"/>
      <c r="O48" s="431"/>
      <c r="Q48" s="589">
        <f>N48</f>
        <v>0</v>
      </c>
      <c r="S48" s="433"/>
    </row>
    <row r="49" spans="1:21" s="588" customFormat="1">
      <c r="A49" s="430">
        <v>44</v>
      </c>
      <c r="B49" s="590"/>
      <c r="C49" s="431" t="str">
        <f t="shared" si="14"/>
        <v>2.1</v>
      </c>
      <c r="D49" s="587">
        <f t="shared" si="15"/>
        <v>10</v>
      </c>
      <c r="E49" s="572" t="str">
        <f t="shared" si="32"/>
        <v>2.1.10</v>
      </c>
      <c r="F49" s="579" t="s">
        <v>2239</v>
      </c>
      <c r="G49" s="580" t="s">
        <v>8470</v>
      </c>
      <c r="H49" s="739" t="str">
        <f>IF($G49="","",IFERROR(VLOOKUP($G49,SERVIÇOS!$C:$G,2,0),IFERROR(VLOOKUP($G49,CPU!$F:$M,2,0),IFERROR(VLOOKUP($G49,INSUMOS!$B:$E,2,0),""))))</f>
        <v>DEMOLIÇÃO MECANIZADA DE PISO DE ALTA RESISTÊNCIA, SEM REAPROVEITAMENTO</v>
      </c>
      <c r="I49" s="578" t="str">
        <f>IF($G49="","",IFERROR(VLOOKUP($G49,SERVIÇOS!$C:$G,3,0),IFERROR(VLOOKUP($G49,CPU!$F:$M,3,0),"")))</f>
        <v>M3</v>
      </c>
      <c r="J49" s="576">
        <v>7.59</v>
      </c>
      <c r="K49" s="576">
        <f>IF($G49="","",IFERROR(VLOOKUP($G49,SERVIÇOS!$C:$H,6,0),IFERROR(VLOOKUP($G49,CPU!$F:$M,8,0),"")))</f>
        <v>139.19</v>
      </c>
      <c r="L49" s="577">
        <f>IF(J49&lt;&gt;"",$N$1,"")</f>
        <v>0.2354</v>
      </c>
      <c r="M49" s="576">
        <f t="shared" si="29"/>
        <v>171.96</v>
      </c>
      <c r="N49" s="576">
        <f t="shared" si="30"/>
        <v>1305.18</v>
      </c>
      <c r="O49" s="431"/>
      <c r="Q49" s="589">
        <f t="shared" si="31"/>
        <v>1305.18</v>
      </c>
      <c r="S49" s="433"/>
    </row>
    <row r="50" spans="1:21" s="588" customFormat="1">
      <c r="A50" s="430">
        <v>43</v>
      </c>
      <c r="B50" s="590"/>
      <c r="C50" s="431" t="str">
        <f t="shared" si="14"/>
        <v>2.1</v>
      </c>
      <c r="D50" s="587">
        <f t="shared" si="15"/>
        <v>11</v>
      </c>
      <c r="E50" s="572" t="str">
        <f t="shared" ref="E50:E51" si="33">C50&amp;"."&amp;D50</f>
        <v>2.1.11</v>
      </c>
      <c r="F50" s="579"/>
      <c r="G50" s="580"/>
      <c r="H50" s="921" t="s">
        <v>14574</v>
      </c>
      <c r="I50" s="578"/>
      <c r="J50" s="576"/>
      <c r="K50" s="576"/>
      <c r="L50" s="577"/>
      <c r="M50" s="576"/>
      <c r="N50" s="576"/>
      <c r="O50" s="431"/>
      <c r="Q50" s="589">
        <f>N50</f>
        <v>0</v>
      </c>
      <c r="S50" s="433"/>
    </row>
    <row r="51" spans="1:21" s="1009" customFormat="1">
      <c r="A51" s="1006">
        <v>44</v>
      </c>
      <c r="B51" s="1007"/>
      <c r="C51" s="431" t="str">
        <f t="shared" si="14"/>
        <v>2.1</v>
      </c>
      <c r="D51" s="587">
        <f t="shared" si="15"/>
        <v>12</v>
      </c>
      <c r="E51" s="572" t="str">
        <f t="shared" si="33"/>
        <v>2.1.12</v>
      </c>
      <c r="F51" s="579" t="s">
        <v>2239</v>
      </c>
      <c r="G51" s="580" t="s">
        <v>14575</v>
      </c>
      <c r="H51" s="739" t="str">
        <f>IF($G51="","",IFERROR(VLOOKUP($G51,SERVIÇOS!$C:$G,2,0),IFERROR(VLOOKUP($G51,CPU!$F:$M,2,0),IFERROR(VLOOKUP($G51,INSUMOS!$B:$E,2,0),""))))</f>
        <v>REMOÇÃO DE ALAMBRADO</v>
      </c>
      <c r="I51" s="578" t="str">
        <f>IF($G51="","",IFERROR(VLOOKUP($G51,SERVIÇOS!$C:$G,3,0),IFERROR(VLOOKUP($G51,CPU!$F:$M,3,0),"")))</f>
        <v>M2</v>
      </c>
      <c r="J51" s="576">
        <v>105.6</v>
      </c>
      <c r="K51" s="576">
        <f>IF($G51="","",IFERROR(VLOOKUP($G51,SERVIÇOS!$C:$H,6,0),IFERROR(VLOOKUP($G51,CPU!$F:$M,8,0),"")))</f>
        <v>1.17</v>
      </c>
      <c r="L51" s="577">
        <f>IF(J51&lt;&gt;"",$N$1,"")</f>
        <v>0.2354</v>
      </c>
      <c r="M51" s="576">
        <f t="shared" ref="M51" si="34">IF(J51&lt;&gt;0,(ROUND(K51*(L51+1),2)),0)</f>
        <v>1.45</v>
      </c>
      <c r="N51" s="576">
        <f t="shared" ref="N51" si="35">IF(J51="","",ROUND((J51*M51),2))</f>
        <v>153.12</v>
      </c>
      <c r="O51" s="1008"/>
      <c r="Q51" s="1010">
        <f t="shared" ref="Q51" si="36">N51</f>
        <v>153.12</v>
      </c>
      <c r="S51" s="1011"/>
    </row>
    <row r="52" spans="1:21" s="588" customFormat="1">
      <c r="A52" s="430">
        <v>43</v>
      </c>
      <c r="B52" s="590"/>
      <c r="C52" s="431" t="str">
        <f>+C49</f>
        <v>2.1</v>
      </c>
      <c r="D52" s="587">
        <f>1+D49</f>
        <v>11</v>
      </c>
      <c r="E52" s="572" t="str">
        <f t="shared" ref="E52:E53" si="37">C52&amp;"."&amp;D52</f>
        <v>2.1.11</v>
      </c>
      <c r="F52" s="579"/>
      <c r="G52" s="580"/>
      <c r="H52" s="921" t="s">
        <v>8404</v>
      </c>
      <c r="I52" s="578"/>
      <c r="J52" s="576"/>
      <c r="K52" s="576"/>
      <c r="L52" s="577"/>
      <c r="M52" s="576"/>
      <c r="N52" s="576"/>
      <c r="O52" s="431"/>
      <c r="Q52" s="589">
        <f t="shared" si="31"/>
        <v>0</v>
      </c>
      <c r="S52" s="433"/>
    </row>
    <row r="53" spans="1:21" s="588" customFormat="1">
      <c r="A53" s="430">
        <v>54</v>
      </c>
      <c r="B53" s="590"/>
      <c r="C53" s="431" t="str">
        <f t="shared" si="14"/>
        <v>2.1</v>
      </c>
      <c r="D53" s="587">
        <f t="shared" si="15"/>
        <v>12</v>
      </c>
      <c r="E53" s="572" t="str">
        <f t="shared" si="37"/>
        <v>2.1.12</v>
      </c>
      <c r="F53" s="579" t="s">
        <v>2239</v>
      </c>
      <c r="G53" s="581" t="s">
        <v>8769</v>
      </c>
      <c r="H53" s="922" t="str">
        <f>IF($G53="","",IFERROR(VLOOKUP($G53,SERVIÇOS!$C:$G,2,0),IFERROR(VLOOKUP($G53,CPU!$F:$M,2,0),IFERROR(VLOOKUP($G53,INSUMOS!$B:$E,2,0),""))))</f>
        <v>CARGA MANUAL DE ENTULHO EM CAMINHÃO BASCULANTE 6M3</v>
      </c>
      <c r="I53" s="578" t="str">
        <f>IF($G53="","",IFERROR(VLOOKUP($G53,SERVIÇOS!$C:$G,3,0),IFERROR(VLOOKUP($G53,CPU!$F:$M,3,0),IFERROR(VLOOKUP($G53,INSUMOS!$B:$E,3,0),""))))</f>
        <v>M3</v>
      </c>
      <c r="J53" s="576">
        <f>ROUND(((J39*0.1)+(J41*0.15*0.2)+J43+(J45*0.03)+J47+J49+(J51*0.05))*1.25,2)</f>
        <v>122.9</v>
      </c>
      <c r="K53" s="576">
        <f>IF($G53="","",IFERROR(VLOOKUP($G53,SERVIÇOS!$C:$H,6,0),IFERROR(VLOOKUP($G53,CPU!$F:$M,8,0),"")))</f>
        <v>29.24</v>
      </c>
      <c r="L53" s="577">
        <f>IF(J53&lt;&gt;"",$N$1,"")</f>
        <v>0.2354</v>
      </c>
      <c r="M53" s="576">
        <f t="shared" si="29"/>
        <v>36.119999999999997</v>
      </c>
      <c r="N53" s="576">
        <f t="shared" si="30"/>
        <v>4439.1499999999996</v>
      </c>
      <c r="O53" s="431"/>
      <c r="P53" s="430"/>
      <c r="Q53" s="589">
        <f t="shared" si="31"/>
        <v>4439.1499999999996</v>
      </c>
      <c r="R53" s="430"/>
      <c r="S53" s="433"/>
      <c r="T53" s="430"/>
      <c r="U53" s="430"/>
    </row>
    <row r="54" spans="1:21" s="588" customFormat="1" ht="25.5">
      <c r="A54" s="430">
        <v>55</v>
      </c>
      <c r="B54" s="590"/>
      <c r="C54" s="431" t="str">
        <f t="shared" si="14"/>
        <v>2.1</v>
      </c>
      <c r="D54" s="587">
        <f t="shared" si="15"/>
        <v>13</v>
      </c>
      <c r="E54" s="572" t="str">
        <f t="shared" si="28"/>
        <v>2.1.13</v>
      </c>
      <c r="F54" s="579" t="s">
        <v>2238</v>
      </c>
      <c r="G54" s="581">
        <v>95875</v>
      </c>
      <c r="H54" s="739" t="str">
        <f>IF($G54="","",IFERROR(VLOOKUP($G54,SERVIÇOS!$C:$G,2,0),IFERROR(VLOOKUP($G54,CPU!$F:$M,2,0),IFERROR(VLOOKUP($G54,INSUMOS!$B:$E,2,0),""))))</f>
        <v>TRANSPORTE COM CAMINHÃO BASCULANTE DE 10 M³, EM VIA URBANA PAVIMENTADA, DMT ATÉ 30 KM (UNIDADE: M3XKM). AF_07/2020</v>
      </c>
      <c r="I54" s="578" t="str">
        <f>IF($G54="","",IFERROR(VLOOKUP($G54,SERVIÇOS!$C:$G,3,0),IFERROR(VLOOKUP($G54,CPU!$F:$M,3,0),IFERROR(VLOOKUP($G54,INSUMOS!$B:$E,3,0),""))))</f>
        <v>M3XKM</v>
      </c>
      <c r="J54" s="576">
        <f>J53*10</f>
        <v>1229</v>
      </c>
      <c r="K54" s="576">
        <f>IF($G54="","",IFERROR(VLOOKUP($G54,SERVIÇOS!$C:$H,6,0),IFERROR(VLOOKUP($G54,CPU!$F:$M,8,0),"")))</f>
        <v>2.5099999999999998</v>
      </c>
      <c r="L54" s="577">
        <f>IF(J54&lt;&gt;"",$N$1,"")</f>
        <v>0.2354</v>
      </c>
      <c r="M54" s="576">
        <f t="shared" si="29"/>
        <v>3.1</v>
      </c>
      <c r="N54" s="576">
        <f t="shared" si="30"/>
        <v>3809.9</v>
      </c>
      <c r="O54" s="431"/>
      <c r="P54" s="430"/>
      <c r="Q54" s="589">
        <f t="shared" si="31"/>
        <v>3809.9</v>
      </c>
      <c r="R54" s="430"/>
      <c r="S54" s="433"/>
      <c r="T54" s="430"/>
      <c r="U54" s="430"/>
    </row>
    <row r="55" spans="1:21" s="588" customFormat="1">
      <c r="A55" s="430">
        <v>67</v>
      </c>
      <c r="B55" s="590"/>
      <c r="C55" s="431">
        <f>+E55</f>
        <v>3</v>
      </c>
      <c r="D55" s="587"/>
      <c r="E55" s="859">
        <v>3</v>
      </c>
      <c r="F55" s="860"/>
      <c r="G55" s="860"/>
      <c r="H55" s="861" t="s">
        <v>8432</v>
      </c>
      <c r="I55" s="862"/>
      <c r="J55" s="863"/>
      <c r="K55" s="866"/>
      <c r="L55" s="865"/>
      <c r="M55" s="864"/>
      <c r="N55" s="864">
        <f>SUM(N56:N88)</f>
        <v>46206.11</v>
      </c>
      <c r="O55" s="431"/>
      <c r="P55" s="430"/>
      <c r="Q55" s="589"/>
      <c r="R55" s="430"/>
      <c r="S55" s="433"/>
      <c r="T55" s="433">
        <v>165278.31999999998</v>
      </c>
      <c r="U55" s="433">
        <v>208581.22999999998</v>
      </c>
    </row>
    <row r="56" spans="1:21">
      <c r="A56" s="430">
        <v>68</v>
      </c>
      <c r="B56" s="590"/>
      <c r="C56" s="431" t="str">
        <f>+E56</f>
        <v>3.1</v>
      </c>
      <c r="D56" s="587"/>
      <c r="E56" s="568" t="s">
        <v>8747</v>
      </c>
      <c r="F56" s="569"/>
      <c r="G56" s="569"/>
      <c r="H56" s="749" t="s">
        <v>8778</v>
      </c>
      <c r="I56" s="570"/>
      <c r="J56" s="571"/>
      <c r="K56" s="571"/>
      <c r="L56" s="571"/>
      <c r="M56" s="571"/>
      <c r="N56" s="571"/>
      <c r="Q56" s="589"/>
      <c r="S56" s="433"/>
    </row>
    <row r="57" spans="1:21" ht="25.5">
      <c r="A57" s="430">
        <v>69</v>
      </c>
      <c r="B57" s="590"/>
      <c r="C57" s="431" t="str">
        <f>+C56</f>
        <v>3.1</v>
      </c>
      <c r="D57" s="587">
        <f>1+D56</f>
        <v>1</v>
      </c>
      <c r="E57" s="572" t="str">
        <f>C57&amp;"."&amp;D57</f>
        <v>3.1.1</v>
      </c>
      <c r="F57" s="579" t="s">
        <v>2238</v>
      </c>
      <c r="G57" s="581">
        <v>93358</v>
      </c>
      <c r="H57" s="750" t="str">
        <f>IF($G57="","",IFERROR(VLOOKUP($G57,SERVIÇOS!$C:$G,2,0),IFERROR(VLOOKUP($G57,CPU!$F:$M,2,0),"")))</f>
        <v>ESCAVAÇÃO MANUAL DE VALA COM PROFUNDIDADE MENOR OU IGUAL A 1,30 M. AF_02/2021</v>
      </c>
      <c r="I57" s="578" t="str">
        <f>IF($G57="","",IFERROR(VLOOKUP($G57,SERVIÇOS!$C:$G,3,0),IFERROR(VLOOKUP($G57,CPU!$F:$M,3,0),"")))</f>
        <v>M3</v>
      </c>
      <c r="J57" s="576">
        <v>6.6399999999999988</v>
      </c>
      <c r="K57" s="576">
        <f>IF($G57="","",IFERROR(VLOOKUP($G57,SERVIÇOS!$C:$H,6,0),IFERROR(VLOOKUP($G57,CPU!$F:$M,8,0),"")))</f>
        <v>93.79</v>
      </c>
      <c r="L57" s="577">
        <f>IF(J57&lt;&gt;"",$N$1,"")</f>
        <v>0.2354</v>
      </c>
      <c r="M57" s="576">
        <f>IF(J57&lt;&gt;0,(ROUND(K57*(L57+1),2)),0)</f>
        <v>115.87</v>
      </c>
      <c r="N57" s="576">
        <f>IF(J57="","",ROUND((J57*M57),2))</f>
        <v>769.38</v>
      </c>
      <c r="Q57" s="589">
        <f>N57</f>
        <v>769.38</v>
      </c>
      <c r="S57" s="433"/>
    </row>
    <row r="58" spans="1:21" ht="25.5">
      <c r="A58" s="430">
        <v>72</v>
      </c>
      <c r="B58" s="590"/>
      <c r="C58" s="431" t="str">
        <f>+C57</f>
        <v>3.1</v>
      </c>
      <c r="D58" s="587">
        <f>1+D57</f>
        <v>2</v>
      </c>
      <c r="E58" s="572" t="str">
        <f>C58&amp;"."&amp;D58</f>
        <v>3.1.2</v>
      </c>
      <c r="F58" s="579" t="s">
        <v>2238</v>
      </c>
      <c r="G58" s="581">
        <v>101616</v>
      </c>
      <c r="H58" s="750" t="str">
        <f>IF($G58="","",IFERROR(VLOOKUP($G58,SERVIÇOS!$C:$G,2,0),IFERROR(VLOOKUP($G58,CPU!$F:$M,2,0),"")))</f>
        <v>PREPARO DE FUNDO DE VALA COM LARGURA MENOR QUE 1,5 M (ACERTO DO SOLO NATURAL). AF_08/2020</v>
      </c>
      <c r="I58" s="578" t="str">
        <f>IF($G58="","",IFERROR(VLOOKUP($G58,SERVIÇOS!$C:$G,3,0),IFERROR(VLOOKUP($G58,CPU!$F:$M,3,0),"")))</f>
        <v>M2</v>
      </c>
      <c r="J58" s="576">
        <v>8.4</v>
      </c>
      <c r="K58" s="576">
        <f>IF($G58="","",IFERROR(VLOOKUP($G58,SERVIÇOS!$C:$H,6,0),IFERROR(VLOOKUP($G58,CPU!$F:$M,8,0),"")))</f>
        <v>7.03</v>
      </c>
      <c r="L58" s="577">
        <f>IF(J58&lt;&gt;"",$N$1,"")</f>
        <v>0.2354</v>
      </c>
      <c r="M58" s="576">
        <f>IF(J58&lt;&gt;0,(ROUND(K58*(L58+1),2)),0)</f>
        <v>8.68</v>
      </c>
      <c r="N58" s="576">
        <f>IF(J58="","",ROUND((J58*M58),2))</f>
        <v>72.91</v>
      </c>
      <c r="Q58" s="589">
        <f>N58</f>
        <v>72.91</v>
      </c>
      <c r="S58" s="433"/>
    </row>
    <row r="59" spans="1:21">
      <c r="A59" s="430">
        <v>72</v>
      </c>
      <c r="B59" s="590"/>
      <c r="C59" s="431" t="str">
        <f t="shared" ref="C59:C61" si="38">+C58</f>
        <v>3.1</v>
      </c>
      <c r="D59" s="587">
        <f t="shared" ref="D59:D61" si="39">1+D58</f>
        <v>3</v>
      </c>
      <c r="E59" s="572" t="str">
        <f t="shared" ref="E59:E61" si="40">C59&amp;"."&amp;D59</f>
        <v>3.1.3</v>
      </c>
      <c r="F59" s="579" t="s">
        <v>2238</v>
      </c>
      <c r="G59" s="581">
        <v>93382</v>
      </c>
      <c r="H59" s="750" t="str">
        <f>IF($G59="","",IFERROR(VLOOKUP($G59,SERVIÇOS!$C:$G,2,0),IFERROR(VLOOKUP($G59,CPU!$F:$M,2,0),"")))</f>
        <v>REATERRO MANUAL DE VALAS COM COMPACTAÇÃO MECANIZADA. AF_04/2016</v>
      </c>
      <c r="I59" s="578" t="str">
        <f>IF($G59="","",IFERROR(VLOOKUP($G59,SERVIÇOS!$C:$G,3,0),IFERROR(VLOOKUP($G59,CPU!$F:$M,3,0),"")))</f>
        <v>M3</v>
      </c>
      <c r="J59" s="576">
        <v>3.02</v>
      </c>
      <c r="K59" s="576">
        <f>IF($G59="","",IFERROR(VLOOKUP($G59,SERVIÇOS!$C:$H,6,0),IFERROR(VLOOKUP($G59,CPU!$F:$M,8,0),"")))</f>
        <v>35.909999999999997</v>
      </c>
      <c r="L59" s="577">
        <f t="shared" ref="L59:L61" si="41">IF(J59&lt;&gt;"",$N$1,"")</f>
        <v>0.2354</v>
      </c>
      <c r="M59" s="576">
        <f t="shared" ref="M59:M61" si="42">IF(J59&lt;&gt;0,(ROUND(K59*(L59+1),2)),0)</f>
        <v>44.36</v>
      </c>
      <c r="N59" s="576">
        <f t="shared" ref="N59:N61" si="43">IF(J59="","",ROUND((J59*M59),2))</f>
        <v>133.97</v>
      </c>
      <c r="Q59" s="589">
        <f t="shared" ref="Q59:Q61" si="44">N59</f>
        <v>133.97</v>
      </c>
      <c r="S59" s="433"/>
    </row>
    <row r="60" spans="1:21">
      <c r="A60" s="430">
        <v>72</v>
      </c>
      <c r="B60" s="590"/>
      <c r="C60" s="431" t="str">
        <f t="shared" si="38"/>
        <v>3.1</v>
      </c>
      <c r="D60" s="587">
        <f t="shared" si="39"/>
        <v>4</v>
      </c>
      <c r="E60" s="572" t="str">
        <f t="shared" si="40"/>
        <v>3.1.4</v>
      </c>
      <c r="F60" s="579" t="s">
        <v>2239</v>
      </c>
      <c r="G60" s="581" t="s">
        <v>8769</v>
      </c>
      <c r="H60" s="750" t="str">
        <f>IF($G60="","",IFERROR(VLOOKUP($G60,SERVIÇOS!$C:$G,2,0),IFERROR(VLOOKUP($G60,CPU!$F:$M,2,0),"")))</f>
        <v>CARGA MANUAL DE ENTULHO EM CAMINHÃO BASCULANTE 6M3</v>
      </c>
      <c r="I60" s="578" t="str">
        <f>IF($G60="","",IFERROR(VLOOKUP($G60,SERVIÇOS!$C:$G,3,0),IFERROR(VLOOKUP($G60,CPU!$F:$M,3,0),"")))</f>
        <v>M3</v>
      </c>
      <c r="J60" s="576">
        <v>3.62</v>
      </c>
      <c r="K60" s="576">
        <f>IF($G60="","",IFERROR(VLOOKUP($G60,SERVIÇOS!$C:$H,6,0),IFERROR(VLOOKUP($G60,CPU!$F:$M,8,0),"")))</f>
        <v>29.24</v>
      </c>
      <c r="L60" s="577">
        <f t="shared" si="41"/>
        <v>0.2354</v>
      </c>
      <c r="M60" s="576">
        <f t="shared" si="42"/>
        <v>36.119999999999997</v>
      </c>
      <c r="N60" s="576">
        <f t="shared" si="43"/>
        <v>130.75</v>
      </c>
      <c r="Q60" s="589">
        <f t="shared" si="44"/>
        <v>130.75</v>
      </c>
      <c r="S60" s="433"/>
    </row>
    <row r="61" spans="1:21" ht="25.5">
      <c r="A61" s="430">
        <v>72</v>
      </c>
      <c r="B61" s="590"/>
      <c r="C61" s="431" t="str">
        <f t="shared" si="38"/>
        <v>3.1</v>
      </c>
      <c r="D61" s="587">
        <f t="shared" si="39"/>
        <v>5</v>
      </c>
      <c r="E61" s="572" t="str">
        <f t="shared" si="40"/>
        <v>3.1.5</v>
      </c>
      <c r="F61" s="579" t="s">
        <v>2238</v>
      </c>
      <c r="G61" s="581">
        <v>95875</v>
      </c>
      <c r="H61" s="750" t="str">
        <f>IF($G61="","",IFERROR(VLOOKUP($G61,SERVIÇOS!$C:$G,2,0),IFERROR(VLOOKUP($G61,CPU!$F:$M,2,0),"")))</f>
        <v>TRANSPORTE COM CAMINHÃO BASCULANTE DE 10 M³, EM VIA URBANA PAVIMENTADA, DMT ATÉ 30 KM (UNIDADE: M3XKM). AF_07/2020</v>
      </c>
      <c r="I61" s="578" t="str">
        <f>IF($G61="","",IFERROR(VLOOKUP($G61,SERVIÇOS!$C:$G,3,0),IFERROR(VLOOKUP($G61,CPU!$F:$M,3,0),"")))</f>
        <v>M3XKM</v>
      </c>
      <c r="J61" s="576">
        <f>ROUND(J60*10,2)</f>
        <v>36.200000000000003</v>
      </c>
      <c r="K61" s="576">
        <f>IF($G61="","",IFERROR(VLOOKUP($G61,SERVIÇOS!$C:$H,6,0),IFERROR(VLOOKUP($G61,CPU!$F:$M,8,0),"")))</f>
        <v>2.5099999999999998</v>
      </c>
      <c r="L61" s="577">
        <f t="shared" si="41"/>
        <v>0.2354</v>
      </c>
      <c r="M61" s="576">
        <f t="shared" si="42"/>
        <v>3.1</v>
      </c>
      <c r="N61" s="576">
        <f t="shared" si="43"/>
        <v>112.22</v>
      </c>
      <c r="Q61" s="589">
        <f t="shared" si="44"/>
        <v>112.22</v>
      </c>
      <c r="S61" s="433"/>
    </row>
    <row r="62" spans="1:21">
      <c r="A62" s="430">
        <v>68</v>
      </c>
      <c r="B62" s="590"/>
      <c r="C62" s="431" t="str">
        <f>+E62</f>
        <v>3.2</v>
      </c>
      <c r="D62" s="587"/>
      <c r="E62" s="568" t="s">
        <v>8748</v>
      </c>
      <c r="F62" s="569"/>
      <c r="G62" s="569"/>
      <c r="H62" s="749" t="s">
        <v>5265</v>
      </c>
      <c r="I62" s="570"/>
      <c r="J62" s="571"/>
      <c r="K62" s="571"/>
      <c r="L62" s="571"/>
      <c r="M62" s="571"/>
      <c r="N62" s="571"/>
      <c r="Q62" s="589"/>
      <c r="S62" s="433"/>
    </row>
    <row r="63" spans="1:21" ht="38.25">
      <c r="A63" s="430">
        <v>69</v>
      </c>
      <c r="B63" s="590"/>
      <c r="C63" s="431" t="str">
        <f>+C62</f>
        <v>3.2</v>
      </c>
      <c r="D63" s="587">
        <f>1+D62</f>
        <v>1</v>
      </c>
      <c r="E63" s="572" t="str">
        <f>C63&amp;"."&amp;D63</f>
        <v>3.2.1</v>
      </c>
      <c r="F63" s="579" t="s">
        <v>2239</v>
      </c>
      <c r="G63" s="581" t="s">
        <v>5266</v>
      </c>
      <c r="H63" s="750" t="str">
        <f>IF($G63="","",IFERROR(VLOOKUP($G63,SERVIÇOS!$C:$G,2,0),IFERROR(VLOOKUP($G63,CPU!$F:$M,2,0),"")))</f>
        <v>ESTACA ESCAVADA MECANICAMENTE, SEM FLUIDO ESTABILIZANTE, COM 25CM DE DIÂMETRO, CONCRETO LANÇADO POR CAMINHÃO BETONEIRA (EXCLUSIVE ARMADURA, MOBILIZAÇÃO E DESMOBILIZAÇÃO)</v>
      </c>
      <c r="I63" s="578" t="str">
        <f>IF($G63="","",IFERROR(VLOOKUP($G63,SERVIÇOS!$C:$G,3,0),IFERROR(VLOOKUP($G63,CPU!$F:$M,3,0),"")))</f>
        <v>M</v>
      </c>
      <c r="J63" s="576">
        <v>76</v>
      </c>
      <c r="K63" s="576">
        <f>IF($G63="","",IFERROR(VLOOKUP($G63,SERVIÇOS!$C:$H,6,0),IFERROR(VLOOKUP($G63,CPU!$F:$M,8,0),"")))</f>
        <v>48.53</v>
      </c>
      <c r="L63" s="577">
        <f>IF(J63&lt;&gt;"",$N$1,"")</f>
        <v>0.2354</v>
      </c>
      <c r="M63" s="576">
        <f>IF(J63&lt;&gt;0,(ROUND(K63*(L63+1),2)),0)</f>
        <v>59.95</v>
      </c>
      <c r="N63" s="576">
        <f>IF(J63="","",ROUND((J63*M63),2))</f>
        <v>4556.2</v>
      </c>
      <c r="Q63" s="589">
        <f>N63</f>
        <v>4556.2</v>
      </c>
      <c r="S63" s="433"/>
    </row>
    <row r="64" spans="1:21" s="1006" customFormat="1" ht="25.5">
      <c r="A64" s="1006">
        <v>69</v>
      </c>
      <c r="B64" s="1007"/>
      <c r="C64" s="431" t="str">
        <f>+C63</f>
        <v>3.2</v>
      </c>
      <c r="D64" s="587">
        <f>1+D63</f>
        <v>2</v>
      </c>
      <c r="E64" s="572" t="str">
        <f>C64&amp;"."&amp;D64</f>
        <v>3.2.2</v>
      </c>
      <c r="F64" s="579" t="s">
        <v>2239</v>
      </c>
      <c r="G64" s="581" t="s">
        <v>14580</v>
      </c>
      <c r="H64" s="750" t="str">
        <f>IF($G64="","",IFERROR(VLOOKUP($G64,SERVIÇOS!$C:$G,2,0),IFERROR(VLOOKUP($G64,CPU!$F:$M,2,0),"")))</f>
        <v>ESTACA BROCA DE CONCRETO, DIÂMETRO DE 25CM, ESCAVAÇÃO MANUAL COM TRADO CONCHA (EXCLUSIVE ARMADURA)</v>
      </c>
      <c r="I64" s="578" t="str">
        <f>IF($G64="","",IFERROR(VLOOKUP($G64,SERVIÇOS!$C:$G,3,0),IFERROR(VLOOKUP($G64,CPU!$F:$M,3,0),"")))</f>
        <v>M</v>
      </c>
      <c r="J64" s="576">
        <v>51</v>
      </c>
      <c r="K64" s="576">
        <f>IF($G64="","",IFERROR(VLOOKUP($G64,SERVIÇOS!$C:$H,6,0),IFERROR(VLOOKUP($G64,CPU!$F:$M,8,0),"")))</f>
        <v>74.62</v>
      </c>
      <c r="L64" s="577">
        <f>IF(J64&lt;&gt;"",$N$1,"")</f>
        <v>0.2354</v>
      </c>
      <c r="M64" s="576">
        <f>IF(J64&lt;&gt;0,(ROUND(K64*(L64+1),2)),0)</f>
        <v>92.19</v>
      </c>
      <c r="N64" s="576">
        <f>IF(J64="","",ROUND((J64*M64),2))</f>
        <v>4701.6899999999996</v>
      </c>
      <c r="O64" s="1008"/>
      <c r="Q64" s="1010">
        <f>N64</f>
        <v>4701.6899999999996</v>
      </c>
      <c r="S64" s="1011"/>
    </row>
    <row r="65" spans="1:21" ht="25.5">
      <c r="A65" s="430">
        <v>72</v>
      </c>
      <c r="B65" s="590"/>
      <c r="C65" s="431" t="str">
        <f>+C63</f>
        <v>3.2</v>
      </c>
      <c r="D65" s="587">
        <f>1+D63</f>
        <v>2</v>
      </c>
      <c r="E65" s="572" t="str">
        <f>C65&amp;"."&amp;D65</f>
        <v>3.2.2</v>
      </c>
      <c r="F65" s="579" t="s">
        <v>2238</v>
      </c>
      <c r="G65" s="581">
        <v>95601</v>
      </c>
      <c r="H65" s="750" t="str">
        <f>IF($G65="","",IFERROR(VLOOKUP($G65,SERVIÇOS!$C:$G,2,0),IFERROR(VLOOKUP($G65,CPU!$F:$M,2,0),"")))</f>
        <v>ARRASAMENTO MECANICO DE ESTACA DE CONCRETO ARMADO, DIAMETROS DE ATÉ 40 CM. AF_05/2021</v>
      </c>
      <c r="I65" s="578" t="str">
        <f>IF($G65="","",IFERROR(VLOOKUP($G65,SERVIÇOS!$C:$G,3,0),IFERROR(VLOOKUP($G65,CPU!$F:$M,3,0),"")))</f>
        <v>UN</v>
      </c>
      <c r="J65" s="576">
        <v>37</v>
      </c>
      <c r="K65" s="576">
        <f>IF($G65="","",IFERROR(VLOOKUP($G65,SERVIÇOS!$C:$H,6,0),IFERROR(VLOOKUP($G65,CPU!$F:$M,8,0),"")))</f>
        <v>18.22</v>
      </c>
      <c r="L65" s="577">
        <f>IF(J65&lt;&gt;"",$N$1,"")</f>
        <v>0.2354</v>
      </c>
      <c r="M65" s="576">
        <f>IF(J65&lt;&gt;0,(ROUND(K65*(L65+1),2)),0)</f>
        <v>22.51</v>
      </c>
      <c r="N65" s="576">
        <f>IF(J65="","",ROUND((J65*M65),2))</f>
        <v>832.87</v>
      </c>
      <c r="Q65" s="589">
        <f>N65</f>
        <v>832.87</v>
      </c>
      <c r="S65" s="433"/>
    </row>
    <row r="66" spans="1:21" s="588" customFormat="1">
      <c r="A66" s="430">
        <v>73</v>
      </c>
      <c r="B66" s="590"/>
      <c r="C66" s="431" t="str">
        <f>+E66</f>
        <v>3.3</v>
      </c>
      <c r="D66" s="587"/>
      <c r="E66" s="568" t="s">
        <v>8749</v>
      </c>
      <c r="F66" s="569"/>
      <c r="G66" s="569"/>
      <c r="H66" s="749" t="s">
        <v>6993</v>
      </c>
      <c r="I66" s="570"/>
      <c r="J66" s="571"/>
      <c r="K66" s="571"/>
      <c r="L66" s="571"/>
      <c r="M66" s="571"/>
      <c r="N66" s="571"/>
      <c r="O66" s="431"/>
      <c r="P66" s="430"/>
      <c r="Q66" s="589"/>
      <c r="R66" s="430"/>
      <c r="S66" s="433"/>
      <c r="T66" s="430"/>
      <c r="U66" s="430"/>
    </row>
    <row r="67" spans="1:21" s="588" customFormat="1" ht="25.5">
      <c r="A67" s="430">
        <v>74</v>
      </c>
      <c r="B67" s="590"/>
      <c r="C67" s="431" t="str">
        <f>C66</f>
        <v>3.3</v>
      </c>
      <c r="D67" s="587">
        <f>1+D66</f>
        <v>1</v>
      </c>
      <c r="E67" s="572" t="str">
        <f>C67&amp;"."&amp;D67</f>
        <v>3.3.1</v>
      </c>
      <c r="F67" s="579" t="s">
        <v>2238</v>
      </c>
      <c r="G67" s="581">
        <v>96531</v>
      </c>
      <c r="H67" s="750" t="str">
        <f>IF($G67="","",IFERROR(VLOOKUP($G67,SERVIÇOS!$C:$G,2,0),IFERROR(VLOOKUP($G67,CPU!$F:$M,2,0),"")))</f>
        <v>FABRICAÇÃO, MONTAGEM E DESMONTAGEM DE FÔRMA PARA BLOCO DE COROAMENTO, EM MADEIRA SERRADA, E=25 MM, 2 UTILIZAÇÕES. AF_06/2017</v>
      </c>
      <c r="I67" s="578" t="str">
        <f>IF($G67="","",IFERROR(VLOOKUP($G67,SERVIÇOS!$C:$G,3,0),IFERROR(VLOOKUP($G67,CPU!$F:$M,3,0),"")))</f>
        <v>M2</v>
      </c>
      <c r="J67" s="576">
        <v>21.103999999999999</v>
      </c>
      <c r="K67" s="576">
        <f>IF($G67="","",IFERROR(VLOOKUP($G67,SERVIÇOS!$C:$H,6,0),IFERROR(VLOOKUP($G67,CPU!$F:$M,8,0),"")))</f>
        <v>152.66999999999999</v>
      </c>
      <c r="L67" s="577">
        <f>IF(J67&lt;&gt;"",$N$1,"")</f>
        <v>0.2354</v>
      </c>
      <c r="M67" s="576">
        <f>IF(J67&lt;&gt;0,(ROUND(K67*(L67+1),2)),0)</f>
        <v>188.61</v>
      </c>
      <c r="N67" s="576">
        <f>IF(J67="","",ROUND((J67*M67),2))</f>
        <v>3980.43</v>
      </c>
      <c r="O67" s="431"/>
      <c r="P67" s="430"/>
      <c r="Q67" s="589">
        <f>N67</f>
        <v>3980.43</v>
      </c>
      <c r="R67" s="430"/>
      <c r="S67" s="433"/>
      <c r="T67" s="430"/>
      <c r="U67" s="430"/>
    </row>
    <row r="68" spans="1:21" s="588" customFormat="1" ht="25.5">
      <c r="A68" s="430">
        <v>75</v>
      </c>
      <c r="B68" s="590"/>
      <c r="C68" s="431" t="str">
        <f>C67</f>
        <v>3.3</v>
      </c>
      <c r="D68" s="587">
        <f>1+D67</f>
        <v>2</v>
      </c>
      <c r="E68" s="572" t="str">
        <f>C68&amp;"."&amp;D68</f>
        <v>3.3.2</v>
      </c>
      <c r="F68" s="579" t="s">
        <v>2238</v>
      </c>
      <c r="G68" s="581">
        <v>96533</v>
      </c>
      <c r="H68" s="750" t="str">
        <f>IF($G68="","",IFERROR(VLOOKUP($G68,SERVIÇOS!$C:$G,2,0),IFERROR(VLOOKUP($G68,CPU!$F:$M,2,0),"")))</f>
        <v>FABRICAÇÃO, MONTAGEM E DESMONTAGEM DE FÔRMA PARA VIGA BALDRAME, EM MADEIRA SERRADA, E=25 MM, 2 UTILIZAÇÕES. AF_06/2017</v>
      </c>
      <c r="I68" s="578" t="str">
        <f>IF($G68="","",IFERROR(VLOOKUP($G68,SERVIÇOS!$C:$G,3,0),IFERROR(VLOOKUP($G68,CPU!$F:$M,3,0),"")))</f>
        <v>M2</v>
      </c>
      <c r="J68" s="576">
        <v>40.230000000000004</v>
      </c>
      <c r="K68" s="576">
        <f>IF($G68="","",IFERROR(VLOOKUP($G68,SERVIÇOS!$C:$H,6,0),IFERROR(VLOOKUP($G68,CPU!$F:$M,8,0),"")))</f>
        <v>136.02000000000001</v>
      </c>
      <c r="L68" s="577">
        <f>IF(J68&lt;&gt;"",$N$1,"")</f>
        <v>0.2354</v>
      </c>
      <c r="M68" s="576">
        <f>IF(J68&lt;&gt;0,(ROUND(K68*(L68+1),2)),0)</f>
        <v>168.04</v>
      </c>
      <c r="N68" s="576">
        <f>IF(J68="","",ROUND((J68*M68),2))</f>
        <v>6760.25</v>
      </c>
      <c r="O68" s="431"/>
      <c r="P68" s="430"/>
      <c r="Q68" s="589">
        <f>N68</f>
        <v>6760.25</v>
      </c>
      <c r="R68" s="430"/>
      <c r="S68" s="433"/>
      <c r="T68" s="430"/>
      <c r="U68" s="430"/>
    </row>
    <row r="69" spans="1:21" s="588" customFormat="1">
      <c r="A69" s="430">
        <v>76</v>
      </c>
      <c r="B69" s="590"/>
      <c r="C69" s="431" t="str">
        <f>+E69</f>
        <v>3.4</v>
      </c>
      <c r="D69" s="587"/>
      <c r="E69" s="568" t="s">
        <v>8750</v>
      </c>
      <c r="F69" s="569"/>
      <c r="G69" s="569"/>
      <c r="H69" s="749" t="s">
        <v>7667</v>
      </c>
      <c r="I69" s="570"/>
      <c r="J69" s="571"/>
      <c r="K69" s="571"/>
      <c r="L69" s="571"/>
      <c r="M69" s="571"/>
      <c r="N69" s="571"/>
      <c r="O69" s="431"/>
      <c r="P69" s="430"/>
      <c r="Q69" s="589"/>
      <c r="R69" s="430"/>
      <c r="S69" s="433"/>
      <c r="T69" s="430"/>
      <c r="U69" s="430"/>
    </row>
    <row r="70" spans="1:21" s="588" customFormat="1">
      <c r="A70" s="430"/>
      <c r="B70" s="590"/>
      <c r="C70" s="431" t="str">
        <f t="shared" ref="C70:C76" si="45">+C69</f>
        <v>3.4</v>
      </c>
      <c r="D70" s="587">
        <f t="shared" ref="D70:D79" si="46">1+D69</f>
        <v>1</v>
      </c>
      <c r="E70" s="572" t="str">
        <f>C70&amp;"."&amp;D70</f>
        <v>3.4.1</v>
      </c>
      <c r="F70" s="682"/>
      <c r="G70" s="682"/>
      <c r="H70" s="751" t="s">
        <v>6593</v>
      </c>
      <c r="I70" s="677"/>
      <c r="J70" s="576"/>
      <c r="K70" s="576"/>
      <c r="L70" s="576"/>
      <c r="M70" s="576"/>
      <c r="N70" s="576"/>
      <c r="O70" s="431"/>
      <c r="P70" s="430"/>
      <c r="Q70" s="589"/>
      <c r="R70" s="430"/>
      <c r="S70" s="433"/>
      <c r="T70" s="430"/>
      <c r="U70" s="430"/>
    </row>
    <row r="71" spans="1:21" s="588" customFormat="1" ht="25.5">
      <c r="A71" s="430">
        <v>77</v>
      </c>
      <c r="B71" s="590"/>
      <c r="C71" s="431" t="str">
        <f t="shared" si="45"/>
        <v>3.4</v>
      </c>
      <c r="D71" s="587">
        <f t="shared" si="46"/>
        <v>2</v>
      </c>
      <c r="E71" s="572" t="str">
        <f>C71&amp;"."&amp;D71</f>
        <v>3.4.2</v>
      </c>
      <c r="F71" s="579" t="s">
        <v>2238</v>
      </c>
      <c r="G71" s="581">
        <v>95583</v>
      </c>
      <c r="H71" s="750" t="str">
        <f>IF($G71="","",IFERROR(VLOOKUP($G71,SERVIÇOS!$C:$G,2,0),IFERROR(VLOOKUP($G71,CPU!$F:$M,2,0),"")))</f>
        <v>MONTAGEM DE ARMADURA TRANSVERSAL DE ESTACAS DE SEÇÃO CIRCULAR, DIÂMETRO = 5,0 MM. AF_09/2021</v>
      </c>
      <c r="I71" s="578" t="str">
        <f>IF($G71="","",IFERROR(VLOOKUP($G71,SERVIÇOS!$C:$G,3,0),IFERROR(VLOOKUP($G71,CPU!$F:$M,3,0),"")))</f>
        <v>KG</v>
      </c>
      <c r="J71" s="576">
        <v>82.3</v>
      </c>
      <c r="K71" s="576">
        <f>IF($G71="","",IFERROR(VLOOKUP($G71,SERVIÇOS!$C:$H,6,0),IFERROR(VLOOKUP($G71,CPU!$F:$M,8,0),"")))</f>
        <v>18.25</v>
      </c>
      <c r="L71" s="577">
        <f>IF(J71&lt;&gt;"",$N$1,"")</f>
        <v>0.2354</v>
      </c>
      <c r="M71" s="576">
        <f>IF(J71&lt;&gt;0,(ROUND(K71*(L71+1),2)),0)</f>
        <v>22.55</v>
      </c>
      <c r="N71" s="576">
        <f>IF(J71="","",ROUND((J71*M71),2))</f>
        <v>1855.87</v>
      </c>
      <c r="O71" s="431"/>
      <c r="P71" s="430"/>
      <c r="Q71" s="589">
        <f>N71</f>
        <v>1855.87</v>
      </c>
      <c r="R71" s="430"/>
      <c r="S71" s="433"/>
      <c r="T71" s="430"/>
      <c r="U71" s="430"/>
    </row>
    <row r="72" spans="1:21">
      <c r="A72" s="430">
        <v>79</v>
      </c>
      <c r="B72" s="590"/>
      <c r="C72" s="431" t="str">
        <f t="shared" si="45"/>
        <v>3.4</v>
      </c>
      <c r="D72" s="587">
        <f t="shared" si="46"/>
        <v>3</v>
      </c>
      <c r="E72" s="572" t="str">
        <f>C72&amp;"."&amp;D72</f>
        <v>3.4.3</v>
      </c>
      <c r="F72" s="579" t="s">
        <v>2238</v>
      </c>
      <c r="G72" s="581">
        <v>95576</v>
      </c>
      <c r="H72" s="750" t="str">
        <f>IF($G72="","",IFERROR(VLOOKUP($G72,SERVIÇOS!$C:$G,2,0),IFERROR(VLOOKUP($G72,CPU!$F:$M,2,0),"")))</f>
        <v>MONTAGEM DE ARMADURA DE ESTACAS, DIÂMETRO = 8,0 MM. AF_09/2021</v>
      </c>
      <c r="I72" s="578" t="str">
        <f>IF($G72="","",IFERROR(VLOOKUP($G72,SERVIÇOS!$C:$G,3,0),IFERROR(VLOOKUP($G72,CPU!$F:$M,3,0),"")))</f>
        <v>KG</v>
      </c>
      <c r="J72" s="576">
        <v>205.89999999999998</v>
      </c>
      <c r="K72" s="576">
        <f>IF($G72="","",IFERROR(VLOOKUP($G72,SERVIÇOS!$C:$H,6,0),IFERROR(VLOOKUP($G72,CPU!$F:$M,8,0),"")))</f>
        <v>14.71</v>
      </c>
      <c r="L72" s="577">
        <f>IF(J72&lt;&gt;"",$N$1,"")</f>
        <v>0.2354</v>
      </c>
      <c r="M72" s="576">
        <f>IF(J72&lt;&gt;0,(ROUND(K72*(L72+1),2)),0)</f>
        <v>18.170000000000002</v>
      </c>
      <c r="N72" s="576">
        <f>IF(J72="","",ROUND((J72*M72),2))</f>
        <v>3741.2</v>
      </c>
      <c r="Q72" s="589">
        <f>N72</f>
        <v>3741.2</v>
      </c>
      <c r="S72" s="433"/>
    </row>
    <row r="73" spans="1:21">
      <c r="A73" s="430">
        <v>80</v>
      </c>
      <c r="B73" s="590"/>
      <c r="C73" s="431" t="str">
        <f t="shared" si="45"/>
        <v>3.4</v>
      </c>
      <c r="D73" s="587">
        <f t="shared" si="46"/>
        <v>4</v>
      </c>
      <c r="E73" s="572" t="str">
        <f>C73&amp;"."&amp;D73</f>
        <v>3.4.4</v>
      </c>
      <c r="F73" s="579" t="s">
        <v>2238</v>
      </c>
      <c r="G73" s="581">
        <v>95577</v>
      </c>
      <c r="H73" s="750" t="str">
        <f>IF($G73="","",IFERROR(VLOOKUP($G73,SERVIÇOS!$C:$G,2,0),IFERROR(VLOOKUP($G73,CPU!$F:$M,2,0),"")))</f>
        <v>MONTAGEM DE ARMADURA DE ESTACAS, DIÂMETRO = 10,0 MM. AF_09/2021</v>
      </c>
      <c r="I73" s="578" t="str">
        <f>IF($G73="","",IFERROR(VLOOKUP($G73,SERVIÇOS!$C:$G,3,0),IFERROR(VLOOKUP($G73,CPU!$F:$M,3,0),"")))</f>
        <v>KG</v>
      </c>
      <c r="J73" s="576">
        <v>197.6</v>
      </c>
      <c r="K73" s="576">
        <f>IF($G73="","",IFERROR(VLOOKUP($G73,SERVIÇOS!$C:$H,6,0),IFERROR(VLOOKUP($G73,CPU!$F:$M,8,0),"")))</f>
        <v>12.58</v>
      </c>
      <c r="L73" s="577">
        <f>IF(J73&lt;&gt;"",$N$1,"")</f>
        <v>0.2354</v>
      </c>
      <c r="M73" s="576">
        <f>IF(J73&lt;&gt;0,(ROUND(K73*(L73+1),2)),0)</f>
        <v>15.54</v>
      </c>
      <c r="N73" s="576">
        <f>IF(J73="","",ROUND((J73*M73),2))</f>
        <v>3070.7</v>
      </c>
      <c r="Q73" s="589">
        <f>N73</f>
        <v>3070.7</v>
      </c>
      <c r="S73" s="433"/>
    </row>
    <row r="74" spans="1:21" s="588" customFormat="1">
      <c r="A74" s="430"/>
      <c r="B74" s="590"/>
      <c r="C74" s="431" t="str">
        <f t="shared" si="45"/>
        <v>3.4</v>
      </c>
      <c r="D74" s="587">
        <f t="shared" si="46"/>
        <v>5</v>
      </c>
      <c r="E74" s="572" t="str">
        <f>C74&amp;"."&amp;D74</f>
        <v>3.4.5</v>
      </c>
      <c r="F74" s="682"/>
      <c r="G74" s="682"/>
      <c r="H74" s="751" t="s">
        <v>7668</v>
      </c>
      <c r="I74" s="677"/>
      <c r="J74" s="576"/>
      <c r="K74" s="576"/>
      <c r="L74" s="576"/>
      <c r="M74" s="576"/>
      <c r="N74" s="576"/>
      <c r="O74" s="431"/>
      <c r="P74" s="430"/>
      <c r="Q74" s="589"/>
      <c r="R74" s="430"/>
      <c r="S74" s="433"/>
      <c r="T74" s="430"/>
      <c r="U74" s="430"/>
    </row>
    <row r="75" spans="1:21" s="588" customFormat="1" ht="25.5">
      <c r="A75" s="430">
        <v>77</v>
      </c>
      <c r="B75" s="590"/>
      <c r="C75" s="431" t="str">
        <f t="shared" si="45"/>
        <v>3.4</v>
      </c>
      <c r="D75" s="587">
        <f t="shared" si="46"/>
        <v>6</v>
      </c>
      <c r="E75" s="572" t="str">
        <f t="shared" ref="E75:E79" si="47">C75&amp;"."&amp;D75</f>
        <v>3.4.6</v>
      </c>
      <c r="F75" s="579" t="s">
        <v>2238</v>
      </c>
      <c r="G75" s="581">
        <v>96543</v>
      </c>
      <c r="H75" s="750" t="str">
        <f>IF($G75="","",IFERROR(VLOOKUP($G75,SERVIÇOS!$C:$G,2,0),IFERROR(VLOOKUP($G75,CPU!$F:$M,2,0),"")))</f>
        <v>ARMAÇÃO DE BLOCO, VIGA BALDRAME E SAPATA UTILIZANDO AÇO CA-60 DE 5 MM - MONTAGEM. AF_06/2017</v>
      </c>
      <c r="I75" s="578" t="str">
        <f>IF($G75="","",IFERROR(VLOOKUP($G75,SERVIÇOS!$C:$G,3,0),IFERROR(VLOOKUP($G75,CPU!$F:$M,3,0),"")))</f>
        <v>KG</v>
      </c>
      <c r="J75" s="576">
        <v>62.89</v>
      </c>
      <c r="K75" s="576">
        <f>IF($G75="","",IFERROR(VLOOKUP($G75,SERVIÇOS!$C:$H,6,0),IFERROR(VLOOKUP($G75,CPU!$F:$M,8,0),"")))</f>
        <v>20.170000000000002</v>
      </c>
      <c r="L75" s="577">
        <f t="shared" ref="L75:L79" si="48">IF(J75&lt;&gt;"",$N$1,"")</f>
        <v>0.2354</v>
      </c>
      <c r="M75" s="576">
        <f t="shared" ref="M75:M79" si="49">IF(J75&lt;&gt;0,(ROUND(K75*(L75+1),2)),0)</f>
        <v>24.92</v>
      </c>
      <c r="N75" s="576">
        <f t="shared" ref="N75:N79" si="50">IF(J75="","",ROUND((J75*M75),2))</f>
        <v>1567.22</v>
      </c>
      <c r="O75" s="431"/>
      <c r="P75" s="430"/>
      <c r="Q75" s="589">
        <f t="shared" ref="Q75:Q79" si="51">N75</f>
        <v>1567.22</v>
      </c>
      <c r="R75" s="430"/>
      <c r="S75" s="433"/>
      <c r="T75" s="430"/>
      <c r="U75" s="430"/>
    </row>
    <row r="76" spans="1:21" s="588" customFormat="1" ht="25.5">
      <c r="A76" s="430">
        <v>78</v>
      </c>
      <c r="B76" s="590"/>
      <c r="C76" s="431" t="str">
        <f t="shared" si="45"/>
        <v>3.4</v>
      </c>
      <c r="D76" s="587">
        <f t="shared" si="46"/>
        <v>7</v>
      </c>
      <c r="E76" s="572" t="str">
        <f t="shared" si="47"/>
        <v>3.4.7</v>
      </c>
      <c r="F76" s="579" t="s">
        <v>2238</v>
      </c>
      <c r="G76" s="581">
        <v>96544</v>
      </c>
      <c r="H76" s="750" t="str">
        <f>IF($G76="","",IFERROR(VLOOKUP($G76,SERVIÇOS!$C:$G,2,0),IFERROR(VLOOKUP($G76,CPU!$F:$M,2,0),"")))</f>
        <v>ARMAÇÃO DE BLOCO, VIGA BALDRAME OU SAPATA UTILIZANDO AÇO CA-50 DE 6,3 MM - MONTAGEM. AF_06/2017</v>
      </c>
      <c r="I76" s="578" t="str">
        <f>IF($G76="","",IFERROR(VLOOKUP($G76,SERVIÇOS!$C:$G,3,0),IFERROR(VLOOKUP($G76,CPU!$F:$M,3,0),"")))</f>
        <v>KG</v>
      </c>
      <c r="J76" s="576">
        <v>52.66</v>
      </c>
      <c r="K76" s="576">
        <f>IF($G76="","",IFERROR(VLOOKUP($G76,SERVIÇOS!$C:$H,6,0),IFERROR(VLOOKUP($G76,CPU!$F:$M,8,0),"")))</f>
        <v>18.510000000000002</v>
      </c>
      <c r="L76" s="577">
        <f t="shared" si="48"/>
        <v>0.2354</v>
      </c>
      <c r="M76" s="576">
        <f t="shared" si="49"/>
        <v>22.87</v>
      </c>
      <c r="N76" s="576">
        <f t="shared" si="50"/>
        <v>1204.33</v>
      </c>
      <c r="O76" s="431"/>
      <c r="P76" s="430"/>
      <c r="Q76" s="589">
        <f t="shared" si="51"/>
        <v>1204.33</v>
      </c>
      <c r="R76" s="430"/>
      <c r="S76" s="433"/>
      <c r="T76" s="430"/>
      <c r="U76" s="430"/>
    </row>
    <row r="77" spans="1:21" ht="25.5">
      <c r="A77" s="430">
        <v>79</v>
      </c>
      <c r="B77" s="590"/>
      <c r="C77" s="431" t="str">
        <f>+C76</f>
        <v>3.4</v>
      </c>
      <c r="D77" s="587">
        <f t="shared" si="46"/>
        <v>8</v>
      </c>
      <c r="E77" s="572" t="str">
        <f t="shared" si="47"/>
        <v>3.4.8</v>
      </c>
      <c r="F77" s="579" t="s">
        <v>2238</v>
      </c>
      <c r="G77" s="581">
        <v>96545</v>
      </c>
      <c r="H77" s="750" t="str">
        <f>IF($G77="","",IFERROR(VLOOKUP($G77,SERVIÇOS!$C:$G,2,0),IFERROR(VLOOKUP($G77,CPU!$F:$M,2,0),"")))</f>
        <v>ARMAÇÃO DE BLOCO, VIGA BALDRAME OU SAPATA UTILIZANDO AÇO CA-50 DE 8 MM - MONTAGEM. AF_06/2017</v>
      </c>
      <c r="I77" s="578" t="str">
        <f>IF($G77="","",IFERROR(VLOOKUP($G77,SERVIÇOS!$C:$G,3,0),IFERROR(VLOOKUP($G77,CPU!$F:$M,3,0),"")))</f>
        <v>KG</v>
      </c>
      <c r="J77" s="576">
        <v>99.699999999999989</v>
      </c>
      <c r="K77" s="576">
        <f>IF($G77="","",IFERROR(VLOOKUP($G77,SERVIÇOS!$C:$H,6,0),IFERROR(VLOOKUP($G77,CPU!$F:$M,8,0),"")))</f>
        <v>16.989999999999998</v>
      </c>
      <c r="L77" s="577">
        <f t="shared" si="48"/>
        <v>0.2354</v>
      </c>
      <c r="M77" s="576">
        <f t="shared" si="49"/>
        <v>20.99</v>
      </c>
      <c r="N77" s="576">
        <f t="shared" si="50"/>
        <v>2092.6999999999998</v>
      </c>
      <c r="Q77" s="589">
        <f t="shared" si="51"/>
        <v>2092.6999999999998</v>
      </c>
      <c r="S77" s="433"/>
    </row>
    <row r="78" spans="1:21" ht="25.5">
      <c r="A78" s="430">
        <v>80</v>
      </c>
      <c r="B78" s="590"/>
      <c r="C78" s="431" t="str">
        <f>+C77</f>
        <v>3.4</v>
      </c>
      <c r="D78" s="587">
        <f t="shared" si="46"/>
        <v>9</v>
      </c>
      <c r="E78" s="572" t="str">
        <f t="shared" si="47"/>
        <v>3.4.9</v>
      </c>
      <c r="F78" s="579" t="s">
        <v>2238</v>
      </c>
      <c r="G78" s="581">
        <v>96546</v>
      </c>
      <c r="H78" s="750" t="str">
        <f>IF($G78="","",IFERROR(VLOOKUP($G78,SERVIÇOS!$C:$G,2,0),IFERROR(VLOOKUP($G78,CPU!$F:$M,2,0),"")))</f>
        <v>ARMAÇÃO DE BLOCO, VIGA BALDRAME OU SAPATA UTILIZANDO AÇO CA-50 DE 10 MM - MONTAGEM. AF_06/2017</v>
      </c>
      <c r="I78" s="578" t="str">
        <f>IF($G78="","",IFERROR(VLOOKUP($G78,SERVIÇOS!$C:$G,3,0),IFERROR(VLOOKUP($G78,CPU!$F:$M,3,0),"")))</f>
        <v>KG</v>
      </c>
      <c r="J78" s="576">
        <v>43.45</v>
      </c>
      <c r="K78" s="576">
        <f>IF($G78="","",IFERROR(VLOOKUP($G78,SERVIÇOS!$C:$H,6,0),IFERROR(VLOOKUP($G78,CPU!$F:$M,8,0),"")))</f>
        <v>15.04</v>
      </c>
      <c r="L78" s="577">
        <f t="shared" si="48"/>
        <v>0.2354</v>
      </c>
      <c r="M78" s="576">
        <f t="shared" si="49"/>
        <v>18.579999999999998</v>
      </c>
      <c r="N78" s="576">
        <f t="shared" si="50"/>
        <v>807.3</v>
      </c>
      <c r="Q78" s="589">
        <f t="shared" si="51"/>
        <v>807.3</v>
      </c>
      <c r="S78" s="433"/>
    </row>
    <row r="79" spans="1:21" ht="25.5">
      <c r="A79" s="430">
        <v>81</v>
      </c>
      <c r="B79" s="590"/>
      <c r="C79" s="431" t="str">
        <f>+C78</f>
        <v>3.4</v>
      </c>
      <c r="D79" s="587">
        <f t="shared" si="46"/>
        <v>10</v>
      </c>
      <c r="E79" s="572" t="str">
        <f t="shared" si="47"/>
        <v>3.4.10</v>
      </c>
      <c r="F79" s="579" t="s">
        <v>2238</v>
      </c>
      <c r="G79" s="581">
        <v>96547</v>
      </c>
      <c r="H79" s="750" t="str">
        <f>IF($G79="","",IFERROR(VLOOKUP($G79,SERVIÇOS!$C:$G,2,0),IFERROR(VLOOKUP($G79,CPU!$F:$M,2,0),"")))</f>
        <v>ARMAÇÃO DE BLOCO, VIGA BALDRAME OU SAPATA UTILIZANDO AÇO CA-50 DE 12,5 MM - MONTAGEM. AF_06/2017</v>
      </c>
      <c r="I79" s="578" t="str">
        <f>IF($G79="","",IFERROR(VLOOKUP($G79,SERVIÇOS!$C:$G,3,0),IFERROR(VLOOKUP($G79,CPU!$F:$M,3,0),"")))</f>
        <v>KG</v>
      </c>
      <c r="J79" s="576">
        <v>69.819999999999993</v>
      </c>
      <c r="K79" s="576">
        <f>IF($G79="","",IFERROR(VLOOKUP($G79,SERVIÇOS!$C:$H,6,0),IFERROR(VLOOKUP($G79,CPU!$F:$M,8,0),"")))</f>
        <v>12.64</v>
      </c>
      <c r="L79" s="577">
        <f t="shared" si="48"/>
        <v>0.2354</v>
      </c>
      <c r="M79" s="576">
        <f t="shared" si="49"/>
        <v>15.62</v>
      </c>
      <c r="N79" s="576">
        <f t="shared" si="50"/>
        <v>1090.5899999999999</v>
      </c>
      <c r="Q79" s="589">
        <f t="shared" si="51"/>
        <v>1090.5899999999999</v>
      </c>
      <c r="S79" s="433"/>
    </row>
    <row r="80" spans="1:21">
      <c r="A80" s="430">
        <v>83</v>
      </c>
      <c r="B80" s="590"/>
      <c r="C80" s="431" t="str">
        <f>+E80</f>
        <v>3.5</v>
      </c>
      <c r="D80" s="587"/>
      <c r="E80" s="568" t="s">
        <v>8783</v>
      </c>
      <c r="F80" s="569"/>
      <c r="G80" s="569"/>
      <c r="H80" s="749" t="s">
        <v>6772</v>
      </c>
      <c r="I80" s="570"/>
      <c r="J80" s="571"/>
      <c r="K80" s="571"/>
      <c r="L80" s="571"/>
      <c r="M80" s="571"/>
      <c r="N80" s="571"/>
      <c r="Q80" s="589"/>
      <c r="S80" s="433"/>
    </row>
    <row r="81" spans="1:21">
      <c r="A81" s="430">
        <v>84</v>
      </c>
      <c r="B81" s="590"/>
      <c r="C81" s="431" t="str">
        <f>+C80</f>
        <v>3.5</v>
      </c>
      <c r="D81" s="587">
        <f>1+D80</f>
        <v>1</v>
      </c>
      <c r="E81" s="572" t="str">
        <f>C81&amp;"."&amp;D81</f>
        <v>3.5.1</v>
      </c>
      <c r="F81" s="682"/>
      <c r="G81" s="683"/>
      <c r="H81" s="751" t="s">
        <v>7495</v>
      </c>
      <c r="I81" s="677"/>
      <c r="J81" s="673"/>
      <c r="K81" s="673"/>
      <c r="L81" s="684"/>
      <c r="M81" s="673"/>
      <c r="N81" s="673"/>
      <c r="P81" s="685"/>
      <c r="Q81" s="589"/>
      <c r="R81" s="685"/>
      <c r="S81" s="686"/>
      <c r="T81" s="685"/>
      <c r="U81" s="685"/>
    </row>
    <row r="82" spans="1:21" ht="25.5">
      <c r="A82" s="430">
        <v>85</v>
      </c>
      <c r="B82" s="590"/>
      <c r="C82" s="431" t="str">
        <f>+C81</f>
        <v>3.5</v>
      </c>
      <c r="D82" s="587">
        <f>1+D81</f>
        <v>2</v>
      </c>
      <c r="E82" s="572" t="str">
        <f>C82&amp;"."&amp;D82</f>
        <v>3.5.2</v>
      </c>
      <c r="F82" s="579" t="s">
        <v>2239</v>
      </c>
      <c r="G82" s="581" t="s">
        <v>7168</v>
      </c>
      <c r="H82" s="750" t="str">
        <f>IF($G82="","",IFERROR(VLOOKUP($G82,SERVIÇOS!$C:$G,2,0),IFERROR(VLOOKUP($G82,CPU!$F:$M,2,0),"")))</f>
        <v>CONCRETAGEM DE BLOCOS DE COROAMENTO E VIGAS BALDRAMES, FCK 25 MPA, COM USO DE JERICA, LANÇAMENTO, ADENSAMENTO E ACABAMENTO</v>
      </c>
      <c r="I82" s="578" t="str">
        <f>IF($G82="","",IFERROR(VLOOKUP($G82,SERVIÇOS!$C:$G,3,0),IFERROR(VLOOKUP($G82,CPU!$F:$M,3,0),"")))</f>
        <v>M3</v>
      </c>
      <c r="J82" s="576">
        <v>6.68</v>
      </c>
      <c r="K82" s="576">
        <f>IF($G82="","",IFERROR(VLOOKUP($G82,SERVIÇOS!$C:$H,6,0),IFERROR(VLOOKUP($G82,CPU!$F:$M,8,0),"")))</f>
        <v>612.45000000000005</v>
      </c>
      <c r="L82" s="577">
        <f>IF(J82&lt;&gt;"",$N$1,"")</f>
        <v>0.2354</v>
      </c>
      <c r="M82" s="576">
        <f>IF(J82&lt;&gt;0,(ROUND(K82*(L82+1),2)),0)</f>
        <v>756.62</v>
      </c>
      <c r="N82" s="576">
        <f>IF(J82="","",ROUND((J82*M82),2))</f>
        <v>5054.22</v>
      </c>
      <c r="Q82" s="589">
        <f>N82</f>
        <v>5054.22</v>
      </c>
      <c r="S82" s="433"/>
    </row>
    <row r="83" spans="1:21">
      <c r="A83" s="430">
        <v>86</v>
      </c>
      <c r="B83" s="590"/>
      <c r="C83" s="431" t="str">
        <f>+C82</f>
        <v>3.5</v>
      </c>
      <c r="D83" s="587">
        <f>1+D82</f>
        <v>3</v>
      </c>
      <c r="E83" s="572" t="str">
        <f>C83&amp;"."&amp;D83</f>
        <v>3.5.3</v>
      </c>
      <c r="F83" s="682"/>
      <c r="G83" s="683"/>
      <c r="H83" s="751" t="s">
        <v>6777</v>
      </c>
      <c r="I83" s="677"/>
      <c r="J83" s="673"/>
      <c r="K83" s="673"/>
      <c r="L83" s="684"/>
      <c r="M83" s="673"/>
      <c r="N83" s="673"/>
      <c r="P83" s="685"/>
      <c r="Q83" s="589"/>
      <c r="R83" s="685"/>
      <c r="S83" s="686"/>
      <c r="T83" s="685"/>
      <c r="U83" s="685"/>
    </row>
    <row r="84" spans="1:21" ht="25.5">
      <c r="A84" s="430">
        <v>87</v>
      </c>
      <c r="B84" s="590"/>
      <c r="C84" s="431" t="str">
        <f>+C83</f>
        <v>3.5</v>
      </c>
      <c r="D84" s="587">
        <f>1+D83</f>
        <v>4</v>
      </c>
      <c r="E84" s="572" t="str">
        <f>C84&amp;"."&amp;D84</f>
        <v>3.5.4</v>
      </c>
      <c r="F84" s="579" t="s">
        <v>2238</v>
      </c>
      <c r="G84" s="581">
        <v>94962</v>
      </c>
      <c r="H84" s="750" t="str">
        <f>IF($G84="","",IFERROR(VLOOKUP($G84,SERVIÇOS!$C:$G,2,0),IFERROR(VLOOKUP($G84,CPU!$F:$M,2,0),"")))</f>
        <v>CONCRETO MAGRO PARA LASTRO, TRAÇO 1:4,5:4,5 (EM MASSA SECA DE CIMENTO/ AREIA MÉDIA/ BRITA 1) - PREPARO MECÂNICO COM BETONEIRA 400 L. AF_05/2021</v>
      </c>
      <c r="I84" s="578" t="str">
        <f>IF($G84="","",IFERROR(VLOOKUP($G84,SERVIÇOS!$C:$G,3,0),IFERROR(VLOOKUP($G84,CPU!$F:$M,3,0),"")))</f>
        <v>M3</v>
      </c>
      <c r="J84" s="576">
        <v>0.42</v>
      </c>
      <c r="K84" s="576">
        <f>IF($G84="","",IFERROR(VLOOKUP($G84,SERVIÇOS!$C:$H,6,0),IFERROR(VLOOKUP($G84,CPU!$F:$M,8,0),"")))</f>
        <v>333.12</v>
      </c>
      <c r="L84" s="577">
        <f>IF(J84&lt;&gt;"",$N$1,"")</f>
        <v>0.2354</v>
      </c>
      <c r="M84" s="576">
        <f>IF(J84&lt;&gt;0,(ROUND(K84*(L84+1),2)),0)</f>
        <v>411.54</v>
      </c>
      <c r="N84" s="576">
        <f>IF(J84="","",ROUND((J84*M84),2))</f>
        <v>172.85</v>
      </c>
      <c r="Q84" s="589">
        <f>N84</f>
        <v>172.85</v>
      </c>
      <c r="S84" s="433"/>
    </row>
    <row r="85" spans="1:21">
      <c r="A85" s="430">
        <v>68</v>
      </c>
      <c r="B85" s="590"/>
      <c r="C85" s="431" t="str">
        <f>+E85</f>
        <v>3.6</v>
      </c>
      <c r="D85" s="587"/>
      <c r="E85" s="568" t="s">
        <v>8784</v>
      </c>
      <c r="F85" s="569"/>
      <c r="G85" s="569"/>
      <c r="H85" s="749" t="s">
        <v>8575</v>
      </c>
      <c r="I85" s="570"/>
      <c r="J85" s="571"/>
      <c r="K85" s="571"/>
      <c r="L85" s="571"/>
      <c r="M85" s="571"/>
      <c r="N85" s="571"/>
      <c r="Q85" s="589"/>
      <c r="S85" s="433"/>
    </row>
    <row r="86" spans="1:21">
      <c r="A86" s="430">
        <v>69</v>
      </c>
      <c r="B86" s="590"/>
      <c r="C86" s="431" t="str">
        <f>+C85</f>
        <v>3.6</v>
      </c>
      <c r="D86" s="587">
        <f>1+D85</f>
        <v>1</v>
      </c>
      <c r="E86" s="572" t="str">
        <f>C86&amp;"."&amp;D86</f>
        <v>3.6.1</v>
      </c>
      <c r="F86" s="579" t="s">
        <v>2239</v>
      </c>
      <c r="G86" s="581" t="s">
        <v>7192</v>
      </c>
      <c r="H86" s="750" t="str">
        <f>IF($G86="","",IFERROR(VLOOKUP($G86,SERVIÇOS!$C:$G,2,0),IFERROR(VLOOKUP($G86,CPU!$F:$M,2,0),"")))</f>
        <v>IMPERMEABILIZAÇÃO DE ESTRUTURAS ENTERRADAS COM TINTA ASFÁLTICA, 2 DEMÃOS</v>
      </c>
      <c r="I86" s="578" t="str">
        <f>IF($G86="","",IFERROR(VLOOKUP($G86,SERVIÇOS!$C:$G,3,0),IFERROR(VLOOKUP($G86,CPU!$F:$M,3,0),"")))</f>
        <v>M2</v>
      </c>
      <c r="J86" s="576">
        <v>26.19</v>
      </c>
      <c r="K86" s="576">
        <f>IF($G86="","",IFERROR(VLOOKUP($G86,SERVIÇOS!$C:$H,6,0),IFERROR(VLOOKUP($G86,CPU!$F:$M,8,0),"")))</f>
        <v>27.54</v>
      </c>
      <c r="L86" s="577">
        <f>IF(J86&lt;&gt;"",$N$1,"")</f>
        <v>0.2354</v>
      </c>
      <c r="M86" s="576">
        <f>IF(J86&lt;&gt;0,(ROUND(K86*(L86+1),2)),0)</f>
        <v>34.020000000000003</v>
      </c>
      <c r="N86" s="576">
        <f>IF(J86="","",ROUND((J86*M86),2))</f>
        <v>890.98</v>
      </c>
      <c r="Q86" s="589">
        <f>N86</f>
        <v>890.98</v>
      </c>
      <c r="S86" s="433"/>
    </row>
    <row r="87" spans="1:21" ht="25.5">
      <c r="A87" s="430">
        <v>72</v>
      </c>
      <c r="B87" s="590"/>
      <c r="C87" s="431" t="str">
        <f>+C86</f>
        <v>3.6</v>
      </c>
      <c r="D87" s="587">
        <f>1+D86</f>
        <v>2</v>
      </c>
      <c r="E87" s="572" t="str">
        <f>C87&amp;"."&amp;D87</f>
        <v>3.6.2</v>
      </c>
      <c r="F87" s="579" t="s">
        <v>2238</v>
      </c>
      <c r="G87" s="581">
        <v>98555</v>
      </c>
      <c r="H87" s="750" t="str">
        <f>IF($G87="","",IFERROR(VLOOKUP($G87,SERVIÇOS!$C:$G,2,0),IFERROR(VLOOKUP($G87,CPU!$F:$M,2,0),"")))</f>
        <v>IMPERMEABILIZAÇÃO DE SUPERFÍCIE COM ARGAMASSA POLIMÉRICA / MEMBRANA ACRÍLICA, 3 DEMÃOS. AF_06/2018</v>
      </c>
      <c r="I87" s="578" t="str">
        <f>IF($G87="","",IFERROR(VLOOKUP($G87,SERVIÇOS!$C:$G,3,0),IFERROR(VLOOKUP($G87,CPU!$F:$M,3,0),"")))</f>
        <v>M2</v>
      </c>
      <c r="J87" s="576">
        <v>26.19</v>
      </c>
      <c r="K87" s="576">
        <f>IF($G87="","",IFERROR(VLOOKUP($G87,SERVIÇOS!$C:$H,6,0),IFERROR(VLOOKUP($G87,CPU!$F:$M,8,0),"")))</f>
        <v>29.19</v>
      </c>
      <c r="L87" s="577">
        <f>IF(J87&lt;&gt;"",$N$1,"")</f>
        <v>0.2354</v>
      </c>
      <c r="M87" s="576">
        <f>IF(J87&lt;&gt;0,(ROUND(K87*(L87+1),2)),0)</f>
        <v>36.06</v>
      </c>
      <c r="N87" s="576">
        <f>IF(J87="","",ROUND((J87*M87),2))</f>
        <v>944.41</v>
      </c>
      <c r="Q87" s="589">
        <f>N87</f>
        <v>944.41</v>
      </c>
      <c r="S87" s="433"/>
    </row>
    <row r="88" spans="1:21" ht="25.5">
      <c r="A88" s="430">
        <v>72</v>
      </c>
      <c r="B88" s="590"/>
      <c r="C88" s="431" t="str">
        <f t="shared" ref="C88" si="52">+C87</f>
        <v>3.6</v>
      </c>
      <c r="D88" s="587">
        <f t="shared" ref="D88" si="53">1+D87</f>
        <v>3</v>
      </c>
      <c r="E88" s="572" t="str">
        <f t="shared" ref="E88" si="54">C88&amp;"."&amp;D88</f>
        <v>3.6.3</v>
      </c>
      <c r="F88" s="579" t="s">
        <v>2238</v>
      </c>
      <c r="G88" s="581">
        <v>98564</v>
      </c>
      <c r="H88" s="750" t="str">
        <f>IF($G88="","",IFERROR(VLOOKUP($G88,SERVIÇOS!$C:$G,2,0),IFERROR(VLOOKUP($G88,CPU!$F:$M,2,0),"")))</f>
        <v>PROTEÇÃO MECÂNICA DE SUPERFÍCIE VERTICAL COM ARGAMASSA DE CIMENTO E AREIA, TRAÇO 1:3, E=2CM. AF_06/2018</v>
      </c>
      <c r="I88" s="578" t="str">
        <f>IF($G88="","",IFERROR(VLOOKUP($G88,SERVIÇOS!$C:$G,3,0),IFERROR(VLOOKUP($G88,CPU!$F:$M,3,0),"")))</f>
        <v>M2</v>
      </c>
      <c r="J88" s="576">
        <v>26.19</v>
      </c>
      <c r="K88" s="576">
        <f>IF($G88="","",IFERROR(VLOOKUP($G88,SERVIÇOS!$C:$H,6,0),IFERROR(VLOOKUP($G88,CPU!$F:$M,8,0),"")))</f>
        <v>51.4</v>
      </c>
      <c r="L88" s="577">
        <f t="shared" ref="L88" si="55">IF(J88&lt;&gt;"",$N$1,"")</f>
        <v>0.2354</v>
      </c>
      <c r="M88" s="576">
        <f t="shared" ref="M88" si="56">IF(J88&lt;&gt;0,(ROUND(K88*(L88+1),2)),0)</f>
        <v>63.5</v>
      </c>
      <c r="N88" s="576">
        <f t="shared" ref="N88" si="57">IF(J88="","",ROUND((J88*M88),2))</f>
        <v>1663.07</v>
      </c>
      <c r="Q88" s="589">
        <f t="shared" ref="Q88" si="58">N88</f>
        <v>1663.07</v>
      </c>
      <c r="S88" s="433"/>
    </row>
    <row r="89" spans="1:21">
      <c r="A89" s="430">
        <v>91</v>
      </c>
      <c r="B89" s="590"/>
      <c r="C89" s="431">
        <f>+E89</f>
        <v>4</v>
      </c>
      <c r="D89" s="587"/>
      <c r="E89" s="859">
        <v>4</v>
      </c>
      <c r="F89" s="860"/>
      <c r="G89" s="860"/>
      <c r="H89" s="861" t="s">
        <v>6511</v>
      </c>
      <c r="I89" s="862"/>
      <c r="J89" s="863"/>
      <c r="K89" s="866"/>
      <c r="L89" s="865"/>
      <c r="M89" s="864"/>
      <c r="N89" s="864">
        <f>SUM(N90:N119)</f>
        <v>61739.81</v>
      </c>
      <c r="Q89" s="589"/>
      <c r="S89" s="433"/>
      <c r="T89" s="433">
        <v>107909.54</v>
      </c>
      <c r="U89" s="433">
        <v>136181.81999999998</v>
      </c>
    </row>
    <row r="90" spans="1:21">
      <c r="A90" s="430">
        <v>92</v>
      </c>
      <c r="B90" s="590"/>
      <c r="C90" s="431" t="str">
        <f>+E90</f>
        <v>4.1</v>
      </c>
      <c r="D90" s="587"/>
      <c r="E90" s="568" t="s">
        <v>6911</v>
      </c>
      <c r="F90" s="569"/>
      <c r="G90" s="569"/>
      <c r="H90" s="749" t="s">
        <v>6770</v>
      </c>
      <c r="I90" s="570"/>
      <c r="J90" s="571"/>
      <c r="K90" s="571"/>
      <c r="L90" s="571"/>
      <c r="M90" s="571"/>
      <c r="N90" s="571"/>
      <c r="Q90" s="589"/>
      <c r="S90" s="433"/>
    </row>
    <row r="91" spans="1:21">
      <c r="A91" s="430">
        <v>93</v>
      </c>
      <c r="B91" s="590"/>
      <c r="C91" s="431" t="str">
        <f t="shared" ref="C91:C98" si="59">+C90</f>
        <v>4.1</v>
      </c>
      <c r="D91" s="587">
        <f t="shared" ref="D91:D98" si="60">1+D90</f>
        <v>1</v>
      </c>
      <c r="E91" s="572" t="str">
        <f t="shared" ref="E91:E96" si="61">C91&amp;"."&amp;D91</f>
        <v>4.1.1</v>
      </c>
      <c r="F91" s="579"/>
      <c r="G91" s="581"/>
      <c r="H91" s="751" t="s">
        <v>6773</v>
      </c>
      <c r="I91" s="578"/>
      <c r="J91" s="576"/>
      <c r="K91" s="576"/>
      <c r="L91" s="577"/>
      <c r="M91" s="576"/>
      <c r="N91" s="576"/>
      <c r="Q91" s="589"/>
      <c r="S91" s="433"/>
    </row>
    <row r="92" spans="1:21" s="685" customFormat="1" ht="38.25">
      <c r="A92" s="430">
        <v>94</v>
      </c>
      <c r="B92" s="590"/>
      <c r="C92" s="431" t="str">
        <f t="shared" si="59"/>
        <v>4.1</v>
      </c>
      <c r="D92" s="587">
        <f t="shared" si="60"/>
        <v>2</v>
      </c>
      <c r="E92" s="572" t="str">
        <f t="shared" si="61"/>
        <v>4.1.2</v>
      </c>
      <c r="F92" s="579" t="s">
        <v>2238</v>
      </c>
      <c r="G92" s="581">
        <v>92419</v>
      </c>
      <c r="H92" s="750" t="str">
        <f>IF($G92="","",IFERROR(VLOOKUP($G92,SERVIÇOS!$C:$G,2,0),IFERROR(VLOOKUP($G92,CPU!$F:$M,2,0),"")))</f>
        <v>MONTAGEM E DESMONTAGEM DE FÔRMA DE PILARES RETANGULARES E ESTRUTURAS SIMILARES, PÉ-DIREITO SIMPLES, EM CHAPA DE MADEIRA COMPENSADA RESINADA, 4 UTILIZAÇÕES. AF_09/2020</v>
      </c>
      <c r="I92" s="578" t="str">
        <f>IF($G92="","",IFERROR(VLOOKUP($G92,SERVIÇOS!$C:$G,3,0),IFERROR(VLOOKUP($G92,CPU!$F:$M,3,0),"")))</f>
        <v>M2</v>
      </c>
      <c r="J92" s="576">
        <v>84.65</v>
      </c>
      <c r="K92" s="576">
        <f>IF($G92="","",IFERROR(VLOOKUP($G92,SERVIÇOS!$C:$H,6,0),IFERROR(VLOOKUP($G92,CPU!$F:$M,8,0),"")))</f>
        <v>85.05</v>
      </c>
      <c r="L92" s="577">
        <f>IF(J92&lt;&gt;"",$N$1,"")</f>
        <v>0.2354</v>
      </c>
      <c r="M92" s="576">
        <f>IF(J92&lt;&gt;0,(ROUND(K92*(L92+1),2)),0)</f>
        <v>105.07</v>
      </c>
      <c r="N92" s="576">
        <f>IF(J92="","",ROUND((J92*M92),2))</f>
        <v>8894.18</v>
      </c>
      <c r="O92" s="431"/>
      <c r="P92" s="430"/>
      <c r="Q92" s="589">
        <f>N92</f>
        <v>8894.18</v>
      </c>
      <c r="R92" s="430"/>
      <c r="S92" s="433"/>
      <c r="T92" s="430"/>
      <c r="U92" s="430"/>
    </row>
    <row r="93" spans="1:21">
      <c r="A93" s="430">
        <v>93</v>
      </c>
      <c r="B93" s="590"/>
      <c r="C93" s="431" t="str">
        <f t="shared" si="59"/>
        <v>4.1</v>
      </c>
      <c r="D93" s="587">
        <f t="shared" si="60"/>
        <v>3</v>
      </c>
      <c r="E93" s="572" t="str">
        <f>C93&amp;"."&amp;D93</f>
        <v>4.1.3</v>
      </c>
      <c r="F93" s="579"/>
      <c r="G93" s="581"/>
      <c r="H93" s="751" t="s">
        <v>7640</v>
      </c>
      <c r="I93" s="578"/>
      <c r="J93" s="576"/>
      <c r="K93" s="576"/>
      <c r="L93" s="577"/>
      <c r="M93" s="576"/>
      <c r="N93" s="576"/>
      <c r="Q93" s="589"/>
      <c r="S93" s="433"/>
    </row>
    <row r="94" spans="1:21" s="685" customFormat="1" ht="25.5">
      <c r="A94" s="430">
        <v>94</v>
      </c>
      <c r="B94" s="590"/>
      <c r="C94" s="431" t="str">
        <f t="shared" si="59"/>
        <v>4.1</v>
      </c>
      <c r="D94" s="587">
        <f t="shared" si="60"/>
        <v>4</v>
      </c>
      <c r="E94" s="572" t="str">
        <f>C94&amp;"."&amp;D94</f>
        <v>4.1.4</v>
      </c>
      <c r="F94" s="579" t="s">
        <v>2238</v>
      </c>
      <c r="G94" s="581">
        <v>92452</v>
      </c>
      <c r="H94" s="750" t="str">
        <f>IF($G94="","",IFERROR(VLOOKUP($G94,SERVIÇOS!$C:$G,2,0),IFERROR(VLOOKUP($G94,CPU!$F:$M,2,0),"")))</f>
        <v>MONTAGEM E DESMONTAGEM DE FÔRMA DE VIGA, ESCORAMENTO METÁLICO, PÉ-DIREITO SIMPLES, EM CHAPA DE MADEIRA RESINADA, 2 UTILIZAÇÕES. AF_09/2020</v>
      </c>
      <c r="I94" s="578" t="str">
        <f>IF($G94="","",IFERROR(VLOOKUP($G94,SERVIÇOS!$C:$G,3,0),IFERROR(VLOOKUP($G94,CPU!$F:$M,3,0),"")))</f>
        <v>M2</v>
      </c>
      <c r="J94" s="576">
        <v>31.39</v>
      </c>
      <c r="K94" s="576">
        <f>IF($G94="","",IFERROR(VLOOKUP($G94,SERVIÇOS!$C:$H,6,0),IFERROR(VLOOKUP($G94,CPU!$F:$M,8,0),"")))</f>
        <v>163.72999999999999</v>
      </c>
      <c r="L94" s="577">
        <f>IF(J94&lt;&gt;"",$N$1,"")</f>
        <v>0.2354</v>
      </c>
      <c r="M94" s="576">
        <f>IF(J94&lt;&gt;0,(ROUND(K94*(L94+1),2)),0)</f>
        <v>202.27</v>
      </c>
      <c r="N94" s="576">
        <f>IF(J94="","",ROUND((J94*M94),2))</f>
        <v>6349.26</v>
      </c>
      <c r="O94" s="431"/>
      <c r="P94" s="430"/>
      <c r="Q94" s="589">
        <f>N94</f>
        <v>6349.26</v>
      </c>
      <c r="R94" s="430"/>
      <c r="S94" s="433"/>
      <c r="T94" s="430"/>
      <c r="U94" s="430"/>
    </row>
    <row r="95" spans="1:21">
      <c r="A95" s="430">
        <v>95</v>
      </c>
      <c r="B95" s="590"/>
      <c r="C95" s="431" t="str">
        <f>+C92</f>
        <v>4.1</v>
      </c>
      <c r="D95" s="587">
        <f t="shared" si="60"/>
        <v>5</v>
      </c>
      <c r="E95" s="572" t="str">
        <f t="shared" si="61"/>
        <v>4.1.5</v>
      </c>
      <c r="F95" s="579"/>
      <c r="G95" s="581"/>
      <c r="H95" s="751" t="s">
        <v>6776</v>
      </c>
      <c r="I95" s="578"/>
      <c r="J95" s="576"/>
      <c r="K95" s="576"/>
      <c r="L95" s="577"/>
      <c r="M95" s="576"/>
      <c r="N95" s="576"/>
      <c r="Q95" s="589"/>
      <c r="S95" s="433"/>
    </row>
    <row r="96" spans="1:21" ht="25.5">
      <c r="A96" s="430">
        <v>96</v>
      </c>
      <c r="B96" s="590"/>
      <c r="C96" s="431" t="str">
        <f t="shared" si="59"/>
        <v>4.1</v>
      </c>
      <c r="D96" s="587">
        <f t="shared" si="60"/>
        <v>6</v>
      </c>
      <c r="E96" s="572" t="str">
        <f t="shared" si="61"/>
        <v>4.1.6</v>
      </c>
      <c r="F96" s="579" t="s">
        <v>2238</v>
      </c>
      <c r="G96" s="580">
        <v>92514</v>
      </c>
      <c r="H96" s="750" t="str">
        <f>IF($G96="","",IFERROR(VLOOKUP($G96,SERVIÇOS!$C:$G,2,0),IFERROR(VLOOKUP($G96,CPU!$F:$M,2,0),"")))</f>
        <v>MONTAGEM E DESMONTAGEM DE FÔRMA DE LAJE MACIÇA, PÉ-DIREITO SIMPLES, EM CHAPA DE MADEIRA COMPENSADA RESINADA, 4 UTILIZAÇÕES. AF_09/2020</v>
      </c>
      <c r="I96" s="578" t="str">
        <f>IF($G96="","",IFERROR(VLOOKUP($G96,SERVIÇOS!$C:$G,3,0),IFERROR(VLOOKUP($G96,CPU!$F:$M,3,0),"")))</f>
        <v>M2</v>
      </c>
      <c r="J96" s="576">
        <v>2.66</v>
      </c>
      <c r="K96" s="576">
        <f>IF($G96="","",IFERROR(VLOOKUP($G96,SERVIÇOS!$C:$H,6,0),IFERROR(VLOOKUP($G96,CPU!$F:$M,8,0),"")))</f>
        <v>53</v>
      </c>
      <c r="L96" s="577">
        <f>IF(J96&lt;&gt;"",$N$1,"")</f>
        <v>0.2354</v>
      </c>
      <c r="M96" s="576">
        <f>IF(J96&lt;&gt;0,(ROUND(K96*(L96+1),2)),0)</f>
        <v>65.48</v>
      </c>
      <c r="N96" s="576">
        <f>IF(J96="","",ROUND((J96*M96),2))</f>
        <v>174.18</v>
      </c>
      <c r="Q96" s="589">
        <f>N96</f>
        <v>174.18</v>
      </c>
      <c r="S96" s="433"/>
    </row>
    <row r="97" spans="1:21">
      <c r="A97" s="430">
        <v>95</v>
      </c>
      <c r="B97" s="590"/>
      <c r="C97" s="431" t="str">
        <f>+C94</f>
        <v>4.1</v>
      </c>
      <c r="D97" s="587">
        <f t="shared" si="60"/>
        <v>7</v>
      </c>
      <c r="E97" s="572" t="str">
        <f t="shared" ref="E97:E98" si="62">C97&amp;"."&amp;D97</f>
        <v>4.1.7</v>
      </c>
      <c r="F97" s="579"/>
      <c r="G97" s="581"/>
      <c r="H97" s="751" t="s">
        <v>8459</v>
      </c>
      <c r="I97" s="578"/>
      <c r="J97" s="576"/>
      <c r="K97" s="576"/>
      <c r="L97" s="577"/>
      <c r="M97" s="576"/>
      <c r="N97" s="576"/>
      <c r="Q97" s="589"/>
      <c r="S97" s="433"/>
    </row>
    <row r="98" spans="1:21" ht="25.5">
      <c r="A98" s="430">
        <v>96</v>
      </c>
      <c r="B98" s="590"/>
      <c r="C98" s="431" t="str">
        <f t="shared" si="59"/>
        <v>4.1</v>
      </c>
      <c r="D98" s="587">
        <f t="shared" si="60"/>
        <v>8</v>
      </c>
      <c r="E98" s="572" t="str">
        <f t="shared" si="62"/>
        <v>4.1.8</v>
      </c>
      <c r="F98" s="579" t="s">
        <v>2238</v>
      </c>
      <c r="G98" s="580">
        <v>101989</v>
      </c>
      <c r="H98" s="750" t="str">
        <f>IF($G98="","",IFERROR(VLOOKUP($G98,SERVIÇOS!$C:$G,2,0),IFERROR(VLOOKUP($G98,CPU!$F:$M,2,0),"")))</f>
        <v>FABRICAÇÃO DE FÔRMA PARA ESCADAS, COM 2 LANCES EM "L" E LAJE PLANA, EM CHAPA DE MADEIRA COMPENSADA RESINADA, E= 17 MM. AF_11/2020</v>
      </c>
      <c r="I98" s="578" t="str">
        <f>IF($G98="","",IFERROR(VLOOKUP($G98,SERVIÇOS!$C:$G,3,0),IFERROR(VLOOKUP($G98,CPU!$F:$M,3,0),"")))</f>
        <v>M2</v>
      </c>
      <c r="J98" s="576">
        <v>43.58</v>
      </c>
      <c r="K98" s="576">
        <f>IF($G98="","",IFERROR(VLOOKUP($G98,SERVIÇOS!$C:$H,6,0),IFERROR(VLOOKUP($G98,CPU!$F:$M,8,0),"")))</f>
        <v>146.97</v>
      </c>
      <c r="L98" s="577">
        <f>IF(J98&lt;&gt;"",$N$1,"")</f>
        <v>0.2354</v>
      </c>
      <c r="M98" s="576">
        <f>IF(J98&lt;&gt;0,(ROUND(K98*(L98+1),2)),0)</f>
        <v>181.57</v>
      </c>
      <c r="N98" s="576">
        <f>IF(J98="","",ROUND((J98*M98),2))</f>
        <v>7912.82</v>
      </c>
      <c r="Q98" s="589">
        <f>N98</f>
        <v>7912.82</v>
      </c>
      <c r="S98" s="433"/>
    </row>
    <row r="99" spans="1:21">
      <c r="A99" s="430">
        <v>97</v>
      </c>
      <c r="B99" s="590"/>
      <c r="C99" s="431" t="str">
        <f>+E99</f>
        <v>4.2</v>
      </c>
      <c r="D99" s="587"/>
      <c r="E99" s="568" t="s">
        <v>6912</v>
      </c>
      <c r="F99" s="569"/>
      <c r="G99" s="569"/>
      <c r="H99" s="749" t="s">
        <v>6771</v>
      </c>
      <c r="I99" s="570"/>
      <c r="J99" s="571"/>
      <c r="K99" s="571"/>
      <c r="L99" s="571"/>
      <c r="M99" s="571"/>
      <c r="N99" s="571"/>
      <c r="Q99" s="589"/>
      <c r="S99" s="433"/>
    </row>
    <row r="100" spans="1:21" s="685" customFormat="1">
      <c r="A100" s="430">
        <v>98</v>
      </c>
      <c r="B100" s="590"/>
      <c r="C100" s="431" t="str">
        <f t="shared" ref="C100:C112" si="63">+C99</f>
        <v>4.2</v>
      </c>
      <c r="D100" s="587">
        <f t="shared" ref="D100:D112" si="64">1+D99</f>
        <v>1</v>
      </c>
      <c r="E100" s="572" t="str">
        <f t="shared" ref="E100:E108" si="65">C100&amp;"."&amp;D100</f>
        <v>4.2.1</v>
      </c>
      <c r="F100" s="579"/>
      <c r="G100" s="581"/>
      <c r="H100" s="751" t="s">
        <v>6775</v>
      </c>
      <c r="I100" s="578"/>
      <c r="J100" s="576"/>
      <c r="K100" s="576"/>
      <c r="L100" s="577"/>
      <c r="M100" s="576"/>
      <c r="N100" s="576"/>
      <c r="O100" s="431"/>
      <c r="P100" s="430"/>
      <c r="Q100" s="589"/>
      <c r="R100" s="430"/>
      <c r="S100" s="433"/>
      <c r="T100" s="430"/>
      <c r="U100" s="430"/>
    </row>
    <row r="101" spans="1:21" ht="25.5">
      <c r="A101" s="430">
        <v>99</v>
      </c>
      <c r="B101" s="590"/>
      <c r="C101" s="431" t="str">
        <f t="shared" si="63"/>
        <v>4.2</v>
      </c>
      <c r="D101" s="587">
        <f t="shared" si="64"/>
        <v>2</v>
      </c>
      <c r="E101" s="572" t="str">
        <f t="shared" si="65"/>
        <v>4.2.2</v>
      </c>
      <c r="F101" s="579" t="s">
        <v>2238</v>
      </c>
      <c r="G101" s="581">
        <v>92759</v>
      </c>
      <c r="H101" s="750" t="str">
        <f>IF($G101="","",IFERROR(VLOOKUP($G101,SERVIÇOS!$C:$G,2,0),IFERROR(VLOOKUP($G101,CPU!$F:$M,2,0),"")))</f>
        <v>ARMAÇÃO DE PILAR OU VIGA DE ESTRUTURA CONVENCIONAL DE CONCRETO ARMADO UTILIZANDO AÇO CA-60 DE 5,0 MM - MONTAGEM. AF_06/2022</v>
      </c>
      <c r="I101" s="578" t="str">
        <f>IF($G101="","",IFERROR(VLOOKUP($G101,SERVIÇOS!$C:$G,3,0),IFERROR(VLOOKUP($G101,CPU!$F:$M,3,0),"")))</f>
        <v>KG</v>
      </c>
      <c r="J101" s="576">
        <v>40.39</v>
      </c>
      <c r="K101" s="576">
        <f>IF($G101="","",IFERROR(VLOOKUP($G101,SERVIÇOS!$C:$H,6,0),IFERROR(VLOOKUP($G101,CPU!$F:$M,8,0),"")))</f>
        <v>16.23</v>
      </c>
      <c r="L101" s="577">
        <f t="shared" ref="L101:L106" si="66">IF(J101&lt;&gt;"",$N$1,"")</f>
        <v>0.2354</v>
      </c>
      <c r="M101" s="576">
        <f t="shared" ref="M101:M106" si="67">IF(J101&lt;&gt;0,(ROUND(K101*(L101+1),2)),0)</f>
        <v>20.05</v>
      </c>
      <c r="N101" s="576">
        <f t="shared" ref="N101:N106" si="68">IF(J101="","",ROUND((J101*M101),2))</f>
        <v>809.82</v>
      </c>
      <c r="Q101" s="589">
        <f t="shared" ref="Q101:Q106" si="69">N101</f>
        <v>809.82</v>
      </c>
      <c r="S101" s="433"/>
    </row>
    <row r="102" spans="1:21" s="685" customFormat="1" ht="25.5">
      <c r="A102" s="430">
        <v>100</v>
      </c>
      <c r="B102" s="590"/>
      <c r="C102" s="431" t="str">
        <f t="shared" si="63"/>
        <v>4.2</v>
      </c>
      <c r="D102" s="587">
        <f t="shared" si="64"/>
        <v>3</v>
      </c>
      <c r="E102" s="572" t="str">
        <f t="shared" si="65"/>
        <v>4.2.3</v>
      </c>
      <c r="F102" s="579" t="s">
        <v>2238</v>
      </c>
      <c r="G102" s="581">
        <v>92760</v>
      </c>
      <c r="H102" s="750" t="str">
        <f>IF($G102="","",IFERROR(VLOOKUP($G102,SERVIÇOS!$C:$G,2,0),IFERROR(VLOOKUP($G102,CPU!$F:$M,2,0),"")))</f>
        <v>ARMAÇÃO DE PILAR OU VIGA DE ESTRUTURA CONVENCIONAL DE CONCRETO ARMADO UTILIZANDO AÇO CA-50 DE 6,3 MM - MONTAGEM. AF_06/2022</v>
      </c>
      <c r="I102" s="578" t="str">
        <f>IF($G102="","",IFERROR(VLOOKUP($G102,SERVIÇOS!$C:$G,3,0),IFERROR(VLOOKUP($G102,CPU!$F:$M,3,0),"")))</f>
        <v>KG</v>
      </c>
      <c r="J102" s="576">
        <v>181.07</v>
      </c>
      <c r="K102" s="576">
        <f>IF($G102="","",IFERROR(VLOOKUP($G102,SERVIÇOS!$C:$H,6,0),IFERROR(VLOOKUP($G102,CPU!$F:$M,8,0),"")))</f>
        <v>15.4</v>
      </c>
      <c r="L102" s="577">
        <f t="shared" si="66"/>
        <v>0.2354</v>
      </c>
      <c r="M102" s="576">
        <f t="shared" si="67"/>
        <v>19.03</v>
      </c>
      <c r="N102" s="576">
        <f t="shared" si="68"/>
        <v>3445.76</v>
      </c>
      <c r="O102" s="431"/>
      <c r="P102" s="430"/>
      <c r="Q102" s="589">
        <f t="shared" si="69"/>
        <v>3445.76</v>
      </c>
      <c r="R102" s="430"/>
      <c r="S102" s="433"/>
      <c r="T102" s="430"/>
      <c r="U102" s="430"/>
    </row>
    <row r="103" spans="1:21" ht="25.5">
      <c r="A103" s="430">
        <v>101</v>
      </c>
      <c r="B103" s="590"/>
      <c r="C103" s="431" t="str">
        <f t="shared" si="63"/>
        <v>4.2</v>
      </c>
      <c r="D103" s="587">
        <f t="shared" si="64"/>
        <v>4</v>
      </c>
      <c r="E103" s="572" t="str">
        <f t="shared" si="65"/>
        <v>4.2.4</v>
      </c>
      <c r="F103" s="579" t="s">
        <v>2238</v>
      </c>
      <c r="G103" s="581">
        <v>92761</v>
      </c>
      <c r="H103" s="750" t="str">
        <f>IF($G103="","",IFERROR(VLOOKUP($G103,SERVIÇOS!$C:$G,2,0),IFERROR(VLOOKUP($G103,CPU!$F:$M,2,0),"")))</f>
        <v>ARMAÇÃO DE PILAR OU VIGA DE ESTRUTURA CONVENCIONAL DE CONCRETO ARMADO UTILIZANDO AÇO CA-50 DE 8,0 MM - MONTAGEM. AF_06/2022</v>
      </c>
      <c r="I103" s="578" t="str">
        <f>IF($G103="","",IFERROR(VLOOKUP($G103,SERVIÇOS!$C:$G,3,0),IFERROR(VLOOKUP($G103,CPU!$F:$M,3,0),"")))</f>
        <v>KG</v>
      </c>
      <c r="J103" s="576">
        <v>54.39</v>
      </c>
      <c r="K103" s="576">
        <f>IF($G103="","",IFERROR(VLOOKUP($G103,SERVIÇOS!$C:$H,6,0),IFERROR(VLOOKUP($G103,CPU!$F:$M,8,0),"")))</f>
        <v>14.5</v>
      </c>
      <c r="L103" s="577">
        <f t="shared" si="66"/>
        <v>0.2354</v>
      </c>
      <c r="M103" s="576">
        <f t="shared" si="67"/>
        <v>17.91</v>
      </c>
      <c r="N103" s="576">
        <f t="shared" si="68"/>
        <v>974.12</v>
      </c>
      <c r="Q103" s="589">
        <f t="shared" si="69"/>
        <v>974.12</v>
      </c>
      <c r="S103" s="433"/>
    </row>
    <row r="104" spans="1:21" ht="25.5">
      <c r="A104" s="430">
        <v>102</v>
      </c>
      <c r="B104" s="590"/>
      <c r="C104" s="431" t="str">
        <f t="shared" si="63"/>
        <v>4.2</v>
      </c>
      <c r="D104" s="587">
        <f t="shared" si="64"/>
        <v>5</v>
      </c>
      <c r="E104" s="572" t="str">
        <f t="shared" si="65"/>
        <v>4.2.5</v>
      </c>
      <c r="F104" s="579" t="s">
        <v>2238</v>
      </c>
      <c r="G104" s="581">
        <v>92762</v>
      </c>
      <c r="H104" s="750" t="str">
        <f>IF($G104="","",IFERROR(VLOOKUP($G104,SERVIÇOS!$C:$G,2,0),IFERROR(VLOOKUP($G104,CPU!$F:$M,2,0),"")))</f>
        <v>ARMAÇÃO DE PILAR OU VIGA DE ESTRUTURA CONVENCIONAL DE CONCRETO ARMADO UTILIZANDO AÇO CA-50 DE 10,0 MM - MONTAGEM. AF_06/2022</v>
      </c>
      <c r="I104" s="578" t="str">
        <f>IF($G104="","",IFERROR(VLOOKUP($G104,SERVIÇOS!$C:$G,3,0),IFERROR(VLOOKUP($G104,CPU!$F:$M,3,0),"")))</f>
        <v>KG</v>
      </c>
      <c r="J104" s="576">
        <v>168.61</v>
      </c>
      <c r="K104" s="576">
        <f>IF($G104="","",IFERROR(VLOOKUP($G104,SERVIÇOS!$C:$H,6,0),IFERROR(VLOOKUP($G104,CPU!$F:$M,8,0),"")))</f>
        <v>12.99</v>
      </c>
      <c r="L104" s="577">
        <f t="shared" si="66"/>
        <v>0.2354</v>
      </c>
      <c r="M104" s="576">
        <f t="shared" si="67"/>
        <v>16.05</v>
      </c>
      <c r="N104" s="576">
        <f t="shared" si="68"/>
        <v>2706.19</v>
      </c>
      <c r="Q104" s="589">
        <f t="shared" si="69"/>
        <v>2706.19</v>
      </c>
      <c r="S104" s="433"/>
    </row>
    <row r="105" spans="1:21" ht="25.5">
      <c r="A105" s="430">
        <v>103</v>
      </c>
      <c r="B105" s="590"/>
      <c r="C105" s="431" t="str">
        <f t="shared" si="63"/>
        <v>4.2</v>
      </c>
      <c r="D105" s="587">
        <f t="shared" si="64"/>
        <v>6</v>
      </c>
      <c r="E105" s="572" t="str">
        <f t="shared" si="65"/>
        <v>4.2.6</v>
      </c>
      <c r="F105" s="579" t="s">
        <v>2238</v>
      </c>
      <c r="G105" s="581">
        <v>92763</v>
      </c>
      <c r="H105" s="750" t="str">
        <f>IF($G105="","",IFERROR(VLOOKUP($G105,SERVIÇOS!$C:$G,2,0),IFERROR(VLOOKUP($G105,CPU!$F:$M,2,0),"")))</f>
        <v>ARMAÇÃO DE PILAR OU VIGA DE ESTRUTURA CONVENCIONAL DE CONCRETO ARMADO UTILIZANDO AÇO CA-50 DE 12,5 MM - MONTAGEM. AF_06/2022</v>
      </c>
      <c r="I105" s="578" t="str">
        <f>IF($G105="","",IFERROR(VLOOKUP($G105,SERVIÇOS!$C:$G,3,0),IFERROR(VLOOKUP($G105,CPU!$F:$M,3,0),"")))</f>
        <v>KG</v>
      </c>
      <c r="J105" s="576">
        <v>355.83</v>
      </c>
      <c r="K105" s="576">
        <f>IF($G105="","",IFERROR(VLOOKUP($G105,SERVIÇOS!$C:$H,6,0),IFERROR(VLOOKUP($G105,CPU!$F:$M,8,0),"")))</f>
        <v>10.92</v>
      </c>
      <c r="L105" s="577">
        <f t="shared" si="66"/>
        <v>0.2354</v>
      </c>
      <c r="M105" s="576">
        <f t="shared" si="67"/>
        <v>13.49</v>
      </c>
      <c r="N105" s="576">
        <f t="shared" si="68"/>
        <v>4800.1499999999996</v>
      </c>
      <c r="Q105" s="589">
        <f t="shared" si="69"/>
        <v>4800.1499999999996</v>
      </c>
      <c r="S105" s="433"/>
    </row>
    <row r="106" spans="1:21" ht="25.5">
      <c r="A106" s="430">
        <v>104</v>
      </c>
      <c r="B106" s="590"/>
      <c r="C106" s="431" t="str">
        <f t="shared" si="63"/>
        <v>4.2</v>
      </c>
      <c r="D106" s="587">
        <f t="shared" si="64"/>
        <v>7</v>
      </c>
      <c r="E106" s="572" t="str">
        <f t="shared" si="65"/>
        <v>4.2.7</v>
      </c>
      <c r="F106" s="579" t="s">
        <v>2238</v>
      </c>
      <c r="G106" s="581">
        <v>92764</v>
      </c>
      <c r="H106" s="750" t="str">
        <f>IF($G106="","",IFERROR(VLOOKUP($G106,SERVIÇOS!$C:$G,2,0),IFERROR(VLOOKUP($G106,CPU!$F:$M,2,0),"")))</f>
        <v>ARMAÇÃO DE PILAR OU VIGA DE ESTRUTURA CONVENCIONAL DE CONCRETO ARMADO UTILIZANDO AÇO CA-50 DE 16,0 MM - MONTAGEM. AF_06/2022</v>
      </c>
      <c r="I106" s="578" t="str">
        <f>IF($G106="","",IFERROR(VLOOKUP($G106,SERVIÇOS!$C:$G,3,0),IFERROR(VLOOKUP($G106,CPU!$F:$M,3,0),"")))</f>
        <v>KG</v>
      </c>
      <c r="J106" s="576">
        <v>308.66000000000003</v>
      </c>
      <c r="K106" s="576">
        <f>IF($G106="","",IFERROR(VLOOKUP($G106,SERVIÇOS!$C:$H,6,0),IFERROR(VLOOKUP($G106,CPU!$F:$M,8,0),"")))</f>
        <v>10.6</v>
      </c>
      <c r="L106" s="577">
        <f t="shared" si="66"/>
        <v>0.2354</v>
      </c>
      <c r="M106" s="576">
        <f t="shared" si="67"/>
        <v>13.1</v>
      </c>
      <c r="N106" s="576">
        <f t="shared" si="68"/>
        <v>4043.45</v>
      </c>
      <c r="Q106" s="589">
        <f t="shared" si="69"/>
        <v>4043.45</v>
      </c>
      <c r="S106" s="433"/>
    </row>
    <row r="107" spans="1:21">
      <c r="A107" s="430">
        <v>105</v>
      </c>
      <c r="B107" s="590"/>
      <c r="C107" s="431" t="str">
        <f t="shared" si="63"/>
        <v>4.2</v>
      </c>
      <c r="D107" s="587">
        <f t="shared" si="64"/>
        <v>8</v>
      </c>
      <c r="E107" s="572" t="str">
        <f t="shared" si="65"/>
        <v>4.2.8</v>
      </c>
      <c r="F107" s="579"/>
      <c r="G107" s="581"/>
      <c r="H107" s="751" t="s">
        <v>6776</v>
      </c>
      <c r="I107" s="578"/>
      <c r="J107" s="576"/>
      <c r="K107" s="576"/>
      <c r="L107" s="577"/>
      <c r="M107" s="576"/>
      <c r="N107" s="576"/>
      <c r="Q107" s="589"/>
      <c r="S107" s="433"/>
    </row>
    <row r="108" spans="1:21" ht="25.5">
      <c r="A108" s="430">
        <v>107</v>
      </c>
      <c r="B108" s="590"/>
      <c r="C108" s="431" t="str">
        <f t="shared" si="63"/>
        <v>4.2</v>
      </c>
      <c r="D108" s="587">
        <f t="shared" si="64"/>
        <v>9</v>
      </c>
      <c r="E108" s="572" t="str">
        <f t="shared" si="65"/>
        <v>4.2.9</v>
      </c>
      <c r="F108" s="579" t="s">
        <v>2238</v>
      </c>
      <c r="G108" s="581">
        <v>92769</v>
      </c>
      <c r="H108" s="750" t="str">
        <f>IF($G108="","",IFERROR(VLOOKUP($G108,SERVIÇOS!$C:$G,2,0),IFERROR(VLOOKUP($G108,CPU!$F:$M,2,0),"")))</f>
        <v>ARMAÇÃO DE LAJE DE ESTRUTURA CONVENCIONAL DE CONCRETO ARMADO UTILIZANDO AÇO CA-50 DE 6,3 MM - MONTAGEM. AF_06/2022</v>
      </c>
      <c r="I108" s="578" t="str">
        <f>IF($G108="","",IFERROR(VLOOKUP($G108,SERVIÇOS!$C:$G,3,0),IFERROR(VLOOKUP($G108,CPU!$F:$M,3,0),"")))</f>
        <v>KG</v>
      </c>
      <c r="J108" s="576">
        <v>10.97</v>
      </c>
      <c r="K108" s="576">
        <f>IF($G108="","",IFERROR(VLOOKUP($G108,SERVIÇOS!$C:$H,6,0),IFERROR(VLOOKUP($G108,CPU!$F:$M,8,0),"")))</f>
        <v>14.8</v>
      </c>
      <c r="L108" s="577">
        <f>IF(J108&lt;&gt;"",$N$1,"")</f>
        <v>0.2354</v>
      </c>
      <c r="M108" s="576">
        <f>IF(J108&lt;&gt;0,(ROUND(K108*(L108+1),2)),0)</f>
        <v>18.28</v>
      </c>
      <c r="N108" s="576">
        <f>IF(J108="","",ROUND((J108*M108),2))</f>
        <v>200.53</v>
      </c>
      <c r="Q108" s="589">
        <f>N108</f>
        <v>200.53</v>
      </c>
      <c r="S108" s="433"/>
    </row>
    <row r="109" spans="1:21">
      <c r="A109" s="430">
        <v>111</v>
      </c>
      <c r="B109" s="590"/>
      <c r="C109" s="431" t="str">
        <f t="shared" si="63"/>
        <v>4.2</v>
      </c>
      <c r="D109" s="587">
        <f t="shared" si="64"/>
        <v>10</v>
      </c>
      <c r="E109" s="572" t="str">
        <f>C109&amp;"."&amp;D109</f>
        <v>4.2.10</v>
      </c>
      <c r="F109" s="579"/>
      <c r="G109" s="581"/>
      <c r="H109" s="751" t="s">
        <v>8460</v>
      </c>
      <c r="I109" s="578"/>
      <c r="J109" s="576"/>
      <c r="K109" s="576"/>
      <c r="L109" s="577"/>
      <c r="M109" s="576"/>
      <c r="N109" s="576"/>
      <c r="Q109" s="589"/>
      <c r="S109" s="433"/>
    </row>
    <row r="110" spans="1:21" ht="25.5">
      <c r="A110" s="430">
        <v>113</v>
      </c>
      <c r="B110" s="590"/>
      <c r="C110" s="431" t="str">
        <f t="shared" si="63"/>
        <v>4.2</v>
      </c>
      <c r="D110" s="587">
        <f t="shared" si="64"/>
        <v>11</v>
      </c>
      <c r="E110" s="572" t="str">
        <f t="shared" ref="E110:E112" si="70">C110&amp;"."&amp;D110</f>
        <v>4.2.11</v>
      </c>
      <c r="F110" s="579" t="s">
        <v>2238</v>
      </c>
      <c r="G110" s="581">
        <v>95944</v>
      </c>
      <c r="H110" s="750" t="str">
        <f>IF($G110="","",IFERROR(VLOOKUP($G110,SERVIÇOS!$C:$G,2,0),IFERROR(VLOOKUP($G110,CPU!$F:$M,2,0),"")))</f>
        <v>ARMAÇÃO DE ESCADA, DE UMA ESTRUTURA CONVENCIONAL DE CONCRETO ARMADO UTILIZANDO AÇO CA-50 DE 6,3 MM - MONTAGEM. AF_11/2020</v>
      </c>
      <c r="I110" s="578" t="str">
        <f>IF($G110="","",IFERROR(VLOOKUP($G110,SERVIÇOS!$C:$G,3,0),IFERROR(VLOOKUP($G110,CPU!$F:$M,3,0),"")))</f>
        <v>KG</v>
      </c>
      <c r="J110" s="576">
        <v>96.710000000000008</v>
      </c>
      <c r="K110" s="576">
        <f>IF($G110="","",IFERROR(VLOOKUP($G110,SERVIÇOS!$C:$H,6,0),IFERROR(VLOOKUP($G110,CPU!$F:$M,8,0),"")))</f>
        <v>22.89</v>
      </c>
      <c r="L110" s="577">
        <f t="shared" ref="L110:L112" si="71">IF(J110&lt;&gt;"",$N$1,"")</f>
        <v>0.2354</v>
      </c>
      <c r="M110" s="576">
        <f t="shared" ref="M110:M112" si="72">IF(J110&lt;&gt;0,(ROUND(K110*(L110+1),2)),0)</f>
        <v>28.28</v>
      </c>
      <c r="N110" s="576">
        <f t="shared" ref="N110:N112" si="73">IF(J110="","",ROUND((J110*M110),2))</f>
        <v>2734.96</v>
      </c>
      <c r="Q110" s="589">
        <f t="shared" ref="Q110:Q112" si="74">N110</f>
        <v>2734.96</v>
      </c>
      <c r="S110" s="433"/>
    </row>
    <row r="111" spans="1:21" ht="25.5">
      <c r="B111" s="590"/>
      <c r="C111" s="431" t="str">
        <f t="shared" si="63"/>
        <v>4.2</v>
      </c>
      <c r="D111" s="587">
        <f t="shared" si="64"/>
        <v>12</v>
      </c>
      <c r="E111" s="572" t="str">
        <f t="shared" si="70"/>
        <v>4.2.12</v>
      </c>
      <c r="F111" s="579" t="s">
        <v>2238</v>
      </c>
      <c r="G111" s="581">
        <v>95945</v>
      </c>
      <c r="H111" s="750" t="str">
        <f>IF($G111="","",IFERROR(VLOOKUP($G111,SERVIÇOS!$C:$G,2,0),IFERROR(VLOOKUP($G111,CPU!$F:$M,2,0),"")))</f>
        <v>ARMAÇÃO DE ESCADA, DE UMA ESTRUTURA CONVENCIONAL DE CONCRETO ARMADO UTILIZANDO AÇO CA-50 DE 8,0 MM - MONTAGEM. AF_11/2020</v>
      </c>
      <c r="I111" s="578" t="str">
        <f>IF($G111="","",IFERROR(VLOOKUP($G111,SERVIÇOS!$C:$G,3,0),IFERROR(VLOOKUP($G111,CPU!$F:$M,3,0),"")))</f>
        <v>KG</v>
      </c>
      <c r="J111" s="576">
        <v>165.47</v>
      </c>
      <c r="K111" s="576">
        <f>IF($G111="","",IFERROR(VLOOKUP($G111,SERVIÇOS!$C:$H,6,0),IFERROR(VLOOKUP($G111,CPU!$F:$M,8,0),"")))</f>
        <v>18.59</v>
      </c>
      <c r="L111" s="577">
        <f t="shared" si="71"/>
        <v>0.2354</v>
      </c>
      <c r="M111" s="576">
        <f t="shared" si="72"/>
        <v>22.97</v>
      </c>
      <c r="N111" s="576">
        <f t="shared" si="73"/>
        <v>3800.85</v>
      </c>
      <c r="Q111" s="589">
        <f t="shared" si="74"/>
        <v>3800.85</v>
      </c>
      <c r="S111" s="433"/>
    </row>
    <row r="112" spans="1:21" ht="25.5">
      <c r="B112" s="590"/>
      <c r="C112" s="431" t="str">
        <f t="shared" si="63"/>
        <v>4.2</v>
      </c>
      <c r="D112" s="587">
        <f t="shared" si="64"/>
        <v>13</v>
      </c>
      <c r="E112" s="572" t="str">
        <f t="shared" si="70"/>
        <v>4.2.13</v>
      </c>
      <c r="F112" s="579" t="s">
        <v>2238</v>
      </c>
      <c r="G112" s="581">
        <v>95946</v>
      </c>
      <c r="H112" s="750" t="str">
        <f>IF($G112="","",IFERROR(VLOOKUP($G112,SERVIÇOS!$C:$G,2,0),IFERROR(VLOOKUP($G112,CPU!$F:$M,2,0),"")))</f>
        <v>ARMAÇÃO DE ESCADA, DE UMA ESTRUTURA CONVENCIONAL DE CONCRETO ARMADO UTILIZANDO AÇO CA-50 DE 10,0 MM - MONTAGEM. AF_11/2020</v>
      </c>
      <c r="I112" s="578" t="str">
        <f>IF($G112="","",IFERROR(VLOOKUP($G112,SERVIÇOS!$C:$G,3,0),IFERROR(VLOOKUP($G112,CPU!$F:$M,3,0),"")))</f>
        <v>KG</v>
      </c>
      <c r="J112" s="576">
        <v>237.89</v>
      </c>
      <c r="K112" s="576">
        <f>IF($G112="","",IFERROR(VLOOKUP($G112,SERVIÇOS!$C:$H,6,0),IFERROR(VLOOKUP($G112,CPU!$F:$M,8,0),"")))</f>
        <v>14.86</v>
      </c>
      <c r="L112" s="577">
        <f t="shared" si="71"/>
        <v>0.2354</v>
      </c>
      <c r="M112" s="576">
        <f t="shared" si="72"/>
        <v>18.36</v>
      </c>
      <c r="N112" s="576">
        <f t="shared" si="73"/>
        <v>4367.66</v>
      </c>
      <c r="Q112" s="589">
        <f t="shared" si="74"/>
        <v>4367.66</v>
      </c>
      <c r="S112" s="433"/>
    </row>
    <row r="113" spans="1:21">
      <c r="A113" s="430">
        <v>114</v>
      </c>
      <c r="B113" s="590"/>
      <c r="C113" s="431" t="str">
        <f>+E113</f>
        <v>4.3</v>
      </c>
      <c r="D113" s="587"/>
      <c r="E113" s="568" t="s">
        <v>6913</v>
      </c>
      <c r="F113" s="569"/>
      <c r="G113" s="569"/>
      <c r="H113" s="749" t="s">
        <v>6772</v>
      </c>
      <c r="I113" s="570"/>
      <c r="J113" s="571"/>
      <c r="K113" s="571"/>
      <c r="L113" s="571"/>
      <c r="M113" s="571"/>
      <c r="N113" s="571"/>
      <c r="Q113" s="589"/>
      <c r="S113" s="433"/>
    </row>
    <row r="114" spans="1:21">
      <c r="A114" s="430">
        <v>115</v>
      </c>
      <c r="B114" s="590"/>
      <c r="C114" s="431" t="str">
        <f t="shared" ref="C114:C119" si="75">+C113</f>
        <v>4.3</v>
      </c>
      <c r="D114" s="587">
        <f t="shared" ref="D114:D119" si="76">1+D113</f>
        <v>1</v>
      </c>
      <c r="E114" s="572" t="str">
        <f t="shared" ref="E114:E119" si="77">C114&amp;"."&amp;D114</f>
        <v>4.3.1</v>
      </c>
      <c r="F114" s="579"/>
      <c r="G114" s="581"/>
      <c r="H114" s="751" t="s">
        <v>6773</v>
      </c>
      <c r="I114" s="578"/>
      <c r="J114" s="576"/>
      <c r="K114" s="576"/>
      <c r="L114" s="577"/>
      <c r="M114" s="576"/>
      <c r="N114" s="576"/>
      <c r="Q114" s="589"/>
      <c r="S114" s="433"/>
    </row>
    <row r="115" spans="1:21" ht="25.5">
      <c r="A115" s="430">
        <v>116</v>
      </c>
      <c r="B115" s="590"/>
      <c r="C115" s="431" t="str">
        <f t="shared" si="75"/>
        <v>4.3</v>
      </c>
      <c r="D115" s="587">
        <f t="shared" si="76"/>
        <v>2</v>
      </c>
      <c r="E115" s="572" t="str">
        <f t="shared" si="77"/>
        <v>4.3.2</v>
      </c>
      <c r="F115" s="579" t="s">
        <v>2238</v>
      </c>
      <c r="G115" s="580">
        <v>103669</v>
      </c>
      <c r="H115" s="750" t="str">
        <f>IF($G115="","",IFERROR(VLOOKUP($G115,SERVIÇOS!$C:$G,2,0),IFERROR(VLOOKUP($G115,CPU!$F:$M,2,0),"")))</f>
        <v>CONCRETAGEM DE PILARES, FCK = 25 MPA,  COM USO DE BALDES - LANÇAMENTO, ADENSAMENTO E ACABAMENTO. AF_02/2022</v>
      </c>
      <c r="I115" s="578" t="str">
        <f>IF($G115="","",IFERROR(VLOOKUP($G115,SERVIÇOS!$C:$G,3,0),IFERROR(VLOOKUP($G115,CPU!$F:$M,3,0),"")))</f>
        <v>M3</v>
      </c>
      <c r="J115" s="576">
        <v>5.05</v>
      </c>
      <c r="K115" s="576">
        <f>IF($G115="","",IFERROR(VLOOKUP($G115,SERVIÇOS!$C:$H,6,0),IFERROR(VLOOKUP($G115,CPU!$F:$M,8,0),"")))</f>
        <v>830.65</v>
      </c>
      <c r="L115" s="577">
        <f>IF(J115&lt;&gt;"",$N$1,"")</f>
        <v>0.2354</v>
      </c>
      <c r="M115" s="576">
        <f>IF(J115&lt;&gt;0,(ROUND(K115*(L115+1),2)),0)</f>
        <v>1026.19</v>
      </c>
      <c r="N115" s="576">
        <f>IF(J115="","",ROUND((J115*M115),2))</f>
        <v>5182.26</v>
      </c>
      <c r="Q115" s="589">
        <f>N115</f>
        <v>5182.26</v>
      </c>
      <c r="S115" s="433"/>
    </row>
    <row r="116" spans="1:21">
      <c r="A116" s="430">
        <v>117</v>
      </c>
      <c r="B116" s="590"/>
      <c r="C116" s="431" t="str">
        <f t="shared" si="75"/>
        <v>4.3</v>
      </c>
      <c r="D116" s="587">
        <f t="shared" si="76"/>
        <v>3</v>
      </c>
      <c r="E116" s="572" t="str">
        <f t="shared" si="77"/>
        <v>4.3.3</v>
      </c>
      <c r="F116" s="579"/>
      <c r="G116" s="581"/>
      <c r="H116" s="751" t="s">
        <v>6774</v>
      </c>
      <c r="I116" s="578"/>
      <c r="J116" s="576"/>
      <c r="K116" s="576"/>
      <c r="L116" s="577"/>
      <c r="M116" s="576"/>
      <c r="N116" s="576"/>
      <c r="Q116" s="589"/>
      <c r="S116" s="433"/>
    </row>
    <row r="117" spans="1:21" ht="38.25">
      <c r="A117" s="430">
        <v>118</v>
      </c>
      <c r="B117" s="590"/>
      <c r="C117" s="431" t="str">
        <f t="shared" si="75"/>
        <v>4.3</v>
      </c>
      <c r="D117" s="587">
        <f t="shared" si="76"/>
        <v>4</v>
      </c>
      <c r="E117" s="572" t="str">
        <f t="shared" si="77"/>
        <v>4.3.4</v>
      </c>
      <c r="F117" s="579" t="s">
        <v>2238</v>
      </c>
      <c r="G117" s="581">
        <v>103683</v>
      </c>
      <c r="H117" s="750" t="str">
        <f>IF($G117="","",IFERROR(VLOOKUP($G117,SERVIÇOS!$C:$G,2,0),IFERROR(VLOOKUP($G117,CPU!$F:$M,2,0),"")))</f>
        <v>CONCRETAGEM DE VIGAS E LAJES, FCK=25 MPA, PARA QUALQUER TIPO DE LAJE COM BALDES EM EDIFICAÇÃO DE MULTIPAVIMENTOS ATÉ 04 ANDARES - LANÇAMENTO, ADENSAMENTO E ACABAMENTO. AF_02/2022</v>
      </c>
      <c r="I117" s="578" t="str">
        <f>IF($G117="","",IFERROR(VLOOKUP($G117,SERVIÇOS!$C:$G,3,0),IFERROR(VLOOKUP($G117,CPU!$F:$M,3,0),"")))</f>
        <v>M3</v>
      </c>
      <c r="J117" s="576">
        <v>1.9</v>
      </c>
      <c r="K117" s="576">
        <f>IF($G117="","",IFERROR(VLOOKUP($G117,SERVIÇOS!$C:$H,6,0),IFERROR(VLOOKUP($G117,CPU!$F:$M,8,0),"")))</f>
        <v>1168.3699999999999</v>
      </c>
      <c r="L117" s="577">
        <f>IF(J117&lt;&gt;"",$N$1,"")</f>
        <v>0.2354</v>
      </c>
      <c r="M117" s="576">
        <f>IF(J117&lt;&gt;0,(ROUND(K117*(L117+1),2)),0)</f>
        <v>1443.4</v>
      </c>
      <c r="N117" s="576">
        <f>IF(J117="","",ROUND((J117*M117),2))</f>
        <v>2742.46</v>
      </c>
      <c r="Q117" s="589">
        <f>N117</f>
        <v>2742.46</v>
      </c>
      <c r="S117" s="433"/>
    </row>
    <row r="118" spans="1:21">
      <c r="A118" s="430">
        <v>117</v>
      </c>
      <c r="B118" s="590"/>
      <c r="C118" s="431" t="str">
        <f t="shared" si="75"/>
        <v>4.3</v>
      </c>
      <c r="D118" s="587">
        <f t="shared" si="76"/>
        <v>5</v>
      </c>
      <c r="E118" s="572" t="str">
        <f t="shared" si="77"/>
        <v>4.3.5</v>
      </c>
      <c r="F118" s="579"/>
      <c r="G118" s="581"/>
      <c r="H118" s="751" t="s">
        <v>8460</v>
      </c>
      <c r="I118" s="578"/>
      <c r="J118" s="576"/>
      <c r="K118" s="576"/>
      <c r="L118" s="577"/>
      <c r="M118" s="576"/>
      <c r="N118" s="576"/>
      <c r="Q118" s="589"/>
      <c r="S118" s="433"/>
    </row>
    <row r="119" spans="1:21" ht="25.5">
      <c r="A119" s="430">
        <v>118</v>
      </c>
      <c r="B119" s="590"/>
      <c r="C119" s="431" t="str">
        <f t="shared" si="75"/>
        <v>4.3</v>
      </c>
      <c r="D119" s="587">
        <f t="shared" si="76"/>
        <v>6</v>
      </c>
      <c r="E119" s="572" t="str">
        <f t="shared" si="77"/>
        <v>4.3.6</v>
      </c>
      <c r="F119" s="579" t="s">
        <v>2238</v>
      </c>
      <c r="G119" s="581">
        <v>103686</v>
      </c>
      <c r="H119" s="750" t="str">
        <f>IF($G119="","",IFERROR(VLOOKUP($G119,SERVIÇOS!$C:$G,2,0),IFERROR(VLOOKUP($G119,CPU!$F:$M,2,0),"")))</f>
        <v>CONCRETAGEM DE ESCADAS, FCK=25 MPA, COM USO DE BOMBA - LANÇAMENTO, ADENSAMENTO E ACABAMENTO. AF_02/2022</v>
      </c>
      <c r="I119" s="578" t="str">
        <f>IF($G119="","",IFERROR(VLOOKUP($G119,SERVIÇOS!$C:$G,3,0),IFERROR(VLOOKUP($G119,CPU!$F:$M,3,0),"")))</f>
        <v>M3</v>
      </c>
      <c r="J119" s="576">
        <v>3.55</v>
      </c>
      <c r="K119" s="576">
        <f>IF($G119="","",IFERROR(VLOOKUP($G119,SERVIÇOS!$C:$H,6,0),IFERROR(VLOOKUP($G119,CPU!$F:$M,8,0),"")))</f>
        <v>593.1</v>
      </c>
      <c r="L119" s="577">
        <f>IF(J119&lt;&gt;"",$N$1,"")</f>
        <v>0.2354</v>
      </c>
      <c r="M119" s="576">
        <f>IF(J119&lt;&gt;0,(ROUND(K119*(L119+1),2)),0)</f>
        <v>732.72</v>
      </c>
      <c r="N119" s="576">
        <f>IF(J119="","",ROUND((J119*M119),2))</f>
        <v>2601.16</v>
      </c>
      <c r="Q119" s="589">
        <f>N119</f>
        <v>2601.16</v>
      </c>
      <c r="S119" s="433"/>
    </row>
    <row r="120" spans="1:21">
      <c r="A120" s="430">
        <v>119</v>
      </c>
      <c r="B120" s="590"/>
      <c r="C120" s="431">
        <f>+E120</f>
        <v>5</v>
      </c>
      <c r="D120" s="587"/>
      <c r="E120" s="859">
        <v>5</v>
      </c>
      <c r="F120" s="860"/>
      <c r="G120" s="860"/>
      <c r="H120" s="861" t="s">
        <v>3733</v>
      </c>
      <c r="I120" s="862"/>
      <c r="J120" s="863"/>
      <c r="K120" s="866"/>
      <c r="L120" s="865"/>
      <c r="M120" s="864"/>
      <c r="N120" s="864">
        <f>SUM(N121:N133)</f>
        <v>23512.940000000002</v>
      </c>
      <c r="Q120" s="589"/>
      <c r="S120" s="433"/>
      <c r="T120" s="433">
        <v>8317.3900000000012</v>
      </c>
      <c r="U120" s="433">
        <v>10496.55</v>
      </c>
    </row>
    <row r="121" spans="1:21">
      <c r="A121" s="430">
        <v>120</v>
      </c>
      <c r="B121" s="590"/>
      <c r="C121" s="431" t="str">
        <f>+E121</f>
        <v>5.1</v>
      </c>
      <c r="D121" s="587"/>
      <c r="E121" s="568" t="s">
        <v>6914</v>
      </c>
      <c r="F121" s="569"/>
      <c r="G121" s="569"/>
      <c r="H121" s="749" t="s">
        <v>6763</v>
      </c>
      <c r="I121" s="570"/>
      <c r="J121" s="571"/>
      <c r="K121" s="571"/>
      <c r="L121" s="571"/>
      <c r="M121" s="571"/>
      <c r="N121" s="571"/>
      <c r="P121" s="588"/>
      <c r="Q121" s="589"/>
      <c r="R121" s="588"/>
      <c r="S121" s="433"/>
      <c r="T121" s="588"/>
      <c r="U121" s="588"/>
    </row>
    <row r="122" spans="1:21" ht="38.25">
      <c r="A122" s="430">
        <v>121</v>
      </c>
      <c r="B122" s="590"/>
      <c r="C122" s="431" t="str">
        <f>+C121</f>
        <v>5.1</v>
      </c>
      <c r="D122" s="587">
        <f>1+D121</f>
        <v>1</v>
      </c>
      <c r="E122" s="572" t="str">
        <f>C122&amp;"."&amp;D122</f>
        <v>5.1.1</v>
      </c>
      <c r="F122" s="579" t="s">
        <v>2238</v>
      </c>
      <c r="G122" s="581">
        <v>103322</v>
      </c>
      <c r="H122" s="750" t="str">
        <f>IF($G122="","",IFERROR(VLOOKUP($G122,SERVIÇOS!$C:$G,2,0),IFERROR(VLOOKUP($G122,CPU!$F:$M,2,0),"")))</f>
        <v>ALVENARIA DE VEDAÇÃO DE BLOCOS CERÂMICOS FURADOS NA VERTICAL DE 9X19X39 CM (ESPESSURA 9 CM) E ARGAMASSA DE ASSENTAMENTO COM PREPARO EM BETONEIRA. AF_12/2021</v>
      </c>
      <c r="I122" s="578" t="str">
        <f>IF($G122="","",IFERROR(VLOOKUP($G122,SERVIÇOS!$C:$G,3,0),IFERROR(VLOOKUP($G122,CPU!$F:$M,3,0),"")))</f>
        <v>M2</v>
      </c>
      <c r="J122" s="576">
        <v>90.37</v>
      </c>
      <c r="K122" s="576">
        <f>IF($G122="","",IFERROR(VLOOKUP($G122,SERVIÇOS!$C:$H,6,0),IFERROR(VLOOKUP($G122,CPU!$F:$M,8,0),"")))</f>
        <v>59.66</v>
      </c>
      <c r="L122" s="577">
        <f>IF(J122&lt;&gt;"",$N$1,"")</f>
        <v>0.2354</v>
      </c>
      <c r="M122" s="576">
        <f>IF(J122&lt;&gt;0,(ROUND(K122*(L122+1),2)),0)</f>
        <v>73.7</v>
      </c>
      <c r="N122" s="576">
        <f>IF(J122="","",ROUND((J122*M122),2))</f>
        <v>6660.27</v>
      </c>
      <c r="Q122" s="589">
        <f>N122</f>
        <v>6660.27</v>
      </c>
      <c r="S122" s="433"/>
    </row>
    <row r="123" spans="1:21" ht="38.25">
      <c r="A123" s="430">
        <v>122</v>
      </c>
      <c r="B123" s="590"/>
      <c r="C123" s="431" t="str">
        <f>+C122</f>
        <v>5.1</v>
      </c>
      <c r="D123" s="587">
        <f>1+D122</f>
        <v>2</v>
      </c>
      <c r="E123" s="572" t="str">
        <f>C123&amp;"."&amp;D123</f>
        <v>5.1.2</v>
      </c>
      <c r="F123" s="579" t="s">
        <v>2238</v>
      </c>
      <c r="G123" s="581">
        <v>103324</v>
      </c>
      <c r="H123" s="750" t="str">
        <f>IF($G123="","",IFERROR(VLOOKUP($G123,SERVIÇOS!$C:$G,2,0),IFERROR(VLOOKUP($G123,CPU!$F:$M,2,0),"")))</f>
        <v>ALVENARIA DE VEDAÇÃO DE BLOCOS CERÂMICOS FURADOS NA VERTICAL DE 14X19X39 CM (ESPESSURA 14 CM) E ARGAMASSA DE ASSENTAMENTO COM PREPARO EM BETONEIRA. AF_12/2021</v>
      </c>
      <c r="I123" s="578" t="str">
        <f>IF($G123="","",IFERROR(VLOOKUP($G123,SERVIÇOS!$C:$G,3,0),IFERROR(VLOOKUP($G123,CPU!$F:$M,3,0),"")))</f>
        <v>M2</v>
      </c>
      <c r="J123" s="576">
        <v>43.08</v>
      </c>
      <c r="K123" s="576">
        <f>IF($G123="","",IFERROR(VLOOKUP($G123,SERVIÇOS!$C:$H,6,0),IFERROR(VLOOKUP($G123,CPU!$F:$M,8,0),"")))</f>
        <v>80.48</v>
      </c>
      <c r="L123" s="577">
        <f>IF(J123&lt;&gt;"",$N$1,"")</f>
        <v>0.2354</v>
      </c>
      <c r="M123" s="576">
        <f>IF(J123&lt;&gt;0,(ROUND(K123*(L123+1),2)),0)</f>
        <v>99.42</v>
      </c>
      <c r="N123" s="576">
        <f>IF(J123="","",ROUND((J123*M123),2))</f>
        <v>4283.01</v>
      </c>
      <c r="Q123" s="589">
        <f>N123</f>
        <v>4283.01</v>
      </c>
      <c r="S123" s="433"/>
    </row>
    <row r="124" spans="1:21" ht="38.25">
      <c r="A124" s="430">
        <v>121</v>
      </c>
      <c r="B124" s="590"/>
      <c r="C124" s="431" t="str">
        <f>+C123</f>
        <v>5.1</v>
      </c>
      <c r="D124" s="587">
        <f>1+D123</f>
        <v>3</v>
      </c>
      <c r="E124" s="572" t="str">
        <f>C124&amp;"."&amp;D124</f>
        <v>5.1.3</v>
      </c>
      <c r="F124" s="579" t="s">
        <v>2238</v>
      </c>
      <c r="G124" s="581">
        <v>103326</v>
      </c>
      <c r="H124" s="750" t="str">
        <f>IF($G124="","",IFERROR(VLOOKUP($G124,SERVIÇOS!$C:$G,2,0),IFERROR(VLOOKUP($G124,CPU!$F:$M,2,0),"")))</f>
        <v>ALVENARIA DE VEDAÇÃO DE BLOCOS CERÂMICOS FURADOS NA VERTICAL DE 19X19X39 CM (ESPESSURA 19 CM) E ARGAMASSA DE ASSENTAMENTO COM PREPARO EM BETONEIRA. AF_12/2021</v>
      </c>
      <c r="I124" s="578" t="str">
        <f>IF($G124="","",IFERROR(VLOOKUP($G124,SERVIÇOS!$C:$G,3,0),IFERROR(VLOOKUP($G124,CPU!$F:$M,3,0),"")))</f>
        <v>M2</v>
      </c>
      <c r="J124" s="576">
        <v>61.22</v>
      </c>
      <c r="K124" s="576">
        <f>IF($G124="","",IFERROR(VLOOKUP($G124,SERVIÇOS!$C:$H,6,0),IFERROR(VLOOKUP($G124,CPU!$F:$M,8,0),"")))</f>
        <v>97.08</v>
      </c>
      <c r="L124" s="577">
        <f>IF(J124&lt;&gt;"",$N$1,"")</f>
        <v>0.2354</v>
      </c>
      <c r="M124" s="576">
        <f>IF(J124&lt;&gt;0,(ROUND(K124*(L124+1),2)),0)</f>
        <v>119.93</v>
      </c>
      <c r="N124" s="576">
        <f>IF(J124="","",ROUND((J124*M124),2))</f>
        <v>7342.11</v>
      </c>
      <c r="Q124" s="589">
        <f>N124</f>
        <v>7342.11</v>
      </c>
      <c r="S124" s="433"/>
    </row>
    <row r="125" spans="1:21">
      <c r="A125" s="430">
        <v>120</v>
      </c>
      <c r="B125" s="590"/>
      <c r="C125" s="431" t="str">
        <f>+E125</f>
        <v>5.2</v>
      </c>
      <c r="D125" s="587"/>
      <c r="E125" s="568" t="s">
        <v>6915</v>
      </c>
      <c r="F125" s="569"/>
      <c r="G125" s="569"/>
      <c r="H125" s="749" t="s">
        <v>8464</v>
      </c>
      <c r="I125" s="570"/>
      <c r="J125" s="571"/>
      <c r="K125" s="571"/>
      <c r="L125" s="571"/>
      <c r="M125" s="571"/>
      <c r="N125" s="571"/>
      <c r="P125" s="588"/>
      <c r="Q125" s="589"/>
      <c r="R125" s="588"/>
      <c r="S125" s="433"/>
      <c r="T125" s="588"/>
      <c r="U125" s="588"/>
    </row>
    <row r="126" spans="1:21" ht="38.25">
      <c r="A126" s="430">
        <v>122</v>
      </c>
      <c r="B126" s="590"/>
      <c r="C126" s="431" t="str">
        <f>+C125</f>
        <v>5.2</v>
      </c>
      <c r="D126" s="587">
        <f>1+D125</f>
        <v>1</v>
      </c>
      <c r="E126" s="572" t="str">
        <f>C126&amp;"."&amp;D126</f>
        <v>5.2.1</v>
      </c>
      <c r="F126" s="579" t="s">
        <v>2238</v>
      </c>
      <c r="G126" s="581">
        <v>96370</v>
      </c>
      <c r="H126" s="750" t="str">
        <f>IF($G126="","",IFERROR(VLOOKUP($G126,SERVIÇOS!$C:$G,2,0),IFERROR(VLOOKUP($G126,CPU!$F:$M,2,0),"")))</f>
        <v>PAREDE COM PLACAS DE GESSO ACARTONADO (DRYWALL), PARA USO INTERNO, COM UMA FACE SIMPLES E ESTRUTURA METÁLICA COM GUIAS SIMPLES, SEM VÃOS. AF_06/2017_P</v>
      </c>
      <c r="I126" s="578" t="str">
        <f>IF($G126="","",IFERROR(VLOOKUP($G126,SERVIÇOS!$C:$G,3,0),IFERROR(VLOOKUP($G126,CPU!$F:$M,3,0),"")))</f>
        <v>M2</v>
      </c>
      <c r="J126" s="576">
        <v>20.88</v>
      </c>
      <c r="K126" s="576">
        <f>IF($G126="","",IFERROR(VLOOKUP($G126,SERVIÇOS!$C:$H,6,0),IFERROR(VLOOKUP($G126,CPU!$F:$M,8,0),"")))</f>
        <v>73.83</v>
      </c>
      <c r="L126" s="577">
        <f>IF(J126&lt;&gt;"",$N$1,"")</f>
        <v>0.2354</v>
      </c>
      <c r="M126" s="576">
        <f>IF(J126&lt;&gt;0,(ROUND(K126*(L126+1),2)),0)</f>
        <v>91.21</v>
      </c>
      <c r="N126" s="576">
        <f>IF(J126="","",ROUND((J126*M126),2))</f>
        <v>1904.46</v>
      </c>
      <c r="Q126" s="589">
        <f>N126</f>
        <v>1904.46</v>
      </c>
      <c r="S126" s="433"/>
    </row>
    <row r="127" spans="1:21" ht="38.25">
      <c r="A127" s="430">
        <v>123</v>
      </c>
      <c r="B127" s="590"/>
      <c r="C127" s="431" t="str">
        <f>+C126</f>
        <v>5.2</v>
      </c>
      <c r="D127" s="587">
        <f>1+D122</f>
        <v>2</v>
      </c>
      <c r="E127" s="572" t="str">
        <f>C127&amp;"."&amp;D127</f>
        <v>5.2.2</v>
      </c>
      <c r="F127" s="579" t="s">
        <v>2239</v>
      </c>
      <c r="G127" s="580" t="s">
        <v>8465</v>
      </c>
      <c r="H127" s="750" t="str">
        <f>IF($G127="","",IFERROR(VLOOKUP($G127,SERVIÇOS!$C:$G,2,0),IFERROR(VLOOKUP($G127,CPU!$F:$M,2,0),"")))</f>
        <v>PAREDE COM PLACAS DE GESSO ACARTONADO (DRYWALL), PARA USO INTERNO, COM DUAS FACES SIMPLES (ST/ST) E ESTRUTURA METÁLICA COM GUIAS SIMPLES DE 90MM, ESPESSURA FINAL 11,5CM</v>
      </c>
      <c r="I127" s="578" t="str">
        <f>IF($G127="","",IFERROR(VLOOKUP($G127,SERVIÇOS!$C:$G,3,0),IFERROR(VLOOKUP($G127,CPU!$F:$M,3,0),"")))</f>
        <v>M2</v>
      </c>
      <c r="J127" s="576">
        <v>10.19</v>
      </c>
      <c r="K127" s="576">
        <f>IF($G127="","",IFERROR(VLOOKUP($G127,SERVIÇOS!$C:$H,6,0),IFERROR(VLOOKUP($G127,CPU!$F:$M,8,0),"")))</f>
        <v>127.28999999999999</v>
      </c>
      <c r="L127" s="577">
        <f>IF(J127&lt;&gt;"",$N$1,"")</f>
        <v>0.2354</v>
      </c>
      <c r="M127" s="576">
        <f>IF(J127&lt;&gt;0,(ROUND(K127*(L127+1),2)),0)</f>
        <v>157.25</v>
      </c>
      <c r="N127" s="576">
        <f>IF(J127="","",ROUND((J127*M127),2))</f>
        <v>1602.38</v>
      </c>
      <c r="Q127" s="589">
        <f>N127</f>
        <v>1602.38</v>
      </c>
      <c r="S127" s="433"/>
    </row>
    <row r="128" spans="1:21">
      <c r="A128" s="430">
        <v>120</v>
      </c>
      <c r="B128" s="590"/>
      <c r="C128" s="431" t="str">
        <f>+E128</f>
        <v>5.3</v>
      </c>
      <c r="D128" s="587"/>
      <c r="E128" s="568" t="s">
        <v>6916</v>
      </c>
      <c r="F128" s="569"/>
      <c r="G128" s="569"/>
      <c r="H128" s="749" t="s">
        <v>4857</v>
      </c>
      <c r="I128" s="570"/>
      <c r="J128" s="571"/>
      <c r="K128" s="571"/>
      <c r="L128" s="571"/>
      <c r="M128" s="571"/>
      <c r="N128" s="571"/>
      <c r="P128" s="588"/>
      <c r="Q128" s="589"/>
      <c r="R128" s="588"/>
      <c r="S128" s="433"/>
      <c r="T128" s="588"/>
      <c r="U128" s="588"/>
    </row>
    <row r="129" spans="1:21" ht="25.5">
      <c r="A129" s="430">
        <v>121</v>
      </c>
      <c r="B129" s="590"/>
      <c r="C129" s="431" t="str">
        <f>+C128</f>
        <v>5.3</v>
      </c>
      <c r="D129" s="587">
        <f>1+D128</f>
        <v>1</v>
      </c>
      <c r="E129" s="572" t="str">
        <f>C129&amp;"."&amp;D129</f>
        <v>5.3.1</v>
      </c>
      <c r="F129" s="579" t="s">
        <v>2238</v>
      </c>
      <c r="G129" s="580">
        <v>93203</v>
      </c>
      <c r="H129" s="750" t="str">
        <f>IF($G129="","",IFERROR(VLOOKUP($G129,SERVIÇOS!$C:$G,2,0),IFERROR(VLOOKUP($G129,CPU!$F:$M,2,0),"")))</f>
        <v>FIXAÇÃO (ENCUNHAMENTO) DE ALVENARIA DE VEDAÇÃO COM ESPUMA DE POLIURETANO EXPANSIVA. AF_03/2016</v>
      </c>
      <c r="I129" s="578" t="str">
        <f>IF($G129="","",IFERROR(VLOOKUP($G129,SERVIÇOS!$C:$G,3,0),IFERROR(VLOOKUP($G129,CPU!$F:$M,3,0),"")))</f>
        <v>M</v>
      </c>
      <c r="J129" s="576">
        <v>52.87</v>
      </c>
      <c r="K129" s="576">
        <f>IF($G129="","",IFERROR(VLOOKUP($G129,SERVIÇOS!$C:$H,6,0),IFERROR(VLOOKUP($G129,CPU!$F:$M,8,0),"")))</f>
        <v>14.75</v>
      </c>
      <c r="L129" s="577">
        <f>IF(J129&lt;&gt;"",$N$1,"")</f>
        <v>0.2354</v>
      </c>
      <c r="M129" s="576">
        <f>IF(J129&lt;&gt;0,(ROUND(K129*(L129+1),2)),0)</f>
        <v>18.22</v>
      </c>
      <c r="N129" s="576">
        <f>IF(J129="","",ROUND((J129*M129),2))</f>
        <v>963.29</v>
      </c>
      <c r="Q129" s="589">
        <f>N129</f>
        <v>963.29</v>
      </c>
      <c r="S129" s="433"/>
    </row>
    <row r="130" spans="1:21">
      <c r="A130" s="430">
        <v>120</v>
      </c>
      <c r="B130" s="590"/>
      <c r="C130" s="431" t="str">
        <f>+E130</f>
        <v>5.4</v>
      </c>
      <c r="D130" s="587"/>
      <c r="E130" s="568" t="s">
        <v>8751</v>
      </c>
      <c r="F130" s="569"/>
      <c r="G130" s="569"/>
      <c r="H130" s="749" t="s">
        <v>8468</v>
      </c>
      <c r="I130" s="570"/>
      <c r="J130" s="571"/>
      <c r="K130" s="571"/>
      <c r="L130" s="571"/>
      <c r="M130" s="571"/>
      <c r="N130" s="571"/>
      <c r="P130" s="588"/>
      <c r="Q130" s="589"/>
      <c r="R130" s="588"/>
      <c r="S130" s="433"/>
      <c r="T130" s="588"/>
      <c r="U130" s="588"/>
    </row>
    <row r="131" spans="1:21" ht="25.5">
      <c r="A131" s="430">
        <v>121</v>
      </c>
      <c r="B131" s="590"/>
      <c r="C131" s="431" t="str">
        <f>+C130</f>
        <v>5.4</v>
      </c>
      <c r="D131" s="587">
        <f>1+D130</f>
        <v>1</v>
      </c>
      <c r="E131" s="572" t="str">
        <f>C131&amp;"."&amp;D131</f>
        <v>5.4.1</v>
      </c>
      <c r="F131" s="579" t="s">
        <v>2238</v>
      </c>
      <c r="G131" s="580">
        <v>90466</v>
      </c>
      <c r="H131" s="750" t="str">
        <f>IF($G131="","",IFERROR(VLOOKUP($G131,SERVIÇOS!$C:$G,2,0),IFERROR(VLOOKUP($G131,CPU!$F:$M,2,0),"")))</f>
        <v>CHUMBAMENTO LINEAR EM ALVENARIA PARA RAMAIS/DISTRIBUIÇÃO COM DIÂMETROS MENORES OU IGUAIS A 40 MM. AF_05/2015</v>
      </c>
      <c r="I131" s="578" t="str">
        <f>IF($G131="","",IFERROR(VLOOKUP($G131,SERVIÇOS!$C:$G,3,0),IFERROR(VLOOKUP($G131,CPU!$F:$M,3,0),"")))</f>
        <v>M</v>
      </c>
      <c r="J131" s="576">
        <v>2</v>
      </c>
      <c r="K131" s="576">
        <f>IF($G131="","",IFERROR(VLOOKUP($G131,SERVIÇOS!$C:$H,6,0),IFERROR(VLOOKUP($G131,CPU!$F:$M,8,0),"")))</f>
        <v>15.05</v>
      </c>
      <c r="L131" s="577">
        <f>IF(J131&lt;&gt;"",$N$1,"")</f>
        <v>0.2354</v>
      </c>
      <c r="M131" s="576">
        <f>IF(J131&lt;&gt;0,(ROUND(K131*(L131+1),2)),0)</f>
        <v>18.59</v>
      </c>
      <c r="N131" s="576">
        <f>IF(J131="","",ROUND((J131*M131),2))</f>
        <v>37.18</v>
      </c>
      <c r="Q131" s="589">
        <f>N131</f>
        <v>37.18</v>
      </c>
      <c r="S131" s="433"/>
    </row>
    <row r="132" spans="1:21">
      <c r="A132" s="430">
        <v>125</v>
      </c>
      <c r="B132" s="590"/>
      <c r="C132" s="431" t="str">
        <f>+E132</f>
        <v>5.5</v>
      </c>
      <c r="D132" s="587"/>
      <c r="E132" s="568" t="s">
        <v>8752</v>
      </c>
      <c r="F132" s="569"/>
      <c r="G132" s="569"/>
      <c r="H132" s="749" t="s">
        <v>4858</v>
      </c>
      <c r="I132" s="570"/>
      <c r="J132" s="571"/>
      <c r="K132" s="571"/>
      <c r="L132" s="571"/>
      <c r="M132" s="571"/>
      <c r="N132" s="571"/>
      <c r="P132" s="588"/>
      <c r="Q132" s="589"/>
      <c r="R132" s="588"/>
      <c r="S132" s="433"/>
      <c r="T132" s="588"/>
      <c r="U132" s="588"/>
    </row>
    <row r="133" spans="1:21" ht="25.5">
      <c r="A133" s="430">
        <v>126</v>
      </c>
      <c r="B133" s="590"/>
      <c r="C133" s="431" t="str">
        <f>+C132</f>
        <v>5.5</v>
      </c>
      <c r="D133" s="587">
        <f>1+D132</f>
        <v>1</v>
      </c>
      <c r="E133" s="572" t="str">
        <f>C133&amp;"."&amp;D133</f>
        <v>5.5.1</v>
      </c>
      <c r="F133" s="579" t="s">
        <v>2238</v>
      </c>
      <c r="G133" s="581">
        <v>93188</v>
      </c>
      <c r="H133" s="750" t="str">
        <f>IF($G133="","",IFERROR(VLOOKUP($G133,SERVIÇOS!$C:$G,2,0),IFERROR(VLOOKUP($G133,CPU!$F:$M,2,0),"")))</f>
        <v>VERGA MOLDADA IN LOCO EM CONCRETO PARA PORTAS COM ATÉ 1,5 M DE VÃO. AF_03/2016</v>
      </c>
      <c r="I133" s="578" t="str">
        <f>IF($G133="","",IFERROR(VLOOKUP($G133,SERVIÇOS!$C:$G,3,0),IFERROR(VLOOKUP($G133,CPU!$F:$M,3,0),"")))</f>
        <v>M</v>
      </c>
      <c r="J133" s="576">
        <v>6</v>
      </c>
      <c r="K133" s="576">
        <f>IF($G133="","",IFERROR(VLOOKUP($G133,SERVIÇOS!$C:$H,6,0),IFERROR(VLOOKUP($G133,CPU!$F:$M,8,0),"")))</f>
        <v>97.17</v>
      </c>
      <c r="L133" s="577">
        <f>IF(J133&lt;&gt;"",$N$1,"")</f>
        <v>0.2354</v>
      </c>
      <c r="M133" s="576">
        <f>IF(J133&lt;&gt;0,(ROUND(K133*(L133+1),2)),0)</f>
        <v>120.04</v>
      </c>
      <c r="N133" s="576">
        <f>IF(J133="","",ROUND((J133*M133),2))</f>
        <v>720.24</v>
      </c>
      <c r="P133" s="588"/>
      <c r="Q133" s="589">
        <f>N133</f>
        <v>720.24</v>
      </c>
      <c r="R133" s="588"/>
      <c r="S133" s="433"/>
      <c r="T133" s="588"/>
      <c r="U133" s="588"/>
    </row>
    <row r="134" spans="1:21">
      <c r="A134" s="430">
        <v>129</v>
      </c>
      <c r="B134" s="590"/>
      <c r="C134" s="431">
        <f>+E134</f>
        <v>6</v>
      </c>
      <c r="D134" s="587"/>
      <c r="E134" s="859">
        <v>6</v>
      </c>
      <c r="F134" s="860"/>
      <c r="G134" s="860"/>
      <c r="H134" s="861" t="s">
        <v>3734</v>
      </c>
      <c r="I134" s="862"/>
      <c r="J134" s="863"/>
      <c r="K134" s="866"/>
      <c r="L134" s="865"/>
      <c r="M134" s="864"/>
      <c r="N134" s="864">
        <f>SUM(N135:N162)</f>
        <v>521266.24999999994</v>
      </c>
      <c r="Q134" s="589"/>
      <c r="S134" s="433"/>
      <c r="T134" s="433">
        <v>189774.79</v>
      </c>
      <c r="U134" s="433">
        <v>239495.78999999998</v>
      </c>
    </row>
    <row r="135" spans="1:21">
      <c r="A135" s="430">
        <v>130</v>
      </c>
      <c r="B135" s="590"/>
      <c r="C135" s="431" t="str">
        <f>+E135</f>
        <v>6.1</v>
      </c>
      <c r="D135" s="587"/>
      <c r="E135" s="568" t="s">
        <v>1924</v>
      </c>
      <c r="F135" s="569"/>
      <c r="G135" s="569"/>
      <c r="H135" s="749" t="s">
        <v>4888</v>
      </c>
      <c r="I135" s="570"/>
      <c r="J135" s="571"/>
      <c r="K135" s="571"/>
      <c r="L135" s="571"/>
      <c r="M135" s="571"/>
      <c r="N135" s="571"/>
      <c r="P135" s="588"/>
      <c r="Q135" s="589"/>
      <c r="R135" s="588"/>
      <c r="S135" s="433"/>
      <c r="T135" s="588"/>
      <c r="U135" s="588"/>
    </row>
    <row r="136" spans="1:21" ht="25.5">
      <c r="A136" s="430">
        <v>131</v>
      </c>
      <c r="B136" s="590"/>
      <c r="C136" s="431" t="str">
        <f>+C135</f>
        <v>6.1</v>
      </c>
      <c r="D136" s="587">
        <f>1+D135</f>
        <v>1</v>
      </c>
      <c r="E136" s="572" t="str">
        <f>C136&amp;"."&amp;D136</f>
        <v>6.1.1</v>
      </c>
      <c r="F136" s="579" t="s">
        <v>2239</v>
      </c>
      <c r="G136" s="581" t="s">
        <v>8628</v>
      </c>
      <c r="H136" s="750" t="str">
        <f>IF($G136="","",IFERROR(VLOOKUP($G136,SERVIÇOS!$C:$G,2,0),IFERROR(VLOOKUP($G136,CPU!$F:$M,2,0),"")))</f>
        <v>JANELA DE ALUMÍNIO COR PRETO DE CORRER COM 2 FOLHAS PARA VIDROS, COM VIDROS, BATENTE. FORNECIMENTO E INSTALAÇÃO</v>
      </c>
      <c r="I136" s="578" t="str">
        <f>IF($G136="","",IFERROR(VLOOKUP($G136,SERVIÇOS!$C:$G,3,0),IFERROR(VLOOKUP($G136,CPU!$F:$M,3,0),"")))</f>
        <v>M2</v>
      </c>
      <c r="J136" s="576">
        <v>0.56000000000000005</v>
      </c>
      <c r="K136" s="576">
        <f>IF($G136="","",IFERROR(VLOOKUP($G136,SERVIÇOS!$C:$H,6,0),IFERROR(VLOOKUP($G136,CPU!$F:$M,8,0),"")))</f>
        <v>1684.0500000000002</v>
      </c>
      <c r="L136" s="577">
        <f>IF(J136&lt;&gt;"",$N$1,"")</f>
        <v>0.2354</v>
      </c>
      <c r="M136" s="576">
        <f>IF(J136&lt;&gt;0,(ROUND(K136*(L136+1),2)),0)</f>
        <v>2080.48</v>
      </c>
      <c r="N136" s="576">
        <f>IF(J136="","",ROUND((J136*M136),2))</f>
        <v>1165.07</v>
      </c>
      <c r="P136" s="588"/>
      <c r="Q136" s="589">
        <f>N136</f>
        <v>1165.07</v>
      </c>
      <c r="R136" s="588"/>
      <c r="S136" s="433"/>
      <c r="T136" s="588"/>
      <c r="U136" s="588"/>
    </row>
    <row r="137" spans="1:21" ht="25.5">
      <c r="A137" s="430">
        <v>132</v>
      </c>
      <c r="B137" s="590"/>
      <c r="C137" s="431" t="str">
        <f>+C135</f>
        <v>6.1</v>
      </c>
      <c r="D137" s="587">
        <f t="shared" ref="D137:D140" si="78">1+D136</f>
        <v>2</v>
      </c>
      <c r="E137" s="572" t="str">
        <f>C137&amp;"."&amp;D137</f>
        <v>6.1.2</v>
      </c>
      <c r="F137" s="579" t="s">
        <v>2239</v>
      </c>
      <c r="G137" s="581" t="s">
        <v>8630</v>
      </c>
      <c r="H137" s="750" t="str">
        <f>IF($G137="","",IFERROR(VLOOKUP($G137,SERVIÇOS!$C:$G,2,0),IFERROR(VLOOKUP($G137,CPU!$F:$M,2,0),"")))</f>
        <v>JANELA DE ALUMÍNIO COR PRETO DE CORRER COM 4 FOLHAS PARA VIDROS, COM VIDROS, BATENTE. FORNECIMENTO E INSTALAÇÃO</v>
      </c>
      <c r="I137" s="578" t="str">
        <f>IF($G137="","",IFERROR(VLOOKUP($G137,SERVIÇOS!$C:$G,3,0),IFERROR(VLOOKUP($G137,CPU!$F:$M,3,0),"")))</f>
        <v>M2</v>
      </c>
      <c r="J137" s="576">
        <v>3.84</v>
      </c>
      <c r="K137" s="576">
        <f>IF($G137="","",IFERROR(VLOOKUP($G137,SERVIÇOS!$C:$H,6,0),IFERROR(VLOOKUP($G137,CPU!$F:$M,8,0),"")))</f>
        <v>1604.94</v>
      </c>
      <c r="L137" s="577">
        <f>IF(J137&lt;&gt;"",$N$1,"")</f>
        <v>0.2354</v>
      </c>
      <c r="M137" s="576">
        <f>IF(J137&lt;&gt;0,(ROUND(K137*(L137+1),2)),0)</f>
        <v>1982.74</v>
      </c>
      <c r="N137" s="576">
        <f>IF(J137="","",ROUND((J137*M137),2))</f>
        <v>7613.72</v>
      </c>
      <c r="P137" s="588"/>
      <c r="Q137" s="589">
        <f>N137</f>
        <v>7613.72</v>
      </c>
      <c r="R137" s="588"/>
      <c r="S137" s="433"/>
      <c r="T137" s="588"/>
      <c r="U137" s="588"/>
    </row>
    <row r="138" spans="1:21" ht="38.25">
      <c r="A138" s="430">
        <v>131</v>
      </c>
      <c r="B138" s="590"/>
      <c r="C138" s="431" t="str">
        <f>+C137</f>
        <v>6.1</v>
      </c>
      <c r="D138" s="587">
        <f t="shared" si="78"/>
        <v>3</v>
      </c>
      <c r="E138" s="572" t="str">
        <f>C138&amp;"."&amp;D138</f>
        <v>6.1.3</v>
      </c>
      <c r="F138" s="579" t="s">
        <v>2239</v>
      </c>
      <c r="G138" s="581" t="s">
        <v>8632</v>
      </c>
      <c r="H138" s="750" t="str">
        <f>IF($G138="","",IFERROR(VLOOKUP($G138,SERVIÇOS!$C:$G,2,0),IFERROR(VLOOKUP($G138,CPU!$F:$M,2,0),"")))</f>
        <v>JANELA DE ALUMÍNIO PROJETANTES 30º (INFERIOR) E FIXAS (SUPERIOR) EM ALUMÍNIO COR PRETO, COM VIDROS, BATENTE E FERRAGENS, CONFOME PROJETO. FORNECIMENTO E INSTALAÇÃO</v>
      </c>
      <c r="I138" s="578" t="str">
        <f>IF($G138="","",IFERROR(VLOOKUP($G138,SERVIÇOS!$C:$G,3,0),IFERROR(VLOOKUP($G138,CPU!$F:$M,3,0),"")))</f>
        <v>M2</v>
      </c>
      <c r="J138" s="576">
        <v>49.5</v>
      </c>
      <c r="K138" s="576">
        <f>IF($G138="","",IFERROR(VLOOKUP($G138,SERVIÇOS!$C:$H,6,0),IFERROR(VLOOKUP($G138,CPU!$F:$M,8,0),"")))</f>
        <v>871.47000000000014</v>
      </c>
      <c r="L138" s="577">
        <f>IF(J138&lt;&gt;"",$N$1,"")</f>
        <v>0.2354</v>
      </c>
      <c r="M138" s="576">
        <f>IF(J138&lt;&gt;0,(ROUND(K138*(L138+1),2)),0)</f>
        <v>1076.6099999999999</v>
      </c>
      <c r="N138" s="576">
        <f>IF(J138="","",ROUND((J138*M138),2))</f>
        <v>53292.2</v>
      </c>
      <c r="O138" s="431">
        <f>12417.13+8867.56+11043.83+5420.55</f>
        <v>37749.07</v>
      </c>
      <c r="P138" s="588"/>
      <c r="Q138" s="589">
        <f>N138</f>
        <v>53292.2</v>
      </c>
      <c r="R138" s="588"/>
      <c r="S138" s="433"/>
      <c r="T138" s="588"/>
      <c r="U138" s="588"/>
    </row>
    <row r="139" spans="1:21" ht="38.25">
      <c r="A139" s="430">
        <v>132</v>
      </c>
      <c r="B139" s="590"/>
      <c r="C139" s="431" t="str">
        <f>+C137</f>
        <v>6.1</v>
      </c>
      <c r="D139" s="587">
        <f t="shared" si="78"/>
        <v>4</v>
      </c>
      <c r="E139" s="572" t="str">
        <f>C139&amp;"."&amp;D139</f>
        <v>6.1.4</v>
      </c>
      <c r="F139" s="579" t="s">
        <v>2239</v>
      </c>
      <c r="G139" s="581" t="s">
        <v>8633</v>
      </c>
      <c r="H139" s="750" t="str">
        <f>IF($G139="","",IFERROR(VLOOKUP($G139,SERVIÇOS!$C:$G,2,0),IFERROR(VLOOKUP($G139,CPU!$F:$M,2,0),"")))</f>
        <v>JANELA DE ALUMÍNIO PROJETANTES 30º (SUPERIOR) E FIXAS (INFERIOR) EM ALUMÍNIO COR PRETO, COM VIDROS, BATENTE E FERRAGENS, CONFOME PROJETO. FORNECIMENTO E INSTALAÇÃO</v>
      </c>
      <c r="I139" s="578" t="str">
        <f>IF($G139="","",IFERROR(VLOOKUP($G139,SERVIÇOS!$C:$G,3,0),IFERROR(VLOOKUP($G139,CPU!$F:$M,3,0),"")))</f>
        <v>M2</v>
      </c>
      <c r="J139" s="576">
        <v>45.24</v>
      </c>
      <c r="K139" s="576">
        <f>IF($G139="","",IFERROR(VLOOKUP($G139,SERVIÇOS!$C:$H,6,0),IFERROR(VLOOKUP($G139,CPU!$F:$M,8,0),"")))</f>
        <v>896.5200000000001</v>
      </c>
      <c r="L139" s="577">
        <f>IF(J139&lt;&gt;"",$N$1,"")</f>
        <v>0.2354</v>
      </c>
      <c r="M139" s="576">
        <f>IF(J139&lt;&gt;0,(ROUND(K139*(L139+1),2)),0)</f>
        <v>1107.56</v>
      </c>
      <c r="N139" s="576">
        <f>IF(J139="","",ROUND((J139*M139),2))</f>
        <v>50106.01</v>
      </c>
      <c r="O139" s="431">
        <f>4908.63+17541.35+7319.82+5345.27</f>
        <v>35115.07</v>
      </c>
      <c r="P139" s="588"/>
      <c r="Q139" s="589">
        <f>N139</f>
        <v>50106.01</v>
      </c>
      <c r="R139" s="588"/>
      <c r="S139" s="433"/>
      <c r="T139" s="588"/>
      <c r="U139" s="588"/>
    </row>
    <row r="140" spans="1:21" ht="25.5">
      <c r="A140" s="430">
        <v>132</v>
      </c>
      <c r="B140" s="590"/>
      <c r="C140" s="431" t="str">
        <f>+C136</f>
        <v>6.1</v>
      </c>
      <c r="D140" s="587">
        <f t="shared" si="78"/>
        <v>5</v>
      </c>
      <c r="E140" s="572" t="str">
        <f>C140&amp;"."&amp;D140</f>
        <v>6.1.5</v>
      </c>
      <c r="F140" s="579" t="s">
        <v>2239</v>
      </c>
      <c r="G140" s="581" t="s">
        <v>8634</v>
      </c>
      <c r="H140" s="750" t="str">
        <f>IF($G140="","",IFERROR(VLOOKUP($G140,SERVIÇOS!$C:$G,2,0),IFERROR(VLOOKUP($G140,CPU!$F:$M,2,0),"")))</f>
        <v>CONTRAMARCO DE ALUMÍNIO PRETO, FIXAÇÃO COM ARGAMASSA - FORNECIMENTO E INSTALAÇÃO</v>
      </c>
      <c r="I140" s="578" t="str">
        <f>IF($G140="","",IFERROR(VLOOKUP($G140,SERVIÇOS!$C:$G,3,0),IFERROR(VLOOKUP($G140,CPU!$F:$M,3,0),"")))</f>
        <v>M</v>
      </c>
      <c r="J140" s="576">
        <v>217.73999999999998</v>
      </c>
      <c r="K140" s="576">
        <f>IF($G140="","",IFERROR(VLOOKUP($G140,SERVIÇOS!$C:$H,6,0),IFERROR(VLOOKUP($G140,CPU!$F:$M,8,0),"")))</f>
        <v>23.189999999999998</v>
      </c>
      <c r="L140" s="577">
        <f>IF(J140&lt;&gt;"",$N$1,"")</f>
        <v>0.2354</v>
      </c>
      <c r="M140" s="576">
        <f>IF(J140&lt;&gt;0,(ROUND(K140*(L140+1),2)),0)</f>
        <v>28.65</v>
      </c>
      <c r="N140" s="576">
        <f>IF(J140="","",ROUND((J140*M140),2))</f>
        <v>6238.25</v>
      </c>
      <c r="P140" s="588"/>
      <c r="Q140" s="589">
        <f>N140</f>
        <v>6238.25</v>
      </c>
      <c r="R140" s="588"/>
      <c r="S140" s="433"/>
      <c r="T140" s="588"/>
      <c r="U140" s="588"/>
    </row>
    <row r="141" spans="1:21">
      <c r="A141" s="430">
        <v>133</v>
      </c>
      <c r="B141" s="590"/>
      <c r="C141" s="431" t="str">
        <f>+E141</f>
        <v>6.2</v>
      </c>
      <c r="D141" s="587"/>
      <c r="E141" s="568" t="s">
        <v>1926</v>
      </c>
      <c r="F141" s="569"/>
      <c r="G141" s="569"/>
      <c r="H141" s="749" t="s">
        <v>4887</v>
      </c>
      <c r="I141" s="570"/>
      <c r="J141" s="571"/>
      <c r="K141" s="571"/>
      <c r="L141" s="571"/>
      <c r="M141" s="571"/>
      <c r="N141" s="571"/>
      <c r="P141" s="588"/>
      <c r="Q141" s="589"/>
      <c r="R141" s="588"/>
      <c r="S141" s="433"/>
      <c r="T141" s="588"/>
      <c r="U141" s="588"/>
    </row>
    <row r="142" spans="1:21" ht="25.5">
      <c r="A142" s="430">
        <v>134</v>
      </c>
      <c r="B142" s="590"/>
      <c r="C142" s="431" t="str">
        <f>+C141</f>
        <v>6.2</v>
      </c>
      <c r="D142" s="587">
        <f>1+D141</f>
        <v>1</v>
      </c>
      <c r="E142" s="572" t="str">
        <f>C142&amp;"."&amp;D142</f>
        <v>6.2.1</v>
      </c>
      <c r="F142" s="579" t="s">
        <v>2239</v>
      </c>
      <c r="G142" s="581" t="s">
        <v>8637</v>
      </c>
      <c r="H142" s="750" t="str">
        <f>IF($G142="","",IFERROR(VLOOKUP($G142,SERVIÇOS!$C:$G,2,0),IFERROR(VLOOKUP($G142,CPU!$F:$M,2,0),"")))</f>
        <v>PORTA DE ABRIR 01 FOLHA VENEZIANA EM ALUMÍNIO COR PRETO COMPLETA - FORNECIMENTO E INSTALAÇÃO</v>
      </c>
      <c r="I142" s="578" t="str">
        <f>IF($G142="","",IFERROR(VLOOKUP($G142,SERVIÇOS!$C:$G,3,0),IFERROR(VLOOKUP($G142,CPU!$F:$M,3,0),"")))</f>
        <v>M2</v>
      </c>
      <c r="J142" s="576">
        <v>10.58</v>
      </c>
      <c r="K142" s="576">
        <f>IF($G142="","",IFERROR(VLOOKUP($G142,SERVIÇOS!$C:$H,6,0),IFERROR(VLOOKUP($G142,CPU!$F:$M,8,0),"")))</f>
        <v>977.08</v>
      </c>
      <c r="L142" s="577">
        <f>IF(J142&lt;&gt;"",$N$1,"")</f>
        <v>0.2354</v>
      </c>
      <c r="M142" s="576">
        <f>IF(J142&lt;&gt;0,(ROUND(K142*(L142+1),2)),0)</f>
        <v>1207.08</v>
      </c>
      <c r="N142" s="576">
        <f>IF(J142="","",ROUND((J142*M142),2))</f>
        <v>12770.91</v>
      </c>
      <c r="P142" s="588"/>
      <c r="Q142" s="589">
        <f>N142</f>
        <v>12770.91</v>
      </c>
      <c r="R142" s="588"/>
      <c r="S142" s="433"/>
      <c r="T142" s="588"/>
      <c r="U142" s="588"/>
    </row>
    <row r="143" spans="1:21" ht="25.5">
      <c r="A143" s="430">
        <v>134</v>
      </c>
      <c r="B143" s="590"/>
      <c r="C143" s="431" t="str">
        <f>+C142</f>
        <v>6.2</v>
      </c>
      <c r="D143" s="587">
        <f>1+D142</f>
        <v>2</v>
      </c>
      <c r="E143" s="572" t="str">
        <f>C143&amp;"."&amp;D143</f>
        <v>6.2.2</v>
      </c>
      <c r="F143" s="579" t="s">
        <v>2239</v>
      </c>
      <c r="G143" s="581" t="s">
        <v>8639</v>
      </c>
      <c r="H143" s="750" t="str">
        <f>IF($G143="","",IFERROR(VLOOKUP($G143,SERVIÇOS!$C:$G,2,0),IFERROR(VLOOKUP($G143,CPU!$F:$M,2,0),"")))</f>
        <v>PORTA DE ABRIR 01 FOLHA VENEZIANA VENTILADA EM ALUMÍNIO COR PRETO COMPLETA - FORNECIMENTO E INSTALAÇÃO</v>
      </c>
      <c r="I143" s="578" t="str">
        <f>IF($G143="","",IFERROR(VLOOKUP($G143,SERVIÇOS!$C:$G,3,0),IFERROR(VLOOKUP($G143,CPU!$F:$M,3,0),"")))</f>
        <v>M2</v>
      </c>
      <c r="J143" s="576">
        <v>11.76</v>
      </c>
      <c r="K143" s="576">
        <f>IF($G143="","",IFERROR(VLOOKUP($G143,SERVIÇOS!$C:$H,6,0),IFERROR(VLOOKUP($G143,CPU!$F:$M,8,0),"")))</f>
        <v>962.7</v>
      </c>
      <c r="L143" s="577">
        <f>IF(J143&lt;&gt;"",$N$1,"")</f>
        <v>0.2354</v>
      </c>
      <c r="M143" s="576">
        <f>IF(J143&lt;&gt;0,(ROUND(K143*(L143+1),2)),0)</f>
        <v>1189.32</v>
      </c>
      <c r="N143" s="576">
        <f>IF(J143="","",ROUND((J143*M143),2))</f>
        <v>13986.4</v>
      </c>
      <c r="P143" s="588"/>
      <c r="Q143" s="589">
        <f>N143</f>
        <v>13986.4</v>
      </c>
      <c r="R143" s="588"/>
      <c r="S143" s="433"/>
      <c r="T143" s="588"/>
      <c r="U143" s="588"/>
    </row>
    <row r="144" spans="1:21" ht="38.25">
      <c r="A144" s="430">
        <v>136</v>
      </c>
      <c r="B144" s="590"/>
      <c r="C144" s="431" t="str">
        <f>+C143</f>
        <v>6.2</v>
      </c>
      <c r="D144" s="587">
        <f>1+D143</f>
        <v>3</v>
      </c>
      <c r="E144" s="572" t="str">
        <f>C144&amp;"."&amp;D144</f>
        <v>6.2.3</v>
      </c>
      <c r="F144" s="579" t="s">
        <v>2239</v>
      </c>
      <c r="G144" s="581" t="s">
        <v>8641</v>
      </c>
      <c r="H144" s="750" t="str">
        <f>IF($G144="","",IFERROR(VLOOKUP($G144,SERVIÇOS!$C:$G,2,0),IFERROR(VLOOKUP($G144,CPU!$F:$M,2,0),"")))</f>
        <v>PORTA DE ABRIR 01 FOLHA EM ALUMÍNIO COR PRETO, METADE VENEZIANA, METADE TELA MOSQUITEIRO DE NYLON FIXA, FIO 30, MALHA 16X16CM - FORNECIMENTO E INSTALAÇÃO</v>
      </c>
      <c r="I144" s="578" t="str">
        <f>IF($G144="","",IFERROR(VLOOKUP($G144,SERVIÇOS!$C:$G,3,0),IFERROR(VLOOKUP($G144,CPU!$F:$M,3,0),"")))</f>
        <v>M2</v>
      </c>
      <c r="J144" s="576">
        <v>3.78</v>
      </c>
      <c r="K144" s="576">
        <f>IF($G144="","",IFERROR(VLOOKUP($G144,SERVIÇOS!$C:$H,6,0),IFERROR(VLOOKUP($G144,CPU!$F:$M,8,0),"")))</f>
        <v>1037.1499999999999</v>
      </c>
      <c r="L144" s="577">
        <f>IF(J144&lt;&gt;"",$N$1,"")</f>
        <v>0.2354</v>
      </c>
      <c r="M144" s="576">
        <f>IF(J144&lt;&gt;0,(ROUND(K144*(L144+1),2)),0)</f>
        <v>1281.3</v>
      </c>
      <c r="N144" s="576">
        <f>IF(J144="","",ROUND((J144*M144),2))</f>
        <v>4843.3100000000004</v>
      </c>
      <c r="P144" s="588"/>
      <c r="Q144" s="589">
        <f>N144</f>
        <v>4843.3100000000004</v>
      </c>
      <c r="R144" s="588"/>
      <c r="S144" s="433"/>
      <c r="T144" s="588"/>
      <c r="U144" s="588"/>
    </row>
    <row r="145" spans="1:21">
      <c r="A145" s="430">
        <v>137</v>
      </c>
      <c r="B145" s="590"/>
      <c r="C145" s="431" t="str">
        <f>+E145</f>
        <v>6.3</v>
      </c>
      <c r="D145" s="587"/>
      <c r="E145" s="568" t="s">
        <v>1928</v>
      </c>
      <c r="F145" s="569"/>
      <c r="G145" s="569"/>
      <c r="H145" s="749" t="s">
        <v>4885</v>
      </c>
      <c r="I145" s="570"/>
      <c r="J145" s="571"/>
      <c r="K145" s="571"/>
      <c r="L145" s="571"/>
      <c r="M145" s="571"/>
      <c r="N145" s="571"/>
      <c r="P145" s="588"/>
      <c r="Q145" s="589"/>
      <c r="R145" s="588"/>
      <c r="S145" s="433"/>
      <c r="T145" s="588"/>
      <c r="U145" s="588"/>
    </row>
    <row r="146" spans="1:21" s="588" customFormat="1" ht="51">
      <c r="A146" s="430">
        <v>138</v>
      </c>
      <c r="B146" s="590"/>
      <c r="C146" s="431" t="str">
        <f>+C145</f>
        <v>6.3</v>
      </c>
      <c r="D146" s="587">
        <f>1+D145</f>
        <v>1</v>
      </c>
      <c r="E146" s="572" t="str">
        <f>C146&amp;"."&amp;D146</f>
        <v>6.3.1</v>
      </c>
      <c r="F146" s="579" t="s">
        <v>2238</v>
      </c>
      <c r="G146" s="581">
        <v>90843</v>
      </c>
      <c r="H146" s="750" t="str">
        <f>IF($G146="","",IFERROR(VLOOKUP($G146,SERVIÇOS!$C:$G,2,0),IFERROR(VLOOKUP($G146,CPU!$F:$M,2,0),"")))</f>
        <v>KIT DE PORTA DE MADEIRA PARA PINTURA, SEMI-OCA (LEVE OU MÉDIA), PADRÃO MÉDIO, 80X210CM, ESPESSURA DE 3,5CM, ITENS INCLUSOS: DOBRADIÇAS, MONTAGEM E INSTALAÇÃO DO BATENTE, FECHADURA COM EXECUÇÃO DO FURO - FORNECIMENTO E INSTALAÇÃO. AF_12/2019</v>
      </c>
      <c r="I146" s="578" t="str">
        <f>IF($G146="","",IFERROR(VLOOKUP($G146,SERVIÇOS!$C:$G,3,0),IFERROR(VLOOKUP($G146,CPU!$F:$M,3,0),"")))</f>
        <v>UN</v>
      </c>
      <c r="J146" s="576">
        <v>15</v>
      </c>
      <c r="K146" s="576">
        <f>IF($G146="","",IFERROR(VLOOKUP($G146,SERVIÇOS!$C:$H,6,0),IFERROR(VLOOKUP($G146,CPU!$F:$M,8,0),"")))</f>
        <v>1090.68</v>
      </c>
      <c r="L146" s="577">
        <f>IF(J146&lt;&gt;"",$N$1,"")</f>
        <v>0.2354</v>
      </c>
      <c r="M146" s="576">
        <f>IF(J146&lt;&gt;0,(ROUND(K146*(L146+1),2)),0)</f>
        <v>1347.43</v>
      </c>
      <c r="N146" s="576">
        <f>IF(J146="","",ROUND((J146*M146),2))</f>
        <v>20211.45</v>
      </c>
      <c r="O146" s="431"/>
      <c r="Q146" s="589">
        <f>N146</f>
        <v>20211.45</v>
      </c>
      <c r="S146" s="433"/>
    </row>
    <row r="147" spans="1:21" ht="51">
      <c r="A147" s="430">
        <v>139</v>
      </c>
      <c r="B147" s="590"/>
      <c r="C147" s="431" t="str">
        <f>+C146</f>
        <v>6.3</v>
      </c>
      <c r="D147" s="587">
        <f>1+D146</f>
        <v>2</v>
      </c>
      <c r="E147" s="572" t="str">
        <f>C147&amp;"."&amp;D147</f>
        <v>6.3.2</v>
      </c>
      <c r="F147" s="579" t="s">
        <v>2238</v>
      </c>
      <c r="G147" s="581">
        <v>90844</v>
      </c>
      <c r="H147" s="750" t="str">
        <f>IF($G147="","",IFERROR(VLOOKUP($G147,SERVIÇOS!$C:$G,2,0),IFERROR(VLOOKUP($G147,CPU!$F:$M,2,0),"")))</f>
        <v>KIT DE PORTA DE MADEIRA PARA PINTURA, SEMI-OCA (LEVE OU MÉDIA), PADRÃO MÉDIO, 90X210CM, ESPESSURA DE 3,5CM, ITENS INCLUSOS: DOBRADIÇAS, MONTAGEM E INSTALAÇÃO DO BATENTE, FECHADURA COM EXECUÇÃO DO FURO - FORNECIMENTO E INSTALAÇÃO. AF_12/2019</v>
      </c>
      <c r="I147" s="578" t="str">
        <f>IF($G147="","",IFERROR(VLOOKUP($G147,SERVIÇOS!$C:$G,3,0),IFERROR(VLOOKUP($G147,CPU!$F:$M,3,0),"")))</f>
        <v>UN</v>
      </c>
      <c r="J147" s="576">
        <v>5</v>
      </c>
      <c r="K147" s="576">
        <f>IF($G147="","",IFERROR(VLOOKUP($G147,SERVIÇOS!$C:$H,6,0),IFERROR(VLOOKUP($G147,CPU!$F:$M,8,0),"")))</f>
        <v>1169.49</v>
      </c>
      <c r="L147" s="577">
        <f>IF(J147&lt;&gt;"",$N$1,"")</f>
        <v>0.2354</v>
      </c>
      <c r="M147" s="576">
        <f>IF(J147&lt;&gt;0,(ROUND(K147*(L147+1),2)),0)</f>
        <v>1444.79</v>
      </c>
      <c r="N147" s="576">
        <f>IF(J147="","",ROUND((J147*M147),2))</f>
        <v>7223.95</v>
      </c>
      <c r="P147" s="588"/>
      <c r="Q147" s="589">
        <f>N147</f>
        <v>7223.95</v>
      </c>
      <c r="R147" s="588"/>
      <c r="S147" s="433"/>
      <c r="T147" s="588"/>
      <c r="U147" s="588"/>
    </row>
    <row r="148" spans="1:21" s="588" customFormat="1" ht="51">
      <c r="A148" s="430">
        <v>138</v>
      </c>
      <c r="B148" s="590"/>
      <c r="C148" s="431" t="str">
        <f>+C147</f>
        <v>6.3</v>
      </c>
      <c r="D148" s="587">
        <f>1+D147</f>
        <v>3</v>
      </c>
      <c r="E148" s="572" t="str">
        <f>C148&amp;"."&amp;D148</f>
        <v>6.3.3</v>
      </c>
      <c r="F148" s="579" t="s">
        <v>2239</v>
      </c>
      <c r="G148" s="581" t="s">
        <v>8643</v>
      </c>
      <c r="H148" s="750" t="str">
        <f>IF($G148="","",IFERROR(VLOOKUP($G148,SERVIÇOS!$C:$G,2,0),IFERROR(VLOOKUP($G148,CPU!$F:$M,2,0),"")))</f>
        <v>KIT DE PORTA DE MADEIRA DE CORRER PARA PINTURA, SEMI-OCA (LEVE OU MÉDIA), PADRÃO MÉDIO, 90X210CM, ESPESSURA DE 3,5CM, ITENS INCLUSOS: TRILHO, MONTAGEM E INSTALAÇÃO DO BATENTE, FECHADURA COM EXECUÇÃO DO FURO - FORNECIMENTO E INSTALAÇÃO</v>
      </c>
      <c r="I148" s="578" t="str">
        <f>IF($G148="","",IFERROR(VLOOKUP($G148,SERVIÇOS!$C:$G,3,0),IFERROR(VLOOKUP($G148,CPU!$F:$M,3,0),"")))</f>
        <v>UN</v>
      </c>
      <c r="J148" s="576">
        <v>1</v>
      </c>
      <c r="K148" s="576">
        <f>IF($G148="","",IFERROR(VLOOKUP($G148,SERVIÇOS!$C:$H,6,0),IFERROR(VLOOKUP($G148,CPU!$F:$M,8,0),"")))</f>
        <v>558.58999999999992</v>
      </c>
      <c r="L148" s="577">
        <f>IF(J148&lt;&gt;"",$N$1,"")</f>
        <v>0.2354</v>
      </c>
      <c r="M148" s="576">
        <f>IF(J148&lt;&gt;0,(ROUND(K148*(L148+1),2)),0)</f>
        <v>690.08</v>
      </c>
      <c r="N148" s="576">
        <f>IF(J148="","",ROUND((J148*M148),2))</f>
        <v>690.08</v>
      </c>
      <c r="O148" s="431"/>
      <c r="Q148" s="589">
        <f>N148</f>
        <v>690.08</v>
      </c>
      <c r="S148" s="433"/>
    </row>
    <row r="149" spans="1:21" ht="63.75">
      <c r="A149" s="430">
        <v>139</v>
      </c>
      <c r="B149" s="590"/>
      <c r="C149" s="431" t="str">
        <f>+C148</f>
        <v>6.3</v>
      </c>
      <c r="D149" s="587">
        <f>1+D148</f>
        <v>4</v>
      </c>
      <c r="E149" s="572" t="str">
        <f>C149&amp;"."&amp;D149</f>
        <v>6.3.4</v>
      </c>
      <c r="F149" s="579" t="s">
        <v>2239</v>
      </c>
      <c r="G149" s="581" t="s">
        <v>7179</v>
      </c>
      <c r="H149" s="750" t="str">
        <f>IF($G149="","",IFERROR(VLOOKUP($G149,SERVIÇOS!$C:$G,2,0),IFERROR(VLOOKUP($G149,CPU!$F:$M,2,0),"")))</f>
        <v>KIT DE PORTA DE MADEIRA PARA PINTURA, SEMI-OCA, PADRÃO MÉDIO, 90X210CM, ESPESSURA 3,5CM, COM CHAPA DE PROTEÇÃO DE PORTA EM AÇO INOX (ALTURA 40CM) E BARRA DE APOIO EM AÇO INOX 40CM, ITENS INCLUSOS: DOBRADIÇAS, MONTAGEM E INSTALAÇÃO DO BATENTE, FECHADURA COM EXECUÇÃO DO FURO - FORNECIMENTO E INSTALAÇÃO</v>
      </c>
      <c r="I149" s="578" t="str">
        <f>IF($G149="","",IFERROR(VLOOKUP($G149,SERVIÇOS!$C:$G,3,0),IFERROR(VLOOKUP($G149,CPU!$F:$M,3,0),"")))</f>
        <v>UN</v>
      </c>
      <c r="J149" s="576">
        <v>2</v>
      </c>
      <c r="K149" s="576">
        <f>IF($G149="","",IFERROR(VLOOKUP($G149,SERVIÇOS!$C:$H,6,0),IFERROR(VLOOKUP($G149,CPU!$F:$M,8,0),"")))</f>
        <v>1661.5</v>
      </c>
      <c r="L149" s="577">
        <f>IF(J149&lt;&gt;"",$N$1,"")</f>
        <v>0.2354</v>
      </c>
      <c r="M149" s="576">
        <f>IF(J149&lt;&gt;0,(ROUND(K149*(L149+1),2)),0)</f>
        <v>2052.62</v>
      </c>
      <c r="N149" s="576">
        <f>IF(J149="","",ROUND((J149*M149),2))</f>
        <v>4105.24</v>
      </c>
      <c r="P149" s="588"/>
      <c r="Q149" s="589">
        <f>N149</f>
        <v>4105.24</v>
      </c>
      <c r="R149" s="588"/>
      <c r="S149" s="433"/>
      <c r="T149" s="588"/>
      <c r="U149" s="588"/>
    </row>
    <row r="150" spans="1:21">
      <c r="A150" s="430">
        <v>140</v>
      </c>
      <c r="B150" s="590"/>
      <c r="C150" s="431" t="str">
        <f>+E150</f>
        <v>6.4</v>
      </c>
      <c r="D150" s="587"/>
      <c r="E150" s="568" t="s">
        <v>1930</v>
      </c>
      <c r="F150" s="569"/>
      <c r="G150" s="569"/>
      <c r="H150" s="749" t="s">
        <v>8670</v>
      </c>
      <c r="I150" s="570"/>
      <c r="J150" s="571"/>
      <c r="K150" s="571"/>
      <c r="L150" s="571"/>
      <c r="M150" s="571"/>
      <c r="N150" s="571"/>
      <c r="P150" s="588"/>
      <c r="Q150" s="589"/>
      <c r="R150" s="588"/>
      <c r="S150" s="433"/>
      <c r="T150" s="588"/>
      <c r="U150" s="588"/>
    </row>
    <row r="151" spans="1:21" ht="38.25">
      <c r="A151" s="430">
        <v>141</v>
      </c>
      <c r="B151" s="590"/>
      <c r="C151" s="431" t="str">
        <f>+C150</f>
        <v>6.4</v>
      </c>
      <c r="D151" s="587">
        <f>1+D150</f>
        <v>1</v>
      </c>
      <c r="E151" s="572" t="str">
        <f>C151&amp;"."&amp;D151</f>
        <v>6.4.1</v>
      </c>
      <c r="F151" s="579" t="s">
        <v>2239</v>
      </c>
      <c r="G151" s="581" t="s">
        <v>8646</v>
      </c>
      <c r="H151" s="750" t="str">
        <f>IF($G151="","",IFERROR(VLOOKUP($G151,SERVIÇOS!$C:$G,2,0),IFERROR(VLOOKUP($G151,CPU!$F:$M,2,0),"")))</f>
        <v>CONJUNTO DE VIDRO EM ALUMÍNIO COR PRETO E VIDRO ESTRUTURAL COM PELÍCULA REFLETIVA, INCLUSO UMA FAIXA DE FOLHAS PROJETANTES E UMA PORTA DE ABRIR 2 FOLHAS - FORNECIMENTO E INSTALAÇÃO</v>
      </c>
      <c r="I151" s="578" t="str">
        <f>IF($G151="","",IFERROR(VLOOKUP($G151,SERVIÇOS!$C:$G,3,0),IFERROR(VLOOKUP($G151,CPU!$F:$M,3,0),"")))</f>
        <v>M2</v>
      </c>
      <c r="J151" s="576">
        <v>45.28</v>
      </c>
      <c r="K151" s="576">
        <f>IF($G151="","",IFERROR(VLOOKUP($G151,SERVIÇOS!$C:$H,6,0),IFERROR(VLOOKUP($G151,CPU!$F:$M,8,0),"")))</f>
        <v>2006.2099999999998</v>
      </c>
      <c r="L151" s="577">
        <f>IF(J151&lt;&gt;"",$N$1,"")</f>
        <v>0.2354</v>
      </c>
      <c r="M151" s="576">
        <f>IF(J151&lt;&gt;0,(ROUND(K151*(L151+1),2)),0)</f>
        <v>2478.4699999999998</v>
      </c>
      <c r="N151" s="576">
        <f>IF(J151="","",ROUND((J151*M151),2))</f>
        <v>112225.12</v>
      </c>
      <c r="P151" s="588"/>
      <c r="Q151" s="589">
        <f>N151</f>
        <v>112225.12</v>
      </c>
      <c r="R151" s="588"/>
      <c r="S151" s="433"/>
      <c r="T151" s="588"/>
      <c r="U151" s="588"/>
    </row>
    <row r="152" spans="1:21">
      <c r="A152" s="430">
        <v>140</v>
      </c>
      <c r="B152" s="590"/>
      <c r="C152" s="431" t="str">
        <f>+E152</f>
        <v>6.5</v>
      </c>
      <c r="D152" s="587"/>
      <c r="E152" s="568" t="s">
        <v>8753</v>
      </c>
      <c r="F152" s="569"/>
      <c r="G152" s="569"/>
      <c r="H152" s="749" t="s">
        <v>8671</v>
      </c>
      <c r="I152" s="570"/>
      <c r="J152" s="571"/>
      <c r="K152" s="571"/>
      <c r="L152" s="571"/>
      <c r="M152" s="571"/>
      <c r="N152" s="571"/>
      <c r="P152" s="588"/>
      <c r="Q152" s="589"/>
      <c r="R152" s="588"/>
      <c r="S152" s="433"/>
      <c r="T152" s="588"/>
      <c r="U152" s="588"/>
    </row>
    <row r="153" spans="1:21" ht="38.25">
      <c r="A153" s="430">
        <v>141</v>
      </c>
      <c r="B153" s="590"/>
      <c r="C153" s="431" t="str">
        <f>+C152</f>
        <v>6.5</v>
      </c>
      <c r="D153" s="587">
        <f>1+D152</f>
        <v>1</v>
      </c>
      <c r="E153" s="572" t="str">
        <f>C153&amp;"."&amp;D153</f>
        <v>6.5.1</v>
      </c>
      <c r="F153" s="579" t="s">
        <v>2239</v>
      </c>
      <c r="G153" s="935" t="s">
        <v>8648</v>
      </c>
      <c r="H153" s="750" t="str">
        <f>IF($G153="","",IFERROR(VLOOKUP($G153,SERVIÇOS!$C:$G,2,0),IFERROR(VLOOKUP($G153,CPU!$F:$M,2,0),"")))</f>
        <v>PORTÃO DE FERRO PIVOTANTE NYLOFOR, COMPOSTO DE QUADRO, PAINÉIS E ACESSÓRIOS COM PINTURA ELETROSTÁTICA COM TINTA POLIESTER, COR PRETO, COM POSTE EM AÇO REVESTIDO, COR PRETO - FORNECIMENTO E MONTAGEM</v>
      </c>
      <c r="I153" s="578" t="str">
        <f>IF($G153="","",IFERROR(VLOOKUP($G153,SERVIÇOS!$C:$G,3,0),IFERROR(VLOOKUP($G153,CPU!$F:$M,3,0),"")))</f>
        <v>M2</v>
      </c>
      <c r="J153" s="576">
        <v>1.89</v>
      </c>
      <c r="K153" s="576">
        <f>IF($G153="","",IFERROR(VLOOKUP($G153,SERVIÇOS!$C:$H,6,0),IFERROR(VLOOKUP($G153,CPU!$F:$M,8,0),"")))</f>
        <v>526.97</v>
      </c>
      <c r="L153" s="577">
        <f>IF(J153&lt;&gt;"",$N$1,"")</f>
        <v>0.2354</v>
      </c>
      <c r="M153" s="576">
        <f>IF(J153&lt;&gt;0,(ROUND(K153*(L153+1),2)),0)</f>
        <v>651.02</v>
      </c>
      <c r="N153" s="576">
        <f>IF(J153="","",ROUND((J153*M153),2))</f>
        <v>1230.43</v>
      </c>
      <c r="P153" s="588"/>
      <c r="Q153" s="589">
        <f>N153</f>
        <v>1230.43</v>
      </c>
      <c r="R153" s="588"/>
      <c r="S153" s="433"/>
      <c r="T153" s="588"/>
      <c r="U153" s="588"/>
    </row>
    <row r="154" spans="1:21" ht="51">
      <c r="A154" s="430">
        <v>141</v>
      </c>
      <c r="B154" s="590"/>
      <c r="C154" s="431" t="str">
        <f>+C153</f>
        <v>6.5</v>
      </c>
      <c r="D154" s="587">
        <f>1+D153</f>
        <v>2</v>
      </c>
      <c r="E154" s="572" t="str">
        <f>C154&amp;"."&amp;D154</f>
        <v>6.5.2</v>
      </c>
      <c r="F154" s="579" t="s">
        <v>2239</v>
      </c>
      <c r="G154" s="935" t="s">
        <v>8655</v>
      </c>
      <c r="H154" s="750" t="str">
        <f>IF($G154="","",IFERROR(VLOOKUP($G154,SERVIÇOS!$C:$G,2,0),IFERROR(VLOOKUP($G154,CPU!$F:$M,2,0),"")))</f>
        <v>GRADIL NYLOFOR H=2,43M, MALHA 5 X 20CM - FIO 5,00MM, COM FIXADORES DE POLIAMIDA EM POSTE 40 x 60 MM CHUMBADOS EM BASE DE CONCRETO (EXCLUSIVE ESTA), REVESTIDOS EM POLIESTER POR PROCESSO DE PINTURA ELETROSTÁTICA (GRADIL E POSTE), COR PRETO - FORNECIMENTO E INSTALAÇÃO</v>
      </c>
      <c r="I154" s="578" t="str">
        <f>IF($G154="","",IFERROR(VLOOKUP($G154,SERVIÇOS!$C:$G,3,0),IFERROR(VLOOKUP($G154,CPU!$F:$M,3,0),"")))</f>
        <v>M2</v>
      </c>
      <c r="J154" s="576">
        <v>42.18</v>
      </c>
      <c r="K154" s="576">
        <f>IF($G154="","",IFERROR(VLOOKUP($G154,SERVIÇOS!$C:$H,6,0),IFERROR(VLOOKUP($G154,CPU!$F:$M,8,0),"")))</f>
        <v>470.57000000000005</v>
      </c>
      <c r="L154" s="577">
        <f>IF(J154&lt;&gt;"",$N$1,"")</f>
        <v>0.2354</v>
      </c>
      <c r="M154" s="576">
        <f>IF(J154&lt;&gt;0,(ROUND(K154*(L154+1),2)),0)</f>
        <v>581.34</v>
      </c>
      <c r="N154" s="576">
        <f>IF(J154="","",ROUND((J154*M154),2))</f>
        <v>24520.92</v>
      </c>
      <c r="P154" s="588"/>
      <c r="Q154" s="589">
        <f>N154</f>
        <v>24520.92</v>
      </c>
      <c r="R154" s="588"/>
      <c r="S154" s="433"/>
      <c r="T154" s="588"/>
      <c r="U154" s="588"/>
    </row>
    <row r="155" spans="1:21" s="588" customFormat="1">
      <c r="A155" s="430">
        <v>144</v>
      </c>
      <c r="B155" s="590"/>
      <c r="C155" s="431" t="str">
        <f>+E155</f>
        <v>6.6</v>
      </c>
      <c r="D155" s="587"/>
      <c r="E155" s="568" t="s">
        <v>8754</v>
      </c>
      <c r="F155" s="569"/>
      <c r="G155" s="569"/>
      <c r="H155" s="749" t="s">
        <v>4874</v>
      </c>
      <c r="I155" s="570"/>
      <c r="J155" s="571"/>
      <c r="K155" s="571"/>
      <c r="L155" s="571"/>
      <c r="M155" s="571"/>
      <c r="N155" s="571"/>
      <c r="O155" s="431"/>
      <c r="Q155" s="589"/>
      <c r="S155" s="433"/>
    </row>
    <row r="156" spans="1:21" ht="51">
      <c r="A156" s="430">
        <v>145</v>
      </c>
      <c r="B156" s="590"/>
      <c r="C156" s="431" t="str">
        <f>+C155</f>
        <v>6.6</v>
      </c>
      <c r="D156" s="587">
        <f>1+D155</f>
        <v>1</v>
      </c>
      <c r="E156" s="572" t="str">
        <f>C156&amp;"."&amp;D156</f>
        <v>6.6.1</v>
      </c>
      <c r="F156" s="579" t="s">
        <v>2239</v>
      </c>
      <c r="G156" s="746" t="s">
        <v>8657</v>
      </c>
      <c r="H156" s="750" t="str">
        <f>IF($G156="","",IFERROR(VLOOKUP($G156,SERVIÇOS!$C:$G,2,0),IFERROR(VLOOKUP($G156,CPU!$F:$M,2,0),"")))</f>
        <v>GUARDA-CORPO PANORÂMICO, ALTURA 110CM, COM MONTANTES EM TUBO QUADRADO DE INOX 304 POLIDO 40X40MM, , FIXADO COM CHUMBADOR MECÂNICO, INCLUSO PERFIL BAGUETE PARA FIXAÇAO DE VIDRO E VIDRO TEMPERADO LAMINADO (PVB 6+6 MM) LISO INCOLOR</v>
      </c>
      <c r="I156" s="578" t="str">
        <f>IF($G156="","",IFERROR(VLOOKUP($G156,SERVIÇOS!$C:$G,3,0),IFERROR(VLOOKUP($G156,CPU!$F:$M,3,0),"")))</f>
        <v>M</v>
      </c>
      <c r="J156" s="576">
        <v>32.35</v>
      </c>
      <c r="K156" s="576">
        <f>IF($G156="","",IFERROR(VLOOKUP($G156,SERVIÇOS!$C:$H,6,0),IFERROR(VLOOKUP($G156,CPU!$F:$M,8,0),"")))</f>
        <v>1843.41</v>
      </c>
      <c r="L156" s="577">
        <f>IF(J156&lt;&gt;"",$N$1,"")</f>
        <v>0.2354</v>
      </c>
      <c r="M156" s="576">
        <f>IF(J156&lt;&gt;0,(ROUND(K156*(L156+1),2)),0)</f>
        <v>2277.35</v>
      </c>
      <c r="N156" s="576">
        <f>IF(J156="","",ROUND((J156*M156),2))</f>
        <v>73672.27</v>
      </c>
      <c r="Q156" s="589">
        <f>N156</f>
        <v>73672.27</v>
      </c>
      <c r="S156" s="433"/>
    </row>
    <row r="157" spans="1:21" s="588" customFormat="1" ht="25.5">
      <c r="A157" s="430">
        <v>146</v>
      </c>
      <c r="B157" s="590"/>
      <c r="C157" s="431" t="str">
        <f>+C156</f>
        <v>6.6</v>
      </c>
      <c r="D157" s="587">
        <f>1+D156</f>
        <v>2</v>
      </c>
      <c r="E157" s="572" t="str">
        <f>C157&amp;"."&amp;D157</f>
        <v>6.6.2</v>
      </c>
      <c r="F157" s="579" t="s">
        <v>2239</v>
      </c>
      <c r="G157" s="581" t="s">
        <v>8661</v>
      </c>
      <c r="H157" s="750" t="str">
        <f>IF($G157="","",IFERROR(VLOOKUP($G157,SERVIÇOS!$C:$G,2,0),IFERROR(VLOOKUP($G157,CPU!$F:$M,2,0),"")))</f>
        <v>CORRIMÃO DUPLO, DIÂMETRO EXTERNO = 1 1/2"", EM AÇO INOX, ALTURA 92CM E 70 CM</v>
      </c>
      <c r="I157" s="578" t="str">
        <f>IF($G157="","",IFERROR(VLOOKUP($G157,SERVIÇOS!$C:$G,3,0),IFERROR(VLOOKUP($G157,CPU!$F:$M,3,0),"")))</f>
        <v>M</v>
      </c>
      <c r="J157" s="576">
        <v>23.85</v>
      </c>
      <c r="K157" s="576">
        <f>IF($G157="","",IFERROR(VLOOKUP($G157,SERVIÇOS!$C:$H,6,0),IFERROR(VLOOKUP($G157,CPU!$F:$M,8,0),"")))</f>
        <v>489.37</v>
      </c>
      <c r="L157" s="577">
        <f>IF(J157&lt;&gt;"",$N$1,"")</f>
        <v>0.2354</v>
      </c>
      <c r="M157" s="576">
        <f>IF(J157&lt;&gt;0,(ROUND(K157*(L157+1),2)),0)</f>
        <v>604.57000000000005</v>
      </c>
      <c r="N157" s="576">
        <f>IF(J157="","",ROUND((J157*M157),2))</f>
        <v>14418.99</v>
      </c>
      <c r="O157" s="431"/>
      <c r="Q157" s="589">
        <f>N157</f>
        <v>14418.99</v>
      </c>
      <c r="S157" s="433"/>
    </row>
    <row r="158" spans="1:21" s="588" customFormat="1" ht="25.5">
      <c r="A158" s="430">
        <v>147</v>
      </c>
      <c r="B158" s="590"/>
      <c r="C158" s="431" t="str">
        <f>+C157</f>
        <v>6.6</v>
      </c>
      <c r="D158" s="587">
        <f>1+D157</f>
        <v>3</v>
      </c>
      <c r="E158" s="572" t="str">
        <f>C158&amp;"."&amp;D158</f>
        <v>6.6.3</v>
      </c>
      <c r="F158" s="579" t="s">
        <v>2239</v>
      </c>
      <c r="G158" s="581" t="s">
        <v>8663</v>
      </c>
      <c r="H158" s="750" t="str">
        <f>IF($G158="","",IFERROR(VLOOKUP($G158,SERVIÇOS!$C:$G,2,0),IFERROR(VLOOKUP($G158,CPU!$F:$M,2,0),"")))</f>
        <v>CORRIMÃO ALÇA DE APOIO EM AÇO INOX 304 POLIDO, DIÂMETRO EXTERNO = 1 1/2"", ALTURA 92CM, INCLUSO CANOPLAS DE ACABAMENTOS</v>
      </c>
      <c r="I158" s="578" t="str">
        <f>IF($G158="","",IFERROR(VLOOKUP($G158,SERVIÇOS!$C:$G,3,0),IFERROR(VLOOKUP($G158,CPU!$F:$M,3,0),"")))</f>
        <v>M</v>
      </c>
      <c r="J158" s="576">
        <v>8.0500000000000007</v>
      </c>
      <c r="K158" s="576">
        <f>IF($G158="","",IFERROR(VLOOKUP($G158,SERVIÇOS!$C:$H,6,0),IFERROR(VLOOKUP($G158,CPU!$F:$M,8,0),"")))</f>
        <v>796.43</v>
      </c>
      <c r="L158" s="577">
        <f>IF(J158&lt;&gt;"",$N$1,"")</f>
        <v>0.2354</v>
      </c>
      <c r="M158" s="576">
        <f>IF(J158&lt;&gt;0,(ROUND(K158*(L158+1),2)),0)</f>
        <v>983.91</v>
      </c>
      <c r="N158" s="576">
        <f>IF(J158="","",ROUND((J158*M158),2))</f>
        <v>7920.48</v>
      </c>
      <c r="O158" s="431"/>
      <c r="Q158" s="589">
        <f>N158</f>
        <v>7920.48</v>
      </c>
      <c r="S158" s="433"/>
    </row>
    <row r="159" spans="1:21" s="588" customFormat="1">
      <c r="A159" s="430">
        <v>146</v>
      </c>
      <c r="B159" s="590"/>
      <c r="C159" s="431" t="str">
        <f>+C158</f>
        <v>6.6</v>
      </c>
      <c r="D159" s="587">
        <f>1+D158</f>
        <v>4</v>
      </c>
      <c r="E159" s="572" t="str">
        <f>C159&amp;"."&amp;D159</f>
        <v>6.6.4</v>
      </c>
      <c r="F159" s="579" t="s">
        <v>2239</v>
      </c>
      <c r="G159" s="581" t="s">
        <v>8666</v>
      </c>
      <c r="H159" s="750" t="str">
        <f>IF($G159="","",IFERROR(VLOOKUP($G159,SERVIÇOS!$C:$G,2,0),IFERROR(VLOOKUP($G159,CPU!$F:$M,2,0),"")))</f>
        <v>GUARDA-CORPO EM TUBO DE AÇO INOX D = 1 1/2", ALTURA 70CM</v>
      </c>
      <c r="I159" s="578" t="str">
        <f>IF($G159="","",IFERROR(VLOOKUP($G159,SERVIÇOS!$C:$G,3,0),IFERROR(VLOOKUP($G159,CPU!$F:$M,3,0),"")))</f>
        <v>M</v>
      </c>
      <c r="J159" s="576">
        <v>26.9</v>
      </c>
      <c r="K159" s="576">
        <f>IF($G159="","",IFERROR(VLOOKUP($G159,SERVIÇOS!$C:$H,6,0),IFERROR(VLOOKUP($G159,CPU!$F:$M,8,0),"")))</f>
        <v>1448.24</v>
      </c>
      <c r="L159" s="577">
        <f>IF(J159&lt;&gt;"",$N$1,"")</f>
        <v>0.2354</v>
      </c>
      <c r="M159" s="576">
        <f>IF(J159&lt;&gt;0,(ROUND(K159*(L159+1),2)),0)</f>
        <v>1789.16</v>
      </c>
      <c r="N159" s="576">
        <f>IF(J159="","",ROUND((J159*M159),2))</f>
        <v>48128.4</v>
      </c>
      <c r="O159" s="431"/>
      <c r="Q159" s="589">
        <f>N159</f>
        <v>48128.4</v>
      </c>
      <c r="S159" s="433"/>
    </row>
    <row r="160" spans="1:21" s="588" customFormat="1">
      <c r="A160" s="430">
        <v>147</v>
      </c>
      <c r="B160" s="590"/>
      <c r="C160" s="431" t="str">
        <f>+C159</f>
        <v>6.6</v>
      </c>
      <c r="D160" s="587">
        <f>1+D159</f>
        <v>5</v>
      </c>
      <c r="E160" s="572" t="str">
        <f>C160&amp;"."&amp;D160</f>
        <v>6.6.5</v>
      </c>
      <c r="F160" s="579" t="s">
        <v>2239</v>
      </c>
      <c r="G160" s="581" t="s">
        <v>2875</v>
      </c>
      <c r="H160" s="750" t="str">
        <f>IF($G160="","",IFERROR(VLOOKUP($G160,SERVIÇOS!$C:$G,2,0),IFERROR(VLOOKUP($G160,CPU!$F:$M,2,0),"")))</f>
        <v>GUARDA-CORPO EM TUBO DE AÇO INOX D = 1 1/2", ALTURA 110CM</v>
      </c>
      <c r="I160" s="578" t="str">
        <f>IF($G160="","",IFERROR(VLOOKUP($G160,SERVIÇOS!$C:$G,3,0),IFERROR(VLOOKUP($G160,CPU!$F:$M,3,0),"")))</f>
        <v>M</v>
      </c>
      <c r="J160" s="576">
        <v>19.899999999999999</v>
      </c>
      <c r="K160" s="576">
        <f>IF($G160="","",IFERROR(VLOOKUP($G160,SERVIÇOS!$C:$H,6,0),IFERROR(VLOOKUP($G160,CPU!$F:$M,8,0),"")))</f>
        <v>1764.81</v>
      </c>
      <c r="L160" s="577">
        <f>IF(J160&lt;&gt;"",$N$1,"")</f>
        <v>0.2354</v>
      </c>
      <c r="M160" s="576">
        <f>IF(J160&lt;&gt;0,(ROUND(K160*(L160+1),2)),0)</f>
        <v>2180.25</v>
      </c>
      <c r="N160" s="576">
        <f>IF(J160="","",ROUND((J160*M160),2))</f>
        <v>43386.98</v>
      </c>
      <c r="O160" s="431"/>
      <c r="Q160" s="589">
        <f>N160</f>
        <v>43386.98</v>
      </c>
      <c r="S160" s="433"/>
    </row>
    <row r="161" spans="1:21" s="588" customFormat="1">
      <c r="A161" s="430">
        <v>144</v>
      </c>
      <c r="B161" s="590"/>
      <c r="C161" s="431" t="str">
        <f>+E161</f>
        <v>6.7</v>
      </c>
      <c r="D161" s="587"/>
      <c r="E161" s="568" t="s">
        <v>8755</v>
      </c>
      <c r="F161" s="569"/>
      <c r="G161" s="569"/>
      <c r="H161" s="749" t="s">
        <v>8675</v>
      </c>
      <c r="I161" s="570"/>
      <c r="J161" s="571"/>
      <c r="K161" s="571"/>
      <c r="L161" s="571"/>
      <c r="M161" s="571"/>
      <c r="N161" s="571"/>
      <c r="O161" s="431"/>
      <c r="Q161" s="589"/>
      <c r="S161" s="433"/>
    </row>
    <row r="162" spans="1:21">
      <c r="A162" s="430">
        <v>145</v>
      </c>
      <c r="B162" s="590"/>
      <c r="C162" s="431" t="str">
        <f>+C161</f>
        <v>6.7</v>
      </c>
      <c r="D162" s="587">
        <f>1+D161</f>
        <v>1</v>
      </c>
      <c r="E162" s="572" t="str">
        <f>C162&amp;"."&amp;D162</f>
        <v>6.7.1</v>
      </c>
      <c r="F162" s="579" t="s">
        <v>2239</v>
      </c>
      <c r="G162" s="746" t="s">
        <v>8673</v>
      </c>
      <c r="H162" s="750" t="str">
        <f>IF($G162="","",IFERROR(VLOOKUP($G162,SERVIÇOS!$C:$G,2,0),IFERROR(VLOOKUP($G162,CPU!$F:$M,2,0),"")))</f>
        <v>PEITORIL/PINGADEIRA EM GRANITO CASTELO, ESPESSURA 2CM, LARGURA 22CM</v>
      </c>
      <c r="I162" s="578" t="str">
        <f>IF($G162="","",IFERROR(VLOOKUP($G162,SERVIÇOS!$C:$G,3,0),IFERROR(VLOOKUP($G162,CPU!$F:$M,3,0),"")))</f>
        <v>M</v>
      </c>
      <c r="J162" s="576">
        <v>69.8</v>
      </c>
      <c r="K162" s="576">
        <f>IF($G162="","",IFERROR(VLOOKUP($G162,SERVIÇOS!$C:$H,6,0),IFERROR(VLOOKUP($G162,CPU!$F:$M,8,0),"")))</f>
        <v>156.74</v>
      </c>
      <c r="L162" s="577">
        <f>IF(J162&lt;&gt;"",$N$1,"")</f>
        <v>0.2354</v>
      </c>
      <c r="M162" s="576">
        <f>IF(J162&lt;&gt;0,(ROUND(K162*(L162+1),2)),0)</f>
        <v>193.64</v>
      </c>
      <c r="N162" s="576">
        <f>IF(J162="","",ROUND((J162*M162),2))</f>
        <v>13516.07</v>
      </c>
      <c r="Q162" s="589">
        <f>N162</f>
        <v>13516.07</v>
      </c>
      <c r="S162" s="433"/>
    </row>
    <row r="163" spans="1:21" s="588" customFormat="1" ht="14.25" customHeight="1">
      <c r="A163" s="430">
        <v>148</v>
      </c>
      <c r="B163" s="590"/>
      <c r="C163" s="431">
        <f>+E163</f>
        <v>7</v>
      </c>
      <c r="D163" s="587"/>
      <c r="E163" s="859">
        <v>7</v>
      </c>
      <c r="F163" s="860"/>
      <c r="G163" s="860"/>
      <c r="H163" s="861" t="s">
        <v>4870</v>
      </c>
      <c r="I163" s="862"/>
      <c r="J163" s="863"/>
      <c r="K163" s="866"/>
      <c r="L163" s="865"/>
      <c r="M163" s="864"/>
      <c r="N163" s="864">
        <f>SUM(N164:N171)</f>
        <v>31162.83</v>
      </c>
      <c r="O163" s="431"/>
      <c r="P163" s="430"/>
      <c r="Q163" s="589"/>
      <c r="R163" s="430"/>
      <c r="S163" s="433"/>
      <c r="T163" s="433">
        <v>284806.11</v>
      </c>
      <c r="U163" s="433">
        <v>359425.32</v>
      </c>
    </row>
    <row r="164" spans="1:21" s="588" customFormat="1">
      <c r="A164" s="430">
        <v>149</v>
      </c>
      <c r="B164" s="590"/>
      <c r="C164" s="431" t="str">
        <f>+E164</f>
        <v>7.1</v>
      </c>
      <c r="D164" s="587"/>
      <c r="E164" s="568" t="s">
        <v>6917</v>
      </c>
      <c r="F164" s="569"/>
      <c r="G164" s="569"/>
      <c r="H164" s="749" t="s">
        <v>6778</v>
      </c>
      <c r="I164" s="570"/>
      <c r="J164" s="571"/>
      <c r="K164" s="571"/>
      <c r="L164" s="571"/>
      <c r="M164" s="571"/>
      <c r="N164" s="571"/>
      <c r="O164" s="431"/>
      <c r="P164" s="430"/>
      <c r="Q164" s="589"/>
      <c r="R164" s="430"/>
      <c r="S164" s="433"/>
      <c r="T164" s="430"/>
      <c r="U164" s="430"/>
    </row>
    <row r="165" spans="1:21" s="588" customFormat="1" ht="38.25">
      <c r="A165" s="430">
        <v>150</v>
      </c>
      <c r="B165" s="590"/>
      <c r="C165" s="431" t="str">
        <f>+C164</f>
        <v>7.1</v>
      </c>
      <c r="D165" s="587">
        <f>1+D164</f>
        <v>1</v>
      </c>
      <c r="E165" s="572" t="str">
        <f>C165&amp;"."&amp;D165</f>
        <v>7.1.1</v>
      </c>
      <c r="F165" s="579" t="s">
        <v>2239</v>
      </c>
      <c r="G165" s="581" t="s">
        <v>5272</v>
      </c>
      <c r="H165" s="750" t="str">
        <f>IF($G165="","",IFERROR(VLOOKUP($G165,SERVIÇOS!$C:$G,2,0),IFERROR(VLOOKUP($G165,CPU!$F:$M,2,0),"")))</f>
        <v>REFORÇO DE ESTRUTURA METÁLICA, COM LIGAÇÕES SOLDADAS, INCLUSOS PERFIS METÁLICOS, CHAPAS METÁLICAS, MÃO DE OBRA E TRANSPORTE COM GUINDASTE, CONFORME PROJETO - FORNECIMENTO E INSTALAÇÃO</v>
      </c>
      <c r="I165" s="578" t="str">
        <f>IF($G165="","",IFERROR(VLOOKUP($G165,SERVIÇOS!$C:$G,3,0),IFERROR(VLOOKUP($G165,CPU!$F:$M,3,0),"")))</f>
        <v>KG</v>
      </c>
      <c r="J165" s="576">
        <f>252.2+22.1+16.1+18.2+12.8+6.3+4.4+235.5+195+2.6+10+10.2+5.4</f>
        <v>790.80000000000007</v>
      </c>
      <c r="K165" s="576">
        <f>IF($G165="","",IFERROR(VLOOKUP($G165,SERVIÇOS!$C:$H,6,0),IFERROR(VLOOKUP($G165,CPU!$F:$M,8,0),"")))</f>
        <v>13.64</v>
      </c>
      <c r="L165" s="577">
        <f>IF(J165&lt;&gt;"",$N$1,"")</f>
        <v>0.2354</v>
      </c>
      <c r="M165" s="576">
        <f>IF(J165&lt;&gt;0,(ROUND(K165*(L165+1),2)),0)</f>
        <v>16.850000000000001</v>
      </c>
      <c r="N165" s="576">
        <f>IF(J165="","",ROUND((J165*M165),2))</f>
        <v>13324.98</v>
      </c>
      <c r="O165" s="431"/>
      <c r="P165" s="430"/>
      <c r="Q165" s="589">
        <f>N165</f>
        <v>13324.98</v>
      </c>
      <c r="R165" s="430"/>
      <c r="S165" s="433"/>
      <c r="T165" s="430"/>
      <c r="U165" s="430"/>
    </row>
    <row r="166" spans="1:21" s="588" customFormat="1">
      <c r="A166" s="430">
        <v>152</v>
      </c>
      <c r="B166" s="590"/>
      <c r="C166" s="431" t="str">
        <f>+E166</f>
        <v>7.2</v>
      </c>
      <c r="D166" s="587"/>
      <c r="E166" s="568" t="s">
        <v>6918</v>
      </c>
      <c r="F166" s="569"/>
      <c r="G166" s="569"/>
      <c r="H166" s="749" t="s">
        <v>8575</v>
      </c>
      <c r="I166" s="570"/>
      <c r="J166" s="571"/>
      <c r="K166" s="571"/>
      <c r="L166" s="571"/>
      <c r="M166" s="571"/>
      <c r="N166" s="571"/>
      <c r="O166" s="431"/>
      <c r="Q166" s="589"/>
      <c r="S166" s="433"/>
    </row>
    <row r="167" spans="1:21" s="588" customFormat="1" ht="25.5">
      <c r="A167" s="430">
        <v>153</v>
      </c>
      <c r="B167" s="590"/>
      <c r="C167" s="431" t="str">
        <f>+C166</f>
        <v>7.2</v>
      </c>
      <c r="D167" s="587">
        <f>1+D166</f>
        <v>1</v>
      </c>
      <c r="E167" s="572" t="str">
        <f>C167&amp;"."&amp;D167</f>
        <v>7.2.1</v>
      </c>
      <c r="F167" s="579" t="s">
        <v>2238</v>
      </c>
      <c r="G167" s="581">
        <v>98554</v>
      </c>
      <c r="H167" s="750" t="str">
        <f>IF($G167="","",IFERROR(VLOOKUP($G167,SERVIÇOS!$C:$G,2,0),IFERROR(VLOOKUP($G167,CPU!$F:$M,2,0),"")))</f>
        <v>IMPERMEABILIZAÇÃO DE SUPERFÍCIE COM MEMBRANA À BASE DE RESINA ACRÍLICA, 3 DEMÃOS. AF_06/2018</v>
      </c>
      <c r="I167" s="578" t="str">
        <f>IF($G167="","",IFERROR(VLOOKUP($G167,SERVIÇOS!$C:$G,3,0),IFERROR(VLOOKUP($G167,CPU!$F:$M,3,0),"")))</f>
        <v>M2</v>
      </c>
      <c r="J167" s="576">
        <v>3.7</v>
      </c>
      <c r="K167" s="576">
        <f>IF($G167="","",IFERROR(VLOOKUP($G167,SERVIÇOS!$C:$H,6,0),IFERROR(VLOOKUP($G167,CPU!$F:$M,8,0),"")))</f>
        <v>47.23</v>
      </c>
      <c r="L167" s="577">
        <f>IF(J167&lt;&gt;"",$N$1,"")</f>
        <v>0.2354</v>
      </c>
      <c r="M167" s="576">
        <f>IF(J167&lt;&gt;0,(ROUND(K167*(L167+1),2)),0)</f>
        <v>58.35</v>
      </c>
      <c r="N167" s="576">
        <f>IF(J167="","",ROUND((J167*M167),2))</f>
        <v>215.9</v>
      </c>
      <c r="O167" s="431"/>
      <c r="P167" s="430"/>
      <c r="Q167" s="589">
        <f>N167</f>
        <v>215.9</v>
      </c>
      <c r="R167" s="430"/>
      <c r="S167" s="433"/>
      <c r="T167" s="430"/>
      <c r="U167" s="430"/>
    </row>
    <row r="168" spans="1:21">
      <c r="A168" s="430">
        <v>155</v>
      </c>
      <c r="B168" s="590"/>
      <c r="C168" s="431" t="str">
        <f>+E168</f>
        <v>7.3</v>
      </c>
      <c r="D168" s="587"/>
      <c r="E168" s="568" t="s">
        <v>6919</v>
      </c>
      <c r="F168" s="569"/>
      <c r="G168" s="569"/>
      <c r="H168" s="749" t="s">
        <v>6764</v>
      </c>
      <c r="I168" s="570"/>
      <c r="J168" s="571"/>
      <c r="K168" s="571"/>
      <c r="L168" s="571"/>
      <c r="M168" s="571"/>
      <c r="N168" s="571"/>
      <c r="P168" s="588"/>
      <c r="Q168" s="589"/>
      <c r="R168" s="588"/>
      <c r="S168" s="433"/>
      <c r="T168" s="588"/>
      <c r="U168" s="588"/>
    </row>
    <row r="169" spans="1:21" s="588" customFormat="1" ht="25.5">
      <c r="A169" s="430">
        <v>156</v>
      </c>
      <c r="B169" s="590"/>
      <c r="C169" s="431" t="str">
        <f>+C168</f>
        <v>7.3</v>
      </c>
      <c r="D169" s="587">
        <f>1+D168</f>
        <v>1</v>
      </c>
      <c r="E169" s="572" t="str">
        <f>C169&amp;"."&amp;D169</f>
        <v>7.3.1</v>
      </c>
      <c r="F169" s="579" t="s">
        <v>2238</v>
      </c>
      <c r="G169" s="581">
        <v>94231</v>
      </c>
      <c r="H169" s="750" t="str">
        <f>IF($G169="","",IFERROR(VLOOKUP($G169,SERVIÇOS!$C:$G,2,0),IFERROR(VLOOKUP($G169,CPU!$F:$M,2,0),"")))</f>
        <v>RUFO EM CHAPA DE AÇO GALVANIZADO NÚMERO 24, CORTE DE 25 CM, INCLUSO TRANSPORTE VERTICAL. AF_07/2019</v>
      </c>
      <c r="I169" s="578" t="str">
        <f>IF($G169="","",IFERROR(VLOOKUP($G169,SERVIÇOS!$C:$G,3,0),IFERROR(VLOOKUP($G169,CPU!$F:$M,3,0),"")))</f>
        <v>M</v>
      </c>
      <c r="J169" s="576">
        <v>108.17</v>
      </c>
      <c r="K169" s="576">
        <f>IF($G169="","",IFERROR(VLOOKUP($G169,SERVIÇOS!$C:$H,6,0),IFERROR(VLOOKUP($G169,CPU!$F:$M,8,0),"")))</f>
        <v>62.16</v>
      </c>
      <c r="L169" s="577">
        <f>IF(J169&lt;&gt;"",$N$1,"")</f>
        <v>0.2354</v>
      </c>
      <c r="M169" s="576">
        <f>IF(J169&lt;&gt;0,(ROUND(K169*(L169+1),2)),0)</f>
        <v>76.790000000000006</v>
      </c>
      <c r="N169" s="576">
        <f>IF(J169="","",ROUND((J169*M169),2))</f>
        <v>8306.3700000000008</v>
      </c>
      <c r="O169" s="431"/>
      <c r="Q169" s="589">
        <f>N169</f>
        <v>8306.3700000000008</v>
      </c>
      <c r="S169" s="433"/>
    </row>
    <row r="170" spans="1:21" s="588" customFormat="1" ht="25.5">
      <c r="A170" s="430">
        <v>157</v>
      </c>
      <c r="B170" s="590"/>
      <c r="C170" s="431" t="str">
        <f>+C169</f>
        <v>7.3</v>
      </c>
      <c r="D170" s="587">
        <f>1+D169</f>
        <v>2</v>
      </c>
      <c r="E170" s="572" t="str">
        <f>C170&amp;"."&amp;D170</f>
        <v>7.3.2</v>
      </c>
      <c r="F170" s="579" t="s">
        <v>2239</v>
      </c>
      <c r="G170" s="581" t="s">
        <v>8380</v>
      </c>
      <c r="H170" s="750" t="str">
        <f>IF($G170="","",IFERROR(VLOOKUP($G170,SERVIÇOS!$C:$G,2,0),IFERROR(VLOOKUP($G170,CPU!$F:$M,2,0),"")))</f>
        <v>RUFO EXTERNO EM CHAPA DE AÇO GALVANIZADO NÚMERO 24, CORTE DE 33 CM, INCLUSO IÇAMENTO</v>
      </c>
      <c r="I170" s="578" t="str">
        <f>IF($G170="","",IFERROR(VLOOKUP($G170,SERVIÇOS!$C:$G,3,0),IFERROR(VLOOKUP($G170,CPU!$F:$M,3,0),"")))</f>
        <v>M</v>
      </c>
      <c r="J170" s="576">
        <v>54.64</v>
      </c>
      <c r="K170" s="576">
        <f>IF($G170="","",IFERROR(VLOOKUP($G170,SERVIÇOS!$C:$H,6,0),IFERROR(VLOOKUP($G170,CPU!$F:$M,8,0),"")))</f>
        <v>81.039999999999992</v>
      </c>
      <c r="L170" s="577">
        <f>IF(J170&lt;&gt;"",$N$1,"")</f>
        <v>0.2354</v>
      </c>
      <c r="M170" s="576">
        <f>IF(J170&lt;&gt;0,(ROUND(K170*(L170+1),2)),0)</f>
        <v>100.12</v>
      </c>
      <c r="N170" s="576">
        <f>IF(J170="","",ROUND((J170*M170),2))</f>
        <v>5470.56</v>
      </c>
      <c r="O170" s="431"/>
      <c r="Q170" s="589">
        <f>N170</f>
        <v>5470.56</v>
      </c>
      <c r="S170" s="433"/>
    </row>
    <row r="171" spans="1:21" s="588" customFormat="1" ht="25.5">
      <c r="A171" s="430">
        <v>158</v>
      </c>
      <c r="B171" s="590"/>
      <c r="C171" s="431" t="str">
        <f>+C170</f>
        <v>7.3</v>
      </c>
      <c r="D171" s="587">
        <f>1+D170</f>
        <v>3</v>
      </c>
      <c r="E171" s="572" t="str">
        <f>C171&amp;"."&amp;D171</f>
        <v>7.3.3</v>
      </c>
      <c r="F171" s="579" t="s">
        <v>2239</v>
      </c>
      <c r="G171" s="581" t="s">
        <v>882</v>
      </c>
      <c r="H171" s="750" t="str">
        <f>IF($G171="","",IFERROR(VLOOKUP($G171,SERVIÇOS!$C:$G,2,0),IFERROR(VLOOKUP($G171,CPU!$F:$M,2,0),"")))</f>
        <v>CONTRA-RUFO EM CHAPA DE AÇO GALVANIZADO NÚMERO 24, CORTE ATÉ 25 CM, INCLUSO TRANSPORTE VERTICAL</v>
      </c>
      <c r="I171" s="578" t="str">
        <f>IF($G171="","",IFERROR(VLOOKUP($G171,SERVIÇOS!$C:$G,3,0),IFERROR(VLOOKUP($G171,CPU!$F:$M,3,0),"")))</f>
        <v>M</v>
      </c>
      <c r="J171" s="576">
        <v>54.64</v>
      </c>
      <c r="K171" s="576">
        <f>IF($G171="","",IFERROR(VLOOKUP($G171,SERVIÇOS!$C:$H,6,0),IFERROR(VLOOKUP($G171,CPU!$F:$M,8,0),"")))</f>
        <v>56.960000000000008</v>
      </c>
      <c r="L171" s="577">
        <f>IF(J171&lt;&gt;"",$N$1,"")</f>
        <v>0.2354</v>
      </c>
      <c r="M171" s="576">
        <f>IF(J171&lt;&gt;0,(ROUND(K171*(L171+1),2)),0)</f>
        <v>70.37</v>
      </c>
      <c r="N171" s="576">
        <f>IF(J171="","",ROUND((J171*M171),2))</f>
        <v>3845.02</v>
      </c>
      <c r="O171" s="431"/>
      <c r="Q171" s="589">
        <f>N171</f>
        <v>3845.02</v>
      </c>
      <c r="S171" s="433"/>
    </row>
    <row r="172" spans="1:21">
      <c r="A172" s="430">
        <v>167</v>
      </c>
      <c r="B172" s="590"/>
      <c r="C172" s="431">
        <f>+E172</f>
        <v>8</v>
      </c>
      <c r="D172" s="587"/>
      <c r="E172" s="859">
        <v>8</v>
      </c>
      <c r="F172" s="860"/>
      <c r="G172" s="860"/>
      <c r="H172" s="861" t="s">
        <v>6512</v>
      </c>
      <c r="I172" s="862"/>
      <c r="J172" s="863"/>
      <c r="K172" s="866"/>
      <c r="L172" s="865"/>
      <c r="M172" s="864"/>
      <c r="N172" s="864">
        <f>SUM(N173:N179)</f>
        <v>138759.91</v>
      </c>
      <c r="Q172" s="589"/>
      <c r="S172" s="433"/>
      <c r="T172" s="433">
        <v>94.91</v>
      </c>
      <c r="U172" s="433">
        <v>119.77</v>
      </c>
    </row>
    <row r="173" spans="1:21" s="588" customFormat="1">
      <c r="A173" s="430">
        <v>168</v>
      </c>
      <c r="B173" s="590"/>
      <c r="C173" s="431" t="str">
        <f>+E173</f>
        <v>8.1</v>
      </c>
      <c r="D173" s="587"/>
      <c r="E173" s="568" t="s">
        <v>6920</v>
      </c>
      <c r="F173" s="569"/>
      <c r="G173" s="569"/>
      <c r="H173" s="749" t="s">
        <v>6765</v>
      </c>
      <c r="I173" s="570"/>
      <c r="J173" s="571"/>
      <c r="K173" s="571"/>
      <c r="L173" s="571"/>
      <c r="M173" s="571"/>
      <c r="N173" s="571"/>
      <c r="O173" s="431"/>
      <c r="Q173" s="589"/>
      <c r="S173" s="433"/>
    </row>
    <row r="174" spans="1:21" s="588" customFormat="1" ht="38.25">
      <c r="A174" s="430">
        <v>173</v>
      </c>
      <c r="B174" s="590"/>
      <c r="C174" s="431" t="str">
        <f t="shared" ref="C174" si="79">+C173</f>
        <v>8.1</v>
      </c>
      <c r="D174" s="587">
        <f t="shared" ref="D174" si="80">1+D173</f>
        <v>1</v>
      </c>
      <c r="E174" s="572" t="str">
        <f t="shared" ref="E174:E175" si="81">C174&amp;"."&amp;D174</f>
        <v>8.1.1</v>
      </c>
      <c r="F174" s="579" t="s">
        <v>2238</v>
      </c>
      <c r="G174" s="580">
        <v>87882</v>
      </c>
      <c r="H174" s="750" t="str">
        <f>IF($G174="","",IFERROR(VLOOKUP($G174,SERVIÇOS!$C:$G,2,0),IFERROR(VLOOKUP($G174,CPU!$F:$M,2,0),"")))</f>
        <v>CHAPISCO APLICADO NO TETO, COM ROLO PARA TEXTURA ACRÍLICA. ARGAMASSA TRAÇO 1:4 E EMULSÃO POLIMÉRICA (ADESIVO) COM PREPARO EM BETONEIRA 400L. AF_06/2014</v>
      </c>
      <c r="I174" s="578" t="str">
        <f>IF($G174="","",IFERROR(VLOOKUP($G174,SERVIÇOS!$C:$G,3,0),IFERROR(VLOOKUP($G174,CPU!$F:$M,3,0),"")))</f>
        <v>M2</v>
      </c>
      <c r="J174" s="576">
        <v>74.2</v>
      </c>
      <c r="K174" s="576">
        <f>IF($G174="","",IFERROR(VLOOKUP($G174,SERVIÇOS!$C:$H,6,0),IFERROR(VLOOKUP($G174,CPU!$F:$M,8,0),"")))</f>
        <v>6.09</v>
      </c>
      <c r="L174" s="577">
        <f t="shared" ref="L174:L175" si="82">IF(J174&lt;&gt;"",$N$1,"")</f>
        <v>0.2354</v>
      </c>
      <c r="M174" s="576">
        <f t="shared" ref="M174:M175" si="83">IF(J174&lt;&gt;0,(ROUND(K174*(L174+1),2)),0)</f>
        <v>7.52</v>
      </c>
      <c r="N174" s="576">
        <f t="shared" ref="N174:N175" si="84">IF(J174="","",ROUND((J174*M174),2))</f>
        <v>557.98</v>
      </c>
      <c r="O174" s="431"/>
      <c r="P174" s="430"/>
      <c r="Q174" s="589">
        <f t="shared" ref="Q174:Q175" si="85">N174</f>
        <v>557.98</v>
      </c>
      <c r="R174" s="430"/>
      <c r="S174" s="433"/>
      <c r="T174" s="430"/>
      <c r="U174" s="430"/>
    </row>
    <row r="175" spans="1:21" s="588" customFormat="1" ht="38.25">
      <c r="A175" s="430">
        <v>173</v>
      </c>
      <c r="B175" s="590"/>
      <c r="C175" s="431" t="str">
        <f t="shared" ref="C175:C179" si="86">+C174</f>
        <v>8.1</v>
      </c>
      <c r="D175" s="587">
        <f t="shared" ref="D175:D179" si="87">1+D174</f>
        <v>2</v>
      </c>
      <c r="E175" s="572" t="str">
        <f t="shared" si="81"/>
        <v>8.1.2</v>
      </c>
      <c r="F175" s="579" t="s">
        <v>2238</v>
      </c>
      <c r="G175" s="580">
        <v>90408</v>
      </c>
      <c r="H175" s="750" t="str">
        <f>IF($G175="","",IFERROR(VLOOKUP($G175,SERVIÇOS!$C:$G,2,0),IFERROR(VLOOKUP($G175,CPU!$F:$M,2,0),"")))</f>
        <v>MASSA ÚNICA, PARA RECEBIMENTO DE PINTURA, EM ARGAMASSA TRAÇO 1:2:8, PREPARO MECÂNICO COM BETONEIRA 400L, APLICADA MANUALMENTE EM TETO, ESPESSURA DE 10MM, COM EXECUÇÃO DE TALISCAS. AF_03/2015</v>
      </c>
      <c r="I175" s="578" t="str">
        <f>IF($G175="","",IFERROR(VLOOKUP($G175,SERVIÇOS!$C:$G,3,0),IFERROR(VLOOKUP($G175,CPU!$F:$M,3,0),"")))</f>
        <v>M2</v>
      </c>
      <c r="J175" s="576">
        <v>74.2</v>
      </c>
      <c r="K175" s="576">
        <f>IF($G175="","",IFERROR(VLOOKUP($G175,SERVIÇOS!$C:$H,6,0),IFERROR(VLOOKUP($G175,CPU!$F:$M,8,0),"")))</f>
        <v>35.75</v>
      </c>
      <c r="L175" s="577">
        <f t="shared" si="82"/>
        <v>0.2354</v>
      </c>
      <c r="M175" s="576">
        <f t="shared" si="83"/>
        <v>44.17</v>
      </c>
      <c r="N175" s="576">
        <f t="shared" si="84"/>
        <v>3277.41</v>
      </c>
      <c r="O175" s="431"/>
      <c r="P175" s="430"/>
      <c r="Q175" s="589">
        <f t="shared" si="85"/>
        <v>3277.41</v>
      </c>
      <c r="R175" s="430"/>
      <c r="S175" s="433"/>
      <c r="T175" s="430"/>
      <c r="U175" s="430"/>
    </row>
    <row r="176" spans="1:21" s="588" customFormat="1">
      <c r="A176" s="430">
        <v>169</v>
      </c>
      <c r="B176" s="590"/>
      <c r="C176" s="431" t="str">
        <f t="shared" si="86"/>
        <v>8.1</v>
      </c>
      <c r="D176" s="587">
        <f t="shared" si="87"/>
        <v>3</v>
      </c>
      <c r="E176" s="572" t="str">
        <f>C176&amp;"."&amp;D176</f>
        <v>8.1.3</v>
      </c>
      <c r="F176" s="579" t="s">
        <v>2238</v>
      </c>
      <c r="G176" s="580">
        <v>96113</v>
      </c>
      <c r="H176" s="750" t="str">
        <f>IF($G176="","",IFERROR(VLOOKUP($G176,SERVIÇOS!$C:$G,2,0),IFERROR(VLOOKUP($G176,CPU!$F:$M,2,0),"")))</f>
        <v>FORRO EM PLACAS DE GESSO, PARA AMBIENTES COMERCIAIS. AF_05/2017_P</v>
      </c>
      <c r="I176" s="578" t="str">
        <f>IF($G176="","",IFERROR(VLOOKUP($G176,SERVIÇOS!$C:$G,3,0),IFERROR(VLOOKUP($G176,CPU!$F:$M,3,0),"")))</f>
        <v>M2</v>
      </c>
      <c r="J176" s="576">
        <v>165.23</v>
      </c>
      <c r="K176" s="576">
        <f>IF($G176="","",IFERROR(VLOOKUP($G176,SERVIÇOS!$C:$H,6,0),IFERROR(VLOOKUP($G176,CPU!$F:$M,8,0),"")))</f>
        <v>40.47</v>
      </c>
      <c r="L176" s="577">
        <f>IF(J176&lt;&gt;"",$N$1,"")</f>
        <v>0.2354</v>
      </c>
      <c r="M176" s="576">
        <f>IF(J176&lt;&gt;0,(ROUND(K176*(L176+1),2)),0)</f>
        <v>50</v>
      </c>
      <c r="N176" s="576">
        <f>IF(J176="","",ROUND((J176*M176),2))</f>
        <v>8261.5</v>
      </c>
      <c r="O176" s="431"/>
      <c r="P176" s="430"/>
      <c r="Q176" s="589">
        <f>N176</f>
        <v>8261.5</v>
      </c>
      <c r="R176" s="430"/>
      <c r="S176" s="433"/>
      <c r="T176" s="430"/>
      <c r="U176" s="430"/>
    </row>
    <row r="177" spans="1:21" s="588" customFormat="1">
      <c r="A177" s="430">
        <v>170</v>
      </c>
      <c r="B177" s="590"/>
      <c r="C177" s="431" t="str">
        <f t="shared" si="86"/>
        <v>8.1</v>
      </c>
      <c r="D177" s="587">
        <f t="shared" si="87"/>
        <v>4</v>
      </c>
      <c r="E177" s="572" t="str">
        <f>C177&amp;"."&amp;D177</f>
        <v>8.1.4</v>
      </c>
      <c r="F177" s="579" t="s">
        <v>2239</v>
      </c>
      <c r="G177" s="581" t="s">
        <v>2943</v>
      </c>
      <c r="H177" s="750" t="str">
        <f>IF($G177="","",IFERROR(VLOOKUP($G177,SERVIÇOS!$C:$G,2,0),IFERROR(VLOOKUP($G177,CPU!$F:$M,2,0),"")))</f>
        <v>JUNTA TIPO TABICA PARA FORRO DE GESSO</v>
      </c>
      <c r="I177" s="578" t="str">
        <f>IF($G177="","",IFERROR(VLOOKUP($G177,SERVIÇOS!$C:$G,3,0),IFERROR(VLOOKUP($G177,CPU!$F:$M,3,0),"")))</f>
        <v>M</v>
      </c>
      <c r="J177" s="576">
        <v>179.04</v>
      </c>
      <c r="K177" s="576">
        <f>IF($G177="","",IFERROR(VLOOKUP($G177,SERVIÇOS!$C:$H,6,0),IFERROR(VLOOKUP($G177,CPU!$F:$M,8,0),"")))</f>
        <v>25.95</v>
      </c>
      <c r="L177" s="577">
        <f>IF(J177&lt;&gt;"",$N$1,"")</f>
        <v>0.2354</v>
      </c>
      <c r="M177" s="576">
        <f>IF(J177&lt;&gt;0,(ROUND(K177*(L177+1),2)),0)</f>
        <v>32.06</v>
      </c>
      <c r="N177" s="576">
        <f>IF(J177="","",ROUND((J177*M177),2))</f>
        <v>5740.02</v>
      </c>
      <c r="O177" s="431"/>
      <c r="P177" s="430"/>
      <c r="Q177" s="589">
        <f>N177</f>
        <v>5740.02</v>
      </c>
      <c r="R177" s="430"/>
      <c r="S177" s="433"/>
      <c r="T177" s="430"/>
      <c r="U177" s="430"/>
    </row>
    <row r="178" spans="1:21" s="588" customFormat="1" ht="38.25">
      <c r="A178" s="430">
        <v>171</v>
      </c>
      <c r="B178" s="590"/>
      <c r="C178" s="431" t="str">
        <f t="shared" si="86"/>
        <v>8.1</v>
      </c>
      <c r="D178" s="587">
        <f t="shared" si="87"/>
        <v>5</v>
      </c>
      <c r="E178" s="572" t="str">
        <f t="shared" ref="E178:E179" si="88">C178&amp;"."&amp;D178</f>
        <v>8.1.5</v>
      </c>
      <c r="F178" s="579" t="s">
        <v>2239</v>
      </c>
      <c r="G178" s="581" t="s">
        <v>8576</v>
      </c>
      <c r="H178" s="750" t="str">
        <f>IF($G178="","",IFERROR(VLOOKUP($G178,SERVIÇOS!$C:$G,2,0),IFERROR(VLOOKUP($G178,CPU!$F:$M,2,0),"")))</f>
        <v>FORRO COMPOSTO POR PAINEIS DE LA DE VIDRO, REVESTIDOS EM PVC MICROPERFURADO, DE 625X625 MM, ESPESSURA 15MM - FORNECIMENTO E INSTALAÇÃO</v>
      </c>
      <c r="I178" s="578" t="str">
        <f>IF($G178="","",IFERROR(VLOOKUP($G178,SERVIÇOS!$C:$G,3,0),IFERROR(VLOOKUP($G178,CPU!$F:$M,3,0),"")))</f>
        <v>M2</v>
      </c>
      <c r="J178" s="576">
        <v>464.8</v>
      </c>
      <c r="K178" s="576">
        <f>IF($G178="","",IFERROR(VLOOKUP($G178,SERVIÇOS!$C:$H,6,0),IFERROR(VLOOKUP($G178,CPU!$F:$M,8,0),"")))</f>
        <v>209.6</v>
      </c>
      <c r="L178" s="577">
        <f t="shared" ref="L178:L179" si="89">IF(J178&lt;&gt;"",$N$1,"")</f>
        <v>0.2354</v>
      </c>
      <c r="M178" s="576">
        <f t="shared" ref="M178:M179" si="90">IF(J178&lt;&gt;0,(ROUND(K178*(L178+1),2)),0)</f>
        <v>258.94</v>
      </c>
      <c r="N178" s="576">
        <f t="shared" ref="N178:N179" si="91">IF(J178="","",ROUND((J178*M178),2))</f>
        <v>120355.31</v>
      </c>
      <c r="O178" s="431"/>
      <c r="P178" s="430"/>
      <c r="Q178" s="589">
        <f t="shared" ref="Q178:Q179" si="92">N178</f>
        <v>120355.31</v>
      </c>
      <c r="R178" s="430"/>
      <c r="S178" s="433"/>
      <c r="T178" s="430"/>
      <c r="U178" s="430"/>
    </row>
    <row r="179" spans="1:21" s="588" customFormat="1">
      <c r="A179" s="430">
        <v>172</v>
      </c>
      <c r="B179" s="590"/>
      <c r="C179" s="431" t="str">
        <f t="shared" si="86"/>
        <v>8.1</v>
      </c>
      <c r="D179" s="587">
        <f t="shared" si="87"/>
        <v>6</v>
      </c>
      <c r="E179" s="572" t="str">
        <f t="shared" si="88"/>
        <v>8.1.6</v>
      </c>
      <c r="F179" s="579" t="s">
        <v>2239</v>
      </c>
      <c r="G179" s="581" t="s">
        <v>8577</v>
      </c>
      <c r="H179" s="750" t="str">
        <f>IF($G179="","",IFERROR(VLOOKUP($G179,SERVIÇOS!$C:$G,2,0),IFERROR(VLOOKUP($G179,CPU!$F:$M,2,0),"")))</f>
        <v>FORRO EM PLACAS DE GESSO RESISTENTE A UMIDADE (RU)</v>
      </c>
      <c r="I179" s="578" t="str">
        <f>IF($G179="","",IFERROR(VLOOKUP($G179,SERVIÇOS!$C:$G,3,0),IFERROR(VLOOKUP($G179,CPU!$F:$M,3,0),"")))</f>
        <v>M2</v>
      </c>
      <c r="J179" s="576">
        <v>7.28</v>
      </c>
      <c r="K179" s="576">
        <f>IF($G179="","",IFERROR(VLOOKUP($G179,SERVIÇOS!$C:$H,6,0),IFERROR(VLOOKUP($G179,CPU!$F:$M,8,0),"")))</f>
        <v>63.11999999999999</v>
      </c>
      <c r="L179" s="577">
        <f t="shared" si="89"/>
        <v>0.2354</v>
      </c>
      <c r="M179" s="576">
        <f t="shared" si="90"/>
        <v>77.98</v>
      </c>
      <c r="N179" s="576">
        <f t="shared" si="91"/>
        <v>567.69000000000005</v>
      </c>
      <c r="O179" s="431"/>
      <c r="P179" s="430"/>
      <c r="Q179" s="589">
        <f t="shared" si="92"/>
        <v>567.69000000000005</v>
      </c>
      <c r="R179" s="430"/>
      <c r="S179" s="433"/>
      <c r="T179" s="430"/>
      <c r="U179" s="430"/>
    </row>
    <row r="180" spans="1:21" s="588" customFormat="1">
      <c r="A180" s="430">
        <v>171</v>
      </c>
      <c r="B180" s="590"/>
      <c r="C180" s="431">
        <f>+E180</f>
        <v>9</v>
      </c>
      <c r="D180" s="587"/>
      <c r="E180" s="859">
        <v>9</v>
      </c>
      <c r="F180" s="860"/>
      <c r="G180" s="860"/>
      <c r="H180" s="861" t="s">
        <v>6513</v>
      </c>
      <c r="I180" s="862"/>
      <c r="J180" s="863"/>
      <c r="K180" s="866"/>
      <c r="L180" s="865"/>
      <c r="M180" s="864"/>
      <c r="N180" s="864">
        <f>SUM(N181:N192)</f>
        <v>83970.01</v>
      </c>
      <c r="O180" s="431"/>
      <c r="P180" s="430"/>
      <c r="Q180" s="589"/>
      <c r="R180" s="430"/>
      <c r="S180" s="433"/>
      <c r="T180" s="433">
        <v>12722.130000000001</v>
      </c>
      <c r="U180" s="433">
        <v>16055.34</v>
      </c>
    </row>
    <row r="181" spans="1:21" s="588" customFormat="1">
      <c r="A181" s="430">
        <v>172</v>
      </c>
      <c r="B181" s="590"/>
      <c r="C181" s="431" t="str">
        <f>+E181</f>
        <v>9.1</v>
      </c>
      <c r="D181" s="587"/>
      <c r="E181" s="568" t="s">
        <v>6921</v>
      </c>
      <c r="F181" s="569"/>
      <c r="G181" s="569"/>
      <c r="H181" s="749" t="s">
        <v>6796</v>
      </c>
      <c r="I181" s="570"/>
      <c r="J181" s="571"/>
      <c r="K181" s="571"/>
      <c r="L181" s="571"/>
      <c r="M181" s="571"/>
      <c r="N181" s="571"/>
      <c r="O181" s="431"/>
      <c r="Q181" s="589"/>
      <c r="S181" s="433"/>
    </row>
    <row r="182" spans="1:21" s="588" customFormat="1" ht="38.25">
      <c r="A182" s="430">
        <v>173</v>
      </c>
      <c r="B182" s="590"/>
      <c r="C182" s="431" t="str">
        <f>+C181</f>
        <v>9.1</v>
      </c>
      <c r="D182" s="587">
        <f>1+D181</f>
        <v>1</v>
      </c>
      <c r="E182" s="572" t="str">
        <f>C182&amp;"."&amp;D182</f>
        <v>9.1.1</v>
      </c>
      <c r="F182" s="579" t="s">
        <v>2238</v>
      </c>
      <c r="G182" s="581">
        <v>87879</v>
      </c>
      <c r="H182" s="750" t="str">
        <f>IF($G182="","",IFERROR(VLOOKUP($G182,SERVIÇOS!$C:$G,2,0),IFERROR(VLOOKUP($G182,CPU!$F:$M,2,0),"")))</f>
        <v>CHAPISCO APLICADO EM ALVENARIAS E ESTRUTURAS DE CONCRETO INTERNAS, COM COLHER DE PEDREIRO.  ARGAMASSA TRAÇO 1:3 COM PREPARO EM BETONEIRA 400L. AF_06/2014</v>
      </c>
      <c r="I182" s="578" t="str">
        <f>IF($G182="","",IFERROR(VLOOKUP($G182,SERVIÇOS!$C:$G,3,0),IFERROR(VLOOKUP($G182,CPU!$F:$M,3,0),"")))</f>
        <v>M2</v>
      </c>
      <c r="J182" s="576">
        <v>434.06</v>
      </c>
      <c r="K182" s="576">
        <f>IF($G182="","",IFERROR(VLOOKUP($G182,SERVIÇOS!$C:$H,6,0),IFERROR(VLOOKUP($G182,CPU!$F:$M,8,0),"")))</f>
        <v>4.28</v>
      </c>
      <c r="L182" s="577">
        <f>IF(J182&lt;&gt;"",$N$1,"")</f>
        <v>0.2354</v>
      </c>
      <c r="M182" s="576">
        <f>IF(J182&lt;&gt;0,(ROUND(K182*(L182+1),2)),0)</f>
        <v>5.29</v>
      </c>
      <c r="N182" s="576">
        <f>IF(J182="","",ROUND((J182*M182),2))</f>
        <v>2296.1799999999998</v>
      </c>
      <c r="O182" s="431"/>
      <c r="P182" s="430"/>
      <c r="Q182" s="589">
        <f>N182</f>
        <v>2296.1799999999998</v>
      </c>
      <c r="R182" s="430"/>
      <c r="S182" s="433"/>
      <c r="T182" s="430"/>
      <c r="U182" s="430"/>
    </row>
    <row r="183" spans="1:21" ht="51">
      <c r="A183" s="430">
        <v>174</v>
      </c>
      <c r="B183" s="590"/>
      <c r="C183" s="431" t="str">
        <f>+C182</f>
        <v>9.1</v>
      </c>
      <c r="D183" s="587">
        <f>1+D182</f>
        <v>2</v>
      </c>
      <c r="E183" s="572" t="str">
        <f>C183&amp;"."&amp;D183</f>
        <v>9.1.2</v>
      </c>
      <c r="F183" s="579" t="s">
        <v>2238</v>
      </c>
      <c r="G183" s="580">
        <v>87529</v>
      </c>
      <c r="H183" s="750" t="str">
        <f>IF($G183="","",IFERROR(VLOOKUP($G183,SERVIÇOS!$C:$G,2,0),IFERROR(VLOOKUP($G183,CPU!$F:$M,2,0),"")))</f>
        <v>MASSA ÚNICA, PARA RECEBIMENTO DE PINTURA, EM ARGAMASSA TRAÇO 1:2:8, PREPARO MECÂNICO COM BETONEIRA 400L, APLICADA MANUALMENTE EM FACES INTERNAS DE PAREDES, ESPESSURA DE 20MM, COM EXECUÇÃO DE TALISCAS. AF_06/2014</v>
      </c>
      <c r="I183" s="578" t="str">
        <f>IF($G183="","",IFERROR(VLOOKUP($G183,SERVIÇOS!$C:$G,3,0),IFERROR(VLOOKUP($G183,CPU!$F:$M,3,0),"")))</f>
        <v>M2</v>
      </c>
      <c r="J183" s="576">
        <v>434.06</v>
      </c>
      <c r="K183" s="576">
        <f>IF($G183="","",IFERROR(VLOOKUP($G183,SERVIÇOS!$C:$H,6,0),IFERROR(VLOOKUP($G183,CPU!$F:$M,8,0),"")))</f>
        <v>35.450000000000003</v>
      </c>
      <c r="L183" s="577">
        <f>IF(J183&lt;&gt;"",$N$1,"")</f>
        <v>0.2354</v>
      </c>
      <c r="M183" s="576">
        <f>IF(J183&lt;&gt;0,(ROUND(K183*(L183+1),2)),0)</f>
        <v>43.79</v>
      </c>
      <c r="N183" s="576">
        <f>IF(J183="","",ROUND((J183*M183),2))</f>
        <v>19007.490000000002</v>
      </c>
      <c r="P183" s="588"/>
      <c r="Q183" s="589">
        <f>N183</f>
        <v>19007.490000000002</v>
      </c>
      <c r="R183" s="588"/>
      <c r="S183" s="433"/>
      <c r="T183" s="588"/>
      <c r="U183" s="588"/>
    </row>
    <row r="184" spans="1:21" ht="25.5">
      <c r="A184" s="430">
        <v>174</v>
      </c>
      <c r="B184" s="590"/>
      <c r="C184" s="431" t="str">
        <f t="shared" ref="C184:C187" si="93">+C183</f>
        <v>9.1</v>
      </c>
      <c r="D184" s="587">
        <f t="shared" ref="D184:D187" si="94">1+D183</f>
        <v>3</v>
      </c>
      <c r="E184" s="572" t="str">
        <f>C184&amp;"."&amp;D184</f>
        <v>9.1.3</v>
      </c>
      <c r="F184" s="579" t="s">
        <v>2238</v>
      </c>
      <c r="G184" s="580">
        <v>87417</v>
      </c>
      <c r="H184" s="750" t="str">
        <f>IF($G184="","",IFERROR(VLOOKUP($G184,SERVIÇOS!$C:$G,2,0),IFERROR(VLOOKUP($G184,CPU!$F:$M,2,0),"")))</f>
        <v>APLICAÇÃO MANUAL DE GESSO DESEMPENADO (SEM TALISCAS) EM PAREDES DE AMBIENTES DE ÁREA MAIOR QUE 10M², ESPESSURA DE 0,5CM. AF_06/2014</v>
      </c>
      <c r="I184" s="578" t="str">
        <f>IF($G184="","",IFERROR(VLOOKUP($G184,SERVIÇOS!$C:$G,3,0),IFERROR(VLOOKUP($G184,CPU!$F:$M,3,0),"")))</f>
        <v>M2</v>
      </c>
      <c r="J184" s="576">
        <v>99.72</v>
      </c>
      <c r="K184" s="576">
        <f>IF($G184="","",IFERROR(VLOOKUP($G184,SERVIÇOS!$C:$H,6,0),IFERROR(VLOOKUP($G184,CPU!$F:$M,8,0),"")))</f>
        <v>18.87</v>
      </c>
      <c r="L184" s="577">
        <f>IF(J184&lt;&gt;"",$N$1,"")</f>
        <v>0.2354</v>
      </c>
      <c r="M184" s="576">
        <f>IF(J184&lt;&gt;0,(ROUND(K184*(L184+1),2)),0)</f>
        <v>23.31</v>
      </c>
      <c r="N184" s="576">
        <f>IF(J184="","",ROUND((J184*M184),2))</f>
        <v>2324.4699999999998</v>
      </c>
      <c r="P184" s="588"/>
      <c r="Q184" s="589">
        <f>N184</f>
        <v>2324.4699999999998</v>
      </c>
      <c r="R184" s="588"/>
      <c r="S184" s="433"/>
      <c r="T184" s="588"/>
      <c r="U184" s="588"/>
    </row>
    <row r="185" spans="1:21" ht="25.5">
      <c r="A185" s="430">
        <v>174</v>
      </c>
      <c r="B185" s="590"/>
      <c r="C185" s="431" t="str">
        <f t="shared" si="93"/>
        <v>9.1</v>
      </c>
      <c r="D185" s="587">
        <f t="shared" si="94"/>
        <v>4</v>
      </c>
      <c r="E185" s="572" t="str">
        <f t="shared" ref="E185" si="95">C185&amp;"."&amp;D185</f>
        <v>9.1.4</v>
      </c>
      <c r="F185" s="579" t="s">
        <v>2239</v>
      </c>
      <c r="G185" s="580" t="s">
        <v>8580</v>
      </c>
      <c r="H185" s="750" t="str">
        <f>IF($G185="","",IFERROR(VLOOKUP($G185,SERVIÇOS!$C:$G,2,0),IFERROR(VLOOKUP($G185,CPU!$F:$M,2,0),"")))</f>
        <v>REVESTIMENTO CERÂMICO PARA PAREDES INTERNAS DIMENSÕES 40X30CM, COR BRANCO, DO PISO AO TETO</v>
      </c>
      <c r="I185" s="578" t="str">
        <f>IF($G185="","",IFERROR(VLOOKUP($G185,SERVIÇOS!$C:$G,3,0),IFERROR(VLOOKUP($G185,CPU!$F:$M,3,0),"")))</f>
        <v>M2</v>
      </c>
      <c r="J185" s="576">
        <v>236.65</v>
      </c>
      <c r="K185" s="576">
        <f>IF($G185="","",IFERROR(VLOOKUP($G185,SERVIÇOS!$C:$H,6,0),IFERROR(VLOOKUP($G185,CPU!$F:$M,8,0),"")))</f>
        <v>67.929999999999993</v>
      </c>
      <c r="L185" s="577">
        <f t="shared" ref="L185:L186" si="96">IF(J185&lt;&gt;"",$N$1,"")</f>
        <v>0.2354</v>
      </c>
      <c r="M185" s="576">
        <f t="shared" ref="M185:M186" si="97">IF(J185&lt;&gt;0,(ROUND(K185*(L185+1),2)),0)</f>
        <v>83.92</v>
      </c>
      <c r="N185" s="576">
        <f t="shared" ref="N185:N186" si="98">IF(J185="","",ROUND((J185*M185),2))</f>
        <v>19859.669999999998</v>
      </c>
      <c r="P185" s="588"/>
      <c r="Q185" s="589">
        <f t="shared" ref="Q185:Q186" si="99">N185</f>
        <v>19859.669999999998</v>
      </c>
      <c r="R185" s="588"/>
      <c r="S185" s="433"/>
      <c r="T185" s="588"/>
      <c r="U185" s="588"/>
    </row>
    <row r="186" spans="1:21" ht="25.5">
      <c r="A186" s="430">
        <v>174</v>
      </c>
      <c r="B186" s="590"/>
      <c r="C186" s="431" t="str">
        <f t="shared" si="93"/>
        <v>9.1</v>
      </c>
      <c r="D186" s="587">
        <f t="shared" si="94"/>
        <v>5</v>
      </c>
      <c r="E186" s="572" t="str">
        <f t="shared" ref="E186" si="100">C186&amp;"."&amp;D186</f>
        <v>9.1.5</v>
      </c>
      <c r="F186" s="579" t="s">
        <v>2239</v>
      </c>
      <c r="G186" s="580" t="s">
        <v>8583</v>
      </c>
      <c r="H186" s="750" t="str">
        <f>IF($G186="","",IFERROR(VLOOKUP($G186,SERVIÇOS!$C:$G,2,0),IFERROR(VLOOKUP($G186,CPU!$F:$M,2,0),"")))</f>
        <v>PASTILHAS CERÂMICAS PARA PAREDES INTERNAS DIMENSÕES 10X10CM, COR CINZA MÉDIO, DO PISO AO TETO</v>
      </c>
      <c r="I186" s="578" t="str">
        <f>IF($G186="","",IFERROR(VLOOKUP($G186,SERVIÇOS!$C:$G,3,0),IFERROR(VLOOKUP($G186,CPU!$F:$M,3,0),"")))</f>
        <v>M2</v>
      </c>
      <c r="J186" s="576">
        <v>26.69</v>
      </c>
      <c r="K186" s="576">
        <f>IF($G186="","",IFERROR(VLOOKUP($G186,SERVIÇOS!$C:$H,6,0),IFERROR(VLOOKUP($G186,CPU!$F:$M,8,0),"")))</f>
        <v>103.77999999999999</v>
      </c>
      <c r="L186" s="577">
        <f t="shared" si="96"/>
        <v>0.2354</v>
      </c>
      <c r="M186" s="576">
        <f t="shared" si="97"/>
        <v>128.21</v>
      </c>
      <c r="N186" s="576">
        <f t="shared" si="98"/>
        <v>3421.92</v>
      </c>
      <c r="P186" s="588"/>
      <c r="Q186" s="589">
        <f t="shared" si="99"/>
        <v>3421.92</v>
      </c>
      <c r="R186" s="588"/>
      <c r="S186" s="433"/>
      <c r="T186" s="588"/>
      <c r="U186" s="588"/>
    </row>
    <row r="187" spans="1:21" ht="38.25">
      <c r="A187" s="430">
        <v>174</v>
      </c>
      <c r="B187" s="590"/>
      <c r="C187" s="431" t="str">
        <f t="shared" si="93"/>
        <v>9.1</v>
      </c>
      <c r="D187" s="587">
        <f t="shared" si="94"/>
        <v>6</v>
      </c>
      <c r="E187" s="572" t="str">
        <f t="shared" ref="E187" si="101">C187&amp;"."&amp;D187</f>
        <v>9.1.6</v>
      </c>
      <c r="F187" s="579" t="s">
        <v>2239</v>
      </c>
      <c r="G187" s="580" t="s">
        <v>8678</v>
      </c>
      <c r="H187" s="750" t="str">
        <f>IF($G187="","",IFERROR(VLOOKUP($G187,SERVIÇOS!$C:$G,2,0),IFERROR(VLOOKUP($G187,CPU!$F:$M,2,0),"")))</f>
        <v>REVESTIMENTO VINÍLICO HETEROGÊNEO FLEXÍVEL EM RÉGUAS 184X950MM, ESPESSURA 3,2MM, COR CANELA, APLICADO EM PAREDES - FORNECIMENTO E INSTALAÇÃO</v>
      </c>
      <c r="I187" s="578" t="str">
        <f>IF($G187="","",IFERROR(VLOOKUP($G187,SERVIÇOS!$C:$G,3,0),IFERROR(VLOOKUP($G187,CPU!$F:$M,3,0),"")))</f>
        <v>M2</v>
      </c>
      <c r="J187" s="576">
        <v>11.83</v>
      </c>
      <c r="K187" s="576">
        <f>IF($G187="","",IFERROR(VLOOKUP($G187,SERVIÇOS!$C:$H,6,0),IFERROR(VLOOKUP($G187,CPU!$F:$M,8,0),"")))</f>
        <v>213.99</v>
      </c>
      <c r="L187" s="577">
        <f t="shared" ref="L187" si="102">IF(J187&lt;&gt;"",$N$1,"")</f>
        <v>0.2354</v>
      </c>
      <c r="M187" s="576">
        <f t="shared" ref="M187" si="103">IF(J187&lt;&gt;0,(ROUND(K187*(L187+1),2)),0)</f>
        <v>264.36</v>
      </c>
      <c r="N187" s="576">
        <f t="shared" ref="N187" si="104">IF(J187="","",ROUND((J187*M187),2))</f>
        <v>3127.38</v>
      </c>
      <c r="P187" s="588"/>
      <c r="Q187" s="589">
        <f t="shared" ref="Q187" si="105">N187</f>
        <v>3127.38</v>
      </c>
      <c r="R187" s="588"/>
      <c r="S187" s="433"/>
      <c r="T187" s="588"/>
      <c r="U187" s="588"/>
    </row>
    <row r="188" spans="1:21">
      <c r="A188" s="430">
        <v>174</v>
      </c>
      <c r="B188" s="590"/>
      <c r="C188" s="431" t="e">
        <f>+#REF!</f>
        <v>#REF!</v>
      </c>
      <c r="D188" s="587" t="e">
        <f>1+#REF!</f>
        <v>#REF!</v>
      </c>
      <c r="E188" s="572" t="e">
        <f t="shared" ref="E188" si="106">C188&amp;"."&amp;D188</f>
        <v>#REF!</v>
      </c>
      <c r="F188" s="579" t="s">
        <v>2239</v>
      </c>
      <c r="G188" s="580" t="s">
        <v>8589</v>
      </c>
      <c r="H188" s="750" t="str">
        <f>IF($G188="","",IFERROR(VLOOKUP($G188,SERVIÇOS!$C:$G,2,0),IFERROR(VLOOKUP($G188,CPU!$F:$M,2,0),"")))</f>
        <v>PAINEL EM MDF COR FENDI</v>
      </c>
      <c r="I188" s="578" t="str">
        <f>IF($G188="","",IFERROR(VLOOKUP($G188,SERVIÇOS!$C:$G,3,0),IFERROR(VLOOKUP($G188,CPU!$F:$M,3,0),"")))</f>
        <v>M2</v>
      </c>
      <c r="J188" s="576">
        <v>7.16</v>
      </c>
      <c r="K188" s="576">
        <f>IF($G188="","",IFERROR(VLOOKUP($G188,SERVIÇOS!$C:$H,6,0),IFERROR(VLOOKUP($G188,CPU!$F:$M,8,0),"")))</f>
        <v>252.96</v>
      </c>
      <c r="L188" s="577">
        <f t="shared" ref="L188" si="107">IF(J188&lt;&gt;"",$N$1,"")</f>
        <v>0.2354</v>
      </c>
      <c r="M188" s="576">
        <f t="shared" ref="M188" si="108">IF(J188&lt;&gt;0,(ROUND(K188*(L188+1),2)),0)</f>
        <v>312.51</v>
      </c>
      <c r="N188" s="576">
        <f t="shared" ref="N188" si="109">IF(J188="","",ROUND((J188*M188),2))</f>
        <v>2237.5700000000002</v>
      </c>
      <c r="P188" s="588"/>
      <c r="Q188" s="589">
        <f t="shared" ref="Q188" si="110">N188</f>
        <v>2237.5700000000002</v>
      </c>
      <c r="R188" s="588"/>
      <c r="S188" s="433"/>
      <c r="T188" s="588"/>
      <c r="U188" s="588"/>
    </row>
    <row r="189" spans="1:21">
      <c r="A189" s="430">
        <v>175</v>
      </c>
      <c r="B189" s="590"/>
      <c r="C189" s="431" t="str">
        <f>+E189</f>
        <v>9.2</v>
      </c>
      <c r="D189" s="587"/>
      <c r="E189" s="568" t="s">
        <v>7181</v>
      </c>
      <c r="F189" s="569"/>
      <c r="G189" s="569"/>
      <c r="H189" s="749" t="s">
        <v>6797</v>
      </c>
      <c r="I189" s="570"/>
      <c r="J189" s="571"/>
      <c r="K189" s="571"/>
      <c r="L189" s="571"/>
      <c r="M189" s="571"/>
      <c r="N189" s="571"/>
      <c r="P189" s="588"/>
      <c r="Q189" s="589"/>
      <c r="R189" s="588"/>
      <c r="S189" s="433"/>
      <c r="T189" s="588"/>
      <c r="U189" s="588"/>
    </row>
    <row r="190" spans="1:21" ht="38.25">
      <c r="A190" s="430">
        <v>176</v>
      </c>
      <c r="B190" s="590"/>
      <c r="C190" s="431" t="str">
        <f>+C189</f>
        <v>9.2</v>
      </c>
      <c r="D190" s="587">
        <f>1+D189</f>
        <v>1</v>
      </c>
      <c r="E190" s="572" t="str">
        <f>C190&amp;"."&amp;D190</f>
        <v>9.2.1</v>
      </c>
      <c r="F190" s="579" t="s">
        <v>2238</v>
      </c>
      <c r="G190" s="581">
        <v>87905</v>
      </c>
      <c r="H190" s="750" t="str">
        <f>IF($G190="","",IFERROR(VLOOKUP($G190,SERVIÇOS!$C:$G,2,0),IFERROR(VLOOKUP($G190,CPU!$F:$M,2,0),"")))</f>
        <v>CHAPISCO APLICADO EM ALVENARIA (COM PRESENÇA DE VÃOS) E ESTRUTURAS DE CONCRETO DE FACHADA, COM COLHER DE PEDREIRO.  ARGAMASSA TRAÇO 1:3 COM PREPARO EM BETONEIRA 400L. AF_06/2014</v>
      </c>
      <c r="I190" s="578" t="str">
        <f>IF($G190="","",IFERROR(VLOOKUP($G190,SERVIÇOS!$C:$G,3,0),IFERROR(VLOOKUP($G190,CPU!$F:$M,3,0),"")))</f>
        <v>M2</v>
      </c>
      <c r="J190" s="576">
        <v>165.88</v>
      </c>
      <c r="K190" s="576">
        <f>IF($G190="","",IFERROR(VLOOKUP($G190,SERVIÇOS!$C:$H,6,0),IFERROR(VLOOKUP($G190,CPU!$F:$M,8,0),"")))</f>
        <v>9.7799999999999994</v>
      </c>
      <c r="L190" s="577">
        <f>IF(J190&lt;&gt;"",$N$1,"")</f>
        <v>0.2354</v>
      </c>
      <c r="M190" s="576">
        <f>IF(J190&lt;&gt;0,(ROUND(K190*(L190+1),2)),0)</f>
        <v>12.08</v>
      </c>
      <c r="N190" s="576">
        <f>IF(J190="","",ROUND((J190*M190),2))</f>
        <v>2003.83</v>
      </c>
      <c r="Q190" s="589">
        <f>N190</f>
        <v>2003.83</v>
      </c>
      <c r="S190" s="433"/>
    </row>
    <row r="191" spans="1:21" ht="38.25">
      <c r="A191" s="430">
        <v>177</v>
      </c>
      <c r="B191" s="590"/>
      <c r="C191" s="431" t="str">
        <f>+C190</f>
        <v>9.2</v>
      </c>
      <c r="D191" s="587">
        <f>1+D190</f>
        <v>2</v>
      </c>
      <c r="E191" s="572" t="str">
        <f>C191&amp;"."&amp;D191</f>
        <v>9.2.2</v>
      </c>
      <c r="F191" s="579" t="s">
        <v>2238</v>
      </c>
      <c r="G191" s="580">
        <v>87775</v>
      </c>
      <c r="H191" s="750" t="str">
        <f>IF($G191="","",IFERROR(VLOOKUP($G191,SERVIÇOS!$C:$G,2,0),IFERROR(VLOOKUP($G191,CPU!$F:$M,2,0),"")))</f>
        <v>EMBOÇO OU MASSA ÚNICA EM ARGAMASSA TRAÇO 1:2:8, PREPARO MECÂNICO COM BETONEIRA 400 L, APLICADA MANUALMENTE EM PANOS DE FACHADA COM PRESENÇA DE VÃOS, ESPESSURA DE 25 MM. AF_06/2014</v>
      </c>
      <c r="I191" s="578" t="str">
        <f>IF($G191="","",IFERROR(VLOOKUP($G191,SERVIÇOS!$C:$G,3,0),IFERROR(VLOOKUP($G191,CPU!$F:$M,3,0),"")))</f>
        <v>M2</v>
      </c>
      <c r="J191" s="576">
        <v>165.88</v>
      </c>
      <c r="K191" s="576">
        <f>IF($G191="","",IFERROR(VLOOKUP($G191,SERVIÇOS!$C:$H,6,0),IFERROR(VLOOKUP($G191,CPU!$F:$M,8,0),"")))</f>
        <v>60.1</v>
      </c>
      <c r="L191" s="577">
        <f>IF(J191&lt;&gt;"",$N$1,"")</f>
        <v>0.2354</v>
      </c>
      <c r="M191" s="576">
        <f>IF(J191&lt;&gt;0,(ROUND(K191*(L191+1),2)),0)</f>
        <v>74.25</v>
      </c>
      <c r="N191" s="576">
        <f>IF(J191="","",ROUND((J191*M191),2))</f>
        <v>12316.59</v>
      </c>
      <c r="Q191" s="589">
        <f>N191</f>
        <v>12316.59</v>
      </c>
      <c r="S191" s="433"/>
    </row>
    <row r="192" spans="1:21">
      <c r="A192" s="430">
        <v>178</v>
      </c>
      <c r="B192" s="590"/>
      <c r="C192" s="431" t="str">
        <f t="shared" ref="C192" si="111">+C191</f>
        <v>9.2</v>
      </c>
      <c r="D192" s="587">
        <f t="shared" ref="D192" si="112">1+D191</f>
        <v>3</v>
      </c>
      <c r="E192" s="572" t="str">
        <f t="shared" ref="E192" si="113">C192&amp;"."&amp;D192</f>
        <v>9.2.3</v>
      </c>
      <c r="F192" s="579" t="s">
        <v>2239</v>
      </c>
      <c r="G192" s="580" t="s">
        <v>8592</v>
      </c>
      <c r="H192" s="750" t="str">
        <f>IF($G192="","",IFERROR(VLOOKUP($G192,SERVIÇOS!$C:$G,2,0),IFERROR(VLOOKUP($G192,CPU!$F:$M,2,0),"")))</f>
        <v>REVESTIMENTO EM PEDRA TIPO ARENITO COMUM</v>
      </c>
      <c r="I192" s="578" t="str">
        <f>IF($G192="","",IFERROR(VLOOKUP($G192,SERVIÇOS!$C:$G,3,0),IFERROR(VLOOKUP($G192,CPU!$F:$M,3,0),"")))</f>
        <v>M2</v>
      </c>
      <c r="J192" s="576">
        <v>79.41</v>
      </c>
      <c r="K192" s="576">
        <f>IF($G192="","",IFERROR(VLOOKUP($G192,SERVIÇOS!$C:$H,6,0),IFERROR(VLOOKUP($G192,CPU!$F:$M,8,0),"")))</f>
        <v>177.11</v>
      </c>
      <c r="L192" s="577">
        <f>IF(J192&lt;&gt;"",$N$1,"")</f>
        <v>0.2354</v>
      </c>
      <c r="M192" s="576">
        <f>IF(J192&lt;&gt;0,(ROUND(K192*(L192+1),2)),0)</f>
        <v>218.8</v>
      </c>
      <c r="N192" s="576">
        <f>IF(J192="","",ROUND((J192*M192),2))</f>
        <v>17374.91</v>
      </c>
      <c r="Q192" s="589">
        <f>N192</f>
        <v>17374.91</v>
      </c>
      <c r="S192" s="433"/>
    </row>
    <row r="193" spans="1:21">
      <c r="A193" s="430">
        <v>178</v>
      </c>
      <c r="B193" s="590"/>
      <c r="C193" s="431">
        <f>+E193</f>
        <v>10</v>
      </c>
      <c r="D193" s="587"/>
      <c r="E193" s="859">
        <v>10</v>
      </c>
      <c r="F193" s="860"/>
      <c r="G193" s="860"/>
      <c r="H193" s="861" t="s">
        <v>5340</v>
      </c>
      <c r="I193" s="862"/>
      <c r="J193" s="863"/>
      <c r="K193" s="866"/>
      <c r="L193" s="865"/>
      <c r="M193" s="864"/>
      <c r="N193" s="864">
        <f>SUM(N194:N208)</f>
        <v>221098.00000000006</v>
      </c>
      <c r="Q193" s="589"/>
      <c r="S193" s="433"/>
      <c r="T193" s="433">
        <v>47660.58</v>
      </c>
      <c r="U193" s="433">
        <v>60147.659999999996</v>
      </c>
    </row>
    <row r="194" spans="1:21" s="588" customFormat="1">
      <c r="A194" s="430">
        <v>179</v>
      </c>
      <c r="B194" s="590"/>
      <c r="C194" s="431" t="str">
        <f>+E194</f>
        <v>10.1</v>
      </c>
      <c r="D194" s="587"/>
      <c r="E194" s="568" t="s">
        <v>6922</v>
      </c>
      <c r="F194" s="569"/>
      <c r="G194" s="569"/>
      <c r="H194" s="749" t="s">
        <v>8677</v>
      </c>
      <c r="I194" s="570"/>
      <c r="J194" s="571"/>
      <c r="K194" s="571"/>
      <c r="L194" s="571"/>
      <c r="M194" s="571"/>
      <c r="N194" s="571"/>
      <c r="O194" s="431"/>
      <c r="Q194" s="589"/>
      <c r="S194" s="433"/>
    </row>
    <row r="195" spans="1:21" s="588" customFormat="1" ht="38.25">
      <c r="A195" s="430">
        <v>180</v>
      </c>
      <c r="B195" s="590"/>
      <c r="C195" s="431" t="str">
        <f>+C194</f>
        <v>10.1</v>
      </c>
      <c r="D195" s="587">
        <f>1+D194</f>
        <v>1</v>
      </c>
      <c r="E195" s="572" t="str">
        <f t="shared" ref="E195" si="114">C195&amp;"."&amp;D195</f>
        <v>10.1.1</v>
      </c>
      <c r="F195" s="579" t="s">
        <v>2238</v>
      </c>
      <c r="G195" s="581">
        <v>87620</v>
      </c>
      <c r="H195" s="750" t="str">
        <f>IF($G195="","",IFERROR(VLOOKUP($G195,SERVIÇOS!$C:$G,2,0),IFERROR(VLOOKUP($G195,CPU!$F:$M,2,0),"")))</f>
        <v>CONTRAPISO EM ARGAMASSA TRAÇO 1:4 (CIMENTO E AREIA), PREPARO MECÂNICO COM BETONEIRA 400 L, APLICADO EM ÁREAS SECAS SOBRE LAJE, ADERIDO, ACABAMENTO NÃO REFORÇADO, ESPESSURA 2CM. AF_07/2021</v>
      </c>
      <c r="I195" s="578" t="str">
        <f>IF($G195="","",IFERROR(VLOOKUP($G195,SERVIÇOS!$C:$G,3,0),IFERROR(VLOOKUP($G195,CPU!$F:$M,3,0),"")))</f>
        <v>M2</v>
      </c>
      <c r="J195" s="576">
        <v>551.15</v>
      </c>
      <c r="K195" s="576">
        <f>IF($G195="","",IFERROR(VLOOKUP($G195,SERVIÇOS!$C:$H,6,0),IFERROR(VLOOKUP($G195,CPU!$F:$M,8,0),"")))</f>
        <v>29.24</v>
      </c>
      <c r="L195" s="577">
        <f t="shared" ref="L195" si="115">IF(J195&lt;&gt;"",$N$1,"")</f>
        <v>0.2354</v>
      </c>
      <c r="M195" s="576">
        <f t="shared" ref="M195" si="116">IF(J195&lt;&gt;0,(ROUND(K195*(L195+1),2)),0)</f>
        <v>36.119999999999997</v>
      </c>
      <c r="N195" s="576">
        <f t="shared" ref="N195" si="117">IF(J195="","",ROUND((J195*M195),2))</f>
        <v>19907.54</v>
      </c>
      <c r="O195" s="431"/>
      <c r="P195" s="430"/>
      <c r="Q195" s="589">
        <f t="shared" ref="Q195" si="118">N195</f>
        <v>19907.54</v>
      </c>
      <c r="R195" s="430"/>
      <c r="S195" s="433"/>
      <c r="T195" s="430"/>
      <c r="U195" s="430"/>
    </row>
    <row r="196" spans="1:21" s="588" customFormat="1">
      <c r="A196" s="430">
        <v>179</v>
      </c>
      <c r="B196" s="590"/>
      <c r="C196" s="431" t="str">
        <f>+E196</f>
        <v>10.2</v>
      </c>
      <c r="D196" s="587"/>
      <c r="E196" s="568" t="s">
        <v>8756</v>
      </c>
      <c r="F196" s="569"/>
      <c r="G196" s="569"/>
      <c r="H196" s="749" t="s">
        <v>6766</v>
      </c>
      <c r="I196" s="570"/>
      <c r="J196" s="571"/>
      <c r="K196" s="571"/>
      <c r="L196" s="571"/>
      <c r="M196" s="571"/>
      <c r="N196" s="571"/>
      <c r="O196" s="431"/>
      <c r="Q196" s="589"/>
      <c r="S196" s="433"/>
    </row>
    <row r="197" spans="1:21" s="588" customFormat="1" ht="25.5">
      <c r="A197" s="430">
        <v>181</v>
      </c>
      <c r="B197" s="590"/>
      <c r="C197" s="431" t="str">
        <f>C196</f>
        <v>10.2</v>
      </c>
      <c r="D197" s="587">
        <f>1+D196</f>
        <v>1</v>
      </c>
      <c r="E197" s="572" t="str">
        <f t="shared" ref="E197:E198" si="119">C197&amp;"."&amp;D197</f>
        <v>10.2.1</v>
      </c>
      <c r="F197" s="579" t="s">
        <v>2239</v>
      </c>
      <c r="G197" s="581" t="s">
        <v>8595</v>
      </c>
      <c r="H197" s="750" t="str">
        <f>IF($G197="","",IFERROR(VLOOKUP($G197,SERVIÇOS!$C:$G,2,0),IFERROR(VLOOKUP($G197,CPU!$F:$M,2,0),"")))</f>
        <v>PORCELANATO 60X60CM, RETIFICADO, ACETINADO, COR CINZA CLARO, PEI MAIOR OU IGUAL A 4, ABSORÇÃO MENOR QUE 4%, COM REJUNTE EPÓXI COR CINZA</v>
      </c>
      <c r="I197" s="578" t="str">
        <f>IF($G197="","",IFERROR(VLOOKUP($G197,SERVIÇOS!$C:$G,3,0),IFERROR(VLOOKUP($G197,CPU!$F:$M,3,0),"")))</f>
        <v>M2</v>
      </c>
      <c r="J197" s="576">
        <v>135.01</v>
      </c>
      <c r="K197" s="576">
        <f>IF($G197="","",IFERROR(VLOOKUP($G197,SERVIÇOS!$C:$H,6,0),IFERROR(VLOOKUP($G197,CPU!$F:$M,8,0),"")))</f>
        <v>155.37</v>
      </c>
      <c r="L197" s="577">
        <f t="shared" ref="L197:L202" si="120">IF(J197&lt;&gt;"",$N$1,"")</f>
        <v>0.2354</v>
      </c>
      <c r="M197" s="576">
        <f t="shared" ref="M197:M202" si="121">IF(J197&lt;&gt;0,(ROUND(K197*(L197+1),2)),0)</f>
        <v>191.94</v>
      </c>
      <c r="N197" s="576">
        <f t="shared" ref="N197:N202" si="122">IF(J197="","",ROUND((J197*M197),2))</f>
        <v>25913.82</v>
      </c>
      <c r="O197" s="431"/>
      <c r="P197" s="430"/>
      <c r="Q197" s="589">
        <f t="shared" ref="Q197:Q202" si="123">N197</f>
        <v>25913.82</v>
      </c>
      <c r="R197" s="430"/>
      <c r="S197" s="433"/>
      <c r="T197" s="430"/>
      <c r="U197" s="430"/>
    </row>
    <row r="198" spans="1:21" s="588" customFormat="1" ht="25.5">
      <c r="A198" s="430">
        <v>182</v>
      </c>
      <c r="B198" s="590"/>
      <c r="C198" s="431" t="str">
        <f>+C197</f>
        <v>10.2</v>
      </c>
      <c r="D198" s="587">
        <f t="shared" ref="D198:D205" si="124">1+D197</f>
        <v>2</v>
      </c>
      <c r="E198" s="572" t="str">
        <f t="shared" si="119"/>
        <v>10.2.2</v>
      </c>
      <c r="F198" s="579" t="s">
        <v>2239</v>
      </c>
      <c r="G198" s="581" t="s">
        <v>8585</v>
      </c>
      <c r="H198" s="750" t="str">
        <f>IF($G198="","",IFERROR(VLOOKUP($G198,SERVIÇOS!$C:$G,2,0),IFERROR(VLOOKUP($G198,CPU!$F:$M,2,0),"")))</f>
        <v>REVESTIMENTO VINÍLICO HETEROGÊNEO FLEXÍVEL EM RÉGUAS 184X950MM, ESPESSURA 3,2MM, COR CANELA, USO COMERCIAL - FORNECIMENTO E INSTALAÇÃO</v>
      </c>
      <c r="I198" s="578" t="str">
        <f>IF($G198="","",IFERROR(VLOOKUP($G198,SERVIÇOS!$C:$G,3,0),IFERROR(VLOOKUP($G198,CPU!$F:$M,3,0),"")))</f>
        <v>M2</v>
      </c>
      <c r="J198" s="576">
        <v>479.35</v>
      </c>
      <c r="K198" s="576">
        <f>IF($G198="","",IFERROR(VLOOKUP($G198,SERVIÇOS!$C:$H,6,0),IFERROR(VLOOKUP($G198,CPU!$F:$M,8,0),"")))</f>
        <v>213.99</v>
      </c>
      <c r="L198" s="577">
        <f t="shared" si="120"/>
        <v>0.2354</v>
      </c>
      <c r="M198" s="576">
        <f t="shared" si="121"/>
        <v>264.36</v>
      </c>
      <c r="N198" s="576">
        <f t="shared" si="122"/>
        <v>126720.97</v>
      </c>
      <c r="O198" s="431"/>
      <c r="P198" s="430"/>
      <c r="Q198" s="589">
        <f t="shared" si="123"/>
        <v>126720.97</v>
      </c>
      <c r="R198" s="430"/>
      <c r="S198" s="433"/>
      <c r="T198" s="430"/>
      <c r="U198" s="430"/>
    </row>
    <row r="199" spans="1:21" s="588" customFormat="1" ht="51">
      <c r="A199" s="430">
        <v>180</v>
      </c>
      <c r="B199" s="590"/>
      <c r="C199" s="431" t="str">
        <f>+C198</f>
        <v>10.2</v>
      </c>
      <c r="D199" s="587">
        <f t="shared" si="124"/>
        <v>3</v>
      </c>
      <c r="E199" s="572" t="str">
        <f t="shared" ref="E199:E200" si="125">C199&amp;"."&amp;D199</f>
        <v>10.2.3</v>
      </c>
      <c r="F199" s="579" t="s">
        <v>2239</v>
      </c>
      <c r="G199" s="581" t="s">
        <v>8599</v>
      </c>
      <c r="H199" s="750" t="str">
        <f>IF($G199="","",IFERROR(VLOOKUP($G199,SERVIÇOS!$C:$G,2,0),IFERROR(VLOOKUP($G199,CPU!$F:$M,2,0),"")))</f>
        <v>PISO ELEVADO COM ESTRUTURA EM AÇO, COMPOSTO POR PEDESTAIS E LONGARINAS, 2 PLACAS DE AÇO COM ENCHIMENTO EM CONCRETO CELULAR, 60X60CM, H=15CM, RESISTÊNCIA CARGA CONCENTRADA 496KG, COM SUPERFÍCIE EM MANTA VINÍLICA ESP=2MM, REF 21000592 TARKETT OU EQUIVALENTE TÉCNICO</v>
      </c>
      <c r="I199" s="578" t="str">
        <f>IF($G199="","",IFERROR(VLOOKUP($G199,SERVIÇOS!$C:$G,3,0),IFERROR(VLOOKUP($G199,CPU!$F:$M,3,0),"")))</f>
        <v>M2</v>
      </c>
      <c r="J199" s="576">
        <v>30.56</v>
      </c>
      <c r="K199" s="576">
        <f>IF($G199="","",IFERROR(VLOOKUP($G199,SERVIÇOS!$C:$H,6,0),IFERROR(VLOOKUP($G199,CPU!$F:$M,8,0),"")))</f>
        <v>656.63999999999987</v>
      </c>
      <c r="L199" s="577">
        <f t="shared" si="120"/>
        <v>0.2354</v>
      </c>
      <c r="M199" s="576">
        <f t="shared" si="121"/>
        <v>811.21</v>
      </c>
      <c r="N199" s="576">
        <f t="shared" si="122"/>
        <v>24790.58</v>
      </c>
      <c r="O199" s="431"/>
      <c r="P199" s="430"/>
      <c r="Q199" s="589">
        <f t="shared" si="123"/>
        <v>24790.58</v>
      </c>
      <c r="R199" s="430"/>
      <c r="S199" s="433"/>
      <c r="T199" s="430"/>
      <c r="U199" s="430"/>
    </row>
    <row r="200" spans="1:21" s="588" customFormat="1">
      <c r="A200" s="430">
        <v>181</v>
      </c>
      <c r="B200" s="590"/>
      <c r="C200" s="431" t="str">
        <f t="shared" ref="C200:C205" si="126">+C199</f>
        <v>10.2</v>
      </c>
      <c r="D200" s="587">
        <f t="shared" si="124"/>
        <v>4</v>
      </c>
      <c r="E200" s="572" t="str">
        <f t="shared" si="125"/>
        <v>10.2.4</v>
      </c>
      <c r="F200" s="579" t="s">
        <v>2239</v>
      </c>
      <c r="G200" s="581" t="s">
        <v>8605</v>
      </c>
      <c r="H200" s="750" t="str">
        <f>IF($G200="","",IFERROR(VLOOKUP($G200,SERVIÇOS!$C:$G,2,0),IFERROR(VLOOKUP($G200,CPU!$F:$M,2,0),"")))</f>
        <v>RODAPÉ PORCELANATO DE 10CM DE ALTURA, COM REJUNTE EPÓXI COR CINZA CLARO</v>
      </c>
      <c r="I200" s="578" t="str">
        <f>IF($G200="","",IFERROR(VLOOKUP($G200,SERVIÇOS!$C:$G,3,0),IFERROR(VLOOKUP($G200,CPU!$F:$M,3,0),"")))</f>
        <v>M</v>
      </c>
      <c r="J200" s="576">
        <v>19.77</v>
      </c>
      <c r="K200" s="576">
        <f>IF($G200="","",IFERROR(VLOOKUP($G200,SERVIÇOS!$C:$H,6,0),IFERROR(VLOOKUP($G200,CPU!$F:$M,8,0),"")))</f>
        <v>42.28</v>
      </c>
      <c r="L200" s="577">
        <f t="shared" si="120"/>
        <v>0.2354</v>
      </c>
      <c r="M200" s="576">
        <f t="shared" si="121"/>
        <v>52.23</v>
      </c>
      <c r="N200" s="576">
        <f t="shared" si="122"/>
        <v>1032.5899999999999</v>
      </c>
      <c r="O200" s="431"/>
      <c r="P200" s="430"/>
      <c r="Q200" s="589">
        <f t="shared" si="123"/>
        <v>1032.5899999999999</v>
      </c>
      <c r="R200" s="430"/>
      <c r="S200" s="433"/>
      <c r="T200" s="430"/>
      <c r="U200" s="430"/>
    </row>
    <row r="201" spans="1:21" s="588" customFormat="1">
      <c r="A201" s="430">
        <v>181</v>
      </c>
      <c r="B201" s="590"/>
      <c r="C201" s="431" t="str">
        <f t="shared" si="126"/>
        <v>10.2</v>
      </c>
      <c r="D201" s="587">
        <f t="shared" si="124"/>
        <v>5</v>
      </c>
      <c r="E201" s="572" t="str">
        <f t="shared" ref="E201" si="127">C201&amp;"."&amp;D201</f>
        <v>10.2.5</v>
      </c>
      <c r="F201" s="579" t="s">
        <v>2239</v>
      </c>
      <c r="G201" s="581" t="s">
        <v>8881</v>
      </c>
      <c r="H201" s="750" t="str">
        <f>IF($G201="","",IFERROR(VLOOKUP($G201,SERVIÇOS!$C:$G,2,0),IFERROR(VLOOKUP($G201,CPU!$F:$M,2,0),"")))</f>
        <v>RODAPÉ DE EVA AUTOCOLANTE, ALTURA 7CM, COR BRANCO</v>
      </c>
      <c r="I201" s="578" t="str">
        <f>IF($G201="","",IFERROR(VLOOKUP($G201,SERVIÇOS!$C:$G,3,0),IFERROR(VLOOKUP($G201,CPU!$F:$M,3,0),"")))</f>
        <v>M</v>
      </c>
      <c r="J201" s="576">
        <v>491.46</v>
      </c>
      <c r="K201" s="576">
        <f>IF($G201="","",IFERROR(VLOOKUP($G201,SERVIÇOS!$C:$H,6,0),IFERROR(VLOOKUP($G201,CPU!$F:$M,8,0),"")))</f>
        <v>26.34</v>
      </c>
      <c r="L201" s="577">
        <f t="shared" ref="L201" si="128">IF(J201&lt;&gt;"",$N$1,"")</f>
        <v>0.2354</v>
      </c>
      <c r="M201" s="576">
        <f t="shared" ref="M201" si="129">IF(J201&lt;&gt;0,(ROUND(K201*(L201+1),2)),0)</f>
        <v>32.54</v>
      </c>
      <c r="N201" s="576">
        <f t="shared" ref="N201" si="130">IF(J201="","",ROUND((J201*M201),2))</f>
        <v>15992.11</v>
      </c>
      <c r="O201" s="431"/>
      <c r="P201" s="430"/>
      <c r="Q201" s="589">
        <f t="shared" ref="Q201" si="131">N201</f>
        <v>15992.11</v>
      </c>
      <c r="R201" s="430"/>
      <c r="S201" s="433"/>
      <c r="T201" s="430"/>
      <c r="U201" s="430"/>
    </row>
    <row r="202" spans="1:21" s="588" customFormat="1">
      <c r="A202" s="430">
        <v>182</v>
      </c>
      <c r="B202" s="590"/>
      <c r="C202" s="431" t="str">
        <f t="shared" si="126"/>
        <v>10.2</v>
      </c>
      <c r="D202" s="587">
        <f t="shared" si="124"/>
        <v>6</v>
      </c>
      <c r="E202" s="572" t="str">
        <f t="shared" ref="E202:E203" si="132">C202&amp;"."&amp;D202</f>
        <v>10.2.6</v>
      </c>
      <c r="F202" s="579" t="s">
        <v>2239</v>
      </c>
      <c r="G202" s="581" t="s">
        <v>8608</v>
      </c>
      <c r="H202" s="750" t="str">
        <f>IF($G202="","",IFERROR(VLOOKUP($G202,SERVIÇOS!$C:$G,2,0),IFERROR(VLOOKUP($G202,CPU!$F:$M,2,0),"")))</f>
        <v>SOLEIRA EM GRANITO CASTELO, ESPESSURA 2CM, LARGURA 10CM</v>
      </c>
      <c r="I202" s="578" t="str">
        <f>IF($G202="","",IFERROR(VLOOKUP($G202,SERVIÇOS!$C:$G,3,0),IFERROR(VLOOKUP($G202,CPU!$F:$M,3,0),"")))</f>
        <v>M</v>
      </c>
      <c r="J202" s="576">
        <v>1.47</v>
      </c>
      <c r="K202" s="576">
        <f>IF($G202="","",IFERROR(VLOOKUP($G202,SERVIÇOS!$C:$H,6,0),IFERROR(VLOOKUP($G202,CPU!$F:$M,8,0),"")))</f>
        <v>71.22</v>
      </c>
      <c r="L202" s="577">
        <f t="shared" si="120"/>
        <v>0.2354</v>
      </c>
      <c r="M202" s="576">
        <f t="shared" si="121"/>
        <v>87.99</v>
      </c>
      <c r="N202" s="576">
        <f t="shared" si="122"/>
        <v>129.35</v>
      </c>
      <c r="O202" s="431"/>
      <c r="P202" s="430"/>
      <c r="Q202" s="589">
        <f t="shared" si="123"/>
        <v>129.35</v>
      </c>
      <c r="R202" s="430"/>
      <c r="S202" s="433"/>
      <c r="T202" s="430"/>
      <c r="U202" s="430"/>
    </row>
    <row r="203" spans="1:21" s="588" customFormat="1">
      <c r="A203" s="430">
        <v>182</v>
      </c>
      <c r="B203" s="590"/>
      <c r="C203" s="431" t="str">
        <f t="shared" si="126"/>
        <v>10.2</v>
      </c>
      <c r="D203" s="587">
        <f t="shared" si="124"/>
        <v>7</v>
      </c>
      <c r="E203" s="572" t="str">
        <f t="shared" si="132"/>
        <v>10.2.7</v>
      </c>
      <c r="F203" s="579" t="s">
        <v>2239</v>
      </c>
      <c r="G203" s="581" t="s">
        <v>8611</v>
      </c>
      <c r="H203" s="750" t="str">
        <f>IF($G203="","",IFERROR(VLOOKUP($G203,SERVIÇOS!$C:$G,2,0),IFERROR(VLOOKUP($G203,CPU!$F:$M,2,0),"")))</f>
        <v>SOLEIRA EM GRANITO CASTELO, ESPESSURA 2CM, LARGURA 11CM</v>
      </c>
      <c r="I203" s="578" t="str">
        <f>IF($G203="","",IFERROR(VLOOKUP($G203,SERVIÇOS!$C:$G,3,0),IFERROR(VLOOKUP($G203,CPU!$F:$M,3,0),"")))</f>
        <v>M</v>
      </c>
      <c r="J203" s="576">
        <v>22.96</v>
      </c>
      <c r="K203" s="576">
        <f>IF($G203="","",IFERROR(VLOOKUP($G203,SERVIÇOS!$C:$H,6,0),IFERROR(VLOOKUP($G203,CPU!$F:$M,8,0),"")))</f>
        <v>78.36</v>
      </c>
      <c r="L203" s="577">
        <f t="shared" ref="L203:L206" si="133">IF(J203&lt;&gt;"",$N$1,"")</f>
        <v>0.2354</v>
      </c>
      <c r="M203" s="576">
        <f t="shared" ref="M203:M206" si="134">IF(J203&lt;&gt;0,(ROUND(K203*(L203+1),2)),0)</f>
        <v>96.81</v>
      </c>
      <c r="N203" s="576">
        <f t="shared" ref="N203:N206" si="135">IF(J203="","",ROUND((J203*M203),2))</f>
        <v>2222.7600000000002</v>
      </c>
      <c r="O203" s="431"/>
      <c r="P203" s="430"/>
      <c r="Q203" s="589">
        <f t="shared" ref="Q203:Q206" si="136">N203</f>
        <v>2222.7600000000002</v>
      </c>
      <c r="R203" s="430"/>
      <c r="S203" s="433"/>
      <c r="T203" s="430"/>
      <c r="U203" s="430"/>
    </row>
    <row r="204" spans="1:21" s="588" customFormat="1">
      <c r="A204" s="430">
        <v>182</v>
      </c>
      <c r="B204" s="590"/>
      <c r="C204" s="431" t="str">
        <f t="shared" si="126"/>
        <v>10.2</v>
      </c>
      <c r="D204" s="587">
        <f t="shared" si="124"/>
        <v>8</v>
      </c>
      <c r="E204" s="572" t="str">
        <f t="shared" ref="E204:E206" si="137">C204&amp;"."&amp;D204</f>
        <v>10.2.8</v>
      </c>
      <c r="F204" s="579" t="s">
        <v>2239</v>
      </c>
      <c r="G204" s="581" t="s">
        <v>8613</v>
      </c>
      <c r="H204" s="750" t="str">
        <f>IF($G204="","",IFERROR(VLOOKUP($G204,SERVIÇOS!$C:$G,2,0),IFERROR(VLOOKUP($G204,CPU!$F:$M,2,0),"")))</f>
        <v>SOLEIRA EM GRANITO CASTELO, ESPESSURA 2CM, LARGURA 15CM</v>
      </c>
      <c r="I204" s="578" t="str">
        <f>IF($G204="","",IFERROR(VLOOKUP($G204,SERVIÇOS!$C:$G,3,0),IFERROR(VLOOKUP($G204,CPU!$F:$M,3,0),"")))</f>
        <v>M</v>
      </c>
      <c r="J204" s="576">
        <v>3.46</v>
      </c>
      <c r="K204" s="576">
        <f>IF($G204="","",IFERROR(VLOOKUP($G204,SERVIÇOS!$C:$H,6,0),IFERROR(VLOOKUP($G204,CPU!$F:$M,8,0),"")))</f>
        <v>125.86999999999999</v>
      </c>
      <c r="L204" s="577">
        <f t="shared" si="133"/>
        <v>0.2354</v>
      </c>
      <c r="M204" s="576">
        <f t="shared" si="134"/>
        <v>155.5</v>
      </c>
      <c r="N204" s="576">
        <f t="shared" si="135"/>
        <v>538.03</v>
      </c>
      <c r="O204" s="431"/>
      <c r="P204" s="430"/>
      <c r="Q204" s="589">
        <f t="shared" si="136"/>
        <v>538.03</v>
      </c>
      <c r="R204" s="430"/>
      <c r="S204" s="433"/>
      <c r="T204" s="430"/>
      <c r="U204" s="430"/>
    </row>
    <row r="205" spans="1:21" s="588" customFormat="1">
      <c r="A205" s="430">
        <v>182</v>
      </c>
      <c r="B205" s="590"/>
      <c r="C205" s="431" t="str">
        <f t="shared" si="126"/>
        <v>10.2</v>
      </c>
      <c r="D205" s="587">
        <f t="shared" si="124"/>
        <v>9</v>
      </c>
      <c r="E205" s="572" t="str">
        <f t="shared" si="137"/>
        <v>10.2.9</v>
      </c>
      <c r="F205" s="579" t="s">
        <v>2239</v>
      </c>
      <c r="G205" s="581" t="s">
        <v>8615</v>
      </c>
      <c r="H205" s="750" t="str">
        <f>IF($G205="","",IFERROR(VLOOKUP($G205,SERVIÇOS!$C:$G,2,0),IFERROR(VLOOKUP($G205,CPU!$F:$M,2,0),"")))</f>
        <v>SOLEIRA EM GRANITO CASTELO, ESPESSURA 2CM, LARGURA 20CM</v>
      </c>
      <c r="I205" s="578" t="str">
        <f>IF($G205="","",IFERROR(VLOOKUP($G205,SERVIÇOS!$C:$G,3,0),IFERROR(VLOOKUP($G205,CPU!$F:$M,3,0),"")))</f>
        <v>M</v>
      </c>
      <c r="J205" s="576">
        <v>2.82</v>
      </c>
      <c r="K205" s="576">
        <f>IF($G205="","",IFERROR(VLOOKUP($G205,SERVIÇOS!$C:$H,6,0),IFERROR(VLOOKUP($G205,CPU!$F:$M,8,0),"")))</f>
        <v>142.48000000000002</v>
      </c>
      <c r="L205" s="577">
        <f t="shared" si="133"/>
        <v>0.2354</v>
      </c>
      <c r="M205" s="576">
        <f t="shared" si="134"/>
        <v>176.02</v>
      </c>
      <c r="N205" s="576">
        <f t="shared" si="135"/>
        <v>496.38</v>
      </c>
      <c r="O205" s="431"/>
      <c r="P205" s="430"/>
      <c r="Q205" s="589">
        <f t="shared" si="136"/>
        <v>496.38</v>
      </c>
      <c r="R205" s="430"/>
      <c r="S205" s="433"/>
      <c r="T205" s="430"/>
      <c r="U205" s="430"/>
    </row>
    <row r="206" spans="1:21" s="588" customFormat="1">
      <c r="A206" s="430">
        <v>182</v>
      </c>
      <c r="B206" s="590"/>
      <c r="C206" s="431" t="str">
        <f t="shared" ref="C206:C208" si="138">+C205</f>
        <v>10.2</v>
      </c>
      <c r="D206" s="587">
        <f t="shared" ref="D206:D208" si="139">1+D205</f>
        <v>10</v>
      </c>
      <c r="E206" s="572" t="str">
        <f t="shared" si="137"/>
        <v>10.2.10</v>
      </c>
      <c r="F206" s="579" t="s">
        <v>2239</v>
      </c>
      <c r="G206" s="581" t="s">
        <v>8617</v>
      </c>
      <c r="H206" s="750" t="str">
        <f>IF($G206="","",IFERROR(VLOOKUP($G206,SERVIÇOS!$C:$G,2,0),IFERROR(VLOOKUP($G206,CPU!$F:$M,2,0),"")))</f>
        <v>SOLEIRA EM GRANITO CASTELO, ESPESSURA 2CM, LARGURA 22CM</v>
      </c>
      <c r="I206" s="578" t="str">
        <f>IF($G206="","",IFERROR(VLOOKUP($G206,SERVIÇOS!$C:$G,3,0),IFERROR(VLOOKUP($G206,CPU!$F:$M,3,0),"")))</f>
        <v>M</v>
      </c>
      <c r="J206" s="576">
        <v>5.1400000000000006</v>
      </c>
      <c r="K206" s="576">
        <f>IF($G206="","",IFERROR(VLOOKUP($G206,SERVIÇOS!$C:$H,6,0),IFERROR(VLOOKUP($G206,CPU!$F:$M,8,0),"")))</f>
        <v>156.74</v>
      </c>
      <c r="L206" s="577">
        <f t="shared" si="133"/>
        <v>0.2354</v>
      </c>
      <c r="M206" s="576">
        <f t="shared" si="134"/>
        <v>193.64</v>
      </c>
      <c r="N206" s="576">
        <f t="shared" si="135"/>
        <v>995.31</v>
      </c>
      <c r="O206" s="431"/>
      <c r="P206" s="430"/>
      <c r="Q206" s="589">
        <f t="shared" si="136"/>
        <v>995.31</v>
      </c>
      <c r="R206" s="430"/>
      <c r="S206" s="433"/>
      <c r="T206" s="430"/>
      <c r="U206" s="430"/>
    </row>
    <row r="207" spans="1:21" s="588" customFormat="1" ht="25.5">
      <c r="A207" s="430">
        <v>182</v>
      </c>
      <c r="B207" s="590"/>
      <c r="C207" s="431" t="str">
        <f t="shared" si="138"/>
        <v>10.2</v>
      </c>
      <c r="D207" s="587">
        <f t="shared" si="139"/>
        <v>11</v>
      </c>
      <c r="E207" s="572" t="str">
        <f t="shared" ref="E207" si="140">C207&amp;"."&amp;D207</f>
        <v>10.2.11</v>
      </c>
      <c r="F207" s="579" t="s">
        <v>2239</v>
      </c>
      <c r="G207" s="581" t="s">
        <v>8619</v>
      </c>
      <c r="H207" s="750" t="str">
        <f>IF($G207="","",IFERROR(VLOOKUP($G207,SERVIÇOS!$C:$G,2,0),IFERROR(VLOOKUP($G207,CPU!$F:$M,2,0),"")))</f>
        <v>ACABAMENTO DEGRAU EM GRANITO CASTELO COM FRISOS ANTIDERRAPANTES, ESPESSURA 2CM, LARGURA 5CM</v>
      </c>
      <c r="I207" s="578" t="str">
        <f>IF($G207="","",IFERROR(VLOOKUP($G207,SERVIÇOS!$C:$G,3,0),IFERROR(VLOOKUP($G207,CPU!$F:$M,3,0),"")))</f>
        <v>M</v>
      </c>
      <c r="J207" s="576">
        <v>46.46</v>
      </c>
      <c r="K207" s="576">
        <f>IF($G207="","",IFERROR(VLOOKUP($G207,SERVIÇOS!$C:$H,6,0),IFERROR(VLOOKUP($G207,CPU!$F:$M,8,0),"")))</f>
        <v>35.61</v>
      </c>
      <c r="L207" s="577">
        <f t="shared" ref="L207" si="141">IF(J207&lt;&gt;"",$N$1,"")</f>
        <v>0.2354</v>
      </c>
      <c r="M207" s="576">
        <f t="shared" ref="M207" si="142">IF(J207&lt;&gt;0,(ROUND(K207*(L207+1),2)),0)</f>
        <v>43.99</v>
      </c>
      <c r="N207" s="576">
        <f t="shared" ref="N207" si="143">IF(J207="","",ROUND((J207*M207),2))</f>
        <v>2043.78</v>
      </c>
      <c r="O207" s="431"/>
      <c r="P207" s="430"/>
      <c r="Q207" s="589">
        <f t="shared" ref="Q207" si="144">N207</f>
        <v>2043.78</v>
      </c>
      <c r="R207" s="430"/>
      <c r="S207" s="433"/>
      <c r="T207" s="430"/>
      <c r="U207" s="430"/>
    </row>
    <row r="208" spans="1:21" s="588" customFormat="1" ht="25.5">
      <c r="A208" s="430">
        <v>182</v>
      </c>
      <c r="B208" s="590"/>
      <c r="C208" s="431" t="str">
        <f t="shared" si="138"/>
        <v>10.2</v>
      </c>
      <c r="D208" s="587">
        <f t="shared" si="139"/>
        <v>12</v>
      </c>
      <c r="E208" s="572" t="str">
        <f t="shared" ref="E208" si="145">C208&amp;"."&amp;D208</f>
        <v>10.2.12</v>
      </c>
      <c r="F208" s="579" t="s">
        <v>2239</v>
      </c>
      <c r="G208" s="581" t="s">
        <v>8621</v>
      </c>
      <c r="H208" s="750" t="str">
        <f>IF($G208="","",IFERROR(VLOOKUP($G208,SERVIÇOS!$C:$G,2,0),IFERROR(VLOOKUP($G208,CPU!$F:$M,2,0),"")))</f>
        <v>PERFIL METÁLICO DE ACABAMENTO ENTRE PISO VINÍLICO E PORCELANATO - FORNECIMENTO E INSTALAÇÃO</v>
      </c>
      <c r="I208" s="578" t="str">
        <f>IF($G208="","",IFERROR(VLOOKUP($G208,SERVIÇOS!$C:$G,3,0),IFERROR(VLOOKUP($G208,CPU!$F:$M,3,0),"")))</f>
        <v>M</v>
      </c>
      <c r="J208" s="576">
        <v>8.51</v>
      </c>
      <c r="K208" s="576">
        <f>IF($G208="","",IFERROR(VLOOKUP($G208,SERVIÇOS!$C:$H,6,0),IFERROR(VLOOKUP($G208,CPU!$F:$M,8,0),"")))</f>
        <v>29.939999999999998</v>
      </c>
      <c r="L208" s="577">
        <f t="shared" ref="L208" si="146">IF(J208&lt;&gt;"",$N$1,"")</f>
        <v>0.2354</v>
      </c>
      <c r="M208" s="576">
        <f t="shared" ref="M208" si="147">IF(J208&lt;&gt;0,(ROUND(K208*(L208+1),2)),0)</f>
        <v>36.99</v>
      </c>
      <c r="N208" s="576">
        <f t="shared" ref="N208" si="148">IF(J208="","",ROUND((J208*M208),2))</f>
        <v>314.77999999999997</v>
      </c>
      <c r="O208" s="431"/>
      <c r="P208" s="430"/>
      <c r="Q208" s="589">
        <f t="shared" ref="Q208" si="149">N208</f>
        <v>314.77999999999997</v>
      </c>
      <c r="R208" s="430"/>
      <c r="S208" s="433"/>
      <c r="T208" s="430"/>
      <c r="U208" s="430"/>
    </row>
    <row r="209" spans="1:21" s="588" customFormat="1">
      <c r="A209" s="430">
        <v>189</v>
      </c>
      <c r="B209" s="590"/>
      <c r="C209" s="431">
        <f>+E209</f>
        <v>11</v>
      </c>
      <c r="D209" s="587"/>
      <c r="E209" s="859">
        <v>11</v>
      </c>
      <c r="F209" s="860"/>
      <c r="G209" s="860"/>
      <c r="H209" s="861" t="s">
        <v>2998</v>
      </c>
      <c r="I209" s="862"/>
      <c r="J209" s="863"/>
      <c r="K209" s="866"/>
      <c r="L209" s="865"/>
      <c r="M209" s="864"/>
      <c r="N209" s="864">
        <f>SUM(N210:N271)</f>
        <v>91113.070000000022</v>
      </c>
      <c r="O209" s="431"/>
      <c r="P209" s="430"/>
      <c r="Q209" s="589"/>
      <c r="R209" s="430"/>
      <c r="S209" s="433"/>
      <c r="T209" s="433">
        <v>69480.789999999994</v>
      </c>
      <c r="U209" s="433">
        <v>87684.749999999985</v>
      </c>
    </row>
    <row r="210" spans="1:21">
      <c r="A210" s="430">
        <v>190</v>
      </c>
      <c r="B210" s="590"/>
      <c r="C210" s="431" t="str">
        <f>+E210</f>
        <v>11.1</v>
      </c>
      <c r="D210" s="587"/>
      <c r="E210" s="568" t="s">
        <v>6923</v>
      </c>
      <c r="F210" s="569"/>
      <c r="G210" s="569"/>
      <c r="H210" s="749" t="s">
        <v>8433</v>
      </c>
      <c r="I210" s="570"/>
      <c r="J210" s="571"/>
      <c r="K210" s="571"/>
      <c r="L210" s="571"/>
      <c r="M210" s="571"/>
      <c r="N210" s="571"/>
      <c r="Q210" s="589"/>
      <c r="S210" s="433"/>
    </row>
    <row r="211" spans="1:21" s="588" customFormat="1">
      <c r="A211" s="430">
        <v>196</v>
      </c>
      <c r="B211" s="590"/>
      <c r="C211" s="431" t="str">
        <f>+C210</f>
        <v>11.1</v>
      </c>
      <c r="D211" s="587">
        <f>1+D210</f>
        <v>1</v>
      </c>
      <c r="E211" s="572" t="str">
        <f t="shared" ref="E211:E214" si="150">C211&amp;"."&amp;D211</f>
        <v>11.1.1</v>
      </c>
      <c r="F211" s="579"/>
      <c r="G211" s="581"/>
      <c r="H211" s="751" t="s">
        <v>8436</v>
      </c>
      <c r="I211" s="578"/>
      <c r="J211" s="576"/>
      <c r="K211" s="576"/>
      <c r="L211" s="577"/>
      <c r="M211" s="576"/>
      <c r="N211" s="576"/>
      <c r="O211" s="431"/>
      <c r="P211" s="430"/>
      <c r="Q211" s="589"/>
      <c r="R211" s="430"/>
      <c r="S211" s="433"/>
      <c r="T211" s="430"/>
      <c r="U211" s="430"/>
    </row>
    <row r="212" spans="1:21" s="588" customFormat="1" ht="25.5">
      <c r="A212" s="430">
        <v>191</v>
      </c>
      <c r="B212" s="590"/>
      <c r="C212" s="431" t="str">
        <f t="shared" ref="C212:C214" si="151">+C211</f>
        <v>11.1</v>
      </c>
      <c r="D212" s="587">
        <f t="shared" ref="D212:D214" si="152">1+D211</f>
        <v>2</v>
      </c>
      <c r="E212" s="572" t="str">
        <f t="shared" si="150"/>
        <v>11.1.2</v>
      </c>
      <c r="F212" s="579" t="s">
        <v>2238</v>
      </c>
      <c r="G212" s="581">
        <v>94489</v>
      </c>
      <c r="H212" s="750" t="str">
        <f>IF($G212="","",IFERROR(VLOOKUP($G212,SERVIÇOS!$C:$G,2,0),IFERROR(VLOOKUP($G212,CPU!$F:$M,2,0),"")))</f>
        <v>REGISTRO DE ESFERA, PVC, SOLDÁVEL, COM VOLANTE, DN  25 MM - FORNECIMENTO E INSTALAÇÃO. AF_08/2021</v>
      </c>
      <c r="I212" s="578" t="str">
        <f>IF($G212="","",IFERROR(VLOOKUP($G212,SERVIÇOS!$C:$G,3,0),IFERROR(VLOOKUP($G212,CPU!$F:$M,3,0),"")))</f>
        <v>UN</v>
      </c>
      <c r="J212" s="576">
        <v>3</v>
      </c>
      <c r="K212" s="576">
        <f>IF($G212="","",IFERROR(VLOOKUP($G212,SERVIÇOS!$C:$H,6,0),IFERROR(VLOOKUP($G212,CPU!$F:$M,8,0),"")))</f>
        <v>32.93</v>
      </c>
      <c r="L212" s="577">
        <f>IF(J212&lt;&gt;"",$N$1,"")</f>
        <v>0.2354</v>
      </c>
      <c r="M212" s="576">
        <f>IF(J212&lt;&gt;0,(ROUND(K212*(L212+1),2)),0)</f>
        <v>40.68</v>
      </c>
      <c r="N212" s="576">
        <f>IF(J212="","",ROUND((J212*M212),2))</f>
        <v>122.04</v>
      </c>
      <c r="O212" s="431"/>
      <c r="P212" s="430"/>
      <c r="Q212" s="589">
        <f>N212</f>
        <v>122.04</v>
      </c>
      <c r="R212" s="430"/>
      <c r="S212" s="433"/>
      <c r="T212" s="430"/>
      <c r="U212" s="430"/>
    </row>
    <row r="213" spans="1:21" s="588" customFormat="1">
      <c r="A213" s="430">
        <v>196</v>
      </c>
      <c r="B213" s="590"/>
      <c r="C213" s="431" t="str">
        <f t="shared" si="151"/>
        <v>11.1</v>
      </c>
      <c r="D213" s="587">
        <f t="shared" si="152"/>
        <v>3</v>
      </c>
      <c r="E213" s="572" t="str">
        <f t="shared" si="150"/>
        <v>11.1.3</v>
      </c>
      <c r="F213" s="579"/>
      <c r="G213" s="581"/>
      <c r="H213" s="751" t="s">
        <v>8435</v>
      </c>
      <c r="I213" s="578"/>
      <c r="J213" s="576"/>
      <c r="K213" s="576"/>
      <c r="L213" s="577"/>
      <c r="M213" s="576"/>
      <c r="N213" s="576"/>
      <c r="O213" s="431"/>
      <c r="P213" s="430"/>
      <c r="Q213" s="589"/>
      <c r="R213" s="430"/>
      <c r="S213" s="433"/>
      <c r="T213" s="430"/>
      <c r="U213" s="430"/>
    </row>
    <row r="214" spans="1:21" s="588" customFormat="1" ht="51">
      <c r="A214" s="430">
        <v>192</v>
      </c>
      <c r="B214" s="590"/>
      <c r="C214" s="431" t="str">
        <f t="shared" si="151"/>
        <v>11.1</v>
      </c>
      <c r="D214" s="587">
        <f t="shared" si="152"/>
        <v>4</v>
      </c>
      <c r="E214" s="572" t="str">
        <f t="shared" si="150"/>
        <v>11.1.4</v>
      </c>
      <c r="F214" s="579" t="s">
        <v>2238</v>
      </c>
      <c r="G214" s="581">
        <v>91785</v>
      </c>
      <c r="H214" s="750" t="str">
        <f>IF($G214="","",IFERROR(VLOOKUP($G214,SERVIÇOS!$C:$G,2,0),IFERROR(VLOOKUP($G214,CPU!$F:$M,2,0),"")))</f>
        <v>(COMPOSIÇÃO REPRESENTATIVA) DO SERVIÇO DE INSTALAÇÃO DE TUBOS DE PVC, SOLDÁVEL, ÁGUA FRIA, DN 25 MM (INSTALADO EM RAMAL, SUB-RAMAL, RAMAL DE DISTRIBUIÇÃO OU PRUMADA), INCLUSIVE CONEXÕES, CORTES E FIXAÇÕES, PARA PRÉDIOS. AF_10/2015</v>
      </c>
      <c r="I214" s="578" t="str">
        <f>IF($G214="","",IFERROR(VLOOKUP($G214,SERVIÇOS!$C:$G,3,0),IFERROR(VLOOKUP($G214,CPU!$F:$M,3,0),"")))</f>
        <v>M</v>
      </c>
      <c r="J214" s="576">
        <v>53.3</v>
      </c>
      <c r="K214" s="576">
        <f>IF($G214="","",IFERROR(VLOOKUP($G214,SERVIÇOS!$C:$H,6,0),IFERROR(VLOOKUP($G214,CPU!$F:$M,8,0),"")))</f>
        <v>51.04</v>
      </c>
      <c r="L214" s="577">
        <f>IF(J214&lt;&gt;"",$N$1,"")</f>
        <v>0.2354</v>
      </c>
      <c r="M214" s="576">
        <f>IF(J214&lt;&gt;0,(ROUND(K214*(L214+1),2)),0)</f>
        <v>63.05</v>
      </c>
      <c r="N214" s="576">
        <f>IF(J214="","",ROUND((J214*M214),2))</f>
        <v>3360.57</v>
      </c>
      <c r="O214" s="431"/>
      <c r="P214" s="430"/>
      <c r="Q214" s="589">
        <f>N214</f>
        <v>3360.57</v>
      </c>
      <c r="R214" s="430"/>
      <c r="S214" s="433"/>
      <c r="T214" s="430"/>
      <c r="U214" s="430"/>
    </row>
    <row r="215" spans="1:21">
      <c r="A215" s="430">
        <v>196</v>
      </c>
      <c r="B215" s="590"/>
      <c r="C215" s="431" t="str">
        <f>+E215</f>
        <v>11.2</v>
      </c>
      <c r="D215" s="587"/>
      <c r="E215" s="568" t="s">
        <v>6924</v>
      </c>
      <c r="F215" s="569"/>
      <c r="G215" s="569"/>
      <c r="H215" s="749" t="s">
        <v>5274</v>
      </c>
      <c r="I215" s="570"/>
      <c r="J215" s="571"/>
      <c r="K215" s="571"/>
      <c r="L215" s="571"/>
      <c r="M215" s="571"/>
      <c r="N215" s="571"/>
      <c r="Q215" s="589"/>
      <c r="S215" s="433"/>
    </row>
    <row r="216" spans="1:21" s="588" customFormat="1">
      <c r="A216" s="430">
        <v>196</v>
      </c>
      <c r="B216" s="590"/>
      <c r="C216" s="431" t="str">
        <f>+C215</f>
        <v>11.2</v>
      </c>
      <c r="D216" s="587">
        <f>1+D215</f>
        <v>1</v>
      </c>
      <c r="E216" s="572" t="str">
        <f>C216&amp;"."&amp;D216</f>
        <v>11.2.1</v>
      </c>
      <c r="F216" s="579"/>
      <c r="G216" s="581"/>
      <c r="H216" s="751" t="s">
        <v>8434</v>
      </c>
      <c r="I216" s="578"/>
      <c r="J216" s="576"/>
      <c r="K216" s="576"/>
      <c r="L216" s="577"/>
      <c r="M216" s="576"/>
      <c r="N216" s="576"/>
      <c r="O216" s="431"/>
      <c r="P216" s="430"/>
      <c r="Q216" s="589"/>
      <c r="R216" s="430"/>
      <c r="S216" s="433"/>
      <c r="T216" s="430"/>
      <c r="U216" s="430"/>
    </row>
    <row r="217" spans="1:21" s="588" customFormat="1" ht="25.5">
      <c r="A217" s="430">
        <v>197</v>
      </c>
      <c r="B217" s="590"/>
      <c r="C217" s="431" t="str">
        <f>+C216</f>
        <v>11.2</v>
      </c>
      <c r="D217" s="587">
        <f>1+D216</f>
        <v>2</v>
      </c>
      <c r="E217" s="572" t="str">
        <f>C217&amp;"."&amp;D217</f>
        <v>11.2.2</v>
      </c>
      <c r="F217" s="579" t="s">
        <v>2238</v>
      </c>
      <c r="G217" s="581">
        <v>97903</v>
      </c>
      <c r="H217" s="750" t="str">
        <f>IF($G217="","",IFERROR(VLOOKUP($G217,SERVIÇOS!$C:$G,2,0),IFERROR(VLOOKUP($G217,CPU!$F:$M,2,0),"")))</f>
        <v>CAIXA ENTERRADA HIDRÁULICA RETANGULAR EM ALVENARIA COM TIJOLOS CERÂMICOS MACIÇOS, DIMENSÕES INTERNAS: 0,8X0,8X0,6 M PARA REDE DE ESGOTO. AF_12/2020</v>
      </c>
      <c r="I217" s="578" t="str">
        <f>IF($G217="","",IFERROR(VLOOKUP($G217,SERVIÇOS!$C:$G,3,0),IFERROR(VLOOKUP($G217,CPU!$F:$M,3,0),"")))</f>
        <v>UN</v>
      </c>
      <c r="J217" s="576">
        <v>6</v>
      </c>
      <c r="K217" s="576">
        <f>IF($G217="","",IFERROR(VLOOKUP($G217,SERVIÇOS!$C:$H,6,0),IFERROR(VLOOKUP($G217,CPU!$F:$M,8,0),"")))</f>
        <v>811.72</v>
      </c>
      <c r="L217" s="577">
        <f>IF(J217&lt;&gt;"",$N$1,"")</f>
        <v>0.2354</v>
      </c>
      <c r="M217" s="576">
        <f>IF(J217&lt;&gt;0,(ROUND(K217*(L217+1),2)),0)</f>
        <v>1002.8</v>
      </c>
      <c r="N217" s="576">
        <f>IF(J217="","",ROUND((J217*M217),2))</f>
        <v>6016.8</v>
      </c>
      <c r="O217" s="431"/>
      <c r="P217" s="430"/>
      <c r="Q217" s="589">
        <f>N217</f>
        <v>6016.8</v>
      </c>
      <c r="R217" s="430"/>
      <c r="S217" s="433"/>
      <c r="T217" s="430"/>
      <c r="U217" s="430"/>
    </row>
    <row r="218" spans="1:21" s="588" customFormat="1">
      <c r="A218" s="430">
        <v>196</v>
      </c>
      <c r="B218" s="590"/>
      <c r="C218" s="431" t="str">
        <f t="shared" ref="C218" si="153">+C217</f>
        <v>11.2</v>
      </c>
      <c r="D218" s="587">
        <f t="shared" ref="D218" si="154">1+D217</f>
        <v>3</v>
      </c>
      <c r="E218" s="572" t="str">
        <f>C218&amp;"."&amp;D218</f>
        <v>11.2.3</v>
      </c>
      <c r="F218" s="579"/>
      <c r="G218" s="581"/>
      <c r="H218" s="751" t="s">
        <v>8437</v>
      </c>
      <c r="I218" s="578"/>
      <c r="J218" s="576"/>
      <c r="K218" s="576"/>
      <c r="L218" s="577"/>
      <c r="M218" s="576"/>
      <c r="N218" s="576"/>
      <c r="O218" s="431"/>
      <c r="P218" s="430"/>
      <c r="Q218" s="589"/>
      <c r="R218" s="430"/>
      <c r="S218" s="433"/>
      <c r="T218" s="430"/>
      <c r="U218" s="430"/>
    </row>
    <row r="219" spans="1:21" ht="25.5">
      <c r="A219" s="430">
        <v>199</v>
      </c>
      <c r="B219" s="590"/>
      <c r="C219" s="431" t="str">
        <f t="shared" ref="C219" si="155">+C218</f>
        <v>11.2</v>
      </c>
      <c r="D219" s="587">
        <f t="shared" ref="D219" si="156">1+D218</f>
        <v>4</v>
      </c>
      <c r="E219" s="572" t="str">
        <f>C219&amp;"."&amp;D219</f>
        <v>11.2.4</v>
      </c>
      <c r="F219" s="579" t="s">
        <v>2239</v>
      </c>
      <c r="G219" s="581" t="s">
        <v>6507</v>
      </c>
      <c r="H219" s="750" t="str">
        <f>IF($G219="","",IFERROR(VLOOKUP($G219,SERVIÇOS!$C:$G,2,0),IFERROR(VLOOKUP($G219,CPU!$F:$M,2,0),"")))</f>
        <v>CAIXA SIFONADA, PVC, DN 150 X 150 X 50 MM, COM GRELHA DE AÇO INOX  COM FECHAMENTO ESCAMOTEÁVEL, FORNECIDA E INSTALADA EM RAMAIS DE ESGOTO</v>
      </c>
      <c r="I219" s="578" t="str">
        <f>IF($G219="","",IFERROR(VLOOKUP($G219,SERVIÇOS!$C:$G,3,0),IFERROR(VLOOKUP($G219,CPU!$F:$M,3,0),"")))</f>
        <v>UN</v>
      </c>
      <c r="J219" s="576">
        <v>10</v>
      </c>
      <c r="K219" s="576">
        <f>IF($G219="","",IFERROR(VLOOKUP($G219,SERVIÇOS!$C:$H,6,0),IFERROR(VLOOKUP($G219,CPU!$F:$M,8,0),"")))</f>
        <v>89.35</v>
      </c>
      <c r="L219" s="577">
        <f t="shared" ref="L219:L225" si="157">IF(J219&lt;&gt;"",$N$1,"")</f>
        <v>0.2354</v>
      </c>
      <c r="M219" s="576">
        <f t="shared" ref="M219:M225" si="158">IF(J219&lt;&gt;0,(ROUND(K219*(L219+1),2)),0)</f>
        <v>110.38</v>
      </c>
      <c r="N219" s="576">
        <f t="shared" ref="N219:N225" si="159">IF(J219="","",ROUND((J219*M219),2))</f>
        <v>1103.8</v>
      </c>
      <c r="Q219" s="589">
        <f t="shared" ref="Q219:Q225" si="160">N219</f>
        <v>1103.8</v>
      </c>
      <c r="S219" s="433"/>
    </row>
    <row r="220" spans="1:21" ht="25.5">
      <c r="A220" s="430">
        <v>200</v>
      </c>
      <c r="B220" s="590"/>
      <c r="C220" s="431" t="str">
        <f t="shared" ref="C220:C231" si="161">+C219</f>
        <v>11.2</v>
      </c>
      <c r="D220" s="587">
        <f t="shared" ref="D220:D231" si="162">1+D219</f>
        <v>5</v>
      </c>
      <c r="E220" s="572" t="str">
        <f t="shared" ref="E220:E225" si="163">C220&amp;"."&amp;D220</f>
        <v>11.2.5</v>
      </c>
      <c r="F220" s="579" t="s">
        <v>2238</v>
      </c>
      <c r="G220" s="581">
        <v>86881</v>
      </c>
      <c r="H220" s="750" t="str">
        <f>IF($G220="","",IFERROR(VLOOKUP($G220,SERVIÇOS!$C:$G,2,0),IFERROR(VLOOKUP($G220,CPU!$F:$M,2,0),"")))</f>
        <v>SIFÃO DO TIPO GARRAFA EM METAL CROMADO 1 X 1.1/2 - FORNECIMENTO E INSTALAÇÃO. AF_01/2020</v>
      </c>
      <c r="I220" s="578" t="str">
        <f>IF($G220="","",IFERROR(VLOOKUP($G220,SERVIÇOS!$C:$G,3,0),IFERROR(VLOOKUP($G220,CPU!$F:$M,3,0),"")))</f>
        <v>UN</v>
      </c>
      <c r="J220" s="576">
        <v>10</v>
      </c>
      <c r="K220" s="576">
        <f>IF($G220="","",IFERROR(VLOOKUP($G220,SERVIÇOS!$C:$H,6,0),IFERROR(VLOOKUP($G220,CPU!$F:$M,8,0),"")))</f>
        <v>375.07</v>
      </c>
      <c r="L220" s="577">
        <f t="shared" si="157"/>
        <v>0.2354</v>
      </c>
      <c r="M220" s="576">
        <f t="shared" si="158"/>
        <v>463.36</v>
      </c>
      <c r="N220" s="576">
        <f t="shared" si="159"/>
        <v>4633.6000000000004</v>
      </c>
      <c r="Q220" s="589">
        <f t="shared" si="160"/>
        <v>4633.6000000000004</v>
      </c>
      <c r="S220" s="433"/>
    </row>
    <row r="221" spans="1:21" ht="25.5">
      <c r="A221" s="430">
        <v>201</v>
      </c>
      <c r="B221" s="590"/>
      <c r="C221" s="431" t="str">
        <f t="shared" si="161"/>
        <v>11.2</v>
      </c>
      <c r="D221" s="587">
        <f t="shared" si="162"/>
        <v>6</v>
      </c>
      <c r="E221" s="572" t="str">
        <f t="shared" si="163"/>
        <v>11.2.6</v>
      </c>
      <c r="F221" s="579" t="s">
        <v>2239</v>
      </c>
      <c r="G221" s="581" t="s">
        <v>8438</v>
      </c>
      <c r="H221" s="750" t="str">
        <f>IF($G221="","",IFERROR(VLOOKUP($G221,SERVIÇOS!$C:$G,2,0),IFERROR(VLOOKUP($G221,CPU!$F:$M,2,0),"")))</f>
        <v>VÁLVULA EM METAL CROMADO 1" PARA PIA, TANQUE OU LAVATÓRIO, SEM LADRÃO - FORNECIMENTO E INSTALAÇÃO</v>
      </c>
      <c r="I221" s="578" t="str">
        <f>IF($G221="","",IFERROR(VLOOKUP($G221,SERVIÇOS!$C:$G,3,0),IFERROR(VLOOKUP($G221,CPU!$F:$M,3,0),"")))</f>
        <v>UN</v>
      </c>
      <c r="J221" s="576">
        <v>10</v>
      </c>
      <c r="K221" s="576">
        <f>IF($G221="","",IFERROR(VLOOKUP($G221,SERVIÇOS!$C:$H,6,0),IFERROR(VLOOKUP($G221,CPU!$F:$M,8,0),"")))</f>
        <v>97.91</v>
      </c>
      <c r="L221" s="577">
        <f t="shared" si="157"/>
        <v>0.2354</v>
      </c>
      <c r="M221" s="576">
        <f t="shared" si="158"/>
        <v>120.96</v>
      </c>
      <c r="N221" s="576">
        <f t="shared" si="159"/>
        <v>1209.5999999999999</v>
      </c>
      <c r="Q221" s="589">
        <f t="shared" si="160"/>
        <v>1209.5999999999999</v>
      </c>
      <c r="S221" s="433"/>
    </row>
    <row r="222" spans="1:21" s="588" customFormat="1">
      <c r="A222" s="430">
        <v>196</v>
      </c>
      <c r="B222" s="590"/>
      <c r="C222" s="431" t="str">
        <f t="shared" si="161"/>
        <v>11.2</v>
      </c>
      <c r="D222" s="587">
        <f t="shared" si="162"/>
        <v>7</v>
      </c>
      <c r="E222" s="572" t="str">
        <f>C222&amp;"."&amp;D222</f>
        <v>11.2.7</v>
      </c>
      <c r="F222" s="579"/>
      <c r="G222" s="581"/>
      <c r="H222" s="751" t="s">
        <v>8440</v>
      </c>
      <c r="I222" s="578"/>
      <c r="J222" s="576"/>
      <c r="K222" s="576"/>
      <c r="L222" s="577"/>
      <c r="M222" s="576"/>
      <c r="N222" s="576"/>
      <c r="O222" s="431"/>
      <c r="P222" s="430"/>
      <c r="Q222" s="589"/>
      <c r="R222" s="430"/>
      <c r="S222" s="433"/>
      <c r="T222" s="430"/>
      <c r="U222" s="430"/>
    </row>
    <row r="223" spans="1:21" ht="51">
      <c r="A223" s="430">
        <v>202</v>
      </c>
      <c r="B223" s="590"/>
      <c r="C223" s="431" t="str">
        <f t="shared" si="161"/>
        <v>11.2</v>
      </c>
      <c r="D223" s="587">
        <f t="shared" si="162"/>
        <v>8</v>
      </c>
      <c r="E223" s="572" t="str">
        <f t="shared" si="163"/>
        <v>11.2.8</v>
      </c>
      <c r="F223" s="579" t="s">
        <v>2238</v>
      </c>
      <c r="G223" s="581">
        <v>91795</v>
      </c>
      <c r="H223" s="750" t="str">
        <f>IF($G223="","",IFERROR(VLOOKUP($G223,SERVIÇOS!$C:$G,2,0),IFERROR(VLOOKUP($G223,CPU!$F:$M,2,0),"")))</f>
        <v>(COMPOSIÇÃO REPRESENTATIVA) DO SERVIÇO DE INST. TUBO PVC, SÉRIE N, ESGOTO PREDIAL, 100 MM (INST. RAMAL DESCARGA, RAMAL DE ESG. SANIT., PRUMADA ESG. SANIT., VENTILAÇÃO OU SUB-COLETOR AÉREO), INCL. CONEXÕES E CORTES, FIXAÇÕES, P/ PRÉDIOS. AF_10/2015</v>
      </c>
      <c r="I223" s="578" t="str">
        <f>IF($G223="","",IFERROR(VLOOKUP($G223,SERVIÇOS!$C:$G,3,0),IFERROR(VLOOKUP($G223,CPU!$F:$M,3,0),"")))</f>
        <v>M</v>
      </c>
      <c r="J223" s="576">
        <v>57.6</v>
      </c>
      <c r="K223" s="576">
        <f>IF($G223="","",IFERROR(VLOOKUP($G223,SERVIÇOS!$C:$H,6,0),IFERROR(VLOOKUP($G223,CPU!$F:$M,8,0),"")))</f>
        <v>83.72</v>
      </c>
      <c r="L223" s="577">
        <f t="shared" si="157"/>
        <v>0.2354</v>
      </c>
      <c r="M223" s="576">
        <f t="shared" si="158"/>
        <v>103.43</v>
      </c>
      <c r="N223" s="576">
        <f t="shared" si="159"/>
        <v>5957.57</v>
      </c>
      <c r="Q223" s="589">
        <f t="shared" si="160"/>
        <v>5957.57</v>
      </c>
      <c r="S223" s="433"/>
    </row>
    <row r="224" spans="1:21" s="588" customFormat="1" ht="51">
      <c r="A224" s="430">
        <v>203</v>
      </c>
      <c r="B224" s="590"/>
      <c r="C224" s="431" t="str">
        <f t="shared" si="161"/>
        <v>11.2</v>
      </c>
      <c r="D224" s="587">
        <f t="shared" si="162"/>
        <v>9</v>
      </c>
      <c r="E224" s="572" t="str">
        <f t="shared" si="163"/>
        <v>11.2.9</v>
      </c>
      <c r="F224" s="579" t="s">
        <v>2238</v>
      </c>
      <c r="G224" s="581">
        <v>91792</v>
      </c>
      <c r="H224" s="750" t="str">
        <f>IF($G224="","",IFERROR(VLOOKUP($G224,SERVIÇOS!$C:$G,2,0),IFERROR(VLOOKUP($G224,CPU!$F:$M,2,0),"")))</f>
        <v>(COMPOSIÇÃO REPRESENTATIVA) DO SERVIÇO DE INSTALAÇÃO DE TUBO DE PVC, SÉRIE NORMAL, ESGOTO PREDIAL, DN 40 MM (INSTALADO EM RAMAL DE DESCARGA OU RAMAL DE ESGOTO SANITÁRIO), INCLUSIVE CONEXÕES, CORTES E FIXAÇÕES, PARA PRÉDIOS. AF_10/2015</v>
      </c>
      <c r="I224" s="578" t="str">
        <f>IF($G224="","",IFERROR(VLOOKUP($G224,SERVIÇOS!$C:$G,3,0),IFERROR(VLOOKUP($G224,CPU!$F:$M,3,0),"")))</f>
        <v>M</v>
      </c>
      <c r="J224" s="576">
        <v>13.2</v>
      </c>
      <c r="K224" s="576">
        <f>IF($G224="","",IFERROR(VLOOKUP($G224,SERVIÇOS!$C:$H,6,0),IFERROR(VLOOKUP($G224,CPU!$F:$M,8,0),"")))</f>
        <v>69.61</v>
      </c>
      <c r="L224" s="577">
        <f t="shared" si="157"/>
        <v>0.2354</v>
      </c>
      <c r="M224" s="576">
        <f t="shared" si="158"/>
        <v>86</v>
      </c>
      <c r="N224" s="576">
        <f t="shared" si="159"/>
        <v>1135.2</v>
      </c>
      <c r="O224" s="431"/>
      <c r="P224" s="430"/>
      <c r="Q224" s="589">
        <f t="shared" si="160"/>
        <v>1135.2</v>
      </c>
      <c r="R224" s="430"/>
      <c r="S224" s="433"/>
      <c r="T224" s="430"/>
      <c r="U224" s="430"/>
    </row>
    <row r="225" spans="1:21" ht="51">
      <c r="A225" s="430">
        <v>204</v>
      </c>
      <c r="B225" s="590"/>
      <c r="C225" s="431" t="str">
        <f t="shared" si="161"/>
        <v>11.2</v>
      </c>
      <c r="D225" s="587">
        <f t="shared" si="162"/>
        <v>10</v>
      </c>
      <c r="E225" s="572" t="str">
        <f t="shared" si="163"/>
        <v>11.2.10</v>
      </c>
      <c r="F225" s="579" t="s">
        <v>2238</v>
      </c>
      <c r="G225" s="580">
        <v>91793</v>
      </c>
      <c r="H225" s="750" t="str">
        <f>IF($G225="","",IFERROR(VLOOKUP($G225,SERVIÇOS!$C:$G,2,0),IFERROR(VLOOKUP($G225,CPU!$F:$M,2,0),"")))</f>
        <v>(COMPOSIÇÃO REPRESENTATIVA) DO SERVIÇO DE INSTALAÇÃO DE TUBO DE PVC, SÉRIE NORMAL, ESGOTO PREDIAL, DN 50 MM (INSTALADO EM RAMAL DE DESCARGA OU RAMAL DE ESGOTO SANITÁRIO), INCLUSIVE CONEXÕES, CORTES E FIXAÇÕES PARA, PRÉDIOS. AF_10/2015</v>
      </c>
      <c r="I225" s="578" t="str">
        <f>IF($G225="","",IFERROR(VLOOKUP($G225,SERVIÇOS!$C:$G,3,0),IFERROR(VLOOKUP($G225,CPU!$F:$M,3,0),"")))</f>
        <v>M</v>
      </c>
      <c r="J225" s="576">
        <v>19.600000000000001</v>
      </c>
      <c r="K225" s="576">
        <f>IF($G225="","",IFERROR(VLOOKUP($G225,SERVIÇOS!$C:$H,6,0),IFERROR(VLOOKUP($G225,CPU!$F:$M,8,0),"")))</f>
        <v>102.4</v>
      </c>
      <c r="L225" s="577">
        <f t="shared" si="157"/>
        <v>0.2354</v>
      </c>
      <c r="M225" s="576">
        <f t="shared" si="158"/>
        <v>126.5</v>
      </c>
      <c r="N225" s="576">
        <f t="shared" si="159"/>
        <v>2479.4</v>
      </c>
      <c r="Q225" s="589">
        <f t="shared" si="160"/>
        <v>2479.4</v>
      </c>
      <c r="S225" s="433"/>
    </row>
    <row r="226" spans="1:21">
      <c r="A226" s="430">
        <v>206</v>
      </c>
      <c r="B226" s="590"/>
      <c r="C226" s="431" t="str">
        <f>+E226</f>
        <v>11.3</v>
      </c>
      <c r="D226" s="587"/>
      <c r="E226" s="568" t="s">
        <v>8757</v>
      </c>
      <c r="F226" s="569"/>
      <c r="G226" s="569"/>
      <c r="H226" s="749" t="s">
        <v>8441</v>
      </c>
      <c r="I226" s="570"/>
      <c r="J226" s="571"/>
      <c r="K226" s="571"/>
      <c r="L226" s="571"/>
      <c r="M226" s="571"/>
      <c r="N226" s="571"/>
      <c r="Q226" s="589"/>
      <c r="S226" s="433"/>
    </row>
    <row r="227" spans="1:21" s="588" customFormat="1">
      <c r="A227" s="430">
        <v>196</v>
      </c>
      <c r="B227" s="590"/>
      <c r="C227" s="431" t="str">
        <f t="shared" si="161"/>
        <v>11.3</v>
      </c>
      <c r="D227" s="587">
        <f t="shared" si="162"/>
        <v>1</v>
      </c>
      <c r="E227" s="572" t="str">
        <f t="shared" ref="E227:E232" si="164">C227&amp;"."&amp;D227</f>
        <v>11.3.1</v>
      </c>
      <c r="F227" s="579"/>
      <c r="G227" s="581"/>
      <c r="H227" s="751" t="s">
        <v>8442</v>
      </c>
      <c r="I227" s="578"/>
      <c r="J227" s="576"/>
      <c r="K227" s="576"/>
      <c r="L227" s="577"/>
      <c r="M227" s="576"/>
      <c r="N227" s="576"/>
      <c r="O227" s="431"/>
      <c r="P227" s="430"/>
      <c r="Q227" s="589"/>
      <c r="R227" s="430"/>
      <c r="S227" s="433"/>
      <c r="T227" s="430"/>
      <c r="U227" s="430"/>
    </row>
    <row r="228" spans="1:21">
      <c r="A228" s="430">
        <v>207</v>
      </c>
      <c r="B228" s="590"/>
      <c r="C228" s="431" t="str">
        <f>+C226</f>
        <v>11.3</v>
      </c>
      <c r="D228" s="587">
        <f>1+D226</f>
        <v>1</v>
      </c>
      <c r="E228" s="572" t="str">
        <f t="shared" si="164"/>
        <v>11.3.1</v>
      </c>
      <c r="F228" s="579" t="s">
        <v>2239</v>
      </c>
      <c r="G228" s="581" t="s">
        <v>8883</v>
      </c>
      <c r="H228" s="750" t="str">
        <f>IF($G228="","",IFERROR(VLOOKUP($G228,SERVIÇOS!$C:$G,2,0),IFERROR(VLOOKUP($G228,CPU!$F:$M,2,0),"")))</f>
        <v>CAIXA DE PASSAGEM PVC 30CM, DRENO COM BRITA</v>
      </c>
      <c r="I228" s="578" t="str">
        <f>IF($G228="","",IFERROR(VLOOKUP($G228,SERVIÇOS!$C:$G,3,0),IFERROR(VLOOKUP($G228,CPU!$F:$M,3,0),"")))</f>
        <v>UN</v>
      </c>
      <c r="J228" s="576">
        <v>6</v>
      </c>
      <c r="K228" s="576">
        <f>IF($G228="","",IFERROR(VLOOKUP($G228,SERVIÇOS!$C:$H,6,0),IFERROR(VLOOKUP($G228,CPU!$F:$M,8,0),"")))</f>
        <v>17.170000000000002</v>
      </c>
      <c r="L228" s="577">
        <f>IF(J228&lt;&gt;"",$N$1,"")</f>
        <v>0.2354</v>
      </c>
      <c r="M228" s="576">
        <f>IF(J228&lt;&gt;0,(ROUND(K228*(L228+1),2)),0)</f>
        <v>21.21</v>
      </c>
      <c r="N228" s="576">
        <f>IF(J228="","",ROUND((J228*M228),2))</f>
        <v>127.26</v>
      </c>
      <c r="Q228" s="589">
        <f>N228</f>
        <v>127.26</v>
      </c>
      <c r="S228" s="433"/>
    </row>
    <row r="229" spans="1:21" s="588" customFormat="1">
      <c r="A229" s="430">
        <v>196</v>
      </c>
      <c r="B229" s="590"/>
      <c r="C229" s="431" t="str">
        <f t="shared" si="161"/>
        <v>11.3</v>
      </c>
      <c r="D229" s="587">
        <f t="shared" si="162"/>
        <v>2</v>
      </c>
      <c r="E229" s="572" t="str">
        <f t="shared" si="164"/>
        <v>11.3.2</v>
      </c>
      <c r="F229" s="579"/>
      <c r="G229" s="581"/>
      <c r="H229" s="751" t="s">
        <v>8440</v>
      </c>
      <c r="I229" s="578"/>
      <c r="J229" s="576"/>
      <c r="K229" s="576"/>
      <c r="L229" s="577"/>
      <c r="M229" s="576"/>
      <c r="N229" s="576"/>
      <c r="O229" s="431"/>
      <c r="P229" s="430"/>
      <c r="Q229" s="589"/>
      <c r="R229" s="430"/>
      <c r="S229" s="433"/>
      <c r="T229" s="430"/>
      <c r="U229" s="430"/>
    </row>
    <row r="230" spans="1:21" ht="51">
      <c r="A230" s="430">
        <v>207</v>
      </c>
      <c r="B230" s="590"/>
      <c r="C230" s="431" t="str">
        <f>+C228</f>
        <v>11.3</v>
      </c>
      <c r="D230" s="587">
        <f>1+D228</f>
        <v>2</v>
      </c>
      <c r="E230" s="572" t="str">
        <f t="shared" si="164"/>
        <v>11.3.2</v>
      </c>
      <c r="F230" s="579" t="s">
        <v>2238</v>
      </c>
      <c r="G230" s="581">
        <v>91792</v>
      </c>
      <c r="H230" s="750" t="str">
        <f>IF($G230="","",IFERROR(VLOOKUP($G230,SERVIÇOS!$C:$G,2,0),IFERROR(VLOOKUP($G230,CPU!$F:$M,2,0),"")))</f>
        <v>(COMPOSIÇÃO REPRESENTATIVA) DO SERVIÇO DE INSTALAÇÃO DE TUBO DE PVC, SÉRIE NORMAL, ESGOTO PREDIAL, DN 40 MM (INSTALADO EM RAMAL DE DESCARGA OU RAMAL DE ESGOTO SANITÁRIO), INCLUSIVE CONEXÕES, CORTES E FIXAÇÕES, PARA PRÉDIOS. AF_10/2015</v>
      </c>
      <c r="I230" s="578" t="str">
        <f>IF($G230="","",IFERROR(VLOOKUP($G230,SERVIÇOS!$C:$G,3,0),IFERROR(VLOOKUP($G230,CPU!$F:$M,3,0),"")))</f>
        <v>M</v>
      </c>
      <c r="J230" s="576">
        <v>42.9</v>
      </c>
      <c r="K230" s="576">
        <f>IF($G230="","",IFERROR(VLOOKUP($G230,SERVIÇOS!$C:$H,6,0),IFERROR(VLOOKUP($G230,CPU!$F:$M,8,0),"")))</f>
        <v>69.61</v>
      </c>
      <c r="L230" s="577">
        <f>IF(J230&lt;&gt;"",$N$1,"")</f>
        <v>0.2354</v>
      </c>
      <c r="M230" s="576">
        <f>IF(J230&lt;&gt;0,(ROUND(K230*(L230+1),2)),0)</f>
        <v>86</v>
      </c>
      <c r="N230" s="576">
        <f>IF(J230="","",ROUND((J230*M230),2))</f>
        <v>3689.4</v>
      </c>
      <c r="Q230" s="589">
        <f>N230</f>
        <v>3689.4</v>
      </c>
      <c r="S230" s="433"/>
    </row>
    <row r="231" spans="1:21" s="588" customFormat="1">
      <c r="A231" s="430">
        <v>196</v>
      </c>
      <c r="B231" s="590"/>
      <c r="C231" s="431" t="str">
        <f t="shared" si="161"/>
        <v>11.3</v>
      </c>
      <c r="D231" s="587">
        <f t="shared" si="162"/>
        <v>3</v>
      </c>
      <c r="E231" s="572" t="str">
        <f t="shared" si="164"/>
        <v>11.3.3</v>
      </c>
      <c r="F231" s="579"/>
      <c r="G231" s="581"/>
      <c r="H231" s="751" t="s">
        <v>8435</v>
      </c>
      <c r="I231" s="578"/>
      <c r="J231" s="576"/>
      <c r="K231" s="576"/>
      <c r="L231" s="577"/>
      <c r="M231" s="576"/>
      <c r="N231" s="576"/>
      <c r="O231" s="431"/>
      <c r="P231" s="430"/>
      <c r="Q231" s="589"/>
      <c r="R231" s="430"/>
      <c r="S231" s="433"/>
      <c r="T231" s="430"/>
      <c r="U231" s="430"/>
    </row>
    <row r="232" spans="1:21" ht="25.5">
      <c r="A232" s="430">
        <v>207</v>
      </c>
      <c r="B232" s="590"/>
      <c r="C232" s="431" t="str">
        <f>+C230</f>
        <v>11.3</v>
      </c>
      <c r="D232" s="587">
        <f>1+D230</f>
        <v>3</v>
      </c>
      <c r="E232" s="572" t="str">
        <f t="shared" si="164"/>
        <v>11.3.3</v>
      </c>
      <c r="F232" s="579" t="s">
        <v>2238</v>
      </c>
      <c r="G232" s="581">
        <v>89865</v>
      </c>
      <c r="H232" s="750" t="str">
        <f>IF($G232="","",IFERROR(VLOOKUP($G232,SERVIÇOS!$C:$G,2,0),IFERROR(VLOOKUP($G232,CPU!$F:$M,2,0),"")))</f>
        <v>TUBO, PVC, SOLDÁVEL, DN 25MM, INSTALADO EM DRENO DE AR-CONDICIONADO - FORNECIMENTO E INSTALAÇÃO. AF_12/2014</v>
      </c>
      <c r="I232" s="578" t="str">
        <f>IF($G232="","",IFERROR(VLOOKUP($G232,SERVIÇOS!$C:$G,3,0),IFERROR(VLOOKUP($G232,CPU!$F:$M,3,0),"")))</f>
        <v>M</v>
      </c>
      <c r="J232" s="576">
        <v>28.6</v>
      </c>
      <c r="K232" s="576">
        <f>IF($G232="","",IFERROR(VLOOKUP($G232,SERVIÇOS!$C:$H,6,0),IFERROR(VLOOKUP($G232,CPU!$F:$M,8,0),"")))</f>
        <v>15.57</v>
      </c>
      <c r="L232" s="577">
        <f>IF(J232&lt;&gt;"",$N$1,"")</f>
        <v>0.2354</v>
      </c>
      <c r="M232" s="576">
        <f>IF(J232&lt;&gt;0,(ROUND(K232*(L232+1),2)),0)</f>
        <v>19.239999999999998</v>
      </c>
      <c r="N232" s="576">
        <f>IF(J232="","",ROUND((J232*M232),2))</f>
        <v>550.26</v>
      </c>
      <c r="Q232" s="589">
        <f>N232</f>
        <v>550.26</v>
      </c>
      <c r="S232" s="433"/>
    </row>
    <row r="233" spans="1:21">
      <c r="A233" s="430">
        <v>206</v>
      </c>
      <c r="B233" s="590"/>
      <c r="C233" s="431" t="str">
        <f>+E233</f>
        <v>11.4</v>
      </c>
      <c r="D233" s="587"/>
      <c r="E233" s="568" t="s">
        <v>8758</v>
      </c>
      <c r="F233" s="569"/>
      <c r="G233" s="569"/>
      <c r="H233" s="749" t="s">
        <v>8443</v>
      </c>
      <c r="I233" s="570"/>
      <c r="J233" s="571"/>
      <c r="K233" s="571"/>
      <c r="L233" s="571"/>
      <c r="M233" s="571"/>
      <c r="N233" s="571"/>
      <c r="Q233" s="589"/>
      <c r="S233" s="433"/>
    </row>
    <row r="234" spans="1:21" s="588" customFormat="1">
      <c r="A234" s="430">
        <v>196</v>
      </c>
      <c r="B234" s="590"/>
      <c r="C234" s="431" t="str">
        <f t="shared" ref="C234:C236" si="165">+C233</f>
        <v>11.4</v>
      </c>
      <c r="D234" s="587">
        <f t="shared" ref="D234:D236" si="166">1+D233</f>
        <v>1</v>
      </c>
      <c r="E234" s="572" t="str">
        <f t="shared" ref="E234:E241" si="167">C234&amp;"."&amp;D234</f>
        <v>11.4.1</v>
      </c>
      <c r="F234" s="579"/>
      <c r="G234" s="581"/>
      <c r="H234" s="751" t="s">
        <v>8442</v>
      </c>
      <c r="I234" s="578"/>
      <c r="J234" s="576"/>
      <c r="K234" s="576"/>
      <c r="L234" s="577"/>
      <c r="M234" s="576"/>
      <c r="N234" s="576"/>
      <c r="O234" s="431"/>
      <c r="P234" s="430"/>
      <c r="Q234" s="589"/>
      <c r="R234" s="430"/>
      <c r="S234" s="433"/>
      <c r="T234" s="430"/>
      <c r="U234" s="430"/>
    </row>
    <row r="235" spans="1:21" ht="25.5">
      <c r="A235" s="430">
        <v>207</v>
      </c>
      <c r="B235" s="590"/>
      <c r="C235" s="431" t="str">
        <f>+C233</f>
        <v>11.4</v>
      </c>
      <c r="D235" s="587">
        <f>1+D233</f>
        <v>1</v>
      </c>
      <c r="E235" s="572" t="str">
        <f t="shared" si="167"/>
        <v>11.4.1</v>
      </c>
      <c r="F235" s="579" t="s">
        <v>2239</v>
      </c>
      <c r="G235" s="581" t="s">
        <v>8445</v>
      </c>
      <c r="H235" s="750" t="str">
        <f>IF($G235="","",IFERROR(VLOOKUP($G235,SERVIÇOS!$C:$G,2,0),IFERROR(VLOOKUP($G235,CPU!$F:$M,2,0),"")))</f>
        <v>CAIXA DE GORDURA EM PVC, CIRCULAR, , DIÂMETRO 30CM, DIÂMETRO DE SAÍDA 100MM, CAPACIDADE APROXIMADA 18 LITROS, COM TAMPA E CESTO</v>
      </c>
      <c r="I235" s="578" t="str">
        <f>IF($G235="","",IFERROR(VLOOKUP($G235,SERVIÇOS!$C:$G,3,0),IFERROR(VLOOKUP($G235,CPU!$F:$M,3,0),"")))</f>
        <v>UN</v>
      </c>
      <c r="J235" s="576">
        <v>1</v>
      </c>
      <c r="K235" s="576">
        <f>IF($G235="","",IFERROR(VLOOKUP($G235,SERVIÇOS!$C:$H,6,0),IFERROR(VLOOKUP($G235,CPU!$F:$M,8,0),"")))</f>
        <v>347.68</v>
      </c>
      <c r="L235" s="577">
        <f>IF(J235&lt;&gt;"",$N$1,"")</f>
        <v>0.2354</v>
      </c>
      <c r="M235" s="576">
        <f>IF(J235&lt;&gt;0,(ROUND(K235*(L235+1),2)),0)</f>
        <v>429.52</v>
      </c>
      <c r="N235" s="576">
        <f>IF(J235="","",ROUND((J235*M235),2))</f>
        <v>429.52</v>
      </c>
      <c r="Q235" s="589">
        <f>N235</f>
        <v>429.52</v>
      </c>
      <c r="S235" s="433"/>
    </row>
    <row r="236" spans="1:21" s="588" customFormat="1">
      <c r="A236" s="430">
        <v>196</v>
      </c>
      <c r="B236" s="590"/>
      <c r="C236" s="431" t="str">
        <f t="shared" si="165"/>
        <v>11.4</v>
      </c>
      <c r="D236" s="587">
        <f t="shared" si="166"/>
        <v>2</v>
      </c>
      <c r="E236" s="572" t="str">
        <f t="shared" si="167"/>
        <v>11.4.2</v>
      </c>
      <c r="F236" s="579"/>
      <c r="G236" s="581"/>
      <c r="H236" s="751" t="s">
        <v>8437</v>
      </c>
      <c r="I236" s="578"/>
      <c r="J236" s="576"/>
      <c r="K236" s="576"/>
      <c r="L236" s="577"/>
      <c r="M236" s="576"/>
      <c r="N236" s="576"/>
      <c r="O236" s="431"/>
      <c r="P236" s="430"/>
      <c r="Q236" s="589"/>
      <c r="R236" s="430"/>
      <c r="S236" s="433"/>
      <c r="T236" s="430"/>
      <c r="U236" s="430"/>
    </row>
    <row r="237" spans="1:21" ht="25.5">
      <c r="A237" s="430">
        <v>207</v>
      </c>
      <c r="B237" s="590"/>
      <c r="C237" s="431" t="str">
        <f>+C235</f>
        <v>11.4</v>
      </c>
      <c r="D237" s="587">
        <f>1+D235</f>
        <v>2</v>
      </c>
      <c r="E237" s="572" t="str">
        <f t="shared" si="167"/>
        <v>11.4.2</v>
      </c>
      <c r="F237" s="579" t="s">
        <v>2238</v>
      </c>
      <c r="G237" s="581">
        <v>86881</v>
      </c>
      <c r="H237" s="750" t="str">
        <f>IF($G237="","",IFERROR(VLOOKUP($G237,SERVIÇOS!$C:$G,2,0),IFERROR(VLOOKUP($G237,CPU!$F:$M,2,0),"")))</f>
        <v>SIFÃO DO TIPO GARRAFA EM METAL CROMADO 1 X 1.1/2 - FORNECIMENTO E INSTALAÇÃO. AF_01/2020</v>
      </c>
      <c r="I237" s="578" t="str">
        <f>IF($G237="","",IFERROR(VLOOKUP($G237,SERVIÇOS!$C:$G,3,0),IFERROR(VLOOKUP($G237,CPU!$F:$M,3,0),"")))</f>
        <v>UN</v>
      </c>
      <c r="J237" s="576">
        <v>1</v>
      </c>
      <c r="K237" s="576">
        <f>IF($G237="","",IFERROR(VLOOKUP($G237,SERVIÇOS!$C:$H,6,0),IFERROR(VLOOKUP($G237,CPU!$F:$M,8,0),"")))</f>
        <v>375.07</v>
      </c>
      <c r="L237" s="577">
        <f>IF(J237&lt;&gt;"",$N$1,"")</f>
        <v>0.2354</v>
      </c>
      <c r="M237" s="576">
        <f>IF(J237&lt;&gt;0,(ROUND(K237*(L237+1),2)),0)</f>
        <v>463.36</v>
      </c>
      <c r="N237" s="576">
        <f>IF(J237="","",ROUND((J237*M237),2))</f>
        <v>463.36</v>
      </c>
      <c r="Q237" s="589">
        <f>N237</f>
        <v>463.36</v>
      </c>
      <c r="S237" s="433"/>
    </row>
    <row r="238" spans="1:21" ht="25.5">
      <c r="A238" s="430">
        <v>207</v>
      </c>
      <c r="B238" s="590"/>
      <c r="C238" s="431" t="str">
        <f>+C236</f>
        <v>11.4</v>
      </c>
      <c r="D238" s="587">
        <f>1+D236</f>
        <v>3</v>
      </c>
      <c r="E238" s="572" t="str">
        <f t="shared" si="167"/>
        <v>11.4.3</v>
      </c>
      <c r="F238" s="579" t="s">
        <v>2239</v>
      </c>
      <c r="G238" s="581" t="s">
        <v>8438</v>
      </c>
      <c r="H238" s="750" t="str">
        <f>IF($G238="","",IFERROR(VLOOKUP($G238,SERVIÇOS!$C:$G,2,0),IFERROR(VLOOKUP($G238,CPU!$F:$M,2,0),"")))</f>
        <v>VÁLVULA EM METAL CROMADO 1" PARA PIA, TANQUE OU LAVATÓRIO, SEM LADRÃO - FORNECIMENTO E INSTALAÇÃO</v>
      </c>
      <c r="I238" s="578" t="str">
        <f>IF($G238="","",IFERROR(VLOOKUP($G238,SERVIÇOS!$C:$G,3,0),IFERROR(VLOOKUP($G238,CPU!$F:$M,3,0),"")))</f>
        <v>UN</v>
      </c>
      <c r="J238" s="576">
        <v>1</v>
      </c>
      <c r="K238" s="576">
        <f>IF($G238="","",IFERROR(VLOOKUP($G238,SERVIÇOS!$C:$H,6,0),IFERROR(VLOOKUP($G238,CPU!$F:$M,8,0),"")))</f>
        <v>97.91</v>
      </c>
      <c r="L238" s="577">
        <f>IF(J238&lt;&gt;"",$N$1,"")</f>
        <v>0.2354</v>
      </c>
      <c r="M238" s="576">
        <f>IF(J238&lt;&gt;0,(ROUND(K238*(L238+1),2)),0)</f>
        <v>120.96</v>
      </c>
      <c r="N238" s="576">
        <f>IF(J238="","",ROUND((J238*M238),2))</f>
        <v>120.96</v>
      </c>
      <c r="Q238" s="589">
        <f>N238</f>
        <v>120.96</v>
      </c>
      <c r="S238" s="433"/>
    </row>
    <row r="239" spans="1:21" s="588" customFormat="1">
      <c r="A239" s="430">
        <v>196</v>
      </c>
      <c r="B239" s="590"/>
      <c r="C239" s="431" t="str">
        <f t="shared" ref="C239" si="168">+C238</f>
        <v>11.4</v>
      </c>
      <c r="D239" s="587">
        <f t="shared" ref="D239" si="169">1+D238</f>
        <v>4</v>
      </c>
      <c r="E239" s="572" t="str">
        <f t="shared" si="167"/>
        <v>11.4.4</v>
      </c>
      <c r="F239" s="579"/>
      <c r="G239" s="581"/>
      <c r="H239" s="751" t="s">
        <v>8440</v>
      </c>
      <c r="I239" s="578"/>
      <c r="J239" s="576"/>
      <c r="K239" s="576"/>
      <c r="L239" s="577"/>
      <c r="M239" s="576"/>
      <c r="N239" s="576"/>
      <c r="O239" s="431"/>
      <c r="P239" s="430"/>
      <c r="Q239" s="589"/>
      <c r="R239" s="430"/>
      <c r="S239" s="433"/>
      <c r="T239" s="430"/>
      <c r="U239" s="430"/>
    </row>
    <row r="240" spans="1:21" ht="51">
      <c r="A240" s="430">
        <v>207</v>
      </c>
      <c r="B240" s="590"/>
      <c r="C240" s="431" t="str">
        <f>+C238</f>
        <v>11.4</v>
      </c>
      <c r="D240" s="587">
        <f>1+D238</f>
        <v>4</v>
      </c>
      <c r="E240" s="572" t="str">
        <f t="shared" si="167"/>
        <v>11.4.4</v>
      </c>
      <c r="F240" s="579" t="s">
        <v>2238</v>
      </c>
      <c r="G240" s="581">
        <v>91793</v>
      </c>
      <c r="H240" s="750" t="str">
        <f>IF($G240="","",IFERROR(VLOOKUP($G240,SERVIÇOS!$C:$G,2,0),IFERROR(VLOOKUP($G240,CPU!$F:$M,2,0),"")))</f>
        <v>(COMPOSIÇÃO REPRESENTATIVA) DO SERVIÇO DE INSTALAÇÃO DE TUBO DE PVC, SÉRIE NORMAL, ESGOTO PREDIAL, DN 50 MM (INSTALADO EM RAMAL DE DESCARGA OU RAMAL DE ESGOTO SANITÁRIO), INCLUSIVE CONEXÕES, CORTES E FIXAÇÕES PARA, PRÉDIOS. AF_10/2015</v>
      </c>
      <c r="I240" s="578" t="str">
        <f>IF($G240="","",IFERROR(VLOOKUP($G240,SERVIÇOS!$C:$G,3,0),IFERROR(VLOOKUP($G240,CPU!$F:$M,3,0),"")))</f>
        <v>M</v>
      </c>
      <c r="J240" s="576">
        <v>4.8</v>
      </c>
      <c r="K240" s="576">
        <f>IF($G240="","",IFERROR(VLOOKUP($G240,SERVIÇOS!$C:$H,6,0),IFERROR(VLOOKUP($G240,CPU!$F:$M,8,0),"")))</f>
        <v>102.4</v>
      </c>
      <c r="L240" s="577">
        <f>IF(J240&lt;&gt;"",$N$1,"")</f>
        <v>0.2354</v>
      </c>
      <c r="M240" s="576">
        <f>IF(J240&lt;&gt;0,(ROUND(K240*(L240+1),2)),0)</f>
        <v>126.5</v>
      </c>
      <c r="N240" s="576">
        <f>IF(J240="","",ROUND((J240*M240),2))</f>
        <v>607.20000000000005</v>
      </c>
      <c r="Q240" s="589">
        <f>N240</f>
        <v>607.20000000000005</v>
      </c>
      <c r="S240" s="433"/>
    </row>
    <row r="241" spans="1:21" ht="51">
      <c r="A241" s="430">
        <v>207</v>
      </c>
      <c r="B241" s="590"/>
      <c r="C241" s="431" t="str">
        <f>+C239</f>
        <v>11.4</v>
      </c>
      <c r="D241" s="587">
        <f>1+D239</f>
        <v>5</v>
      </c>
      <c r="E241" s="572" t="str">
        <f t="shared" si="167"/>
        <v>11.4.5</v>
      </c>
      <c r="F241" s="579" t="s">
        <v>2238</v>
      </c>
      <c r="G241" s="581">
        <v>91794</v>
      </c>
      <c r="H241" s="750" t="str">
        <f>IF($G241="","",IFERROR(VLOOKUP($G241,SERVIÇOS!$C:$G,2,0),IFERROR(VLOOKUP($G241,CPU!$F:$M,2,0),"")))</f>
        <v>(COMPOSIÇÃO REPRESENTATIVA) DO SERVIÇO DE INST. TUBO PVC, SÉRIE N, ESGOTO PREDIAL, DN 75 MM, (INST. EM RAMAL DE DESCARGA, RAMAL DE ESG. SANITÁRIO, PRUMADA DE ESG. SANITÁRIO OU VENTILAÇÃO), INCL. CONEXÕES, CORTES E FIXAÇÕES, P/ PRÉDIOS. AF_10/2015</v>
      </c>
      <c r="I241" s="578" t="str">
        <f>IF($G241="","",IFERROR(VLOOKUP($G241,SERVIÇOS!$C:$G,3,0),IFERROR(VLOOKUP($G241,CPU!$F:$M,3,0),"")))</f>
        <v>M</v>
      </c>
      <c r="J241" s="576">
        <v>7.4</v>
      </c>
      <c r="K241" s="576">
        <f>IF($G241="","",IFERROR(VLOOKUP($G241,SERVIÇOS!$C:$H,6,0),IFERROR(VLOOKUP($G241,CPU!$F:$M,8,0),"")))</f>
        <v>50.09</v>
      </c>
      <c r="L241" s="577">
        <f>IF(J241&lt;&gt;"",$N$1,"")</f>
        <v>0.2354</v>
      </c>
      <c r="M241" s="576">
        <f>IF(J241&lt;&gt;0,(ROUND(K241*(L241+1),2)),0)</f>
        <v>61.88</v>
      </c>
      <c r="N241" s="576">
        <f>IF(J241="","",ROUND((J241*M241),2))</f>
        <v>457.91</v>
      </c>
      <c r="Q241" s="589">
        <f>N241</f>
        <v>457.91</v>
      </c>
      <c r="S241" s="433"/>
    </row>
    <row r="242" spans="1:21">
      <c r="A242" s="430">
        <v>206</v>
      </c>
      <c r="B242" s="590"/>
      <c r="C242" s="431" t="str">
        <f>+E242</f>
        <v>11.5</v>
      </c>
      <c r="D242" s="587"/>
      <c r="E242" s="568" t="s">
        <v>8759</v>
      </c>
      <c r="F242" s="569"/>
      <c r="G242" s="569"/>
      <c r="H242" s="749" t="s">
        <v>8449</v>
      </c>
      <c r="I242" s="570"/>
      <c r="J242" s="571"/>
      <c r="K242" s="571"/>
      <c r="L242" s="571"/>
      <c r="M242" s="571"/>
      <c r="N242" s="571"/>
      <c r="Q242" s="589"/>
      <c r="S242" s="433"/>
    </row>
    <row r="243" spans="1:21" s="588" customFormat="1">
      <c r="A243" s="430">
        <v>196</v>
      </c>
      <c r="B243" s="590"/>
      <c r="C243" s="431" t="str">
        <f t="shared" ref="C243:C252" si="170">+C242</f>
        <v>11.5</v>
      </c>
      <c r="D243" s="587">
        <f t="shared" ref="D243" si="171">1+D242</f>
        <v>1</v>
      </c>
      <c r="E243" s="572" t="str">
        <f t="shared" ref="E243:E248" si="172">C243&amp;"."&amp;D243</f>
        <v>11.5.1</v>
      </c>
      <c r="F243" s="579"/>
      <c r="G243" s="581"/>
      <c r="H243" s="751" t="s">
        <v>8442</v>
      </c>
      <c r="I243" s="578"/>
      <c r="J243" s="576"/>
      <c r="K243" s="576"/>
      <c r="L243" s="577"/>
      <c r="M243" s="576"/>
      <c r="N243" s="576"/>
      <c r="O243" s="431"/>
      <c r="P243" s="430"/>
      <c r="Q243" s="589"/>
      <c r="R243" s="430"/>
      <c r="S243" s="433"/>
      <c r="T243" s="430"/>
      <c r="U243" s="430"/>
    </row>
    <row r="244" spans="1:21" ht="38.25">
      <c r="A244" s="430">
        <v>207</v>
      </c>
      <c r="B244" s="590"/>
      <c r="C244" s="431" t="str">
        <f t="shared" si="170"/>
        <v>11.5</v>
      </c>
      <c r="D244" s="587">
        <f>1+D243</f>
        <v>2</v>
      </c>
      <c r="E244" s="572" t="str">
        <f t="shared" si="172"/>
        <v>11.5.2</v>
      </c>
      <c r="F244" s="579" t="s">
        <v>2239</v>
      </c>
      <c r="G244" s="581" t="s">
        <v>6883</v>
      </c>
      <c r="H244" s="750" t="str">
        <f>IF($G244="","",IFERROR(VLOOKUP($G244,SERVIÇOS!$C:$G,2,0),IFERROR(VLOOKUP($G244,CPU!$F:$M,2,0),"")))</f>
        <v>CAIXA ENTERRADA HIDRÁULICA RETANGULAR EM ALVENARIA COM TIJOLOS CERÂMICOS MACIÇOS, DIMENSÕES INTERNAS: 0,8X0,8X0,6 M, COM GRELHA DE FERRO 20X20CM, PARA REDE DE DRENAGEM</v>
      </c>
      <c r="I244" s="578" t="str">
        <f>IF($G244="","",IFERROR(VLOOKUP($G244,SERVIÇOS!$C:$G,3,0),IFERROR(VLOOKUP($G244,CPU!$F:$M,3,0),"")))</f>
        <v>UN</v>
      </c>
      <c r="J244" s="576">
        <v>2</v>
      </c>
      <c r="K244" s="576">
        <f>IF($G244="","",IFERROR(VLOOKUP($G244,SERVIÇOS!$C:$H,6,0),IFERROR(VLOOKUP($G244,CPU!$F:$M,8,0),"")))</f>
        <v>809.93</v>
      </c>
      <c r="L244" s="577">
        <f>IF(J244&lt;&gt;"",$N$1,"")</f>
        <v>0.2354</v>
      </c>
      <c r="M244" s="576">
        <f>IF(J244&lt;&gt;0,(ROUND(K244*(L244+1),2)),0)</f>
        <v>1000.59</v>
      </c>
      <c r="N244" s="576">
        <f>IF(J244="","",ROUND((J244*M244),2))</f>
        <v>2001.18</v>
      </c>
      <c r="Q244" s="589">
        <f>N244</f>
        <v>2001.18</v>
      </c>
      <c r="S244" s="433"/>
    </row>
    <row r="245" spans="1:21" ht="38.25">
      <c r="A245" s="430">
        <v>207</v>
      </c>
      <c r="B245" s="590"/>
      <c r="C245" s="431" t="str">
        <f t="shared" si="170"/>
        <v>11.5</v>
      </c>
      <c r="D245" s="587">
        <f>1+D244</f>
        <v>3</v>
      </c>
      <c r="E245" s="572" t="str">
        <f t="shared" si="172"/>
        <v>11.5.3</v>
      </c>
      <c r="F245" s="579" t="s">
        <v>2238</v>
      </c>
      <c r="G245" s="581">
        <v>99253</v>
      </c>
      <c r="H245" s="750" t="str">
        <f>IF($G245="","",IFERROR(VLOOKUP($G245,SERVIÇOS!$C:$G,2,0),IFERROR(VLOOKUP($G245,CPU!$F:$M,2,0),"")))</f>
        <v>CAIXA ENTERRADA HIDRÁULICA RETANGULAR EM ALVENARIA COM TIJOLOS CERÂMICOS MACIÇOS, DIMENSÕES INTERNAS: 0,6X0,6X0,6 M PARA REDE DE DRENAGEM. AF_12/2020</v>
      </c>
      <c r="I245" s="578" t="str">
        <f>IF($G245="","",IFERROR(VLOOKUP($G245,SERVIÇOS!$C:$G,3,0),IFERROR(VLOOKUP($G245,CPU!$F:$M,3,0),"")))</f>
        <v>UN</v>
      </c>
      <c r="J245" s="576">
        <v>11</v>
      </c>
      <c r="K245" s="576">
        <f>IF($G245="","",IFERROR(VLOOKUP($G245,SERVIÇOS!$C:$H,6,0),IFERROR(VLOOKUP($G245,CPU!$F:$M,8,0),"")))</f>
        <v>568.41999999999996</v>
      </c>
      <c r="L245" s="577">
        <f>IF(J245&lt;&gt;"",$N$1,"")</f>
        <v>0.2354</v>
      </c>
      <c r="M245" s="576">
        <f>IF(J245&lt;&gt;0,(ROUND(K245*(L245+1),2)),0)</f>
        <v>702.23</v>
      </c>
      <c r="N245" s="576">
        <f>IF(J245="","",ROUND((J245*M245),2))</f>
        <v>7724.53</v>
      </c>
      <c r="Q245" s="589">
        <f>N245</f>
        <v>7724.53</v>
      </c>
      <c r="S245" s="433"/>
    </row>
    <row r="246" spans="1:21" s="588" customFormat="1">
      <c r="A246" s="430">
        <v>196</v>
      </c>
      <c r="B246" s="590"/>
      <c r="C246" s="431" t="str">
        <f>+C244</f>
        <v>11.5</v>
      </c>
      <c r="D246" s="587">
        <f>1+D244</f>
        <v>3</v>
      </c>
      <c r="E246" s="572" t="str">
        <f t="shared" si="172"/>
        <v>11.5.3</v>
      </c>
      <c r="F246" s="579"/>
      <c r="G246" s="581"/>
      <c r="H246" s="751" t="s">
        <v>8440</v>
      </c>
      <c r="I246" s="578"/>
      <c r="J246" s="576"/>
      <c r="K246" s="576"/>
      <c r="L246" s="577"/>
      <c r="M246" s="576"/>
      <c r="N246" s="576"/>
      <c r="O246" s="431"/>
      <c r="P246" s="430"/>
      <c r="Q246" s="589"/>
      <c r="R246" s="430"/>
      <c r="S246" s="433"/>
      <c r="T246" s="430"/>
      <c r="U246" s="430"/>
    </row>
    <row r="247" spans="1:21" ht="51">
      <c r="A247" s="430">
        <v>207</v>
      </c>
      <c r="B247" s="590"/>
      <c r="C247" s="431" t="str">
        <f t="shared" si="170"/>
        <v>11.5</v>
      </c>
      <c r="D247" s="587">
        <f t="shared" ref="D247:D248" si="173">1+D246</f>
        <v>4</v>
      </c>
      <c r="E247" s="572" t="str">
        <f t="shared" si="172"/>
        <v>11.5.4</v>
      </c>
      <c r="F247" s="579" t="s">
        <v>2238</v>
      </c>
      <c r="G247" s="581">
        <v>91790</v>
      </c>
      <c r="H247" s="750" t="str">
        <f>IF($G247="","",IFERROR(VLOOKUP($G247,SERVIÇOS!$C:$G,2,0),IFERROR(VLOOKUP($G247,CPU!$F:$M,2,0),"")))</f>
        <v>(COMPOSIÇÃO REPRESENTATIVA) DO SERVIÇO DE INSTALAÇÃO DE TUBOS DE PVC, SÉRIE R, ÁGUA PLUVIAL, DN 100 MM (INSTALADO EM RAMAL DE ENCAMINHAMENTO, OU CONDUTORES VERTICAIS), INCLUSIVE CONEXÕES, CORTES E FIXAÇÕES, PARA PRÉDIOS. AF_10/2015</v>
      </c>
      <c r="I247" s="578" t="str">
        <f>IF($G247="","",IFERROR(VLOOKUP($G247,SERVIÇOS!$C:$G,3,0),IFERROR(VLOOKUP($G247,CPU!$F:$M,3,0),"")))</f>
        <v>M</v>
      </c>
      <c r="J247" s="576">
        <v>113.6</v>
      </c>
      <c r="K247" s="576">
        <f>IF($G247="","",IFERROR(VLOOKUP($G247,SERVIÇOS!$C:$H,6,0),IFERROR(VLOOKUP($G247,CPU!$F:$M,8,0),"")))</f>
        <v>90.41</v>
      </c>
      <c r="L247" s="577">
        <f>IF(J247&lt;&gt;"",$N$1,"")</f>
        <v>0.2354</v>
      </c>
      <c r="M247" s="576">
        <f>IF(J247&lt;&gt;0,(ROUND(K247*(L247+1),2)),0)</f>
        <v>111.69</v>
      </c>
      <c r="N247" s="576">
        <f>IF(J247="","",ROUND((J247*M247),2))</f>
        <v>12687.98</v>
      </c>
      <c r="Q247" s="589">
        <f>N247</f>
        <v>12687.98</v>
      </c>
      <c r="S247" s="433"/>
    </row>
    <row r="248" spans="1:21" ht="38.25">
      <c r="A248" s="430">
        <v>207</v>
      </c>
      <c r="B248" s="590"/>
      <c r="C248" s="431" t="str">
        <f t="shared" si="170"/>
        <v>11.5</v>
      </c>
      <c r="D248" s="587">
        <f t="shared" si="173"/>
        <v>5</v>
      </c>
      <c r="E248" s="572" t="str">
        <f t="shared" si="172"/>
        <v>11.5.5</v>
      </c>
      <c r="F248" s="579" t="s">
        <v>2238</v>
      </c>
      <c r="G248" s="581">
        <v>91791</v>
      </c>
      <c r="H248" s="750" t="str">
        <f>IF($G248="","",IFERROR(VLOOKUP($G248,SERVIÇOS!$C:$G,2,0),IFERROR(VLOOKUP($G248,CPU!$F:$M,2,0),"")))</f>
        <v>(COMPOSIÇÃO REPRESENTATIVA) DO SERVIÇO DE INSTALAÇÃO DE TUBOS DE PVC, SÉRIE R, ÁGUA PLUVIAL, DN 150 MM (INSTALADO EM CONDUTORES VERTICAIS), INCLUSIVE CONEXÕES, CORTES E FIXAÇÕES, PARA PRÉDIOS. AF_10/2015</v>
      </c>
      <c r="I248" s="578" t="str">
        <f>IF($G248="","",IFERROR(VLOOKUP($G248,SERVIÇOS!$C:$G,3,0),IFERROR(VLOOKUP($G248,CPU!$F:$M,3,0),"")))</f>
        <v>M</v>
      </c>
      <c r="J248" s="576">
        <v>61.5</v>
      </c>
      <c r="K248" s="576">
        <f>IF($G248="","",IFERROR(VLOOKUP($G248,SERVIÇOS!$C:$H,6,0),IFERROR(VLOOKUP($G248,CPU!$F:$M,8,0),"")))</f>
        <v>119.53</v>
      </c>
      <c r="L248" s="577">
        <f>IF(J248&lt;&gt;"",$N$1,"")</f>
        <v>0.2354</v>
      </c>
      <c r="M248" s="576">
        <f>IF(J248&lt;&gt;0,(ROUND(K248*(L248+1),2)),0)</f>
        <v>147.66999999999999</v>
      </c>
      <c r="N248" s="576">
        <f>IF(J248="","",ROUND((J248*M248),2))</f>
        <v>9081.7099999999991</v>
      </c>
      <c r="Q248" s="589">
        <f>N248</f>
        <v>9081.7099999999991</v>
      </c>
      <c r="S248" s="433"/>
    </row>
    <row r="249" spans="1:21">
      <c r="A249" s="430">
        <v>206</v>
      </c>
      <c r="B249" s="590"/>
      <c r="C249" s="431" t="str">
        <f>+E249</f>
        <v>11.6</v>
      </c>
      <c r="D249" s="587"/>
      <c r="E249" s="568" t="s">
        <v>8760</v>
      </c>
      <c r="F249" s="569"/>
      <c r="G249" s="569"/>
      <c r="H249" s="749" t="s">
        <v>8450</v>
      </c>
      <c r="I249" s="570"/>
      <c r="J249" s="571"/>
      <c r="K249" s="571"/>
      <c r="L249" s="571"/>
      <c r="M249" s="571"/>
      <c r="N249" s="571"/>
      <c r="Q249" s="589"/>
      <c r="S249" s="433"/>
    </row>
    <row r="250" spans="1:21" s="588" customFormat="1">
      <c r="A250" s="430">
        <v>196</v>
      </c>
      <c r="B250" s="590"/>
      <c r="C250" s="431" t="str">
        <f>+C249</f>
        <v>11.6</v>
      </c>
      <c r="D250" s="587">
        <f>1+D249</f>
        <v>1</v>
      </c>
      <c r="E250" s="572" t="str">
        <f>C250&amp;"."&amp;D250</f>
        <v>11.6.1</v>
      </c>
      <c r="F250" s="579"/>
      <c r="G250" s="581"/>
      <c r="H250" s="751" t="s">
        <v>8440</v>
      </c>
      <c r="I250" s="578"/>
      <c r="J250" s="576"/>
      <c r="K250" s="576"/>
      <c r="L250" s="577"/>
      <c r="M250" s="576"/>
      <c r="N250" s="576"/>
      <c r="O250" s="431"/>
      <c r="P250" s="430"/>
      <c r="Q250" s="589"/>
      <c r="R250" s="430"/>
      <c r="S250" s="433"/>
      <c r="T250" s="430"/>
      <c r="U250" s="430"/>
    </row>
    <row r="251" spans="1:21" ht="51">
      <c r="A251" s="430">
        <v>207</v>
      </c>
      <c r="B251" s="590"/>
      <c r="C251" s="431" t="str">
        <f t="shared" si="170"/>
        <v>11.6</v>
      </c>
      <c r="D251" s="587">
        <f t="shared" ref="D251:D252" si="174">1+D250</f>
        <v>2</v>
      </c>
      <c r="E251" s="572" t="str">
        <f>C251&amp;"."&amp;D251</f>
        <v>11.6.2</v>
      </c>
      <c r="F251" s="579" t="s">
        <v>2238</v>
      </c>
      <c r="G251" s="581">
        <v>91793</v>
      </c>
      <c r="H251" s="750" t="str">
        <f>IF($G251="","",IFERROR(VLOOKUP($G251,SERVIÇOS!$C:$G,2,0),IFERROR(VLOOKUP($G251,CPU!$F:$M,2,0),"")))</f>
        <v>(COMPOSIÇÃO REPRESENTATIVA) DO SERVIÇO DE INSTALAÇÃO DE TUBO DE PVC, SÉRIE NORMAL, ESGOTO PREDIAL, DN 50 MM (INSTALADO EM RAMAL DE DESCARGA OU RAMAL DE ESGOTO SANITÁRIO), INCLUSIVE CONEXÕES, CORTES E FIXAÇÕES PARA, PRÉDIOS. AF_10/2015</v>
      </c>
      <c r="I251" s="578" t="str">
        <f>IF($G251="","",IFERROR(VLOOKUP($G251,SERVIÇOS!$C:$G,3,0),IFERROR(VLOOKUP($G251,CPU!$F:$M,3,0),"")))</f>
        <v>M</v>
      </c>
      <c r="J251" s="576">
        <v>52</v>
      </c>
      <c r="K251" s="576">
        <f>IF($G251="","",IFERROR(VLOOKUP($G251,SERVIÇOS!$C:$H,6,0),IFERROR(VLOOKUP($G251,CPU!$F:$M,8,0),"")))</f>
        <v>102.4</v>
      </c>
      <c r="L251" s="577">
        <f>IF(J251&lt;&gt;"",$N$1,"")</f>
        <v>0.2354</v>
      </c>
      <c r="M251" s="576">
        <f>IF(J251&lt;&gt;0,(ROUND(K251*(L251+1),2)),0)</f>
        <v>126.5</v>
      </c>
      <c r="N251" s="576">
        <f>IF(J251="","",ROUND((J251*M251),2))</f>
        <v>6578</v>
      </c>
      <c r="Q251" s="589">
        <f>N251</f>
        <v>6578</v>
      </c>
      <c r="S251" s="433"/>
    </row>
    <row r="252" spans="1:21" ht="51">
      <c r="A252" s="430">
        <v>207</v>
      </c>
      <c r="B252" s="590"/>
      <c r="C252" s="431" t="str">
        <f t="shared" si="170"/>
        <v>11.6</v>
      </c>
      <c r="D252" s="587">
        <f t="shared" si="174"/>
        <v>3</v>
      </c>
      <c r="E252" s="572" t="str">
        <f>C252&amp;"."&amp;D252</f>
        <v>11.6.3</v>
      </c>
      <c r="F252" s="579" t="s">
        <v>2238</v>
      </c>
      <c r="G252" s="581">
        <v>91794</v>
      </c>
      <c r="H252" s="750" t="str">
        <f>IF($G252="","",IFERROR(VLOOKUP($G252,SERVIÇOS!$C:$G,2,0),IFERROR(VLOOKUP($G252,CPU!$F:$M,2,0),"")))</f>
        <v>(COMPOSIÇÃO REPRESENTATIVA) DO SERVIÇO DE INST. TUBO PVC, SÉRIE N, ESGOTO PREDIAL, DN 75 MM, (INST. EM RAMAL DE DESCARGA, RAMAL DE ESG. SANITÁRIO, PRUMADA DE ESG. SANITÁRIO OU VENTILAÇÃO), INCL. CONEXÕES, CORTES E FIXAÇÕES, P/ PRÉDIOS. AF_10/2015</v>
      </c>
      <c r="I252" s="578" t="str">
        <f>IF($G252="","",IFERROR(VLOOKUP($G252,SERVIÇOS!$C:$G,3,0),IFERROR(VLOOKUP($G252,CPU!$F:$M,3,0),"")))</f>
        <v>M</v>
      </c>
      <c r="J252" s="576">
        <v>10.1</v>
      </c>
      <c r="K252" s="576">
        <f>IF($G252="","",IFERROR(VLOOKUP($G252,SERVIÇOS!$C:$H,6,0),IFERROR(VLOOKUP($G252,CPU!$F:$M,8,0),"")))</f>
        <v>50.09</v>
      </c>
      <c r="L252" s="577">
        <f>IF(J252&lt;&gt;"",$N$1,"")</f>
        <v>0.2354</v>
      </c>
      <c r="M252" s="576">
        <f>IF(J252&lt;&gt;0,(ROUND(K252*(L252+1),2)),0)</f>
        <v>61.88</v>
      </c>
      <c r="N252" s="576">
        <f>IF(J252="","",ROUND((J252*M252),2))</f>
        <v>624.99</v>
      </c>
      <c r="Q252" s="589">
        <f>N252</f>
        <v>624.99</v>
      </c>
      <c r="S252" s="433"/>
    </row>
    <row r="253" spans="1:21" s="588" customFormat="1">
      <c r="A253" s="430">
        <v>208</v>
      </c>
      <c r="B253" s="590"/>
      <c r="C253" s="431" t="str">
        <f>+E253</f>
        <v>11.7</v>
      </c>
      <c r="D253" s="587"/>
      <c r="E253" s="568" t="s">
        <v>8761</v>
      </c>
      <c r="F253" s="569"/>
      <c r="G253" s="569"/>
      <c r="H253" s="749" t="s">
        <v>5273</v>
      </c>
      <c r="I253" s="570"/>
      <c r="J253" s="571"/>
      <c r="K253" s="571"/>
      <c r="L253" s="571"/>
      <c r="M253" s="571"/>
      <c r="N253" s="571"/>
      <c r="O253" s="431"/>
      <c r="P253" s="430"/>
      <c r="Q253" s="589"/>
      <c r="R253" s="430"/>
      <c r="S253" s="433"/>
      <c r="T253" s="430"/>
      <c r="U253" s="430"/>
    </row>
    <row r="254" spans="1:21" s="588" customFormat="1">
      <c r="A254" s="430">
        <v>209</v>
      </c>
      <c r="B254" s="590"/>
      <c r="C254" s="431" t="str">
        <f>+C253</f>
        <v>11.7</v>
      </c>
      <c r="D254" s="587">
        <f>1+D253</f>
        <v>1</v>
      </c>
      <c r="E254" s="579" t="str">
        <f t="shared" ref="E254:E271" si="175">C254&amp;"."&amp;D254</f>
        <v>11.7.1</v>
      </c>
      <c r="F254" s="579"/>
      <c r="G254" s="581"/>
      <c r="H254" s="751" t="s">
        <v>8451</v>
      </c>
      <c r="I254" s="578"/>
      <c r="J254" s="576"/>
      <c r="K254" s="576"/>
      <c r="L254" s="577"/>
      <c r="M254" s="576"/>
      <c r="N254" s="576"/>
      <c r="O254" s="431"/>
      <c r="P254" s="430"/>
      <c r="Q254" s="589"/>
      <c r="R254" s="430"/>
      <c r="S254" s="433"/>
      <c r="T254" s="430"/>
      <c r="U254" s="430"/>
    </row>
    <row r="255" spans="1:21" ht="38.25">
      <c r="A255" s="430">
        <v>210</v>
      </c>
      <c r="B255" s="590"/>
      <c r="C255" s="431" t="str">
        <f t="shared" ref="C255:C270" si="176">+C254</f>
        <v>11.7</v>
      </c>
      <c r="D255" s="587">
        <f t="shared" ref="D255:D271" si="177">1+D254</f>
        <v>2</v>
      </c>
      <c r="E255" s="572" t="str">
        <f t="shared" si="175"/>
        <v>11.7.2</v>
      </c>
      <c r="F255" s="579" t="s">
        <v>2239</v>
      </c>
      <c r="G255" s="580" t="s">
        <v>2877</v>
      </c>
      <c r="H255" s="750" t="str">
        <f>IF($G255="","",IFERROR(VLOOKUP($G255,SERVIÇOS!$C:$G,2,0),IFERROR(VLOOKUP($G255,CPU!$F:$M,2,0),"")))</f>
        <v>BEBEDOURO DE PRESSÃO EM INOX, JATO INCLINADO COM FILTRO DE ÁGUA, 2 JATOS, MARCA IBBL BAG40, OU EQUIVALENCIA TÉCNICA, INCLUSO 2 ENGATES FLEXIVEL PVC 1/2" 40CM</v>
      </c>
      <c r="I255" s="578" t="str">
        <f>IF($G255="","",IFERROR(VLOOKUP($G255,SERVIÇOS!$C:$G,3,0),IFERROR(VLOOKUP($G255,CPU!$F:$M,3,0),"")))</f>
        <v>UN</v>
      </c>
      <c r="J255" s="576">
        <v>3</v>
      </c>
      <c r="K255" s="576">
        <f>IF($G255="","",IFERROR(VLOOKUP($G255,SERVIÇOS!$C:$H,6,0),IFERROR(VLOOKUP($G255,CPU!$F:$M,8,0),"")))</f>
        <v>1543.8400000000001</v>
      </c>
      <c r="L255" s="577">
        <f>IF(J255&lt;&gt;"",$N$1,"")</f>
        <v>0.2354</v>
      </c>
      <c r="M255" s="576">
        <f>IF(J255&lt;&gt;0,(ROUND(K255*(L255+1),2)),0)</f>
        <v>1907.26</v>
      </c>
      <c r="N255" s="576">
        <f>IF(J255="","",ROUND((J255*M255),2))</f>
        <v>5721.78</v>
      </c>
      <c r="Q255" s="589">
        <f>N255</f>
        <v>5721.78</v>
      </c>
      <c r="S255" s="433"/>
    </row>
    <row r="256" spans="1:21" s="588" customFormat="1" ht="25.5">
      <c r="A256" s="430">
        <v>211</v>
      </c>
      <c r="B256" s="590"/>
      <c r="C256" s="431" t="str">
        <f t="shared" si="176"/>
        <v>11.7</v>
      </c>
      <c r="D256" s="587">
        <f t="shared" si="177"/>
        <v>3</v>
      </c>
      <c r="E256" s="572" t="str">
        <f t="shared" si="175"/>
        <v>11.7.3</v>
      </c>
      <c r="F256" s="579" t="s">
        <v>2238</v>
      </c>
      <c r="G256" s="580">
        <v>86910</v>
      </c>
      <c r="H256" s="750" t="str">
        <f>IF($G256="","",IFERROR(VLOOKUP($G256,SERVIÇOS!$C:$G,2,0),IFERROR(VLOOKUP($G256,CPU!$F:$M,2,0),"")))</f>
        <v>TORNEIRA CROMADA TUBO MÓVEL, DE PAREDE, 1/2 OU 3/4, PARA PIA DE COZINHA, PADRÃO MÉDIO - FORNECIMENTO E INSTALAÇÃO. AF_01/2020</v>
      </c>
      <c r="I256" s="578" t="str">
        <f>IF($G256="","",IFERROR(VLOOKUP($G256,SERVIÇOS!$C:$G,3,0),IFERROR(VLOOKUP($G256,CPU!$F:$M,3,0),"")))</f>
        <v>UN</v>
      </c>
      <c r="J256" s="576">
        <v>1</v>
      </c>
      <c r="K256" s="576">
        <f>IF($G256="","",IFERROR(VLOOKUP($G256,SERVIÇOS!$C:$H,6,0),IFERROR(VLOOKUP($G256,CPU!$F:$M,8,0),"")))</f>
        <v>97.61</v>
      </c>
      <c r="L256" s="577">
        <f>IF(J256&lt;&gt;"",$N$1,"")</f>
        <v>0.2354</v>
      </c>
      <c r="M256" s="576">
        <f>IF(J256&lt;&gt;0,(ROUND(K256*(L256+1),2)),0)</f>
        <v>120.59</v>
      </c>
      <c r="N256" s="576">
        <f>IF(J256="","",ROUND((J256*M256),2))</f>
        <v>120.59</v>
      </c>
      <c r="O256" s="431"/>
      <c r="P256" s="430"/>
      <c r="Q256" s="589">
        <f>N256</f>
        <v>120.59</v>
      </c>
      <c r="R256" s="430"/>
      <c r="S256" s="433"/>
      <c r="T256" s="430"/>
      <c r="U256" s="430"/>
    </row>
    <row r="257" spans="1:21" ht="25.5">
      <c r="A257" s="430">
        <v>210</v>
      </c>
      <c r="B257" s="590"/>
      <c r="C257" s="431" t="str">
        <f t="shared" si="176"/>
        <v>11.7</v>
      </c>
      <c r="D257" s="587">
        <f t="shared" si="177"/>
        <v>4</v>
      </c>
      <c r="E257" s="572" t="str">
        <f t="shared" si="175"/>
        <v>11.7.4</v>
      </c>
      <c r="F257" s="579" t="s">
        <v>2238</v>
      </c>
      <c r="G257" s="580">
        <v>86914</v>
      </c>
      <c r="H257" s="750" t="str">
        <f>IF($G257="","",IFERROR(VLOOKUP($G257,SERVIÇOS!$C:$G,2,0),IFERROR(VLOOKUP($G257,CPU!$F:$M,2,0),"")))</f>
        <v>TORNEIRA CROMADA 1/2 OU 3/4 PARA TANQUE, PADRÃO MÉDIO - FORNECIMENTO E INSTALAÇÃO. AF_01/2020</v>
      </c>
      <c r="I257" s="578" t="str">
        <f>IF($G257="","",IFERROR(VLOOKUP($G257,SERVIÇOS!$C:$G,3,0),IFERROR(VLOOKUP($G257,CPU!$F:$M,3,0),"")))</f>
        <v>UN</v>
      </c>
      <c r="J257" s="576">
        <v>1</v>
      </c>
      <c r="K257" s="576">
        <f>IF($G257="","",IFERROR(VLOOKUP($G257,SERVIÇOS!$C:$H,6,0),IFERROR(VLOOKUP($G257,CPU!$F:$M,8,0),"")))</f>
        <v>75.88</v>
      </c>
      <c r="L257" s="577">
        <f>IF(J257&lt;&gt;"",$N$1,"")</f>
        <v>0.2354</v>
      </c>
      <c r="M257" s="576">
        <f>IF(J257&lt;&gt;0,(ROUND(K257*(L257+1),2)),0)</f>
        <v>93.74</v>
      </c>
      <c r="N257" s="576">
        <f>IF(J257="","",ROUND((J257*M257),2))</f>
        <v>93.74</v>
      </c>
      <c r="Q257" s="589">
        <f>N257</f>
        <v>93.74</v>
      </c>
      <c r="S257" s="433"/>
    </row>
    <row r="258" spans="1:21" s="588" customFormat="1" ht="25.5">
      <c r="A258" s="430">
        <v>211</v>
      </c>
      <c r="B258" s="590"/>
      <c r="C258" s="431" t="str">
        <f t="shared" si="176"/>
        <v>11.7</v>
      </c>
      <c r="D258" s="587">
        <f t="shared" si="177"/>
        <v>5</v>
      </c>
      <c r="E258" s="572" t="str">
        <f t="shared" si="175"/>
        <v>11.7.5</v>
      </c>
      <c r="F258" s="579" t="s">
        <v>2239</v>
      </c>
      <c r="G258" s="580" t="s">
        <v>8743</v>
      </c>
      <c r="H258" s="750" t="str">
        <f>IF($G258="","",IFERROR(VLOOKUP($G258,SERVIÇOS!$C:$G,2,0),IFERROR(VLOOKUP($G258,CPU!$F:$M,2,0),"")))</f>
        <v>TORNEIRA DE MESA, TIPO PRESSMATIC BAIXA PARA LAVATÓRIO, EM METAL CROMADO, COM CICLO DE FECHAMENTO AUTOMÁTICO DE 10 A 20 SEGUNDOS</v>
      </c>
      <c r="I258" s="578" t="str">
        <f>IF($G258="","",IFERROR(VLOOKUP($G258,SERVIÇOS!$C:$G,3,0),IFERROR(VLOOKUP($G258,CPU!$F:$M,3,0),"")))</f>
        <v>UN</v>
      </c>
      <c r="J258" s="576">
        <v>9</v>
      </c>
      <c r="K258" s="576">
        <f>IF($G258="","",IFERROR(VLOOKUP($G258,SERVIÇOS!$C:$H,6,0),IFERROR(VLOOKUP($G258,CPU!$F:$M,8,0),"")))</f>
        <v>150.85</v>
      </c>
      <c r="L258" s="577">
        <f>IF(J258&lt;&gt;"",$N$1,"")</f>
        <v>0.2354</v>
      </c>
      <c r="M258" s="576">
        <f>IF(J258&lt;&gt;0,(ROUND(K258*(L258+1),2)),0)</f>
        <v>186.36</v>
      </c>
      <c r="N258" s="576">
        <f>IF(J258="","",ROUND((J258*M258),2))</f>
        <v>1677.24</v>
      </c>
      <c r="O258" s="431"/>
      <c r="P258" s="430"/>
      <c r="Q258" s="589">
        <f>N258</f>
        <v>1677.24</v>
      </c>
      <c r="R258" s="430"/>
      <c r="S258" s="433"/>
      <c r="T258" s="430"/>
      <c r="U258" s="430"/>
    </row>
    <row r="259" spans="1:21" s="588" customFormat="1" ht="25.5">
      <c r="A259" s="430">
        <v>211</v>
      </c>
      <c r="B259" s="590"/>
      <c r="C259" s="431" t="str">
        <f t="shared" si="176"/>
        <v>11.7</v>
      </c>
      <c r="D259" s="587">
        <f t="shared" si="177"/>
        <v>6</v>
      </c>
      <c r="E259" s="572" t="str">
        <f t="shared" si="175"/>
        <v>11.7.6</v>
      </c>
      <c r="F259" s="579" t="s">
        <v>2238</v>
      </c>
      <c r="G259" s="580">
        <v>86888</v>
      </c>
      <c r="H259" s="750" t="str">
        <f>IF($G259="","",IFERROR(VLOOKUP($G259,SERVIÇOS!$C:$G,2,0),IFERROR(VLOOKUP($G259,CPU!$F:$M,2,0),"")))</f>
        <v>VASO SANITÁRIO SIFONADO COM CAIXA ACOPLADA LOUÇA BRANCA - FORNECIMENTO E INSTALAÇÃO. AF_01/2020</v>
      </c>
      <c r="I259" s="578" t="str">
        <f>IF($G259="","",IFERROR(VLOOKUP($G259,SERVIÇOS!$C:$G,3,0),IFERROR(VLOOKUP($G259,CPU!$F:$M,3,0),"")))</f>
        <v>UN</v>
      </c>
      <c r="J259" s="576">
        <v>9</v>
      </c>
      <c r="K259" s="576">
        <f>IF($G259="","",IFERROR(VLOOKUP($G259,SERVIÇOS!$C:$H,6,0),IFERROR(VLOOKUP($G259,CPU!$F:$M,8,0),"")))</f>
        <v>440.67</v>
      </c>
      <c r="L259" s="577">
        <f>IF(J259&lt;&gt;"",$N$1,"")</f>
        <v>0.2354</v>
      </c>
      <c r="M259" s="576">
        <f>IF(J259&lt;&gt;0,(ROUND(K259*(L259+1),2)),0)</f>
        <v>544.4</v>
      </c>
      <c r="N259" s="576">
        <f>IF(J259="","",ROUND((J259*M259),2))</f>
        <v>4899.6000000000004</v>
      </c>
      <c r="O259" s="431"/>
      <c r="P259" s="430"/>
      <c r="Q259" s="589">
        <f>N259</f>
        <v>4899.6000000000004</v>
      </c>
      <c r="R259" s="430"/>
      <c r="S259" s="433"/>
      <c r="T259" s="430"/>
      <c r="U259" s="430"/>
    </row>
    <row r="260" spans="1:21" s="588" customFormat="1">
      <c r="A260" s="430">
        <v>196</v>
      </c>
      <c r="B260" s="590"/>
      <c r="C260" s="431" t="str">
        <f t="shared" si="176"/>
        <v>11.7</v>
      </c>
      <c r="D260" s="587">
        <f t="shared" si="177"/>
        <v>7</v>
      </c>
      <c r="E260" s="572" t="str">
        <f t="shared" si="175"/>
        <v>11.7.7</v>
      </c>
      <c r="F260" s="579"/>
      <c r="G260" s="581"/>
      <c r="H260" s="751" t="s">
        <v>8436</v>
      </c>
      <c r="I260" s="578"/>
      <c r="J260" s="576"/>
      <c r="K260" s="576"/>
      <c r="L260" s="577"/>
      <c r="M260" s="576"/>
      <c r="N260" s="576"/>
      <c r="O260" s="431"/>
      <c r="P260" s="430"/>
      <c r="Q260" s="589"/>
      <c r="R260" s="430"/>
      <c r="S260" s="433"/>
      <c r="T260" s="430"/>
      <c r="U260" s="430"/>
    </row>
    <row r="261" spans="1:21" s="588" customFormat="1" ht="25.5">
      <c r="A261" s="430">
        <v>191</v>
      </c>
      <c r="B261" s="590"/>
      <c r="C261" s="431" t="str">
        <f t="shared" si="176"/>
        <v>11.7</v>
      </c>
      <c r="D261" s="587">
        <f t="shared" si="177"/>
        <v>8</v>
      </c>
      <c r="E261" s="572" t="str">
        <f t="shared" si="175"/>
        <v>11.7.8</v>
      </c>
      <c r="F261" s="579" t="s">
        <v>2238</v>
      </c>
      <c r="G261" s="581">
        <v>89987</v>
      </c>
      <c r="H261" s="750" t="str">
        <f>IF($G261="","",IFERROR(VLOOKUP($G261,SERVIÇOS!$C:$G,2,0),IFERROR(VLOOKUP($G261,CPU!$F:$M,2,0),"")))</f>
        <v>REGISTRO DE GAVETA BRUTO, LATÃO, ROSCÁVEL, 3/4", COM ACABAMENTO E CANOPLA CROMADOS - FORNECIMENTO E INSTALAÇÃO. AF_08/2021</v>
      </c>
      <c r="I261" s="578" t="str">
        <f>IF($G261="","",IFERROR(VLOOKUP($G261,SERVIÇOS!$C:$G,3,0),IFERROR(VLOOKUP($G261,CPU!$F:$M,3,0),"")))</f>
        <v>UN</v>
      </c>
      <c r="J261" s="576">
        <v>1</v>
      </c>
      <c r="K261" s="576">
        <f>IF($G261="","",IFERROR(VLOOKUP($G261,SERVIÇOS!$C:$H,6,0),IFERROR(VLOOKUP($G261,CPU!$F:$M,8,0),"")))</f>
        <v>92.23</v>
      </c>
      <c r="L261" s="577">
        <f>IF(J261&lt;&gt;"",$N$1,"")</f>
        <v>0.2354</v>
      </c>
      <c r="M261" s="576">
        <f>IF(J261&lt;&gt;0,(ROUND(K261*(L261+1),2)),0)</f>
        <v>113.94</v>
      </c>
      <c r="N261" s="576">
        <f>IF(J261="","",ROUND((J261*M261),2))</f>
        <v>113.94</v>
      </c>
      <c r="O261" s="431"/>
      <c r="P261" s="430"/>
      <c r="Q261" s="589">
        <f>N261</f>
        <v>113.94</v>
      </c>
      <c r="R261" s="430"/>
      <c r="S261" s="433"/>
      <c r="T261" s="430"/>
      <c r="U261" s="430"/>
    </row>
    <row r="262" spans="1:21" s="588" customFormat="1" ht="25.5">
      <c r="A262" s="430">
        <v>191</v>
      </c>
      <c r="B262" s="590"/>
      <c r="C262" s="431" t="str">
        <f t="shared" si="176"/>
        <v>11.7</v>
      </c>
      <c r="D262" s="587">
        <f t="shared" si="177"/>
        <v>9</v>
      </c>
      <c r="E262" s="572" t="str">
        <f t="shared" si="175"/>
        <v>11.7.9</v>
      </c>
      <c r="F262" s="579" t="s">
        <v>2238</v>
      </c>
      <c r="G262" s="581">
        <v>94489</v>
      </c>
      <c r="H262" s="750" t="str">
        <f>IF($G262="","",IFERROR(VLOOKUP($G262,SERVIÇOS!$C:$G,2,0),IFERROR(VLOOKUP($G262,CPU!$F:$M,2,0),"")))</f>
        <v>REGISTRO DE ESFERA, PVC, SOLDÁVEL, COM VOLANTE, DN  25 MM - FORNECIMENTO E INSTALAÇÃO. AF_08/2021</v>
      </c>
      <c r="I262" s="578" t="str">
        <f>IF($G262="","",IFERROR(VLOOKUP($G262,SERVIÇOS!$C:$G,3,0),IFERROR(VLOOKUP($G262,CPU!$F:$M,3,0),"")))</f>
        <v>UN</v>
      </c>
      <c r="J262" s="576">
        <v>12</v>
      </c>
      <c r="K262" s="576">
        <f>IF($G262="","",IFERROR(VLOOKUP($G262,SERVIÇOS!$C:$H,6,0),IFERROR(VLOOKUP($G262,CPU!$F:$M,8,0),"")))</f>
        <v>32.93</v>
      </c>
      <c r="L262" s="577">
        <f>IF(J262&lt;&gt;"",$N$1,"")</f>
        <v>0.2354</v>
      </c>
      <c r="M262" s="576">
        <f>IF(J262&lt;&gt;0,(ROUND(K262*(L262+1),2)),0)</f>
        <v>40.68</v>
      </c>
      <c r="N262" s="576">
        <f>IF(J262="","",ROUND((J262*M262),2))</f>
        <v>488.16</v>
      </c>
      <c r="O262" s="431"/>
      <c r="P262" s="430"/>
      <c r="Q262" s="589">
        <f>N262</f>
        <v>488.16</v>
      </c>
      <c r="R262" s="430"/>
      <c r="S262" s="433"/>
      <c r="T262" s="430"/>
      <c r="U262" s="430"/>
    </row>
    <row r="263" spans="1:21" s="588" customFormat="1" ht="25.5">
      <c r="A263" s="430">
        <v>191</v>
      </c>
      <c r="B263" s="590"/>
      <c r="C263" s="431" t="str">
        <f t="shared" si="176"/>
        <v>11.7</v>
      </c>
      <c r="D263" s="587">
        <f t="shared" si="177"/>
        <v>10</v>
      </c>
      <c r="E263" s="572" t="str">
        <f t="shared" si="175"/>
        <v>11.7.10</v>
      </c>
      <c r="F263" s="579" t="s">
        <v>2238</v>
      </c>
      <c r="G263" s="581">
        <v>94490</v>
      </c>
      <c r="H263" s="750" t="str">
        <f>IF($G263="","",IFERROR(VLOOKUP($G263,SERVIÇOS!$C:$G,2,0),IFERROR(VLOOKUP($G263,CPU!$F:$M,2,0),"")))</f>
        <v>REGISTRO DE ESFERA, PVC, SOLDÁVEL, COM VOLANTE, DN  32 MM - FORNECIMENTO E INSTALAÇÃO. AF_08/2021</v>
      </c>
      <c r="I263" s="578" t="str">
        <f>IF($G263="","",IFERROR(VLOOKUP($G263,SERVIÇOS!$C:$G,3,0),IFERROR(VLOOKUP($G263,CPU!$F:$M,3,0),"")))</f>
        <v>UN</v>
      </c>
      <c r="J263" s="576">
        <v>3</v>
      </c>
      <c r="K263" s="576">
        <f>IF($G263="","",IFERROR(VLOOKUP($G263,SERVIÇOS!$C:$H,6,0),IFERROR(VLOOKUP($G263,CPU!$F:$M,8,0),"")))</f>
        <v>48.71</v>
      </c>
      <c r="L263" s="577">
        <f>IF(J263&lt;&gt;"",$N$1,"")</f>
        <v>0.2354</v>
      </c>
      <c r="M263" s="576">
        <f>IF(J263&lt;&gt;0,(ROUND(K263*(L263+1),2)),0)</f>
        <v>60.18</v>
      </c>
      <c r="N263" s="576">
        <f>IF(J263="","",ROUND((J263*M263),2))</f>
        <v>180.54</v>
      </c>
      <c r="O263" s="431"/>
      <c r="P263" s="430"/>
      <c r="Q263" s="589">
        <f>N263</f>
        <v>180.54</v>
      </c>
      <c r="R263" s="430"/>
      <c r="S263" s="433"/>
      <c r="T263" s="430"/>
      <c r="U263" s="430"/>
    </row>
    <row r="264" spans="1:21" s="588" customFormat="1" ht="25.5">
      <c r="A264" s="430">
        <v>191</v>
      </c>
      <c r="B264" s="590"/>
      <c r="C264" s="431" t="str">
        <f t="shared" si="176"/>
        <v>11.7</v>
      </c>
      <c r="D264" s="587">
        <f t="shared" si="177"/>
        <v>11</v>
      </c>
      <c r="E264" s="572" t="str">
        <f t="shared" si="175"/>
        <v>11.7.11</v>
      </c>
      <c r="F264" s="579" t="s">
        <v>2238</v>
      </c>
      <c r="G264" s="581">
        <v>94492</v>
      </c>
      <c r="H264" s="750" t="str">
        <f>IF($G264="","",IFERROR(VLOOKUP($G264,SERVIÇOS!$C:$G,2,0),IFERROR(VLOOKUP($G264,CPU!$F:$M,2,0),"")))</f>
        <v>REGISTRO DE ESFERA, PVC, SOLDÁVEL, COM VOLANTE, DN  50 MM - FORNECIMENTO E INSTALAÇÃO. AF_08/2021</v>
      </c>
      <c r="I264" s="578" t="str">
        <f>IF($G264="","",IFERROR(VLOOKUP($G264,SERVIÇOS!$C:$G,3,0),IFERROR(VLOOKUP($G264,CPU!$F:$M,3,0),"")))</f>
        <v>UN</v>
      </c>
      <c r="J264" s="576">
        <v>3</v>
      </c>
      <c r="K264" s="576">
        <f>IF($G264="","",IFERROR(VLOOKUP($G264,SERVIÇOS!$C:$H,6,0),IFERROR(VLOOKUP($G264,CPU!$F:$M,8,0),"")))</f>
        <v>68.260000000000005</v>
      </c>
      <c r="L264" s="577">
        <f>IF(J264&lt;&gt;"",$N$1,"")</f>
        <v>0.2354</v>
      </c>
      <c r="M264" s="576">
        <f>IF(J264&lt;&gt;0,(ROUND(K264*(L264+1),2)),0)</f>
        <v>84.33</v>
      </c>
      <c r="N264" s="576">
        <f>IF(J264="","",ROUND((J264*M264),2))</f>
        <v>252.99</v>
      </c>
      <c r="O264" s="431"/>
      <c r="P264" s="430"/>
      <c r="Q264" s="589">
        <f>N264</f>
        <v>252.99</v>
      </c>
      <c r="R264" s="430"/>
      <c r="S264" s="433"/>
      <c r="T264" s="430"/>
      <c r="U264" s="430"/>
    </row>
    <row r="265" spans="1:21" s="588" customFormat="1">
      <c r="A265" s="430">
        <v>196</v>
      </c>
      <c r="B265" s="590"/>
      <c r="C265" s="431" t="str">
        <f t="shared" si="176"/>
        <v>11.7</v>
      </c>
      <c r="D265" s="587">
        <f t="shared" si="177"/>
        <v>12</v>
      </c>
      <c r="E265" s="572" t="str">
        <f t="shared" si="175"/>
        <v>11.7.12</v>
      </c>
      <c r="F265" s="579"/>
      <c r="G265" s="581"/>
      <c r="H265" s="751" t="s">
        <v>8437</v>
      </c>
      <c r="I265" s="578"/>
      <c r="J265" s="576"/>
      <c r="K265" s="576"/>
      <c r="L265" s="577"/>
      <c r="M265" s="576"/>
      <c r="N265" s="576"/>
      <c r="O265" s="431"/>
      <c r="P265" s="430"/>
      <c r="Q265" s="589"/>
      <c r="R265" s="430"/>
      <c r="S265" s="433"/>
      <c r="T265" s="430"/>
      <c r="U265" s="430"/>
    </row>
    <row r="266" spans="1:21">
      <c r="A266" s="430">
        <v>207</v>
      </c>
      <c r="B266" s="590"/>
      <c r="C266" s="431" t="str">
        <f t="shared" si="176"/>
        <v>11.7</v>
      </c>
      <c r="D266" s="587">
        <f t="shared" si="177"/>
        <v>13</v>
      </c>
      <c r="E266" s="572" t="str">
        <f t="shared" si="175"/>
        <v>11.7.13</v>
      </c>
      <c r="F266" s="579" t="s">
        <v>2238</v>
      </c>
      <c r="G266" s="581">
        <v>86886</v>
      </c>
      <c r="H266" s="750" t="str">
        <f>IF($G266="","",IFERROR(VLOOKUP($G266,SERVIÇOS!$C:$G,2,0),IFERROR(VLOOKUP($G266,CPU!$F:$M,2,0),"")))</f>
        <v>ENGATE FLEXÍVEL EM INOX, 1/2  X 30CM - FORNECIMENTO E INSTALAÇÃO. AF_01/2020</v>
      </c>
      <c r="I266" s="578" t="str">
        <f>IF($G266="","",IFERROR(VLOOKUP($G266,SERVIÇOS!$C:$G,3,0),IFERROR(VLOOKUP($G266,CPU!$F:$M,3,0),"")))</f>
        <v>UN</v>
      </c>
      <c r="J266" s="576">
        <v>9</v>
      </c>
      <c r="K266" s="576">
        <f>IF($G266="","",IFERROR(VLOOKUP($G266,SERVIÇOS!$C:$H,6,0),IFERROR(VLOOKUP($G266,CPU!$F:$M,8,0),"")))</f>
        <v>89.46</v>
      </c>
      <c r="L266" s="577">
        <f>IF(J266&lt;&gt;"",$N$1,"")</f>
        <v>0.2354</v>
      </c>
      <c r="M266" s="576">
        <f>IF(J266&lt;&gt;0,(ROUND(K266*(L266+1),2)),0)</f>
        <v>110.52</v>
      </c>
      <c r="N266" s="576">
        <f>IF(J266="","",ROUND((J266*M266),2))</f>
        <v>994.68</v>
      </c>
      <c r="Q266" s="589">
        <f>N266</f>
        <v>994.68</v>
      </c>
      <c r="S266" s="433"/>
    </row>
    <row r="267" spans="1:21" ht="25.5">
      <c r="A267" s="430">
        <v>207</v>
      </c>
      <c r="B267" s="590"/>
      <c r="C267" s="431" t="str">
        <f t="shared" si="176"/>
        <v>11.7</v>
      </c>
      <c r="D267" s="587">
        <f t="shared" si="177"/>
        <v>14</v>
      </c>
      <c r="E267" s="572" t="str">
        <f t="shared" si="175"/>
        <v>11.7.14</v>
      </c>
      <c r="F267" s="579" t="s">
        <v>2238</v>
      </c>
      <c r="G267" s="581">
        <v>86884</v>
      </c>
      <c r="H267" s="750" t="str">
        <f>IF($G267="","",IFERROR(VLOOKUP($G267,SERVIÇOS!$C:$G,2,0),IFERROR(VLOOKUP($G267,CPU!$F:$M,2,0),"")))</f>
        <v>ENGATE FLEXÍVEL EM PLÁSTICO BRANCO, 1/2 X 30CM - FORNECIMENTO E INSTALAÇÃO. AF_01/2020</v>
      </c>
      <c r="I267" s="578" t="str">
        <f>IF($G267="","",IFERROR(VLOOKUP($G267,SERVIÇOS!$C:$G,3,0),IFERROR(VLOOKUP($G267,CPU!$F:$M,3,0),"")))</f>
        <v>UN</v>
      </c>
      <c r="J267" s="576">
        <v>12</v>
      </c>
      <c r="K267" s="576">
        <f>IF($G267="","",IFERROR(VLOOKUP($G267,SERVIÇOS!$C:$H,6,0),IFERROR(VLOOKUP($G267,CPU!$F:$M,8,0),"")))</f>
        <v>9.68</v>
      </c>
      <c r="L267" s="577">
        <f>IF(J267&lt;&gt;"",$N$1,"")</f>
        <v>0.2354</v>
      </c>
      <c r="M267" s="576">
        <f>IF(J267&lt;&gt;0,(ROUND(K267*(L267+1),2)),0)</f>
        <v>11.96</v>
      </c>
      <c r="N267" s="576">
        <f>IF(J267="","",ROUND((J267*M267),2))</f>
        <v>143.52000000000001</v>
      </c>
      <c r="Q267" s="589">
        <f>N267</f>
        <v>143.52000000000001</v>
      </c>
      <c r="S267" s="433"/>
    </row>
    <row r="268" spans="1:21" s="588" customFormat="1">
      <c r="A268" s="430">
        <v>209</v>
      </c>
      <c r="B268" s="590"/>
      <c r="C268" s="431" t="str">
        <f t="shared" si="176"/>
        <v>11.7</v>
      </c>
      <c r="D268" s="587">
        <f t="shared" si="177"/>
        <v>15</v>
      </c>
      <c r="E268" s="579" t="str">
        <f t="shared" si="175"/>
        <v>11.7.15</v>
      </c>
      <c r="F268" s="579"/>
      <c r="G268" s="581"/>
      <c r="H268" s="751" t="s">
        <v>8435</v>
      </c>
      <c r="I268" s="578"/>
      <c r="J268" s="576"/>
      <c r="K268" s="576"/>
      <c r="L268" s="577"/>
      <c r="M268" s="576"/>
      <c r="N268" s="576"/>
      <c r="O268" s="431"/>
      <c r="P268" s="430"/>
      <c r="Q268" s="589"/>
      <c r="R268" s="430"/>
      <c r="S268" s="433"/>
      <c r="T268" s="430"/>
      <c r="U268" s="430"/>
    </row>
    <row r="269" spans="1:21" ht="51">
      <c r="A269" s="430">
        <v>210</v>
      </c>
      <c r="B269" s="590"/>
      <c r="C269" s="431" t="str">
        <f t="shared" si="176"/>
        <v>11.7</v>
      </c>
      <c r="D269" s="587">
        <f t="shared" si="177"/>
        <v>16</v>
      </c>
      <c r="E269" s="572" t="str">
        <f t="shared" si="175"/>
        <v>11.7.16</v>
      </c>
      <c r="F269" s="579" t="s">
        <v>2238</v>
      </c>
      <c r="G269" s="580">
        <v>91785</v>
      </c>
      <c r="H269" s="750" t="str">
        <f>IF($G269="","",IFERROR(VLOOKUP($G269,SERVIÇOS!$C:$G,2,0),IFERROR(VLOOKUP($G269,CPU!$F:$M,2,0),"")))</f>
        <v>(COMPOSIÇÃO REPRESENTATIVA) DO SERVIÇO DE INSTALAÇÃO DE TUBOS DE PVC, SOLDÁVEL, ÁGUA FRIA, DN 25 MM (INSTALADO EM RAMAL, SUB-RAMAL, RAMAL DE DISTRIBUIÇÃO OU PRUMADA), INCLUSIVE CONEXÕES, CORTES E FIXAÇÕES, PARA PRÉDIOS. AF_10/2015</v>
      </c>
      <c r="I269" s="578" t="str">
        <f>IF($G269="","",IFERROR(VLOOKUP($G269,SERVIÇOS!$C:$G,3,0),IFERROR(VLOOKUP($G269,CPU!$F:$M,3,0),"")))</f>
        <v>M</v>
      </c>
      <c r="J269" s="576">
        <v>44.1</v>
      </c>
      <c r="K269" s="576">
        <f>IF($G269="","",IFERROR(VLOOKUP($G269,SERVIÇOS!$C:$H,6,0),IFERROR(VLOOKUP($G269,CPU!$F:$M,8,0),"")))</f>
        <v>51.04</v>
      </c>
      <c r="L269" s="577">
        <f>IF(J269&lt;&gt;"",$N$1,"")</f>
        <v>0.2354</v>
      </c>
      <c r="M269" s="576">
        <f>IF(J269&lt;&gt;0,(ROUND(K269*(L269+1),2)),0)</f>
        <v>63.05</v>
      </c>
      <c r="N269" s="576">
        <f>IF(J269="","",ROUND((J269*M269),2))</f>
        <v>2780.51</v>
      </c>
      <c r="Q269" s="589">
        <f>N269</f>
        <v>2780.51</v>
      </c>
      <c r="S269" s="433"/>
    </row>
    <row r="270" spans="1:21" s="588" customFormat="1" ht="51">
      <c r="A270" s="430">
        <v>211</v>
      </c>
      <c r="B270" s="590"/>
      <c r="C270" s="431" t="str">
        <f t="shared" si="176"/>
        <v>11.7</v>
      </c>
      <c r="D270" s="587">
        <f>1+D269</f>
        <v>17</v>
      </c>
      <c r="E270" s="572" t="str">
        <f t="shared" si="175"/>
        <v>11.7.17</v>
      </c>
      <c r="F270" s="579" t="s">
        <v>2238</v>
      </c>
      <c r="G270" s="580">
        <v>91786</v>
      </c>
      <c r="H270" s="750" t="str">
        <f>IF($G270="","",IFERROR(VLOOKUP($G270,SERVIÇOS!$C:$G,2,0),IFERROR(VLOOKUP($G270,CPU!$F:$M,2,0),"")))</f>
        <v>(COMPOSIÇÃO REPRESENTATIVA) DO SERVIÇO DE INSTALAÇÃO TUBOS DE PVC, SOLDÁVEL, ÁGUA FRIA, DN 32 MM (INSTALADO EM RAMAL, SUB-RAMAL, RAMAL DE DISTRIBUIÇÃO OU PRUMADA), INCLUSIVE CONEXÕES, CORTES E FIXAÇÕES, PARA PRÉDIOS. AF_10/2015</v>
      </c>
      <c r="I270" s="578" t="str">
        <f>IF($G270="","",IFERROR(VLOOKUP($G270,SERVIÇOS!$C:$G,3,0),IFERROR(VLOOKUP($G270,CPU!$F:$M,3,0),"")))</f>
        <v>M</v>
      </c>
      <c r="J270" s="576">
        <v>32.4</v>
      </c>
      <c r="K270" s="576">
        <f>IF($G270="","",IFERROR(VLOOKUP($G270,SERVIÇOS!$C:$H,6,0),IFERROR(VLOOKUP($G270,CPU!$F:$M,8,0),"")))</f>
        <v>36.33</v>
      </c>
      <c r="L270" s="577">
        <f>IF(J270&lt;&gt;"",$N$1,"")</f>
        <v>0.2354</v>
      </c>
      <c r="M270" s="576">
        <f>IF(J270&lt;&gt;0,(ROUND(K270*(L270+1),2)),0)</f>
        <v>44.88</v>
      </c>
      <c r="N270" s="576">
        <f>IF(J270="","",ROUND((J270*M270),2))</f>
        <v>1454.11</v>
      </c>
      <c r="O270" s="431"/>
      <c r="P270" s="430"/>
      <c r="Q270" s="589">
        <f>N270</f>
        <v>1454.11</v>
      </c>
      <c r="R270" s="430"/>
      <c r="S270" s="433"/>
      <c r="T270" s="430"/>
      <c r="U270" s="430"/>
    </row>
    <row r="271" spans="1:21" ht="38.25">
      <c r="A271" s="430">
        <v>212</v>
      </c>
      <c r="B271" s="590"/>
      <c r="C271" s="431" t="str">
        <f>+C270</f>
        <v>11.7</v>
      </c>
      <c r="D271" s="587">
        <f t="shared" si="177"/>
        <v>18</v>
      </c>
      <c r="E271" s="572" t="str">
        <f t="shared" si="175"/>
        <v>11.7.18</v>
      </c>
      <c r="F271" s="579" t="s">
        <v>2238</v>
      </c>
      <c r="G271" s="580">
        <v>91788</v>
      </c>
      <c r="H271" s="750" t="str">
        <f>IF($G271="","",IFERROR(VLOOKUP($G271,SERVIÇOS!$C:$G,2,0),IFERROR(VLOOKUP($G271,CPU!$F:$M,2,0),"")))</f>
        <v>(COMPOSIÇÃO REPRESENTATIVA) DO SERVIÇO DE INSTALAÇÃO DE TUBOS DE PVC, SOLDÁVEL, ÁGUA FRIA, DN 50 MM (INSTALADO EM PRUMADA), INCLUSIVE CONEXÕES, CORTES E FIXAÇÕES, PARA PRÉDIOS. AF_10/2015</v>
      </c>
      <c r="I271" s="578" t="str">
        <f>IF($G271="","",IFERROR(VLOOKUP($G271,SERVIÇOS!$C:$G,3,0),IFERROR(VLOOKUP($G271,CPU!$F:$M,3,0),"")))</f>
        <v>M</v>
      </c>
      <c r="J271" s="576">
        <v>16.8</v>
      </c>
      <c r="K271" s="576">
        <f>IF($G271="","",IFERROR(VLOOKUP($G271,SERVIÇOS!$C:$H,6,0),IFERROR(VLOOKUP($G271,CPU!$F:$M,8,0),"")))</f>
        <v>49.57</v>
      </c>
      <c r="L271" s="577">
        <f>IF(J271&lt;&gt;"",$N$1,"")</f>
        <v>0.2354</v>
      </c>
      <c r="M271" s="576">
        <f>IF(J271&lt;&gt;0,(ROUND(K271*(L271+1),2)),0)</f>
        <v>61.24</v>
      </c>
      <c r="N271" s="576">
        <f>IF(J271="","",ROUND((J271*M271),2))</f>
        <v>1028.83</v>
      </c>
      <c r="Q271" s="589">
        <f>N271</f>
        <v>1028.83</v>
      </c>
      <c r="S271" s="433"/>
    </row>
    <row r="272" spans="1:21">
      <c r="A272" s="430">
        <v>253</v>
      </c>
      <c r="B272" s="590"/>
      <c r="C272" s="431">
        <f>+E272</f>
        <v>12</v>
      </c>
      <c r="D272" s="587"/>
      <c r="E272" s="859">
        <v>12</v>
      </c>
      <c r="F272" s="860"/>
      <c r="G272" s="860"/>
      <c r="H272" s="861" t="s">
        <v>4869</v>
      </c>
      <c r="I272" s="862"/>
      <c r="J272" s="863"/>
      <c r="K272" s="866"/>
      <c r="L272" s="865"/>
      <c r="M272" s="864"/>
      <c r="N272" s="864">
        <f>SUM(N273:N284)</f>
        <v>6038.61</v>
      </c>
      <c r="Q272" s="589"/>
      <c r="S272" s="433"/>
      <c r="T272" s="433">
        <v>12122.810000000001</v>
      </c>
      <c r="U272" s="433">
        <v>15298.980000000001</v>
      </c>
    </row>
    <row r="273" spans="1:21">
      <c r="A273" s="430">
        <v>256</v>
      </c>
      <c r="B273" s="590"/>
      <c r="C273" s="431" t="str">
        <f>+E273</f>
        <v>12.1</v>
      </c>
      <c r="D273" s="587"/>
      <c r="E273" s="568" t="s">
        <v>6925</v>
      </c>
      <c r="F273" s="569"/>
      <c r="G273" s="569"/>
      <c r="H273" s="749" t="s">
        <v>5275</v>
      </c>
      <c r="I273" s="570"/>
      <c r="J273" s="571"/>
      <c r="K273" s="571"/>
      <c r="L273" s="571"/>
      <c r="M273" s="571"/>
      <c r="N273" s="571"/>
      <c r="Q273" s="589"/>
      <c r="S273" s="433"/>
    </row>
    <row r="274" spans="1:21" ht="25.5">
      <c r="A274" s="430">
        <v>257</v>
      </c>
      <c r="B274" s="590"/>
      <c r="C274" s="431" t="str">
        <f>+C273</f>
        <v>12.1</v>
      </c>
      <c r="D274" s="587">
        <f>1+D273</f>
        <v>1</v>
      </c>
      <c r="E274" s="572" t="str">
        <f>C274&amp;"."&amp;D274</f>
        <v>12.1.1</v>
      </c>
      <c r="F274" s="579" t="s">
        <v>2239</v>
      </c>
      <c r="G274" s="581" t="s">
        <v>2949</v>
      </c>
      <c r="H274" s="750" t="str">
        <f>IF($G274="","",IFERROR(VLOOKUP($G274,SERVIÇOS!$C:$G,2,0),IFERROR(VLOOKUP($G274,CPU!$F:$M,2,0),"")))</f>
        <v>EXTINTOR DE INCÊNDIO PORTÁTIL COM CARGA DE PÓ DE 4 KG, CLASSE ABC 2-A; 20-B:C, COM SUPORTE DE PAREDE - FORNECIMENTO E INSTALAÇÃO</v>
      </c>
      <c r="I274" s="578" t="str">
        <f>IF($G274="","",IFERROR(VLOOKUP($G274,SERVIÇOS!$C:$G,3,0),IFERROR(VLOOKUP($G274,CPU!$F:$M,3,0),"")))</f>
        <v>UN</v>
      </c>
      <c r="J274" s="576">
        <v>13</v>
      </c>
      <c r="K274" s="576">
        <f>IF($G274="","",IFERROR(VLOOKUP($G274,SERVIÇOS!$C:$H,6,0),IFERROR(VLOOKUP($G274,CPU!$F:$M,8,0),"")))</f>
        <v>189.7</v>
      </c>
      <c r="L274" s="577">
        <f>IF(J274&lt;&gt;"",$N$1,"")</f>
        <v>0.2354</v>
      </c>
      <c r="M274" s="576">
        <f>IF(J274&lt;&gt;0,(ROUND(K274*(L274+1),2)),0)</f>
        <v>234.36</v>
      </c>
      <c r="N274" s="576">
        <f>IF(J274="","",ROUND((J274*M274),2))</f>
        <v>3046.68</v>
      </c>
      <c r="Q274" s="589">
        <f>N274</f>
        <v>3046.68</v>
      </c>
      <c r="S274" s="433"/>
    </row>
    <row r="275" spans="1:21">
      <c r="A275" s="430">
        <v>262</v>
      </c>
      <c r="B275" s="590"/>
      <c r="C275" s="431" t="str">
        <f>+E275</f>
        <v>12.2</v>
      </c>
      <c r="D275" s="587"/>
      <c r="E275" s="568" t="s">
        <v>8762</v>
      </c>
      <c r="F275" s="569"/>
      <c r="G275" s="569"/>
      <c r="H275" s="749" t="s">
        <v>6887</v>
      </c>
      <c r="I275" s="570"/>
      <c r="J275" s="571"/>
      <c r="K275" s="571"/>
      <c r="L275" s="571"/>
      <c r="M275" s="571"/>
      <c r="N275" s="571"/>
      <c r="Q275" s="589"/>
      <c r="S275" s="433"/>
    </row>
    <row r="276" spans="1:21" ht="38.25">
      <c r="A276" s="430">
        <v>263</v>
      </c>
      <c r="B276" s="590"/>
      <c r="C276" s="431" t="str">
        <f>+C275</f>
        <v>12.2</v>
      </c>
      <c r="D276" s="587">
        <f>1+D275</f>
        <v>1</v>
      </c>
      <c r="E276" s="572" t="str">
        <f>C276&amp;"."&amp;D276</f>
        <v>12.2.1</v>
      </c>
      <c r="F276" s="579" t="s">
        <v>2239</v>
      </c>
      <c r="G276" s="581" t="s">
        <v>6888</v>
      </c>
      <c r="H276" s="750" t="str">
        <f>IF($G276="","",IFERROR(VLOOKUP($G276,SERVIÇOS!$C:$G,2,0),IFERROR(VLOOKUP($G276,CPU!$F:$M,2,0),"")))</f>
        <v>BLOCO AUTÔNOMO DE ILUMINAÇÃO DE EMERGÊNCIA LED, AUTONOMIA DE 3 HORAS, EQUIPADO COM 2 FARÓIS, FLUXO LUMINOSO 2.200 LÚMENS; BLOCO DE 2200 LUMENS DA SEGURIMAX OU EQUIVALENTE TÉCNICO</v>
      </c>
      <c r="I276" s="578" t="str">
        <f>IF($G276="","",IFERROR(VLOOKUP($G276,SERVIÇOS!$C:$G,3,0),IFERROR(VLOOKUP($G276,CPU!$F:$M,3,0),"")))</f>
        <v>UN</v>
      </c>
      <c r="J276" s="576">
        <v>1</v>
      </c>
      <c r="K276" s="576">
        <f>IF($G276="","",IFERROR(VLOOKUP($G276,SERVIÇOS!$C:$H,6,0),IFERROR(VLOOKUP($G276,CPU!$F:$M,8,0),"")))</f>
        <v>250.1</v>
      </c>
      <c r="L276" s="577">
        <f>IF(J276&lt;&gt;"",$N$1,"")</f>
        <v>0.2354</v>
      </c>
      <c r="M276" s="576">
        <f>IF(J276&lt;&gt;0,(ROUND(K276*(L276+1),2)),0)</f>
        <v>308.97000000000003</v>
      </c>
      <c r="N276" s="576">
        <f>IF(J276="","",ROUND((J276*M276),2))</f>
        <v>308.97000000000003</v>
      </c>
      <c r="Q276" s="589">
        <f>N276</f>
        <v>308.97000000000003</v>
      </c>
      <c r="S276" s="433"/>
    </row>
    <row r="277" spans="1:21" ht="25.5">
      <c r="A277" s="430">
        <v>263</v>
      </c>
      <c r="B277" s="590"/>
      <c r="C277" s="431" t="str">
        <f>+C276</f>
        <v>12.2</v>
      </c>
      <c r="D277" s="587">
        <f>1+D276</f>
        <v>2</v>
      </c>
      <c r="E277" s="572" t="str">
        <f>C277&amp;"."&amp;D277</f>
        <v>12.2.2</v>
      </c>
      <c r="F277" s="579" t="s">
        <v>2238</v>
      </c>
      <c r="G277" s="581">
        <v>97599</v>
      </c>
      <c r="H277" s="750" t="str">
        <f>IF($G277="","",IFERROR(VLOOKUP($G277,SERVIÇOS!$C:$G,2,0),IFERROR(VLOOKUP($G277,CPU!$F:$M,2,0),"")))</f>
        <v>LUMINÁRIA DE EMERGÊNCIA, COM 30 LÂMPADAS LED DE 2 W, SEM REATOR - FORNECIMENTO E INSTALAÇÃO. AF_02/2020</v>
      </c>
      <c r="I277" s="578" t="str">
        <f>IF($G277="","",IFERROR(VLOOKUP($G277,SERVIÇOS!$C:$G,3,0),IFERROR(VLOOKUP($G277,CPU!$F:$M,3,0),"")))</f>
        <v>UN</v>
      </c>
      <c r="J277" s="576">
        <v>19</v>
      </c>
      <c r="K277" s="576">
        <f>IF($G277="","",IFERROR(VLOOKUP($G277,SERVIÇOS!$C:$H,6,0),IFERROR(VLOOKUP($G277,CPU!$F:$M,8,0),"")))</f>
        <v>27.87</v>
      </c>
      <c r="L277" s="577">
        <f>IF(J277&lt;&gt;"",$N$1,"")</f>
        <v>0.2354</v>
      </c>
      <c r="M277" s="576">
        <f>IF(J277&lt;&gt;0,(ROUND(K277*(L277+1),2)),0)</f>
        <v>34.43</v>
      </c>
      <c r="N277" s="576">
        <f>IF(J277="","",ROUND((J277*M277),2))</f>
        <v>654.16999999999996</v>
      </c>
      <c r="Q277" s="589">
        <f>N277</f>
        <v>654.16999999999996</v>
      </c>
      <c r="S277" s="433"/>
    </row>
    <row r="278" spans="1:21">
      <c r="A278" s="430">
        <v>266</v>
      </c>
      <c r="B278" s="590"/>
      <c r="C278" s="431" t="str">
        <f>+E278</f>
        <v>12.3</v>
      </c>
      <c r="D278" s="587"/>
      <c r="E278" s="568" t="s">
        <v>8763</v>
      </c>
      <c r="F278" s="569"/>
      <c r="G278" s="569"/>
      <c r="H278" s="749" t="s">
        <v>5276</v>
      </c>
      <c r="I278" s="570"/>
      <c r="J278" s="571"/>
      <c r="K278" s="571"/>
      <c r="L278" s="571"/>
      <c r="M278" s="571"/>
      <c r="N278" s="571"/>
      <c r="Q278" s="589"/>
      <c r="S278" s="433"/>
    </row>
    <row r="279" spans="1:21" ht="38.25">
      <c r="A279" s="430">
        <v>268</v>
      </c>
      <c r="B279" s="590"/>
      <c r="C279" s="431" t="str">
        <f>+C282</f>
        <v>12.3</v>
      </c>
      <c r="D279" s="587">
        <f>1+D282</f>
        <v>3</v>
      </c>
      <c r="E279" s="572" t="str">
        <f t="shared" ref="E279:E284" si="178">C279&amp;"."&amp;D279</f>
        <v>12.3.3</v>
      </c>
      <c r="F279" s="579" t="s">
        <v>2239</v>
      </c>
      <c r="G279" s="581" t="s">
        <v>2948</v>
      </c>
      <c r="H279" s="750" t="str">
        <f>IF($G279="","",IFERROR(VLOOKUP($G279,SERVIÇOS!$C:$G,2,0),IFERROR(VLOOKUP($G279,CPU!$F:$M,2,0),"")))</f>
        <v>PLACA DE SINALIZAÇÃO  TIPO M1, COM INDICAÇÃO DOS SISTEMAS DE PROTEÇÃO CONTRA INCÊNDIO EXISTENTES NA EDIFICAÇÃO (SIMBOLOS, CORES E PICTOGRAMAS CONFORME NBR 13434)</v>
      </c>
      <c r="I279" s="578" t="str">
        <f>IF($G279="","",IFERROR(VLOOKUP($G279,SERVIÇOS!$C:$G,3,0),IFERROR(VLOOKUP($G279,CPU!$F:$M,3,0),"")))</f>
        <v>UN</v>
      </c>
      <c r="J279" s="576">
        <v>1</v>
      </c>
      <c r="K279" s="576">
        <f>IF($G279="","",IFERROR(VLOOKUP($G279,SERVIÇOS!$C:$H,6,0),IFERROR(VLOOKUP($G279,CPU!$F:$M,8,0),"")))</f>
        <v>909.11</v>
      </c>
      <c r="L279" s="577">
        <f t="shared" ref="L279:L284" si="179">IF(J279&lt;&gt;"",$N$1,"")</f>
        <v>0.2354</v>
      </c>
      <c r="M279" s="576">
        <f t="shared" ref="M279:M284" si="180">IF(J279&lt;&gt;0,(ROUND(K279*(L279+1),2)),0)</f>
        <v>1123.1099999999999</v>
      </c>
      <c r="N279" s="576">
        <f t="shared" ref="N279:N284" si="181">IF(J279="","",ROUND((J279*M279),2))</f>
        <v>1123.1099999999999</v>
      </c>
      <c r="Q279" s="589">
        <f t="shared" ref="Q279:Q284" si="182">N279</f>
        <v>1123.1099999999999</v>
      </c>
      <c r="S279" s="433"/>
    </row>
    <row r="280" spans="1:21" ht="38.25">
      <c r="A280" s="430">
        <v>268</v>
      </c>
      <c r="B280" s="590"/>
      <c r="C280" s="431">
        <f>+C285</f>
        <v>13</v>
      </c>
      <c r="D280" s="587">
        <f>1+D285</f>
        <v>1</v>
      </c>
      <c r="E280" s="572" t="str">
        <f t="shared" si="178"/>
        <v>13.1</v>
      </c>
      <c r="F280" s="579" t="s">
        <v>2239</v>
      </c>
      <c r="G280" s="581" t="s">
        <v>8452</v>
      </c>
      <c r="H280" s="750" t="str">
        <f>IF($G280="","",IFERROR(VLOOKUP($G280,SERVIÇOS!$C:$G,2,0),IFERROR(VLOOKUP($G280,CPU!$F:$M,2,0),"")))</f>
        <v>PLACA DE SINALIZAÇÃO  TIPO M2, COM INDICAÇÃO DOS SISTEMAS DE PROTEÇÃO CONTRA INCÊNDIO EXISTENTES NA EDIFICAÇÃO (SIMBOLOS, CORES E PICTOGRAMAS CONFORME NBR 13434)</v>
      </c>
      <c r="I280" s="578" t="str">
        <f>IF($G280="","",IFERROR(VLOOKUP($G280,SERVIÇOS!$C:$G,3,0),IFERROR(VLOOKUP($G280,CPU!$F:$M,3,0),"")))</f>
        <v>UN</v>
      </c>
      <c r="J280" s="576">
        <v>1</v>
      </c>
      <c r="K280" s="576">
        <f>IF($G280="","",IFERROR(VLOOKUP($G280,SERVIÇOS!$C:$H,6,0),IFERROR(VLOOKUP($G280,CPU!$F:$M,8,0),"")))</f>
        <v>39.869999999999997</v>
      </c>
      <c r="L280" s="577">
        <f t="shared" si="179"/>
        <v>0.2354</v>
      </c>
      <c r="M280" s="576">
        <f t="shared" si="180"/>
        <v>49.26</v>
      </c>
      <c r="N280" s="576">
        <f t="shared" si="181"/>
        <v>49.26</v>
      </c>
      <c r="Q280" s="589">
        <f t="shared" si="182"/>
        <v>49.26</v>
      </c>
      <c r="S280" s="433"/>
    </row>
    <row r="281" spans="1:21" ht="25.5">
      <c r="A281" s="430">
        <v>267</v>
      </c>
      <c r="B281" s="590"/>
      <c r="C281" s="431" t="str">
        <f>+C278</f>
        <v>12.3</v>
      </c>
      <c r="D281" s="587">
        <f>1+D278</f>
        <v>1</v>
      </c>
      <c r="E281" s="572" t="str">
        <f t="shared" si="178"/>
        <v>12.3.1</v>
      </c>
      <c r="F281" s="579" t="s">
        <v>2239</v>
      </c>
      <c r="G281" s="581" t="s">
        <v>5267</v>
      </c>
      <c r="H281" s="750" t="str">
        <f>IF($G281="","",IFERROR(VLOOKUP($G281,SERVIÇOS!$C:$G,2,0),IFERROR(VLOOKUP($G281,CPU!$F:$M,2,0),"")))</f>
        <v>PLACA DE SINALIZAÇÃO TIPO S8/S9/S2D/S2E/S3/S12 - 240X120 MM - (SIMBOLOS, CORES E PICTOGRAMAS CONFORME NBR 13434)</v>
      </c>
      <c r="I281" s="578" t="str">
        <f>IF($G281="","",IFERROR(VLOOKUP($G281,SERVIÇOS!$C:$G,3,0),IFERROR(VLOOKUP($G281,CPU!$F:$M,3,0),"")))</f>
        <v>UN</v>
      </c>
      <c r="J281" s="576">
        <f>1+2+2+2+6+3</f>
        <v>16</v>
      </c>
      <c r="K281" s="576">
        <f>IF($G281="","",IFERROR(VLOOKUP($G281,SERVIÇOS!$C:$H,6,0),IFERROR(VLOOKUP($G281,CPU!$F:$M,8,0),"")))</f>
        <v>13.36</v>
      </c>
      <c r="L281" s="577">
        <f t="shared" si="179"/>
        <v>0.2354</v>
      </c>
      <c r="M281" s="576">
        <f t="shared" si="180"/>
        <v>16.5</v>
      </c>
      <c r="N281" s="576">
        <f t="shared" si="181"/>
        <v>264</v>
      </c>
      <c r="Q281" s="589">
        <f t="shared" si="182"/>
        <v>264</v>
      </c>
      <c r="S281" s="433"/>
    </row>
    <row r="282" spans="1:21" ht="25.5">
      <c r="A282" s="430">
        <v>268</v>
      </c>
      <c r="B282" s="590"/>
      <c r="C282" s="431" t="str">
        <f>+C281</f>
        <v>12.3</v>
      </c>
      <c r="D282" s="587">
        <f>1+D281</f>
        <v>2</v>
      </c>
      <c r="E282" s="572" t="str">
        <f t="shared" si="178"/>
        <v>12.3.2</v>
      </c>
      <c r="F282" s="579" t="s">
        <v>2239</v>
      </c>
      <c r="G282" s="581" t="s">
        <v>4875</v>
      </c>
      <c r="H282" s="750" t="str">
        <f>IF($G282="","",IFERROR(VLOOKUP($G282,SERVIÇOS!$C:$G,2,0),IFERROR(VLOOKUP($G282,CPU!$F:$M,2,0),"")))</f>
        <v>PLACA DE SINALIZAÇÃO TIPO E5/A5 - 150 MM - (SIMBOLOS, CORES E PICTOGRAMAS CONFORME NBR 13434)</v>
      </c>
      <c r="I282" s="578" t="str">
        <f>IF($G282="","",IFERROR(VLOOKUP($G282,SERVIÇOS!$C:$G,3,0),IFERROR(VLOOKUP($G282,CPU!$F:$M,3,0),"")))</f>
        <v>UN</v>
      </c>
      <c r="J282" s="576">
        <f>13+1</f>
        <v>14</v>
      </c>
      <c r="K282" s="576">
        <f>IF($G282="","",IFERROR(VLOOKUP($G282,SERVIÇOS!$C:$H,6,0),IFERROR(VLOOKUP($G282,CPU!$F:$M,8,0),"")))</f>
        <v>8.93</v>
      </c>
      <c r="L282" s="577">
        <f t="shared" si="179"/>
        <v>0.2354</v>
      </c>
      <c r="M282" s="576">
        <f t="shared" si="180"/>
        <v>11.03</v>
      </c>
      <c r="N282" s="576">
        <f t="shared" si="181"/>
        <v>154.41999999999999</v>
      </c>
      <c r="Q282" s="589">
        <f t="shared" si="182"/>
        <v>154.41999999999999</v>
      </c>
      <c r="S282" s="433"/>
    </row>
    <row r="283" spans="1:21" ht="25.5">
      <c r="A283" s="430">
        <v>268</v>
      </c>
      <c r="B283" s="590"/>
      <c r="C283" s="431" t="str">
        <f>+C282</f>
        <v>12.3</v>
      </c>
      <c r="D283" s="587">
        <f>1+D282</f>
        <v>3</v>
      </c>
      <c r="E283" s="572" t="str">
        <f t="shared" si="178"/>
        <v>12.3.3</v>
      </c>
      <c r="F283" s="579" t="s">
        <v>2239</v>
      </c>
      <c r="G283" s="581" t="s">
        <v>8876</v>
      </c>
      <c r="H283" s="750" t="str">
        <f>IF($G283="","",IFERROR(VLOOKUP($G283,SERVIÇOS!$C:$G,2,0),IFERROR(VLOOKUP($G283,CPU!$F:$M,2,0),"")))</f>
        <v>PLACA DE EMERGÊNCIA SINALIZAÇÃO DE ROTA DE SAÍDA TIPO C1 - (SIMBOLOS, CORES E PICTOGRAMAS CONFORME NBR 13434)</v>
      </c>
      <c r="I283" s="578" t="str">
        <f>IF($G283="","",IFERROR(VLOOKUP($G283,SERVIÇOS!$C:$G,3,0),IFERROR(VLOOKUP($G283,CPU!$F:$M,3,0),"")))</f>
        <v>UN</v>
      </c>
      <c r="J283" s="576">
        <v>6</v>
      </c>
      <c r="K283" s="576">
        <f>IF($G283="","",IFERROR(VLOOKUP($G283,SERVIÇOS!$C:$H,6,0),IFERROR(VLOOKUP($G283,CPU!$F:$M,8,0),"")))</f>
        <v>13.36</v>
      </c>
      <c r="L283" s="577">
        <f t="shared" si="179"/>
        <v>0.2354</v>
      </c>
      <c r="M283" s="576">
        <f t="shared" si="180"/>
        <v>16.5</v>
      </c>
      <c r="N283" s="576">
        <f t="shared" si="181"/>
        <v>99</v>
      </c>
      <c r="Q283" s="589">
        <f t="shared" si="182"/>
        <v>99</v>
      </c>
      <c r="S283" s="433"/>
    </row>
    <row r="284" spans="1:21" ht="25.5">
      <c r="A284" s="430">
        <v>268</v>
      </c>
      <c r="B284" s="590"/>
      <c r="C284" s="431" t="str">
        <f>+C283</f>
        <v>12.3</v>
      </c>
      <c r="D284" s="587">
        <f>1+D283</f>
        <v>4</v>
      </c>
      <c r="E284" s="572" t="str">
        <f t="shared" si="178"/>
        <v>12.3.4</v>
      </c>
      <c r="F284" s="579" t="s">
        <v>2239</v>
      </c>
      <c r="G284" s="581" t="s">
        <v>8879</v>
      </c>
      <c r="H284" s="750" t="str">
        <f>IF($G284="","",IFERROR(VLOOKUP($G284,SERVIÇOS!$C:$G,2,0),IFERROR(VLOOKUP($G284,CPU!$F:$M,2,0),"")))</f>
        <v>PLACA DE EMERGÊNCIA OBSTÁCULO TIPO O1 - (SIMBOLOS, CORES E PICTOGRAMAS CONFORME NBR 13434)</v>
      </c>
      <c r="I284" s="578" t="str">
        <f>IF($G284="","",IFERROR(VLOOKUP($G284,SERVIÇOS!$C:$G,3,0),IFERROR(VLOOKUP($G284,CPU!$F:$M,3,0),"")))</f>
        <v>UN</v>
      </c>
      <c r="J284" s="576">
        <v>12</v>
      </c>
      <c r="K284" s="576">
        <f>IF($G284="","",IFERROR(VLOOKUP($G284,SERVIÇOS!$C:$H,6,0),IFERROR(VLOOKUP($G284,CPU!$F:$M,8,0),"")))</f>
        <v>22.87</v>
      </c>
      <c r="L284" s="577">
        <f t="shared" si="179"/>
        <v>0.2354</v>
      </c>
      <c r="M284" s="576">
        <f t="shared" si="180"/>
        <v>28.25</v>
      </c>
      <c r="N284" s="576">
        <f t="shared" si="181"/>
        <v>339</v>
      </c>
      <c r="Q284" s="589">
        <f t="shared" si="182"/>
        <v>339</v>
      </c>
      <c r="S284" s="433"/>
    </row>
    <row r="285" spans="1:21">
      <c r="A285" s="430">
        <v>269</v>
      </c>
      <c r="B285" s="590"/>
      <c r="C285" s="431">
        <f>+E285</f>
        <v>13</v>
      </c>
      <c r="D285" s="587"/>
      <c r="E285" s="859">
        <v>13</v>
      </c>
      <c r="F285" s="860"/>
      <c r="G285" s="860"/>
      <c r="H285" s="861" t="s">
        <v>6989</v>
      </c>
      <c r="I285" s="862"/>
      <c r="J285" s="863"/>
      <c r="K285" s="866"/>
      <c r="L285" s="865"/>
      <c r="M285" s="864"/>
      <c r="N285" s="864">
        <f>SUM(N286:N372)</f>
        <v>264525.75000000006</v>
      </c>
      <c r="Q285" s="589"/>
      <c r="S285" s="433"/>
      <c r="T285" s="433">
        <v>59152.98</v>
      </c>
      <c r="U285" s="433">
        <v>74651.05</v>
      </c>
    </row>
    <row r="286" spans="1:21">
      <c r="A286" s="430">
        <v>270</v>
      </c>
      <c r="B286" s="590"/>
      <c r="C286" s="431" t="str">
        <f>+E286</f>
        <v>13.1</v>
      </c>
      <c r="D286" s="587"/>
      <c r="E286" s="568" t="s">
        <v>6926</v>
      </c>
      <c r="F286" s="569"/>
      <c r="G286" s="569"/>
      <c r="H286" s="749" t="s">
        <v>8930</v>
      </c>
      <c r="I286" s="570"/>
      <c r="J286" s="571"/>
      <c r="K286" s="571"/>
      <c r="L286" s="571"/>
      <c r="M286" s="571"/>
      <c r="N286" s="571"/>
      <c r="Q286" s="589"/>
      <c r="S286" s="433"/>
    </row>
    <row r="287" spans="1:21" ht="25.5">
      <c r="A287" s="430">
        <v>268</v>
      </c>
      <c r="B287" s="590"/>
      <c r="C287" s="431" t="str">
        <f>+C286</f>
        <v>13.1</v>
      </c>
      <c r="D287" s="587">
        <f>1+D286</f>
        <v>1</v>
      </c>
      <c r="E287" s="572" t="str">
        <f t="shared" ref="E287:E288" si="183">C287&amp;"."&amp;D287</f>
        <v>13.1.1</v>
      </c>
      <c r="F287" s="579" t="s">
        <v>2238</v>
      </c>
      <c r="G287" s="581">
        <v>91926</v>
      </c>
      <c r="H287" s="750" t="str">
        <f>IF($G287="","",IFERROR(VLOOKUP($G287,SERVIÇOS!$C:$G,2,0),IFERROR(VLOOKUP($G287,CPU!$F:$M,2,0),"")))</f>
        <v>CABO DE COBRE FLEXÍVEL ISOLADO, 2,5 MM², ANTI-CHAMA 450/750 V, PARA CIRCUITOS TERMINAIS - FORNECIMENTO E INSTALAÇÃO. AF_12/2015</v>
      </c>
      <c r="I287" s="578" t="str">
        <f>IF($G287="","",IFERROR(VLOOKUP($G287,SERVIÇOS!$C:$G,3,0),IFERROR(VLOOKUP($G287,CPU!$F:$M,3,0),"")))</f>
        <v>M</v>
      </c>
      <c r="J287" s="576">
        <v>3200</v>
      </c>
      <c r="K287" s="576">
        <f>IF($G287="","",IFERROR(VLOOKUP($G287,SERVIÇOS!$C:$H,6,0),IFERROR(VLOOKUP($G287,CPU!$F:$M,8,0),"")))</f>
        <v>4.2699999999999996</v>
      </c>
      <c r="L287" s="577">
        <f t="shared" ref="L287:L288" si="184">IF(J287&lt;&gt;"",$N$1,"")</f>
        <v>0.2354</v>
      </c>
      <c r="M287" s="576">
        <f t="shared" ref="M287:M288" si="185">IF(J287&lt;&gt;0,(ROUND(K287*(L287+1),2)),0)</f>
        <v>5.28</v>
      </c>
      <c r="N287" s="576">
        <f t="shared" ref="N287:N288" si="186">IF(J287="","",ROUND((J287*M287),2))</f>
        <v>16896</v>
      </c>
      <c r="Q287" s="589">
        <f t="shared" ref="Q287:Q288" si="187">N287</f>
        <v>16896</v>
      </c>
      <c r="S287" s="433"/>
    </row>
    <row r="288" spans="1:21" ht="25.5">
      <c r="A288" s="430">
        <v>268</v>
      </c>
      <c r="B288" s="590"/>
      <c r="C288" s="431" t="str">
        <f t="shared" ref="C288:C300" si="188">+C287</f>
        <v>13.1</v>
      </c>
      <c r="D288" s="587">
        <f t="shared" ref="D288:D300" si="189">1+D287</f>
        <v>2</v>
      </c>
      <c r="E288" s="572" t="str">
        <f t="shared" si="183"/>
        <v>13.1.2</v>
      </c>
      <c r="F288" s="579" t="s">
        <v>2238</v>
      </c>
      <c r="G288" s="581">
        <v>91926</v>
      </c>
      <c r="H288" s="750" t="str">
        <f>IF($G288="","",IFERROR(VLOOKUP($G288,SERVIÇOS!$C:$G,2,0),IFERROR(VLOOKUP($G288,CPU!$F:$M,2,0),"")))</f>
        <v>CABO DE COBRE FLEXÍVEL ISOLADO, 2,5 MM², ANTI-CHAMA 450/750 V, PARA CIRCUITOS TERMINAIS - FORNECIMENTO E INSTALAÇÃO. AF_12/2015</v>
      </c>
      <c r="I288" s="578" t="str">
        <f>IF($G288="","",IFERROR(VLOOKUP($G288,SERVIÇOS!$C:$G,3,0),IFERROR(VLOOKUP($G288,CPU!$F:$M,3,0),"")))</f>
        <v>M</v>
      </c>
      <c r="J288" s="576">
        <v>1900</v>
      </c>
      <c r="K288" s="576">
        <f>IF($G288="","",IFERROR(VLOOKUP($G288,SERVIÇOS!$C:$H,6,0),IFERROR(VLOOKUP($G288,CPU!$F:$M,8,0),"")))</f>
        <v>4.2699999999999996</v>
      </c>
      <c r="L288" s="577">
        <f t="shared" si="184"/>
        <v>0.2354</v>
      </c>
      <c r="M288" s="576">
        <f t="shared" si="185"/>
        <v>5.28</v>
      </c>
      <c r="N288" s="576">
        <f t="shared" si="186"/>
        <v>10032</v>
      </c>
      <c r="Q288" s="589">
        <f t="shared" si="187"/>
        <v>10032</v>
      </c>
      <c r="S288" s="433"/>
    </row>
    <row r="289" spans="1:19" ht="25.5">
      <c r="A289" s="430">
        <v>273</v>
      </c>
      <c r="B289" s="590"/>
      <c r="C289" s="431" t="str">
        <f t="shared" si="188"/>
        <v>13.1</v>
      </c>
      <c r="D289" s="587">
        <f t="shared" si="189"/>
        <v>3</v>
      </c>
      <c r="E289" s="572" t="str">
        <f>C289&amp;"."&amp;D289</f>
        <v>13.1.3</v>
      </c>
      <c r="F289" s="579" t="s">
        <v>2238</v>
      </c>
      <c r="G289" s="581">
        <v>91926</v>
      </c>
      <c r="H289" s="750" t="str">
        <f>IF($G289="","",IFERROR(VLOOKUP($G289,SERVIÇOS!$C:$G,2,0),IFERROR(VLOOKUP($G289,CPU!$F:$M,2,0),"")))</f>
        <v>CABO DE COBRE FLEXÍVEL ISOLADO, 2,5 MM², ANTI-CHAMA 450/750 V, PARA CIRCUITOS TERMINAIS - FORNECIMENTO E INSTALAÇÃO. AF_12/2015</v>
      </c>
      <c r="I289" s="578" t="str">
        <f>IF($G289="","",IFERROR(VLOOKUP($G289,SERVIÇOS!$C:$G,3,0),IFERROR(VLOOKUP($G289,CPU!$F:$M,3,0),"")))</f>
        <v>M</v>
      </c>
      <c r="J289" s="576">
        <v>1900</v>
      </c>
      <c r="K289" s="576">
        <f>IF($G289="","",IFERROR(VLOOKUP($G289,SERVIÇOS!$C:$H,6,0),IFERROR(VLOOKUP($G289,CPU!$F:$M,8,0),"")))</f>
        <v>4.2699999999999996</v>
      </c>
      <c r="L289" s="577">
        <f>IF(J289&lt;&gt;"",$N$1,"")</f>
        <v>0.2354</v>
      </c>
      <c r="M289" s="576">
        <f t="shared" ref="M289:M359" si="190">IF(J289&lt;&gt;0,(ROUND(K289*(L289+1),2)),0)</f>
        <v>5.28</v>
      </c>
      <c r="N289" s="576">
        <f t="shared" ref="N289:N359" si="191">IF(J289="","",ROUND((J289*M289),2))</f>
        <v>10032</v>
      </c>
      <c r="Q289" s="589">
        <f t="shared" ref="Q289:Q359" si="192">N289</f>
        <v>10032</v>
      </c>
      <c r="S289" s="433"/>
    </row>
    <row r="290" spans="1:19" ht="25.5">
      <c r="A290" s="430">
        <v>274</v>
      </c>
      <c r="B290" s="590"/>
      <c r="C290" s="431" t="str">
        <f t="shared" si="188"/>
        <v>13.1</v>
      </c>
      <c r="D290" s="587">
        <f t="shared" si="189"/>
        <v>4</v>
      </c>
      <c r="E290" s="572" t="str">
        <f>C290&amp;"."&amp;D290</f>
        <v>13.1.4</v>
      </c>
      <c r="F290" s="579" t="s">
        <v>2238</v>
      </c>
      <c r="G290" s="581">
        <v>91928</v>
      </c>
      <c r="H290" s="750" t="str">
        <f>IF($G290="","",IFERROR(VLOOKUP($G290,SERVIÇOS!$C:$G,2,0),IFERROR(VLOOKUP($G290,CPU!$F:$M,2,0),"")))</f>
        <v>CABO DE COBRE FLEXÍVEL ISOLADO, 4 MM², ANTI-CHAMA 450/750 V, PARA CIRCUITOS TERMINAIS - FORNECIMENTO E INSTALAÇÃO. AF_12/2015</v>
      </c>
      <c r="I290" s="578" t="str">
        <f>IF($G290="","",IFERROR(VLOOKUP($G290,SERVIÇOS!$C:$G,3,0),IFERROR(VLOOKUP($G290,CPU!$F:$M,3,0),"")))</f>
        <v>M</v>
      </c>
      <c r="J290" s="576">
        <v>3500</v>
      </c>
      <c r="K290" s="576">
        <f>IF($G290="","",IFERROR(VLOOKUP($G290,SERVIÇOS!$C:$H,6,0),IFERROR(VLOOKUP($G290,CPU!$F:$M,8,0),"")))</f>
        <v>6.84</v>
      </c>
      <c r="L290" s="577">
        <f>IF(J290&lt;&gt;"",$N$1,"")</f>
        <v>0.2354</v>
      </c>
      <c r="M290" s="576">
        <f t="shared" si="190"/>
        <v>8.4499999999999993</v>
      </c>
      <c r="N290" s="576">
        <f t="shared" si="191"/>
        <v>29575</v>
      </c>
      <c r="Q290" s="589">
        <f t="shared" si="192"/>
        <v>29575</v>
      </c>
      <c r="S290" s="433"/>
    </row>
    <row r="291" spans="1:19" ht="25.5">
      <c r="A291" s="430">
        <v>275</v>
      </c>
      <c r="B291" s="590"/>
      <c r="C291" s="431" t="str">
        <f t="shared" si="188"/>
        <v>13.1</v>
      </c>
      <c r="D291" s="587">
        <f t="shared" si="189"/>
        <v>5</v>
      </c>
      <c r="E291" s="572" t="str">
        <f t="shared" ref="E291:E334" si="193">C291&amp;"."&amp;D291</f>
        <v>13.1.5</v>
      </c>
      <c r="F291" s="579" t="s">
        <v>2238</v>
      </c>
      <c r="G291" s="581">
        <v>91928</v>
      </c>
      <c r="H291" s="750" t="str">
        <f>IF($G291="","",IFERROR(VLOOKUP($G291,SERVIÇOS!$C:$G,2,0),IFERROR(VLOOKUP($G291,CPU!$F:$M,2,0),"")))</f>
        <v>CABO DE COBRE FLEXÍVEL ISOLADO, 4 MM², ANTI-CHAMA 450/750 V, PARA CIRCUITOS TERMINAIS - FORNECIMENTO E INSTALAÇÃO. AF_12/2015</v>
      </c>
      <c r="I291" s="578" t="str">
        <f>IF($G291="","",IFERROR(VLOOKUP($G291,SERVIÇOS!$C:$G,3,0),IFERROR(VLOOKUP($G291,CPU!$F:$M,3,0),"")))</f>
        <v>M</v>
      </c>
      <c r="J291" s="576">
        <v>200</v>
      </c>
      <c r="K291" s="576">
        <f>IF($G291="","",IFERROR(VLOOKUP($G291,SERVIÇOS!$C:$H,6,0),IFERROR(VLOOKUP($G291,CPU!$F:$M,8,0),"")))</f>
        <v>6.84</v>
      </c>
      <c r="L291" s="577">
        <f t="shared" ref="L291:L359" si="194">IF(J291&lt;&gt;"",$N$1,"")</f>
        <v>0.2354</v>
      </c>
      <c r="M291" s="576">
        <f t="shared" si="190"/>
        <v>8.4499999999999993</v>
      </c>
      <c r="N291" s="576">
        <f t="shared" si="191"/>
        <v>1690</v>
      </c>
      <c r="Q291" s="589">
        <f t="shared" si="192"/>
        <v>1690</v>
      </c>
      <c r="S291" s="433"/>
    </row>
    <row r="292" spans="1:19" ht="25.5">
      <c r="A292" s="430">
        <v>276</v>
      </c>
      <c r="B292" s="590"/>
      <c r="C292" s="431" t="str">
        <f t="shared" si="188"/>
        <v>13.1</v>
      </c>
      <c r="D292" s="587">
        <f t="shared" si="189"/>
        <v>6</v>
      </c>
      <c r="E292" s="572" t="str">
        <f t="shared" si="193"/>
        <v>13.1.6</v>
      </c>
      <c r="F292" s="579" t="s">
        <v>2238</v>
      </c>
      <c r="G292" s="581">
        <v>91928</v>
      </c>
      <c r="H292" s="750" t="str">
        <f>IF($G292="","",IFERROR(VLOOKUP($G292,SERVIÇOS!$C:$G,2,0),IFERROR(VLOOKUP($G292,CPU!$F:$M,2,0),"")))</f>
        <v>CABO DE COBRE FLEXÍVEL ISOLADO, 4 MM², ANTI-CHAMA 450/750 V, PARA CIRCUITOS TERMINAIS - FORNECIMENTO E INSTALAÇÃO. AF_12/2015</v>
      </c>
      <c r="I292" s="578" t="str">
        <f>IF($G292="","",IFERROR(VLOOKUP($G292,SERVIÇOS!$C:$G,3,0),IFERROR(VLOOKUP($G292,CPU!$F:$M,3,0),"")))</f>
        <v>M</v>
      </c>
      <c r="J292" s="576">
        <v>1700</v>
      </c>
      <c r="K292" s="576">
        <f>IF($G292="","",IFERROR(VLOOKUP($G292,SERVIÇOS!$C:$H,6,0),IFERROR(VLOOKUP($G292,CPU!$F:$M,8,0),"")))</f>
        <v>6.84</v>
      </c>
      <c r="L292" s="577">
        <f t="shared" si="194"/>
        <v>0.2354</v>
      </c>
      <c r="M292" s="576">
        <f t="shared" si="190"/>
        <v>8.4499999999999993</v>
      </c>
      <c r="N292" s="576">
        <f t="shared" si="191"/>
        <v>14365</v>
      </c>
      <c r="Q292" s="589">
        <f t="shared" si="192"/>
        <v>14365</v>
      </c>
      <c r="S292" s="433"/>
    </row>
    <row r="293" spans="1:19" ht="25.5">
      <c r="A293" s="430">
        <v>277</v>
      </c>
      <c r="B293" s="590"/>
      <c r="C293" s="431" t="str">
        <f t="shared" si="188"/>
        <v>13.1</v>
      </c>
      <c r="D293" s="587">
        <f t="shared" si="189"/>
        <v>7</v>
      </c>
      <c r="E293" s="572" t="str">
        <f t="shared" si="193"/>
        <v>13.1.7</v>
      </c>
      <c r="F293" s="579" t="s">
        <v>2238</v>
      </c>
      <c r="G293" s="581">
        <v>91936</v>
      </c>
      <c r="H293" s="750" t="str">
        <f>IF($G293="","",IFERROR(VLOOKUP($G293,SERVIÇOS!$C:$G,2,0),IFERROR(VLOOKUP($G293,CPU!$F:$M,2,0),"")))</f>
        <v>CAIXA OCTOGONAL 4" X 4", PVC, INSTALADA EM LAJE - FORNECIMENTO E INSTALAÇÃO. AF_12/2015</v>
      </c>
      <c r="I293" s="578" t="str">
        <f>IF($G293="","",IFERROR(VLOOKUP($G293,SERVIÇOS!$C:$G,3,0),IFERROR(VLOOKUP($G293,CPU!$F:$M,3,0),"")))</f>
        <v>UN</v>
      </c>
      <c r="J293" s="576">
        <v>147</v>
      </c>
      <c r="K293" s="576">
        <f>IF($G293="","",IFERROR(VLOOKUP($G293,SERVIÇOS!$C:$H,6,0),IFERROR(VLOOKUP($G293,CPU!$F:$M,8,0),"")))</f>
        <v>17.05</v>
      </c>
      <c r="L293" s="577">
        <f t="shared" si="194"/>
        <v>0.2354</v>
      </c>
      <c r="M293" s="576">
        <f t="shared" si="190"/>
        <v>21.06</v>
      </c>
      <c r="N293" s="576">
        <f t="shared" si="191"/>
        <v>3095.82</v>
      </c>
      <c r="Q293" s="589">
        <f t="shared" si="192"/>
        <v>3095.82</v>
      </c>
      <c r="S293" s="433"/>
    </row>
    <row r="294" spans="1:19" ht="25.5">
      <c r="A294" s="430">
        <v>278</v>
      </c>
      <c r="B294" s="590"/>
      <c r="C294" s="431" t="str">
        <f t="shared" si="188"/>
        <v>13.1</v>
      </c>
      <c r="D294" s="587">
        <f t="shared" si="189"/>
        <v>8</v>
      </c>
      <c r="E294" s="572" t="str">
        <f t="shared" si="193"/>
        <v>13.1.8</v>
      </c>
      <c r="F294" s="579" t="s">
        <v>2238</v>
      </c>
      <c r="G294" s="581">
        <v>91940</v>
      </c>
      <c r="H294" s="750" t="str">
        <f>IF($G294="","",IFERROR(VLOOKUP($G294,SERVIÇOS!$C:$G,2,0),IFERROR(VLOOKUP($G294,CPU!$F:$M,2,0),"")))</f>
        <v>CAIXA RETANGULAR 4" X 2" MÉDIA (1,30 M DO PISO), PVC, INSTALADA EM PAREDE - FORNECIMENTO E INSTALAÇÃO. AF_12/2015</v>
      </c>
      <c r="I294" s="578" t="str">
        <f>IF($G294="","",IFERROR(VLOOKUP($G294,SERVIÇOS!$C:$G,3,0),IFERROR(VLOOKUP($G294,CPU!$F:$M,3,0),"")))</f>
        <v>UN</v>
      </c>
      <c r="J294" s="576">
        <v>215</v>
      </c>
      <c r="K294" s="576">
        <f>IF($G294="","",IFERROR(VLOOKUP($G294,SERVIÇOS!$C:$H,6,0),IFERROR(VLOOKUP($G294,CPU!$F:$M,8,0),"")))</f>
        <v>18.03</v>
      </c>
      <c r="L294" s="577">
        <f t="shared" si="194"/>
        <v>0.2354</v>
      </c>
      <c r="M294" s="576">
        <f t="shared" si="190"/>
        <v>22.27</v>
      </c>
      <c r="N294" s="576">
        <f t="shared" si="191"/>
        <v>4788.05</v>
      </c>
      <c r="Q294" s="589">
        <f t="shared" si="192"/>
        <v>4788.05</v>
      </c>
      <c r="S294" s="433"/>
    </row>
    <row r="295" spans="1:19" ht="25.5">
      <c r="A295" s="430">
        <v>279</v>
      </c>
      <c r="B295" s="590"/>
      <c r="C295" s="431" t="str">
        <f t="shared" si="188"/>
        <v>13.1</v>
      </c>
      <c r="D295" s="587">
        <f t="shared" si="189"/>
        <v>9</v>
      </c>
      <c r="E295" s="572" t="str">
        <f t="shared" si="193"/>
        <v>13.1.9</v>
      </c>
      <c r="F295" s="579" t="s">
        <v>2239</v>
      </c>
      <c r="G295" s="581" t="s">
        <v>8931</v>
      </c>
      <c r="H295" s="750" t="str">
        <f>IF($G295="","",IFERROR(VLOOKUP($G295,SERVIÇOS!$C:$G,2,0),IFERROR(VLOOKUP($G295,CPU!$F:$M,2,0),"")))</f>
        <v>ELETROCALHA PERFURADA EM AÇO GALVANIZADO, LARGURA 100 MM E ALTURA 50 MM, INCLUSIVE EMENDA E FIXAÇÃO - FORNECIMENTO E INSTALAÇÃO</v>
      </c>
      <c r="I295" s="578" t="str">
        <f>IF($G295="","",IFERROR(VLOOKUP($G295,SERVIÇOS!$C:$G,3,0),IFERROR(VLOOKUP($G295,CPU!$F:$M,3,0),"")))</f>
        <v>M</v>
      </c>
      <c r="J295" s="576">
        <v>78</v>
      </c>
      <c r="K295" s="576">
        <f>IF($G295="","",IFERROR(VLOOKUP($G295,SERVIÇOS!$C:$H,6,0),IFERROR(VLOOKUP($G295,CPU!$F:$M,8,0),"")))</f>
        <v>41.28</v>
      </c>
      <c r="L295" s="577">
        <f t="shared" si="194"/>
        <v>0.2354</v>
      </c>
      <c r="M295" s="576">
        <f t="shared" si="190"/>
        <v>51</v>
      </c>
      <c r="N295" s="576">
        <f t="shared" si="191"/>
        <v>3978</v>
      </c>
      <c r="Q295" s="589">
        <f t="shared" si="192"/>
        <v>3978</v>
      </c>
      <c r="S295" s="433"/>
    </row>
    <row r="296" spans="1:19">
      <c r="A296" s="430">
        <v>280</v>
      </c>
      <c r="B296" s="590"/>
      <c r="C296" s="431" t="str">
        <f t="shared" si="188"/>
        <v>13.1</v>
      </c>
      <c r="D296" s="587">
        <f t="shared" si="189"/>
        <v>10</v>
      </c>
      <c r="E296" s="572" t="str">
        <f t="shared" si="193"/>
        <v>13.1.10</v>
      </c>
      <c r="F296" s="579" t="s">
        <v>2239</v>
      </c>
      <c r="G296" s="581" t="s">
        <v>8934</v>
      </c>
      <c r="H296" s="750" t="str">
        <f>IF($G296="","",IFERROR(VLOOKUP($G296,SERVIÇOS!$C:$G,2,0),IFERROR(VLOOKUP($G296,CPU!$F:$M,2,0),"")))</f>
        <v>PERFILADO DE SEÇÃO 38X38 MM</v>
      </c>
      <c r="I296" s="578" t="str">
        <f>IF($G296="","",IFERROR(VLOOKUP($G296,SERVIÇOS!$C:$G,3,0),IFERROR(VLOOKUP($G296,CPU!$F:$M,3,0),"")))</f>
        <v>M</v>
      </c>
      <c r="J296" s="576">
        <v>132</v>
      </c>
      <c r="K296" s="576">
        <f>IF($G296="","",IFERROR(VLOOKUP($G296,SERVIÇOS!$C:$H,6,0),IFERROR(VLOOKUP($G296,CPU!$F:$M,8,0),"")))</f>
        <v>1.47</v>
      </c>
      <c r="L296" s="577">
        <f t="shared" si="194"/>
        <v>0.2354</v>
      </c>
      <c r="M296" s="576">
        <f t="shared" si="190"/>
        <v>1.82</v>
      </c>
      <c r="N296" s="576">
        <f t="shared" si="191"/>
        <v>240.24</v>
      </c>
      <c r="Q296" s="589">
        <f t="shared" si="192"/>
        <v>240.24</v>
      </c>
      <c r="S296" s="433"/>
    </row>
    <row r="297" spans="1:19" ht="25.5">
      <c r="A297" s="430">
        <v>281</v>
      </c>
      <c r="B297" s="590"/>
      <c r="C297" s="431" t="str">
        <f t="shared" si="188"/>
        <v>13.1</v>
      </c>
      <c r="D297" s="587">
        <f t="shared" si="189"/>
        <v>11</v>
      </c>
      <c r="E297" s="572" t="str">
        <f t="shared" si="193"/>
        <v>13.1.11</v>
      </c>
      <c r="F297" s="579" t="s">
        <v>2239</v>
      </c>
      <c r="G297" s="581" t="s">
        <v>6809</v>
      </c>
      <c r="H297" s="750" t="str">
        <f>IF($G297="","",IFERROR(VLOOKUP($G297,SERVIÇOS!$C:$G,2,0),IFERROR(VLOOKUP($G297,CPU!$F:$M,2,0),"")))</f>
        <v>CAIXA ENTERRADA ELÉTRICA RETANGULAR, EM CONCRETO PRÉ-MOLDADO, COM FUNDO COM BRITA, DIMENSÕES INTERNAS: 0,5X0,5X0,5 M</v>
      </c>
      <c r="I297" s="578" t="str">
        <f>IF($G297="","",IFERROR(VLOOKUP($G297,SERVIÇOS!$C:$G,3,0),IFERROR(VLOOKUP($G297,CPU!$F:$M,3,0),"")))</f>
        <v>UN</v>
      </c>
      <c r="J297" s="576">
        <v>5</v>
      </c>
      <c r="K297" s="576">
        <f>IF($G297="","",IFERROR(VLOOKUP($G297,SERVIÇOS!$C:$H,6,0),IFERROR(VLOOKUP($G297,CPU!$F:$M,8,0),"")))</f>
        <v>268.52000000000004</v>
      </c>
      <c r="L297" s="577">
        <f t="shared" si="194"/>
        <v>0.2354</v>
      </c>
      <c r="M297" s="576">
        <f t="shared" si="190"/>
        <v>331.73</v>
      </c>
      <c r="N297" s="576">
        <f t="shared" si="191"/>
        <v>1658.65</v>
      </c>
      <c r="Q297" s="589">
        <f t="shared" si="192"/>
        <v>1658.65</v>
      </c>
      <c r="S297" s="433"/>
    </row>
    <row r="298" spans="1:19" ht="25.5">
      <c r="A298" s="430">
        <v>282</v>
      </c>
      <c r="B298" s="590"/>
      <c r="C298" s="431" t="str">
        <f t="shared" si="188"/>
        <v>13.1</v>
      </c>
      <c r="D298" s="587">
        <f t="shared" si="189"/>
        <v>12</v>
      </c>
      <c r="E298" s="572" t="str">
        <f t="shared" si="193"/>
        <v>13.1.12</v>
      </c>
      <c r="F298" s="579" t="s">
        <v>2239</v>
      </c>
      <c r="G298" s="581" t="s">
        <v>6811</v>
      </c>
      <c r="H298" s="750" t="str">
        <f>IF($G298="","",IFERROR(VLOOKUP($G298,SERVIÇOS!$C:$G,2,0),IFERROR(VLOOKUP($G298,CPU!$F:$M,2,0),"")))</f>
        <v>ELETRODUTO DE PVC FLEXÍVEL CORRUGADO DN25MM (1") - FORNECIMENTO E INSTALAÇÃO</v>
      </c>
      <c r="I298" s="578" t="str">
        <f>IF($G298="","",IFERROR(VLOOKUP($G298,SERVIÇOS!$C:$G,3,0),IFERROR(VLOOKUP($G298,CPU!$F:$M,3,0),"")))</f>
        <v>M</v>
      </c>
      <c r="J298" s="576">
        <v>12</v>
      </c>
      <c r="K298" s="576">
        <f>IF($G298="","",IFERROR(VLOOKUP($G298,SERVIÇOS!$C:$H,6,0),IFERROR(VLOOKUP($G298,CPU!$F:$M,8,0),"")))</f>
        <v>11.6</v>
      </c>
      <c r="L298" s="577">
        <f t="shared" si="194"/>
        <v>0.2354</v>
      </c>
      <c r="M298" s="576">
        <f t="shared" si="190"/>
        <v>14.33</v>
      </c>
      <c r="N298" s="576">
        <f t="shared" si="191"/>
        <v>171.96</v>
      </c>
      <c r="Q298" s="589">
        <f t="shared" si="192"/>
        <v>171.96</v>
      </c>
      <c r="S298" s="433"/>
    </row>
    <row r="299" spans="1:19" ht="25.5">
      <c r="A299" s="430">
        <v>283</v>
      </c>
      <c r="B299" s="590"/>
      <c r="C299" s="431" t="str">
        <f t="shared" si="188"/>
        <v>13.1</v>
      </c>
      <c r="D299" s="587">
        <f t="shared" si="189"/>
        <v>13</v>
      </c>
      <c r="E299" s="572" t="str">
        <f t="shared" si="193"/>
        <v>13.1.13</v>
      </c>
      <c r="F299" s="579" t="s">
        <v>2238</v>
      </c>
      <c r="G299" s="581">
        <v>97667</v>
      </c>
      <c r="H299" s="750" t="str">
        <f>IF($G299="","",IFERROR(VLOOKUP($G299,SERVIÇOS!$C:$G,2,0),IFERROR(VLOOKUP($G299,CPU!$F:$M,2,0),"")))</f>
        <v>ELETRODUTO FLEXÍVEL CORRUGADO, PEAD, DN 50 (1 1/2"), PARA REDE ENTERRADA DE DISTRIBUIÇÃO DE ENERGIA ELÉTRICA - FORNECIMENTO E INSTALAÇÃO. AF_12/2021</v>
      </c>
      <c r="I299" s="578" t="str">
        <f>IF($G299="","",IFERROR(VLOOKUP($G299,SERVIÇOS!$C:$G,3,0),IFERROR(VLOOKUP($G299,CPU!$F:$M,3,0),"")))</f>
        <v>M</v>
      </c>
      <c r="J299" s="576">
        <v>3</v>
      </c>
      <c r="K299" s="576">
        <f>IF($G299="","",IFERROR(VLOOKUP($G299,SERVIÇOS!$C:$H,6,0),IFERROR(VLOOKUP($G299,CPU!$F:$M,8,0),"")))</f>
        <v>8.33</v>
      </c>
      <c r="L299" s="577">
        <f t="shared" si="194"/>
        <v>0.2354</v>
      </c>
      <c r="M299" s="576">
        <f t="shared" si="190"/>
        <v>10.29</v>
      </c>
      <c r="N299" s="576">
        <f t="shared" si="191"/>
        <v>30.87</v>
      </c>
      <c r="Q299" s="589">
        <f t="shared" si="192"/>
        <v>30.87</v>
      </c>
      <c r="S299" s="433"/>
    </row>
    <row r="300" spans="1:19" ht="25.5">
      <c r="A300" s="430">
        <v>284</v>
      </c>
      <c r="B300" s="590"/>
      <c r="C300" s="431" t="str">
        <f t="shared" si="188"/>
        <v>13.1</v>
      </c>
      <c r="D300" s="587">
        <f t="shared" si="189"/>
        <v>14</v>
      </c>
      <c r="E300" s="572" t="str">
        <f t="shared" si="193"/>
        <v>13.1.14</v>
      </c>
      <c r="F300" s="579" t="s">
        <v>2239</v>
      </c>
      <c r="G300" s="581" t="s">
        <v>6812</v>
      </c>
      <c r="H300" s="750" t="str">
        <f>IF($G300="","",IFERROR(VLOOKUP($G300,SERVIÇOS!$C:$G,2,0),IFERROR(VLOOKUP($G300,CPU!$F:$M,2,0),"")))</f>
        <v>ELETRODUTO DE PVC FLEXIVEL CORRUGADO DN32 MM (1 1/4") - FORNECIMENTO E INSTALAÇÃO</v>
      </c>
      <c r="I300" s="578" t="str">
        <f>IF($G300="","",IFERROR(VLOOKUP($G300,SERVIÇOS!$C:$G,3,0),IFERROR(VLOOKUP($G300,CPU!$F:$M,3,0),"")))</f>
        <v>M</v>
      </c>
      <c r="J300" s="576">
        <v>25</v>
      </c>
      <c r="K300" s="576">
        <f>IF($G300="","",IFERROR(VLOOKUP($G300,SERVIÇOS!$C:$H,6,0),IFERROR(VLOOKUP($G300,CPU!$F:$M,8,0),"")))</f>
        <v>16.669999999999998</v>
      </c>
      <c r="L300" s="577">
        <f t="shared" si="194"/>
        <v>0.2354</v>
      </c>
      <c r="M300" s="576">
        <f t="shared" si="190"/>
        <v>20.59</v>
      </c>
      <c r="N300" s="576">
        <f t="shared" si="191"/>
        <v>514.75</v>
      </c>
      <c r="Q300" s="589">
        <f t="shared" si="192"/>
        <v>514.75</v>
      </c>
      <c r="S300" s="433"/>
    </row>
    <row r="301" spans="1:19" ht="25.5">
      <c r="A301" s="430">
        <v>285</v>
      </c>
      <c r="B301" s="590"/>
      <c r="C301" s="431" t="str">
        <f t="shared" ref="C301:C316" si="195">+C300</f>
        <v>13.1</v>
      </c>
      <c r="D301" s="587">
        <f t="shared" ref="D301:D316" si="196">1+D300</f>
        <v>15</v>
      </c>
      <c r="E301" s="572" t="str">
        <f t="shared" si="193"/>
        <v>13.1.15</v>
      </c>
      <c r="F301" s="579" t="s">
        <v>2238</v>
      </c>
      <c r="G301" s="581">
        <v>97668</v>
      </c>
      <c r="H301" s="750" t="str">
        <f>IF($G301="","",IFERROR(VLOOKUP($G301,SERVIÇOS!$C:$G,2,0),IFERROR(VLOOKUP($G301,CPU!$F:$M,2,0),"")))</f>
        <v>ELETRODUTO FLEXÍVEL CORRUGADO, PEAD, DN 63 (2"), PARA REDE ENTERRADA DE DISTRIBUIÇÃO DE ENERGIA ELÉTRICA - FORNECIMENTO E INSTALAÇÃO. AF_12/2021</v>
      </c>
      <c r="I301" s="578" t="str">
        <f>IF($G301="","",IFERROR(VLOOKUP($G301,SERVIÇOS!$C:$G,3,0),IFERROR(VLOOKUP($G301,CPU!$F:$M,3,0),"")))</f>
        <v>M</v>
      </c>
      <c r="J301" s="576">
        <v>25</v>
      </c>
      <c r="K301" s="576">
        <f>IF($G301="","",IFERROR(VLOOKUP($G301,SERVIÇOS!$C:$H,6,0),IFERROR(VLOOKUP($G301,CPU!$F:$M,8,0),"")))</f>
        <v>11.85</v>
      </c>
      <c r="L301" s="577">
        <f t="shared" si="194"/>
        <v>0.2354</v>
      </c>
      <c r="M301" s="576">
        <f t="shared" si="190"/>
        <v>14.64</v>
      </c>
      <c r="N301" s="576">
        <f t="shared" si="191"/>
        <v>366</v>
      </c>
      <c r="Q301" s="589">
        <f t="shared" si="192"/>
        <v>366</v>
      </c>
      <c r="S301" s="433"/>
    </row>
    <row r="302" spans="1:19" ht="25.5">
      <c r="A302" s="430">
        <v>286</v>
      </c>
      <c r="B302" s="590"/>
      <c r="C302" s="431" t="str">
        <f t="shared" si="195"/>
        <v>13.1</v>
      </c>
      <c r="D302" s="587">
        <f t="shared" si="196"/>
        <v>16</v>
      </c>
      <c r="E302" s="572" t="str">
        <f t="shared" si="193"/>
        <v>13.1.16</v>
      </c>
      <c r="F302" s="579" t="s">
        <v>2239</v>
      </c>
      <c r="G302" s="581" t="s">
        <v>6810</v>
      </c>
      <c r="H302" s="750" t="str">
        <f>IF($G302="","",IFERROR(VLOOKUP($G302,SERVIÇOS!$C:$G,2,0),IFERROR(VLOOKUP($G302,CPU!$F:$M,2,0),"")))</f>
        <v>ELETRODUTO DE PVC FLEXÍVEL CORRUGADO DN20MM (3/4") - FORNECIMENTO E INSTALAÇÃO</v>
      </c>
      <c r="I302" s="578" t="str">
        <f>IF($G302="","",IFERROR(VLOOKUP($G302,SERVIÇOS!$C:$G,3,0),IFERROR(VLOOKUP($G302,CPU!$F:$M,3,0),"")))</f>
        <v>M</v>
      </c>
      <c r="J302" s="576">
        <v>791</v>
      </c>
      <c r="K302" s="576">
        <f>IF($G302="","",IFERROR(VLOOKUP($G302,SERVIÇOS!$C:$H,6,0),IFERROR(VLOOKUP($G302,CPU!$F:$M,8,0),"")))</f>
        <v>9.6499999999999986</v>
      </c>
      <c r="L302" s="577">
        <f t="shared" si="194"/>
        <v>0.2354</v>
      </c>
      <c r="M302" s="576">
        <f t="shared" si="190"/>
        <v>11.92</v>
      </c>
      <c r="N302" s="576">
        <f t="shared" si="191"/>
        <v>9428.7199999999993</v>
      </c>
      <c r="Q302" s="589">
        <f t="shared" si="192"/>
        <v>9428.7199999999993</v>
      </c>
      <c r="S302" s="433"/>
    </row>
    <row r="303" spans="1:19" ht="25.5">
      <c r="A303" s="430">
        <v>287</v>
      </c>
      <c r="B303" s="590"/>
      <c r="C303" s="431" t="str">
        <f t="shared" si="195"/>
        <v>13.1</v>
      </c>
      <c r="D303" s="587">
        <f t="shared" si="196"/>
        <v>17</v>
      </c>
      <c r="E303" s="572" t="str">
        <f>C303&amp;"."&amp;D303</f>
        <v>13.1.17</v>
      </c>
      <c r="F303" s="579" t="s">
        <v>2238</v>
      </c>
      <c r="G303" s="581">
        <v>97599</v>
      </c>
      <c r="H303" s="750" t="str">
        <f>IF($G303="","",IFERROR(VLOOKUP($G303,SERVIÇOS!$C:$G,2,0),IFERROR(VLOOKUP($G303,CPU!$F:$M,2,0),"")))</f>
        <v>LUMINÁRIA DE EMERGÊNCIA, COM 30 LÂMPADAS LED DE 2 W, SEM REATOR - FORNECIMENTO E INSTALAÇÃO. AF_02/2020</v>
      </c>
      <c r="I303" s="578" t="str">
        <f>IF($G303="","",IFERROR(VLOOKUP($G303,SERVIÇOS!$C:$G,3,0),IFERROR(VLOOKUP($G303,CPU!$F:$M,3,0),"")))</f>
        <v>UN</v>
      </c>
      <c r="J303" s="576">
        <v>22</v>
      </c>
      <c r="K303" s="576">
        <f>IF($G303="","",IFERROR(VLOOKUP($G303,SERVIÇOS!$C:$H,6,0),IFERROR(VLOOKUP($G303,CPU!$F:$M,8,0),"")))</f>
        <v>27.87</v>
      </c>
      <c r="L303" s="577">
        <f>IF(J303&lt;&gt;"",$N$1,"")</f>
        <v>0.2354</v>
      </c>
      <c r="M303" s="576">
        <f t="shared" si="190"/>
        <v>34.43</v>
      </c>
      <c r="N303" s="576">
        <f t="shared" si="191"/>
        <v>757.46</v>
      </c>
      <c r="Q303" s="589">
        <f t="shared" si="192"/>
        <v>757.46</v>
      </c>
      <c r="S303" s="433"/>
    </row>
    <row r="304" spans="1:19" ht="25.5">
      <c r="A304" s="430">
        <v>288</v>
      </c>
      <c r="B304" s="590"/>
      <c r="C304" s="431" t="str">
        <f t="shared" si="195"/>
        <v>13.1</v>
      </c>
      <c r="D304" s="587">
        <f t="shared" si="196"/>
        <v>18</v>
      </c>
      <c r="E304" s="572" t="str">
        <f t="shared" si="193"/>
        <v>13.1.18</v>
      </c>
      <c r="F304" s="579" t="s">
        <v>2238</v>
      </c>
      <c r="G304" s="581">
        <v>91954</v>
      </c>
      <c r="H304" s="750" t="str">
        <f>IF($G304="","",IFERROR(VLOOKUP($G304,SERVIÇOS!$C:$G,2,0),IFERROR(VLOOKUP($G304,CPU!$F:$M,2,0),"")))</f>
        <v>INTERRUPTOR PARALELO (1 MÓDULO), 10A/250V, SEM SUPORTE E SEM PLACA - FORNECIMENTO E INSTALAÇÃO. AF_12/2015</v>
      </c>
      <c r="I304" s="578" t="str">
        <f>IF($G304="","",IFERROR(VLOOKUP($G304,SERVIÇOS!$C:$G,3,0),IFERROR(VLOOKUP($G304,CPU!$F:$M,3,0),"")))</f>
        <v>UN</v>
      </c>
      <c r="J304" s="576">
        <v>8</v>
      </c>
      <c r="K304" s="576">
        <f>IF($G304="","",IFERROR(VLOOKUP($G304,SERVIÇOS!$C:$H,6,0),IFERROR(VLOOKUP($G304,CPU!$F:$M,8,0),"")))</f>
        <v>28.65</v>
      </c>
      <c r="L304" s="577">
        <f t="shared" si="194"/>
        <v>0.2354</v>
      </c>
      <c r="M304" s="576">
        <f t="shared" si="190"/>
        <v>35.39</v>
      </c>
      <c r="N304" s="576">
        <f t="shared" si="191"/>
        <v>283.12</v>
      </c>
      <c r="Q304" s="589">
        <f t="shared" si="192"/>
        <v>283.12</v>
      </c>
      <c r="S304" s="433"/>
    </row>
    <row r="305" spans="1:19" ht="12" customHeight="1">
      <c r="A305" s="430">
        <v>289</v>
      </c>
      <c r="B305" s="590"/>
      <c r="C305" s="431" t="str">
        <f t="shared" si="195"/>
        <v>13.1</v>
      </c>
      <c r="D305" s="587">
        <f t="shared" si="196"/>
        <v>19</v>
      </c>
      <c r="E305" s="572" t="str">
        <f t="shared" si="193"/>
        <v>13.1.19</v>
      </c>
      <c r="F305" s="579" t="s">
        <v>2238</v>
      </c>
      <c r="G305" s="581">
        <v>91952</v>
      </c>
      <c r="H305" s="750" t="str">
        <f>IF($G305="","",IFERROR(VLOOKUP($G305,SERVIÇOS!$C:$G,2,0),IFERROR(VLOOKUP($G305,CPU!$F:$M,2,0),"")))</f>
        <v>INTERRUPTOR SIMPLES (1 MÓDULO), 10A/250V, SEM SUPORTE E SEM PLACA - FORNECIMENTO E INSTALAÇÃO. AF_12/2015</v>
      </c>
      <c r="I305" s="578" t="str">
        <f>IF($G305="","",IFERROR(VLOOKUP($G305,SERVIÇOS!$C:$G,3,0),IFERROR(VLOOKUP($G305,CPU!$F:$M,3,0),"")))</f>
        <v>UN</v>
      </c>
      <c r="J305" s="576">
        <v>36</v>
      </c>
      <c r="K305" s="576">
        <f>IF($G305="","",IFERROR(VLOOKUP($G305,SERVIÇOS!$C:$H,6,0),IFERROR(VLOOKUP($G305,CPU!$F:$M,8,0),"")))</f>
        <v>21.34</v>
      </c>
      <c r="L305" s="577">
        <f t="shared" si="194"/>
        <v>0.2354</v>
      </c>
      <c r="M305" s="576">
        <f t="shared" si="190"/>
        <v>26.36</v>
      </c>
      <c r="N305" s="576">
        <f t="shared" si="191"/>
        <v>948.96</v>
      </c>
      <c r="Q305" s="589">
        <f t="shared" si="192"/>
        <v>948.96</v>
      </c>
      <c r="S305" s="433"/>
    </row>
    <row r="306" spans="1:19" ht="25.5">
      <c r="A306" s="430">
        <v>290</v>
      </c>
      <c r="B306" s="590"/>
      <c r="C306" s="431" t="str">
        <f t="shared" si="195"/>
        <v>13.1</v>
      </c>
      <c r="D306" s="587">
        <f t="shared" si="196"/>
        <v>20</v>
      </c>
      <c r="E306" s="572" t="str">
        <f t="shared" si="193"/>
        <v>13.1.20</v>
      </c>
      <c r="F306" s="579" t="s">
        <v>2238</v>
      </c>
      <c r="G306" s="581">
        <v>91946</v>
      </c>
      <c r="H306" s="750" t="str">
        <f>IF($G306="","",IFERROR(VLOOKUP($G306,SERVIÇOS!$C:$G,2,0),IFERROR(VLOOKUP($G306,CPU!$F:$M,2,0),"")))</f>
        <v>SUPORTE PARAFUSADO COM PLACA DE ENCAIXE 4" X 2" MÉDIO (1,30 M DO PISO) PARA PONTO ELÉTRICO - FORNECIMENTO E INSTALAÇÃO. AF_12/2015</v>
      </c>
      <c r="I306" s="578" t="str">
        <f>IF($G306="","",IFERROR(VLOOKUP($G306,SERVIÇOS!$C:$G,3,0),IFERROR(VLOOKUP($G306,CPU!$F:$M,3,0),"")))</f>
        <v>UN</v>
      </c>
      <c r="J306" s="576">
        <v>3</v>
      </c>
      <c r="K306" s="576">
        <f>IF($G306="","",IFERROR(VLOOKUP($G306,SERVIÇOS!$C:$H,6,0),IFERROR(VLOOKUP($G306,CPU!$F:$M,8,0),"")))</f>
        <v>9.39</v>
      </c>
      <c r="L306" s="577">
        <f t="shared" si="194"/>
        <v>0.2354</v>
      </c>
      <c r="M306" s="576">
        <f t="shared" si="190"/>
        <v>11.6</v>
      </c>
      <c r="N306" s="576">
        <f t="shared" si="191"/>
        <v>34.799999999999997</v>
      </c>
      <c r="Q306" s="589">
        <f t="shared" si="192"/>
        <v>34.799999999999997</v>
      </c>
      <c r="S306" s="433"/>
    </row>
    <row r="307" spans="1:19" ht="25.5">
      <c r="A307" s="430">
        <v>291</v>
      </c>
      <c r="B307" s="590"/>
      <c r="C307" s="431" t="str">
        <f t="shared" si="195"/>
        <v>13.1</v>
      </c>
      <c r="D307" s="587">
        <f t="shared" si="196"/>
        <v>21</v>
      </c>
      <c r="E307" s="572" t="str">
        <f t="shared" si="193"/>
        <v>13.1.21</v>
      </c>
      <c r="F307" s="579" t="s">
        <v>2238</v>
      </c>
      <c r="G307" s="581">
        <v>91946</v>
      </c>
      <c r="H307" s="750" t="str">
        <f>IF($G307="","",IFERROR(VLOOKUP($G307,SERVIÇOS!$C:$G,2,0),IFERROR(VLOOKUP($G307,CPU!$F:$M,2,0),"")))</f>
        <v>SUPORTE PARAFUSADO COM PLACA DE ENCAIXE 4" X 2" MÉDIO (1,30 M DO PISO) PARA PONTO ELÉTRICO - FORNECIMENTO E INSTALAÇÃO. AF_12/2015</v>
      </c>
      <c r="I307" s="578" t="str">
        <f>IF($G307="","",IFERROR(VLOOKUP($G307,SERVIÇOS!$C:$G,3,0),IFERROR(VLOOKUP($G307,CPU!$F:$M,3,0),"")))</f>
        <v>UN</v>
      </c>
      <c r="J307" s="576">
        <v>2</v>
      </c>
      <c r="K307" s="576">
        <f>IF($G307="","",IFERROR(VLOOKUP($G307,SERVIÇOS!$C:$H,6,0),IFERROR(VLOOKUP($G307,CPU!$F:$M,8,0),"")))</f>
        <v>9.39</v>
      </c>
      <c r="L307" s="577">
        <f t="shared" si="194"/>
        <v>0.2354</v>
      </c>
      <c r="M307" s="576">
        <f t="shared" si="190"/>
        <v>11.6</v>
      </c>
      <c r="N307" s="576">
        <f t="shared" si="191"/>
        <v>23.2</v>
      </c>
      <c r="Q307" s="589">
        <f t="shared" si="192"/>
        <v>23.2</v>
      </c>
      <c r="S307" s="433"/>
    </row>
    <row r="308" spans="1:19" ht="25.5">
      <c r="A308" s="430">
        <v>292</v>
      </c>
      <c r="B308" s="590"/>
      <c r="C308" s="431" t="str">
        <f t="shared" si="195"/>
        <v>13.1</v>
      </c>
      <c r="D308" s="587">
        <f t="shared" si="196"/>
        <v>22</v>
      </c>
      <c r="E308" s="572" t="str">
        <f t="shared" si="193"/>
        <v>13.1.22</v>
      </c>
      <c r="F308" s="579" t="s">
        <v>2238</v>
      </c>
      <c r="G308" s="581">
        <v>91946</v>
      </c>
      <c r="H308" s="750" t="str">
        <f>IF($G308="","",IFERROR(VLOOKUP($G308,SERVIÇOS!$C:$G,2,0),IFERROR(VLOOKUP($G308,CPU!$F:$M,2,0),"")))</f>
        <v>SUPORTE PARAFUSADO COM PLACA DE ENCAIXE 4" X 2" MÉDIO (1,30 M DO PISO) PARA PONTO ELÉTRICO - FORNECIMENTO E INSTALAÇÃO. AF_12/2015</v>
      </c>
      <c r="I308" s="578" t="str">
        <f>IF($G308="","",IFERROR(VLOOKUP($G308,SERVIÇOS!$C:$G,3,0),IFERROR(VLOOKUP($G308,CPU!$F:$M,3,0),"")))</f>
        <v>UN</v>
      </c>
      <c r="J308" s="576">
        <v>56</v>
      </c>
      <c r="K308" s="576">
        <f>IF($G308="","",IFERROR(VLOOKUP($G308,SERVIÇOS!$C:$H,6,0),IFERROR(VLOOKUP($G308,CPU!$F:$M,8,0),"")))</f>
        <v>9.39</v>
      </c>
      <c r="L308" s="577">
        <f t="shared" si="194"/>
        <v>0.2354</v>
      </c>
      <c r="M308" s="576">
        <f t="shared" si="190"/>
        <v>11.6</v>
      </c>
      <c r="N308" s="576">
        <f t="shared" si="191"/>
        <v>649.6</v>
      </c>
      <c r="Q308" s="589">
        <f t="shared" si="192"/>
        <v>649.6</v>
      </c>
      <c r="S308" s="433"/>
    </row>
    <row r="309" spans="1:19" ht="25.5">
      <c r="A309" s="430">
        <v>293</v>
      </c>
      <c r="B309" s="590"/>
      <c r="C309" s="431" t="str">
        <f t="shared" si="195"/>
        <v>13.1</v>
      </c>
      <c r="D309" s="587">
        <f t="shared" si="196"/>
        <v>23</v>
      </c>
      <c r="E309" s="572" t="str">
        <f t="shared" si="193"/>
        <v>13.1.23</v>
      </c>
      <c r="F309" s="579" t="s">
        <v>2238</v>
      </c>
      <c r="G309" s="581">
        <v>91946</v>
      </c>
      <c r="H309" s="750" t="str">
        <f>IF($G309="","",IFERROR(VLOOKUP($G309,SERVIÇOS!$C:$G,2,0),IFERROR(VLOOKUP($G309,CPU!$F:$M,2,0),"")))</f>
        <v>SUPORTE PARAFUSADO COM PLACA DE ENCAIXE 4" X 2" MÉDIO (1,30 M DO PISO) PARA PONTO ELÉTRICO - FORNECIMENTO E INSTALAÇÃO. AF_12/2015</v>
      </c>
      <c r="I309" s="578" t="str">
        <f>IF($G309="","",IFERROR(VLOOKUP($G309,SERVIÇOS!$C:$G,3,0),IFERROR(VLOOKUP($G309,CPU!$F:$M,3,0),"")))</f>
        <v>UN</v>
      </c>
      <c r="J309" s="576">
        <v>45</v>
      </c>
      <c r="K309" s="576">
        <f>IF($G309="","",IFERROR(VLOOKUP($G309,SERVIÇOS!$C:$H,6,0),IFERROR(VLOOKUP($G309,CPU!$F:$M,8,0),"")))</f>
        <v>9.39</v>
      </c>
      <c r="L309" s="577">
        <f t="shared" si="194"/>
        <v>0.2354</v>
      </c>
      <c r="M309" s="576">
        <f t="shared" si="190"/>
        <v>11.6</v>
      </c>
      <c r="N309" s="576">
        <f t="shared" si="191"/>
        <v>522</v>
      </c>
      <c r="Q309" s="589">
        <f t="shared" si="192"/>
        <v>522</v>
      </c>
      <c r="S309" s="433"/>
    </row>
    <row r="310" spans="1:19" ht="25.5">
      <c r="A310" s="430">
        <v>294</v>
      </c>
      <c r="B310" s="590"/>
      <c r="C310" s="431" t="str">
        <f t="shared" si="195"/>
        <v>13.1</v>
      </c>
      <c r="D310" s="587">
        <f t="shared" si="196"/>
        <v>24</v>
      </c>
      <c r="E310" s="572" t="str">
        <f t="shared" si="193"/>
        <v>13.1.24</v>
      </c>
      <c r="F310" s="579" t="s">
        <v>2238</v>
      </c>
      <c r="G310" s="581">
        <v>91946</v>
      </c>
      <c r="H310" s="750" t="str">
        <f>IF($G310="","",IFERROR(VLOOKUP($G310,SERVIÇOS!$C:$G,2,0),IFERROR(VLOOKUP($G310,CPU!$F:$M,2,0),"")))</f>
        <v>SUPORTE PARAFUSADO COM PLACA DE ENCAIXE 4" X 2" MÉDIO (1,30 M DO PISO) PARA PONTO ELÉTRICO - FORNECIMENTO E INSTALAÇÃO. AF_12/2015</v>
      </c>
      <c r="I310" s="578" t="str">
        <f>IF($G310="","",IFERROR(VLOOKUP($G310,SERVIÇOS!$C:$G,3,0),IFERROR(VLOOKUP($G310,CPU!$F:$M,3,0),"")))</f>
        <v>UN</v>
      </c>
      <c r="J310" s="576">
        <v>37</v>
      </c>
      <c r="K310" s="576">
        <f>IF($G310="","",IFERROR(VLOOKUP($G310,SERVIÇOS!$C:$H,6,0),IFERROR(VLOOKUP($G310,CPU!$F:$M,8,0),"")))</f>
        <v>9.39</v>
      </c>
      <c r="L310" s="577">
        <f t="shared" si="194"/>
        <v>0.2354</v>
      </c>
      <c r="M310" s="576">
        <f t="shared" si="190"/>
        <v>11.6</v>
      </c>
      <c r="N310" s="576">
        <f t="shared" si="191"/>
        <v>429.2</v>
      </c>
      <c r="Q310" s="589">
        <f t="shared" si="192"/>
        <v>429.2</v>
      </c>
      <c r="S310" s="433"/>
    </row>
    <row r="311" spans="1:19" ht="25.5">
      <c r="A311" s="430">
        <v>295</v>
      </c>
      <c r="B311" s="590"/>
      <c r="C311" s="431" t="str">
        <f t="shared" si="195"/>
        <v>13.1</v>
      </c>
      <c r="D311" s="587">
        <f t="shared" si="196"/>
        <v>25</v>
      </c>
      <c r="E311" s="572" t="str">
        <f t="shared" si="193"/>
        <v>13.1.25</v>
      </c>
      <c r="F311" s="579" t="s">
        <v>2238</v>
      </c>
      <c r="G311" s="581">
        <v>91990</v>
      </c>
      <c r="H311" s="750" t="str">
        <f>IF($G311="","",IFERROR(VLOOKUP($G311,SERVIÇOS!$C:$G,2,0),IFERROR(VLOOKUP($G311,CPU!$F:$M,2,0),"")))</f>
        <v>TOMADA ALTA DE EMBUTIR (1 MÓDULO), 2P+T 10 A, SEM SUPORTE E SEM PLACA - FORNECIMENTO E INSTALAÇÃO. AF_12/2015</v>
      </c>
      <c r="I311" s="578" t="str">
        <f>IF($G311="","",IFERROR(VLOOKUP($G311,SERVIÇOS!$C:$G,3,0),IFERROR(VLOOKUP($G311,CPU!$F:$M,3,0),"")))</f>
        <v>UN</v>
      </c>
      <c r="J311" s="576">
        <v>146</v>
      </c>
      <c r="K311" s="576">
        <f>IF($G311="","",IFERROR(VLOOKUP($G311,SERVIÇOS!$C:$H,6,0),IFERROR(VLOOKUP($G311,CPU!$F:$M,8,0),"")))</f>
        <v>37.93</v>
      </c>
      <c r="L311" s="577">
        <f t="shared" si="194"/>
        <v>0.2354</v>
      </c>
      <c r="M311" s="576">
        <f t="shared" si="190"/>
        <v>46.86</v>
      </c>
      <c r="N311" s="576">
        <f t="shared" si="191"/>
        <v>6841.56</v>
      </c>
      <c r="Q311" s="589">
        <f t="shared" si="192"/>
        <v>6841.56</v>
      </c>
      <c r="S311" s="433"/>
    </row>
    <row r="312" spans="1:19">
      <c r="A312" s="430">
        <v>297</v>
      </c>
      <c r="B312" s="590"/>
      <c r="C312" s="431" t="e">
        <f>+#REF!</f>
        <v>#REF!</v>
      </c>
      <c r="D312" s="587" t="e">
        <f>1+#REF!</f>
        <v>#REF!</v>
      </c>
      <c r="E312" s="572" t="e">
        <f t="shared" si="193"/>
        <v>#REF!</v>
      </c>
      <c r="F312" s="579" t="s">
        <v>2239</v>
      </c>
      <c r="G312" s="581" t="s">
        <v>9010</v>
      </c>
      <c r="H312" s="750" t="str">
        <f>IF($G312="","",IFERROR(VLOOKUP($G312,SERVIÇOS!$C:$G,2,0),IFERROR(VLOOKUP($G312,CPU!$F:$M,2,0),"")))</f>
        <v xml:space="preserve">LUMINÁRIA IP65 SOLO PAR 38 D.17,5cm E LÂMPADA LED PAR 38 IP 65 14W E27 2700K </v>
      </c>
      <c r="I312" s="578" t="str">
        <f>IF($G312="","",IFERROR(VLOOKUP($G312,SERVIÇOS!$C:$G,3,0),IFERROR(VLOOKUP($G312,CPU!$F:$M,3,0),"")))</f>
        <v>M</v>
      </c>
      <c r="J312" s="576">
        <v>6</v>
      </c>
      <c r="K312" s="576">
        <f>IF($G312="","",IFERROR(VLOOKUP($G312,SERVIÇOS!$C:$H,6,0),IFERROR(VLOOKUP($G312,CPU!$F:$M,8,0),"")))</f>
        <v>290.75</v>
      </c>
      <c r="L312" s="577">
        <f t="shared" si="194"/>
        <v>0.2354</v>
      </c>
      <c r="M312" s="576">
        <f t="shared" si="190"/>
        <v>359.19</v>
      </c>
      <c r="N312" s="576">
        <f t="shared" si="191"/>
        <v>2155.14</v>
      </c>
      <c r="Q312" s="589">
        <f t="shared" si="192"/>
        <v>2155.14</v>
      </c>
      <c r="S312" s="433"/>
    </row>
    <row r="313" spans="1:19">
      <c r="A313" s="430">
        <v>298</v>
      </c>
      <c r="B313" s="590"/>
      <c r="C313" s="431" t="e">
        <f t="shared" si="195"/>
        <v>#REF!</v>
      </c>
      <c r="D313" s="587" t="e">
        <f t="shared" si="196"/>
        <v>#REF!</v>
      </c>
      <c r="E313" s="572" t="e">
        <f t="shared" si="193"/>
        <v>#REF!</v>
      </c>
      <c r="F313" s="579" t="s">
        <v>2239</v>
      </c>
      <c r="G313" s="581" t="s">
        <v>9013</v>
      </c>
      <c r="H313" s="750" t="str">
        <f>IF($G313="","",IFERROR(VLOOKUP($G313,SERVIÇOS!$C:$G,2,0),IFERROR(VLOOKUP($G313,CPU!$F:$M,2,0),"")))</f>
        <v>LUMINÁRIA TIPO PAR 20</v>
      </c>
      <c r="I313" s="578" t="str">
        <f>IF($G313="","",IFERROR(VLOOKUP($G313,SERVIÇOS!$C:$G,3,0),IFERROR(VLOOKUP($G313,CPU!$F:$M,3,0),"")))</f>
        <v>UN</v>
      </c>
      <c r="J313" s="576">
        <v>16</v>
      </c>
      <c r="K313" s="576">
        <f>IF($G313="","",IFERROR(VLOOKUP($G313,SERVIÇOS!$C:$H,6,0),IFERROR(VLOOKUP($G313,CPU!$F:$M,8,0),"")))</f>
        <v>114.18</v>
      </c>
      <c r="L313" s="577">
        <f t="shared" si="194"/>
        <v>0.2354</v>
      </c>
      <c r="M313" s="576">
        <f t="shared" si="190"/>
        <v>141.06</v>
      </c>
      <c r="N313" s="576">
        <f t="shared" si="191"/>
        <v>2256.96</v>
      </c>
      <c r="Q313" s="589">
        <f t="shared" si="192"/>
        <v>2256.96</v>
      </c>
      <c r="S313" s="433"/>
    </row>
    <row r="314" spans="1:19">
      <c r="A314" s="430">
        <v>299</v>
      </c>
      <c r="B314" s="590"/>
      <c r="C314" s="431" t="e">
        <f t="shared" si="195"/>
        <v>#REF!</v>
      </c>
      <c r="D314" s="587" t="e">
        <f t="shared" si="196"/>
        <v>#REF!</v>
      </c>
      <c r="E314" s="572" t="e">
        <f t="shared" si="193"/>
        <v>#REF!</v>
      </c>
      <c r="F314" s="579" t="s">
        <v>2239</v>
      </c>
      <c r="G314" s="581" t="s">
        <v>8939</v>
      </c>
      <c r="H314" s="750" t="str">
        <f>IF($G314="","",IFERROR(VLOOKUP($G314,SERVIÇOS!$C:$G,2,0),IFERROR(VLOOKUP($G314,CPU!$F:$M,2,0),"")))</f>
        <v>LUMINÁRIA TIPO PLAFON QUADRADA, DE EMBUTIR, 60x60CM, COM LED 50W, 4000K</v>
      </c>
      <c r="I314" s="578" t="str">
        <f>IF($G314="","",IFERROR(VLOOKUP($G314,SERVIÇOS!$C:$G,3,0),IFERROR(VLOOKUP($G314,CPU!$F:$M,3,0),"")))</f>
        <v>UN</v>
      </c>
      <c r="J314" s="576">
        <v>83</v>
      </c>
      <c r="K314" s="576">
        <f>IF($G314="","",IFERROR(VLOOKUP($G314,SERVIÇOS!$C:$H,6,0),IFERROR(VLOOKUP($G314,CPU!$F:$M,8,0),"")))</f>
        <v>252.99</v>
      </c>
      <c r="L314" s="577">
        <f t="shared" si="194"/>
        <v>0.2354</v>
      </c>
      <c r="M314" s="576">
        <f t="shared" si="190"/>
        <v>312.54000000000002</v>
      </c>
      <c r="N314" s="576">
        <f t="shared" si="191"/>
        <v>25940.82</v>
      </c>
      <c r="Q314" s="589">
        <f t="shared" si="192"/>
        <v>25940.82</v>
      </c>
      <c r="S314" s="433"/>
    </row>
    <row r="315" spans="1:19">
      <c r="A315" s="430">
        <v>300</v>
      </c>
      <c r="B315" s="590"/>
      <c r="C315" s="431" t="e">
        <f t="shared" si="195"/>
        <v>#REF!</v>
      </c>
      <c r="D315" s="587" t="e">
        <f t="shared" si="196"/>
        <v>#REF!</v>
      </c>
      <c r="E315" s="572" t="e">
        <f t="shared" si="193"/>
        <v>#REF!</v>
      </c>
      <c r="F315" s="579" t="s">
        <v>2239</v>
      </c>
      <c r="G315" s="580" t="s">
        <v>8947</v>
      </c>
      <c r="H315" s="750" t="str">
        <f>IF($G315="","",IFERROR(VLOOKUP($G315,SERVIÇOS!$C:$G,2,0),IFERROR(VLOOKUP($G315,CPU!$F:$M,2,0),"")))</f>
        <v>LUMINÁRIA TIPO PLAFON QUADRADA, DE EMBUTIR, 30x30CM, COM LED 32W, 4000K</v>
      </c>
      <c r="I315" s="578" t="str">
        <f>IF($G315="","",IFERROR(VLOOKUP($G315,SERVIÇOS!$C:$G,3,0),IFERROR(VLOOKUP($G315,CPU!$F:$M,3,0),"")))</f>
        <v>UN</v>
      </c>
      <c r="J315" s="576">
        <v>15</v>
      </c>
      <c r="K315" s="576">
        <f>IF($G315="","",IFERROR(VLOOKUP($G315,SERVIÇOS!$C:$H,6,0),IFERROR(VLOOKUP($G315,CPU!$F:$M,8,0),"")))</f>
        <v>85.109999999999985</v>
      </c>
      <c r="L315" s="577">
        <f t="shared" si="194"/>
        <v>0.2354</v>
      </c>
      <c r="M315" s="576">
        <f t="shared" si="190"/>
        <v>105.14</v>
      </c>
      <c r="N315" s="576">
        <f t="shared" si="191"/>
        <v>1577.1</v>
      </c>
      <c r="Q315" s="589">
        <f t="shared" si="192"/>
        <v>1577.1</v>
      </c>
      <c r="S315" s="433"/>
    </row>
    <row r="316" spans="1:19">
      <c r="A316" s="430">
        <v>301</v>
      </c>
      <c r="B316" s="590"/>
      <c r="C316" s="431" t="e">
        <f t="shared" si="195"/>
        <v>#REF!</v>
      </c>
      <c r="D316" s="587" t="e">
        <f t="shared" si="196"/>
        <v>#REF!</v>
      </c>
      <c r="E316" s="572" t="e">
        <f t="shared" si="193"/>
        <v>#REF!</v>
      </c>
      <c r="F316" s="579" t="s">
        <v>2239</v>
      </c>
      <c r="G316" s="580" t="s">
        <v>8946</v>
      </c>
      <c r="H316" s="750" t="str">
        <f>IF($G316="","",IFERROR(VLOOKUP($G316,SERVIÇOS!$C:$G,2,0),IFERROR(VLOOKUP($G316,CPU!$F:$M,2,0),"")))</f>
        <v>LUMINÁRIA TIPO SPOT DUPLO AR111, EMBUTIR, COR BRANCO</v>
      </c>
      <c r="I316" s="578" t="str">
        <f>IF($G316="","",IFERROR(VLOOKUP($G316,SERVIÇOS!$C:$G,3,0),IFERROR(VLOOKUP($G316,CPU!$F:$M,3,0),"")))</f>
        <v>UN</v>
      </c>
      <c r="J316" s="576">
        <v>4</v>
      </c>
      <c r="K316" s="576">
        <f>IF($G316="","",IFERROR(VLOOKUP($G316,SERVIÇOS!$C:$H,6,0),IFERROR(VLOOKUP($G316,CPU!$F:$M,8,0),"")))</f>
        <v>257.45999999999998</v>
      </c>
      <c r="L316" s="577">
        <f t="shared" si="194"/>
        <v>0.2354</v>
      </c>
      <c r="M316" s="576">
        <f t="shared" si="190"/>
        <v>318.07</v>
      </c>
      <c r="N316" s="576">
        <f t="shared" si="191"/>
        <v>1272.28</v>
      </c>
      <c r="Q316" s="589">
        <f t="shared" si="192"/>
        <v>1272.28</v>
      </c>
      <c r="S316" s="433"/>
    </row>
    <row r="317" spans="1:19" ht="25.5">
      <c r="A317" s="430">
        <v>302</v>
      </c>
      <c r="B317" s="590"/>
      <c r="C317" s="431" t="e">
        <f>+C316</f>
        <v>#REF!</v>
      </c>
      <c r="D317" s="587" t="e">
        <f>1+D316</f>
        <v>#REF!</v>
      </c>
      <c r="E317" s="572" t="e">
        <f t="shared" si="193"/>
        <v>#REF!</v>
      </c>
      <c r="F317" s="579" t="s">
        <v>2239</v>
      </c>
      <c r="G317" s="580" t="s">
        <v>8951</v>
      </c>
      <c r="H317" s="750" t="str">
        <f>IF($G317="","",IFERROR(VLOOKUP($G317,SERVIÇOS!$C:$G,2,0),IFERROR(VLOOKUP($G317,CPU!$F:$M,2,0),"")))</f>
        <v>LUMINÁRIA TIPO PERFIL DE LED EMBUTIR, ESPESSURA 5CM, COM FITA LED 12W/M COMPLETA</v>
      </c>
      <c r="I317" s="578" t="str">
        <f>IF($G317="","",IFERROR(VLOOKUP($G317,SERVIÇOS!$C:$G,3,0),IFERROR(VLOOKUP($G317,CPU!$F:$M,3,0),"")))</f>
        <v>M</v>
      </c>
      <c r="J317" s="576">
        <v>37</v>
      </c>
      <c r="K317" s="576">
        <f>IF($G317="","",IFERROR(VLOOKUP($G317,SERVIÇOS!$C:$H,6,0),IFERROR(VLOOKUP($G317,CPU!$F:$M,8,0),"")))</f>
        <v>304.05</v>
      </c>
      <c r="L317" s="577">
        <f t="shared" si="194"/>
        <v>0.2354</v>
      </c>
      <c r="M317" s="576">
        <f t="shared" si="190"/>
        <v>375.62</v>
      </c>
      <c r="N317" s="576">
        <f t="shared" si="191"/>
        <v>13897.94</v>
      </c>
      <c r="Q317" s="589">
        <f t="shared" si="192"/>
        <v>13897.94</v>
      </c>
      <c r="S317" s="433"/>
    </row>
    <row r="318" spans="1:19" ht="25.5">
      <c r="A318" s="430">
        <v>304</v>
      </c>
      <c r="B318" s="590"/>
      <c r="C318" s="431" t="e">
        <f>+#REF!</f>
        <v>#REF!</v>
      </c>
      <c r="D318" s="587" t="e">
        <f>1+#REF!</f>
        <v>#REF!</v>
      </c>
      <c r="E318" s="572" t="e">
        <f t="shared" si="193"/>
        <v>#REF!</v>
      </c>
      <c r="F318" s="579" t="s">
        <v>2239</v>
      </c>
      <c r="G318" s="581" t="s">
        <v>6946</v>
      </c>
      <c r="H318" s="750" t="str">
        <f>IF($G318="","",IFERROR(VLOOKUP($G318,SERVIÇOS!$C:$G,2,0),IFERROR(VLOOKUP($G318,CPU!$F:$M,2,0),"")))</f>
        <v>LUMINÁRIA ARANDELA TIPO TARTARUGA, COM GRADE, DE SOBREPOR, COM 1 LÂMPADA LED DE 25 W - FORNECIMENTO E INSTALAÇÃO</v>
      </c>
      <c r="I318" s="578" t="str">
        <f>IF($G318="","",IFERROR(VLOOKUP($G318,SERVIÇOS!$C:$G,3,0),IFERROR(VLOOKUP($G318,CPU!$F:$M,3,0),"")))</f>
        <v>UN</v>
      </c>
      <c r="J318" s="576">
        <v>6</v>
      </c>
      <c r="K318" s="576">
        <f>IF($G318="","",IFERROR(VLOOKUP($G318,SERVIÇOS!$C:$H,6,0),IFERROR(VLOOKUP($G318,CPU!$F:$M,8,0),"")))</f>
        <v>74.97999999999999</v>
      </c>
      <c r="L318" s="577">
        <f t="shared" si="194"/>
        <v>0.2354</v>
      </c>
      <c r="M318" s="576">
        <f t="shared" si="190"/>
        <v>92.63</v>
      </c>
      <c r="N318" s="576">
        <f t="shared" si="191"/>
        <v>555.78</v>
      </c>
      <c r="Q318" s="589">
        <f t="shared" si="192"/>
        <v>555.78</v>
      </c>
      <c r="S318" s="433"/>
    </row>
    <row r="319" spans="1:19" ht="25.5">
      <c r="A319" s="430">
        <v>306</v>
      </c>
      <c r="B319" s="590"/>
      <c r="C319" s="431" t="e">
        <f t="shared" ref="C319" si="197">+C318</f>
        <v>#REF!</v>
      </c>
      <c r="D319" s="587" t="e">
        <f t="shared" ref="D319" si="198">1+D318</f>
        <v>#REF!</v>
      </c>
      <c r="E319" s="572" t="e">
        <f t="shared" si="193"/>
        <v>#REF!</v>
      </c>
      <c r="F319" s="579" t="s">
        <v>2238</v>
      </c>
      <c r="G319" s="581">
        <v>101896</v>
      </c>
      <c r="H319" s="750" t="str">
        <f>IF($G319="","",IFERROR(VLOOKUP($G319,SERVIÇOS!$C:$G,2,0),IFERROR(VLOOKUP($G319,CPU!$F:$M,2,0),"")))</f>
        <v>DISJUNTOR TERMOMAGNÉTICO TRIPOLAR , CORRENTE NOMINAL DE 200A - FORNECIMENTO E INSTALAÇÃO. AF_10/2020</v>
      </c>
      <c r="I319" s="578" t="str">
        <f>IF($G319="","",IFERROR(VLOOKUP($G319,SERVIÇOS!$C:$G,3,0),IFERROR(VLOOKUP($G319,CPU!$F:$M,3,0),"")))</f>
        <v>UN</v>
      </c>
      <c r="J319" s="576">
        <v>1</v>
      </c>
      <c r="K319" s="576">
        <f>IF($G319="","",IFERROR(VLOOKUP($G319,SERVIÇOS!$C:$H,6,0),IFERROR(VLOOKUP($G319,CPU!$F:$M,8,0),"")))</f>
        <v>761.65</v>
      </c>
      <c r="L319" s="577">
        <f t="shared" si="194"/>
        <v>0.2354</v>
      </c>
      <c r="M319" s="576">
        <f t="shared" si="190"/>
        <v>940.94</v>
      </c>
      <c r="N319" s="576">
        <f t="shared" si="191"/>
        <v>940.94</v>
      </c>
      <c r="Q319" s="589">
        <f t="shared" si="192"/>
        <v>940.94</v>
      </c>
      <c r="S319" s="433"/>
    </row>
    <row r="320" spans="1:19" ht="25.5">
      <c r="A320" s="430">
        <v>307</v>
      </c>
      <c r="B320" s="590"/>
      <c r="C320" s="431" t="e">
        <f>+C319</f>
        <v>#REF!</v>
      </c>
      <c r="D320" s="587" t="e">
        <f>1+D319</f>
        <v>#REF!</v>
      </c>
      <c r="E320" s="572" t="e">
        <f t="shared" si="193"/>
        <v>#REF!</v>
      </c>
      <c r="F320" s="579" t="s">
        <v>2239</v>
      </c>
      <c r="G320" s="581" t="s">
        <v>6808</v>
      </c>
      <c r="H320" s="750" t="str">
        <f>IF($G320="","",IFERROR(VLOOKUP($G320,SERVIÇOS!$C:$G,2,0),IFERROR(VLOOKUP($G320,CPU!$F:$M,2,0),"")))</f>
        <v>DISPOSITIVO DE PROTEÇÃO CONTRA SURTO DE TENSÃO DPS CLASSE I (10/350us), 1 POLO, TENSAO MAXIMA DE 175 V, CORRENTE 12,5kA</v>
      </c>
      <c r="I320" s="578" t="str">
        <f>IF($G320="","",IFERROR(VLOOKUP($G320,SERVIÇOS!$C:$G,3,0),IFERROR(VLOOKUP($G320,CPU!$F:$M,3,0),"")))</f>
        <v>UN</v>
      </c>
      <c r="J320" s="576">
        <v>6</v>
      </c>
      <c r="K320" s="576">
        <f>IF($G320="","",IFERROR(VLOOKUP($G320,SERVIÇOS!$C:$H,6,0),IFERROR(VLOOKUP($G320,CPU!$F:$M,8,0),"")))</f>
        <v>91.97999999999999</v>
      </c>
      <c r="L320" s="577">
        <f t="shared" si="194"/>
        <v>0.2354</v>
      </c>
      <c r="M320" s="576">
        <f t="shared" si="190"/>
        <v>113.63</v>
      </c>
      <c r="N320" s="576">
        <f t="shared" si="191"/>
        <v>681.78</v>
      </c>
      <c r="Q320" s="589">
        <f t="shared" si="192"/>
        <v>681.78</v>
      </c>
      <c r="S320" s="433"/>
    </row>
    <row r="321" spans="1:21">
      <c r="A321" s="430">
        <v>308</v>
      </c>
      <c r="B321" s="590"/>
      <c r="C321" s="431" t="e">
        <f t="shared" ref="C321:C330" si="199">+C320</f>
        <v>#REF!</v>
      </c>
      <c r="D321" s="587" t="e">
        <f t="shared" ref="D321:D330" si="200">1+D320</f>
        <v>#REF!</v>
      </c>
      <c r="E321" s="572" t="e">
        <f t="shared" si="193"/>
        <v>#REF!</v>
      </c>
      <c r="F321" s="579" t="s">
        <v>2239</v>
      </c>
      <c r="G321" s="581" t="s">
        <v>8957</v>
      </c>
      <c r="H321" s="750" t="str">
        <f>IF($G321="","",IFERROR(VLOOKUP($G321,SERVIÇOS!$C:$G,2,0),IFERROR(VLOOKUP($G321,CPU!$F:$M,2,0),"")))</f>
        <v>INTERRUPTOR DIFERENCIAL RESIDUAL BIPOLAR 20A - SENSIBILIDADE 30MA</v>
      </c>
      <c r="I321" s="578" t="str">
        <f>IF($G321="","",IFERROR(VLOOKUP($G321,SERVIÇOS!$C:$G,3,0),IFERROR(VLOOKUP($G321,CPU!$F:$M,3,0),"")))</f>
        <v>UN</v>
      </c>
      <c r="J321" s="576">
        <v>2</v>
      </c>
      <c r="K321" s="576">
        <f>IF($G321="","",IFERROR(VLOOKUP($G321,SERVIÇOS!$C:$H,6,0),IFERROR(VLOOKUP($G321,CPU!$F:$M,8,0),"")))</f>
        <v>281.31</v>
      </c>
      <c r="L321" s="577">
        <f t="shared" si="194"/>
        <v>0.2354</v>
      </c>
      <c r="M321" s="576">
        <f t="shared" si="190"/>
        <v>347.53</v>
      </c>
      <c r="N321" s="576">
        <f t="shared" si="191"/>
        <v>695.06</v>
      </c>
      <c r="Q321" s="589">
        <f t="shared" si="192"/>
        <v>695.06</v>
      </c>
      <c r="S321" s="433"/>
    </row>
    <row r="322" spans="1:21">
      <c r="A322" s="430">
        <v>309</v>
      </c>
      <c r="B322" s="590"/>
      <c r="C322" s="431" t="e">
        <f t="shared" si="199"/>
        <v>#REF!</v>
      </c>
      <c r="D322" s="587" t="e">
        <f t="shared" si="200"/>
        <v>#REF!</v>
      </c>
      <c r="E322" s="572" t="e">
        <f t="shared" si="193"/>
        <v>#REF!</v>
      </c>
      <c r="F322" s="579" t="s">
        <v>2239</v>
      </c>
      <c r="G322" s="581" t="s">
        <v>8960</v>
      </c>
      <c r="H322" s="750" t="str">
        <f>IF($G322="","",IFERROR(VLOOKUP($G322,SERVIÇOS!$C:$G,2,0),IFERROR(VLOOKUP($G322,CPU!$F:$M,2,0),"")))</f>
        <v>INTERRUPTOR DIFERENCIAL RESIDUAL BIPOLAR 20A - SENSIBILIDADE 30MA</v>
      </c>
      <c r="I322" s="578" t="str">
        <f>IF($G322="","",IFERROR(VLOOKUP($G322,SERVIÇOS!$C:$G,3,0),IFERROR(VLOOKUP($G322,CPU!$F:$M,3,0),"")))</f>
        <v>UN</v>
      </c>
      <c r="J322" s="576">
        <v>1</v>
      </c>
      <c r="K322" s="576">
        <f>IF($G322="","",IFERROR(VLOOKUP($G322,SERVIÇOS!$C:$H,6,0),IFERROR(VLOOKUP($G322,CPU!$F:$M,8,0),"")))</f>
        <v>442.05000000000007</v>
      </c>
      <c r="L322" s="577">
        <f t="shared" si="194"/>
        <v>0.2354</v>
      </c>
      <c r="M322" s="576">
        <f t="shared" si="190"/>
        <v>546.11</v>
      </c>
      <c r="N322" s="576">
        <f t="shared" si="191"/>
        <v>546.11</v>
      </c>
      <c r="Q322" s="589">
        <f t="shared" si="192"/>
        <v>546.11</v>
      </c>
      <c r="S322" s="433"/>
    </row>
    <row r="323" spans="1:21" ht="25.5">
      <c r="A323" s="430">
        <v>310</v>
      </c>
      <c r="B323" s="590"/>
      <c r="C323" s="431" t="e">
        <f t="shared" si="199"/>
        <v>#REF!</v>
      </c>
      <c r="D323" s="587" t="e">
        <f t="shared" si="200"/>
        <v>#REF!</v>
      </c>
      <c r="E323" s="572" t="e">
        <f t="shared" si="193"/>
        <v>#REF!</v>
      </c>
      <c r="F323" s="579" t="s">
        <v>2238</v>
      </c>
      <c r="G323" s="581">
        <v>93655</v>
      </c>
      <c r="H323" s="750" t="str">
        <f>IF($G323="","",IFERROR(VLOOKUP($G323,SERVIÇOS!$C:$G,2,0),IFERROR(VLOOKUP($G323,CPU!$F:$M,2,0),"")))</f>
        <v>DISJUNTOR MONOPOLAR TIPO DIN, CORRENTE NOMINAL DE 20A - FORNECIMENTO E INSTALAÇÃO. AF_10/2020</v>
      </c>
      <c r="I323" s="578" t="str">
        <f>IF($G323="","",IFERROR(VLOOKUP($G323,SERVIÇOS!$C:$G,3,0),IFERROR(VLOOKUP($G323,CPU!$F:$M,3,0),"")))</f>
        <v>UN</v>
      </c>
      <c r="J323" s="576">
        <v>34</v>
      </c>
      <c r="K323" s="576">
        <f>IF($G323="","",IFERROR(VLOOKUP($G323,SERVIÇOS!$C:$H,6,0),IFERROR(VLOOKUP($G323,CPU!$F:$M,8,0),"")))</f>
        <v>15.79</v>
      </c>
      <c r="L323" s="577">
        <f t="shared" si="194"/>
        <v>0.2354</v>
      </c>
      <c r="M323" s="576">
        <f t="shared" si="190"/>
        <v>19.510000000000002</v>
      </c>
      <c r="N323" s="576">
        <f t="shared" si="191"/>
        <v>663.34</v>
      </c>
      <c r="Q323" s="589">
        <f t="shared" si="192"/>
        <v>663.34</v>
      </c>
      <c r="S323" s="433"/>
    </row>
    <row r="324" spans="1:21" ht="25.5">
      <c r="A324" s="430">
        <v>302</v>
      </c>
      <c r="B324" s="590"/>
      <c r="C324" s="431" t="e">
        <f t="shared" si="199"/>
        <v>#REF!</v>
      </c>
      <c r="D324" s="587" t="e">
        <f t="shared" si="200"/>
        <v>#REF!</v>
      </c>
      <c r="E324" s="572" t="e">
        <f t="shared" ref="E324:E330" si="201">C324&amp;"."&amp;D324</f>
        <v>#REF!</v>
      </c>
      <c r="F324" s="579" t="s">
        <v>2238</v>
      </c>
      <c r="G324" s="580">
        <v>93662</v>
      </c>
      <c r="H324" s="750" t="str">
        <f>IF($G324="","",IFERROR(VLOOKUP($G324,SERVIÇOS!$C:$G,2,0),IFERROR(VLOOKUP($G324,CPU!$F:$M,2,0),"")))</f>
        <v>DISJUNTOR BIPOLAR TIPO DIN, CORRENTE NOMINAL DE 20A - FORNECIMENTO E INSTALAÇÃO. AF_10/2020</v>
      </c>
      <c r="I324" s="578" t="str">
        <f>IF($G324="","",IFERROR(VLOOKUP($G324,SERVIÇOS!$C:$G,3,0),IFERROR(VLOOKUP($G324,CPU!$F:$M,3,0),"")))</f>
        <v>UN</v>
      </c>
      <c r="J324" s="576">
        <v>19</v>
      </c>
      <c r="K324" s="576">
        <f>IF($G324="","",IFERROR(VLOOKUP($G324,SERVIÇOS!$C:$H,6,0),IFERROR(VLOOKUP($G324,CPU!$F:$M,8,0),"")))</f>
        <v>72.27</v>
      </c>
      <c r="L324" s="577">
        <f t="shared" ref="L324:L330" si="202">IF(J324&lt;&gt;"",$N$1,"")</f>
        <v>0.2354</v>
      </c>
      <c r="M324" s="576">
        <f t="shared" ref="M324:M330" si="203">IF(J324&lt;&gt;0,(ROUND(K324*(L324+1),2)),0)</f>
        <v>89.28</v>
      </c>
      <c r="N324" s="576">
        <f t="shared" ref="N324:N330" si="204">IF(J324="","",ROUND((J324*M324),2))</f>
        <v>1696.32</v>
      </c>
      <c r="Q324" s="589">
        <f t="shared" ref="Q324:Q330" si="205">N324</f>
        <v>1696.32</v>
      </c>
      <c r="S324" s="433"/>
    </row>
    <row r="325" spans="1:21" ht="25.5">
      <c r="A325" s="430">
        <v>303</v>
      </c>
      <c r="B325" s="590"/>
      <c r="C325" s="431" t="e">
        <f t="shared" si="199"/>
        <v>#REF!</v>
      </c>
      <c r="D325" s="587" t="e">
        <f t="shared" si="200"/>
        <v>#REF!</v>
      </c>
      <c r="E325" s="572" t="e">
        <f t="shared" si="201"/>
        <v>#REF!</v>
      </c>
      <c r="F325" s="579" t="s">
        <v>2238</v>
      </c>
      <c r="G325" s="581">
        <v>93663</v>
      </c>
      <c r="H325" s="750" t="str">
        <f>IF($G325="","",IFERROR(VLOOKUP($G325,SERVIÇOS!$C:$G,2,0),IFERROR(VLOOKUP($G325,CPU!$F:$M,2,0),"")))</f>
        <v>DISJUNTOR BIPOLAR TIPO DIN, CORRENTE NOMINAL DE 25A - FORNECIMENTO E INSTALAÇÃO. AF_10/2020</v>
      </c>
      <c r="I325" s="578" t="str">
        <f>IF($G325="","",IFERROR(VLOOKUP($G325,SERVIÇOS!$C:$G,3,0),IFERROR(VLOOKUP($G325,CPU!$F:$M,3,0),"")))</f>
        <v>UN</v>
      </c>
      <c r="J325" s="576">
        <v>8</v>
      </c>
      <c r="K325" s="576">
        <f>IF($G325="","",IFERROR(VLOOKUP($G325,SERVIÇOS!$C:$H,6,0),IFERROR(VLOOKUP($G325,CPU!$F:$M,8,0),"")))</f>
        <v>72.27</v>
      </c>
      <c r="L325" s="577">
        <f t="shared" si="202"/>
        <v>0.2354</v>
      </c>
      <c r="M325" s="576">
        <f t="shared" si="203"/>
        <v>89.28</v>
      </c>
      <c r="N325" s="576">
        <f t="shared" si="204"/>
        <v>714.24</v>
      </c>
      <c r="Q325" s="589">
        <f t="shared" si="205"/>
        <v>714.24</v>
      </c>
      <c r="S325" s="433"/>
    </row>
    <row r="326" spans="1:21" ht="25.5">
      <c r="A326" s="430">
        <v>304</v>
      </c>
      <c r="B326" s="590"/>
      <c r="C326" s="431" t="e">
        <f t="shared" si="199"/>
        <v>#REF!</v>
      </c>
      <c r="D326" s="587" t="e">
        <f t="shared" si="200"/>
        <v>#REF!</v>
      </c>
      <c r="E326" s="572" t="e">
        <f t="shared" si="201"/>
        <v>#REF!</v>
      </c>
      <c r="F326" s="579" t="s">
        <v>2238</v>
      </c>
      <c r="G326" s="581">
        <v>93669</v>
      </c>
      <c r="H326" s="750" t="str">
        <f>IF($G326="","",IFERROR(VLOOKUP($G326,SERVIÇOS!$C:$G,2,0),IFERROR(VLOOKUP($G326,CPU!$F:$M,2,0),"")))</f>
        <v>DISJUNTOR TRIPOLAR TIPO DIN, CORRENTE NOMINAL DE 20A - FORNECIMENTO E INSTALAÇÃO. AF_10/2020</v>
      </c>
      <c r="I326" s="578" t="str">
        <f>IF($G326="","",IFERROR(VLOOKUP($G326,SERVIÇOS!$C:$G,3,0),IFERROR(VLOOKUP($G326,CPU!$F:$M,3,0),"")))</f>
        <v>UN</v>
      </c>
      <c r="J326" s="576">
        <v>1</v>
      </c>
      <c r="K326" s="576">
        <f>IF($G326="","",IFERROR(VLOOKUP($G326,SERVIÇOS!$C:$H,6,0),IFERROR(VLOOKUP($G326,CPU!$F:$M,8,0),"")))</f>
        <v>91.24</v>
      </c>
      <c r="L326" s="577">
        <f t="shared" si="202"/>
        <v>0.2354</v>
      </c>
      <c r="M326" s="576">
        <f t="shared" si="203"/>
        <v>112.72</v>
      </c>
      <c r="N326" s="576">
        <f t="shared" si="204"/>
        <v>112.72</v>
      </c>
      <c r="Q326" s="589">
        <f t="shared" si="205"/>
        <v>112.72</v>
      </c>
      <c r="S326" s="433"/>
    </row>
    <row r="327" spans="1:21" ht="25.5">
      <c r="A327" s="430">
        <v>306</v>
      </c>
      <c r="B327" s="590"/>
      <c r="C327" s="431" t="e">
        <f t="shared" si="199"/>
        <v>#REF!</v>
      </c>
      <c r="D327" s="587" t="e">
        <f t="shared" si="200"/>
        <v>#REF!</v>
      </c>
      <c r="E327" s="572" t="e">
        <f t="shared" si="201"/>
        <v>#REF!</v>
      </c>
      <c r="F327" s="579" t="s">
        <v>2238</v>
      </c>
      <c r="G327" s="581">
        <v>101895</v>
      </c>
      <c r="H327" s="750" t="str">
        <f>IF($G327="","",IFERROR(VLOOKUP($G327,SERVIÇOS!$C:$G,2,0),IFERROR(VLOOKUP($G327,CPU!$F:$M,2,0),"")))</f>
        <v>DISJUNTOR TERMOMAGNÉTICO TRIPOLAR , CORRENTE NOMINAL DE 125A - FORNECIMENTO E INSTALAÇÃO. AF_10/2020</v>
      </c>
      <c r="I327" s="578" t="str">
        <f>IF($G327="","",IFERROR(VLOOKUP($G327,SERVIÇOS!$C:$G,3,0),IFERROR(VLOOKUP($G327,CPU!$F:$M,3,0),"")))</f>
        <v>UN</v>
      </c>
      <c r="J327" s="576">
        <v>2</v>
      </c>
      <c r="K327" s="576">
        <f>IF($G327="","",IFERROR(VLOOKUP($G327,SERVIÇOS!$C:$H,6,0),IFERROR(VLOOKUP($G327,CPU!$F:$M,8,0),"")))</f>
        <v>506.86</v>
      </c>
      <c r="L327" s="577">
        <f t="shared" si="202"/>
        <v>0.2354</v>
      </c>
      <c r="M327" s="576">
        <f t="shared" si="203"/>
        <v>626.16999999999996</v>
      </c>
      <c r="N327" s="576">
        <f t="shared" si="204"/>
        <v>1252.3399999999999</v>
      </c>
      <c r="Q327" s="589">
        <f t="shared" si="205"/>
        <v>1252.3399999999999</v>
      </c>
      <c r="S327" s="433"/>
    </row>
    <row r="328" spans="1:21" ht="25.5">
      <c r="A328" s="430">
        <v>307</v>
      </c>
      <c r="B328" s="590"/>
      <c r="C328" s="431" t="e">
        <f t="shared" si="199"/>
        <v>#REF!</v>
      </c>
      <c r="D328" s="587" t="e">
        <f t="shared" si="200"/>
        <v>#REF!</v>
      </c>
      <c r="E328" s="572" t="e">
        <f t="shared" si="201"/>
        <v>#REF!</v>
      </c>
      <c r="F328" s="579" t="s">
        <v>2239</v>
      </c>
      <c r="G328" s="581" t="s">
        <v>8962</v>
      </c>
      <c r="H328" s="750" t="str">
        <f>IF($G328="","",IFERROR(VLOOKUP($G328,SERVIÇOS!$C:$G,2,0),IFERROR(VLOOKUP($G328,CPU!$F:$M,2,0),"")))</f>
        <v xml:space="preserve">QUADRO DE DISTRIBUIÇÃO COMPLETO COM BARRAMENTO PARA 200A E 85 ESPAÇOS PARA 85 DISJUNTORES DIN </v>
      </c>
      <c r="I328" s="578" t="str">
        <f>IF($G328="","",IFERROR(VLOOKUP($G328,SERVIÇOS!$C:$G,3,0),IFERROR(VLOOKUP($G328,CPU!$F:$M,3,0),"")))</f>
        <v>UN</v>
      </c>
      <c r="J328" s="576">
        <v>1</v>
      </c>
      <c r="K328" s="576">
        <f>IF($G328="","",IFERROR(VLOOKUP($G328,SERVIÇOS!$C:$H,6,0),IFERROR(VLOOKUP($G328,CPU!$F:$M,8,0),"")))</f>
        <v>2444.8000000000002</v>
      </c>
      <c r="L328" s="577">
        <f t="shared" si="202"/>
        <v>0.2354</v>
      </c>
      <c r="M328" s="576">
        <f t="shared" si="203"/>
        <v>3020.31</v>
      </c>
      <c r="N328" s="576">
        <f t="shared" si="204"/>
        <v>3020.31</v>
      </c>
      <c r="Q328" s="589">
        <f t="shared" si="205"/>
        <v>3020.31</v>
      </c>
      <c r="S328" s="433"/>
    </row>
    <row r="329" spans="1:21" ht="25.5">
      <c r="A329" s="430">
        <v>308</v>
      </c>
      <c r="B329" s="590"/>
      <c r="C329" s="431" t="e">
        <f t="shared" si="199"/>
        <v>#REF!</v>
      </c>
      <c r="D329" s="587" t="e">
        <f t="shared" si="200"/>
        <v>#REF!</v>
      </c>
      <c r="E329" s="572" t="e">
        <f t="shared" si="201"/>
        <v>#REF!</v>
      </c>
      <c r="F329" s="579" t="s">
        <v>2239</v>
      </c>
      <c r="G329" s="581" t="s">
        <v>8965</v>
      </c>
      <c r="H329" s="750" t="str">
        <f>IF($G329="","",IFERROR(VLOOKUP($G329,SERVIÇOS!$C:$G,2,0),IFERROR(VLOOKUP($G329,CPU!$F:$M,2,0),"")))</f>
        <v>QUADRO DE DISTRIBUIÇÃO COMPLETO COM BARRAMENTO PARA 80A E 85 ESPAÇOS PARA 48 DISJUNTORES DIN</v>
      </c>
      <c r="I329" s="578" t="str">
        <f>IF($G329="","",IFERROR(VLOOKUP($G329,SERVIÇOS!$C:$G,3,0),IFERROR(VLOOKUP($G329,CPU!$F:$M,3,0),"")))</f>
        <v>UN</v>
      </c>
      <c r="J329" s="576">
        <v>1</v>
      </c>
      <c r="K329" s="576">
        <f>IF($G329="","",IFERROR(VLOOKUP($G329,SERVIÇOS!$C:$H,6,0),IFERROR(VLOOKUP($G329,CPU!$F:$M,8,0),"")))</f>
        <v>1414.8</v>
      </c>
      <c r="L329" s="577">
        <f t="shared" si="202"/>
        <v>0.2354</v>
      </c>
      <c r="M329" s="576">
        <f t="shared" si="203"/>
        <v>1747.84</v>
      </c>
      <c r="N329" s="576">
        <f t="shared" si="204"/>
        <v>1747.84</v>
      </c>
      <c r="Q329" s="589">
        <f t="shared" si="205"/>
        <v>1747.84</v>
      </c>
      <c r="S329" s="433"/>
    </row>
    <row r="330" spans="1:21" ht="25.5">
      <c r="A330" s="430">
        <v>309</v>
      </c>
      <c r="B330" s="590"/>
      <c r="C330" s="431" t="e">
        <f t="shared" si="199"/>
        <v>#REF!</v>
      </c>
      <c r="D330" s="587" t="e">
        <f t="shared" si="200"/>
        <v>#REF!</v>
      </c>
      <c r="E330" s="572" t="e">
        <f t="shared" si="201"/>
        <v>#REF!</v>
      </c>
      <c r="F330" s="579" t="s">
        <v>2238</v>
      </c>
      <c r="G330" s="581">
        <v>97881</v>
      </c>
      <c r="H330" s="750" t="str">
        <f>IF($G330="","",IFERROR(VLOOKUP($G330,SERVIÇOS!$C:$G,2,0),IFERROR(VLOOKUP($G330,CPU!$F:$M,2,0),"")))</f>
        <v>CAIXA ENTERRADA ELÉTRICA RETANGULAR, EM CONCRETO PRÉ-MOLDADO, FUNDO COM BRITA, DIMENSÕES INTERNAS: 0,3X0,3X0,3 M. AF_12/2020</v>
      </c>
      <c r="I330" s="578" t="str">
        <f>IF($G330="","",IFERROR(VLOOKUP($G330,SERVIÇOS!$C:$G,3,0),IFERROR(VLOOKUP($G330,CPU!$F:$M,3,0),"")))</f>
        <v>UN</v>
      </c>
      <c r="J330" s="576">
        <v>6</v>
      </c>
      <c r="K330" s="576">
        <f>IF($G330="","",IFERROR(VLOOKUP($G330,SERVIÇOS!$C:$H,6,0),IFERROR(VLOOKUP($G330,CPU!$F:$M,8,0),"")))</f>
        <v>101.75</v>
      </c>
      <c r="L330" s="577">
        <f t="shared" si="202"/>
        <v>0.2354</v>
      </c>
      <c r="M330" s="576">
        <f t="shared" si="203"/>
        <v>125.7</v>
      </c>
      <c r="N330" s="576">
        <f t="shared" si="204"/>
        <v>754.2</v>
      </c>
      <c r="Q330" s="589">
        <f t="shared" si="205"/>
        <v>754.2</v>
      </c>
      <c r="S330" s="433"/>
    </row>
    <row r="331" spans="1:21">
      <c r="A331" s="430">
        <v>302</v>
      </c>
      <c r="B331" s="590"/>
      <c r="C331" s="431" t="e">
        <f>+#REF!</f>
        <v>#REF!</v>
      </c>
      <c r="D331" s="587" t="e">
        <f>1+#REF!</f>
        <v>#REF!</v>
      </c>
      <c r="E331" s="572" t="e">
        <f t="shared" si="193"/>
        <v>#REF!</v>
      </c>
      <c r="F331" s="579" t="s">
        <v>2239</v>
      </c>
      <c r="G331" s="580" t="s">
        <v>8971</v>
      </c>
      <c r="H331" s="750" t="str">
        <f>IF($G331="","",IFERROR(VLOOKUP($G331,SERVIÇOS!$C:$G,2,0),IFERROR(VLOOKUP($G331,CPU!$F:$M,2,0),"")))</f>
        <v>FONTE DE ALIMENTAÇÃO 12V - FORNECIMENTO E INSTALAÇÃO</v>
      </c>
      <c r="I331" s="578" t="str">
        <f>IF($G331="","",IFERROR(VLOOKUP($G331,SERVIÇOS!$C:$G,3,0),IFERROR(VLOOKUP($G331,CPU!$F:$M,3,0),"")))</f>
        <v xml:space="preserve">UN    </v>
      </c>
      <c r="J331" s="576">
        <v>1</v>
      </c>
      <c r="K331" s="576">
        <f>IF($G331="","",IFERROR(VLOOKUP($G331,SERVIÇOS!$C:$H,6,0),IFERROR(VLOOKUP($G331,CPU!$F:$M,8,0),"")))</f>
        <v>106.91999999999999</v>
      </c>
      <c r="L331" s="577">
        <f t="shared" si="194"/>
        <v>0.2354</v>
      </c>
      <c r="M331" s="576">
        <f t="shared" si="190"/>
        <v>132.09</v>
      </c>
      <c r="N331" s="576">
        <f t="shared" si="191"/>
        <v>132.09</v>
      </c>
      <c r="Q331" s="589">
        <f t="shared" si="192"/>
        <v>132.09</v>
      </c>
      <c r="S331" s="433"/>
    </row>
    <row r="332" spans="1:21">
      <c r="A332" s="430">
        <v>312</v>
      </c>
      <c r="B332" s="590"/>
      <c r="C332" s="431" t="str">
        <f>+E332</f>
        <v>13.2</v>
      </c>
      <c r="D332" s="587"/>
      <c r="E332" s="568" t="s">
        <v>8974</v>
      </c>
      <c r="F332" s="569"/>
      <c r="G332" s="569"/>
      <c r="H332" s="749" t="s">
        <v>8976</v>
      </c>
      <c r="I332" s="570"/>
      <c r="J332" s="571"/>
      <c r="K332" s="571"/>
      <c r="L332" s="571"/>
      <c r="M332" s="571"/>
      <c r="N332" s="571"/>
      <c r="P332" s="588"/>
      <c r="Q332" s="589"/>
      <c r="R332" s="588"/>
      <c r="S332" s="433"/>
      <c r="T332" s="588"/>
      <c r="U332" s="588"/>
    </row>
    <row r="333" spans="1:21" ht="25.5">
      <c r="A333" s="430">
        <v>304</v>
      </c>
      <c r="B333" s="590"/>
      <c r="C333" s="431" t="str">
        <f t="shared" ref="C333:C359" si="206">+C332</f>
        <v>13.2</v>
      </c>
      <c r="D333" s="587">
        <f t="shared" ref="D333:D372" si="207">1+D332</f>
        <v>1</v>
      </c>
      <c r="E333" s="572" t="str">
        <f t="shared" si="193"/>
        <v>13.2.1</v>
      </c>
      <c r="F333" s="579" t="s">
        <v>2238</v>
      </c>
      <c r="G333" s="581">
        <v>97881</v>
      </c>
      <c r="H333" s="750" t="str">
        <f>IF($G333="","",IFERROR(VLOOKUP($G333,SERVIÇOS!$C:$G,2,0),IFERROR(VLOOKUP($G333,CPU!$F:$M,2,0),"")))</f>
        <v>CAIXA ENTERRADA ELÉTRICA RETANGULAR, EM CONCRETO PRÉ-MOLDADO, FUNDO COM BRITA, DIMENSÕES INTERNAS: 0,3X0,3X0,3 M. AF_12/2020</v>
      </c>
      <c r="I333" s="578" t="str">
        <f>IF($G333="","",IFERROR(VLOOKUP($G333,SERVIÇOS!$C:$G,3,0),IFERROR(VLOOKUP($G333,CPU!$F:$M,3,0),"")))</f>
        <v>UN</v>
      </c>
      <c r="J333" s="576">
        <v>5</v>
      </c>
      <c r="K333" s="576">
        <f>IF($G333="","",IFERROR(VLOOKUP($G333,SERVIÇOS!$C:$H,6,0),IFERROR(VLOOKUP($G333,CPU!$F:$M,8,0),"")))</f>
        <v>101.75</v>
      </c>
      <c r="L333" s="577">
        <f t="shared" si="194"/>
        <v>0.2354</v>
      </c>
      <c r="M333" s="576">
        <f t="shared" si="190"/>
        <v>125.7</v>
      </c>
      <c r="N333" s="576">
        <f t="shared" si="191"/>
        <v>628.5</v>
      </c>
      <c r="Q333" s="589">
        <f t="shared" si="192"/>
        <v>628.5</v>
      </c>
      <c r="S333" s="433"/>
    </row>
    <row r="334" spans="1:21">
      <c r="A334" s="430">
        <v>306</v>
      </c>
      <c r="B334" s="590"/>
      <c r="C334" s="431" t="str">
        <f t="shared" si="206"/>
        <v>13.2</v>
      </c>
      <c r="D334" s="587">
        <f t="shared" si="207"/>
        <v>2</v>
      </c>
      <c r="E334" s="572" t="str">
        <f t="shared" si="193"/>
        <v>13.2.2</v>
      </c>
      <c r="F334" s="579" t="s">
        <v>2239</v>
      </c>
      <c r="G334" s="581" t="s">
        <v>8978</v>
      </c>
      <c r="H334" s="750" t="str">
        <f>IF($G334="","",IFERROR(VLOOKUP($G334,SERVIÇOS!$C:$G,2,0),IFERROR(VLOOKUP($G334,CPU!$F:$M,2,0),"")))</f>
        <v>TAMPA EM CONCRETO ARMADO, ESPESSURA 0,05M</v>
      </c>
      <c r="I334" s="578" t="str">
        <f>IF($G334="","",IFERROR(VLOOKUP($G334,SERVIÇOS!$C:$G,3,0),IFERROR(VLOOKUP($G334,CPU!$F:$M,3,0),"")))</f>
        <v>M2</v>
      </c>
      <c r="J334" s="576">
        <f>ROUND(0.3*0.3*J333,2)</f>
        <v>0.45</v>
      </c>
      <c r="K334" s="576">
        <f>IF($G334="","",IFERROR(VLOOKUP($G334,SERVIÇOS!$C:$H,6,0),IFERROR(VLOOKUP($G334,CPU!$F:$M,8,0),"")))</f>
        <v>96.210000000000008</v>
      </c>
      <c r="L334" s="577">
        <f t="shared" si="194"/>
        <v>0.2354</v>
      </c>
      <c r="M334" s="576">
        <f t="shared" si="190"/>
        <v>118.86</v>
      </c>
      <c r="N334" s="576">
        <f t="shared" si="191"/>
        <v>53.49</v>
      </c>
      <c r="Q334" s="589">
        <f t="shared" si="192"/>
        <v>53.49</v>
      </c>
      <c r="S334" s="433"/>
    </row>
    <row r="335" spans="1:21" ht="25.5">
      <c r="A335" s="430">
        <v>306</v>
      </c>
      <c r="B335" s="590"/>
      <c r="C335" s="431" t="str">
        <f t="shared" si="206"/>
        <v>13.2</v>
      </c>
      <c r="D335" s="587">
        <f t="shared" si="207"/>
        <v>3</v>
      </c>
      <c r="E335" s="572" t="str">
        <f t="shared" ref="E335:E356" si="208">C335&amp;"."&amp;D335</f>
        <v>13.2.3</v>
      </c>
      <c r="F335" s="579" t="s">
        <v>2238</v>
      </c>
      <c r="G335" s="581">
        <v>91834</v>
      </c>
      <c r="H335" s="750" t="str">
        <f>IF($G335="","",IFERROR(VLOOKUP($G335,SERVIÇOS!$C:$G,2,0),IFERROR(VLOOKUP($G335,CPU!$F:$M,2,0),"")))</f>
        <v>ELETRODUTO FLEXÍVEL CORRUGADO, PVC, DN 25 MM (3/4"), PARA CIRCUITOS TERMINAIS, INSTALADO EM FORRO - FORNECIMENTO E INSTALAÇÃO. AF_12/2015</v>
      </c>
      <c r="I335" s="578" t="str">
        <f>IF($G335="","",IFERROR(VLOOKUP($G335,SERVIÇOS!$C:$G,3,0),IFERROR(VLOOKUP($G335,CPU!$F:$M,3,0),"")))</f>
        <v>M</v>
      </c>
      <c r="J335" s="576">
        <v>50</v>
      </c>
      <c r="K335" s="576">
        <f>IF($G335="","",IFERROR(VLOOKUP($G335,SERVIÇOS!$C:$H,6,0),IFERROR(VLOOKUP($G335,CPU!$F:$M,8,0),"")))</f>
        <v>10.87</v>
      </c>
      <c r="L335" s="577">
        <f t="shared" ref="L335:L357" si="209">IF(J335&lt;&gt;"",$N$1,"")</f>
        <v>0.2354</v>
      </c>
      <c r="M335" s="576">
        <f t="shared" ref="M335:M357" si="210">IF(J335&lt;&gt;0,(ROUND(K335*(L335+1),2)),0)</f>
        <v>13.43</v>
      </c>
      <c r="N335" s="576">
        <f t="shared" ref="N335:N357" si="211">IF(J335="","",ROUND((J335*M335),2))</f>
        <v>671.5</v>
      </c>
      <c r="Q335" s="589">
        <f t="shared" ref="Q335:Q357" si="212">N335</f>
        <v>671.5</v>
      </c>
      <c r="S335" s="433"/>
    </row>
    <row r="336" spans="1:21" ht="38.25">
      <c r="A336" s="430">
        <v>306</v>
      </c>
      <c r="B336" s="590"/>
      <c r="C336" s="431" t="str">
        <f t="shared" si="206"/>
        <v>13.2</v>
      </c>
      <c r="D336" s="587">
        <f t="shared" si="207"/>
        <v>4</v>
      </c>
      <c r="E336" s="572" t="str">
        <f t="shared" si="208"/>
        <v>13.2.4</v>
      </c>
      <c r="F336" s="579" t="s">
        <v>2238</v>
      </c>
      <c r="G336" s="581">
        <v>91837</v>
      </c>
      <c r="H336" s="750" t="str">
        <f>IF($G336="","",IFERROR(VLOOKUP($G336,SERVIÇOS!$C:$G,2,0),IFERROR(VLOOKUP($G336,CPU!$F:$M,2,0),"")))</f>
        <v>ELETRODUTO FLEXÍVEL CORRUGADO REFORÇADO, PVC, DN 32 MM (1"), PARA CIRCUITOS TERMINAIS, INSTALADO EM FORRO - FORNECIMENTO E INSTALAÇÃO. AF_12/2015</v>
      </c>
      <c r="I336" s="578" t="str">
        <f>IF($G336="","",IFERROR(VLOOKUP($G336,SERVIÇOS!$C:$G,3,0),IFERROR(VLOOKUP($G336,CPU!$F:$M,3,0),"")))</f>
        <v>M</v>
      </c>
      <c r="J336" s="576">
        <v>67</v>
      </c>
      <c r="K336" s="576">
        <f>IF($G336="","",IFERROR(VLOOKUP($G336,SERVIÇOS!$C:$H,6,0),IFERROR(VLOOKUP($G336,CPU!$F:$M,8,0),"")))</f>
        <v>18.600000000000001</v>
      </c>
      <c r="L336" s="577">
        <f t="shared" si="209"/>
        <v>0.2354</v>
      </c>
      <c r="M336" s="576">
        <f t="shared" si="210"/>
        <v>22.98</v>
      </c>
      <c r="N336" s="576">
        <f t="shared" si="211"/>
        <v>1539.66</v>
      </c>
      <c r="Q336" s="589">
        <f t="shared" si="212"/>
        <v>1539.66</v>
      </c>
      <c r="S336" s="433"/>
    </row>
    <row r="337" spans="1:21" ht="25.5">
      <c r="A337" s="430">
        <v>306</v>
      </c>
      <c r="B337" s="590"/>
      <c r="C337" s="431" t="str">
        <f t="shared" si="206"/>
        <v>13.2</v>
      </c>
      <c r="D337" s="587">
        <f t="shared" si="207"/>
        <v>5</v>
      </c>
      <c r="E337" s="572" t="str">
        <f t="shared" si="208"/>
        <v>13.2.5</v>
      </c>
      <c r="F337" s="579" t="s">
        <v>2238</v>
      </c>
      <c r="G337" s="581">
        <v>97668</v>
      </c>
      <c r="H337" s="750" t="str">
        <f>IF($G337="","",IFERROR(VLOOKUP($G337,SERVIÇOS!$C:$G,2,0),IFERROR(VLOOKUP($G337,CPU!$F:$M,2,0),"")))</f>
        <v>ELETRODUTO FLEXÍVEL CORRUGADO, PEAD, DN 63 (2"), PARA REDE ENTERRADA DE DISTRIBUIÇÃO DE ENERGIA ELÉTRICA - FORNECIMENTO E INSTALAÇÃO. AF_12/2021</v>
      </c>
      <c r="I337" s="578" t="str">
        <f>IF($G337="","",IFERROR(VLOOKUP($G337,SERVIÇOS!$C:$G,3,0),IFERROR(VLOOKUP($G337,CPU!$F:$M,3,0),"")))</f>
        <v>M</v>
      </c>
      <c r="J337" s="576">
        <v>55</v>
      </c>
      <c r="K337" s="576">
        <f>IF($G337="","",IFERROR(VLOOKUP($G337,SERVIÇOS!$C:$H,6,0),IFERROR(VLOOKUP($G337,CPU!$F:$M,8,0),"")))</f>
        <v>11.85</v>
      </c>
      <c r="L337" s="577">
        <f t="shared" si="209"/>
        <v>0.2354</v>
      </c>
      <c r="M337" s="576">
        <f t="shared" si="210"/>
        <v>14.64</v>
      </c>
      <c r="N337" s="576">
        <f t="shared" si="211"/>
        <v>805.2</v>
      </c>
      <c r="Q337" s="589">
        <f t="shared" si="212"/>
        <v>805.2</v>
      </c>
      <c r="S337" s="433"/>
    </row>
    <row r="338" spans="1:21" ht="25.5">
      <c r="A338" s="430">
        <v>306</v>
      </c>
      <c r="B338" s="590"/>
      <c r="C338" s="431" t="str">
        <f t="shared" si="206"/>
        <v>13.2</v>
      </c>
      <c r="D338" s="587">
        <f t="shared" si="207"/>
        <v>6</v>
      </c>
      <c r="E338" s="572" t="str">
        <f t="shared" si="208"/>
        <v>13.2.6</v>
      </c>
      <c r="F338" s="579" t="s">
        <v>2238</v>
      </c>
      <c r="G338" s="581">
        <v>93009</v>
      </c>
      <c r="H338" s="750" t="str">
        <f>IF($G338="","",IFERROR(VLOOKUP($G338,SERVIÇOS!$C:$G,2,0),IFERROR(VLOOKUP($G338,CPU!$F:$M,2,0),"")))</f>
        <v>ELETRODUTO RÍGIDO ROSCÁVEL, PVC, DN 60 MM (2"), PARA REDE ENTERRADA DE DISTRIBUIÇÃO DE ENERGIA ELÉTRICA - FORNECIMENTO E INSTALAÇÃO. AF_12/2021</v>
      </c>
      <c r="I338" s="578" t="str">
        <f>IF($G338="","",IFERROR(VLOOKUP($G338,SERVIÇOS!$C:$G,3,0),IFERROR(VLOOKUP($G338,CPU!$F:$M,3,0),"")))</f>
        <v>M</v>
      </c>
      <c r="J338" s="576">
        <v>12</v>
      </c>
      <c r="K338" s="576">
        <f>IF($G338="","",IFERROR(VLOOKUP($G338,SERVIÇOS!$C:$H,6,0),IFERROR(VLOOKUP($G338,CPU!$F:$M,8,0),"")))</f>
        <v>31.59</v>
      </c>
      <c r="L338" s="577">
        <f t="shared" si="209"/>
        <v>0.2354</v>
      </c>
      <c r="M338" s="576">
        <f t="shared" si="210"/>
        <v>39.03</v>
      </c>
      <c r="N338" s="576">
        <f t="shared" si="211"/>
        <v>468.36</v>
      </c>
      <c r="Q338" s="589">
        <f t="shared" si="212"/>
        <v>468.36</v>
      </c>
      <c r="S338" s="433"/>
    </row>
    <row r="339" spans="1:21" ht="25.5">
      <c r="A339" s="430">
        <v>306</v>
      </c>
      <c r="B339" s="590"/>
      <c r="C339" s="431" t="str">
        <f t="shared" si="206"/>
        <v>13.2</v>
      </c>
      <c r="D339" s="587">
        <f t="shared" si="207"/>
        <v>7</v>
      </c>
      <c r="E339" s="572" t="str">
        <f t="shared" si="208"/>
        <v>13.2.7</v>
      </c>
      <c r="F339" s="579" t="s">
        <v>2238</v>
      </c>
      <c r="G339" s="581">
        <v>91863</v>
      </c>
      <c r="H339" s="750" t="str">
        <f>IF($G339="","",IFERROR(VLOOKUP($G339,SERVIÇOS!$C:$G,2,0),IFERROR(VLOOKUP($G339,CPU!$F:$M,2,0),"")))</f>
        <v>ELETRODUTO RÍGIDO ROSCÁVEL, PVC, DN 25 MM (3/4"), PARA CIRCUITOS TERMINAIS, INSTALADO EM FORRO - FORNECIMENTO E INSTALAÇÃO. AF_12/2015</v>
      </c>
      <c r="I339" s="578" t="str">
        <f>IF($G339="","",IFERROR(VLOOKUP($G339,SERVIÇOS!$C:$G,3,0),IFERROR(VLOOKUP($G339,CPU!$F:$M,3,0),"")))</f>
        <v>M</v>
      </c>
      <c r="J339" s="576">
        <v>180</v>
      </c>
      <c r="K339" s="576">
        <f>IF($G339="","",IFERROR(VLOOKUP($G339,SERVIÇOS!$C:$H,6,0),IFERROR(VLOOKUP($G339,CPU!$F:$M,8,0),"")))</f>
        <v>14.14</v>
      </c>
      <c r="L339" s="577">
        <f t="shared" si="209"/>
        <v>0.2354</v>
      </c>
      <c r="M339" s="576">
        <f t="shared" si="210"/>
        <v>17.47</v>
      </c>
      <c r="N339" s="576">
        <f t="shared" si="211"/>
        <v>3144.6</v>
      </c>
      <c r="Q339" s="589">
        <f t="shared" si="212"/>
        <v>3144.6</v>
      </c>
      <c r="S339" s="433"/>
    </row>
    <row r="340" spans="1:21" ht="25.5">
      <c r="A340" s="430">
        <v>306</v>
      </c>
      <c r="B340" s="590"/>
      <c r="C340" s="431" t="str">
        <f t="shared" si="206"/>
        <v>13.2</v>
      </c>
      <c r="D340" s="587">
        <f t="shared" si="207"/>
        <v>8</v>
      </c>
      <c r="E340" s="572" t="str">
        <f t="shared" si="208"/>
        <v>13.2.8</v>
      </c>
      <c r="F340" s="579" t="s">
        <v>2238</v>
      </c>
      <c r="G340" s="581">
        <v>91875</v>
      </c>
      <c r="H340" s="750" t="str">
        <f>IF($G340="","",IFERROR(VLOOKUP($G340,SERVIÇOS!$C:$G,2,0),IFERROR(VLOOKUP($G340,CPU!$F:$M,2,0),"")))</f>
        <v>LUVA PARA ELETRODUTO, PVC, ROSCÁVEL, DN 25 MM (3/4"), PARA CIRCUITOS TERMINAIS, INSTALADA EM FORRO - FORNECIMENTO E INSTALAÇÃO. AF_12/2015</v>
      </c>
      <c r="I340" s="578" t="str">
        <f>IF($G340="","",IFERROR(VLOOKUP($G340,SERVIÇOS!$C:$G,3,0),IFERROR(VLOOKUP($G340,CPU!$F:$M,3,0),"")))</f>
        <v>UN</v>
      </c>
      <c r="J340" s="576">
        <v>60</v>
      </c>
      <c r="K340" s="576">
        <f>IF($G340="","",IFERROR(VLOOKUP($G340,SERVIÇOS!$C:$H,6,0),IFERROR(VLOOKUP($G340,CPU!$F:$M,8,0),"")))</f>
        <v>7.82</v>
      </c>
      <c r="L340" s="577">
        <f t="shared" si="209"/>
        <v>0.2354</v>
      </c>
      <c r="M340" s="576">
        <f t="shared" si="210"/>
        <v>9.66</v>
      </c>
      <c r="N340" s="576">
        <f t="shared" si="211"/>
        <v>579.6</v>
      </c>
      <c r="Q340" s="589">
        <f t="shared" si="212"/>
        <v>579.6</v>
      </c>
      <c r="S340" s="433"/>
    </row>
    <row r="341" spans="1:21" ht="25.5">
      <c r="A341" s="430">
        <v>306</v>
      </c>
      <c r="B341" s="590"/>
      <c r="C341" s="431" t="str">
        <f t="shared" si="206"/>
        <v>13.2</v>
      </c>
      <c r="D341" s="587">
        <f t="shared" si="207"/>
        <v>9</v>
      </c>
      <c r="E341" s="572" t="str">
        <f t="shared" si="208"/>
        <v>13.2.9</v>
      </c>
      <c r="F341" s="579" t="s">
        <v>2239</v>
      </c>
      <c r="G341" s="581" t="s">
        <v>8931</v>
      </c>
      <c r="H341" s="750" t="str">
        <f>IF($G341="","",IFERROR(VLOOKUP($G341,SERVIÇOS!$C:$G,2,0),IFERROR(VLOOKUP($G341,CPU!$F:$M,2,0),"")))</f>
        <v>ELETROCALHA PERFURADA EM AÇO GALVANIZADO, LARGURA 100 MM E ALTURA 50 MM, INCLUSIVE EMENDA E FIXAÇÃO - FORNECIMENTO E INSTALAÇÃO</v>
      </c>
      <c r="I341" s="578" t="str">
        <f>IF($G341="","",IFERROR(VLOOKUP($G341,SERVIÇOS!$C:$G,3,0),IFERROR(VLOOKUP($G341,CPU!$F:$M,3,0),"")))</f>
        <v>M</v>
      </c>
      <c r="J341" s="576">
        <v>36</v>
      </c>
      <c r="K341" s="576">
        <f>IF($G341="","",IFERROR(VLOOKUP($G341,SERVIÇOS!$C:$H,6,0),IFERROR(VLOOKUP($G341,CPU!$F:$M,8,0),"")))</f>
        <v>41.28</v>
      </c>
      <c r="L341" s="577">
        <f t="shared" si="209"/>
        <v>0.2354</v>
      </c>
      <c r="M341" s="576">
        <f t="shared" si="210"/>
        <v>51</v>
      </c>
      <c r="N341" s="576">
        <f t="shared" si="211"/>
        <v>1836</v>
      </c>
      <c r="Q341" s="589">
        <f t="shared" si="212"/>
        <v>1836</v>
      </c>
      <c r="S341" s="433"/>
    </row>
    <row r="342" spans="1:21" ht="25.5">
      <c r="A342" s="430">
        <v>306</v>
      </c>
      <c r="B342" s="590"/>
      <c r="C342" s="431" t="str">
        <f t="shared" si="206"/>
        <v>13.2</v>
      </c>
      <c r="D342" s="587">
        <f t="shared" si="207"/>
        <v>10</v>
      </c>
      <c r="E342" s="572" t="str">
        <f t="shared" si="208"/>
        <v>13.2.10</v>
      </c>
      <c r="F342" s="579" t="s">
        <v>2238</v>
      </c>
      <c r="G342" s="581">
        <v>91940</v>
      </c>
      <c r="H342" s="750" t="str">
        <f>IF($G342="","",IFERROR(VLOOKUP($G342,SERVIÇOS!$C:$G,2,0),IFERROR(VLOOKUP($G342,CPU!$F:$M,2,0),"")))</f>
        <v>CAIXA RETANGULAR 4" X 2" MÉDIA (1,30 M DO PISO), PVC, INSTALADA EM PAREDE - FORNECIMENTO E INSTALAÇÃO. AF_12/2015</v>
      </c>
      <c r="I342" s="578" t="str">
        <f>IF($G342="","",IFERROR(VLOOKUP($G342,SERVIÇOS!$C:$G,3,0),IFERROR(VLOOKUP($G342,CPU!$F:$M,3,0),"")))</f>
        <v>UN</v>
      </c>
      <c r="J342" s="576">
        <v>56</v>
      </c>
      <c r="K342" s="576">
        <f>IF($G342="","",IFERROR(VLOOKUP($G342,SERVIÇOS!$C:$H,6,0),IFERROR(VLOOKUP($G342,CPU!$F:$M,8,0),"")))</f>
        <v>18.03</v>
      </c>
      <c r="L342" s="577">
        <f t="shared" si="209"/>
        <v>0.2354</v>
      </c>
      <c r="M342" s="576">
        <f t="shared" si="210"/>
        <v>22.27</v>
      </c>
      <c r="N342" s="576">
        <f t="shared" si="211"/>
        <v>1247.1199999999999</v>
      </c>
      <c r="Q342" s="589">
        <f t="shared" si="212"/>
        <v>1247.1199999999999</v>
      </c>
      <c r="S342" s="433"/>
    </row>
    <row r="343" spans="1:21" ht="25.5">
      <c r="A343" s="430">
        <v>306</v>
      </c>
      <c r="B343" s="590"/>
      <c r="C343" s="431" t="e">
        <f>+#REF!</f>
        <v>#REF!</v>
      </c>
      <c r="D343" s="587" t="e">
        <f>1+#REF!</f>
        <v>#REF!</v>
      </c>
      <c r="E343" s="572" t="e">
        <f t="shared" si="208"/>
        <v>#REF!</v>
      </c>
      <c r="F343" s="579" t="s">
        <v>2238</v>
      </c>
      <c r="G343" s="581">
        <v>91947</v>
      </c>
      <c r="H343" s="750" t="str">
        <f>IF($G343="","",IFERROR(VLOOKUP($G343,SERVIÇOS!$C:$G,2,0),IFERROR(VLOOKUP($G343,CPU!$F:$M,2,0),"")))</f>
        <v>SUPORTE PARAFUSADO COM PLACA DE ENCAIXE 4" X 2" BAIXO (0,30 M DO PISO) PARA PONTO ELÉTRICO - FORNECIMENTO E INSTALAÇÃO. AF_12/2015</v>
      </c>
      <c r="I343" s="578" t="str">
        <f>IF($G343="","",IFERROR(VLOOKUP($G343,SERVIÇOS!$C:$G,3,0),IFERROR(VLOOKUP($G343,CPU!$F:$M,3,0),"")))</f>
        <v>UN</v>
      </c>
      <c r="J343" s="576">
        <v>38</v>
      </c>
      <c r="K343" s="576">
        <f>IF($G343="","",IFERROR(VLOOKUP($G343,SERVIÇOS!$C:$H,6,0),IFERROR(VLOOKUP($G343,CPU!$F:$M,8,0),"")))</f>
        <v>8.26</v>
      </c>
      <c r="L343" s="577">
        <f t="shared" si="209"/>
        <v>0.2354</v>
      </c>
      <c r="M343" s="576">
        <f t="shared" si="210"/>
        <v>10.199999999999999</v>
      </c>
      <c r="N343" s="576">
        <f t="shared" si="211"/>
        <v>387.6</v>
      </c>
      <c r="Q343" s="589">
        <f t="shared" si="212"/>
        <v>387.6</v>
      </c>
      <c r="S343" s="433"/>
    </row>
    <row r="344" spans="1:21" ht="25.5">
      <c r="A344" s="430">
        <v>306</v>
      </c>
      <c r="B344" s="590"/>
      <c r="C344" s="431" t="e">
        <f t="shared" si="206"/>
        <v>#REF!</v>
      </c>
      <c r="D344" s="587" t="e">
        <f t="shared" si="207"/>
        <v>#REF!</v>
      </c>
      <c r="E344" s="572" t="e">
        <f t="shared" si="208"/>
        <v>#REF!</v>
      </c>
      <c r="F344" s="579" t="s">
        <v>2238</v>
      </c>
      <c r="G344" s="581">
        <v>91947</v>
      </c>
      <c r="H344" s="750" t="str">
        <f>IF($G344="","",IFERROR(VLOOKUP($G344,SERVIÇOS!$C:$G,2,0),IFERROR(VLOOKUP($G344,CPU!$F:$M,2,0),"")))</f>
        <v>SUPORTE PARAFUSADO COM PLACA DE ENCAIXE 4" X 2" BAIXO (0,30 M DO PISO) PARA PONTO ELÉTRICO - FORNECIMENTO E INSTALAÇÃO. AF_12/2015</v>
      </c>
      <c r="I344" s="578" t="str">
        <f>IF($G344="","",IFERROR(VLOOKUP($G344,SERVIÇOS!$C:$G,3,0),IFERROR(VLOOKUP($G344,CPU!$F:$M,3,0),"")))</f>
        <v>UN</v>
      </c>
      <c r="J344" s="576">
        <v>18</v>
      </c>
      <c r="K344" s="576">
        <f>IF($G344="","",IFERROR(VLOOKUP($G344,SERVIÇOS!$C:$H,6,0),IFERROR(VLOOKUP($G344,CPU!$F:$M,8,0),"")))</f>
        <v>8.26</v>
      </c>
      <c r="L344" s="577">
        <f t="shared" si="209"/>
        <v>0.2354</v>
      </c>
      <c r="M344" s="576">
        <f t="shared" si="210"/>
        <v>10.199999999999999</v>
      </c>
      <c r="N344" s="576">
        <f t="shared" si="211"/>
        <v>183.6</v>
      </c>
      <c r="Q344" s="589">
        <f t="shared" si="212"/>
        <v>183.6</v>
      </c>
      <c r="S344" s="433"/>
    </row>
    <row r="345" spans="1:21" ht="25.5">
      <c r="A345" s="430">
        <v>306</v>
      </c>
      <c r="B345" s="590"/>
      <c r="C345" s="431" t="e">
        <f t="shared" si="206"/>
        <v>#REF!</v>
      </c>
      <c r="D345" s="587" t="e">
        <f t="shared" si="207"/>
        <v>#REF!</v>
      </c>
      <c r="E345" s="572" t="e">
        <f t="shared" si="208"/>
        <v>#REF!</v>
      </c>
      <c r="F345" s="579" t="s">
        <v>2239</v>
      </c>
      <c r="G345" s="581" t="s">
        <v>6807</v>
      </c>
      <c r="H345" s="750" t="str">
        <f>IF($G345="","",IFERROR(VLOOKUP($G345,SERVIÇOS!$C:$G,2,0),IFERROR(VLOOKUP($G345,CPU!$F:$M,2,0),"")))</f>
        <v>SISTEMA DE ALARME PNE/PCD COM INDICADOR AUDIOVISUAL TIPO STROBE LIGHT INTERMITENTE, SISTEMA SEM FIO, INCLUSO PLACAS DE SINALIZAÇÃO</v>
      </c>
      <c r="I345" s="578" t="str">
        <f>IF($G345="","",IFERROR(VLOOKUP($G345,SERVIÇOS!$C:$G,3,0),IFERROR(VLOOKUP($G345,CPU!$F:$M,3,0),"")))</f>
        <v>UN</v>
      </c>
      <c r="J345" s="576">
        <v>2</v>
      </c>
      <c r="K345" s="576">
        <f>IF($G345="","",IFERROR(VLOOKUP($G345,SERVIÇOS!$C:$H,6,0),IFERROR(VLOOKUP($G345,CPU!$F:$M,8,0),"")))</f>
        <v>349.53</v>
      </c>
      <c r="L345" s="577">
        <f t="shared" si="209"/>
        <v>0.2354</v>
      </c>
      <c r="M345" s="576">
        <f t="shared" si="210"/>
        <v>431.81</v>
      </c>
      <c r="N345" s="576">
        <f t="shared" si="211"/>
        <v>863.62</v>
      </c>
      <c r="Q345" s="589">
        <f t="shared" si="212"/>
        <v>863.62</v>
      </c>
      <c r="S345" s="433"/>
    </row>
    <row r="346" spans="1:21" ht="25.5">
      <c r="A346" s="430">
        <v>306</v>
      </c>
      <c r="B346" s="590"/>
      <c r="C346" s="431" t="e">
        <f t="shared" si="206"/>
        <v>#REF!</v>
      </c>
      <c r="D346" s="587" t="e">
        <f t="shared" si="207"/>
        <v>#REF!</v>
      </c>
      <c r="E346" s="572" t="e">
        <f t="shared" si="208"/>
        <v>#REF!</v>
      </c>
      <c r="F346" s="579" t="s">
        <v>2238</v>
      </c>
      <c r="G346" s="581">
        <v>98297</v>
      </c>
      <c r="H346" s="750" t="str">
        <f>IF($G346="","",IFERROR(VLOOKUP($G346,SERVIÇOS!$C:$G,2,0),IFERROR(VLOOKUP($G346,CPU!$F:$M,2,0),"")))</f>
        <v>CABO ELETRÔNICO CATEGORIA 6, INSTALADO EM EDIFICAÇÃO INSTITUCIONAL - FORNECIMENTO E INSTALAÇÃO. AF_11/2019</v>
      </c>
      <c r="I346" s="578" t="str">
        <f>IF($G346="","",IFERROR(VLOOKUP($G346,SERVIÇOS!$C:$G,3,0),IFERROR(VLOOKUP($G346,CPU!$F:$M,3,0),"")))</f>
        <v>M</v>
      </c>
      <c r="J346" s="576">
        <v>2500</v>
      </c>
      <c r="K346" s="576">
        <f>IF($G346="","",IFERROR(VLOOKUP($G346,SERVIÇOS!$C:$H,6,0),IFERROR(VLOOKUP($G346,CPU!$F:$M,8,0),"")))</f>
        <v>8.81</v>
      </c>
      <c r="L346" s="577">
        <f t="shared" si="209"/>
        <v>0.2354</v>
      </c>
      <c r="M346" s="576">
        <f t="shared" si="210"/>
        <v>10.88</v>
      </c>
      <c r="N346" s="576">
        <f t="shared" si="211"/>
        <v>27200</v>
      </c>
      <c r="Q346" s="589">
        <f t="shared" si="212"/>
        <v>27200</v>
      </c>
      <c r="S346" s="433"/>
    </row>
    <row r="347" spans="1:21" ht="89.25">
      <c r="A347" s="430">
        <v>306</v>
      </c>
      <c r="B347" s="590"/>
      <c r="C347" s="431" t="e">
        <f t="shared" si="206"/>
        <v>#REF!</v>
      </c>
      <c r="D347" s="587" t="e">
        <f t="shared" si="207"/>
        <v>#REF!</v>
      </c>
      <c r="E347" s="572" t="e">
        <f t="shared" si="208"/>
        <v>#REF!</v>
      </c>
      <c r="F347" s="579" t="s">
        <v>2239</v>
      </c>
      <c r="G347" s="581" t="s">
        <v>6814</v>
      </c>
      <c r="H347" s="750" t="str">
        <f>IF($G347="","",IFERROR(VLOOKUP($G347,SERVIÇOS!$C:$G,2,0),IFERROR(VLOOKUP($G347,CPU!$F:$M,2,0),"")))</f>
        <v>SWITCH GERENCIÀVEL 24 PORTAS POE, CHIPSET BROADCOM BCM53314S + BCM54685*2, FREQUÊNCIA DE BUFFER DE 200MHZ, MEMÓRIA SDRAM DDR 256MBLT, MEMÓRIA FLSAH 128MBLT, 24 PORTAS RJ45 GIGABLT ETHERNET (10/100/1000 MBPS) POE AF/AT ALIMENTAÇÃO 100-140VAC 50/60HZ, COM FONTE DE ALIMENTAÇÃO INTERNA, POTÊNCIA DE CONSUMO MÁXIMA DE 231,02W, TEMPERATUDA DE OPERAÇÃO 0° A 40°C, HOMOLOGADO PELA ANATEL E COERTIFICAÇÃO FCC PART 15B CLASS A</v>
      </c>
      <c r="I347" s="578" t="str">
        <f>IF($G347="","",IFERROR(VLOOKUP($G347,SERVIÇOS!$C:$G,3,0),IFERROR(VLOOKUP($G347,CPU!$F:$M,3,0),"")))</f>
        <v>UN</v>
      </c>
      <c r="J347" s="576">
        <v>3</v>
      </c>
      <c r="K347" s="576">
        <f>IF($G347="","",IFERROR(VLOOKUP($G347,SERVIÇOS!$C:$H,6,0),IFERROR(VLOOKUP($G347,CPU!$F:$M,8,0),"")))</f>
        <v>4651.9799999999996</v>
      </c>
      <c r="L347" s="577">
        <f t="shared" si="209"/>
        <v>0.2354</v>
      </c>
      <c r="M347" s="576">
        <f t="shared" si="210"/>
        <v>5747.06</v>
      </c>
      <c r="N347" s="576">
        <f t="shared" si="211"/>
        <v>17241.18</v>
      </c>
      <c r="Q347" s="589">
        <f t="shared" si="212"/>
        <v>17241.18</v>
      </c>
      <c r="S347" s="433"/>
    </row>
    <row r="348" spans="1:21">
      <c r="A348" s="430">
        <v>312</v>
      </c>
      <c r="B348" s="590"/>
      <c r="C348" s="431" t="str">
        <f>+E348</f>
        <v>13.3</v>
      </c>
      <c r="D348" s="587"/>
      <c r="E348" s="568" t="s">
        <v>8975</v>
      </c>
      <c r="F348" s="569"/>
      <c r="G348" s="569"/>
      <c r="H348" s="749" t="s">
        <v>8998</v>
      </c>
      <c r="I348" s="570"/>
      <c r="J348" s="571"/>
      <c r="K348" s="571"/>
      <c r="L348" s="571"/>
      <c r="M348" s="571"/>
      <c r="N348" s="571"/>
      <c r="P348" s="588"/>
      <c r="Q348" s="589"/>
      <c r="R348" s="588"/>
      <c r="S348" s="433"/>
      <c r="T348" s="588"/>
      <c r="U348" s="588"/>
    </row>
    <row r="349" spans="1:21" ht="25.5">
      <c r="A349" s="430">
        <v>306</v>
      </c>
      <c r="B349" s="590"/>
      <c r="C349" s="431" t="str">
        <f t="shared" si="206"/>
        <v>13.3</v>
      </c>
      <c r="D349" s="587">
        <f t="shared" si="207"/>
        <v>1</v>
      </c>
      <c r="E349" s="572" t="str">
        <f t="shared" si="208"/>
        <v>13.3.1</v>
      </c>
      <c r="F349" s="579" t="s">
        <v>2238</v>
      </c>
      <c r="G349" s="581">
        <v>96977</v>
      </c>
      <c r="H349" s="750" t="str">
        <f>IF($G349="","",IFERROR(VLOOKUP($G349,SERVIÇOS!$C:$G,2,0),IFERROR(VLOOKUP($G349,CPU!$F:$M,2,0),"")))</f>
        <v>CORDOALHA DE COBRE NU 50 MM², ENTERRADA, SEM ISOLADOR - FORNECIMENTO E INSTALAÇÃO. AF_12/2017</v>
      </c>
      <c r="I349" s="578" t="str">
        <f>IF($G349="","",IFERROR(VLOOKUP($G349,SERVIÇOS!$C:$G,3,0),IFERROR(VLOOKUP($G349,CPU!$F:$M,3,0),"")))</f>
        <v>M</v>
      </c>
      <c r="J349" s="576">
        <v>120</v>
      </c>
      <c r="K349" s="576">
        <f>IF($G349="","",IFERROR(VLOOKUP($G349,SERVIÇOS!$C:$H,6,0),IFERROR(VLOOKUP($G349,CPU!$F:$M,8,0),"")))</f>
        <v>59.86</v>
      </c>
      <c r="L349" s="577">
        <f t="shared" si="209"/>
        <v>0.2354</v>
      </c>
      <c r="M349" s="576">
        <f t="shared" si="210"/>
        <v>73.95</v>
      </c>
      <c r="N349" s="576">
        <f t="shared" si="211"/>
        <v>8874</v>
      </c>
      <c r="Q349" s="589">
        <f t="shared" si="212"/>
        <v>8874</v>
      </c>
      <c r="S349" s="433"/>
    </row>
    <row r="350" spans="1:21">
      <c r="A350" s="430">
        <v>306</v>
      </c>
      <c r="B350" s="590"/>
      <c r="C350" s="431" t="str">
        <f t="shared" si="206"/>
        <v>13.3</v>
      </c>
      <c r="D350" s="587">
        <f t="shared" si="207"/>
        <v>2</v>
      </c>
      <c r="E350" s="572" t="str">
        <f t="shared" si="208"/>
        <v>13.3.2</v>
      </c>
      <c r="F350" s="579" t="s">
        <v>2239</v>
      </c>
      <c r="G350" s="581" t="s">
        <v>7487</v>
      </c>
      <c r="H350" s="750" t="str">
        <f>IF($G350="","",IFERROR(VLOOKUP($G350,SERVIÇOS!$C:$G,2,0),IFERROR(VLOOKUP($G350,CPU!$F:$M,2,0),"")))</f>
        <v>HASTE DE ATERRAMENTO TIPO COOPERWELD 5/8"X2,40m</v>
      </c>
      <c r="I350" s="578" t="str">
        <f>IF($G350="","",IFERROR(VLOOKUP($G350,SERVIÇOS!$C:$G,3,0),IFERROR(VLOOKUP($G350,CPU!$F:$M,3,0),"")))</f>
        <v>UN</v>
      </c>
      <c r="J350" s="576">
        <v>19</v>
      </c>
      <c r="K350" s="576">
        <f>IF($G350="","",IFERROR(VLOOKUP($G350,SERVIÇOS!$C:$H,6,0),IFERROR(VLOOKUP($G350,CPU!$F:$M,8,0),"")))</f>
        <v>69.11</v>
      </c>
      <c r="L350" s="577">
        <f t="shared" si="209"/>
        <v>0.2354</v>
      </c>
      <c r="M350" s="576">
        <f t="shared" si="210"/>
        <v>85.38</v>
      </c>
      <c r="N350" s="576">
        <f t="shared" si="211"/>
        <v>1622.22</v>
      </c>
      <c r="Q350" s="589">
        <f t="shared" si="212"/>
        <v>1622.22</v>
      </c>
      <c r="S350" s="433"/>
    </row>
    <row r="351" spans="1:21" ht="25.5">
      <c r="A351" s="430">
        <v>306</v>
      </c>
      <c r="B351" s="590"/>
      <c r="C351" s="431" t="str">
        <f t="shared" si="206"/>
        <v>13.3</v>
      </c>
      <c r="D351" s="587">
        <f t="shared" si="207"/>
        <v>3</v>
      </c>
      <c r="E351" s="572" t="str">
        <f t="shared" si="208"/>
        <v>13.3.3</v>
      </c>
      <c r="F351" s="579" t="s">
        <v>2238</v>
      </c>
      <c r="G351" s="581">
        <v>98111</v>
      </c>
      <c r="H351" s="750" t="str">
        <f>IF($G351="","",IFERROR(VLOOKUP($G351,SERVIÇOS!$C:$G,2,0),IFERROR(VLOOKUP($G351,CPU!$F:$M,2,0),"")))</f>
        <v>CAIXA DE INSPEÇÃO PARA ATERRAMENTO, CIRCULAR, EM POLIETILENO, DIÂMETRO INTERNO = 0,3 M. AF_12/2020</v>
      </c>
      <c r="I351" s="578" t="str">
        <f>IF($G351="","",IFERROR(VLOOKUP($G351,SERVIÇOS!$C:$G,3,0),IFERROR(VLOOKUP($G351,CPU!$F:$M,3,0),"")))</f>
        <v>UN</v>
      </c>
      <c r="J351" s="576">
        <v>7</v>
      </c>
      <c r="K351" s="576">
        <f>IF($G351="","",IFERROR(VLOOKUP($G351,SERVIÇOS!$C:$H,6,0),IFERROR(VLOOKUP($G351,CPU!$F:$M,8,0),"")))</f>
        <v>48.87</v>
      </c>
      <c r="L351" s="577">
        <f t="shared" si="209"/>
        <v>0.2354</v>
      </c>
      <c r="M351" s="576">
        <f t="shared" si="210"/>
        <v>60.37</v>
      </c>
      <c r="N351" s="576">
        <f t="shared" si="211"/>
        <v>422.59</v>
      </c>
      <c r="Q351" s="589">
        <f t="shared" si="212"/>
        <v>422.59</v>
      </c>
      <c r="S351" s="433"/>
    </row>
    <row r="352" spans="1:21">
      <c r="A352" s="430">
        <v>306</v>
      </c>
      <c r="B352" s="590"/>
      <c r="C352" s="431" t="str">
        <f t="shared" si="206"/>
        <v>13.3</v>
      </c>
      <c r="D352" s="587">
        <f t="shared" si="207"/>
        <v>4</v>
      </c>
      <c r="E352" s="572" t="str">
        <f t="shared" si="208"/>
        <v>13.3.4</v>
      </c>
      <c r="F352" s="579" t="s">
        <v>2239</v>
      </c>
      <c r="G352" s="581" t="s">
        <v>6798</v>
      </c>
      <c r="H352" s="750" t="str">
        <f>IF($G352="","",IFERROR(VLOOKUP($G352,SERVIÇOS!$C:$G,2,0),IFERROR(VLOOKUP($G352,CPU!$F:$M,2,0),"")))</f>
        <v>TERMINAL CABO HASTE 50MM2</v>
      </c>
      <c r="I352" s="578" t="str">
        <f>IF($G352="","",IFERROR(VLOOKUP($G352,SERVIÇOS!$C:$G,3,0),IFERROR(VLOOKUP($G352,CPU!$F:$M,3,0),"")))</f>
        <v>UN</v>
      </c>
      <c r="J352" s="576">
        <v>14</v>
      </c>
      <c r="K352" s="576">
        <f>IF($G352="","",IFERROR(VLOOKUP($G352,SERVIÇOS!$C:$H,6,0),IFERROR(VLOOKUP($G352,CPU!$F:$M,8,0),"")))</f>
        <v>37.6</v>
      </c>
      <c r="L352" s="577">
        <f t="shared" si="209"/>
        <v>0.2354</v>
      </c>
      <c r="M352" s="576">
        <f t="shared" si="210"/>
        <v>46.45</v>
      </c>
      <c r="N352" s="576">
        <f t="shared" si="211"/>
        <v>650.29999999999995</v>
      </c>
      <c r="Q352" s="589">
        <f t="shared" si="212"/>
        <v>650.29999999999995</v>
      </c>
      <c r="S352" s="433"/>
    </row>
    <row r="353" spans="1:21">
      <c r="A353" s="430">
        <v>306</v>
      </c>
      <c r="B353" s="590"/>
      <c r="C353" s="431" t="str">
        <f t="shared" si="206"/>
        <v>13.3</v>
      </c>
      <c r="D353" s="587">
        <f t="shared" si="207"/>
        <v>5</v>
      </c>
      <c r="E353" s="572" t="str">
        <f t="shared" si="208"/>
        <v>13.3.5</v>
      </c>
      <c r="F353" s="579" t="s">
        <v>2239</v>
      </c>
      <c r="G353" s="581" t="s">
        <v>6799</v>
      </c>
      <c r="H353" s="750" t="str">
        <f>IF($G353="","",IFERROR(VLOOKUP($G353,SERVIÇOS!$C:$G,2,0),IFERROR(VLOOKUP($G353,CPU!$F:$M,2,0),"")))</f>
        <v>SOLDA EXOTÉRMICA 115</v>
      </c>
      <c r="I353" s="578" t="str">
        <f>IF($G353="","",IFERROR(VLOOKUP($G353,SERVIÇOS!$C:$G,3,0),IFERROR(VLOOKUP($G353,CPU!$F:$M,3,0),"")))</f>
        <v>UN</v>
      </c>
      <c r="J353" s="576">
        <v>12</v>
      </c>
      <c r="K353" s="576">
        <f>IF($G353="","",IFERROR(VLOOKUP($G353,SERVIÇOS!$C:$H,6,0),IFERROR(VLOOKUP($G353,CPU!$F:$M,8,0),"")))</f>
        <v>23.059999999999995</v>
      </c>
      <c r="L353" s="577">
        <f t="shared" si="209"/>
        <v>0.2354</v>
      </c>
      <c r="M353" s="576">
        <f t="shared" si="210"/>
        <v>28.49</v>
      </c>
      <c r="N353" s="576">
        <f t="shared" si="211"/>
        <v>341.88</v>
      </c>
      <c r="Q353" s="589">
        <f t="shared" si="212"/>
        <v>341.88</v>
      </c>
      <c r="S353" s="433"/>
    </row>
    <row r="354" spans="1:21">
      <c r="A354" s="430">
        <v>306</v>
      </c>
      <c r="B354" s="590"/>
      <c r="C354" s="431" t="str">
        <f t="shared" si="206"/>
        <v>13.3</v>
      </c>
      <c r="D354" s="587">
        <f t="shared" si="207"/>
        <v>6</v>
      </c>
      <c r="E354" s="572" t="str">
        <f t="shared" si="208"/>
        <v>13.3.6</v>
      </c>
      <c r="F354" s="579" t="s">
        <v>2239</v>
      </c>
      <c r="G354" s="581" t="s">
        <v>8981</v>
      </c>
      <c r="H354" s="750" t="str">
        <f>IF($G354="","",IFERROR(VLOOKUP($G354,SERVIÇOS!$C:$G,2,0),IFERROR(VLOOKUP($G354,CPU!$F:$M,2,0),"")))</f>
        <v>TERMINAL DE COMPRESSÃO 50MM2</v>
      </c>
      <c r="I354" s="578" t="str">
        <f>IF($G354="","",IFERROR(VLOOKUP($G354,SERVIÇOS!$C:$G,3,0),IFERROR(VLOOKUP($G354,CPU!$F:$M,3,0),"")))</f>
        <v>UN</v>
      </c>
      <c r="J354" s="576">
        <v>7</v>
      </c>
      <c r="K354" s="576">
        <f>IF($G354="","",IFERROR(VLOOKUP($G354,SERVIÇOS!$C:$H,6,0),IFERROR(VLOOKUP($G354,CPU!$F:$M,8,0),"")))</f>
        <v>30.979999999999997</v>
      </c>
      <c r="L354" s="577">
        <f t="shared" si="209"/>
        <v>0.2354</v>
      </c>
      <c r="M354" s="576">
        <f t="shared" si="210"/>
        <v>38.270000000000003</v>
      </c>
      <c r="N354" s="576">
        <f t="shared" si="211"/>
        <v>267.89</v>
      </c>
      <c r="Q354" s="589">
        <f t="shared" si="212"/>
        <v>267.89</v>
      </c>
      <c r="S354" s="433"/>
    </row>
    <row r="355" spans="1:21">
      <c r="A355" s="430">
        <v>306</v>
      </c>
      <c r="B355" s="590"/>
      <c r="C355" s="431" t="str">
        <f t="shared" si="206"/>
        <v>13.3</v>
      </c>
      <c r="D355" s="587">
        <f t="shared" si="207"/>
        <v>7</v>
      </c>
      <c r="E355" s="572" t="str">
        <f t="shared" si="208"/>
        <v>13.3.7</v>
      </c>
      <c r="F355" s="579" t="s">
        <v>2239</v>
      </c>
      <c r="G355" s="581" t="s">
        <v>2952</v>
      </c>
      <c r="H355" s="750" t="str">
        <f>IF($G355="","",IFERROR(VLOOKUP($G355,SERVIÇOS!$C:$G,2,0),IFERROR(VLOOKUP($G355,CPU!$F:$M,2,0),"")))</f>
        <v>CAIXA DE EQUIPOTENCIALIDADE - 40X40X15CM</v>
      </c>
      <c r="I355" s="578" t="str">
        <f>IF($G355="","",IFERROR(VLOOKUP($G355,SERVIÇOS!$C:$G,3,0),IFERROR(VLOOKUP($G355,CPU!$F:$M,3,0),"")))</f>
        <v>UN</v>
      </c>
      <c r="J355" s="576">
        <v>1</v>
      </c>
      <c r="K355" s="576">
        <f>IF($G355="","",IFERROR(VLOOKUP($G355,SERVIÇOS!$C:$H,6,0),IFERROR(VLOOKUP($G355,CPU!$F:$M,8,0),"")))</f>
        <v>603.1400000000001</v>
      </c>
      <c r="L355" s="577">
        <f t="shared" si="209"/>
        <v>0.2354</v>
      </c>
      <c r="M355" s="576">
        <f t="shared" si="210"/>
        <v>745.12</v>
      </c>
      <c r="N355" s="576">
        <f t="shared" si="211"/>
        <v>745.12</v>
      </c>
      <c r="Q355" s="589">
        <f t="shared" si="212"/>
        <v>745.12</v>
      </c>
      <c r="S355" s="433"/>
    </row>
    <row r="356" spans="1:21">
      <c r="A356" s="430">
        <v>306</v>
      </c>
      <c r="B356" s="590"/>
      <c r="C356" s="431" t="str">
        <f t="shared" si="206"/>
        <v>13.3</v>
      </c>
      <c r="D356" s="587">
        <f t="shared" si="207"/>
        <v>8</v>
      </c>
      <c r="E356" s="572" t="str">
        <f t="shared" si="208"/>
        <v>13.3.8</v>
      </c>
      <c r="F356" s="579" t="s">
        <v>2239</v>
      </c>
      <c r="G356" s="581" t="s">
        <v>2951</v>
      </c>
      <c r="H356" s="750" t="str">
        <f>IF($G356="","",IFERROR(VLOOKUP($G356,SERVIÇOS!$C:$G,2,0),IFERROR(VLOOKUP($G356,CPU!$F:$M,2,0),"")))</f>
        <v>BARRA CHATA DE ALUMÍNIO 1/8 X 7/8"</v>
      </c>
      <c r="I356" s="578" t="str">
        <f>IF($G356="","",IFERROR(VLOOKUP($G356,SERVIÇOS!$C:$G,3,0),IFERROR(VLOOKUP($G356,CPU!$F:$M,3,0),"")))</f>
        <v>M</v>
      </c>
      <c r="J356" s="576">
        <v>180</v>
      </c>
      <c r="K356" s="576">
        <f>IF($G356="","",IFERROR(VLOOKUP($G356,SERVIÇOS!$C:$H,6,0),IFERROR(VLOOKUP($G356,CPU!$F:$M,8,0),"")))</f>
        <v>26.71</v>
      </c>
      <c r="L356" s="577">
        <f t="shared" si="209"/>
        <v>0.2354</v>
      </c>
      <c r="M356" s="576">
        <f t="shared" si="210"/>
        <v>33</v>
      </c>
      <c r="N356" s="576">
        <f t="shared" si="211"/>
        <v>5940</v>
      </c>
      <c r="Q356" s="589">
        <f t="shared" si="212"/>
        <v>5940</v>
      </c>
      <c r="S356" s="433"/>
    </row>
    <row r="357" spans="1:21">
      <c r="A357" s="430">
        <v>306</v>
      </c>
      <c r="B357" s="590"/>
      <c r="C357" s="431" t="str">
        <f t="shared" si="206"/>
        <v>13.3</v>
      </c>
      <c r="D357" s="587">
        <f t="shared" si="207"/>
        <v>9</v>
      </c>
      <c r="E357" s="572" t="str">
        <f t="shared" ref="E357:E358" si="213">C357&amp;"."&amp;D357</f>
        <v>13.3.9</v>
      </c>
      <c r="F357" s="579" t="s">
        <v>2239</v>
      </c>
      <c r="G357" s="581" t="s">
        <v>6800</v>
      </c>
      <c r="H357" s="750" t="str">
        <f>IF($G357="","",IFERROR(VLOOKUP($G357,SERVIÇOS!$C:$G,2,0),IFERROR(VLOOKUP($G357,CPU!$F:$M,2,0),"")))</f>
        <v>TERMINAL AÉREO BASE PLANA GALVANIZADO A QUENTE 30CM</v>
      </c>
      <c r="I357" s="578" t="str">
        <f>IF($G357="","",IFERROR(VLOOKUP($G357,SERVIÇOS!$C:$G,3,0),IFERROR(VLOOKUP($G357,CPU!$F:$M,3,0),"")))</f>
        <v>UN</v>
      </c>
      <c r="J357" s="576">
        <v>19</v>
      </c>
      <c r="K357" s="576">
        <f>IF($G357="","",IFERROR(VLOOKUP($G357,SERVIÇOS!$C:$H,6,0),IFERROR(VLOOKUP($G357,CPU!$F:$M,8,0),"")))</f>
        <v>74.680000000000007</v>
      </c>
      <c r="L357" s="577">
        <f t="shared" si="209"/>
        <v>0.2354</v>
      </c>
      <c r="M357" s="576">
        <f t="shared" si="210"/>
        <v>92.26</v>
      </c>
      <c r="N357" s="576">
        <f t="shared" si="211"/>
        <v>1752.94</v>
      </c>
      <c r="Q357" s="589">
        <f t="shared" si="212"/>
        <v>1752.94</v>
      </c>
      <c r="S357" s="433"/>
    </row>
    <row r="358" spans="1:21" ht="25.5">
      <c r="A358" s="430">
        <v>309</v>
      </c>
      <c r="B358" s="590"/>
      <c r="C358" s="431" t="str">
        <f t="shared" si="206"/>
        <v>13.3</v>
      </c>
      <c r="D358" s="587">
        <f t="shared" si="207"/>
        <v>10</v>
      </c>
      <c r="E358" s="572" t="str">
        <f t="shared" si="213"/>
        <v>13.3.10</v>
      </c>
      <c r="F358" s="579" t="s">
        <v>2238</v>
      </c>
      <c r="G358" s="581">
        <v>96973</v>
      </c>
      <c r="H358" s="750" t="str">
        <f>IF($G358="","",IFERROR(VLOOKUP($G358,SERVIÇOS!$C:$G,2,0),IFERROR(VLOOKUP($G358,CPU!$F:$M,2,0),"")))</f>
        <v>CORDOALHA DE COBRE NU 35 MM², NÃO ENTERRADA, COM ISOLADOR - FORNECIMENTO E INSTALAÇÃO. AF_12/2017</v>
      </c>
      <c r="I358" s="578" t="str">
        <f>IF($G358="","",IFERROR(VLOOKUP($G358,SERVIÇOS!$C:$G,3,0),IFERROR(VLOOKUP($G358,CPU!$F:$M,3,0),"")))</f>
        <v>M</v>
      </c>
      <c r="J358" s="576">
        <v>20</v>
      </c>
      <c r="K358" s="576">
        <f>IF($G358="","",IFERROR(VLOOKUP($G358,SERVIÇOS!$C:$H,6,0),IFERROR(VLOOKUP($G358,CPU!$F:$M,8,0),"")))</f>
        <v>67.61</v>
      </c>
      <c r="L358" s="577">
        <f t="shared" si="194"/>
        <v>0.2354</v>
      </c>
      <c r="M358" s="576">
        <f t="shared" si="190"/>
        <v>83.53</v>
      </c>
      <c r="N358" s="576">
        <f t="shared" si="191"/>
        <v>1670.6</v>
      </c>
      <c r="Q358" s="589">
        <f t="shared" si="192"/>
        <v>1670.6</v>
      </c>
      <c r="S358" s="433"/>
    </row>
    <row r="359" spans="1:21">
      <c r="A359" s="430">
        <v>310</v>
      </c>
      <c r="B359" s="590"/>
      <c r="C359" s="431" t="str">
        <f t="shared" si="206"/>
        <v>13.3</v>
      </c>
      <c r="D359" s="587">
        <f t="shared" si="207"/>
        <v>11</v>
      </c>
      <c r="E359" s="572" t="str">
        <f t="shared" ref="E359" si="214">C359&amp;"."&amp;D359</f>
        <v>13.3.11</v>
      </c>
      <c r="F359" s="579" t="s">
        <v>2239</v>
      </c>
      <c r="G359" s="581" t="s">
        <v>8985</v>
      </c>
      <c r="H359" s="750" t="str">
        <f>IF($G359="","",IFERROR(VLOOKUP($G359,SERVIÇOS!$C:$G,2,0),IFERROR(VLOOKUP($G359,CPU!$F:$M,2,0),"")))</f>
        <v>TERMINAL DE PRESSÃO 35MM2</v>
      </c>
      <c r="I359" s="578" t="str">
        <f>IF($G359="","",IFERROR(VLOOKUP($G359,SERVIÇOS!$C:$G,3,0),IFERROR(VLOOKUP($G359,CPU!$F:$M,3,0),"")))</f>
        <v>UN</v>
      </c>
      <c r="J359" s="576">
        <v>7</v>
      </c>
      <c r="K359" s="576">
        <f>IF($G359="","",IFERROR(VLOOKUP($G359,SERVIÇOS!$C:$H,6,0),IFERROR(VLOOKUP($G359,CPU!$F:$M,8,0),"")))</f>
        <v>28.74</v>
      </c>
      <c r="L359" s="577">
        <f t="shared" si="194"/>
        <v>0.2354</v>
      </c>
      <c r="M359" s="576">
        <f t="shared" si="190"/>
        <v>35.51</v>
      </c>
      <c r="N359" s="576">
        <f t="shared" si="191"/>
        <v>248.57</v>
      </c>
      <c r="Q359" s="589">
        <f t="shared" si="192"/>
        <v>248.57</v>
      </c>
      <c r="S359" s="433"/>
    </row>
    <row r="360" spans="1:21">
      <c r="A360" s="430">
        <v>312</v>
      </c>
      <c r="B360" s="590"/>
      <c r="C360" s="431" t="str">
        <f>+E360</f>
        <v>13.4</v>
      </c>
      <c r="D360" s="587"/>
      <c r="E360" s="568" t="s">
        <v>8997</v>
      </c>
      <c r="F360" s="569"/>
      <c r="G360" s="569"/>
      <c r="H360" s="749" t="s">
        <v>8999</v>
      </c>
      <c r="I360" s="570"/>
      <c r="J360" s="571"/>
      <c r="K360" s="571"/>
      <c r="L360" s="571"/>
      <c r="M360" s="571"/>
      <c r="N360" s="571"/>
      <c r="P360" s="588"/>
      <c r="Q360" s="589"/>
      <c r="R360" s="588"/>
      <c r="S360" s="433"/>
      <c r="T360" s="588"/>
      <c r="U360" s="588"/>
    </row>
    <row r="361" spans="1:21" ht="25.5">
      <c r="A361" s="430">
        <v>306</v>
      </c>
      <c r="B361" s="590"/>
      <c r="C361" s="431" t="str">
        <f t="shared" ref="C361:C372" si="215">+C360</f>
        <v>13.4</v>
      </c>
      <c r="D361" s="587">
        <f t="shared" si="207"/>
        <v>1</v>
      </c>
      <c r="E361" s="572" t="str">
        <f t="shared" ref="E361:E365" si="216">C361&amp;"."&amp;D361</f>
        <v>13.4.1</v>
      </c>
      <c r="F361" s="579" t="s">
        <v>2239</v>
      </c>
      <c r="G361" s="581" t="s">
        <v>6811</v>
      </c>
      <c r="H361" s="750" t="str">
        <f>IF($G361="","",IFERROR(VLOOKUP($G361,SERVIÇOS!$C:$G,2,0),IFERROR(VLOOKUP($G361,CPU!$F:$M,2,0),"")))</f>
        <v>ELETRODUTO DE PVC FLEXÍVEL CORRUGADO DN25MM (1") - FORNECIMENTO E INSTALAÇÃO</v>
      </c>
      <c r="I361" s="578" t="str">
        <f>IF($G361="","",IFERROR(VLOOKUP($G361,SERVIÇOS!$C:$G,3,0),IFERROR(VLOOKUP($G361,CPU!$F:$M,3,0),"")))</f>
        <v>M</v>
      </c>
      <c r="J361" s="576">
        <v>52</v>
      </c>
      <c r="K361" s="576">
        <f>IF($G361="","",IFERROR(VLOOKUP($G361,SERVIÇOS!$C:$H,6,0),IFERROR(VLOOKUP($G361,CPU!$F:$M,8,0),"")))</f>
        <v>11.6</v>
      </c>
      <c r="L361" s="577">
        <f t="shared" ref="L361:L365" si="217">IF(J361&lt;&gt;"",$N$1,"")</f>
        <v>0.2354</v>
      </c>
      <c r="M361" s="576">
        <f t="shared" ref="M361:M365" si="218">IF(J361&lt;&gt;0,(ROUND(K361*(L361+1),2)),0)</f>
        <v>14.33</v>
      </c>
      <c r="N361" s="576">
        <f t="shared" ref="N361:N365" si="219">IF(J361="","",ROUND((J361*M361),2))</f>
        <v>745.16</v>
      </c>
      <c r="Q361" s="589">
        <f t="shared" ref="Q361:Q365" si="220">N361</f>
        <v>745.16</v>
      </c>
      <c r="S361" s="433"/>
    </row>
    <row r="362" spans="1:21">
      <c r="A362" s="430">
        <v>306</v>
      </c>
      <c r="B362" s="590"/>
      <c r="C362" s="431" t="str">
        <f t="shared" si="215"/>
        <v>13.4</v>
      </c>
      <c r="D362" s="587">
        <f t="shared" si="207"/>
        <v>2</v>
      </c>
      <c r="E362" s="572" t="str">
        <f t="shared" si="216"/>
        <v>13.4.2</v>
      </c>
      <c r="F362" s="579" t="s">
        <v>2239</v>
      </c>
      <c r="G362" s="581" t="s">
        <v>9002</v>
      </c>
      <c r="H362" s="750" t="str">
        <f>IF($G362="","",IFERROR(VLOOKUP($G362,SERVIÇOS!$C:$G,2,0),IFERROR(VLOOKUP($G362,CPU!$F:$M,2,0),"")))</f>
        <v>CONECTOR P10 FEMEA</v>
      </c>
      <c r="I362" s="578" t="str">
        <f>IF($G362="","",IFERROR(VLOOKUP($G362,SERVIÇOS!$C:$G,3,0),IFERROR(VLOOKUP($G362,CPU!$F:$M,3,0),"")))</f>
        <v xml:space="preserve">UN    </v>
      </c>
      <c r="J362" s="576">
        <v>12</v>
      </c>
      <c r="K362" s="576">
        <f>IF($G362="","",IFERROR(VLOOKUP($G362,SERVIÇOS!$C:$H,6,0),IFERROR(VLOOKUP($G362,CPU!$F:$M,8,0),"")))</f>
        <v>19.89</v>
      </c>
      <c r="L362" s="577">
        <f t="shared" si="217"/>
        <v>0.2354</v>
      </c>
      <c r="M362" s="576">
        <f t="shared" si="218"/>
        <v>24.57</v>
      </c>
      <c r="N362" s="576">
        <f t="shared" si="219"/>
        <v>294.83999999999997</v>
      </c>
      <c r="Q362" s="589">
        <f t="shared" si="220"/>
        <v>294.83999999999997</v>
      </c>
      <c r="S362" s="433"/>
    </row>
    <row r="363" spans="1:21" ht="25.5">
      <c r="A363" s="430">
        <v>306</v>
      </c>
      <c r="B363" s="590"/>
      <c r="C363" s="431" t="str">
        <f t="shared" si="215"/>
        <v>13.4</v>
      </c>
      <c r="D363" s="587">
        <f t="shared" si="207"/>
        <v>3</v>
      </c>
      <c r="E363" s="572" t="str">
        <f t="shared" si="216"/>
        <v>13.4.3</v>
      </c>
      <c r="F363" s="579" t="s">
        <v>2238</v>
      </c>
      <c r="G363" s="581">
        <v>91940</v>
      </c>
      <c r="H363" s="750" t="str">
        <f>IF($G363="","",IFERROR(VLOOKUP($G363,SERVIÇOS!$C:$G,2,0),IFERROR(VLOOKUP($G363,CPU!$F:$M,2,0),"")))</f>
        <v>CAIXA RETANGULAR 4" X 2" MÉDIA (1,30 M DO PISO), PVC, INSTALADA EM PAREDE - FORNECIMENTO E INSTALAÇÃO. AF_12/2015</v>
      </c>
      <c r="I363" s="578" t="str">
        <f>IF($G363="","",IFERROR(VLOOKUP($G363,SERVIÇOS!$C:$G,3,0),IFERROR(VLOOKUP($G363,CPU!$F:$M,3,0),"")))</f>
        <v>UN</v>
      </c>
      <c r="J363" s="576">
        <v>12</v>
      </c>
      <c r="K363" s="576">
        <f>IF($G363="","",IFERROR(VLOOKUP($G363,SERVIÇOS!$C:$H,6,0),IFERROR(VLOOKUP($G363,CPU!$F:$M,8,0),"")))</f>
        <v>18.03</v>
      </c>
      <c r="L363" s="577">
        <f t="shared" si="217"/>
        <v>0.2354</v>
      </c>
      <c r="M363" s="576">
        <f t="shared" si="218"/>
        <v>22.27</v>
      </c>
      <c r="N363" s="576">
        <f t="shared" si="219"/>
        <v>267.24</v>
      </c>
      <c r="Q363" s="589">
        <f t="shared" si="220"/>
        <v>267.24</v>
      </c>
      <c r="S363" s="433"/>
    </row>
    <row r="364" spans="1:21" ht="25.5">
      <c r="A364" s="430">
        <v>306</v>
      </c>
      <c r="B364" s="590"/>
      <c r="C364" s="431" t="str">
        <f t="shared" si="215"/>
        <v>13.4</v>
      </c>
      <c r="D364" s="587">
        <f t="shared" si="207"/>
        <v>4</v>
      </c>
      <c r="E364" s="572" t="str">
        <f t="shared" si="216"/>
        <v>13.4.4</v>
      </c>
      <c r="F364" s="579" t="s">
        <v>2238</v>
      </c>
      <c r="G364" s="581">
        <v>91946</v>
      </c>
      <c r="H364" s="750" t="str">
        <f>IF($G364="","",IFERROR(VLOOKUP($G364,SERVIÇOS!$C:$G,2,0),IFERROR(VLOOKUP($G364,CPU!$F:$M,2,0),"")))</f>
        <v>SUPORTE PARAFUSADO COM PLACA DE ENCAIXE 4" X 2" MÉDIO (1,30 M DO PISO) PARA PONTO ELÉTRICO - FORNECIMENTO E INSTALAÇÃO. AF_12/2015</v>
      </c>
      <c r="I364" s="578" t="str">
        <f>IF($G364="","",IFERROR(VLOOKUP($G364,SERVIÇOS!$C:$G,3,0),IFERROR(VLOOKUP($G364,CPU!$F:$M,3,0),"")))</f>
        <v>UN</v>
      </c>
      <c r="J364" s="576">
        <v>12</v>
      </c>
      <c r="K364" s="576">
        <f>IF($G364="","",IFERROR(VLOOKUP($G364,SERVIÇOS!$C:$H,6,0),IFERROR(VLOOKUP($G364,CPU!$F:$M,8,0),"")))</f>
        <v>9.39</v>
      </c>
      <c r="L364" s="577">
        <f t="shared" si="217"/>
        <v>0.2354</v>
      </c>
      <c r="M364" s="576">
        <f t="shared" si="218"/>
        <v>11.6</v>
      </c>
      <c r="N364" s="576">
        <f t="shared" si="219"/>
        <v>139.19999999999999</v>
      </c>
      <c r="Q364" s="589">
        <f t="shared" si="220"/>
        <v>139.19999999999999</v>
      </c>
      <c r="S364" s="433"/>
    </row>
    <row r="365" spans="1:21" ht="25.5">
      <c r="A365" s="430">
        <v>306</v>
      </c>
      <c r="B365" s="590"/>
      <c r="C365" s="431" t="str">
        <f t="shared" si="215"/>
        <v>13.4</v>
      </c>
      <c r="D365" s="587">
        <f t="shared" si="207"/>
        <v>5</v>
      </c>
      <c r="E365" s="572" t="str">
        <f t="shared" si="216"/>
        <v>13.4.5</v>
      </c>
      <c r="F365" s="579" t="s">
        <v>2238</v>
      </c>
      <c r="G365" s="581">
        <v>97886</v>
      </c>
      <c r="H365" s="750" t="str">
        <f>IF($G365="","",IFERROR(VLOOKUP($G365,SERVIÇOS!$C:$G,2,0),IFERROR(VLOOKUP($G365,CPU!$F:$M,2,0),"")))</f>
        <v>CAIXA ENTERRADA ELÉTRICA RETANGULAR, EM ALVENARIA COM TIJOLOS CERÂMICOS MACIÇOS, FUNDO COM BRITA, DIMENSÕES INTERNAS: 0,3X0,3X0,3 M. AF_12/2020</v>
      </c>
      <c r="I365" s="578" t="str">
        <f>IF($G365="","",IFERROR(VLOOKUP($G365,SERVIÇOS!$C:$G,3,0),IFERROR(VLOOKUP($G365,CPU!$F:$M,3,0),"")))</f>
        <v>UN</v>
      </c>
      <c r="J365" s="576">
        <v>1</v>
      </c>
      <c r="K365" s="576">
        <f>IF($G365="","",IFERROR(VLOOKUP($G365,SERVIÇOS!$C:$H,6,0),IFERROR(VLOOKUP($G365,CPU!$F:$M,8,0),"")))</f>
        <v>171.38</v>
      </c>
      <c r="L365" s="577">
        <f t="shared" si="217"/>
        <v>0.2354</v>
      </c>
      <c r="M365" s="576">
        <f t="shared" si="218"/>
        <v>211.72</v>
      </c>
      <c r="N365" s="576">
        <f t="shared" si="219"/>
        <v>211.72</v>
      </c>
      <c r="Q365" s="589">
        <f t="shared" si="220"/>
        <v>211.72</v>
      </c>
      <c r="S365" s="433"/>
    </row>
    <row r="366" spans="1:21">
      <c r="A366" s="430">
        <v>312</v>
      </c>
      <c r="B366" s="590"/>
      <c r="C366" s="431" t="str">
        <f>+E366</f>
        <v>13.5</v>
      </c>
      <c r="D366" s="587"/>
      <c r="E366" s="568" t="s">
        <v>9015</v>
      </c>
      <c r="F366" s="569"/>
      <c r="G366" s="569"/>
      <c r="H366" s="749" t="s">
        <v>14550</v>
      </c>
      <c r="I366" s="570"/>
      <c r="J366" s="571"/>
      <c r="K366" s="571"/>
      <c r="L366" s="571"/>
      <c r="M366" s="571"/>
      <c r="N366" s="571"/>
      <c r="P366" s="588"/>
      <c r="Q366" s="589"/>
      <c r="R366" s="588"/>
      <c r="S366" s="433"/>
      <c r="T366" s="588"/>
      <c r="U366" s="588"/>
    </row>
    <row r="367" spans="1:21" ht="25.5">
      <c r="A367" s="430">
        <v>306</v>
      </c>
      <c r="B367" s="590"/>
      <c r="C367" s="431" t="str">
        <f t="shared" si="215"/>
        <v>13.5</v>
      </c>
      <c r="D367" s="587">
        <f t="shared" si="207"/>
        <v>1</v>
      </c>
      <c r="E367" s="572" t="str">
        <f t="shared" ref="E367:E372" si="221">C367&amp;"."&amp;D367</f>
        <v>13.5.1</v>
      </c>
      <c r="F367" s="579" t="s">
        <v>2239</v>
      </c>
      <c r="G367" s="581" t="s">
        <v>14551</v>
      </c>
      <c r="H367" s="750" t="str">
        <f>IF($G367="","",IFERROR(VLOOKUP($G367,SERVIÇOS!$C:$G,2,0),IFERROR(VLOOKUP($G367,CPU!$F:$M,2,0),"")))</f>
        <v>CENTRAL DE ALARME MONITORADA COM ATÉ 64 ZONAS - FORNECIMENTO E INSTALAÇÃO</v>
      </c>
      <c r="I367" s="578" t="str">
        <f>IF($G367="","",IFERROR(VLOOKUP($G367,SERVIÇOS!$C:$G,3,0),IFERROR(VLOOKUP($G367,CPU!$F:$M,3,0),"")))</f>
        <v>UN</v>
      </c>
      <c r="J367" s="576">
        <v>1</v>
      </c>
      <c r="K367" s="576">
        <f>IF($G367="","",IFERROR(VLOOKUP($G367,SERVIÇOS!$C:$H,6,0),IFERROR(VLOOKUP($G367,CPU!$F:$M,8,0),"")))</f>
        <v>645.56000000000006</v>
      </c>
      <c r="L367" s="577">
        <f t="shared" ref="L367:L372" si="222">IF(J367&lt;&gt;"",$N$1,"")</f>
        <v>0.2354</v>
      </c>
      <c r="M367" s="576">
        <f t="shared" ref="M367:M372" si="223">IF(J367&lt;&gt;0,(ROUND(K367*(L367+1),2)),0)</f>
        <v>797.52</v>
      </c>
      <c r="N367" s="576">
        <f t="shared" ref="N367:N372" si="224">IF(J367="","",ROUND((J367*M367),2))</f>
        <v>797.52</v>
      </c>
      <c r="Q367" s="589">
        <f t="shared" ref="Q367:Q372" si="225">N367</f>
        <v>797.52</v>
      </c>
      <c r="S367" s="433"/>
    </row>
    <row r="368" spans="1:21">
      <c r="A368" s="430">
        <v>306</v>
      </c>
      <c r="B368" s="590"/>
      <c r="C368" s="431" t="str">
        <f t="shared" si="215"/>
        <v>13.5</v>
      </c>
      <c r="D368" s="587">
        <f t="shared" si="207"/>
        <v>2</v>
      </c>
      <c r="E368" s="572" t="str">
        <f t="shared" si="221"/>
        <v>13.5.2</v>
      </c>
      <c r="F368" s="579" t="s">
        <v>2239</v>
      </c>
      <c r="G368" s="581" t="s">
        <v>14560</v>
      </c>
      <c r="H368" s="750" t="str">
        <f>IF($G368="","",IFERROR(VLOOKUP($G368,SERVIÇOS!$C:$G,2,0),IFERROR(VLOOKUP($G368,CPU!$F:$M,2,0),"")))</f>
        <v>SENSOR DE PRESENÇA INTERNO INFRA-VERMELHO - FORNECIMENTO E INSTALAÇÃO</v>
      </c>
      <c r="I368" s="578" t="str">
        <f>IF($G368="","",IFERROR(VLOOKUP($G368,SERVIÇOS!$C:$G,3,0),IFERROR(VLOOKUP($G368,CPU!$F:$M,3,0),"")))</f>
        <v>UN</v>
      </c>
      <c r="J368" s="576">
        <v>21</v>
      </c>
      <c r="K368" s="576">
        <f>IF($G368="","",IFERROR(VLOOKUP($G368,SERVIÇOS!$C:$H,6,0),IFERROR(VLOOKUP($G368,CPU!$F:$M,8,0),"")))</f>
        <v>151.84000000000003</v>
      </c>
      <c r="L368" s="577">
        <f t="shared" si="222"/>
        <v>0.2354</v>
      </c>
      <c r="M368" s="576">
        <f t="shared" si="223"/>
        <v>187.58</v>
      </c>
      <c r="N368" s="576">
        <f t="shared" si="224"/>
        <v>3939.18</v>
      </c>
      <c r="Q368" s="589">
        <f t="shared" si="225"/>
        <v>3939.18</v>
      </c>
      <c r="S368" s="433"/>
    </row>
    <row r="369" spans="1:21" ht="25.5">
      <c r="A369" s="430">
        <v>306</v>
      </c>
      <c r="B369" s="590"/>
      <c r="C369" s="431" t="str">
        <f t="shared" si="215"/>
        <v>13.5</v>
      </c>
      <c r="D369" s="587">
        <f t="shared" si="207"/>
        <v>3</v>
      </c>
      <c r="E369" s="572" t="str">
        <f t="shared" si="221"/>
        <v>13.5.3</v>
      </c>
      <c r="F369" s="579" t="s">
        <v>2239</v>
      </c>
      <c r="G369" s="581" t="s">
        <v>14552</v>
      </c>
      <c r="H369" s="750" t="str">
        <f>IF($G369="","",IFERROR(VLOOKUP($G369,SERVIÇOS!$C:$G,2,0),IFERROR(VLOOKUP($G369,CPU!$F:$M,2,0),"")))</f>
        <v>ELETRODUTO FLEXÍVEL CORRUGADO PEAD, DN1", PARA CABEAMENTO SUBTERRÂNEO - FORNECIMENTO E INSTALAÇÃO.</v>
      </c>
      <c r="I369" s="578" t="str">
        <f>IF($G369="","",IFERROR(VLOOKUP($G369,SERVIÇOS!$C:$G,3,0),IFERROR(VLOOKUP($G369,CPU!$F:$M,3,0),"")))</f>
        <v>M</v>
      </c>
      <c r="J369" s="576">
        <v>20</v>
      </c>
      <c r="K369" s="576">
        <f>IF($G369="","",IFERROR(VLOOKUP($G369,SERVIÇOS!$C:$H,6,0),IFERROR(VLOOKUP($G369,CPU!$F:$M,8,0),"")))</f>
        <v>7.42</v>
      </c>
      <c r="L369" s="577">
        <f t="shared" si="222"/>
        <v>0.2354</v>
      </c>
      <c r="M369" s="576">
        <f t="shared" si="223"/>
        <v>9.17</v>
      </c>
      <c r="N369" s="576">
        <f t="shared" si="224"/>
        <v>183.4</v>
      </c>
      <c r="Q369" s="589">
        <f t="shared" si="225"/>
        <v>183.4</v>
      </c>
      <c r="S369" s="433"/>
    </row>
    <row r="370" spans="1:21" ht="25.5">
      <c r="A370" s="430">
        <v>306</v>
      </c>
      <c r="B370" s="590"/>
      <c r="C370" s="431" t="str">
        <f t="shared" si="215"/>
        <v>13.5</v>
      </c>
      <c r="D370" s="587">
        <f t="shared" si="207"/>
        <v>4</v>
      </c>
      <c r="E370" s="572" t="str">
        <f t="shared" si="221"/>
        <v>13.5.4</v>
      </c>
      <c r="F370" s="579" t="s">
        <v>2238</v>
      </c>
      <c r="G370" s="581">
        <v>91863</v>
      </c>
      <c r="H370" s="750" t="str">
        <f>IF($G370="","",IFERROR(VLOOKUP($G370,SERVIÇOS!$C:$G,2,0),IFERROR(VLOOKUP($G370,CPU!$F:$M,2,0),"")))</f>
        <v>ELETRODUTO RÍGIDO ROSCÁVEL, PVC, DN 25 MM (3/4"), PARA CIRCUITOS TERMINAIS, INSTALADO EM FORRO - FORNECIMENTO E INSTALAÇÃO. AF_12/2015</v>
      </c>
      <c r="I370" s="578" t="str">
        <f>IF($G370="","",IFERROR(VLOOKUP($G370,SERVIÇOS!$C:$G,3,0),IFERROR(VLOOKUP($G370,CPU!$F:$M,3,0),"")))</f>
        <v>M</v>
      </c>
      <c r="J370" s="576">
        <v>30</v>
      </c>
      <c r="K370" s="576">
        <f>IF($G370="","",IFERROR(VLOOKUP($G370,SERVIÇOS!$C:$H,6,0),IFERROR(VLOOKUP($G370,CPU!$F:$M,8,0),"")))</f>
        <v>14.14</v>
      </c>
      <c r="L370" s="577">
        <f t="shared" si="222"/>
        <v>0.2354</v>
      </c>
      <c r="M370" s="576">
        <f t="shared" si="223"/>
        <v>17.47</v>
      </c>
      <c r="N370" s="576">
        <f t="shared" si="224"/>
        <v>524.1</v>
      </c>
      <c r="Q370" s="589">
        <f t="shared" si="225"/>
        <v>524.1</v>
      </c>
      <c r="S370" s="433"/>
    </row>
    <row r="371" spans="1:21" ht="25.5">
      <c r="A371" s="430">
        <v>306</v>
      </c>
      <c r="B371" s="590"/>
      <c r="C371" s="431" t="str">
        <f t="shared" si="215"/>
        <v>13.5</v>
      </c>
      <c r="D371" s="587">
        <f t="shared" si="207"/>
        <v>5</v>
      </c>
      <c r="E371" s="572" t="str">
        <f t="shared" si="221"/>
        <v>13.5.5</v>
      </c>
      <c r="F371" s="579" t="s">
        <v>2238</v>
      </c>
      <c r="G371" s="581">
        <v>91875</v>
      </c>
      <c r="H371" s="750" t="str">
        <f>IF($G371="","",IFERROR(VLOOKUP($G371,SERVIÇOS!$C:$G,2,0),IFERROR(VLOOKUP($G371,CPU!$F:$M,2,0),"")))</f>
        <v>LUVA PARA ELETRODUTO, PVC, ROSCÁVEL, DN 25 MM (3/4"), PARA CIRCUITOS TERMINAIS, INSTALADA EM FORRO - FORNECIMENTO E INSTALAÇÃO. AF_12/2015</v>
      </c>
      <c r="I371" s="578" t="str">
        <f>IF($G371="","",IFERROR(VLOOKUP($G371,SERVIÇOS!$C:$G,3,0),IFERROR(VLOOKUP($G371,CPU!$F:$M,3,0),"")))</f>
        <v>UN</v>
      </c>
      <c r="J371" s="576">
        <v>4</v>
      </c>
      <c r="K371" s="576">
        <f>IF($G371="","",IFERROR(VLOOKUP($G371,SERVIÇOS!$C:$H,6,0),IFERROR(VLOOKUP($G371,CPU!$F:$M,8,0),"")))</f>
        <v>7.82</v>
      </c>
      <c r="L371" s="577">
        <f t="shared" si="222"/>
        <v>0.2354</v>
      </c>
      <c r="M371" s="576">
        <f t="shared" si="223"/>
        <v>9.66</v>
      </c>
      <c r="N371" s="576">
        <f t="shared" si="224"/>
        <v>38.64</v>
      </c>
      <c r="Q371" s="589">
        <f t="shared" si="225"/>
        <v>38.64</v>
      </c>
      <c r="S371" s="433"/>
    </row>
    <row r="372" spans="1:21" ht="38.25">
      <c r="A372" s="430">
        <v>306</v>
      </c>
      <c r="B372" s="590"/>
      <c r="C372" s="431" t="str">
        <f t="shared" si="215"/>
        <v>13.5</v>
      </c>
      <c r="D372" s="587">
        <f t="shared" si="207"/>
        <v>6</v>
      </c>
      <c r="E372" s="572" t="str">
        <f t="shared" si="221"/>
        <v>13.5.6</v>
      </c>
      <c r="F372" s="579" t="s">
        <v>2238</v>
      </c>
      <c r="G372" s="574">
        <v>91890</v>
      </c>
      <c r="H372" s="750" t="str">
        <f>IF($G372="","",IFERROR(VLOOKUP($G372,SERVIÇOS!$C:$G,2,0),IFERROR(VLOOKUP($G372,CPU!$F:$M,2,0),"")))</f>
        <v>CURVA 90 GRAUS PARA ELETRODUTO, PVC, ROSCÁVEL, DN 25 MM (3/4"), PARA CIRCUITOS TERMINAIS, INSTALADA EM FORRO - FORNECIMENTO E INSTALAÇÃO. AF_12/2015</v>
      </c>
      <c r="I372" s="578" t="str">
        <f>IF($G372="","",IFERROR(VLOOKUP($G372,SERVIÇOS!$C:$G,3,0),IFERROR(VLOOKUP($G372,CPU!$F:$M,3,0),"")))</f>
        <v>UN</v>
      </c>
      <c r="J372" s="576">
        <v>2</v>
      </c>
      <c r="K372" s="576">
        <f>IF($G372="","",IFERROR(VLOOKUP($G372,SERVIÇOS!$C:$H,6,0),IFERROR(VLOOKUP($G372,CPU!$F:$M,8,0),"")))</f>
        <v>13.09</v>
      </c>
      <c r="L372" s="577">
        <f t="shared" si="222"/>
        <v>0.2354</v>
      </c>
      <c r="M372" s="576">
        <f t="shared" si="223"/>
        <v>16.170000000000002</v>
      </c>
      <c r="N372" s="576">
        <f t="shared" si="224"/>
        <v>32.340000000000003</v>
      </c>
      <c r="Q372" s="589">
        <f t="shared" si="225"/>
        <v>32.340000000000003</v>
      </c>
      <c r="S372" s="433"/>
    </row>
    <row r="373" spans="1:21">
      <c r="A373" s="430">
        <v>311</v>
      </c>
      <c r="B373" s="590"/>
      <c r="C373" s="431">
        <f>+E373</f>
        <v>14</v>
      </c>
      <c r="D373" s="587"/>
      <c r="E373" s="859">
        <v>14</v>
      </c>
      <c r="F373" s="860"/>
      <c r="G373" s="860"/>
      <c r="H373" s="861" t="s">
        <v>8477</v>
      </c>
      <c r="I373" s="862"/>
      <c r="J373" s="863"/>
      <c r="K373" s="866"/>
      <c r="L373" s="865"/>
      <c r="M373" s="864"/>
      <c r="N373" s="864">
        <f>SUM(N374:N398)</f>
        <v>76524.41</v>
      </c>
      <c r="Q373" s="589"/>
      <c r="S373" s="433"/>
      <c r="T373" s="433">
        <v>31591.930000000004</v>
      </c>
      <c r="U373" s="433">
        <v>39868.999999999993</v>
      </c>
    </row>
    <row r="374" spans="1:21">
      <c r="A374" s="430">
        <v>312</v>
      </c>
      <c r="B374" s="590"/>
      <c r="C374" s="431" t="str">
        <f>+E374</f>
        <v>14.1</v>
      </c>
      <c r="D374" s="587"/>
      <c r="E374" s="568" t="s">
        <v>6927</v>
      </c>
      <c r="F374" s="569"/>
      <c r="G374" s="569"/>
      <c r="H374" s="749" t="s">
        <v>8476</v>
      </c>
      <c r="I374" s="570"/>
      <c r="J374" s="571"/>
      <c r="K374" s="571"/>
      <c r="L374" s="571"/>
      <c r="M374" s="571"/>
      <c r="N374" s="571"/>
      <c r="P374" s="588"/>
      <c r="Q374" s="589"/>
      <c r="R374" s="588"/>
      <c r="S374" s="433"/>
      <c r="T374" s="588"/>
      <c r="U374" s="588"/>
    </row>
    <row r="375" spans="1:21">
      <c r="A375" s="430">
        <v>313</v>
      </c>
      <c r="B375" s="590"/>
      <c r="C375" s="431" t="str">
        <f t="shared" ref="C375:C398" si="226">+C374</f>
        <v>14.1</v>
      </c>
      <c r="D375" s="587">
        <f t="shared" ref="D375:D398" si="227">1+D374</f>
        <v>1</v>
      </c>
      <c r="E375" s="572" t="str">
        <f t="shared" ref="E375:E378" si="228">C375&amp;"."&amp;D375</f>
        <v>14.1.1</v>
      </c>
      <c r="F375" s="579"/>
      <c r="G375" s="581"/>
      <c r="H375" s="751" t="s">
        <v>8478</v>
      </c>
      <c r="I375" s="578"/>
      <c r="J375" s="576"/>
      <c r="K375" s="576"/>
      <c r="L375" s="577"/>
      <c r="M375" s="576"/>
      <c r="N375" s="576"/>
      <c r="Q375" s="589"/>
      <c r="S375" s="433"/>
    </row>
    <row r="376" spans="1:21" ht="38.25">
      <c r="A376" s="430">
        <v>314</v>
      </c>
      <c r="B376" s="590"/>
      <c r="C376" s="431" t="str">
        <f t="shared" si="226"/>
        <v>14.1</v>
      </c>
      <c r="D376" s="587">
        <f t="shared" si="227"/>
        <v>2</v>
      </c>
      <c r="E376" s="572" t="str">
        <f t="shared" si="228"/>
        <v>14.1.2</v>
      </c>
      <c r="F376" s="579" t="s">
        <v>2239</v>
      </c>
      <c r="G376" s="581" t="s">
        <v>8488</v>
      </c>
      <c r="H376" s="750" t="str">
        <f>IF($G376="","",IFERROR(VLOOKUP($G376,SERVIÇOS!$C:$G,2,0),IFERROR(VLOOKUP($G376,CPU!$F:$M,2,0),"")))</f>
        <v>TUBO EM COBRE FLEXÍVEL, DN 1/4", E=0,8MM, COM ISOLAMENTO EM ESPUMA ELASTOMÉRICA E=10MM, INSTALADO EM RAMAL DE ALIMENTAÇÃO DE AR CONDICIONADO - FORNECIMENTO E INSTLAÇÃO</v>
      </c>
      <c r="I376" s="578" t="str">
        <f>IF($G376="","",IFERROR(VLOOKUP($G376,SERVIÇOS!$C:$G,3,0),IFERROR(VLOOKUP($G376,CPU!$F:$M,3,0),"")))</f>
        <v>M</v>
      </c>
      <c r="J376" s="576">
        <v>135</v>
      </c>
      <c r="K376" s="576">
        <f>IF($G376="","",IFERROR(VLOOKUP($G376,SERVIÇOS!$C:$H,6,0),IFERROR(VLOOKUP($G376,CPU!$F:$M,8,0),"")))</f>
        <v>30.880000000000003</v>
      </c>
      <c r="L376" s="577">
        <f>IF(J376&lt;&gt;"",$N$1,"")</f>
        <v>0.2354</v>
      </c>
      <c r="M376" s="576">
        <f>IF(J376&lt;&gt;0,(ROUND(K376*(L376+1),2)),0)</f>
        <v>38.15</v>
      </c>
      <c r="N376" s="576">
        <f>IF(J376="","",ROUND((J376*M376),2))</f>
        <v>5150.25</v>
      </c>
      <c r="Q376" s="589">
        <f>N376</f>
        <v>5150.25</v>
      </c>
      <c r="S376" s="433"/>
    </row>
    <row r="377" spans="1:21" ht="38.25">
      <c r="A377" s="430">
        <v>315</v>
      </c>
      <c r="B377" s="590"/>
      <c r="C377" s="431" t="str">
        <f t="shared" si="226"/>
        <v>14.1</v>
      </c>
      <c r="D377" s="587">
        <f t="shared" si="227"/>
        <v>3</v>
      </c>
      <c r="E377" s="572" t="str">
        <f t="shared" si="228"/>
        <v>14.1.3</v>
      </c>
      <c r="F377" s="579" t="s">
        <v>2239</v>
      </c>
      <c r="G377" s="581" t="s">
        <v>8489</v>
      </c>
      <c r="H377" s="750" t="str">
        <f>IF($G377="","",IFERROR(VLOOKUP($G377,SERVIÇOS!$C:$G,2,0),IFERROR(VLOOKUP($G377,CPU!$F:$M,2,0),"")))</f>
        <v>TUBO EM COBRE FLEXÍVEL, DN 3/8", E=0,8MM, COM ISOLAMENTO EM ESPUMA ELASTOMÉRICA E=10MM, INSTALADO EM RAMAL DE ALIMENTAÇÃO DE AR CONDICIONADO - FORNECIMENTO E INSTLAÇÃO</v>
      </c>
      <c r="I377" s="578" t="str">
        <f>IF($G377="","",IFERROR(VLOOKUP($G377,SERVIÇOS!$C:$G,3,0),IFERROR(VLOOKUP($G377,CPU!$F:$M,3,0),"")))</f>
        <v>M</v>
      </c>
      <c r="J377" s="576">
        <v>242</v>
      </c>
      <c r="K377" s="576">
        <f>IF($G377="","",IFERROR(VLOOKUP($G377,SERVIÇOS!$C:$H,6,0),IFERROR(VLOOKUP($G377,CPU!$F:$M,8,0),"")))</f>
        <v>52.430000000000007</v>
      </c>
      <c r="L377" s="577">
        <f>IF(J377&lt;&gt;"",$N$1,"")</f>
        <v>0.2354</v>
      </c>
      <c r="M377" s="576">
        <f>IF(J377&lt;&gt;0,(ROUND(K377*(L377+1),2)),0)</f>
        <v>64.77</v>
      </c>
      <c r="N377" s="576">
        <f>IF(J377="","",ROUND((J377*M377),2))</f>
        <v>15674.34</v>
      </c>
      <c r="Q377" s="589">
        <f>N377</f>
        <v>15674.34</v>
      </c>
      <c r="S377" s="433"/>
    </row>
    <row r="378" spans="1:21" ht="38.25">
      <c r="A378" s="430">
        <v>316</v>
      </c>
      <c r="B378" s="590"/>
      <c r="C378" s="431" t="str">
        <f t="shared" si="226"/>
        <v>14.1</v>
      </c>
      <c r="D378" s="587">
        <f t="shared" si="227"/>
        <v>4</v>
      </c>
      <c r="E378" s="572" t="str">
        <f t="shared" si="228"/>
        <v>14.1.4</v>
      </c>
      <c r="F378" s="579" t="s">
        <v>2239</v>
      </c>
      <c r="G378" s="581" t="s">
        <v>8490</v>
      </c>
      <c r="H378" s="750" t="str">
        <f>IF($G378="","",IFERROR(VLOOKUP($G378,SERVIÇOS!$C:$G,2,0),IFERROR(VLOOKUP($G378,CPU!$F:$M,2,0),"")))</f>
        <v>TUBO EM COBRE FLEXÍVEL, DN 5/8", E=0,8MM, COM ISOLAMENTO EM ESPUMA ELASTOMÉRICA E=10MM, INSTALADO EM RAMAL DE ALIMENTAÇÃO DE AR CONDICIONADO - FORNECIMENTO E INSTLAÇÃO</v>
      </c>
      <c r="I378" s="578" t="str">
        <f>IF($G378="","",IFERROR(VLOOKUP($G378,SERVIÇOS!$C:$G,3,0),IFERROR(VLOOKUP($G378,CPU!$F:$M,3,0),"")))</f>
        <v>M</v>
      </c>
      <c r="J378" s="576">
        <v>19</v>
      </c>
      <c r="K378" s="576">
        <f>IF($G378="","",IFERROR(VLOOKUP($G378,SERVIÇOS!$C:$H,6,0),IFERROR(VLOOKUP($G378,CPU!$F:$M,8,0),"")))</f>
        <v>79.89</v>
      </c>
      <c r="L378" s="577">
        <f>IF(J378&lt;&gt;"",$N$1,"")</f>
        <v>0.2354</v>
      </c>
      <c r="M378" s="576">
        <f>IF(J378&lt;&gt;0,(ROUND(K378*(L378+1),2)),0)</f>
        <v>98.7</v>
      </c>
      <c r="N378" s="576">
        <f>IF(J378="","",ROUND((J378*M378),2))</f>
        <v>1875.3</v>
      </c>
      <c r="Q378" s="589">
        <f>N378</f>
        <v>1875.3</v>
      </c>
      <c r="S378" s="433"/>
    </row>
    <row r="379" spans="1:21" ht="38.25">
      <c r="A379" s="430">
        <v>318</v>
      </c>
      <c r="B379" s="590"/>
      <c r="C379" s="431" t="str">
        <f t="shared" si="226"/>
        <v>14.1</v>
      </c>
      <c r="D379" s="587">
        <f t="shared" si="227"/>
        <v>5</v>
      </c>
      <c r="E379" s="572" t="str">
        <f t="shared" ref="E379:E380" si="229">C379&amp;"."&amp;D379</f>
        <v>14.1.5</v>
      </c>
      <c r="F379" s="579" t="s">
        <v>2239</v>
      </c>
      <c r="G379" s="581" t="s">
        <v>8491</v>
      </c>
      <c r="H379" s="750" t="str">
        <f>IF($G379="","",IFERROR(VLOOKUP($G379,SERVIÇOS!$C:$G,2,0),IFERROR(VLOOKUP($G379,CPU!$F:$M,2,0),"")))</f>
        <v>TUBO EM COBRE FLEXÍVEL, DN 3/4", E=0,8MM, COM ISOLAMENTO EM ESPUMA ELASTOMÉRICA E=10MM, INSTALADO EM RAMAL DE ALIMENTAÇÃO DE AR CONDICIONADO - FORNECIMENTO E INSTLAÇÃO</v>
      </c>
      <c r="I379" s="578" t="str">
        <f>IF($G379="","",IFERROR(VLOOKUP($G379,SERVIÇOS!$C:$G,3,0),IFERROR(VLOOKUP($G379,CPU!$F:$M,3,0),"")))</f>
        <v>M</v>
      </c>
      <c r="J379" s="576">
        <v>124</v>
      </c>
      <c r="K379" s="576">
        <f>IF($G379="","",IFERROR(VLOOKUP($G379,SERVIÇOS!$C:$H,6,0),IFERROR(VLOOKUP($G379,CPU!$F:$M,8,0),"")))</f>
        <v>158.27999999999997</v>
      </c>
      <c r="L379" s="577">
        <f>IF(J379&lt;&gt;"",$N$1,"")</f>
        <v>0.2354</v>
      </c>
      <c r="M379" s="576">
        <f>IF(J379&lt;&gt;0,(ROUND(K379*(L379+1),2)),0)</f>
        <v>195.54</v>
      </c>
      <c r="N379" s="576">
        <f>IF(J379="","",ROUND((J379*M379),2))</f>
        <v>24246.959999999999</v>
      </c>
      <c r="Q379" s="589">
        <f>N379</f>
        <v>24246.959999999999</v>
      </c>
      <c r="S379" s="433"/>
    </row>
    <row r="380" spans="1:21">
      <c r="A380" s="430">
        <v>313</v>
      </c>
      <c r="B380" s="590"/>
      <c r="C380" s="431" t="str">
        <f t="shared" si="226"/>
        <v>14.1</v>
      </c>
      <c r="D380" s="587">
        <f t="shared" si="227"/>
        <v>6</v>
      </c>
      <c r="E380" s="572" t="str">
        <f t="shared" si="229"/>
        <v>14.1.6</v>
      </c>
      <c r="F380" s="579"/>
      <c r="G380" s="581"/>
      <c r="H380" s="751" t="s">
        <v>8487</v>
      </c>
      <c r="I380" s="578"/>
      <c r="J380" s="576"/>
      <c r="K380" s="576"/>
      <c r="L380" s="577"/>
      <c r="M380" s="576"/>
      <c r="N380" s="576"/>
      <c r="Q380" s="589"/>
      <c r="S380" s="433"/>
    </row>
    <row r="381" spans="1:21">
      <c r="A381" s="430">
        <v>320</v>
      </c>
      <c r="B381" s="590"/>
      <c r="C381" s="431" t="str">
        <f t="shared" si="226"/>
        <v>14.1</v>
      </c>
      <c r="D381" s="587">
        <f t="shared" si="227"/>
        <v>7</v>
      </c>
      <c r="E381" s="572" t="str">
        <f t="shared" ref="E381:E393" si="230">C381&amp;"."&amp;D381</f>
        <v>14.1.7</v>
      </c>
      <c r="F381" s="579" t="s">
        <v>2239</v>
      </c>
      <c r="G381" s="591" t="s">
        <v>8492</v>
      </c>
      <c r="H381" s="750" t="str">
        <f>IF($G381="","",IFERROR(VLOOKUP($G381,SERVIÇOS!$C:$G,2,0),IFERROR(VLOOKUP($G381,CPU!$F:$M,2,0),"")))</f>
        <v>CAIXA DE PASSAGEM PARA UNIDADES EVAPORADORAS HI-WALL</v>
      </c>
      <c r="I381" s="578" t="str">
        <f>IF($G381="","",IFERROR(VLOOKUP($G381,SERVIÇOS!$C:$G,3,0),IFERROR(VLOOKUP($G381,CPU!$F:$M,3,0),"")))</f>
        <v>UN</v>
      </c>
      <c r="J381" s="576">
        <v>12</v>
      </c>
      <c r="K381" s="576">
        <f>IF($G381="","",IFERROR(VLOOKUP($G381,SERVIÇOS!$C:$H,6,0),IFERROR(VLOOKUP($G381,CPU!$F:$M,8,0),"")))</f>
        <v>42.31</v>
      </c>
      <c r="L381" s="577">
        <f t="shared" ref="L381:L392" si="231">IF(J381&lt;&gt;"",$N$1,"")</f>
        <v>0.2354</v>
      </c>
      <c r="M381" s="576">
        <f t="shared" ref="M381:M392" si="232">IF(J381&lt;&gt;0,(ROUND(K381*(L381+1),2)),0)</f>
        <v>52.27</v>
      </c>
      <c r="N381" s="576">
        <f t="shared" ref="N381:N392" si="233">IF(J381="","",ROUND((J381*M381),2))</f>
        <v>627.24</v>
      </c>
      <c r="Q381" s="589">
        <f t="shared" ref="Q381:Q392" si="234">N381</f>
        <v>627.24</v>
      </c>
      <c r="S381" s="433"/>
    </row>
    <row r="382" spans="1:21">
      <c r="A382" s="430">
        <v>321</v>
      </c>
      <c r="B382" s="590"/>
      <c r="C382" s="431" t="str">
        <f t="shared" si="226"/>
        <v>14.1</v>
      </c>
      <c r="D382" s="587">
        <f t="shared" si="227"/>
        <v>8</v>
      </c>
      <c r="E382" s="572" t="str">
        <f t="shared" si="230"/>
        <v>14.1.8</v>
      </c>
      <c r="F382" s="579" t="s">
        <v>2239</v>
      </c>
      <c r="G382" s="591" t="s">
        <v>8497</v>
      </c>
      <c r="H382" s="750" t="str">
        <f>IF($G382="","",IFERROR(VLOOKUP($G382,SERVIÇOS!$C:$G,2,0),IFERROR(VLOOKUP($G382,CPU!$F:$M,2,0),"")))</f>
        <v>CAIXA DE PASSAGEM PARA UNIDADES EVAPORADORAS PISO-TETO</v>
      </c>
      <c r="I382" s="578" t="str">
        <f>IF($G382="","",IFERROR(VLOOKUP($G382,SERVIÇOS!$C:$G,3,0),IFERROR(VLOOKUP($G382,CPU!$F:$M,3,0),"")))</f>
        <v>UN</v>
      </c>
      <c r="J382" s="576">
        <v>2</v>
      </c>
      <c r="K382" s="576">
        <f>IF($G382="","",IFERROR(VLOOKUP($G382,SERVIÇOS!$C:$H,6,0),IFERROR(VLOOKUP($G382,CPU!$F:$M,8,0),"")))</f>
        <v>42.31</v>
      </c>
      <c r="L382" s="577">
        <f t="shared" si="231"/>
        <v>0.2354</v>
      </c>
      <c r="M382" s="576">
        <f t="shared" si="232"/>
        <v>52.27</v>
      </c>
      <c r="N382" s="576">
        <f t="shared" si="233"/>
        <v>104.54</v>
      </c>
      <c r="Q382" s="589">
        <f t="shared" si="234"/>
        <v>104.54</v>
      </c>
      <c r="S382" s="433"/>
    </row>
    <row r="383" spans="1:21">
      <c r="A383" s="430">
        <v>312</v>
      </c>
      <c r="B383" s="590"/>
      <c r="C383" s="431" t="str">
        <f>+E383</f>
        <v>14.2</v>
      </c>
      <c r="D383" s="587"/>
      <c r="E383" s="568" t="s">
        <v>6928</v>
      </c>
      <c r="F383" s="569"/>
      <c r="G383" s="569"/>
      <c r="H383" s="749" t="s">
        <v>8500</v>
      </c>
      <c r="I383" s="570"/>
      <c r="J383" s="571"/>
      <c r="K383" s="571"/>
      <c r="L383" s="571"/>
      <c r="M383" s="571"/>
      <c r="N383" s="571"/>
      <c r="P383" s="588"/>
      <c r="Q383" s="589"/>
      <c r="R383" s="588"/>
      <c r="S383" s="433"/>
      <c r="T383" s="588"/>
      <c r="U383" s="588"/>
    </row>
    <row r="384" spans="1:21">
      <c r="A384" s="430">
        <v>323</v>
      </c>
      <c r="B384" s="590"/>
      <c r="C384" s="431" t="str">
        <f t="shared" si="226"/>
        <v>14.2</v>
      </c>
      <c r="D384" s="587">
        <f t="shared" si="227"/>
        <v>1</v>
      </c>
      <c r="E384" s="572" t="str">
        <f t="shared" si="230"/>
        <v>14.2.1</v>
      </c>
      <c r="F384" s="579"/>
      <c r="G384" s="591"/>
      <c r="H384" s="751" t="s">
        <v>8535</v>
      </c>
      <c r="I384" s="578" t="str">
        <f>IF($G384="","",IFERROR(VLOOKUP($G384,SERVIÇOS!$C:$G,3,0),IFERROR(VLOOKUP($G384,CPU!$F:$M,3,0),"")))</f>
        <v/>
      </c>
      <c r="J384" s="576"/>
      <c r="K384" s="576" t="str">
        <f>IF($G384="","",IFERROR(VLOOKUP($G384,SERVIÇOS!$C:$H,6,0),IFERROR(VLOOKUP($G384,CPU!$F:$M,8,0),"")))</f>
        <v/>
      </c>
      <c r="L384" s="577" t="str">
        <f t="shared" si="231"/>
        <v/>
      </c>
      <c r="M384" s="576">
        <f t="shared" si="232"/>
        <v>0</v>
      </c>
      <c r="N384" s="576" t="str">
        <f t="shared" si="233"/>
        <v/>
      </c>
      <c r="Q384" s="589" t="str">
        <f t="shared" si="234"/>
        <v/>
      </c>
      <c r="S384" s="433"/>
    </row>
    <row r="385" spans="1:21" ht="38.25">
      <c r="A385" s="430">
        <v>324</v>
      </c>
      <c r="B385" s="590"/>
      <c r="C385" s="431" t="str">
        <f t="shared" si="226"/>
        <v>14.2</v>
      </c>
      <c r="D385" s="587">
        <f t="shared" si="227"/>
        <v>2</v>
      </c>
      <c r="E385" s="572" t="str">
        <f t="shared" si="230"/>
        <v>14.2.2</v>
      </c>
      <c r="F385" s="579" t="s">
        <v>2239</v>
      </c>
      <c r="G385" s="591" t="s">
        <v>8499</v>
      </c>
      <c r="H385" s="750" t="str">
        <f>IF($G385="","",IFERROR(VLOOKUP($G385,SERVIÇOS!$C:$G,2,0),IFERROR(VLOOKUP($G385,CPU!$F:$M,2,0),"")))</f>
        <v>VENTILADOR COMPACTO AXIAL PARA INSTALAÇÃO EM FORRO - VAZÃO 93M3/H - 220V - 20W - 60HZ. REFERÊNCIA: SICFLUX SPLITVENT OU OUTRO EQUIVALENTE TÉCNICO - FORNECIMENTO E INSTALAÇÃO.</v>
      </c>
      <c r="I385" s="578" t="str">
        <f>IF($G385="","",IFERROR(VLOOKUP($G385,SERVIÇOS!$C:$G,3,0),IFERROR(VLOOKUP($G385,CPU!$F:$M,3,0),"")))</f>
        <v>UN</v>
      </c>
      <c r="J385" s="576">
        <v>11</v>
      </c>
      <c r="K385" s="576">
        <f>IF($G385="","",IFERROR(VLOOKUP($G385,SERVIÇOS!$C:$H,6,0),IFERROR(VLOOKUP($G385,CPU!$F:$M,8,0),"")))</f>
        <v>439.74000000000007</v>
      </c>
      <c r="L385" s="577">
        <f t="shared" si="231"/>
        <v>0.2354</v>
      </c>
      <c r="M385" s="576">
        <f t="shared" si="232"/>
        <v>543.25</v>
      </c>
      <c r="N385" s="576">
        <f t="shared" si="233"/>
        <v>5975.75</v>
      </c>
      <c r="Q385" s="589">
        <f t="shared" si="234"/>
        <v>5975.75</v>
      </c>
      <c r="S385" s="433"/>
    </row>
    <row r="386" spans="1:21" ht="38.25">
      <c r="A386" s="430">
        <v>325</v>
      </c>
      <c r="B386" s="590"/>
      <c r="C386" s="431" t="str">
        <f t="shared" si="226"/>
        <v>14.2</v>
      </c>
      <c r="D386" s="587">
        <f t="shared" si="227"/>
        <v>3</v>
      </c>
      <c r="E386" s="572" t="str">
        <f t="shared" si="230"/>
        <v>14.2.3</v>
      </c>
      <c r="F386" s="579" t="s">
        <v>2239</v>
      </c>
      <c r="G386" s="591" t="s">
        <v>8505</v>
      </c>
      <c r="H386" s="750" t="str">
        <f>IF($G386="","",IFERROR(VLOOKUP($G386,SERVIÇOS!$C:$G,2,0),IFERROR(VLOOKUP($G386,CPU!$F:$M,2,0),"")))</f>
        <v>EXAUSTOR AXIAL EM LINHA, ULTRACOMPACTO COM 02 VELOCIDADES, 60HZ, MONOFÁSICO, 127V, VAZÃO MÍNIMA 830 M³/H, REFERÊNCIA. SICFLUX LINHA MAXX 200 OU EQUIVALENTE TÉCNICO - FORNECIMENTO E INSTALAÇÃO.</v>
      </c>
      <c r="I386" s="578" t="str">
        <f>IF($G386="","",IFERROR(VLOOKUP($G386,SERVIÇOS!$C:$G,3,0),IFERROR(VLOOKUP($G386,CPU!$F:$M,3,0),"")))</f>
        <v>UN</v>
      </c>
      <c r="J386" s="576">
        <v>5</v>
      </c>
      <c r="K386" s="576">
        <f>IF($G386="","",IFERROR(VLOOKUP($G386,SERVIÇOS!$C:$H,6,0),IFERROR(VLOOKUP($G386,CPU!$F:$M,8,0),"")))</f>
        <v>1030.1199999999999</v>
      </c>
      <c r="L386" s="577">
        <f t="shared" si="231"/>
        <v>0.2354</v>
      </c>
      <c r="M386" s="576">
        <f t="shared" si="232"/>
        <v>1272.6099999999999</v>
      </c>
      <c r="N386" s="576">
        <f t="shared" si="233"/>
        <v>6363.05</v>
      </c>
      <c r="Q386" s="589">
        <f t="shared" si="234"/>
        <v>6363.05</v>
      </c>
      <c r="S386" s="433"/>
    </row>
    <row r="387" spans="1:21" ht="38.25">
      <c r="A387" s="430">
        <v>326</v>
      </c>
      <c r="B387" s="590"/>
      <c r="C387" s="431" t="str">
        <f t="shared" si="226"/>
        <v>14.2</v>
      </c>
      <c r="D387" s="587">
        <f t="shared" si="227"/>
        <v>4</v>
      </c>
      <c r="E387" s="572" t="str">
        <f t="shared" si="230"/>
        <v>14.2.4</v>
      </c>
      <c r="F387" s="579" t="s">
        <v>2239</v>
      </c>
      <c r="G387" s="591" t="s">
        <v>8511</v>
      </c>
      <c r="H387" s="750" t="str">
        <f>IF($G387="","",IFERROR(VLOOKUP($G387,SERVIÇOS!$C:$G,2,0),IFERROR(VLOOKUP($G387,CPU!$F:$M,2,0),"")))</f>
        <v>UNIDADE DE VENTILAÇÃO EXAUSTORA COMPACTA AXIAL, 60HZ, MONOFÁSICO, 127V, VAZÃO MÁXIMA 183 M³/H. REFERÊNCIA SICFLUX LINHA SONORA 18 OU EQUIVALENTE TÉCNICO - FORNECIMENTO E INSTALAÇÃO.</v>
      </c>
      <c r="I387" s="578" t="str">
        <f>IF($G387="","",IFERROR(VLOOKUP($G387,SERVIÇOS!$C:$G,3,0),IFERROR(VLOOKUP($G387,CPU!$F:$M,3,0),"")))</f>
        <v>UN</v>
      </c>
      <c r="J387" s="576">
        <v>1</v>
      </c>
      <c r="K387" s="576">
        <f>IF($G387="","",IFERROR(VLOOKUP($G387,SERVIÇOS!$C:$H,6,0),IFERROR(VLOOKUP($G387,CPU!$F:$M,8,0),"")))</f>
        <v>332.59</v>
      </c>
      <c r="L387" s="577">
        <f t="shared" si="231"/>
        <v>0.2354</v>
      </c>
      <c r="M387" s="576">
        <f t="shared" si="232"/>
        <v>410.88</v>
      </c>
      <c r="N387" s="576">
        <f t="shared" si="233"/>
        <v>410.88</v>
      </c>
      <c r="Q387" s="589">
        <f t="shared" si="234"/>
        <v>410.88</v>
      </c>
      <c r="S387" s="433"/>
    </row>
    <row r="388" spans="1:21">
      <c r="A388" s="430">
        <v>323</v>
      </c>
      <c r="B388" s="590"/>
      <c r="C388" s="431" t="str">
        <f t="shared" si="226"/>
        <v>14.2</v>
      </c>
      <c r="D388" s="587">
        <f t="shared" si="227"/>
        <v>5</v>
      </c>
      <c r="E388" s="572" t="str">
        <f t="shared" ref="E388" si="235">C388&amp;"."&amp;D388</f>
        <v>14.2.5</v>
      </c>
      <c r="F388" s="579"/>
      <c r="G388" s="591"/>
      <c r="H388" s="751" t="s">
        <v>8534</v>
      </c>
      <c r="I388" s="578" t="str">
        <f>IF($G388="","",IFERROR(VLOOKUP($G388,SERVIÇOS!$C:$G,3,0),IFERROR(VLOOKUP($G388,CPU!$F:$M,3,0),"")))</f>
        <v/>
      </c>
      <c r="J388" s="576"/>
      <c r="K388" s="576" t="str">
        <f>IF($G388="","",IFERROR(VLOOKUP($G388,SERVIÇOS!$C:$H,6,0),IFERROR(VLOOKUP($G388,CPU!$F:$M,8,0),"")))</f>
        <v/>
      </c>
      <c r="L388" s="577" t="str">
        <f t="shared" ref="L388" si="236">IF(J388&lt;&gt;"",$N$1,"")</f>
        <v/>
      </c>
      <c r="M388" s="576">
        <f t="shared" ref="M388" si="237">IF(J388&lt;&gt;0,(ROUND(K388*(L388+1),2)),0)</f>
        <v>0</v>
      </c>
      <c r="N388" s="576" t="str">
        <f t="shared" ref="N388" si="238">IF(J388="","",ROUND((J388*M388),2))</f>
        <v/>
      </c>
      <c r="Q388" s="589" t="str">
        <f t="shared" ref="Q388" si="239">N388</f>
        <v/>
      </c>
      <c r="S388" s="433"/>
    </row>
    <row r="389" spans="1:21" ht="25.5">
      <c r="A389" s="430">
        <v>328</v>
      </c>
      <c r="B389" s="590"/>
      <c r="C389" s="431" t="str">
        <f t="shared" si="226"/>
        <v>14.2</v>
      </c>
      <c r="D389" s="587">
        <f t="shared" si="227"/>
        <v>6</v>
      </c>
      <c r="E389" s="572" t="str">
        <f t="shared" si="230"/>
        <v>14.2.6</v>
      </c>
      <c r="F389" s="579" t="s">
        <v>2239</v>
      </c>
      <c r="G389" s="591" t="s">
        <v>8512</v>
      </c>
      <c r="H389" s="750" t="str">
        <f>IF($G389="","",IFERROR(VLOOKUP($G389,SERVIÇOS!$C:$G,2,0),IFERROR(VLOOKUP($G389,CPU!$F:$M,2,0),"")))</f>
        <v>CAIXA DE FILTRO PARA TOMADA DE AR EXTERNO DE 100M EM PLÁSTICO, INCLUSO FILTRO CLASSE G4, REF. FILBOX RED 100 OU EQUIVALENTE TÉCNICO</v>
      </c>
      <c r="I389" s="578" t="str">
        <f>IF($G389="","",IFERROR(VLOOKUP($G389,SERVIÇOS!$C:$G,3,0),IFERROR(VLOOKUP($G389,CPU!$F:$M,3,0),"")))</f>
        <v>UN</v>
      </c>
      <c r="J389" s="576">
        <v>11</v>
      </c>
      <c r="K389" s="576">
        <f>IF($G389="","",IFERROR(VLOOKUP($G389,SERVIÇOS!$C:$H,6,0),IFERROR(VLOOKUP($G389,CPU!$F:$M,8,0),"")))</f>
        <v>577.41000000000008</v>
      </c>
      <c r="L389" s="577">
        <f t="shared" si="231"/>
        <v>0.2354</v>
      </c>
      <c r="M389" s="576">
        <f t="shared" si="232"/>
        <v>713.33</v>
      </c>
      <c r="N389" s="576">
        <f t="shared" si="233"/>
        <v>7846.63</v>
      </c>
      <c r="Q389" s="589">
        <f t="shared" si="234"/>
        <v>7846.63</v>
      </c>
      <c r="S389" s="433"/>
    </row>
    <row r="390" spans="1:21" ht="25.5">
      <c r="A390" s="430">
        <v>329</v>
      </c>
      <c r="B390" s="590"/>
      <c r="C390" s="431" t="str">
        <f t="shared" si="226"/>
        <v>14.2</v>
      </c>
      <c r="D390" s="587">
        <f t="shared" si="227"/>
        <v>7</v>
      </c>
      <c r="E390" s="572" t="str">
        <f t="shared" si="230"/>
        <v>14.2.7</v>
      </c>
      <c r="F390" s="579" t="s">
        <v>2239</v>
      </c>
      <c r="G390" s="591" t="s">
        <v>8524</v>
      </c>
      <c r="H390" s="750" t="str">
        <f>IF($G390="","",IFERROR(VLOOKUP($G390,SERVIÇOS!$C:$G,2,0),IFERROR(VLOOKUP($G390,CPU!$F:$M,2,0),"")))</f>
        <v>CAIXA DE FILTRO PARA TOMADA DE AR EXTERNO DE 150M EM PLÁSTICO, INCLUSO FILTRO CLASSE G4, REF. FILBOX RED 200 OU EQUIVALENTE TÉCNICO</v>
      </c>
      <c r="I390" s="578" t="str">
        <f>IF($G390="","",IFERROR(VLOOKUP($G390,SERVIÇOS!$C:$G,3,0),IFERROR(VLOOKUP($G390,CPU!$F:$M,3,0),"")))</f>
        <v>UN</v>
      </c>
      <c r="J390" s="576">
        <v>5</v>
      </c>
      <c r="K390" s="576">
        <f>IF($G390="","",IFERROR(VLOOKUP($G390,SERVIÇOS!$C:$H,6,0),IFERROR(VLOOKUP($G390,CPU!$F:$M,8,0),"")))</f>
        <v>917.93</v>
      </c>
      <c r="L390" s="577">
        <f t="shared" si="231"/>
        <v>0.2354</v>
      </c>
      <c r="M390" s="576">
        <f t="shared" si="232"/>
        <v>1134.01</v>
      </c>
      <c r="N390" s="576">
        <f t="shared" si="233"/>
        <v>5670.05</v>
      </c>
      <c r="Q390" s="589">
        <f t="shared" si="234"/>
        <v>5670.05</v>
      </c>
      <c r="S390" s="433"/>
    </row>
    <row r="391" spans="1:21">
      <c r="A391" s="430">
        <v>323</v>
      </c>
      <c r="B391" s="590"/>
      <c r="C391" s="431" t="str">
        <f t="shared" si="226"/>
        <v>14.2</v>
      </c>
      <c r="D391" s="587">
        <f t="shared" si="227"/>
        <v>8</v>
      </c>
      <c r="E391" s="572" t="str">
        <f t="shared" si="230"/>
        <v>14.2.8</v>
      </c>
      <c r="F391" s="579"/>
      <c r="G391" s="591"/>
      <c r="H391" s="751" t="s">
        <v>8533</v>
      </c>
      <c r="I391" s="578" t="str">
        <f>IF($G391="","",IFERROR(VLOOKUP($G391,SERVIÇOS!$C:$G,3,0),IFERROR(VLOOKUP($G391,CPU!$F:$M,3,0),"")))</f>
        <v/>
      </c>
      <c r="J391" s="576"/>
      <c r="K391" s="576" t="str">
        <f>IF($G391="","",IFERROR(VLOOKUP($G391,SERVIÇOS!$C:$H,6,0),IFERROR(VLOOKUP($G391,CPU!$F:$M,8,0),"")))</f>
        <v/>
      </c>
      <c r="L391" s="577" t="str">
        <f t="shared" si="231"/>
        <v/>
      </c>
      <c r="M391" s="576">
        <f t="shared" si="232"/>
        <v>0</v>
      </c>
      <c r="N391" s="576" t="str">
        <f t="shared" si="233"/>
        <v/>
      </c>
      <c r="Q391" s="589" t="str">
        <f t="shared" si="234"/>
        <v/>
      </c>
      <c r="S391" s="433"/>
    </row>
    <row r="392" spans="1:21" ht="25.5">
      <c r="A392" s="430">
        <v>331</v>
      </c>
      <c r="B392" s="590"/>
      <c r="C392" s="431" t="str">
        <f t="shared" si="226"/>
        <v>14.2</v>
      </c>
      <c r="D392" s="587">
        <f t="shared" si="227"/>
        <v>9</v>
      </c>
      <c r="E392" s="572" t="str">
        <f t="shared" si="230"/>
        <v>14.2.9</v>
      </c>
      <c r="F392" s="579" t="s">
        <v>2239</v>
      </c>
      <c r="G392" s="591" t="s">
        <v>8525</v>
      </c>
      <c r="H392" s="750" t="str">
        <f>IF($G392="","",IFERROR(VLOOKUP($G392,SERVIÇOS!$C:$G,2,0),IFERROR(VLOOKUP($G392,CPU!$F:$M,2,0),"")))</f>
        <v>GRELHA PLÁSTICA REDONDA FIXA COM COLARINHO Ø100MM (Ø4"). REF.: SICFLUX GRADE S100 OU EQUIVALENTE TÉCNICO</v>
      </c>
      <c r="I392" s="578" t="str">
        <f>IF($G392="","",IFERROR(VLOOKUP($G392,SERVIÇOS!$C:$G,3,0),IFERROR(VLOOKUP($G392,CPU!$F:$M,3,0),"")))</f>
        <v>UN</v>
      </c>
      <c r="J392" s="576">
        <v>1</v>
      </c>
      <c r="K392" s="576">
        <f>IF($G392="","",IFERROR(VLOOKUP($G392,SERVIÇOS!$C:$H,6,0),IFERROR(VLOOKUP($G392,CPU!$F:$M,8,0),"")))</f>
        <v>24.83</v>
      </c>
      <c r="L392" s="577">
        <f t="shared" si="231"/>
        <v>0.2354</v>
      </c>
      <c r="M392" s="576">
        <f t="shared" si="232"/>
        <v>30.67</v>
      </c>
      <c r="N392" s="576">
        <f t="shared" si="233"/>
        <v>30.67</v>
      </c>
      <c r="Q392" s="589">
        <f t="shared" si="234"/>
        <v>30.67</v>
      </c>
      <c r="S392" s="433"/>
    </row>
    <row r="393" spans="1:21" ht="25.5">
      <c r="A393" s="430">
        <v>332</v>
      </c>
      <c r="B393" s="590"/>
      <c r="C393" s="431" t="str">
        <f t="shared" si="226"/>
        <v>14.2</v>
      </c>
      <c r="D393" s="587">
        <f t="shared" si="227"/>
        <v>10</v>
      </c>
      <c r="E393" s="572" t="str">
        <f t="shared" si="230"/>
        <v>14.2.10</v>
      </c>
      <c r="F393" s="579" t="s">
        <v>2239</v>
      </c>
      <c r="G393" s="591" t="s">
        <v>8530</v>
      </c>
      <c r="H393" s="750" t="str">
        <f>IF($G393="","",IFERROR(VLOOKUP($G393,SERVIÇOS!$C:$G,2,0),IFERROR(VLOOKUP($G393,CPU!$F:$M,2,0),"")))</f>
        <v>GRELHA PLÁSTICA REDONDA FIXA COM COLARINHO Ø200MM (Ø6"). REF.: SICFLUX GRADE S200 OU EQUIVALENTE TÉCNICO</v>
      </c>
      <c r="I393" s="578" t="str">
        <f>IF($G393="","",IFERROR(VLOOKUP($G393,SERVIÇOS!$C:$G,3,0),IFERROR(VLOOKUP($G393,CPU!$F:$M,3,0),"")))</f>
        <v>UN</v>
      </c>
      <c r="J393" s="576">
        <v>5</v>
      </c>
      <c r="K393" s="576">
        <f>IF($G393="","",IFERROR(VLOOKUP($G393,SERVIÇOS!$C:$H,6,0),IFERROR(VLOOKUP($G393,CPU!$F:$M,8,0),"")))</f>
        <v>59.36</v>
      </c>
      <c r="L393" s="577">
        <f>IF(J393&lt;&gt;"",$N$1,"")</f>
        <v>0.2354</v>
      </c>
      <c r="M393" s="576">
        <f>IF(J393&lt;&gt;0,(ROUND(K393*(L393+1),2)),0)</f>
        <v>73.33</v>
      </c>
      <c r="N393" s="576">
        <f>IF(J393="","",ROUND((J393*M393),2))</f>
        <v>366.65</v>
      </c>
      <c r="Q393" s="589">
        <f>N393</f>
        <v>366.65</v>
      </c>
      <c r="S393" s="433"/>
    </row>
    <row r="394" spans="1:21">
      <c r="A394" s="430">
        <v>323</v>
      </c>
      <c r="B394" s="590"/>
      <c r="C394" s="431" t="str">
        <f t="shared" si="226"/>
        <v>14.2</v>
      </c>
      <c r="D394" s="587">
        <f t="shared" si="227"/>
        <v>11</v>
      </c>
      <c r="E394" s="572" t="str">
        <f t="shared" ref="E394" si="240">C394&amp;"."&amp;D394</f>
        <v>14.2.11</v>
      </c>
      <c r="F394" s="579"/>
      <c r="G394" s="591"/>
      <c r="H394" s="751" t="s">
        <v>8532</v>
      </c>
      <c r="I394" s="578" t="str">
        <f>IF($G394="","",IFERROR(VLOOKUP($G394,SERVIÇOS!$C:$G,3,0),IFERROR(VLOOKUP($G394,CPU!$F:$M,3,0),"")))</f>
        <v/>
      </c>
      <c r="J394" s="576"/>
      <c r="K394" s="576" t="str">
        <f>IF($G394="","",IFERROR(VLOOKUP($G394,SERVIÇOS!$C:$H,6,0),IFERROR(VLOOKUP($G394,CPU!$F:$M,8,0),"")))</f>
        <v/>
      </c>
      <c r="L394" s="577" t="str">
        <f t="shared" ref="L394" si="241">IF(J394&lt;&gt;"",$N$1,"")</f>
        <v/>
      </c>
      <c r="M394" s="576">
        <f t="shared" ref="M394" si="242">IF(J394&lt;&gt;0,(ROUND(K394*(L394+1),2)),0)</f>
        <v>0</v>
      </c>
      <c r="N394" s="576" t="str">
        <f t="shared" ref="N394" si="243">IF(J394="","",ROUND((J394*M394),2))</f>
        <v/>
      </c>
      <c r="Q394" s="589" t="str">
        <f t="shared" ref="Q394" si="244">N394</f>
        <v/>
      </c>
      <c r="S394" s="433"/>
    </row>
    <row r="395" spans="1:21" ht="25.5">
      <c r="A395" s="430">
        <v>334</v>
      </c>
      <c r="B395" s="590"/>
      <c r="C395" s="431" t="str">
        <f t="shared" si="226"/>
        <v>14.2</v>
      </c>
      <c r="D395" s="587">
        <f t="shared" si="227"/>
        <v>12</v>
      </c>
      <c r="E395" s="572" t="str">
        <f t="shared" ref="E395:E398" si="245">C395&amp;"."&amp;D395</f>
        <v>14.2.12</v>
      </c>
      <c r="F395" s="579" t="s">
        <v>2239</v>
      </c>
      <c r="G395" s="591" t="s">
        <v>8536</v>
      </c>
      <c r="H395" s="750" t="str">
        <f>IF($G395="","",IFERROR(VLOOKUP($G395,SERVIÇOS!$C:$G,2,0),IFERROR(VLOOKUP($G395,CPU!$F:$M,2,0),"")))</f>
        <v>REGULADOR DE VAZÃO DE AR  Ø200MM (Ø8"). REF.: SICFLUX RVA 200 OU EQUIVALENTE TÉCNICO - FORNECIMENTO E INSTALAÇÃO</v>
      </c>
      <c r="I395" s="578" t="str">
        <f>IF($G395="","",IFERROR(VLOOKUP($G395,SERVIÇOS!$C:$G,3,0),IFERROR(VLOOKUP($G395,CPU!$F:$M,3,0),"")))</f>
        <v>UN</v>
      </c>
      <c r="J395" s="576">
        <v>5</v>
      </c>
      <c r="K395" s="576">
        <f>IF($G395="","",IFERROR(VLOOKUP($G395,SERVIÇOS!$C:$H,6,0),IFERROR(VLOOKUP($G395,CPU!$F:$M,8,0),"")))</f>
        <v>218.28</v>
      </c>
      <c r="L395" s="577">
        <f t="shared" ref="L395:L398" si="246">IF(J395&lt;&gt;"",$N$1,"")</f>
        <v>0.2354</v>
      </c>
      <c r="M395" s="576">
        <f t="shared" ref="M395:M398" si="247">IF(J395&lt;&gt;0,(ROUND(K395*(L395+1),2)),0)</f>
        <v>269.66000000000003</v>
      </c>
      <c r="N395" s="576">
        <f t="shared" ref="N395:N398" si="248">IF(J395="","",ROUND((J395*M395),2))</f>
        <v>1348.3</v>
      </c>
      <c r="Q395" s="589">
        <f t="shared" ref="Q395:Q398" si="249">N395</f>
        <v>1348.3</v>
      </c>
      <c r="S395" s="433"/>
    </row>
    <row r="396" spans="1:21">
      <c r="A396" s="430">
        <v>323</v>
      </c>
      <c r="B396" s="590"/>
      <c r="C396" s="431" t="str">
        <f t="shared" si="226"/>
        <v>14.2</v>
      </c>
      <c r="D396" s="587">
        <f t="shared" si="227"/>
        <v>13</v>
      </c>
      <c r="E396" s="572" t="str">
        <f t="shared" si="245"/>
        <v>14.2.13</v>
      </c>
      <c r="F396" s="579"/>
      <c r="G396" s="591"/>
      <c r="H396" s="751" t="s">
        <v>8540</v>
      </c>
      <c r="I396" s="578" t="str">
        <f>IF($G396="","",IFERROR(VLOOKUP($G396,SERVIÇOS!$C:$G,3,0),IFERROR(VLOOKUP($G396,CPU!$F:$M,3,0),"")))</f>
        <v/>
      </c>
      <c r="J396" s="576"/>
      <c r="K396" s="576" t="str">
        <f>IF($G396="","",IFERROR(VLOOKUP($G396,SERVIÇOS!$C:$H,6,0),IFERROR(VLOOKUP($G396,CPU!$F:$M,8,0),"")))</f>
        <v/>
      </c>
      <c r="L396" s="577" t="str">
        <f t="shared" si="246"/>
        <v/>
      </c>
      <c r="M396" s="576">
        <f t="shared" si="247"/>
        <v>0</v>
      </c>
      <c r="N396" s="576" t="str">
        <f t="shared" si="248"/>
        <v/>
      </c>
      <c r="Q396" s="589" t="str">
        <f t="shared" si="249"/>
        <v/>
      </c>
      <c r="S396" s="433"/>
    </row>
    <row r="397" spans="1:21" ht="25.5">
      <c r="A397" s="430">
        <v>336</v>
      </c>
      <c r="B397" s="590"/>
      <c r="C397" s="431" t="str">
        <f t="shared" si="226"/>
        <v>14.2</v>
      </c>
      <c r="D397" s="587">
        <f t="shared" si="227"/>
        <v>14</v>
      </c>
      <c r="E397" s="572" t="str">
        <f t="shared" si="245"/>
        <v>14.2.14</v>
      </c>
      <c r="F397" s="579" t="s">
        <v>2239</v>
      </c>
      <c r="G397" s="591" t="s">
        <v>8541</v>
      </c>
      <c r="H397" s="750" t="str">
        <f>IF($G397="","",IFERROR(VLOOKUP($G397,SERVIÇOS!$C:$G,2,0),IFERROR(VLOOKUP($G397,CPU!$F:$M,2,0),"")))</f>
        <v>DUTO FLEXÍVEL EM ALUMÍNIO LAMINADO COM ESTRUTURA DE ARAME EM AÇO TRATADO Ø100MM (Ø4"). REF.: SICFLUX FLEX 100 AP OU EQUIVALENTE TÉCNICO</v>
      </c>
      <c r="I397" s="578" t="str">
        <f>IF($G397="","",IFERROR(VLOOKUP($G397,SERVIÇOS!$C:$G,3,0),IFERROR(VLOOKUP($G397,CPU!$F:$M,3,0),"")))</f>
        <v>M</v>
      </c>
      <c r="J397" s="576">
        <v>2</v>
      </c>
      <c r="K397" s="576">
        <f>IF($G397="","",IFERROR(VLOOKUP($G397,SERVIÇOS!$C:$H,6,0),IFERROR(VLOOKUP($G397,CPU!$F:$M,8,0),"")))</f>
        <v>28.71</v>
      </c>
      <c r="L397" s="577">
        <f t="shared" si="246"/>
        <v>0.2354</v>
      </c>
      <c r="M397" s="576">
        <f t="shared" si="247"/>
        <v>35.47</v>
      </c>
      <c r="N397" s="576">
        <f t="shared" si="248"/>
        <v>70.94</v>
      </c>
      <c r="Q397" s="589">
        <f t="shared" si="249"/>
        <v>70.94</v>
      </c>
      <c r="S397" s="433"/>
    </row>
    <row r="398" spans="1:21" ht="25.5">
      <c r="A398" s="430">
        <v>337</v>
      </c>
      <c r="B398" s="590"/>
      <c r="C398" s="431" t="str">
        <f t="shared" si="226"/>
        <v>14.2</v>
      </c>
      <c r="D398" s="587">
        <f t="shared" si="227"/>
        <v>15</v>
      </c>
      <c r="E398" s="572" t="str">
        <f t="shared" si="245"/>
        <v>14.2.15</v>
      </c>
      <c r="F398" s="579" t="s">
        <v>2239</v>
      </c>
      <c r="G398" s="591" t="s">
        <v>8546</v>
      </c>
      <c r="H398" s="750" t="str">
        <f>IF($G398="","",IFERROR(VLOOKUP($G398,SERVIÇOS!$C:$G,2,0),IFERROR(VLOOKUP($G398,CPU!$F:$M,2,0),"")))</f>
        <v>DUTO FLEXÍVEL EM ALUMÍNIO LAMINADO COM ESTRUTURA DE ARAME EM AÇO TRATADO Ø100MM (Ø4"). REF.: SICFLUX FLEX 100 AP OU EQUIVALENTE TÉCNICO</v>
      </c>
      <c r="I398" s="578" t="str">
        <f>IF($G398="","",IFERROR(VLOOKUP($G398,SERVIÇOS!$C:$G,3,0),IFERROR(VLOOKUP($G398,CPU!$F:$M,3,0),"")))</f>
        <v>M</v>
      </c>
      <c r="J398" s="576">
        <v>14</v>
      </c>
      <c r="K398" s="576">
        <f>IF($G398="","",IFERROR(VLOOKUP($G398,SERVIÇOS!$C:$H,6,0),IFERROR(VLOOKUP($G398,CPU!$F:$M,8,0),"")))</f>
        <v>44.11</v>
      </c>
      <c r="L398" s="577">
        <f t="shared" si="246"/>
        <v>0.2354</v>
      </c>
      <c r="M398" s="576">
        <f t="shared" si="247"/>
        <v>54.49</v>
      </c>
      <c r="N398" s="576">
        <f t="shared" si="248"/>
        <v>762.86</v>
      </c>
      <c r="Q398" s="589">
        <f t="shared" si="249"/>
        <v>762.86</v>
      </c>
      <c r="S398" s="433"/>
    </row>
    <row r="399" spans="1:21">
      <c r="A399" s="430">
        <v>311</v>
      </c>
      <c r="B399" s="590"/>
      <c r="C399" s="431">
        <f>+E399</f>
        <v>15</v>
      </c>
      <c r="D399" s="587"/>
      <c r="E399" s="859">
        <v>15</v>
      </c>
      <c r="F399" s="860"/>
      <c r="G399" s="860"/>
      <c r="H399" s="861" t="s">
        <v>3735</v>
      </c>
      <c r="I399" s="862"/>
      <c r="J399" s="863"/>
      <c r="K399" s="866"/>
      <c r="L399" s="865"/>
      <c r="M399" s="864"/>
      <c r="N399" s="864">
        <f>SUM(N400:N425)</f>
        <v>129222.54</v>
      </c>
      <c r="Q399" s="589"/>
      <c r="S399" s="433"/>
      <c r="T399" s="433">
        <v>31591.930000000004</v>
      </c>
      <c r="U399" s="433">
        <v>39868.999999999993</v>
      </c>
    </row>
    <row r="400" spans="1:21">
      <c r="A400" s="430">
        <v>312</v>
      </c>
      <c r="B400" s="590"/>
      <c r="C400" s="431" t="str">
        <f>+E400</f>
        <v>15.1</v>
      </c>
      <c r="D400" s="587"/>
      <c r="E400" s="568" t="s">
        <v>6929</v>
      </c>
      <c r="F400" s="569"/>
      <c r="G400" s="569"/>
      <c r="H400" s="749" t="s">
        <v>7185</v>
      </c>
      <c r="I400" s="570"/>
      <c r="J400" s="571"/>
      <c r="K400" s="571"/>
      <c r="L400" s="571"/>
      <c r="M400" s="571"/>
      <c r="N400" s="571"/>
      <c r="P400" s="588"/>
      <c r="Q400" s="589"/>
      <c r="R400" s="588"/>
      <c r="S400" s="433"/>
      <c r="T400" s="588"/>
      <c r="U400" s="588"/>
    </row>
    <row r="401" spans="1:21">
      <c r="A401" s="430">
        <v>313</v>
      </c>
      <c r="B401" s="590"/>
      <c r="C401" s="431" t="str">
        <f t="shared" ref="C401:C406" si="250">+C400</f>
        <v>15.1</v>
      </c>
      <c r="D401" s="587">
        <f t="shared" ref="D401:D406" si="251">1+D400</f>
        <v>1</v>
      </c>
      <c r="E401" s="572" t="str">
        <f t="shared" ref="E401:E406" si="252">C401&amp;"."&amp;D401</f>
        <v>15.1.1</v>
      </c>
      <c r="F401" s="579"/>
      <c r="G401" s="581"/>
      <c r="H401" s="751" t="s">
        <v>4872</v>
      </c>
      <c r="I401" s="578"/>
      <c r="J401" s="576"/>
      <c r="K401" s="576"/>
      <c r="L401" s="577"/>
      <c r="M401" s="576"/>
      <c r="N401" s="576"/>
      <c r="Q401" s="589"/>
      <c r="S401" s="433"/>
    </row>
    <row r="402" spans="1:21">
      <c r="A402" s="430">
        <v>314</v>
      </c>
      <c r="B402" s="590"/>
      <c r="C402" s="431" t="str">
        <f t="shared" si="250"/>
        <v>15.1</v>
      </c>
      <c r="D402" s="587">
        <f t="shared" si="251"/>
        <v>2</v>
      </c>
      <c r="E402" s="572" t="str">
        <f t="shared" si="252"/>
        <v>15.1.2</v>
      </c>
      <c r="F402" s="579" t="s">
        <v>2238</v>
      </c>
      <c r="G402" s="581">
        <v>88485</v>
      </c>
      <c r="H402" s="750" t="str">
        <f>IF($G402="","",IFERROR(VLOOKUP($G402,SERVIÇOS!$C:$G,2,0),IFERROR(VLOOKUP($G402,CPU!$F:$M,2,0),"")))</f>
        <v>APLICAÇÃO DE FUNDO SELADOR ACRÍLICO EM PAREDES, UMA DEMÃO. AF_06/2014</v>
      </c>
      <c r="I402" s="578" t="str">
        <f>IF($G402="","",IFERROR(VLOOKUP($G402,SERVIÇOS!$C:$G,3,0),IFERROR(VLOOKUP($G402,CPU!$F:$M,3,0),"")))</f>
        <v>M2</v>
      </c>
      <c r="J402" s="576">
        <v>1201.7</v>
      </c>
      <c r="K402" s="576">
        <f>IF($G402="","",IFERROR(VLOOKUP($G402,SERVIÇOS!$C:$H,6,0),IFERROR(VLOOKUP($G402,CPU!$F:$M,8,0),"")))</f>
        <v>3.25</v>
      </c>
      <c r="L402" s="577">
        <f>IF(J402&lt;&gt;"",$N$1,"")</f>
        <v>0.2354</v>
      </c>
      <c r="M402" s="576">
        <f>IF(J402&lt;&gt;0,(ROUND(K402*(L402+1),2)),0)</f>
        <v>4.0199999999999996</v>
      </c>
      <c r="N402" s="576">
        <f>IF(J402="","",ROUND((J402*M402),2))</f>
        <v>4830.83</v>
      </c>
      <c r="Q402" s="589">
        <f>N402</f>
        <v>4830.83</v>
      </c>
      <c r="S402" s="433"/>
    </row>
    <row r="403" spans="1:21">
      <c r="A403" s="430">
        <v>315</v>
      </c>
      <c r="B403" s="590"/>
      <c r="C403" s="431" t="str">
        <f t="shared" si="250"/>
        <v>15.1</v>
      </c>
      <c r="D403" s="587">
        <f t="shared" si="251"/>
        <v>3</v>
      </c>
      <c r="E403" s="572" t="str">
        <f t="shared" si="252"/>
        <v>15.1.3</v>
      </c>
      <c r="F403" s="579" t="s">
        <v>2238</v>
      </c>
      <c r="G403" s="581">
        <v>88495</v>
      </c>
      <c r="H403" s="750" t="str">
        <f>IF($G403="","",IFERROR(VLOOKUP($G403,SERVIÇOS!$C:$G,2,0),IFERROR(VLOOKUP($G403,CPU!$F:$M,2,0),"")))</f>
        <v>APLICAÇÃO E LIXAMENTO DE MASSA LÁTEX EM PAREDES, UMA DEMÃO. AF_06/2014</v>
      </c>
      <c r="I403" s="578" t="str">
        <f>IF($G403="","",IFERROR(VLOOKUP($G403,SERVIÇOS!$C:$G,3,0),IFERROR(VLOOKUP($G403,CPU!$F:$M,3,0),"")))</f>
        <v>M2</v>
      </c>
      <c r="J403" s="576">
        <v>1201.7</v>
      </c>
      <c r="K403" s="576">
        <f>IF($G403="","",IFERROR(VLOOKUP($G403,SERVIÇOS!$C:$H,6,0),IFERROR(VLOOKUP($G403,CPU!$F:$M,8,0),"")))</f>
        <v>14.73</v>
      </c>
      <c r="L403" s="577">
        <f>IF(J403&lt;&gt;"",$N$1,"")</f>
        <v>0.2354</v>
      </c>
      <c r="M403" s="576">
        <f>IF(J403&lt;&gt;0,(ROUND(K403*(L403+1),2)),0)</f>
        <v>18.2</v>
      </c>
      <c r="N403" s="576">
        <f>IF(J403="","",ROUND((J403*M403),2))</f>
        <v>21870.94</v>
      </c>
      <c r="Q403" s="589">
        <f>N403</f>
        <v>21870.94</v>
      </c>
      <c r="S403" s="433"/>
    </row>
    <row r="404" spans="1:21" ht="25.5">
      <c r="A404" s="430">
        <v>316</v>
      </c>
      <c r="B404" s="590"/>
      <c r="C404" s="431" t="str">
        <f t="shared" si="250"/>
        <v>15.1</v>
      </c>
      <c r="D404" s="587">
        <f t="shared" si="251"/>
        <v>4</v>
      </c>
      <c r="E404" s="572" t="str">
        <f t="shared" si="252"/>
        <v>15.1.4</v>
      </c>
      <c r="F404" s="579" t="s">
        <v>2238</v>
      </c>
      <c r="G404" s="581">
        <v>88489</v>
      </c>
      <c r="H404" s="750" t="str">
        <f>IF($G404="","",IFERROR(VLOOKUP($G404,SERVIÇOS!$C:$G,2,0),IFERROR(VLOOKUP($G404,CPU!$F:$M,2,0),"")))</f>
        <v>APLICAÇÃO MANUAL DE PINTURA COM TINTA LÁTEX ACRÍLICA EM PAREDES, DUAS DEMÃOS. AF_06/2014</v>
      </c>
      <c r="I404" s="578" t="str">
        <f>IF($G404="","",IFERROR(VLOOKUP($G404,SERVIÇOS!$C:$G,3,0),IFERROR(VLOOKUP($G404,CPU!$F:$M,3,0),"")))</f>
        <v>M2</v>
      </c>
      <c r="J404" s="576">
        <v>1439.41</v>
      </c>
      <c r="K404" s="576">
        <f>IF($G404="","",IFERROR(VLOOKUP($G404,SERVIÇOS!$C:$H,6,0),IFERROR(VLOOKUP($G404,CPU!$F:$M,8,0),"")))</f>
        <v>16.27</v>
      </c>
      <c r="L404" s="577">
        <f>IF(J404&lt;&gt;"",$N$1,"")</f>
        <v>0.2354</v>
      </c>
      <c r="M404" s="576">
        <f>IF(J404&lt;&gt;0,(ROUND(K404*(L404+1),2)),0)</f>
        <v>20.100000000000001</v>
      </c>
      <c r="N404" s="576">
        <f>IF(J404="","",ROUND((J404*M404),2))</f>
        <v>28932.14</v>
      </c>
      <c r="Q404" s="589">
        <f>N404</f>
        <v>28932.14</v>
      </c>
      <c r="S404" s="433"/>
    </row>
    <row r="405" spans="1:21">
      <c r="A405" s="430">
        <v>317</v>
      </c>
      <c r="B405" s="590"/>
      <c r="C405" s="431" t="str">
        <f t="shared" si="250"/>
        <v>15.1</v>
      </c>
      <c r="D405" s="587">
        <f t="shared" si="251"/>
        <v>5</v>
      </c>
      <c r="E405" s="572" t="str">
        <f t="shared" si="252"/>
        <v>15.1.5</v>
      </c>
      <c r="F405" s="579"/>
      <c r="G405" s="581"/>
      <c r="H405" s="751" t="s">
        <v>4873</v>
      </c>
      <c r="I405" s="578"/>
      <c r="J405" s="576"/>
      <c r="K405" s="576"/>
      <c r="L405" s="577"/>
      <c r="M405" s="576"/>
      <c r="N405" s="576"/>
      <c r="Q405" s="589"/>
      <c r="S405" s="433"/>
    </row>
    <row r="406" spans="1:21">
      <c r="A406" s="430">
        <v>318</v>
      </c>
      <c r="B406" s="590"/>
      <c r="C406" s="431" t="str">
        <f t="shared" si="250"/>
        <v>15.1</v>
      </c>
      <c r="D406" s="587">
        <f t="shared" si="251"/>
        <v>6</v>
      </c>
      <c r="E406" s="572" t="str">
        <f t="shared" si="252"/>
        <v>15.1.6</v>
      </c>
      <c r="F406" s="579" t="s">
        <v>2238</v>
      </c>
      <c r="G406" s="591">
        <v>95305</v>
      </c>
      <c r="H406" s="750" t="str">
        <f>IF($G406="","",IFERROR(VLOOKUP($G406,SERVIÇOS!$C:$G,2,0),IFERROR(VLOOKUP($G406,CPU!$F:$M,2,0),"")))</f>
        <v>TEXTURA ACRÍLICA, APLICAÇÃO MANUAL EM PAREDE, UMA DEMÃO. AF_09/2016</v>
      </c>
      <c r="I406" s="578" t="str">
        <f>IF($G406="","",IFERROR(VLOOKUP($G406,SERVIÇOS!$C:$G,3,0),IFERROR(VLOOKUP($G406,CPU!$F:$M,3,0),"")))</f>
        <v>M2</v>
      </c>
      <c r="J406" s="576">
        <v>887.87</v>
      </c>
      <c r="K406" s="576">
        <f>IF($G406="","",IFERROR(VLOOKUP($G406,SERVIÇOS!$C:$H,6,0),IFERROR(VLOOKUP($G406,CPU!$F:$M,8,0),"")))</f>
        <v>14.77</v>
      </c>
      <c r="L406" s="577">
        <f>IF(J406&lt;&gt;"",$N$1,"")</f>
        <v>0.2354</v>
      </c>
      <c r="M406" s="576">
        <f>IF(J406&lt;&gt;0,(ROUND(K406*(L406+1),2)),0)</f>
        <v>18.25</v>
      </c>
      <c r="N406" s="576">
        <f>IF(J406="","",ROUND((J406*M406),2))</f>
        <v>16203.63</v>
      </c>
      <c r="Q406" s="589">
        <f>N406</f>
        <v>16203.63</v>
      </c>
      <c r="S406" s="433"/>
    </row>
    <row r="407" spans="1:21">
      <c r="A407" s="430">
        <v>320</v>
      </c>
      <c r="B407" s="590"/>
      <c r="C407" s="431" t="str">
        <f>+E407</f>
        <v>15.2</v>
      </c>
      <c r="D407" s="587"/>
      <c r="E407" s="568" t="s">
        <v>8764</v>
      </c>
      <c r="F407" s="569"/>
      <c r="G407" s="569"/>
      <c r="H407" s="749" t="s">
        <v>7184</v>
      </c>
      <c r="I407" s="570"/>
      <c r="J407" s="571"/>
      <c r="K407" s="571"/>
      <c r="L407" s="571"/>
      <c r="M407" s="571"/>
      <c r="N407" s="571"/>
      <c r="P407" s="588"/>
      <c r="Q407" s="589"/>
      <c r="R407" s="588"/>
      <c r="S407" s="433"/>
      <c r="T407" s="588"/>
      <c r="U407" s="588"/>
    </row>
    <row r="408" spans="1:21">
      <c r="A408" s="430">
        <v>321</v>
      </c>
      <c r="B408" s="590"/>
      <c r="C408" s="431" t="str">
        <f>+C407</f>
        <v>15.2</v>
      </c>
      <c r="D408" s="587">
        <f>1+D407</f>
        <v>1</v>
      </c>
      <c r="E408" s="572" t="str">
        <f>C408&amp;"."&amp;D408</f>
        <v>15.2.1</v>
      </c>
      <c r="F408" s="579" t="s">
        <v>2238</v>
      </c>
      <c r="G408" s="581">
        <v>88484</v>
      </c>
      <c r="H408" s="750" t="str">
        <f>IF($G408="","",IFERROR(VLOOKUP($G408,SERVIÇOS!$C:$G,2,0),IFERROR(VLOOKUP($G408,CPU!$F:$M,2,0),"")))</f>
        <v>APLICAÇÃO DE FUNDO SELADOR ACRÍLICO EM TETO, UMA DEMÃO. AF_06/2014</v>
      </c>
      <c r="I408" s="578" t="str">
        <f>IF($G408="","",IFERROR(VLOOKUP($G408,SERVIÇOS!$C:$G,3,0),IFERROR(VLOOKUP($G408,CPU!$F:$M,3,0),"")))</f>
        <v>M2</v>
      </c>
      <c r="J408" s="576">
        <v>10.559999999999999</v>
      </c>
      <c r="K408" s="576">
        <f>IF($G408="","",IFERROR(VLOOKUP($G408,SERVIÇOS!$C:$H,6,0),IFERROR(VLOOKUP($G408,CPU!$F:$M,8,0),"")))</f>
        <v>3.76</v>
      </c>
      <c r="L408" s="577">
        <f>IF(J408&lt;&gt;"",$N$1,"")</f>
        <v>0.2354</v>
      </c>
      <c r="M408" s="576">
        <f>IF(J408&lt;&gt;0,(ROUND(K408*(L408+1),2)),0)</f>
        <v>4.6500000000000004</v>
      </c>
      <c r="N408" s="576">
        <f>IF(J408="","",ROUND((J408*M408),2))</f>
        <v>49.1</v>
      </c>
      <c r="Q408" s="589">
        <f>N408</f>
        <v>49.1</v>
      </c>
      <c r="S408" s="433"/>
    </row>
    <row r="409" spans="1:21">
      <c r="A409" s="430">
        <v>322</v>
      </c>
      <c r="B409" s="590"/>
      <c r="C409" s="431" t="str">
        <f>+C408</f>
        <v>15.2</v>
      </c>
      <c r="D409" s="587">
        <f>1+D408</f>
        <v>2</v>
      </c>
      <c r="E409" s="572" t="str">
        <f>C409&amp;"."&amp;D409</f>
        <v>15.2.2</v>
      </c>
      <c r="F409" s="579" t="s">
        <v>2238</v>
      </c>
      <c r="G409" s="581">
        <v>88494</v>
      </c>
      <c r="H409" s="750" t="str">
        <f>IF($G409="","",IFERROR(VLOOKUP($G409,SERVIÇOS!$C:$G,2,0),IFERROR(VLOOKUP($G409,CPU!$F:$M,2,0),"")))</f>
        <v>APLICAÇÃO E LIXAMENTO DE MASSA LÁTEX EM TETO, UMA DEMÃO. AF_06/2014</v>
      </c>
      <c r="I409" s="578" t="str">
        <f>IF($G409="","",IFERROR(VLOOKUP($G409,SERVIÇOS!$C:$G,3,0),IFERROR(VLOOKUP($G409,CPU!$F:$M,3,0),"")))</f>
        <v>M2</v>
      </c>
      <c r="J409" s="576">
        <v>183.07000000000002</v>
      </c>
      <c r="K409" s="576">
        <f>IF($G409="","",IFERROR(VLOOKUP($G409,SERVIÇOS!$C:$H,6,0),IFERROR(VLOOKUP($G409,CPU!$F:$M,8,0),"")))</f>
        <v>25.72</v>
      </c>
      <c r="L409" s="577">
        <f>IF(J409&lt;&gt;"",$N$1,"")</f>
        <v>0.2354</v>
      </c>
      <c r="M409" s="576">
        <f>IF(J409&lt;&gt;0,(ROUND(K409*(L409+1),2)),0)</f>
        <v>31.77</v>
      </c>
      <c r="N409" s="576">
        <f>IF(J409="","",ROUND((J409*M409),2))</f>
        <v>5816.13</v>
      </c>
      <c r="Q409" s="589">
        <f>N409</f>
        <v>5816.13</v>
      </c>
      <c r="S409" s="433"/>
    </row>
    <row r="410" spans="1:21" ht="25.5">
      <c r="A410" s="430">
        <v>323</v>
      </c>
      <c r="B410" s="590"/>
      <c r="C410" s="431" t="str">
        <f>+C409</f>
        <v>15.2</v>
      </c>
      <c r="D410" s="587">
        <f>1+D409</f>
        <v>3</v>
      </c>
      <c r="E410" s="572" t="str">
        <f>C410&amp;"."&amp;D410</f>
        <v>15.2.3</v>
      </c>
      <c r="F410" s="579" t="s">
        <v>2238</v>
      </c>
      <c r="G410" s="581">
        <v>88488</v>
      </c>
      <c r="H410" s="750" t="str">
        <f>IF($G410="","",IFERROR(VLOOKUP($G410,SERVIÇOS!$C:$G,2,0),IFERROR(VLOOKUP($G410,CPU!$F:$M,2,0),"")))</f>
        <v>APLICAÇÃO MANUAL DE PINTURA COM TINTA LÁTEX ACRÍLICA EM TETO, DUAS DEMÃOS. AF_06/2014</v>
      </c>
      <c r="I410" s="578" t="str">
        <f>IF($G410="","",IFERROR(VLOOKUP($G410,SERVIÇOS!$C:$G,3,0),IFERROR(VLOOKUP($G410,CPU!$F:$M,3,0),"")))</f>
        <v>M2</v>
      </c>
      <c r="J410" s="576">
        <v>183.07000000000002</v>
      </c>
      <c r="K410" s="576">
        <f>IF($G410="","",IFERROR(VLOOKUP($G410,SERVIÇOS!$C:$H,6,0),IFERROR(VLOOKUP($G410,CPU!$F:$M,8,0),"")))</f>
        <v>18.579999999999998</v>
      </c>
      <c r="L410" s="577">
        <f>IF(J410&lt;&gt;"",$N$1,"")</f>
        <v>0.2354</v>
      </c>
      <c r="M410" s="576">
        <f>IF(J410&lt;&gt;0,(ROUND(K410*(L410+1),2)),0)</f>
        <v>22.95</v>
      </c>
      <c r="N410" s="576">
        <f>IF(J410="","",ROUND((J410*M410),2))</f>
        <v>4201.46</v>
      </c>
      <c r="Q410" s="589">
        <f>N410</f>
        <v>4201.46</v>
      </c>
      <c r="S410" s="433"/>
    </row>
    <row r="411" spans="1:21">
      <c r="A411" s="430">
        <v>324</v>
      </c>
      <c r="B411" s="590"/>
      <c r="C411" s="431" t="str">
        <f>+E411</f>
        <v>15.3</v>
      </c>
      <c r="D411" s="587"/>
      <c r="E411" s="568" t="s">
        <v>8765</v>
      </c>
      <c r="F411" s="569"/>
      <c r="G411" s="569"/>
      <c r="H411" s="749" t="s">
        <v>7183</v>
      </c>
      <c r="I411" s="570"/>
      <c r="J411" s="571"/>
      <c r="K411" s="571"/>
      <c r="L411" s="571"/>
      <c r="M411" s="571"/>
      <c r="N411" s="571"/>
      <c r="P411" s="588"/>
      <c r="Q411" s="589"/>
      <c r="R411" s="588"/>
      <c r="S411" s="433"/>
      <c r="T411" s="588"/>
      <c r="U411" s="588"/>
    </row>
    <row r="412" spans="1:21" ht="25.5">
      <c r="A412" s="430">
        <v>325</v>
      </c>
      <c r="B412" s="590"/>
      <c r="C412" s="431" t="str">
        <f>+C411</f>
        <v>15.3</v>
      </c>
      <c r="D412" s="587">
        <f>1+D411</f>
        <v>1</v>
      </c>
      <c r="E412" s="572" t="str">
        <f>C412&amp;"."&amp;D412</f>
        <v>15.3.1</v>
      </c>
      <c r="F412" s="579" t="s">
        <v>2238</v>
      </c>
      <c r="G412" s="581">
        <v>102501</v>
      </c>
      <c r="H412" s="750" t="str">
        <f>IF($G412="","",IFERROR(VLOOKUP($G412,SERVIÇOS!$C:$G,2,0),IFERROR(VLOOKUP($G412,CPU!$F:$M,2,0),"")))</f>
        <v>PINTURA DE FAIXA DE PEDESTRE OU ZEBRADA COM TINTA ACRÍLICA, E  = 30 CM, APLICAÇÃO MANUAL. AF_05/2021</v>
      </c>
      <c r="I412" s="578" t="str">
        <f>IF($G412="","",IFERROR(VLOOKUP($G412,SERVIÇOS!$C:$G,3,0),IFERROR(VLOOKUP($G412,CPU!$F:$M,3,0),"")))</f>
        <v>M2</v>
      </c>
      <c r="J412" s="576">
        <v>16.559999999999999</v>
      </c>
      <c r="K412" s="576">
        <f>IF($G412="","",IFERROR(VLOOKUP($G412,SERVIÇOS!$C:$H,6,0),IFERROR(VLOOKUP($G412,CPU!$F:$M,8,0),"")))</f>
        <v>25.68</v>
      </c>
      <c r="L412" s="577">
        <f>IF(J412&lt;&gt;"",$N$1,"")</f>
        <v>0.2354</v>
      </c>
      <c r="M412" s="576">
        <f>IF(J412&lt;&gt;0,(ROUND(K412*(L412+1),2)),0)</f>
        <v>31.73</v>
      </c>
      <c r="N412" s="576">
        <f>IF(J412="","",ROUND((J412*M412),2))</f>
        <v>525.45000000000005</v>
      </c>
      <c r="Q412" s="589">
        <f>N412</f>
        <v>525.45000000000005</v>
      </c>
      <c r="S412" s="433"/>
    </row>
    <row r="413" spans="1:21" ht="25.5">
      <c r="A413" s="430">
        <v>326</v>
      </c>
      <c r="B413" s="590"/>
      <c r="C413" s="431" t="str">
        <f>+C412</f>
        <v>15.3</v>
      </c>
      <c r="D413" s="587">
        <f>1+D412</f>
        <v>2</v>
      </c>
      <c r="E413" s="572" t="str">
        <f>C413&amp;"."&amp;D413</f>
        <v>15.3.2</v>
      </c>
      <c r="F413" s="579" t="s">
        <v>2238</v>
      </c>
      <c r="G413" s="581">
        <v>102513</v>
      </c>
      <c r="H413" s="750" t="str">
        <f>IF($G413="","",IFERROR(VLOOKUP($G413,SERVIÇOS!$C:$G,2,0),IFERROR(VLOOKUP($G413,CPU!$F:$M,2,0),"")))</f>
        <v>PINTURA DE SÍMBOLOS E TEXTOS COM TINTA ACRÍLICA, DEMARCAÇÃO COM FITA ADESIVA E APLICAÇÃO COM ROLO. AF_05/2021</v>
      </c>
      <c r="I413" s="578" t="str">
        <f>IF($G413="","",IFERROR(VLOOKUP($G413,SERVIÇOS!$C:$G,3,0),IFERROR(VLOOKUP($G413,CPU!$F:$M,3,0),"")))</f>
        <v>M2</v>
      </c>
      <c r="J413" s="576">
        <v>4.38</v>
      </c>
      <c r="K413" s="576">
        <f>IF($G413="","",IFERROR(VLOOKUP($G413,SERVIÇOS!$C:$H,6,0),IFERROR(VLOOKUP($G413,CPU!$F:$M,8,0),"")))</f>
        <v>49.52</v>
      </c>
      <c r="L413" s="577">
        <f>IF(J413&lt;&gt;"",$N$1,"")</f>
        <v>0.2354</v>
      </c>
      <c r="M413" s="576">
        <f>IF(J413&lt;&gt;0,(ROUND(K413*(L413+1),2)),0)</f>
        <v>61.18</v>
      </c>
      <c r="N413" s="576">
        <f>IF(J413="","",ROUND((J413*M413),2))</f>
        <v>267.97000000000003</v>
      </c>
      <c r="Q413" s="589">
        <f>N413</f>
        <v>267.97000000000003</v>
      </c>
      <c r="S413" s="433"/>
    </row>
    <row r="414" spans="1:21" ht="25.5">
      <c r="A414" s="430">
        <v>325</v>
      </c>
      <c r="B414" s="590"/>
      <c r="C414" s="431" t="str">
        <f>+C413</f>
        <v>15.3</v>
      </c>
      <c r="D414" s="587">
        <f>1+D413</f>
        <v>3</v>
      </c>
      <c r="E414" s="572" t="str">
        <f>C414&amp;"."&amp;D414</f>
        <v>15.3.3</v>
      </c>
      <c r="F414" s="579" t="s">
        <v>2238</v>
      </c>
      <c r="G414" s="581">
        <v>102500</v>
      </c>
      <c r="H414" s="750" t="str">
        <f>IF($G414="","",IFERROR(VLOOKUP($G414,SERVIÇOS!$C:$G,2,0),IFERROR(VLOOKUP($G414,CPU!$F:$M,2,0),"")))</f>
        <v>PINTURA DE DEMARCAÇÃO DE VAGA COM TINTA ACRÍLICA, E = 10 CM, APLICAÇÃO MANUAL. AF_05/2021</v>
      </c>
      <c r="I414" s="578" t="str">
        <f>IF($G414="","",IFERROR(VLOOKUP($G414,SERVIÇOS!$C:$G,3,0),IFERROR(VLOOKUP($G414,CPU!$F:$M,3,0),"")))</f>
        <v>M</v>
      </c>
      <c r="J414" s="576">
        <v>69</v>
      </c>
      <c r="K414" s="576">
        <f>IF($G414="","",IFERROR(VLOOKUP($G414,SERVIÇOS!$C:$H,6,0),IFERROR(VLOOKUP($G414,CPU!$F:$M,8,0),"")))</f>
        <v>4.53</v>
      </c>
      <c r="L414" s="577">
        <f>IF(J414&lt;&gt;"",$N$1,"")</f>
        <v>0.2354</v>
      </c>
      <c r="M414" s="576">
        <f>IF(J414&lt;&gt;0,(ROUND(K414*(L414+1),2)),0)</f>
        <v>5.6</v>
      </c>
      <c r="N414" s="576">
        <f>IF(J414="","",ROUND((J414*M414),2))</f>
        <v>386.4</v>
      </c>
      <c r="Q414" s="589">
        <f>N414</f>
        <v>386.4</v>
      </c>
      <c r="S414" s="433"/>
    </row>
    <row r="415" spans="1:21">
      <c r="A415" s="430">
        <v>326</v>
      </c>
      <c r="B415" s="590"/>
      <c r="C415" s="431" t="str">
        <f>+C414</f>
        <v>15.3</v>
      </c>
      <c r="D415" s="587">
        <f>1+D414</f>
        <v>4</v>
      </c>
      <c r="E415" s="572" t="str">
        <f>C415&amp;"."&amp;D415</f>
        <v>15.3.4</v>
      </c>
      <c r="F415" s="579" t="s">
        <v>2238</v>
      </c>
      <c r="G415" s="581">
        <v>102498</v>
      </c>
      <c r="H415" s="750" t="str">
        <f>IF($G415="","",IFERROR(VLOOKUP($G415,SERVIÇOS!$C:$G,2,0),IFERROR(VLOOKUP($G415,CPU!$F:$M,2,0),"")))</f>
        <v>PINTURA DE MEIO-FIO COM TINTA BRANCA A BASE DE CAL (CAIAÇÃO). AF_05/2021</v>
      </c>
      <c r="I415" s="578" t="str">
        <f>IF($G415="","",IFERROR(VLOOKUP($G415,SERVIÇOS!$C:$G,3,0),IFERROR(VLOOKUP($G415,CPU!$F:$M,3,0),"")))</f>
        <v>M</v>
      </c>
      <c r="J415" s="576">
        <v>84.2</v>
      </c>
      <c r="K415" s="576">
        <f>IF($G415="","",IFERROR(VLOOKUP($G415,SERVIÇOS!$C:$H,6,0),IFERROR(VLOOKUP($G415,CPU!$F:$M,8,0),"")))</f>
        <v>1.66</v>
      </c>
      <c r="L415" s="577">
        <f>IF(J415&lt;&gt;"",$N$1,"")</f>
        <v>0.2354</v>
      </c>
      <c r="M415" s="576">
        <f>IF(J415&lt;&gt;0,(ROUND(K415*(L415+1),2)),0)</f>
        <v>2.0499999999999998</v>
      </c>
      <c r="N415" s="576">
        <f>IF(J415="","",ROUND((J415*M415),2))</f>
        <v>172.61</v>
      </c>
      <c r="Q415" s="589">
        <f>N415</f>
        <v>172.61</v>
      </c>
      <c r="S415" s="433"/>
    </row>
    <row r="416" spans="1:21">
      <c r="A416" s="430">
        <v>327</v>
      </c>
      <c r="B416" s="590"/>
      <c r="C416" s="431" t="str">
        <f>+E416</f>
        <v>15.4</v>
      </c>
      <c r="D416" s="587"/>
      <c r="E416" s="568" t="s">
        <v>8766</v>
      </c>
      <c r="F416" s="569"/>
      <c r="G416" s="569"/>
      <c r="H416" s="749" t="s">
        <v>8690</v>
      </c>
      <c r="I416" s="570"/>
      <c r="J416" s="571"/>
      <c r="K416" s="571"/>
      <c r="L416" s="571"/>
      <c r="M416" s="571"/>
      <c r="N416" s="571"/>
      <c r="P416" s="588"/>
      <c r="Q416" s="589"/>
      <c r="R416" s="588"/>
      <c r="S416" s="433"/>
      <c r="T416" s="588"/>
      <c r="U416" s="588"/>
    </row>
    <row r="417" spans="1:21" ht="25.5">
      <c r="A417" s="430">
        <v>328</v>
      </c>
      <c r="B417" s="590"/>
      <c r="C417" s="431" t="str">
        <f>+C416</f>
        <v>15.4</v>
      </c>
      <c r="D417" s="587">
        <f>1+D416</f>
        <v>1</v>
      </c>
      <c r="E417" s="572" t="str">
        <f>C417&amp;"."&amp;D417</f>
        <v>15.4.1</v>
      </c>
      <c r="F417" s="579" t="s">
        <v>2239</v>
      </c>
      <c r="G417" s="581" t="s">
        <v>8393</v>
      </c>
      <c r="H417" s="750" t="str">
        <f>IF($G417="","",IFERROR(VLOOKUP($G417,SERVIÇOS!$C:$G,2,0),IFERROR(VLOOKUP($G417,CPU!$F:$M,2,0),"")))</f>
        <v>PINTURA EM ESTRUTURA METÁLICA COM TINTA EPÓXI UMA DEMÃO DE FUNDO E UMA DE ACABAMENTO, COM ESPESSURA TOTAL DE 120 MICRAS</v>
      </c>
      <c r="I417" s="578" t="str">
        <f>IF($G417="","",IFERROR(VLOOKUP($G417,SERVIÇOS!$C:$G,3,0),IFERROR(VLOOKUP($G417,CPU!$F:$M,3,0),"")))</f>
        <v>M2</v>
      </c>
      <c r="J417" s="576">
        <v>478.73</v>
      </c>
      <c r="K417" s="576">
        <f>IF($G417="","",IFERROR(VLOOKUP($G417,SERVIÇOS!$C:$H,6,0),IFERROR(VLOOKUP($G417,CPU!$F:$M,8,0),"")))</f>
        <v>43.32</v>
      </c>
      <c r="L417" s="577">
        <f>IF(J417&lt;&gt;"",$N$1,"")</f>
        <v>0.2354</v>
      </c>
      <c r="M417" s="576">
        <f>IF(J417&lt;&gt;0,(ROUND(K417*(L417+1),2)),0)</f>
        <v>53.52</v>
      </c>
      <c r="N417" s="576">
        <f>IF(J417="","",ROUND((J417*M417),2))</f>
        <v>25621.63</v>
      </c>
      <c r="Q417" s="589">
        <f>N417</f>
        <v>25621.63</v>
      </c>
      <c r="S417" s="433"/>
    </row>
    <row r="418" spans="1:21">
      <c r="A418" s="430">
        <v>328</v>
      </c>
      <c r="B418" s="590"/>
      <c r="C418" s="431" t="str">
        <f>+C417</f>
        <v>15.4</v>
      </c>
      <c r="D418" s="587">
        <f>1+D417</f>
        <v>2</v>
      </c>
      <c r="E418" s="572" t="str">
        <f>C418&amp;"."&amp;D418</f>
        <v>15.4.2</v>
      </c>
      <c r="F418" s="579" t="s">
        <v>2239</v>
      </c>
      <c r="G418" s="581" t="s">
        <v>8415</v>
      </c>
      <c r="H418" s="750" t="str">
        <f>IF($G418="","",IFERROR(VLOOKUP($G418,SERVIÇOS!$C:$G,2,0),IFERROR(VLOOKUP($G418,CPU!$F:$M,2,0),"")))</f>
        <v>PINTURA EM ESTRUTURA METÁLICA COM TINTA PU COM ESPESSURA DE 40 MICRAS</v>
      </c>
      <c r="I418" s="578" t="str">
        <f>IF($G418="","",IFERROR(VLOOKUP($G418,SERVIÇOS!$C:$G,3,0),IFERROR(VLOOKUP($G418,CPU!$F:$M,3,0),"")))</f>
        <v>M2</v>
      </c>
      <c r="J418" s="576">
        <v>478.73</v>
      </c>
      <c r="K418" s="576">
        <f>IF($G418="","",IFERROR(VLOOKUP($G418,SERVIÇOS!$C:$H,6,0),IFERROR(VLOOKUP($G418,CPU!$F:$M,8,0),"")))</f>
        <v>19.209999999999997</v>
      </c>
      <c r="L418" s="577">
        <f>IF(J418&lt;&gt;"",$N$1,"")</f>
        <v>0.2354</v>
      </c>
      <c r="M418" s="576">
        <f>IF(J418&lt;&gt;0,(ROUND(K418*(L418+1),2)),0)</f>
        <v>23.73</v>
      </c>
      <c r="N418" s="576">
        <f>IF(J418="","",ROUND((J418*M418),2))</f>
        <v>11360.26</v>
      </c>
      <c r="Q418" s="589">
        <f>N418</f>
        <v>11360.26</v>
      </c>
      <c r="S418" s="433"/>
    </row>
    <row r="419" spans="1:21">
      <c r="A419" s="430">
        <v>330</v>
      </c>
      <c r="B419" s="590"/>
      <c r="C419" s="431" t="str">
        <f>+E419</f>
        <v>15.5</v>
      </c>
      <c r="D419" s="587"/>
      <c r="E419" s="568" t="s">
        <v>8767</v>
      </c>
      <c r="F419" s="569"/>
      <c r="G419" s="569"/>
      <c r="H419" s="749" t="s">
        <v>7182</v>
      </c>
      <c r="I419" s="570"/>
      <c r="J419" s="571"/>
      <c r="K419" s="571"/>
      <c r="L419" s="571"/>
      <c r="M419" s="571"/>
      <c r="N419" s="571"/>
      <c r="P419" s="588"/>
      <c r="Q419" s="589"/>
      <c r="R419" s="588"/>
      <c r="S419" s="433"/>
      <c r="T419" s="588"/>
      <c r="U419" s="588"/>
    </row>
    <row r="420" spans="1:21">
      <c r="A420" s="430">
        <v>331</v>
      </c>
      <c r="B420" s="590"/>
      <c r="C420" s="431" t="str">
        <f>+C419</f>
        <v>15.5</v>
      </c>
      <c r="D420" s="587">
        <f>1+D419</f>
        <v>1</v>
      </c>
      <c r="E420" s="572" t="str">
        <f>C420&amp;"."&amp;D420</f>
        <v>15.5.1</v>
      </c>
      <c r="F420" s="579" t="s">
        <v>2238</v>
      </c>
      <c r="G420" s="581">
        <v>100717</v>
      </c>
      <c r="H420" s="750" t="str">
        <f>IF($G420="","",IFERROR(VLOOKUP($G420,SERVIÇOS!$C:$G,2,0),IFERROR(VLOOKUP($G420,CPU!$F:$M,2,0),"")))</f>
        <v>LIXAMENTO MANUAL EM SUPERFÍCIES METÁLICAS EM OBRA. AF_01/2020</v>
      </c>
      <c r="I420" s="578" t="str">
        <f>IF($G420="","",IFERROR(VLOOKUP($G420,SERVIÇOS!$C:$G,3,0),IFERROR(VLOOKUP($G420,CPU!$F:$M,3,0),"")))</f>
        <v>M2</v>
      </c>
      <c r="J420" s="576">
        <v>16.8</v>
      </c>
      <c r="K420" s="576">
        <f>IF($G420="","",IFERROR(VLOOKUP($G420,SERVIÇOS!$C:$H,6,0),IFERROR(VLOOKUP($G420,CPU!$F:$M,8,0),"")))</f>
        <v>11.03</v>
      </c>
      <c r="L420" s="577">
        <f>IF(J420&lt;&gt;"",$N$1,"")</f>
        <v>0.2354</v>
      </c>
      <c r="M420" s="576">
        <f>IF(J420&lt;&gt;0,(ROUND(K420*(L420+1),2)),0)</f>
        <v>13.63</v>
      </c>
      <c r="N420" s="576">
        <f>IF(J420="","",ROUND((J420*M420),2))</f>
        <v>228.98</v>
      </c>
      <c r="Q420" s="589">
        <f>N420</f>
        <v>228.98</v>
      </c>
      <c r="S420" s="433"/>
    </row>
    <row r="421" spans="1:21" ht="38.25">
      <c r="A421" s="430">
        <v>333</v>
      </c>
      <c r="B421" s="590"/>
      <c r="C421" s="431" t="str">
        <f>+C420</f>
        <v>15.5</v>
      </c>
      <c r="D421" s="587">
        <f>1+D420</f>
        <v>2</v>
      </c>
      <c r="E421" s="572" t="str">
        <f>C421&amp;"."&amp;D421</f>
        <v>15.5.2</v>
      </c>
      <c r="F421" s="579" t="s">
        <v>2238</v>
      </c>
      <c r="G421" s="935">
        <v>100721</v>
      </c>
      <c r="H421" s="750" t="str">
        <f>IF($G421="","",IFERROR(VLOOKUP($G421,SERVIÇOS!$C:$G,2,0),IFERROR(VLOOKUP($G421,CPU!$F:$M,2,0),"")))</f>
        <v>PINTURA COM TINTA ALQUÍDICA DE FUNDO (TIPO ZARCÃO) PULVERIZADA SOBRE SUPERFÍCIES METÁLICAS (EXCETO PERFIL) EXECUTADO EM OBRA (POR DEMÃO). AF_01/2020_P</v>
      </c>
      <c r="I421" s="578" t="str">
        <f>IF($G421="","",IFERROR(VLOOKUP($G421,SERVIÇOS!$C:$G,3,0),IFERROR(VLOOKUP($G421,CPU!$F:$M,3,0),"")))</f>
        <v>M2</v>
      </c>
      <c r="J421" s="576">
        <v>16.8</v>
      </c>
      <c r="K421" s="576">
        <f>IF($G421="","",IFERROR(VLOOKUP($G421,SERVIÇOS!$C:$H,6,0),IFERROR(VLOOKUP($G421,CPU!$F:$M,8,0),"")))</f>
        <v>25.79</v>
      </c>
      <c r="L421" s="577">
        <f>IF(J421&lt;&gt;"",$N$1,"")</f>
        <v>0.2354</v>
      </c>
      <c r="M421" s="576">
        <f>IF(J421&lt;&gt;0,(ROUND(K421*(L421+1),2)),0)</f>
        <v>31.86</v>
      </c>
      <c r="N421" s="576">
        <f>IF(J421="","",ROUND((J421*M421),2))</f>
        <v>535.25</v>
      </c>
      <c r="Q421" s="589">
        <f>N421</f>
        <v>535.25</v>
      </c>
      <c r="S421" s="433"/>
    </row>
    <row r="422" spans="1:21" ht="38.25">
      <c r="A422" s="430">
        <v>334</v>
      </c>
      <c r="B422" s="590"/>
      <c r="C422" s="431" t="str">
        <f>+C421</f>
        <v>15.5</v>
      </c>
      <c r="D422" s="587">
        <f>1+D421</f>
        <v>3</v>
      </c>
      <c r="E422" s="572" t="str">
        <f>C422&amp;"."&amp;D422</f>
        <v>15.5.3</v>
      </c>
      <c r="F422" s="579" t="s">
        <v>2238</v>
      </c>
      <c r="G422" s="935">
        <v>100741</v>
      </c>
      <c r="H422" s="750" t="str">
        <f>IF($G422="","",IFERROR(VLOOKUP($G422,SERVIÇOS!$C:$G,2,0),IFERROR(VLOOKUP($G422,CPU!$F:$M,2,0),"")))</f>
        <v>PINTURA COM TINTA ALQUÍDICA DE ACABAMENTO (ESMALTE SINTÉTICO ACETINADO) PULVERIZADA SOBRE SUPERFÍCIES METÁLICAS (EXCETO PERFIL) EXECUTADO EM OBRA (POR DEMÃO). AF_01/2020_P</v>
      </c>
      <c r="I422" s="578" t="str">
        <f>IF($G422="","",IFERROR(VLOOKUP($G422,SERVIÇOS!$C:$G,3,0),IFERROR(VLOOKUP($G422,CPU!$F:$M,3,0),"")))</f>
        <v>M2</v>
      </c>
      <c r="J422" s="576">
        <v>16.8</v>
      </c>
      <c r="K422" s="576">
        <f>IF($G422="","",IFERROR(VLOOKUP($G422,SERVIÇOS!$C:$H,6,0),IFERROR(VLOOKUP($G422,CPU!$F:$M,8,0),"")))</f>
        <v>25.45</v>
      </c>
      <c r="L422" s="577">
        <f>IF(J422&lt;&gt;"",$N$1,"")</f>
        <v>0.2354</v>
      </c>
      <c r="M422" s="576">
        <f>IF(J422&lt;&gt;0,(ROUND(K422*(L422+1),2)),0)</f>
        <v>31.44</v>
      </c>
      <c r="N422" s="576">
        <f>IF(J422="","",ROUND((J422*M422),2))</f>
        <v>528.19000000000005</v>
      </c>
      <c r="Q422" s="589">
        <f>N422</f>
        <v>528.19000000000005</v>
      </c>
      <c r="S422" s="433"/>
    </row>
    <row r="423" spans="1:21">
      <c r="A423" s="430">
        <v>330</v>
      </c>
      <c r="B423" s="590"/>
      <c r="C423" s="431" t="str">
        <f>+E423</f>
        <v>15.6</v>
      </c>
      <c r="D423" s="587"/>
      <c r="E423" s="568" t="s">
        <v>8768</v>
      </c>
      <c r="F423" s="569"/>
      <c r="G423" s="569"/>
      <c r="H423" s="749" t="s">
        <v>8672</v>
      </c>
      <c r="I423" s="570"/>
      <c r="J423" s="571"/>
      <c r="K423" s="571"/>
      <c r="L423" s="571"/>
      <c r="M423" s="571"/>
      <c r="N423" s="571"/>
      <c r="P423" s="588"/>
      <c r="Q423" s="589"/>
      <c r="R423" s="588"/>
      <c r="S423" s="433"/>
      <c r="T423" s="588"/>
      <c r="U423" s="588"/>
    </row>
    <row r="424" spans="1:21">
      <c r="A424" s="430">
        <v>331</v>
      </c>
      <c r="B424" s="590"/>
      <c r="C424" s="431" t="str">
        <f>+C423</f>
        <v>15.6</v>
      </c>
      <c r="D424" s="587">
        <f>1+D423</f>
        <v>1</v>
      </c>
      <c r="E424" s="572" t="str">
        <f>C424&amp;"."&amp;D424</f>
        <v>15.6.1</v>
      </c>
      <c r="F424" s="935" t="s">
        <v>2238</v>
      </c>
      <c r="G424" s="935">
        <v>102197</v>
      </c>
      <c r="H424" s="750" t="str">
        <f>IF($G424="","",IFERROR(VLOOKUP($G424,SERVIÇOS!$C:$G,2,0),IFERROR(VLOOKUP($G424,CPU!$F:$M,2,0),"")))</f>
        <v>PINTURA FUNDO NIVELADOR ALQUÍDICO BRANCO EM MADEIRA. AF_01/2021</v>
      </c>
      <c r="I424" s="578" t="str">
        <f>IF($G424="","",IFERROR(VLOOKUP($G424,SERVIÇOS!$C:$G,3,0),IFERROR(VLOOKUP($G424,CPU!$F:$M,3,0),"")))</f>
        <v>M2</v>
      </c>
      <c r="J424" s="576">
        <v>120.69</v>
      </c>
      <c r="K424" s="576">
        <f>IF($G424="","",IFERROR(VLOOKUP($G424,SERVIÇOS!$C:$H,6,0),IFERROR(VLOOKUP($G424,CPU!$F:$M,8,0),"")))</f>
        <v>34.130000000000003</v>
      </c>
      <c r="L424" s="577">
        <f>IF(J424&lt;&gt;"",$N$1,"")</f>
        <v>0.2354</v>
      </c>
      <c r="M424" s="576">
        <f>IF(J424&lt;&gt;0,(ROUND(K424*(L424+1),2)),0)</f>
        <v>42.16</v>
      </c>
      <c r="N424" s="576">
        <f>IF(J424="","",ROUND((J424*M424),2))</f>
        <v>5088.29</v>
      </c>
      <c r="Q424" s="589">
        <f>N424</f>
        <v>5088.29</v>
      </c>
      <c r="S424" s="433"/>
    </row>
    <row r="425" spans="1:21" ht="25.5">
      <c r="A425" s="430">
        <v>333</v>
      </c>
      <c r="B425" s="590"/>
      <c r="C425" s="431" t="str">
        <f>+C424</f>
        <v>15.6</v>
      </c>
      <c r="D425" s="587">
        <f>1+D424</f>
        <v>2</v>
      </c>
      <c r="E425" s="572" t="str">
        <f>C425&amp;"."&amp;D425</f>
        <v>15.6.2</v>
      </c>
      <c r="F425" s="935" t="s">
        <v>2238</v>
      </c>
      <c r="G425" s="935">
        <v>102219</v>
      </c>
      <c r="H425" s="750" t="str">
        <f>IF($G425="","",IFERROR(VLOOKUP($G425,SERVIÇOS!$C:$G,2,0),IFERROR(VLOOKUP($G425,CPU!$F:$M,2,0),"")))</f>
        <v>PINTURA TINTA DE ACABAMENTO (PIGMENTADA) ESMALTE SINTÉTICO ACETINADO EM MADEIRA, 2 DEMÃOS. AF_01/2021</v>
      </c>
      <c r="I425" s="578" t="str">
        <f>IF($G425="","",IFERROR(VLOOKUP($G425,SERVIÇOS!$C:$G,3,0),IFERROR(VLOOKUP($G425,CPU!$F:$M,3,0),"")))</f>
        <v>M2</v>
      </c>
      <c r="J425" s="576">
        <v>120.69</v>
      </c>
      <c r="K425" s="576">
        <f>IF($G425="","",IFERROR(VLOOKUP($G425,SERVIÇOS!$C:$H,6,0),IFERROR(VLOOKUP($G425,CPU!$F:$M,8,0),"")))</f>
        <v>17.46</v>
      </c>
      <c r="L425" s="577">
        <f>IF(J425&lt;&gt;"",$N$1,"")</f>
        <v>0.2354</v>
      </c>
      <c r="M425" s="576">
        <f>IF(J425&lt;&gt;0,(ROUND(K425*(L425+1),2)),0)</f>
        <v>21.57</v>
      </c>
      <c r="N425" s="576">
        <f>IF(J425="","",ROUND((J425*M425),2))</f>
        <v>2603.2800000000002</v>
      </c>
      <c r="Q425" s="589">
        <f>N425</f>
        <v>2603.2800000000002</v>
      </c>
      <c r="S425" s="433"/>
    </row>
    <row r="426" spans="1:21">
      <c r="A426" s="430">
        <v>335</v>
      </c>
      <c r="B426" s="590"/>
      <c r="C426" s="431">
        <f>+E426</f>
        <v>16</v>
      </c>
      <c r="D426" s="587"/>
      <c r="E426" s="859">
        <v>16</v>
      </c>
      <c r="F426" s="860"/>
      <c r="G426" s="860"/>
      <c r="H426" s="861" t="s">
        <v>6514</v>
      </c>
      <c r="I426" s="862"/>
      <c r="J426" s="863"/>
      <c r="K426" s="866"/>
      <c r="L426" s="865"/>
      <c r="M426" s="864"/>
      <c r="N426" s="864">
        <f>SUM(N427:N458)</f>
        <v>129363.94999999997</v>
      </c>
      <c r="Q426" s="589"/>
      <c r="R426" s="764">
        <v>13878</v>
      </c>
      <c r="S426" s="433"/>
      <c r="T426" s="433">
        <v>14937.880000000001</v>
      </c>
      <c r="U426" s="433">
        <v>18851.600000000002</v>
      </c>
    </row>
    <row r="427" spans="1:21">
      <c r="A427" s="430">
        <v>339</v>
      </c>
      <c r="B427" s="590"/>
      <c r="C427" s="431" t="str">
        <f>+E427</f>
        <v>16.1</v>
      </c>
      <c r="D427" s="587"/>
      <c r="E427" s="568" t="s">
        <v>6930</v>
      </c>
      <c r="F427" s="569"/>
      <c r="G427" s="569"/>
      <c r="H427" s="749" t="s">
        <v>8773</v>
      </c>
      <c r="I427" s="570"/>
      <c r="J427" s="571"/>
      <c r="K427" s="571"/>
      <c r="L427" s="571"/>
      <c r="M427" s="571"/>
      <c r="N427" s="571"/>
      <c r="Q427" s="589"/>
      <c r="S427" s="433"/>
    </row>
    <row r="428" spans="1:21">
      <c r="A428" s="430">
        <v>340</v>
      </c>
      <c r="B428" s="590"/>
      <c r="C428" s="431" t="str">
        <f t="shared" ref="C428:C447" si="253">+C427</f>
        <v>16.1</v>
      </c>
      <c r="D428" s="587">
        <f t="shared" ref="D428:D447" si="254">1+D427</f>
        <v>1</v>
      </c>
      <c r="E428" s="572" t="str">
        <f t="shared" ref="E428" si="255">C428&amp;"."&amp;D428</f>
        <v>16.1.1</v>
      </c>
      <c r="F428" s="579" t="s">
        <v>2239</v>
      </c>
      <c r="G428" s="581" t="s">
        <v>8771</v>
      </c>
      <c r="H428" s="750" t="str">
        <f>IF($G428="","",IFERROR(VLOOKUP($G428,SERVIÇOS!$C:$G,2,0),IFERROR(VLOOKUP($G428,CPU!$F:$M,2,0),"")))</f>
        <v>BANCADA DE GRANITO CINZA CASTELO POLIDO - FORNECIMENTO E INSTALAÇÃO</v>
      </c>
      <c r="I428" s="578" t="str">
        <f>IF($G428="","",IFERROR(VLOOKUP($G428,SERVIÇOS!$C:$G,3,0),IFERROR(VLOOKUP($G428,CPU!$F:$M,3,0),"")))</f>
        <v>M2</v>
      </c>
      <c r="J428" s="576">
        <v>5.69</v>
      </c>
      <c r="K428" s="576">
        <f>IF($G428="","",IFERROR(VLOOKUP($G428,SERVIÇOS!$C:$H,6,0),IFERROR(VLOOKUP($G428,CPU!$F:$M,8,0),"")))</f>
        <v>957.92</v>
      </c>
      <c r="L428" s="577">
        <f t="shared" ref="L428" si="256">IF(J428&lt;&gt;"",$N$1,"")</f>
        <v>0.2354</v>
      </c>
      <c r="M428" s="576">
        <f t="shared" ref="M428" si="257">IF(J428&lt;&gt;0,(ROUND(K428*(L428+1),2)),0)</f>
        <v>1183.4100000000001</v>
      </c>
      <c r="N428" s="576">
        <f t="shared" ref="N428" si="258">IF(J428="","",ROUND((J428*M428),2))</f>
        <v>6733.6</v>
      </c>
      <c r="Q428" s="589">
        <f t="shared" ref="Q428" si="259">N428</f>
        <v>6733.6</v>
      </c>
      <c r="S428" s="433"/>
    </row>
    <row r="429" spans="1:21" ht="25.5">
      <c r="A429" s="430">
        <v>340</v>
      </c>
      <c r="B429" s="590"/>
      <c r="C429" s="431" t="str">
        <f t="shared" si="253"/>
        <v>16.1</v>
      </c>
      <c r="D429" s="587">
        <f t="shared" si="254"/>
        <v>2</v>
      </c>
      <c r="E429" s="572" t="str">
        <f t="shared" ref="E429:E437" si="260">C429&amp;"."&amp;D429</f>
        <v>16.1.2</v>
      </c>
      <c r="F429" s="579" t="s">
        <v>2239</v>
      </c>
      <c r="G429" s="581" t="s">
        <v>8774</v>
      </c>
      <c r="H429" s="750" t="str">
        <f>IF($G429="","",IFERROR(VLOOKUP($G429,SERVIÇOS!$C:$G,2,0),IFERROR(VLOOKUP($G429,CPU!$F:$M,2,0),"")))</f>
        <v>CUBA DE EMBUTIR RETANGULAR DE AÇO INOXIDÁVEL, 50 X 40 X 20 CM - FORNECIMENTO E INSTALAÇÃO</v>
      </c>
      <c r="I429" s="578" t="str">
        <f>IF($G429="","",IFERROR(VLOOKUP($G429,SERVIÇOS!$C:$G,3,0),IFERROR(VLOOKUP($G429,CPU!$F:$M,3,0),"")))</f>
        <v>UN</v>
      </c>
      <c r="J429" s="576">
        <v>1</v>
      </c>
      <c r="K429" s="576">
        <f>IF($G429="","",IFERROR(VLOOKUP($G429,SERVIÇOS!$C:$H,6,0),IFERROR(VLOOKUP($G429,CPU!$F:$M,8,0),"")))</f>
        <v>761.74</v>
      </c>
      <c r="L429" s="577">
        <f t="shared" ref="L429:L437" si="261">IF(J429&lt;&gt;"",$N$1,"")</f>
        <v>0.2354</v>
      </c>
      <c r="M429" s="576">
        <f t="shared" ref="M429:M437" si="262">IF(J429&lt;&gt;0,(ROUND(K429*(L429+1),2)),0)</f>
        <v>941.05</v>
      </c>
      <c r="N429" s="576">
        <f t="shared" ref="N429:N437" si="263">IF(J429="","",ROUND((J429*M429),2))</f>
        <v>941.05</v>
      </c>
      <c r="Q429" s="589">
        <f t="shared" ref="Q429:Q437" si="264">N429</f>
        <v>941.05</v>
      </c>
      <c r="S429" s="433"/>
    </row>
    <row r="430" spans="1:21" ht="25.5">
      <c r="A430" s="430">
        <v>340</v>
      </c>
      <c r="B430" s="590"/>
      <c r="C430" s="431" t="str">
        <f t="shared" si="253"/>
        <v>16.1</v>
      </c>
      <c r="D430" s="587">
        <f t="shared" si="254"/>
        <v>3</v>
      </c>
      <c r="E430" s="572" t="str">
        <f t="shared" si="260"/>
        <v>16.1.3</v>
      </c>
      <c r="F430" s="579" t="s">
        <v>2238</v>
      </c>
      <c r="G430" s="581">
        <v>86882</v>
      </c>
      <c r="H430" s="750" t="str">
        <f>IF($G430="","",IFERROR(VLOOKUP($G430,SERVIÇOS!$C:$G,2,0),IFERROR(VLOOKUP($G430,CPU!$F:$M,2,0),"")))</f>
        <v>SIFÃO DO TIPO GARRAFA/COPO EM PVC 1.1/4  X 1.1/2 - FORNECIMENTO E INSTALAÇÃO. AF_01/2020</v>
      </c>
      <c r="I430" s="578" t="str">
        <f>IF($G430="","",IFERROR(VLOOKUP($G430,SERVIÇOS!$C:$G,3,0),IFERROR(VLOOKUP($G430,CPU!$F:$M,3,0),"")))</f>
        <v>UN</v>
      </c>
      <c r="J430" s="576">
        <v>1</v>
      </c>
      <c r="K430" s="576">
        <f>IF($G430="","",IFERROR(VLOOKUP($G430,SERVIÇOS!$C:$H,6,0),IFERROR(VLOOKUP($G430,CPU!$F:$M,8,0),"")))</f>
        <v>20.59</v>
      </c>
      <c r="L430" s="577">
        <f t="shared" si="261"/>
        <v>0.2354</v>
      </c>
      <c r="M430" s="576">
        <f t="shared" si="262"/>
        <v>25.44</v>
      </c>
      <c r="N430" s="576">
        <f t="shared" si="263"/>
        <v>25.44</v>
      </c>
      <c r="Q430" s="589">
        <f t="shared" si="264"/>
        <v>25.44</v>
      </c>
      <c r="S430" s="433"/>
    </row>
    <row r="431" spans="1:21" ht="25.5">
      <c r="A431" s="430">
        <v>340</v>
      </c>
      <c r="B431" s="590"/>
      <c r="C431" s="431" t="str">
        <f t="shared" si="253"/>
        <v>16.1</v>
      </c>
      <c r="D431" s="587">
        <f t="shared" si="254"/>
        <v>4</v>
      </c>
      <c r="E431" s="572" t="str">
        <f t="shared" si="260"/>
        <v>16.1.4</v>
      </c>
      <c r="F431" s="579" t="s">
        <v>2238</v>
      </c>
      <c r="G431" s="581">
        <v>86878</v>
      </c>
      <c r="H431" s="750" t="str">
        <f>IF($G431="","",IFERROR(VLOOKUP($G431,SERVIÇOS!$C:$G,2,0),IFERROR(VLOOKUP($G431,CPU!$F:$M,2,0),"")))</f>
        <v>VÁLVULA EM METAL CROMADO TIPO AMERICANA 3.1/2 X 1.1/2 PARA PIA - FORNECIMENTO E INSTALAÇÃO. AF_01/2020</v>
      </c>
      <c r="I431" s="578" t="str">
        <f>IF($G431="","",IFERROR(VLOOKUP($G431,SERVIÇOS!$C:$G,3,0),IFERROR(VLOOKUP($G431,CPU!$F:$M,3,0),"")))</f>
        <v>UN</v>
      </c>
      <c r="J431" s="576">
        <v>1</v>
      </c>
      <c r="K431" s="576">
        <f>IF($G431="","",IFERROR(VLOOKUP($G431,SERVIÇOS!$C:$H,6,0),IFERROR(VLOOKUP($G431,CPU!$F:$M,8,0),"")))</f>
        <v>131.29</v>
      </c>
      <c r="L431" s="577">
        <f t="shared" si="261"/>
        <v>0.2354</v>
      </c>
      <c r="M431" s="576">
        <f t="shared" si="262"/>
        <v>162.19999999999999</v>
      </c>
      <c r="N431" s="576">
        <f t="shared" si="263"/>
        <v>162.19999999999999</v>
      </c>
      <c r="Q431" s="589">
        <f t="shared" si="264"/>
        <v>162.19999999999999</v>
      </c>
      <c r="S431" s="433"/>
    </row>
    <row r="432" spans="1:21" ht="25.5">
      <c r="A432" s="430">
        <v>340</v>
      </c>
      <c r="B432" s="590"/>
      <c r="C432" s="431" t="str">
        <f t="shared" si="253"/>
        <v>16.1</v>
      </c>
      <c r="D432" s="587">
        <f t="shared" si="254"/>
        <v>5</v>
      </c>
      <c r="E432" s="572" t="str">
        <f t="shared" si="260"/>
        <v>16.1.5</v>
      </c>
      <c r="F432" s="579" t="s">
        <v>2238</v>
      </c>
      <c r="G432" s="581">
        <v>86872</v>
      </c>
      <c r="H432" s="750" t="str">
        <f>IF($G432="","",IFERROR(VLOOKUP($G432,SERVIÇOS!$C:$G,2,0),IFERROR(VLOOKUP($G432,CPU!$F:$M,2,0),"")))</f>
        <v>TANQUE DE LOUÇA BRANCA COM COLUNA, 30L OU EQUIVALENTE - FORNECIMENTO E INSTALAÇÃO. AF_01/2020</v>
      </c>
      <c r="I432" s="578" t="str">
        <f>IF($G432="","",IFERROR(VLOOKUP($G432,SERVIÇOS!$C:$G,3,0),IFERROR(VLOOKUP($G432,CPU!$F:$M,3,0),"")))</f>
        <v>UN</v>
      </c>
      <c r="J432" s="576">
        <v>1</v>
      </c>
      <c r="K432" s="576">
        <f>IF($G432="","",IFERROR(VLOOKUP($G432,SERVIÇOS!$C:$H,6,0),IFERROR(VLOOKUP($G432,CPU!$F:$M,8,0),"")))</f>
        <v>651.83000000000004</v>
      </c>
      <c r="L432" s="577">
        <f t="shared" si="261"/>
        <v>0.2354</v>
      </c>
      <c r="M432" s="576">
        <f t="shared" si="262"/>
        <v>805.27</v>
      </c>
      <c r="N432" s="576">
        <f t="shared" si="263"/>
        <v>805.27</v>
      </c>
      <c r="Q432" s="589">
        <f t="shared" si="264"/>
        <v>805.27</v>
      </c>
      <c r="S432" s="433"/>
    </row>
    <row r="433" spans="1:19" ht="25.5">
      <c r="A433" s="430">
        <v>340</v>
      </c>
      <c r="B433" s="590"/>
      <c r="C433" s="431" t="str">
        <f t="shared" si="253"/>
        <v>16.1</v>
      </c>
      <c r="D433" s="587">
        <f t="shared" si="254"/>
        <v>6</v>
      </c>
      <c r="E433" s="572" t="str">
        <f t="shared" si="260"/>
        <v>16.1.6</v>
      </c>
      <c r="F433" s="579" t="s">
        <v>2238</v>
      </c>
      <c r="G433" s="581">
        <v>86877</v>
      </c>
      <c r="H433" s="750" t="str">
        <f>IF($G433="","",IFERROR(VLOOKUP($G433,SERVIÇOS!$C:$G,2,0),IFERROR(VLOOKUP($G433,CPU!$F:$M,2,0),"")))</f>
        <v>VÁLVULA EM METAL CROMADO 1.1/2 X 1.1/2 PARA TANQUE OU LAVATÓRIO, COM OU SEM LADRÃO - FORNECIMENTO E INSTALAÇÃO. AF_01/2020</v>
      </c>
      <c r="I433" s="578" t="str">
        <f>IF($G433="","",IFERROR(VLOOKUP($G433,SERVIÇOS!$C:$G,3,0),IFERROR(VLOOKUP($G433,CPU!$F:$M,3,0),"")))</f>
        <v>UN</v>
      </c>
      <c r="J433" s="576">
        <v>1</v>
      </c>
      <c r="K433" s="576">
        <f>IF($G433="","",IFERROR(VLOOKUP($G433,SERVIÇOS!$C:$H,6,0),IFERROR(VLOOKUP($G433,CPU!$F:$M,8,0),"")))</f>
        <v>121.48</v>
      </c>
      <c r="L433" s="577">
        <f t="shared" si="261"/>
        <v>0.2354</v>
      </c>
      <c r="M433" s="576">
        <f t="shared" si="262"/>
        <v>150.08000000000001</v>
      </c>
      <c r="N433" s="576">
        <f t="shared" si="263"/>
        <v>150.08000000000001</v>
      </c>
      <c r="Q433" s="589">
        <f t="shared" si="264"/>
        <v>150.08000000000001</v>
      </c>
      <c r="S433" s="433"/>
    </row>
    <row r="434" spans="1:19" ht="25.5">
      <c r="A434" s="430">
        <v>340</v>
      </c>
      <c r="B434" s="590"/>
      <c r="C434" s="431" t="str">
        <f t="shared" si="253"/>
        <v>16.1</v>
      </c>
      <c r="D434" s="587">
        <f t="shared" si="254"/>
        <v>7</v>
      </c>
      <c r="E434" s="572" t="str">
        <f t="shared" si="260"/>
        <v>16.1.7</v>
      </c>
      <c r="F434" s="579" t="s">
        <v>2238</v>
      </c>
      <c r="G434" s="581">
        <v>86883</v>
      </c>
      <c r="H434" s="750" t="str">
        <f>IF($G434="","",IFERROR(VLOOKUP($G434,SERVIÇOS!$C:$G,2,0),IFERROR(VLOOKUP($G434,CPU!$F:$M,2,0),"")))</f>
        <v>SIFÃO DO TIPO FLEXÍVEL EM PVC 1  X 1.1/2  - FORNECIMENTO E INSTALAÇÃO. AF_01/2020</v>
      </c>
      <c r="I434" s="578" t="str">
        <f>IF($G434="","",IFERROR(VLOOKUP($G434,SERVIÇOS!$C:$G,3,0),IFERROR(VLOOKUP($G434,CPU!$F:$M,3,0),"")))</f>
        <v>UN</v>
      </c>
      <c r="J434" s="576">
        <v>1</v>
      </c>
      <c r="K434" s="576">
        <f>IF($G434="","",IFERROR(VLOOKUP($G434,SERVIÇOS!$C:$H,6,0),IFERROR(VLOOKUP($G434,CPU!$F:$M,8,0),"")))</f>
        <v>11.84</v>
      </c>
      <c r="L434" s="577">
        <f t="shared" si="261"/>
        <v>0.2354</v>
      </c>
      <c r="M434" s="576">
        <f t="shared" si="262"/>
        <v>14.63</v>
      </c>
      <c r="N434" s="576">
        <f t="shared" si="263"/>
        <v>14.63</v>
      </c>
      <c r="Q434" s="589">
        <f t="shared" si="264"/>
        <v>14.63</v>
      </c>
      <c r="S434" s="433"/>
    </row>
    <row r="435" spans="1:19">
      <c r="A435" s="430">
        <v>340</v>
      </c>
      <c r="B435" s="590"/>
      <c r="C435" s="431" t="str">
        <f t="shared" si="253"/>
        <v>16.1</v>
      </c>
      <c r="D435" s="587">
        <f t="shared" si="254"/>
        <v>8</v>
      </c>
      <c r="E435" s="572" t="str">
        <f t="shared" si="260"/>
        <v>16.1.8</v>
      </c>
      <c r="F435" s="579" t="s">
        <v>2238</v>
      </c>
      <c r="G435" s="581">
        <v>100849</v>
      </c>
      <c r="H435" s="750" t="str">
        <f>IF($G435="","",IFERROR(VLOOKUP($G435,SERVIÇOS!$C:$G,2,0),IFERROR(VLOOKUP($G435,CPU!$F:$M,2,0),"")))</f>
        <v>ASSENTO SANITÁRIO CONVENCIONAL - FORNECIMENTO E INSTALACAO. AF_01/2020</v>
      </c>
      <c r="I435" s="578" t="str">
        <f>IF($G435="","",IFERROR(VLOOKUP($G435,SERVIÇOS!$C:$G,3,0),IFERROR(VLOOKUP($G435,CPU!$F:$M,3,0),"")))</f>
        <v>UN</v>
      </c>
      <c r="J435" s="576">
        <v>9</v>
      </c>
      <c r="K435" s="576">
        <f>IF($G435="","",IFERROR(VLOOKUP($G435,SERVIÇOS!$C:$H,6,0),IFERROR(VLOOKUP($G435,CPU!$F:$M,8,0),"")))</f>
        <v>43.8</v>
      </c>
      <c r="L435" s="577">
        <f t="shared" si="261"/>
        <v>0.2354</v>
      </c>
      <c r="M435" s="576">
        <f t="shared" si="262"/>
        <v>54.11</v>
      </c>
      <c r="N435" s="576">
        <f t="shared" si="263"/>
        <v>486.99</v>
      </c>
      <c r="Q435" s="589">
        <f t="shared" si="264"/>
        <v>486.99</v>
      </c>
      <c r="S435" s="433"/>
    </row>
    <row r="436" spans="1:19" ht="25.5">
      <c r="A436" s="430">
        <v>340</v>
      </c>
      <c r="B436" s="590"/>
      <c r="C436" s="431" t="str">
        <f t="shared" si="253"/>
        <v>16.1</v>
      </c>
      <c r="D436" s="587">
        <f t="shared" si="254"/>
        <v>9</v>
      </c>
      <c r="E436" s="572" t="str">
        <f t="shared" si="260"/>
        <v>16.1.9</v>
      </c>
      <c r="F436" s="579" t="s">
        <v>2239</v>
      </c>
      <c r="G436" s="581" t="s">
        <v>2878</v>
      </c>
      <c r="H436" s="750" t="str">
        <f>IF($G436="","",IFERROR(VLOOKUP($G436,SERVIÇOS!$C:$G,2,0),IFERROR(VLOOKUP($G436,CPU!$F:$M,2,0),"")))</f>
        <v>LAVATÓRIO COM COLUNA SUSPENSA, 55X47CM, LINHA VOGUE PLUS COR BRANCO L51.17 DECA OU EQUIVALENTE TÉCNICO</v>
      </c>
      <c r="I436" s="578" t="str">
        <f>IF($G436="","",IFERROR(VLOOKUP($G436,SERVIÇOS!$C:$G,3,0),IFERROR(VLOOKUP($G436,CPU!$F:$M,3,0),"")))</f>
        <v>UN</v>
      </c>
      <c r="J436" s="576">
        <v>4</v>
      </c>
      <c r="K436" s="576">
        <f>IF($G436="","",IFERROR(VLOOKUP($G436,SERVIÇOS!$C:$H,6,0),IFERROR(VLOOKUP($G436,CPU!$F:$M,8,0),"")))</f>
        <v>958.27</v>
      </c>
      <c r="L436" s="577">
        <f t="shared" si="261"/>
        <v>0.2354</v>
      </c>
      <c r="M436" s="576">
        <f t="shared" si="262"/>
        <v>1183.8499999999999</v>
      </c>
      <c r="N436" s="576">
        <f t="shared" si="263"/>
        <v>4735.3999999999996</v>
      </c>
      <c r="Q436" s="589">
        <f t="shared" si="264"/>
        <v>4735.3999999999996</v>
      </c>
      <c r="S436" s="433"/>
    </row>
    <row r="437" spans="1:19" ht="38.25">
      <c r="A437" s="430">
        <v>340</v>
      </c>
      <c r="B437" s="590"/>
      <c r="C437" s="431" t="str">
        <f t="shared" si="253"/>
        <v>16.1</v>
      </c>
      <c r="D437" s="587">
        <f t="shared" si="254"/>
        <v>10</v>
      </c>
      <c r="E437" s="572" t="str">
        <f t="shared" si="260"/>
        <v>16.1.10</v>
      </c>
      <c r="F437" s="579" t="s">
        <v>2238</v>
      </c>
      <c r="G437" s="581">
        <v>86938</v>
      </c>
      <c r="H437" s="750" t="str">
        <f>IF($G437="","",IFERROR(VLOOKUP($G437,SERVIÇOS!$C:$G,2,0),IFERROR(VLOOKUP($G437,CPU!$F:$M,2,0),"")))</f>
        <v>CUBA DE EMBUTIR OVAL EM LOUÇA BRANCA, 35 X 50CM OU EQUIVALENTE, INCLUSO VÁLVULA E SIFÃO TIPO GARRAFA EM METAL CROMADO - FORNECIMENTO E INSTALAÇÃO. AF_01/2020</v>
      </c>
      <c r="I437" s="578" t="str">
        <f>IF($G437="","",IFERROR(VLOOKUP($G437,SERVIÇOS!$C:$G,3,0),IFERROR(VLOOKUP($G437,CPU!$F:$M,3,0),"")))</f>
        <v>UN</v>
      </c>
      <c r="J437" s="576">
        <v>5</v>
      </c>
      <c r="K437" s="576">
        <f>IF($G437="","",IFERROR(VLOOKUP($G437,SERVIÇOS!$C:$H,6,0),IFERROR(VLOOKUP($G437,CPU!$F:$M,8,0),"")))</f>
        <v>639.29</v>
      </c>
      <c r="L437" s="577">
        <f t="shared" si="261"/>
        <v>0.2354</v>
      </c>
      <c r="M437" s="576">
        <f t="shared" si="262"/>
        <v>789.78</v>
      </c>
      <c r="N437" s="576">
        <f t="shared" si="263"/>
        <v>3948.9</v>
      </c>
      <c r="Q437" s="589">
        <f t="shared" si="264"/>
        <v>3948.9</v>
      </c>
      <c r="S437" s="433"/>
    </row>
    <row r="438" spans="1:19">
      <c r="A438" s="430">
        <v>340</v>
      </c>
      <c r="B438" s="590"/>
      <c r="C438" s="431" t="str">
        <f t="shared" si="253"/>
        <v>16.1</v>
      </c>
      <c r="D438" s="587">
        <f t="shared" si="254"/>
        <v>11</v>
      </c>
      <c r="E438" s="572" t="str">
        <f t="shared" ref="E438:E441" si="265">C438&amp;"."&amp;D438</f>
        <v>16.1.11</v>
      </c>
      <c r="F438" s="579" t="s">
        <v>2239</v>
      </c>
      <c r="G438" s="581" t="s">
        <v>2868</v>
      </c>
      <c r="H438" s="750" t="str">
        <f>IF($G438="","",IFERROR(VLOOKUP($G438,SERVIÇOS!$C:$G,2,0),IFERROR(VLOOKUP($G438,CPU!$F:$M,2,0),"")))</f>
        <v>PAPELEIRA PLASTICA TIPO DISPENSER PARA PAPEL HIGIENICO ROLAO</v>
      </c>
      <c r="I438" s="578" t="str">
        <f>IF($G438="","",IFERROR(VLOOKUP($G438,SERVIÇOS!$C:$G,3,0),IFERROR(VLOOKUP($G438,CPU!$F:$M,3,0),"")))</f>
        <v>UN</v>
      </c>
      <c r="J438" s="576">
        <v>9</v>
      </c>
      <c r="K438" s="576">
        <f>IF($G438="","",IFERROR(VLOOKUP($G438,SERVIÇOS!$C:$H,6,0),IFERROR(VLOOKUP($G438,CPU!$F:$M,8,0),"")))</f>
        <v>56.069999999999993</v>
      </c>
      <c r="L438" s="577">
        <f t="shared" ref="L438:L441" si="266">IF(J438&lt;&gt;"",$N$1,"")</f>
        <v>0.2354</v>
      </c>
      <c r="M438" s="576">
        <f t="shared" ref="M438:M441" si="267">IF(J438&lt;&gt;0,(ROUND(K438*(L438+1),2)),0)</f>
        <v>69.27</v>
      </c>
      <c r="N438" s="576">
        <f t="shared" ref="N438:N441" si="268">IF(J438="","",ROUND((J438*M438),2))</f>
        <v>623.42999999999995</v>
      </c>
      <c r="Q438" s="589">
        <f t="shared" ref="Q438:Q441" si="269">N438</f>
        <v>623.42999999999995</v>
      </c>
      <c r="S438" s="433"/>
    </row>
    <row r="439" spans="1:19">
      <c r="A439" s="430">
        <v>340</v>
      </c>
      <c r="B439" s="590"/>
      <c r="C439" s="431" t="str">
        <f t="shared" si="253"/>
        <v>16.1</v>
      </c>
      <c r="D439" s="587">
        <f t="shared" si="254"/>
        <v>12</v>
      </c>
      <c r="E439" s="572" t="str">
        <f t="shared" si="265"/>
        <v>16.1.12</v>
      </c>
      <c r="F439" s="579" t="s">
        <v>2239</v>
      </c>
      <c r="G439" s="581" t="s">
        <v>2940</v>
      </c>
      <c r="H439" s="750" t="str">
        <f>IF($G439="","",IFERROR(VLOOKUP($G439,SERVIÇOS!$C:$G,2,0),IFERROR(VLOOKUP($G439,CPU!$F:$M,2,0),"")))</f>
        <v>TOALHEIRO PLASTICO TIPO DISPENSER PARA PAPEL TOALHA INTERFOLHADO</v>
      </c>
      <c r="I439" s="578" t="str">
        <f>IF($G439="","",IFERROR(VLOOKUP($G439,SERVIÇOS!$C:$G,3,0),IFERROR(VLOOKUP($G439,CPU!$F:$M,3,0),"")))</f>
        <v>UN</v>
      </c>
      <c r="J439" s="576">
        <v>8</v>
      </c>
      <c r="K439" s="576">
        <f>IF($G439="","",IFERROR(VLOOKUP($G439,SERVIÇOS!$C:$H,6,0),IFERROR(VLOOKUP($G439,CPU!$F:$M,8,0),"")))</f>
        <v>56.069999999999993</v>
      </c>
      <c r="L439" s="577">
        <f t="shared" si="266"/>
        <v>0.2354</v>
      </c>
      <c r="M439" s="576">
        <f t="shared" si="267"/>
        <v>69.27</v>
      </c>
      <c r="N439" s="576">
        <f t="shared" si="268"/>
        <v>554.16</v>
      </c>
      <c r="Q439" s="589">
        <f t="shared" si="269"/>
        <v>554.16</v>
      </c>
      <c r="S439" s="433"/>
    </row>
    <row r="440" spans="1:19" ht="25.5">
      <c r="A440" s="430">
        <v>340</v>
      </c>
      <c r="B440" s="590"/>
      <c r="C440" s="431" t="str">
        <f t="shared" si="253"/>
        <v>16.1</v>
      </c>
      <c r="D440" s="587">
        <f t="shared" si="254"/>
        <v>13</v>
      </c>
      <c r="E440" s="572" t="str">
        <f t="shared" si="265"/>
        <v>16.1.13</v>
      </c>
      <c r="F440" s="579" t="s">
        <v>2238</v>
      </c>
      <c r="G440" s="581">
        <v>95547</v>
      </c>
      <c r="H440" s="750" t="str">
        <f>IF($G440="","",IFERROR(VLOOKUP($G440,SERVIÇOS!$C:$G,2,0),IFERROR(VLOOKUP($G440,CPU!$F:$M,2,0),"")))</f>
        <v>SABONETEIRA PLASTICA TIPO DISPENSER PARA SABONETE LIQUIDO COM RESERVATORIO 800 A 1500 ML, INCLUSO FIXAÇÃO. AF_01/2020</v>
      </c>
      <c r="I440" s="578" t="str">
        <f>IF($G440="","",IFERROR(VLOOKUP($G440,SERVIÇOS!$C:$G,3,0),IFERROR(VLOOKUP($G440,CPU!$F:$M,3,0),"")))</f>
        <v>UN</v>
      </c>
      <c r="J440" s="576">
        <v>8</v>
      </c>
      <c r="K440" s="576">
        <f>IF($G440="","",IFERROR(VLOOKUP($G440,SERVIÇOS!$C:$H,6,0),IFERROR(VLOOKUP($G440,CPU!$F:$M,8,0),"")))</f>
        <v>54.35</v>
      </c>
      <c r="L440" s="577">
        <f t="shared" si="266"/>
        <v>0.2354</v>
      </c>
      <c r="M440" s="576">
        <f t="shared" si="267"/>
        <v>67.14</v>
      </c>
      <c r="N440" s="576">
        <f t="shared" si="268"/>
        <v>537.12</v>
      </c>
      <c r="Q440" s="589">
        <f t="shared" si="269"/>
        <v>537.12</v>
      </c>
      <c r="S440" s="433"/>
    </row>
    <row r="441" spans="1:19" ht="25.5">
      <c r="A441" s="430">
        <v>340</v>
      </c>
      <c r="B441" s="590"/>
      <c r="C441" s="431" t="str">
        <f t="shared" si="253"/>
        <v>16.1</v>
      </c>
      <c r="D441" s="587">
        <f t="shared" si="254"/>
        <v>14</v>
      </c>
      <c r="E441" s="572" t="str">
        <f t="shared" si="265"/>
        <v>16.1.14</v>
      </c>
      <c r="F441" s="579" t="s">
        <v>2239</v>
      </c>
      <c r="G441" s="581" t="s">
        <v>2945</v>
      </c>
      <c r="H441" s="750" t="str">
        <f>IF($G441="","",IFERROR(VLOOKUP($G441,SERVIÇOS!$C:$G,2,0),IFERROR(VLOOKUP($G441,CPU!$F:$M,2,0),"")))</f>
        <v>ESPELHO CRISTAL, ESPESSURA 4MM, FIXADO COM BOTÃO CROMADO, SEM MOLDURA, NAS DIMENSÕES 60X90CM</v>
      </c>
      <c r="I441" s="578" t="str">
        <f>IF($G441="","",IFERROR(VLOOKUP($G441,SERVIÇOS!$C:$G,3,0),IFERROR(VLOOKUP($G441,CPU!$F:$M,3,0),"")))</f>
        <v>UN</v>
      </c>
      <c r="J441" s="576">
        <v>9</v>
      </c>
      <c r="K441" s="576">
        <f>IF($G441="","",IFERROR(VLOOKUP($G441,SERVIÇOS!$C:$H,6,0),IFERROR(VLOOKUP($G441,CPU!$F:$M,8,0),"")))</f>
        <v>339.76</v>
      </c>
      <c r="L441" s="577">
        <f t="shared" si="266"/>
        <v>0.2354</v>
      </c>
      <c r="M441" s="576">
        <f t="shared" si="267"/>
        <v>419.74</v>
      </c>
      <c r="N441" s="576">
        <f t="shared" si="268"/>
        <v>3777.66</v>
      </c>
      <c r="Q441" s="589">
        <f t="shared" si="269"/>
        <v>3777.66</v>
      </c>
      <c r="S441" s="433"/>
    </row>
    <row r="442" spans="1:19" ht="25.5">
      <c r="A442" s="430">
        <v>340</v>
      </c>
      <c r="B442" s="590"/>
      <c r="C442" s="431" t="str">
        <f t="shared" si="253"/>
        <v>16.1</v>
      </c>
      <c r="D442" s="587">
        <f t="shared" si="254"/>
        <v>15</v>
      </c>
      <c r="E442" s="572" t="str">
        <f t="shared" ref="E442:E445" si="270">C442&amp;"."&amp;D442</f>
        <v>16.1.15</v>
      </c>
      <c r="F442" s="579" t="s">
        <v>2238</v>
      </c>
      <c r="G442" s="581">
        <v>100868</v>
      </c>
      <c r="H442" s="750" t="str">
        <f>IF($G442="","",IFERROR(VLOOKUP($G442,SERVIÇOS!$C:$G,2,0),IFERROR(VLOOKUP($G442,CPU!$F:$M,2,0),"")))</f>
        <v>BARRA DE APOIO RETA, EM ACO INOX POLIDO, COMPRIMENTO 80 CM,  FIXADA NA PAREDE - FORNECIMENTO E INSTALAÇÃO. AF_01/2020</v>
      </c>
      <c r="I442" s="578" t="str">
        <f>IF($G442="","",IFERROR(VLOOKUP($G442,SERVIÇOS!$C:$G,3,0),IFERROR(VLOOKUP($G442,CPU!$F:$M,3,0),"")))</f>
        <v>UN</v>
      </c>
      <c r="J442" s="576">
        <v>9</v>
      </c>
      <c r="K442" s="576">
        <f>IF($G442="","",IFERROR(VLOOKUP($G442,SERVIÇOS!$C:$H,6,0),IFERROR(VLOOKUP($G442,CPU!$F:$M,8,0),"")))</f>
        <v>330.99</v>
      </c>
      <c r="L442" s="577">
        <f t="shared" ref="L442:L445" si="271">IF(J442&lt;&gt;"",$N$1,"")</f>
        <v>0.2354</v>
      </c>
      <c r="M442" s="576">
        <f t="shared" ref="M442:M445" si="272">IF(J442&lt;&gt;0,(ROUND(K442*(L442+1),2)),0)</f>
        <v>408.91</v>
      </c>
      <c r="N442" s="576">
        <f t="shared" ref="N442:N445" si="273">IF(J442="","",ROUND((J442*M442),2))</f>
        <v>3680.19</v>
      </c>
      <c r="Q442" s="589">
        <f t="shared" ref="Q442:Q445" si="274">N442</f>
        <v>3680.19</v>
      </c>
      <c r="S442" s="433"/>
    </row>
    <row r="443" spans="1:19" ht="25.5">
      <c r="A443" s="430">
        <v>340</v>
      </c>
      <c r="B443" s="590"/>
      <c r="C443" s="431" t="str">
        <f t="shared" si="253"/>
        <v>16.1</v>
      </c>
      <c r="D443" s="587">
        <f t="shared" si="254"/>
        <v>16</v>
      </c>
      <c r="E443" s="572" t="str">
        <f t="shared" si="270"/>
        <v>16.1.16</v>
      </c>
      <c r="F443" s="579" t="s">
        <v>2239</v>
      </c>
      <c r="G443" s="581" t="s">
        <v>2869</v>
      </c>
      <c r="H443" s="750" t="str">
        <f>IF($G443="","",IFERROR(VLOOKUP($G443,SERVIÇOS!$C:$G,2,0),IFERROR(VLOOKUP($G443,CPU!$F:$M,2,0),"")))</f>
        <v>BARRA DE APOIO RETA, EM ACO INOX POLIDO, COMPRIMENTO 40CM, FIXADA NA PAREDE - FORNECIMENTO E INSTALAÇÃO</v>
      </c>
      <c r="I443" s="578" t="str">
        <f>IF($G443="","",IFERROR(VLOOKUP($G443,SERVIÇOS!$C:$G,3,0),IFERROR(VLOOKUP($G443,CPU!$F:$M,3,0),"")))</f>
        <v>UN</v>
      </c>
      <c r="J443" s="576">
        <v>3</v>
      </c>
      <c r="K443" s="576">
        <f>IF($G443="","",IFERROR(VLOOKUP($G443,SERVIÇOS!$C:$H,6,0),IFERROR(VLOOKUP($G443,CPU!$F:$M,8,0),"")))</f>
        <v>217.72</v>
      </c>
      <c r="L443" s="577">
        <f t="shared" si="271"/>
        <v>0.2354</v>
      </c>
      <c r="M443" s="576">
        <f t="shared" si="272"/>
        <v>268.97000000000003</v>
      </c>
      <c r="N443" s="576">
        <f t="shared" si="273"/>
        <v>806.91</v>
      </c>
      <c r="Q443" s="589">
        <f t="shared" si="274"/>
        <v>806.91</v>
      </c>
      <c r="S443" s="433"/>
    </row>
    <row r="444" spans="1:19" ht="25.5">
      <c r="A444" s="430">
        <v>340</v>
      </c>
      <c r="B444" s="590"/>
      <c r="C444" s="431" t="str">
        <f t="shared" si="253"/>
        <v>16.1</v>
      </c>
      <c r="D444" s="587">
        <f t="shared" si="254"/>
        <v>17</v>
      </c>
      <c r="E444" s="572" t="str">
        <f t="shared" si="270"/>
        <v>16.1.17</v>
      </c>
      <c r="F444" s="579" t="s">
        <v>2239</v>
      </c>
      <c r="G444" s="581" t="s">
        <v>8744</v>
      </c>
      <c r="H444" s="750" t="str">
        <f>IF($G444="","",IFERROR(VLOOKUP($G444,SERVIÇOS!$C:$G,2,0),IFERROR(VLOOKUP($G444,CPU!$F:$M,2,0),"")))</f>
        <v>BARRA DE APOIO INSTALADA EM PORTA, EM AÇO INOX, COMPRIMENTO 30CM E D=25MM</v>
      </c>
      <c r="I444" s="578" t="str">
        <f>IF($G444="","",IFERROR(VLOOKUP($G444,SERVIÇOS!$C:$G,3,0),IFERROR(VLOOKUP($G444,CPU!$F:$M,3,0),"")))</f>
        <v xml:space="preserve">UN    </v>
      </c>
      <c r="J444" s="576">
        <v>3</v>
      </c>
      <c r="K444" s="576">
        <f>IF($G444="","",IFERROR(VLOOKUP($G444,SERVIÇOS!$C:$H,6,0),IFERROR(VLOOKUP($G444,CPU!$F:$M,8,0),"")))</f>
        <v>178.3</v>
      </c>
      <c r="L444" s="577">
        <f t="shared" si="271"/>
        <v>0.2354</v>
      </c>
      <c r="M444" s="576">
        <f t="shared" si="272"/>
        <v>220.27</v>
      </c>
      <c r="N444" s="576">
        <f t="shared" si="273"/>
        <v>660.81</v>
      </c>
      <c r="Q444" s="589">
        <f t="shared" si="274"/>
        <v>660.81</v>
      </c>
      <c r="S444" s="433"/>
    </row>
    <row r="445" spans="1:19" ht="25.5">
      <c r="A445" s="430">
        <v>340</v>
      </c>
      <c r="B445" s="590"/>
      <c r="C445" s="431" t="str">
        <f t="shared" si="253"/>
        <v>16.1</v>
      </c>
      <c r="D445" s="587">
        <f t="shared" si="254"/>
        <v>18</v>
      </c>
      <c r="E445" s="572" t="str">
        <f t="shared" si="270"/>
        <v>16.1.18</v>
      </c>
      <c r="F445" s="579" t="s">
        <v>2238</v>
      </c>
      <c r="G445" s="581">
        <v>102253</v>
      </c>
      <c r="H445" s="750" t="str">
        <f>IF($G445="","",IFERROR(VLOOKUP($G445,SERVIÇOS!$C:$G,2,0),IFERROR(VLOOKUP($G445,CPU!$F:$M,2,0),"")))</f>
        <v>DIVISORIA SANITÁRIA, TIPO CABINE, EM GRANITO CINZA POLIDO, ESP = 3CM, ASSENTADO COM ARGAMASSA COLANTE AC III-E, EXCLUSIVE FERRAGENS. AF_01/2021</v>
      </c>
      <c r="I445" s="578" t="str">
        <f>IF($G445="","",IFERROR(VLOOKUP($G445,SERVIÇOS!$C:$G,3,0),IFERROR(VLOOKUP($G445,CPU!$F:$M,3,0),"")))</f>
        <v>M2</v>
      </c>
      <c r="J445" s="576">
        <v>16.75</v>
      </c>
      <c r="K445" s="576">
        <f>IF($G445="","",IFERROR(VLOOKUP($G445,SERVIÇOS!$C:$H,6,0),IFERROR(VLOOKUP($G445,CPU!$F:$M,8,0),"")))</f>
        <v>948.82</v>
      </c>
      <c r="L445" s="577">
        <f t="shared" si="271"/>
        <v>0.2354</v>
      </c>
      <c r="M445" s="576">
        <f t="shared" si="272"/>
        <v>1172.17</v>
      </c>
      <c r="N445" s="576">
        <f t="shared" si="273"/>
        <v>19633.849999999999</v>
      </c>
      <c r="Q445" s="589">
        <f t="shared" si="274"/>
        <v>19633.849999999999</v>
      </c>
      <c r="S445" s="433"/>
    </row>
    <row r="446" spans="1:19">
      <c r="A446" s="430">
        <v>339</v>
      </c>
      <c r="B446" s="590"/>
      <c r="C446" s="431" t="str">
        <f>+E446</f>
        <v>16.2</v>
      </c>
      <c r="D446" s="587"/>
      <c r="E446" s="568" t="s">
        <v>6931</v>
      </c>
      <c r="F446" s="569"/>
      <c r="G446" s="569"/>
      <c r="H446" s="749" t="s">
        <v>8697</v>
      </c>
      <c r="I446" s="570"/>
      <c r="J446" s="571"/>
      <c r="K446" s="571"/>
      <c r="L446" s="571"/>
      <c r="M446" s="571"/>
      <c r="N446" s="571"/>
      <c r="Q446" s="589"/>
      <c r="S446" s="433"/>
    </row>
    <row r="447" spans="1:19" ht="63.75">
      <c r="A447" s="430">
        <v>340</v>
      </c>
      <c r="B447" s="590"/>
      <c r="C447" s="431" t="str">
        <f t="shared" si="253"/>
        <v>16.2</v>
      </c>
      <c r="D447" s="587">
        <f t="shared" si="254"/>
        <v>1</v>
      </c>
      <c r="E447" s="572" t="str">
        <f t="shared" ref="E447" si="275">C447&amp;"."&amp;D447</f>
        <v>16.2.1</v>
      </c>
      <c r="F447" s="579" t="s">
        <v>2239</v>
      </c>
      <c r="G447" s="581" t="s">
        <v>8698</v>
      </c>
      <c r="H447" s="750" t="str">
        <f>IF($G447="","",IFERROR(VLOOKUP($G447,SERVIÇOS!$C:$G,2,0),IFERROR(VLOOKUP($G447,CPU!$F:$M,2,0),"")))</f>
        <v>PLATAFORMA DE ACESSIBILIDADE HIDRÁULICA CABINADA, MODELO UNILATERAL, DIMENSÃO DA BASE 90X140X203CM (MEDIDAS LIVRES), ACABAMENTO PINTURA ELETROSTÁTICA A PÓ NA COR CINZA TEXTURIZADO, 02 PARADAS, DESNÍVEL APROXIMADO 2,80M, MODELO PHE-M6 OU EQUIVALENTE TÉCNICO - FORNECIMENTO E INSTALAÇÃO</v>
      </c>
      <c r="I447" s="578" t="str">
        <f>IF($G447="","",IFERROR(VLOOKUP($G447,SERVIÇOS!$C:$G,3,0),IFERROR(VLOOKUP($G447,CPU!$F:$M,3,0),"")))</f>
        <v>UN</v>
      </c>
      <c r="J447" s="576">
        <v>1</v>
      </c>
      <c r="K447" s="576">
        <f>IF($G447="","",IFERROR(VLOOKUP($G447,SERVIÇOS!$C:$H,6,0),IFERROR(VLOOKUP($G447,CPU!$F:$M,8,0),"")))</f>
        <v>50930</v>
      </c>
      <c r="L447" s="577">
        <f t="shared" ref="L447" si="276">IF(J447&lt;&gt;"",$N$1,"")</f>
        <v>0.2354</v>
      </c>
      <c r="M447" s="576">
        <f t="shared" ref="M447" si="277">IF(J447&lt;&gt;0,(ROUND(K447*(L447+1),2)),0)</f>
        <v>62918.92</v>
      </c>
      <c r="N447" s="576">
        <f t="shared" ref="N447" si="278">IF(J447="","",ROUND((J447*M447),2))</f>
        <v>62918.92</v>
      </c>
      <c r="Q447" s="589">
        <f t="shared" ref="Q447" si="279">N447</f>
        <v>62918.92</v>
      </c>
      <c r="S447" s="433"/>
    </row>
    <row r="448" spans="1:19">
      <c r="A448" s="430">
        <v>339</v>
      </c>
      <c r="B448" s="590"/>
      <c r="C448" s="431" t="str">
        <f>+E448</f>
        <v>16.3</v>
      </c>
      <c r="D448" s="587"/>
      <c r="E448" s="568" t="s">
        <v>6932</v>
      </c>
      <c r="F448" s="569"/>
      <c r="G448" s="569"/>
      <c r="H448" s="749" t="s">
        <v>5327</v>
      </c>
      <c r="I448" s="570"/>
      <c r="J448" s="571"/>
      <c r="K448" s="571"/>
      <c r="L448" s="571"/>
      <c r="M448" s="571"/>
      <c r="N448" s="571"/>
      <c r="Q448" s="589"/>
      <c r="S448" s="433"/>
    </row>
    <row r="449" spans="1:21" ht="25.5">
      <c r="A449" s="430">
        <v>343</v>
      </c>
      <c r="B449" s="590"/>
      <c r="C449" s="431" t="e">
        <f>+#REF!</f>
        <v>#REF!</v>
      </c>
      <c r="D449" s="587" t="e">
        <f>1+#REF!</f>
        <v>#REF!</v>
      </c>
      <c r="E449" s="572" t="e">
        <f t="shared" ref="E449" si="280">C449&amp;"."&amp;D449</f>
        <v>#REF!</v>
      </c>
      <c r="F449" s="579" t="s">
        <v>2239</v>
      </c>
      <c r="G449" s="581" t="s">
        <v>8692</v>
      </c>
      <c r="H449" s="750" t="str">
        <f>IF($G449="","",IFERROR(VLOOKUP($G449,SERVIÇOS!$C:$G,2,0),IFERROR(VLOOKUP($G449,CPU!$F:$M,2,0),"")))</f>
        <v>BASE DE CONCRETO 184X60X15CM COM 3 MASTROS PARA BANDEIRA EM AÇO GALVANIZADO COMPLETO ENGASTADO, ALTURA LIVRE DE 7,00M</v>
      </c>
      <c r="I449" s="578" t="str">
        <f>IF($G449="","",IFERROR(VLOOKUP($G449,SERVIÇOS!$C:$G,3,0),IFERROR(VLOOKUP($G449,CPU!$F:$M,3,0),"")))</f>
        <v>UN</v>
      </c>
      <c r="J449" s="576">
        <v>1</v>
      </c>
      <c r="K449" s="576">
        <f>IF($G449="","",IFERROR(VLOOKUP($G449,SERVIÇOS!$C:$H,6,0),IFERROR(VLOOKUP($G449,CPU!$F:$M,8,0),"")))</f>
        <v>4238.78</v>
      </c>
      <c r="L449" s="577">
        <f t="shared" ref="L449" si="281">IF(J449&lt;&gt;"",$N$1,"")</f>
        <v>0.2354</v>
      </c>
      <c r="M449" s="576">
        <f t="shared" ref="M449" si="282">IF(J449&lt;&gt;0,(ROUND(K449*(L449+1),2)),0)</f>
        <v>5236.59</v>
      </c>
      <c r="N449" s="576">
        <f t="shared" ref="N449" si="283">IF(J449="","",ROUND((J449*M449),2))</f>
        <v>5236.59</v>
      </c>
      <c r="Q449" s="589">
        <f t="shared" ref="Q449" si="284">N449</f>
        <v>5236.59</v>
      </c>
      <c r="S449" s="433"/>
    </row>
    <row r="450" spans="1:21">
      <c r="A450" s="430">
        <v>339</v>
      </c>
      <c r="B450" s="590"/>
      <c r="C450" s="431" t="str">
        <f>+E450</f>
        <v>16.4</v>
      </c>
      <c r="D450" s="587"/>
      <c r="E450" s="568" t="s">
        <v>6933</v>
      </c>
      <c r="F450" s="569"/>
      <c r="G450" s="569"/>
      <c r="H450" s="749" t="s">
        <v>5326</v>
      </c>
      <c r="I450" s="570"/>
      <c r="J450" s="571"/>
      <c r="K450" s="571"/>
      <c r="L450" s="571"/>
      <c r="M450" s="571"/>
      <c r="N450" s="571"/>
      <c r="Q450" s="589"/>
      <c r="S450" s="433"/>
    </row>
    <row r="451" spans="1:21" ht="25.5">
      <c r="A451" s="430">
        <v>340</v>
      </c>
      <c r="B451" s="590"/>
      <c r="C451" s="431" t="str">
        <f t="shared" ref="C451" si="285">+C450</f>
        <v>16.4</v>
      </c>
      <c r="D451" s="587">
        <f t="shared" ref="D451" si="286">1+D450</f>
        <v>1</v>
      </c>
      <c r="E451" s="572" t="str">
        <f t="shared" ref="E451" si="287">C451&amp;"."&amp;D451</f>
        <v>16.4.1</v>
      </c>
      <c r="F451" s="579" t="s">
        <v>2238</v>
      </c>
      <c r="G451" s="581">
        <v>103946</v>
      </c>
      <c r="H451" s="750" t="str">
        <f>IF($G451="","",IFERROR(VLOOKUP($G451,SERVIÇOS!$C:$G,2,0),IFERROR(VLOOKUP($G451,CPU!$F:$M,2,0),"")))</f>
        <v>PLANTIO DE GRAMA ESMERALDA OU SÃO CARLOS OU CURITIBANA, EM PLACAS. AF_05/2022</v>
      </c>
      <c r="I451" s="578" t="str">
        <f>IF($G451="","",IFERROR(VLOOKUP($G451,SERVIÇOS!$C:$G,3,0),IFERROR(VLOOKUP($G451,CPU!$F:$M,3,0),"")))</f>
        <v>M2</v>
      </c>
      <c r="J451" s="576">
        <v>228.14</v>
      </c>
      <c r="K451" s="576">
        <f>IF($G451="","",IFERROR(VLOOKUP($G451,SERVIÇOS!$C:$H,6,0),IFERROR(VLOOKUP($G451,CPU!$F:$M,8,0),"")))</f>
        <v>13.41</v>
      </c>
      <c r="L451" s="577">
        <f t="shared" ref="L451" si="288">IF(J451&lt;&gt;"",$N$1,"")</f>
        <v>0.2354</v>
      </c>
      <c r="M451" s="576">
        <f t="shared" ref="M451" si="289">IF(J451&lt;&gt;0,(ROUND(K451*(L451+1),2)),0)</f>
        <v>16.57</v>
      </c>
      <c r="N451" s="576">
        <f t="shared" ref="N451" si="290">IF(J451="","",ROUND((J451*M451),2))</f>
        <v>3780.28</v>
      </c>
      <c r="Q451" s="589">
        <f t="shared" ref="Q451" si="291">N451</f>
        <v>3780.28</v>
      </c>
      <c r="S451" s="433"/>
    </row>
    <row r="452" spans="1:21">
      <c r="A452" s="430">
        <v>346</v>
      </c>
      <c r="B452" s="590"/>
      <c r="C452" s="431" t="str">
        <f>+E452</f>
        <v>16.5</v>
      </c>
      <c r="D452" s="587"/>
      <c r="E452" s="568" t="s">
        <v>6934</v>
      </c>
      <c r="F452" s="569"/>
      <c r="G452" s="747"/>
      <c r="H452" s="749" t="s">
        <v>2872</v>
      </c>
      <c r="I452" s="570"/>
      <c r="J452" s="571"/>
      <c r="K452" s="571"/>
      <c r="L452" s="571"/>
      <c r="M452" s="571"/>
      <c r="N452" s="571"/>
      <c r="P452" s="588"/>
      <c r="Q452" s="589"/>
      <c r="R452" s="588"/>
      <c r="S452" s="433"/>
      <c r="T452" s="588"/>
      <c r="U452" s="588"/>
    </row>
    <row r="453" spans="1:21" ht="38.25">
      <c r="A453" s="430">
        <v>347</v>
      </c>
      <c r="B453" s="590"/>
      <c r="C453" s="431" t="str">
        <f>+C452</f>
        <v>16.5</v>
      </c>
      <c r="D453" s="587">
        <f>1+D452</f>
        <v>1</v>
      </c>
      <c r="E453" s="572" t="str">
        <f>C453&amp;"."&amp;D453</f>
        <v>16.5.1</v>
      </c>
      <c r="F453" s="579" t="s">
        <v>2239</v>
      </c>
      <c r="G453" s="668" t="s">
        <v>6869</v>
      </c>
      <c r="H453" s="750" t="str">
        <f>IF($G453="","",IFERROR(VLOOKUP($G453,SERVIÇOS!$C:$G,2,0),IFERROR(VLOOKUP($G453,CPU!$F:$M,2,0),"")))</f>
        <v>PLACA DE INAUGURAÇÃO EM AÇO INOX DE DIMENSÃO 70x50CM, ESPESSURA 2MM, BRASÃO E TEXTOS APLICADOS POR FOTOCORROSÃO COLORIDA, FIXAÇÃO COM PARAFUSO DE AÇO</v>
      </c>
      <c r="I453" s="578" t="str">
        <f>IF($G453="","",IFERROR(VLOOKUP($G453,SERVIÇOS!$C:$G,3,0),IFERROR(VLOOKUP($G453,CPU!$F:$M,3,0),"")))</f>
        <v>UN</v>
      </c>
      <c r="J453" s="576">
        <v>1</v>
      </c>
      <c r="K453" s="576">
        <f>IF($G453="","",IFERROR(VLOOKUP($G453,SERVIÇOS!$C:$H,6,0),IFERROR(VLOOKUP($G453,CPU!$F:$M,8,0),"")))</f>
        <v>619.25</v>
      </c>
      <c r="L453" s="577">
        <f>IF(J453&lt;&gt;"",$N$1,"")</f>
        <v>0.2354</v>
      </c>
      <c r="M453" s="576">
        <f>IF(J453&lt;&gt;0,(ROUND(K453*(L453+1),2)),0)</f>
        <v>765.02</v>
      </c>
      <c r="N453" s="576">
        <f>IF(J453="","",ROUND((J453*M453),2))</f>
        <v>765.02</v>
      </c>
      <c r="Q453" s="589">
        <f>N453</f>
        <v>765.02</v>
      </c>
      <c r="S453" s="433"/>
    </row>
    <row r="454" spans="1:21" s="588" customFormat="1" ht="38.25">
      <c r="A454" s="430">
        <v>348</v>
      </c>
      <c r="B454" s="590"/>
      <c r="C454" s="431" t="str">
        <f>+C453</f>
        <v>16.5</v>
      </c>
      <c r="D454" s="587">
        <f>1+D453</f>
        <v>2</v>
      </c>
      <c r="E454" s="572" t="str">
        <f>C454&amp;"."&amp;D454</f>
        <v>16.5.2</v>
      </c>
      <c r="F454" s="579" t="s">
        <v>2239</v>
      </c>
      <c r="G454" s="761" t="s">
        <v>6870</v>
      </c>
      <c r="H454" s="750" t="str">
        <f>IF($G454="","",IFERROR(VLOOKUP($G454,SERVIÇOS!$C:$G,2,0),IFERROR(VLOOKUP($G454,CPU!$F:$M,2,0),"")))</f>
        <v>LETREIRO EXTERNO COMPOSTO POR LETRAS EM AÇO INOX, COM O TEXTO "CÂMARA MUNICIPAL DE TAMARANA", FONTE ARIAL, EM ALTO RELEVO, ESPESSURA 4CM, ALTURA 30CM, FIXADOS COM PARAFUSO</v>
      </c>
      <c r="I454" s="578" t="str">
        <f>IF($G454="","",IFERROR(VLOOKUP($G454,SERVIÇOS!$C:$G,3,0),IFERROR(VLOOKUP($G454,CPU!$F:$M,3,0),"")))</f>
        <v>UN</v>
      </c>
      <c r="J454" s="576">
        <v>1</v>
      </c>
      <c r="K454" s="576">
        <f>IF($G454="","",IFERROR(VLOOKUP($G454,SERVIÇOS!$C:$H,6,0),IFERROR(VLOOKUP($G454,CPU!$F:$M,8,0),"")))</f>
        <v>1485.3400000000001</v>
      </c>
      <c r="L454" s="577">
        <f>IF(J454&lt;&gt;"",$N$1,"")</f>
        <v>0.2354</v>
      </c>
      <c r="M454" s="576">
        <f>IF(J454&lt;&gt;0,(ROUND(K454*(L454+1),2)),0)</f>
        <v>1834.99</v>
      </c>
      <c r="N454" s="576">
        <f>IF(J454="","",ROUND((J454*M454),2))</f>
        <v>1834.99</v>
      </c>
      <c r="O454" s="431"/>
      <c r="P454" s="430"/>
      <c r="Q454" s="589">
        <f>N454</f>
        <v>1834.99</v>
      </c>
      <c r="R454" s="430"/>
      <c r="S454" s="433"/>
      <c r="T454" s="430"/>
      <c r="U454" s="430"/>
    </row>
    <row r="455" spans="1:21" s="588" customFormat="1" ht="38.25">
      <c r="A455" s="430">
        <v>348</v>
      </c>
      <c r="B455" s="590"/>
      <c r="C455" s="431" t="str">
        <f t="shared" ref="C455:C458" si="292">+C454</f>
        <v>16.5</v>
      </c>
      <c r="D455" s="587">
        <f t="shared" ref="D455:D458" si="293">1+D454</f>
        <v>3</v>
      </c>
      <c r="E455" s="572" t="str">
        <f t="shared" ref="E455:E458" si="294">C455&amp;"."&amp;D455</f>
        <v>16.5.3</v>
      </c>
      <c r="F455" s="579" t="s">
        <v>2239</v>
      </c>
      <c r="G455" s="761" t="s">
        <v>6872</v>
      </c>
      <c r="H455" s="750" t="str">
        <f>IF($G455="","",IFERROR(VLOOKUP($G455,SERVIÇOS!$C:$G,2,0),IFERROR(VLOOKUP($G455,CPU!$F:$M,2,0),"")))</f>
        <v>LETREIRO RECEPÇÃO COMPOSTO POR LETRAS (H=12cm) E ESTRELAS (H=25cm) EM AÇO INOX, COM O TEXTO "CÂMARA MUNICIPAL DE TAMARANA", FONTE ARIAL, EM ALTO RELEVO, ESPESSURA 3CM, FIXADOS COM PARAFUSO</v>
      </c>
      <c r="I455" s="578" t="str">
        <f>IF($G455="","",IFERROR(VLOOKUP($G455,SERVIÇOS!$C:$G,3,0),IFERROR(VLOOKUP($G455,CPU!$F:$M,3,0),"")))</f>
        <v>UN</v>
      </c>
      <c r="J455" s="576">
        <v>1</v>
      </c>
      <c r="K455" s="576">
        <f>IF($G455="","",IFERROR(VLOOKUP($G455,SERVIÇOS!$C:$H,6,0),IFERROR(VLOOKUP($G455,CPU!$F:$M,8,0),"")))</f>
        <v>1454.98</v>
      </c>
      <c r="L455" s="577">
        <f t="shared" ref="L455:L458" si="295">IF(J455&lt;&gt;"",$N$1,"")</f>
        <v>0.2354</v>
      </c>
      <c r="M455" s="576">
        <f t="shared" ref="M455:M458" si="296">IF(J455&lt;&gt;0,(ROUND(K455*(L455+1),2)),0)</f>
        <v>1797.48</v>
      </c>
      <c r="N455" s="576">
        <f t="shared" ref="N455:N458" si="297">IF(J455="","",ROUND((J455*M455),2))</f>
        <v>1797.48</v>
      </c>
      <c r="O455" s="431"/>
      <c r="P455" s="430"/>
      <c r="Q455" s="589">
        <f t="shared" ref="Q455:Q458" si="298">N455</f>
        <v>1797.48</v>
      </c>
      <c r="R455" s="430"/>
      <c r="S455" s="433"/>
      <c r="T455" s="430"/>
      <c r="U455" s="430"/>
    </row>
    <row r="456" spans="1:21" s="588" customFormat="1" ht="38.25">
      <c r="A456" s="430">
        <v>348</v>
      </c>
      <c r="B456" s="590"/>
      <c r="C456" s="431" t="str">
        <f t="shared" si="292"/>
        <v>16.5</v>
      </c>
      <c r="D456" s="587">
        <f t="shared" si="293"/>
        <v>4</v>
      </c>
      <c r="E456" s="572" t="str">
        <f t="shared" si="294"/>
        <v>16.5.4</v>
      </c>
      <c r="F456" s="579" t="s">
        <v>2239</v>
      </c>
      <c r="G456" s="761" t="s">
        <v>6874</v>
      </c>
      <c r="H456" s="750" t="str">
        <f>IF($G456="","",IFERROR(VLOOKUP($G456,SERVIÇOS!$C:$G,2,0),IFERROR(VLOOKUP($G456,CPU!$F:$M,2,0),"")))</f>
        <v>LETREIRO PLENÁRIO COMPOSTO POR LETRAS EM AÇO INOX, COM O TEXTO "PLENÁRIO" H=25CM E "UBALDINO TORRES BITTENCOURT" H=12CM, FONTE ARIAL, EM ALTO RELEVO, ESPESSURA 3CM, FIXADOS COM PARAFUSO</v>
      </c>
      <c r="I456" s="578" t="str">
        <f>IF($G456="","",IFERROR(VLOOKUP($G456,SERVIÇOS!$C:$G,3,0),IFERROR(VLOOKUP($G456,CPU!$F:$M,3,0),"")))</f>
        <v>UN</v>
      </c>
      <c r="J456" s="576">
        <v>1</v>
      </c>
      <c r="K456" s="576">
        <f>IF($G456="","",IFERROR(VLOOKUP($G456,SERVIÇOS!$C:$H,6,0),IFERROR(VLOOKUP($G456,CPU!$F:$M,8,0),"")))</f>
        <v>1253.9900000000002</v>
      </c>
      <c r="L456" s="577">
        <f t="shared" si="295"/>
        <v>0.2354</v>
      </c>
      <c r="M456" s="576">
        <f t="shared" si="296"/>
        <v>1549.18</v>
      </c>
      <c r="N456" s="576">
        <f t="shared" si="297"/>
        <v>1549.18</v>
      </c>
      <c r="O456" s="431"/>
      <c r="P456" s="430"/>
      <c r="Q456" s="589">
        <f t="shared" si="298"/>
        <v>1549.18</v>
      </c>
      <c r="R456" s="430"/>
      <c r="S456" s="433"/>
      <c r="T456" s="430"/>
      <c r="U456" s="430"/>
    </row>
    <row r="457" spans="1:21" s="588" customFormat="1" ht="38.25">
      <c r="A457" s="430">
        <v>348</v>
      </c>
      <c r="B457" s="590"/>
      <c r="C457" s="431" t="e">
        <f>+#REF!</f>
        <v>#REF!</v>
      </c>
      <c r="D457" s="587" t="e">
        <f>1+#REF!</f>
        <v>#REF!</v>
      </c>
      <c r="E457" s="572" t="e">
        <f t="shared" si="294"/>
        <v>#REF!</v>
      </c>
      <c r="F457" s="579" t="s">
        <v>2239</v>
      </c>
      <c r="G457" s="761" t="s">
        <v>6873</v>
      </c>
      <c r="H457" s="750" t="str">
        <f>IF($G457="","",IFERROR(VLOOKUP($G457,SERVIÇOS!$C:$G,2,0),IFERROR(VLOOKUP($G457,CPU!$F:$M,2,0),"")))</f>
        <v xml:space="preserve">PLACA DE IDENTIFICAÇÃO DE AMBIENTE EM CHAPA PVC E=2MM, COM APLICAÇÃO DE VINIL AUTOADESIVO E TEXTO BRAILLE EM INOX, CONFORME PROJETO, DIMENSÃO 30X15CM, FIXADO COM FITA DUPLA-FACE </v>
      </c>
      <c r="I457" s="578" t="str">
        <f>IF($G457="","",IFERROR(VLOOKUP($G457,SERVIÇOS!$C:$G,3,0),IFERROR(VLOOKUP($G457,CPU!$F:$M,3,0),"")))</f>
        <v>UN</v>
      </c>
      <c r="J457" s="576">
        <v>30</v>
      </c>
      <c r="K457" s="576">
        <f>IF($G457="","",IFERROR(VLOOKUP($G457,SERVIÇOS!$C:$H,6,0),IFERROR(VLOOKUP($G457,CPU!$F:$M,8,0),"")))</f>
        <v>65.39</v>
      </c>
      <c r="L457" s="577">
        <f t="shared" si="295"/>
        <v>0.2354</v>
      </c>
      <c r="M457" s="576">
        <f t="shared" si="296"/>
        <v>80.78</v>
      </c>
      <c r="N457" s="576">
        <f t="shared" si="297"/>
        <v>2423.4</v>
      </c>
      <c r="O457" s="431"/>
      <c r="P457" s="430"/>
      <c r="Q457" s="589">
        <f t="shared" si="298"/>
        <v>2423.4</v>
      </c>
      <c r="R457" s="430"/>
      <c r="S457" s="433"/>
      <c r="T457" s="430"/>
      <c r="U457" s="430"/>
    </row>
    <row r="458" spans="1:21" s="588" customFormat="1" ht="25.5">
      <c r="A458" s="430">
        <v>348</v>
      </c>
      <c r="B458" s="590"/>
      <c r="C458" s="431" t="e">
        <f t="shared" si="292"/>
        <v>#REF!</v>
      </c>
      <c r="D458" s="587" t="e">
        <f t="shared" si="293"/>
        <v>#REF!</v>
      </c>
      <c r="E458" s="572" t="e">
        <f t="shared" si="294"/>
        <v>#REF!</v>
      </c>
      <c r="F458" s="579" t="s">
        <v>2239</v>
      </c>
      <c r="G458" s="761" t="s">
        <v>6875</v>
      </c>
      <c r="H458" s="750" t="str">
        <f>IF($G458="","",IFERROR(VLOOKUP($G458,SERVIÇOS!$C:$G,2,0),IFERROR(VLOOKUP($G458,CPU!$F:$M,2,0),"")))</f>
        <v>SINALIZAÇÃO TÁTIL PARA CORRIMÃO EM CHAPA INOX, FIXADO COM FITA DUPLA-FACE, DIMENSÃO 10X3CM</v>
      </c>
      <c r="I458" s="578" t="str">
        <f>IF($G458="","",IFERROR(VLOOKUP($G458,SERVIÇOS!$C:$G,3,0),IFERROR(VLOOKUP($G458,CPU!$F:$M,3,0),"")))</f>
        <v>UN</v>
      </c>
      <c r="J458" s="576">
        <v>40</v>
      </c>
      <c r="K458" s="576">
        <f>IF($G458="","",IFERROR(VLOOKUP($G458,SERVIÇOS!$C:$H,6,0),IFERROR(VLOOKUP($G458,CPU!$F:$M,8,0),"")))</f>
        <v>15.790000000000001</v>
      </c>
      <c r="L458" s="577">
        <f t="shared" si="295"/>
        <v>0.2354</v>
      </c>
      <c r="M458" s="576">
        <f t="shared" si="296"/>
        <v>19.510000000000002</v>
      </c>
      <c r="N458" s="576">
        <f t="shared" si="297"/>
        <v>780.4</v>
      </c>
      <c r="O458" s="431"/>
      <c r="P458" s="430"/>
      <c r="Q458" s="589">
        <f t="shared" si="298"/>
        <v>780.4</v>
      </c>
      <c r="R458" s="430"/>
      <c r="S458" s="433"/>
      <c r="T458" s="430"/>
      <c r="U458" s="430"/>
    </row>
    <row r="459" spans="1:21">
      <c r="A459" s="430">
        <v>349</v>
      </c>
      <c r="B459" s="590"/>
      <c r="C459" s="431">
        <f>+E459</f>
        <v>17</v>
      </c>
      <c r="D459" s="587"/>
      <c r="E459" s="859">
        <v>17</v>
      </c>
      <c r="F459" s="860"/>
      <c r="G459" s="860"/>
      <c r="H459" s="861" t="s">
        <v>6515</v>
      </c>
      <c r="I459" s="862"/>
      <c r="J459" s="863"/>
      <c r="K459" s="866"/>
      <c r="L459" s="865"/>
      <c r="M459" s="864"/>
      <c r="N459" s="864">
        <f>SUM(N460:N470)</f>
        <v>84191.760000000009</v>
      </c>
      <c r="Q459" s="589"/>
      <c r="S459" s="433"/>
      <c r="T459" s="433">
        <v>49448.95</v>
      </c>
      <c r="U459" s="433">
        <v>62404.590000000004</v>
      </c>
    </row>
    <row r="460" spans="1:21">
      <c r="A460" s="430">
        <v>353</v>
      </c>
      <c r="B460" s="590"/>
      <c r="C460" s="431" t="str">
        <f>+E460</f>
        <v>17.1</v>
      </c>
      <c r="D460" s="587"/>
      <c r="E460" s="568" t="s">
        <v>6935</v>
      </c>
      <c r="F460" s="569"/>
      <c r="G460" s="569"/>
      <c r="H460" s="749" t="s">
        <v>6791</v>
      </c>
      <c r="I460" s="570"/>
      <c r="J460" s="571"/>
      <c r="K460" s="571"/>
      <c r="L460" s="571"/>
      <c r="M460" s="571"/>
      <c r="N460" s="571"/>
      <c r="Q460" s="589"/>
      <c r="S460" s="433"/>
    </row>
    <row r="461" spans="1:21" ht="25.5">
      <c r="A461" s="430">
        <v>354</v>
      </c>
      <c r="B461" s="590"/>
      <c r="C461" s="431" t="str">
        <f>+C460</f>
        <v>17.1</v>
      </c>
      <c r="D461" s="587">
        <f>1+D460</f>
        <v>1</v>
      </c>
      <c r="E461" s="572" t="str">
        <f>C461&amp;"."&amp;D461</f>
        <v>17.1.1</v>
      </c>
      <c r="F461" s="579" t="s">
        <v>2238</v>
      </c>
      <c r="G461" s="581">
        <v>92396</v>
      </c>
      <c r="H461" s="750" t="str">
        <f>IF($G461="","",IFERROR(VLOOKUP($G461,SERVIÇOS!$C:$G,2,0),IFERROR(VLOOKUP($G461,CPU!$F:$M,2,0),"")))</f>
        <v>EXECUÇÃO DE PASSEIO EM PISO INTERTRAVADO, COM BLOCO RETANGULAR COR NATURAL DE 20 X 10 CM, ESPESSURA 6 CM. AF_12/2015</v>
      </c>
      <c r="I461" s="578" t="str">
        <f>IF($G461="","",IFERROR(VLOOKUP($G461,SERVIÇOS!$C:$G,3,0),IFERROR(VLOOKUP($G461,CPU!$F:$M,3,0),"")))</f>
        <v>M2</v>
      </c>
      <c r="J461" s="576">
        <v>667.31</v>
      </c>
      <c r="K461" s="576">
        <f>IF($G461="","",IFERROR(VLOOKUP($G461,SERVIÇOS!$C:$H,6,0),IFERROR(VLOOKUP($G461,CPU!$F:$M,8,0),"")))</f>
        <v>63.26</v>
      </c>
      <c r="L461" s="577">
        <f>IF(J461&lt;&gt;"",$N$1,"")</f>
        <v>0.2354</v>
      </c>
      <c r="M461" s="576">
        <f>IF(J461&lt;&gt;0,(ROUND(K461*(L461+1),2)),0)</f>
        <v>78.150000000000006</v>
      </c>
      <c r="N461" s="576">
        <f>IF(J461="","",ROUND((J461*M461),2))</f>
        <v>52150.28</v>
      </c>
      <c r="Q461" s="589">
        <f>N461</f>
        <v>52150.28</v>
      </c>
      <c r="S461" s="433"/>
    </row>
    <row r="462" spans="1:21" ht="25.5">
      <c r="A462" s="430">
        <v>355</v>
      </c>
      <c r="B462" s="590"/>
      <c r="C462" s="431" t="str">
        <f t="shared" ref="C462:C463" si="299">+C461</f>
        <v>17.1</v>
      </c>
      <c r="D462" s="587">
        <f t="shared" ref="D462:D463" si="300">1+D461</f>
        <v>2</v>
      </c>
      <c r="E462" s="572" t="str">
        <f>C462&amp;"."&amp;D462</f>
        <v>17.1.2</v>
      </c>
      <c r="F462" s="579" t="s">
        <v>2238</v>
      </c>
      <c r="G462" s="580">
        <v>96396</v>
      </c>
      <c r="H462" s="750" t="str">
        <f>IF($G462="","",IFERROR(VLOOKUP($G462,SERVIÇOS!$C:$G,2,0),IFERROR(VLOOKUP($G462,CPU!$F:$M,2,0),"")))</f>
        <v>EXECUÇÃO E COMPACTAÇÃO DE BASE E OU SUB BASE PARA PAVIMENTAÇÃO DE BRITA GRADUADA SIMPLES - EXCLUSIVE CARGA E TRANSPORTE. AF_11/2019</v>
      </c>
      <c r="I462" s="578" t="str">
        <f>IF($G462="","",IFERROR(VLOOKUP($G462,SERVIÇOS!$C:$G,3,0),IFERROR(VLOOKUP($G462,CPU!$F:$M,3,0),"")))</f>
        <v>M3</v>
      </c>
      <c r="J462" s="576">
        <v>42.04</v>
      </c>
      <c r="K462" s="576">
        <f>IF($G462="","",IFERROR(VLOOKUP($G462,SERVIÇOS!$C:$H,6,0),IFERROR(VLOOKUP($G462,CPU!$F:$M,8,0),"")))</f>
        <v>104.96</v>
      </c>
      <c r="L462" s="577">
        <f>IF(J462&lt;&gt;"",$N$1,"")</f>
        <v>0.2354</v>
      </c>
      <c r="M462" s="576">
        <f>IF(J462&lt;&gt;0,(ROUND(K462*(L462+1),2)),0)</f>
        <v>129.66999999999999</v>
      </c>
      <c r="N462" s="576">
        <f>IF(J462="","",ROUND((J462*M462),2))</f>
        <v>5451.33</v>
      </c>
      <c r="Q462" s="589">
        <f>N462</f>
        <v>5451.33</v>
      </c>
      <c r="S462" s="433"/>
    </row>
    <row r="463" spans="1:21" ht="25.5">
      <c r="A463" s="430">
        <v>355</v>
      </c>
      <c r="B463" s="590"/>
      <c r="C463" s="431" t="str">
        <f t="shared" si="299"/>
        <v>17.1</v>
      </c>
      <c r="D463" s="587">
        <f t="shared" si="300"/>
        <v>3</v>
      </c>
      <c r="E463" s="572" t="str">
        <f>C463&amp;"."&amp;D463</f>
        <v>17.1.3</v>
      </c>
      <c r="F463" s="579" t="s">
        <v>2239</v>
      </c>
      <c r="G463" s="581" t="s">
        <v>8625</v>
      </c>
      <c r="H463" s="750" t="str">
        <f>IF($G463="","",IFERROR(VLOOKUP($G463,SERVIÇOS!$C:$G,2,0),IFERROR(VLOOKUP($G463,CPU!$F:$M,2,0),"")))</f>
        <v>PISO TÁTIL EM LADRILHO HIDRÁULICO PIGMENTADO, LARGURA 30CM, INCLUSO CONTRAPISO EM CONCRETO</v>
      </c>
      <c r="I463" s="578" t="str">
        <f>IF($G463="","",IFERROR(VLOOKUP($G463,SERVIÇOS!$C:$G,3,0),IFERROR(VLOOKUP($G463,CPU!$F:$M,3,0),"")))</f>
        <v>M</v>
      </c>
      <c r="J463" s="576">
        <v>110.96</v>
      </c>
      <c r="K463" s="576">
        <f>IF($G463="","",IFERROR(VLOOKUP($G463,SERVIÇOS!$C:$H,6,0),IFERROR(VLOOKUP($G463,CPU!$F:$M,8,0),"")))</f>
        <v>53.05</v>
      </c>
      <c r="L463" s="577">
        <f>IF(J463&lt;&gt;"",$N$1,"")</f>
        <v>0.2354</v>
      </c>
      <c r="M463" s="576">
        <f>IF(J463&lt;&gt;0,(ROUND(K463*(L463+1),2)),0)</f>
        <v>65.540000000000006</v>
      </c>
      <c r="N463" s="576">
        <f>IF(J463="","",ROUND((J463*M463),2))</f>
        <v>7272.32</v>
      </c>
      <c r="Q463" s="589">
        <f>N463</f>
        <v>7272.32</v>
      </c>
      <c r="S463" s="433"/>
    </row>
    <row r="464" spans="1:21">
      <c r="A464" s="430">
        <v>350</v>
      </c>
      <c r="B464" s="590"/>
      <c r="C464" s="431" t="str">
        <f>+E464</f>
        <v>17.2</v>
      </c>
      <c r="D464" s="587"/>
      <c r="E464" s="568" t="s">
        <v>6936</v>
      </c>
      <c r="F464" s="569"/>
      <c r="G464" s="569"/>
      <c r="H464" s="749" t="s">
        <v>7496</v>
      </c>
      <c r="I464" s="570"/>
      <c r="J464" s="571"/>
      <c r="K464" s="571"/>
      <c r="L464" s="571"/>
      <c r="M464" s="571"/>
      <c r="N464" s="571"/>
      <c r="Q464" s="589"/>
      <c r="S464" s="433"/>
    </row>
    <row r="465" spans="1:21" ht="25.5">
      <c r="A465" s="430">
        <v>351</v>
      </c>
      <c r="B465" s="590"/>
      <c r="C465" s="431" t="str">
        <f t="shared" ref="C465:C470" si="301">+C464</f>
        <v>17.2</v>
      </c>
      <c r="D465" s="587">
        <f t="shared" ref="D465:D470" si="302">1+D464</f>
        <v>1</v>
      </c>
      <c r="E465" s="572" t="str">
        <f t="shared" ref="E465:E470" si="303">C465&amp;"."&amp;D465</f>
        <v>17.2.1</v>
      </c>
      <c r="F465" s="579" t="s">
        <v>2238</v>
      </c>
      <c r="G465" s="581">
        <v>94281</v>
      </c>
      <c r="H465" s="750" t="str">
        <f>IF($G465="","",IFERROR(VLOOKUP($G465,SERVIÇOS!$C:$G,2,0),IFERROR(VLOOKUP($G465,CPU!$F:$M,2,0),"")))</f>
        <v>EXECUÇÃO DE SARJETA DE CONCRETO USINADO, MOLDADA  IN LOCO  EM TRECHO RETO, 30 CM BASE X 15 CM ALTURA. AF_06/2016</v>
      </c>
      <c r="I465" s="578" t="str">
        <f>IF($G465="","",IFERROR(VLOOKUP($G465,SERVIÇOS!$C:$G,3,0),IFERROR(VLOOKUP($G465,CPU!$F:$M,3,0),"")))</f>
        <v>M</v>
      </c>
      <c r="J465" s="576">
        <v>75.290000000000006</v>
      </c>
      <c r="K465" s="576">
        <f>IF($G465="","",IFERROR(VLOOKUP($G465,SERVIÇOS!$C:$H,6,0),IFERROR(VLOOKUP($G465,CPU!$F:$M,8,0),"")))</f>
        <v>54.54</v>
      </c>
      <c r="L465" s="577">
        <f t="shared" ref="L465:L470" si="304">IF(J465&lt;&gt;"",$N$1,"")</f>
        <v>0.2354</v>
      </c>
      <c r="M465" s="576">
        <f t="shared" ref="M465:M470" si="305">IF(J465&lt;&gt;0,(ROUND(K465*(L465+1),2)),0)</f>
        <v>67.38</v>
      </c>
      <c r="N465" s="576">
        <f t="shared" ref="N465:N470" si="306">IF(J465="","",ROUND((J465*M465),2))</f>
        <v>5073.04</v>
      </c>
      <c r="Q465" s="589">
        <f t="shared" ref="Q465:Q470" si="307">N465</f>
        <v>5073.04</v>
      </c>
      <c r="S465" s="433"/>
    </row>
    <row r="466" spans="1:21" ht="25.5">
      <c r="A466" s="430">
        <v>352</v>
      </c>
      <c r="B466" s="590"/>
      <c r="C466" s="431" t="str">
        <f t="shared" si="301"/>
        <v>17.2</v>
      </c>
      <c r="D466" s="587">
        <f t="shared" si="302"/>
        <v>2</v>
      </c>
      <c r="E466" s="572" t="str">
        <f t="shared" si="303"/>
        <v>17.2.2</v>
      </c>
      <c r="F466" s="579" t="s">
        <v>2238</v>
      </c>
      <c r="G466" s="581">
        <v>94282</v>
      </c>
      <c r="H466" s="750" t="str">
        <f>IF($G466="","",IFERROR(VLOOKUP($G466,SERVIÇOS!$C:$G,2,0),IFERROR(VLOOKUP($G466,CPU!$F:$M,2,0),"")))</f>
        <v>EXECUÇÃO DE SARJETA DE CONCRETO USINADO, MOLDADA  IN LOCO  EM TRECHO CURVO, 30 CM BASE X 15 CM ALTURA. AF_06/2016</v>
      </c>
      <c r="I466" s="578" t="str">
        <f>IF($G466="","",IFERROR(VLOOKUP($G466,SERVIÇOS!$C:$G,3,0),IFERROR(VLOOKUP($G466,CPU!$F:$M,3,0),"")))</f>
        <v>M</v>
      </c>
      <c r="J466" s="576">
        <v>8.91</v>
      </c>
      <c r="K466" s="576">
        <f>IF($G466="","",IFERROR(VLOOKUP($G466,SERVIÇOS!$C:$H,6,0),IFERROR(VLOOKUP($G466,CPU!$F:$M,8,0),"")))</f>
        <v>69.37</v>
      </c>
      <c r="L466" s="577">
        <f t="shared" si="304"/>
        <v>0.2354</v>
      </c>
      <c r="M466" s="576">
        <f t="shared" si="305"/>
        <v>85.7</v>
      </c>
      <c r="N466" s="576">
        <f t="shared" si="306"/>
        <v>763.59</v>
      </c>
      <c r="Q466" s="589">
        <f t="shared" si="307"/>
        <v>763.59</v>
      </c>
      <c r="S466" s="433"/>
    </row>
    <row r="467" spans="1:21" ht="51">
      <c r="A467" s="430">
        <v>351</v>
      </c>
      <c r="B467" s="590"/>
      <c r="C467" s="431" t="str">
        <f t="shared" si="301"/>
        <v>17.2</v>
      </c>
      <c r="D467" s="587">
        <f t="shared" si="302"/>
        <v>3</v>
      </c>
      <c r="E467" s="572" t="str">
        <f t="shared" si="303"/>
        <v>17.2.3</v>
      </c>
      <c r="F467" s="579" t="s">
        <v>2238</v>
      </c>
      <c r="G467" s="581">
        <v>94273</v>
      </c>
      <c r="H467" s="750" t="str">
        <f>IF($G467="","",IFERROR(VLOOKUP($G467,SERVIÇOS!$C:$G,2,0),IFERROR(VLOOKUP($G467,CPU!$F:$M,2,0),"")))</f>
        <v>ASSENTAMENTO DE GUIA (MEIO-FIO) EM TRECHO RETO, CONFECCIONADA EM CONCRETO PRÉ-FABRICADO, DIMENSÕES 100X15X13X30 CM (COMPRIMENTO X BASE INFERIOR X BASE SUPERIOR X ALTURA), PARA VIAS URBANAS (USO VIÁRIO). AF_06/2016</v>
      </c>
      <c r="I467" s="578" t="str">
        <f>IF($G467="","",IFERROR(VLOOKUP($G467,SERVIÇOS!$C:$G,3,0),IFERROR(VLOOKUP($G467,CPU!$F:$M,3,0),"")))</f>
        <v>M</v>
      </c>
      <c r="J467" s="576">
        <v>75.290000000000006</v>
      </c>
      <c r="K467" s="576">
        <f>IF($G467="","",IFERROR(VLOOKUP($G467,SERVIÇOS!$C:$H,6,0),IFERROR(VLOOKUP($G467,CPU!$F:$M,8,0),"")))</f>
        <v>51.97</v>
      </c>
      <c r="L467" s="577">
        <f t="shared" si="304"/>
        <v>0.2354</v>
      </c>
      <c r="M467" s="576">
        <f t="shared" si="305"/>
        <v>64.2</v>
      </c>
      <c r="N467" s="576">
        <f t="shared" si="306"/>
        <v>4833.62</v>
      </c>
      <c r="Q467" s="589">
        <f t="shared" si="307"/>
        <v>4833.62</v>
      </c>
      <c r="S467" s="433"/>
    </row>
    <row r="468" spans="1:21" ht="51">
      <c r="A468" s="430">
        <v>352</v>
      </c>
      <c r="B468" s="590"/>
      <c r="C468" s="431" t="str">
        <f t="shared" si="301"/>
        <v>17.2</v>
      </c>
      <c r="D468" s="587">
        <f t="shared" si="302"/>
        <v>4</v>
      </c>
      <c r="E468" s="572" t="str">
        <f t="shared" si="303"/>
        <v>17.2.4</v>
      </c>
      <c r="F468" s="579" t="s">
        <v>2238</v>
      </c>
      <c r="G468" s="581">
        <v>94274</v>
      </c>
      <c r="H468" s="750" t="str">
        <f>IF($G468="","",IFERROR(VLOOKUP($G468,SERVIÇOS!$C:$G,2,0),IFERROR(VLOOKUP($G468,CPU!$F:$M,2,0),"")))</f>
        <v>ASSENTAMENTO DE GUIA (MEIO-FIO) EM TRECHO CURVO, CONFECCIONADA EM CONCRETO PRÉ-FABRICADO, DIMENSÕES 100X15X13X30 CM (COMPRIMENTO X BASE INFERIOR X BASE SUPERIOR X ALTURA), PARA VIAS URBANAS (USO VIÁRIO). AF_06/2016</v>
      </c>
      <c r="I468" s="578" t="str">
        <f>IF($G468="","",IFERROR(VLOOKUP($G468,SERVIÇOS!$C:$G,3,0),IFERROR(VLOOKUP($G468,CPU!$F:$M,3,0),"")))</f>
        <v>M</v>
      </c>
      <c r="J468" s="576">
        <v>8.91</v>
      </c>
      <c r="K468" s="576">
        <f>IF($G468="","",IFERROR(VLOOKUP($G468,SERVIÇOS!$C:$H,6,0),IFERROR(VLOOKUP($G468,CPU!$F:$M,8,0),"")))</f>
        <v>56.83</v>
      </c>
      <c r="L468" s="577">
        <f t="shared" si="304"/>
        <v>0.2354</v>
      </c>
      <c r="M468" s="576">
        <f t="shared" si="305"/>
        <v>70.209999999999994</v>
      </c>
      <c r="N468" s="576">
        <f t="shared" si="306"/>
        <v>625.57000000000005</v>
      </c>
      <c r="Q468" s="589">
        <f t="shared" si="307"/>
        <v>625.57000000000005</v>
      </c>
      <c r="S468" s="433"/>
    </row>
    <row r="469" spans="1:21" ht="25.5">
      <c r="A469" s="430">
        <v>352</v>
      </c>
      <c r="B469" s="590"/>
      <c r="C469" s="431" t="str">
        <f t="shared" si="301"/>
        <v>17.2</v>
      </c>
      <c r="D469" s="587">
        <f t="shared" si="302"/>
        <v>5</v>
      </c>
      <c r="E469" s="572" t="str">
        <f t="shared" si="303"/>
        <v>17.2.5</v>
      </c>
      <c r="F469" s="579" t="s">
        <v>2239</v>
      </c>
      <c r="G469" s="581" t="s">
        <v>8376</v>
      </c>
      <c r="H469" s="750" t="str">
        <f>IF($G469="","",IFERROR(VLOOKUP($G469,SERVIÇOS!$C:$G,2,0),IFERROR(VLOOKUP($G469,CPU!$F:$M,2,0),"")))</f>
        <v>GUIA PARA CONTENÇÃO DE PAVER EM CONCRETO PRÉ-FABRICADO DIMENSÕES 39X6,5X6,5X19CM</v>
      </c>
      <c r="I469" s="578" t="str">
        <f>IF($G469="","",IFERROR(VLOOKUP($G469,SERVIÇOS!$C:$G,3,0),IFERROR(VLOOKUP($G469,CPU!$F:$M,3,0),"")))</f>
        <v>M</v>
      </c>
      <c r="J469" s="576">
        <v>134.54</v>
      </c>
      <c r="K469" s="576">
        <f>IF($G469="","",IFERROR(VLOOKUP($G469,SERVIÇOS!$C:$H,6,0),IFERROR(VLOOKUP($G469,CPU!$F:$M,8,0),"")))</f>
        <v>46.92</v>
      </c>
      <c r="L469" s="577">
        <f t="shared" si="304"/>
        <v>0.2354</v>
      </c>
      <c r="M469" s="576">
        <f t="shared" si="305"/>
        <v>57.96</v>
      </c>
      <c r="N469" s="576">
        <f t="shared" si="306"/>
        <v>7797.94</v>
      </c>
      <c r="Q469" s="589">
        <f t="shared" si="307"/>
        <v>7797.94</v>
      </c>
      <c r="S469" s="433"/>
    </row>
    <row r="470" spans="1:21">
      <c r="A470" s="430">
        <v>351</v>
      </c>
      <c r="B470" s="590"/>
      <c r="C470" s="431" t="str">
        <f t="shared" si="301"/>
        <v>17.2</v>
      </c>
      <c r="D470" s="587">
        <f t="shared" si="302"/>
        <v>6</v>
      </c>
      <c r="E470" s="572" t="str">
        <f t="shared" si="303"/>
        <v>17.2.6</v>
      </c>
      <c r="F470" s="579" t="s">
        <v>2239</v>
      </c>
      <c r="G470" s="581" t="s">
        <v>8676</v>
      </c>
      <c r="H470" s="750" t="str">
        <f>IF($G470="","",IFERROR(VLOOKUP($G470,SERVIÇOS!$C:$G,2,0),IFERROR(VLOOKUP($G470,CPU!$F:$M,2,0),"")))</f>
        <v>REBAIXAMENTO DE GUIA</v>
      </c>
      <c r="I470" s="578" t="str">
        <f>IF($G470="","",IFERROR(VLOOKUP($G470,SERVIÇOS!$C:$G,3,0),IFERROR(VLOOKUP($G470,CPU!$F:$M,3,0),"")))</f>
        <v>M</v>
      </c>
      <c r="J470" s="576">
        <v>10.5</v>
      </c>
      <c r="K470" s="576">
        <f>IF($G470="","",IFERROR(VLOOKUP($G470,SERVIÇOS!$C:$H,6,0),IFERROR(VLOOKUP($G470,CPU!$F:$M,8,0),"")))</f>
        <v>17.27</v>
      </c>
      <c r="L470" s="577">
        <f t="shared" si="304"/>
        <v>0.2354</v>
      </c>
      <c r="M470" s="576">
        <f t="shared" si="305"/>
        <v>21.34</v>
      </c>
      <c r="N470" s="576">
        <f t="shared" si="306"/>
        <v>224.07</v>
      </c>
      <c r="Q470" s="589">
        <f t="shared" si="307"/>
        <v>224.07</v>
      </c>
      <c r="S470" s="433"/>
    </row>
    <row r="471" spans="1:21">
      <c r="A471" s="430">
        <v>393</v>
      </c>
      <c r="B471" s="590"/>
      <c r="C471" s="431">
        <f>+E471</f>
        <v>18</v>
      </c>
      <c r="D471" s="587"/>
      <c r="E471" s="859">
        <v>18</v>
      </c>
      <c r="F471" s="860"/>
      <c r="G471" s="860"/>
      <c r="H471" s="861" t="s">
        <v>6910</v>
      </c>
      <c r="I471" s="862"/>
      <c r="J471" s="863"/>
      <c r="K471" s="866"/>
      <c r="L471" s="865"/>
      <c r="M471" s="864"/>
      <c r="N471" s="864">
        <f>SUM(N473:N473)</f>
        <v>2917.23</v>
      </c>
      <c r="Q471" s="589"/>
      <c r="S471" s="433"/>
      <c r="T471" s="433">
        <v>5022.75</v>
      </c>
      <c r="U471" s="433">
        <v>6338.71</v>
      </c>
    </row>
    <row r="472" spans="1:21">
      <c r="A472" s="430">
        <v>394</v>
      </c>
      <c r="B472" s="590"/>
      <c r="C472" s="431" t="str">
        <f>+E472</f>
        <v>18.1</v>
      </c>
      <c r="D472" s="587"/>
      <c r="E472" s="568" t="s">
        <v>6937</v>
      </c>
      <c r="F472" s="569"/>
      <c r="G472" s="569"/>
      <c r="H472" s="749" t="s">
        <v>6994</v>
      </c>
      <c r="I472" s="570"/>
      <c r="J472" s="571"/>
      <c r="K472" s="571"/>
      <c r="L472" s="571"/>
      <c r="M472" s="571"/>
      <c r="N472" s="571"/>
      <c r="Q472" s="589"/>
      <c r="S472" s="433"/>
    </row>
    <row r="473" spans="1:21">
      <c r="A473" s="430">
        <v>395</v>
      </c>
      <c r="B473" s="590"/>
      <c r="C473" s="431" t="str">
        <f>+C472</f>
        <v>18.1</v>
      </c>
      <c r="D473" s="587">
        <f>1+D471</f>
        <v>1</v>
      </c>
      <c r="E473" s="572" t="str">
        <f>C473&amp;"."&amp;D473</f>
        <v>18.1.1</v>
      </c>
      <c r="F473" s="579" t="s">
        <v>2239</v>
      </c>
      <c r="G473" s="581" t="s">
        <v>2942</v>
      </c>
      <c r="H473" s="750" t="str">
        <f>IF($G473="","",IFERROR(VLOOKUP($G473,SERVIÇOS!$C:$G,2,0),IFERROR(VLOOKUP($G473,CPU!$F:$M,2,0),"")))</f>
        <v>LIMPEZA FINAL DA OBRA</v>
      </c>
      <c r="I473" s="578" t="str">
        <f>IF($G473="","",IFERROR(VLOOKUP($G473,SERVIÇOS!$C:$G,3,0),IFERROR(VLOOKUP($G473,CPU!$F:$M,3,0),"")))</f>
        <v>M2</v>
      </c>
      <c r="J473" s="576">
        <v>713.26</v>
      </c>
      <c r="K473" s="576">
        <f>IF($G473="","",IFERROR(VLOOKUP($G473,SERVIÇOS!$C:$H,6,0),IFERROR(VLOOKUP($G473,CPU!$F:$M,8,0),"")))</f>
        <v>3.31</v>
      </c>
      <c r="L473" s="577">
        <f>IF(J473&lt;&gt;"",$N$1,"")</f>
        <v>0.2354</v>
      </c>
      <c r="M473" s="576">
        <f>IF(J473&lt;&gt;0,(ROUND(K473*(L473+1),2)),0)</f>
        <v>4.09</v>
      </c>
      <c r="N473" s="576">
        <f>IF(J473="","",ROUND((J473*M473),2))</f>
        <v>2917.23</v>
      </c>
      <c r="Q473" s="589">
        <f>N473</f>
        <v>2917.23</v>
      </c>
      <c r="S473" s="433"/>
    </row>
    <row r="474" spans="1:21" s="588" customFormat="1">
      <c r="A474" s="430">
        <v>1341</v>
      </c>
      <c r="B474" s="590"/>
      <c r="C474" s="431"/>
      <c r="D474" s="587"/>
      <c r="E474" s="867"/>
      <c r="F474" s="868"/>
      <c r="G474" s="868"/>
      <c r="H474" s="869"/>
      <c r="I474" s="863"/>
      <c r="J474" s="870"/>
      <c r="K474" s="871" t="s">
        <v>2707</v>
      </c>
      <c r="L474" s="872"/>
      <c r="M474" s="872"/>
      <c r="N474" s="872"/>
      <c r="O474" s="590"/>
      <c r="Q474" s="589">
        <f>SUM(Q12:Q473)</f>
        <v>2110539.7200000007</v>
      </c>
      <c r="S474" s="433"/>
    </row>
    <row r="475" spans="1:21" s="588" customFormat="1">
      <c r="A475" s="430">
        <v>1342</v>
      </c>
      <c r="B475" s="590"/>
      <c r="C475" s="431"/>
      <c r="D475" s="587"/>
      <c r="E475" s="867"/>
      <c r="F475" s="868"/>
      <c r="G475" s="868"/>
      <c r="H475" s="869" t="s">
        <v>2701</v>
      </c>
      <c r="I475" s="863"/>
      <c r="J475" s="870" t="s">
        <v>543</v>
      </c>
      <c r="K475" s="873">
        <f>$N$1</f>
        <v>0.2354</v>
      </c>
      <c r="L475" s="872"/>
      <c r="M475" s="872">
        <f>SUMIF($L$11:$L$473,$K475,$N$11:$N$473)</f>
        <v>2110539.7200000007</v>
      </c>
      <c r="N475" s="872">
        <f>SUMIF($L$11:$L$473,$K475,$N$11:$N$473)</f>
        <v>2110539.7200000007</v>
      </c>
      <c r="O475" s="681"/>
      <c r="Q475" s="589"/>
      <c r="S475" s="433"/>
    </row>
    <row r="476" spans="1:21">
      <c r="A476" s="430">
        <v>1345</v>
      </c>
      <c r="E476" s="901"/>
      <c r="F476" s="902"/>
      <c r="G476" s="902"/>
      <c r="H476" s="903"/>
      <c r="I476" s="431"/>
      <c r="J476" s="904"/>
      <c r="K476" s="905"/>
      <c r="L476" s="906"/>
      <c r="M476" s="907"/>
      <c r="N476" s="908"/>
      <c r="S476" s="433"/>
    </row>
    <row r="477" spans="1:21">
      <c r="E477" s="901"/>
      <c r="F477" s="902"/>
      <c r="G477" s="902"/>
      <c r="H477" s="903"/>
      <c r="I477" s="431"/>
      <c r="J477" s="904"/>
      <c r="K477" s="905"/>
      <c r="L477" s="906"/>
      <c r="M477" s="905"/>
      <c r="N477" s="905"/>
      <c r="S477" s="433"/>
    </row>
    <row r="478" spans="1:21">
      <c r="E478" s="901"/>
      <c r="F478" s="902"/>
      <c r="G478" s="902"/>
      <c r="H478" s="903"/>
      <c r="I478" s="431"/>
      <c r="J478" s="904"/>
      <c r="K478" s="905"/>
      <c r="L478" s="906"/>
      <c r="M478" s="908"/>
      <c r="N478" s="908"/>
      <c r="S478" s="433"/>
    </row>
    <row r="479" spans="1:21">
      <c r="E479" s="901"/>
      <c r="F479" s="902"/>
      <c r="G479" s="902"/>
      <c r="H479" s="903"/>
      <c r="I479" s="431"/>
      <c r="J479" s="904"/>
      <c r="K479" s="905"/>
      <c r="L479" s="196"/>
      <c r="M479" s="196"/>
      <c r="N479" s="1233"/>
      <c r="S479" s="433"/>
    </row>
    <row r="480" spans="1:21">
      <c r="E480" s="901"/>
      <c r="F480" s="902"/>
      <c r="G480" s="902"/>
      <c r="H480" s="903"/>
      <c r="I480" s="431"/>
      <c r="J480" s="904"/>
      <c r="K480" s="905"/>
      <c r="L480" s="1234" t="s">
        <v>2691</v>
      </c>
      <c r="M480" s="1235"/>
      <c r="N480" s="1234"/>
      <c r="S480" s="433"/>
    </row>
    <row r="481" spans="5:19">
      <c r="E481" s="901"/>
      <c r="F481" s="902"/>
      <c r="G481" s="902"/>
      <c r="H481" s="903"/>
      <c r="I481" s="431"/>
      <c r="J481" s="904"/>
      <c r="K481" s="905"/>
      <c r="L481" s="1236" t="s">
        <v>2692</v>
      </c>
      <c r="M481" s="1236"/>
      <c r="N481" s="1236"/>
      <c r="S481" s="433"/>
    </row>
    <row r="482" spans="5:19">
      <c r="E482" s="901"/>
      <c r="F482" s="902"/>
      <c r="G482" s="902"/>
      <c r="H482" s="903"/>
      <c r="I482" s="431"/>
      <c r="J482" s="904"/>
      <c r="K482" s="905"/>
      <c r="L482" s="1005"/>
      <c r="M482" s="1005"/>
      <c r="N482" s="1005"/>
      <c r="S482" s="433"/>
    </row>
    <row r="483" spans="5:19">
      <c r="E483" s="901"/>
      <c r="F483" s="902"/>
      <c r="G483" s="902"/>
      <c r="H483" s="903"/>
      <c r="I483" s="431"/>
      <c r="J483" s="904"/>
      <c r="K483" s="905"/>
      <c r="L483" s="1005"/>
      <c r="M483" s="1005"/>
      <c r="N483" s="1005"/>
      <c r="S483" s="433"/>
    </row>
    <row r="484" spans="5:19">
      <c r="E484" s="901"/>
      <c r="F484" s="902"/>
      <c r="G484" s="902"/>
      <c r="H484" s="903"/>
      <c r="I484" s="431"/>
      <c r="J484" s="904"/>
      <c r="K484" s="905"/>
      <c r="L484" s="1005"/>
      <c r="M484" s="1005"/>
      <c r="N484" s="1005"/>
      <c r="S484" s="433"/>
    </row>
    <row r="485" spans="5:19">
      <c r="E485" s="901"/>
      <c r="F485" s="902"/>
      <c r="G485" s="902"/>
      <c r="H485" s="903"/>
      <c r="I485" s="431"/>
      <c r="J485" s="904"/>
      <c r="K485" s="905"/>
      <c r="L485" s="1005"/>
      <c r="M485" s="1005"/>
      <c r="N485" s="1005"/>
      <c r="S485" s="433"/>
    </row>
    <row r="486" spans="5:19">
      <c r="E486" s="901"/>
      <c r="F486" s="902"/>
      <c r="G486" s="902"/>
      <c r="H486" s="903"/>
      <c r="I486" s="431"/>
      <c r="J486" s="904"/>
      <c r="K486" s="905"/>
      <c r="L486" s="1005"/>
      <c r="M486" s="1005"/>
      <c r="N486" s="1005"/>
      <c r="S486" s="433"/>
    </row>
    <row r="487" spans="5:19">
      <c r="E487" s="901"/>
      <c r="F487" s="902"/>
      <c r="G487" s="902"/>
      <c r="H487" s="903"/>
      <c r="I487" s="431"/>
      <c r="J487" s="904"/>
      <c r="K487" s="905"/>
      <c r="L487" s="906"/>
      <c r="M487" s="905"/>
      <c r="N487" s="905"/>
    </row>
    <row r="488" spans="5:19">
      <c r="E488" s="901"/>
      <c r="F488" s="902"/>
      <c r="G488" s="902"/>
      <c r="H488" s="903"/>
      <c r="I488" s="431"/>
      <c r="J488" s="904"/>
      <c r="K488" s="905"/>
      <c r="L488" s="906"/>
      <c r="M488" s="905"/>
      <c r="N488" s="905"/>
    </row>
    <row r="489" spans="5:19">
      <c r="E489" s="901"/>
      <c r="F489" s="902"/>
      <c r="G489" s="902"/>
      <c r="H489" s="903"/>
      <c r="I489" s="431"/>
      <c r="J489" s="904"/>
      <c r="K489" s="905"/>
      <c r="L489" s="906"/>
      <c r="M489" s="905"/>
      <c r="N489" s="905"/>
    </row>
    <row r="490" spans="5:19">
      <c r="E490" s="901"/>
      <c r="F490" s="902"/>
      <c r="G490" s="902"/>
      <c r="H490" s="903"/>
      <c r="I490" s="431"/>
      <c r="J490" s="904"/>
      <c r="K490" s="905"/>
      <c r="L490" s="906"/>
      <c r="M490" s="905"/>
      <c r="N490" s="905"/>
    </row>
    <row r="491" spans="5:19">
      <c r="E491" s="901"/>
      <c r="F491" s="902"/>
      <c r="G491" s="902"/>
      <c r="H491" s="903"/>
      <c r="I491" s="431"/>
      <c r="J491" s="904"/>
      <c r="K491" s="905"/>
      <c r="L491" s="906"/>
      <c r="M491" s="905"/>
      <c r="N491" s="905"/>
    </row>
    <row r="492" spans="5:19">
      <c r="E492" s="901"/>
      <c r="F492" s="902"/>
      <c r="G492" s="902"/>
      <c r="H492" s="903"/>
      <c r="I492" s="431"/>
      <c r="J492" s="904"/>
      <c r="K492" s="905"/>
      <c r="L492" s="906"/>
      <c r="M492" s="905"/>
      <c r="N492" s="905"/>
    </row>
    <row r="493" spans="5:19">
      <c r="E493" s="901"/>
      <c r="F493" s="902"/>
      <c r="G493" s="902"/>
      <c r="H493" s="903"/>
      <c r="I493" s="431"/>
      <c r="J493" s="904"/>
      <c r="K493" s="905"/>
      <c r="L493" s="906"/>
      <c r="M493" s="905"/>
      <c r="N493" s="905"/>
    </row>
    <row r="494" spans="5:19">
      <c r="E494" s="901"/>
      <c r="F494" s="902"/>
      <c r="G494" s="902"/>
      <c r="H494" s="903"/>
      <c r="I494" s="431"/>
      <c r="J494" s="904"/>
      <c r="K494" s="905"/>
      <c r="L494" s="906"/>
      <c r="M494" s="905"/>
      <c r="N494" s="905"/>
    </row>
    <row r="495" spans="5:19">
      <c r="E495" s="901"/>
      <c r="F495" s="902"/>
      <c r="G495" s="902"/>
      <c r="H495" s="903"/>
      <c r="I495" s="431"/>
      <c r="J495" s="904"/>
      <c r="K495" s="905"/>
      <c r="L495" s="906"/>
      <c r="M495" s="905"/>
      <c r="N495" s="905"/>
    </row>
    <row r="496" spans="5:19">
      <c r="E496" s="901"/>
      <c r="F496" s="902"/>
      <c r="G496" s="902"/>
      <c r="H496" s="903"/>
      <c r="I496" s="431"/>
      <c r="J496" s="904"/>
      <c r="K496" s="905"/>
      <c r="L496" s="906"/>
      <c r="M496" s="905"/>
      <c r="N496" s="905"/>
    </row>
    <row r="497" spans="5:14">
      <c r="E497" s="901"/>
      <c r="F497" s="902"/>
      <c r="G497" s="902"/>
      <c r="H497" s="903"/>
      <c r="I497" s="431"/>
      <c r="J497" s="904"/>
      <c r="K497" s="905"/>
      <c r="L497" s="906"/>
      <c r="M497" s="905"/>
      <c r="N497" s="905"/>
    </row>
    <row r="498" spans="5:14">
      <c r="E498" s="901"/>
      <c r="F498" s="902"/>
      <c r="G498" s="902"/>
      <c r="H498" s="903"/>
      <c r="I498" s="431"/>
      <c r="J498" s="904"/>
      <c r="K498" s="905"/>
      <c r="L498" s="906"/>
      <c r="M498" s="905"/>
      <c r="N498" s="905"/>
    </row>
    <row r="499" spans="5:14">
      <c r="E499" s="901"/>
      <c r="F499" s="902"/>
      <c r="G499" s="902"/>
      <c r="H499" s="903"/>
      <c r="I499" s="431"/>
      <c r="J499" s="904"/>
      <c r="K499" s="905"/>
      <c r="L499" s="906"/>
      <c r="M499" s="905"/>
      <c r="N499" s="905"/>
    </row>
    <row r="500" spans="5:14">
      <c r="E500" s="901"/>
      <c r="F500" s="902"/>
      <c r="G500" s="902"/>
      <c r="H500" s="903"/>
      <c r="I500" s="431"/>
      <c r="J500" s="904"/>
      <c r="K500" s="905"/>
      <c r="L500" s="906"/>
      <c r="M500" s="905"/>
      <c r="N500" s="905"/>
    </row>
    <row r="501" spans="5:14">
      <c r="E501" s="901"/>
      <c r="F501" s="902"/>
      <c r="G501" s="902"/>
      <c r="H501" s="903"/>
      <c r="I501" s="431"/>
      <c r="J501" s="904"/>
      <c r="K501" s="905"/>
      <c r="L501" s="906"/>
      <c r="M501" s="905"/>
      <c r="N501" s="905"/>
    </row>
    <row r="502" spans="5:14">
      <c r="E502" s="901"/>
      <c r="F502" s="902"/>
      <c r="G502" s="902"/>
      <c r="H502" s="903"/>
      <c r="I502" s="431"/>
      <c r="J502" s="904"/>
      <c r="K502" s="905"/>
      <c r="L502" s="906"/>
      <c r="M502" s="905"/>
      <c r="N502" s="905"/>
    </row>
    <row r="503" spans="5:14">
      <c r="E503" s="901"/>
      <c r="F503" s="902"/>
      <c r="G503" s="902"/>
      <c r="H503" s="903"/>
      <c r="I503" s="431"/>
      <c r="J503" s="904"/>
      <c r="K503" s="905"/>
      <c r="L503" s="906"/>
      <c r="M503" s="905"/>
      <c r="N503" s="905"/>
    </row>
    <row r="504" spans="5:14">
      <c r="E504" s="901"/>
      <c r="F504" s="902"/>
      <c r="G504" s="902"/>
      <c r="H504" s="903"/>
      <c r="I504" s="431"/>
      <c r="J504" s="904"/>
      <c r="K504" s="905"/>
      <c r="L504" s="906"/>
      <c r="M504" s="905"/>
      <c r="N504" s="905"/>
    </row>
    <row r="505" spans="5:14">
      <c r="E505" s="901"/>
      <c r="F505" s="902"/>
      <c r="G505" s="902"/>
      <c r="H505" s="903"/>
      <c r="I505" s="431"/>
      <c r="J505" s="904"/>
      <c r="K505" s="905"/>
      <c r="L505" s="906"/>
      <c r="M505" s="905"/>
      <c r="N505" s="905"/>
    </row>
    <row r="506" spans="5:14">
      <c r="E506" s="901"/>
      <c r="F506" s="902"/>
      <c r="G506" s="902"/>
      <c r="H506" s="903"/>
      <c r="I506" s="431"/>
      <c r="J506" s="904"/>
      <c r="K506" s="905"/>
      <c r="L506" s="906"/>
      <c r="M506" s="905"/>
      <c r="N506" s="905"/>
    </row>
    <row r="507" spans="5:14">
      <c r="E507" s="901"/>
      <c r="F507" s="902"/>
      <c r="G507" s="902"/>
      <c r="H507" s="903"/>
      <c r="I507" s="431"/>
      <c r="J507" s="904"/>
      <c r="K507" s="905"/>
      <c r="L507" s="906"/>
      <c r="M507" s="905"/>
      <c r="N507" s="905"/>
    </row>
    <row r="508" spans="5:14">
      <c r="E508" s="901"/>
      <c r="F508" s="902"/>
      <c r="G508" s="902"/>
      <c r="H508" s="903"/>
      <c r="I508" s="431"/>
      <c r="J508" s="904"/>
      <c r="K508" s="905"/>
      <c r="L508" s="906"/>
      <c r="M508" s="905"/>
      <c r="N508" s="905"/>
    </row>
    <row r="509" spans="5:14">
      <c r="E509" s="901"/>
      <c r="F509" s="902"/>
      <c r="G509" s="902"/>
      <c r="H509" s="903"/>
      <c r="I509" s="431"/>
      <c r="J509" s="904"/>
      <c r="K509" s="905"/>
      <c r="L509" s="906"/>
      <c r="M509" s="905"/>
      <c r="N509" s="905"/>
    </row>
    <row r="510" spans="5:14">
      <c r="E510" s="901"/>
      <c r="F510" s="902"/>
      <c r="G510" s="902"/>
      <c r="H510" s="903"/>
      <c r="I510" s="431"/>
      <c r="J510" s="904"/>
      <c r="K510" s="905"/>
      <c r="L510" s="906"/>
      <c r="M510" s="905"/>
      <c r="N510" s="905"/>
    </row>
    <row r="511" spans="5:14">
      <c r="E511" s="901"/>
      <c r="F511" s="902"/>
      <c r="G511" s="902"/>
      <c r="H511" s="903"/>
      <c r="I511" s="431"/>
      <c r="J511" s="904"/>
      <c r="K511" s="905"/>
      <c r="L511" s="906"/>
      <c r="M511" s="905"/>
      <c r="N511" s="905"/>
    </row>
    <row r="512" spans="5:14">
      <c r="E512" s="901"/>
      <c r="F512" s="902"/>
      <c r="G512" s="902"/>
      <c r="H512" s="903"/>
      <c r="I512" s="431"/>
      <c r="J512" s="904"/>
      <c r="K512" s="905"/>
      <c r="L512" s="906"/>
      <c r="M512" s="905"/>
      <c r="N512" s="905"/>
    </row>
    <row r="513" spans="5:14">
      <c r="E513" s="901"/>
      <c r="F513" s="902"/>
      <c r="G513" s="902"/>
      <c r="H513" s="903"/>
      <c r="I513" s="431"/>
      <c r="J513" s="904"/>
      <c r="K513" s="905"/>
      <c r="L513" s="906"/>
      <c r="M513" s="905"/>
      <c r="N513" s="905"/>
    </row>
    <row r="514" spans="5:14">
      <c r="E514" s="901"/>
      <c r="F514" s="902"/>
      <c r="G514" s="902"/>
      <c r="H514" s="903"/>
      <c r="I514" s="431"/>
      <c r="J514" s="904"/>
      <c r="K514" s="905"/>
      <c r="L514" s="906"/>
      <c r="M514" s="905"/>
      <c r="N514" s="905"/>
    </row>
    <row r="515" spans="5:14">
      <c r="E515" s="901"/>
      <c r="F515" s="902"/>
      <c r="G515" s="902"/>
      <c r="H515" s="903"/>
      <c r="I515" s="431"/>
      <c r="J515" s="904"/>
      <c r="K515" s="905"/>
      <c r="L515" s="906"/>
      <c r="M515" s="905"/>
      <c r="N515" s="905"/>
    </row>
    <row r="516" spans="5:14">
      <c r="E516" s="901"/>
      <c r="F516" s="902"/>
      <c r="G516" s="902"/>
      <c r="H516" s="903"/>
      <c r="I516" s="431"/>
      <c r="J516" s="904"/>
      <c r="K516" s="905"/>
      <c r="L516" s="906"/>
      <c r="M516" s="905"/>
      <c r="N516" s="905"/>
    </row>
    <row r="517" spans="5:14">
      <c r="E517" s="901"/>
      <c r="F517" s="902"/>
      <c r="G517" s="902"/>
      <c r="H517" s="903"/>
      <c r="I517" s="431"/>
      <c r="J517" s="904"/>
      <c r="K517" s="905"/>
      <c r="L517" s="906"/>
      <c r="M517" s="905"/>
      <c r="N517" s="905"/>
    </row>
    <row r="518" spans="5:14">
      <c r="E518" s="901"/>
      <c r="F518" s="902"/>
      <c r="G518" s="902"/>
      <c r="H518" s="903"/>
      <c r="I518" s="431"/>
      <c r="J518" s="904"/>
      <c r="K518" s="905"/>
      <c r="L518" s="906"/>
      <c r="M518" s="905"/>
      <c r="N518" s="905"/>
    </row>
    <row r="519" spans="5:14">
      <c r="E519" s="901"/>
      <c r="F519" s="902"/>
      <c r="G519" s="902"/>
      <c r="H519" s="903"/>
      <c r="I519" s="431"/>
      <c r="J519" s="904"/>
      <c r="K519" s="905"/>
      <c r="L519" s="906"/>
      <c r="M519" s="905"/>
      <c r="N519" s="905"/>
    </row>
    <row r="520" spans="5:14">
      <c r="E520" s="901"/>
      <c r="F520" s="902"/>
      <c r="G520" s="902"/>
      <c r="H520" s="903"/>
      <c r="I520" s="431"/>
      <c r="J520" s="904"/>
      <c r="K520" s="905"/>
      <c r="L520" s="906"/>
      <c r="M520" s="905"/>
      <c r="N520" s="905"/>
    </row>
    <row r="521" spans="5:14">
      <c r="E521" s="901"/>
      <c r="F521" s="902"/>
      <c r="G521" s="902"/>
      <c r="H521" s="903"/>
      <c r="I521" s="431"/>
      <c r="J521" s="904"/>
      <c r="K521" s="905"/>
      <c r="L521" s="906"/>
      <c r="M521" s="905"/>
      <c r="N521" s="905"/>
    </row>
    <row r="522" spans="5:14">
      <c r="E522" s="901"/>
      <c r="F522" s="902"/>
      <c r="G522" s="902"/>
      <c r="H522" s="903"/>
      <c r="I522" s="431"/>
      <c r="J522" s="904"/>
      <c r="K522" s="905"/>
      <c r="L522" s="906"/>
      <c r="M522" s="905"/>
      <c r="N522" s="905"/>
    </row>
    <row r="523" spans="5:14">
      <c r="E523" s="901"/>
      <c r="F523" s="902"/>
      <c r="G523" s="902"/>
      <c r="H523" s="903"/>
      <c r="I523" s="431"/>
      <c r="J523" s="904"/>
      <c r="K523" s="905"/>
      <c r="L523" s="906"/>
      <c r="M523" s="905"/>
      <c r="N523" s="905"/>
    </row>
    <row r="524" spans="5:14">
      <c r="E524" s="901"/>
      <c r="F524" s="902"/>
      <c r="G524" s="902"/>
      <c r="H524" s="903"/>
      <c r="I524" s="431"/>
      <c r="J524" s="904"/>
      <c r="K524" s="905"/>
      <c r="L524" s="906"/>
      <c r="M524" s="905"/>
      <c r="N524" s="905"/>
    </row>
    <row r="525" spans="5:14">
      <c r="E525" s="901"/>
      <c r="F525" s="902"/>
      <c r="G525" s="902"/>
      <c r="H525" s="903"/>
      <c r="I525" s="431"/>
      <c r="J525" s="904"/>
      <c r="K525" s="905"/>
      <c r="L525" s="906"/>
      <c r="M525" s="905"/>
      <c r="N525" s="905"/>
    </row>
    <row r="526" spans="5:14">
      <c r="E526" s="901"/>
      <c r="F526" s="902"/>
      <c r="G526" s="902"/>
      <c r="H526" s="903"/>
      <c r="I526" s="431"/>
      <c r="J526" s="904"/>
      <c r="K526" s="905"/>
      <c r="L526" s="906"/>
      <c r="M526" s="905"/>
      <c r="N526" s="905"/>
    </row>
    <row r="527" spans="5:14">
      <c r="E527" s="901"/>
      <c r="F527" s="902"/>
      <c r="G527" s="902"/>
      <c r="H527" s="903"/>
      <c r="I527" s="431"/>
      <c r="J527" s="904"/>
      <c r="K527" s="905"/>
      <c r="L527" s="906"/>
      <c r="M527" s="905"/>
      <c r="N527" s="905"/>
    </row>
    <row r="528" spans="5:14">
      <c r="E528" s="901"/>
      <c r="F528" s="902"/>
      <c r="G528" s="902"/>
      <c r="H528" s="903"/>
      <c r="I528" s="431"/>
      <c r="J528" s="904"/>
      <c r="K528" s="905"/>
      <c r="L528" s="906"/>
      <c r="M528" s="905"/>
      <c r="N528" s="905"/>
    </row>
    <row r="529" spans="5:14">
      <c r="E529" s="901"/>
      <c r="F529" s="902"/>
      <c r="G529" s="902"/>
      <c r="H529" s="903"/>
      <c r="I529" s="431"/>
      <c r="J529" s="904"/>
      <c r="K529" s="905"/>
      <c r="L529" s="906"/>
      <c r="M529" s="905"/>
      <c r="N529" s="905"/>
    </row>
    <row r="530" spans="5:14">
      <c r="E530" s="901"/>
      <c r="F530" s="902"/>
      <c r="G530" s="902"/>
      <c r="H530" s="903"/>
      <c r="I530" s="431"/>
      <c r="J530" s="904"/>
      <c r="K530" s="905"/>
      <c r="L530" s="906"/>
      <c r="M530" s="905"/>
      <c r="N530" s="905"/>
    </row>
    <row r="531" spans="5:14">
      <c r="E531" s="901"/>
      <c r="F531" s="902"/>
      <c r="G531" s="902"/>
      <c r="H531" s="903"/>
      <c r="I531" s="431"/>
      <c r="J531" s="904"/>
      <c r="K531" s="905"/>
      <c r="L531" s="906"/>
      <c r="M531" s="905"/>
      <c r="N531" s="905"/>
    </row>
    <row r="532" spans="5:14">
      <c r="E532" s="901"/>
      <c r="F532" s="902"/>
      <c r="G532" s="902"/>
      <c r="H532" s="903"/>
      <c r="I532" s="431"/>
      <c r="J532" s="904"/>
      <c r="K532" s="905"/>
      <c r="L532" s="906"/>
      <c r="M532" s="905"/>
      <c r="N532" s="905"/>
    </row>
    <row r="533" spans="5:14">
      <c r="E533" s="901"/>
      <c r="F533" s="902"/>
      <c r="G533" s="902"/>
      <c r="H533" s="903"/>
      <c r="I533" s="431"/>
      <c r="J533" s="904"/>
      <c r="K533" s="905"/>
      <c r="L533" s="906"/>
      <c r="M533" s="905"/>
      <c r="N533" s="905"/>
    </row>
    <row r="534" spans="5:14">
      <c r="E534" s="901"/>
      <c r="F534" s="902"/>
      <c r="G534" s="902"/>
      <c r="H534" s="903"/>
      <c r="I534" s="431"/>
      <c r="J534" s="904"/>
      <c r="K534" s="905"/>
      <c r="L534" s="906"/>
      <c r="M534" s="905"/>
      <c r="N534" s="905"/>
    </row>
    <row r="535" spans="5:14">
      <c r="E535" s="901"/>
      <c r="F535" s="902"/>
      <c r="G535" s="902"/>
      <c r="H535" s="903"/>
      <c r="I535" s="431"/>
      <c r="J535" s="904"/>
      <c r="K535" s="905"/>
      <c r="L535" s="906"/>
      <c r="M535" s="905"/>
      <c r="N535" s="905"/>
    </row>
    <row r="536" spans="5:14">
      <c r="E536" s="901"/>
      <c r="F536" s="902"/>
      <c r="G536" s="902"/>
      <c r="H536" s="903"/>
      <c r="I536" s="431"/>
      <c r="J536" s="904"/>
      <c r="K536" s="905"/>
      <c r="L536" s="906"/>
      <c r="M536" s="905"/>
      <c r="N536" s="905"/>
    </row>
    <row r="537" spans="5:14">
      <c r="E537" s="901"/>
      <c r="F537" s="902"/>
      <c r="G537" s="902"/>
      <c r="H537" s="903"/>
      <c r="I537" s="431"/>
      <c r="J537" s="904"/>
      <c r="K537" s="905"/>
      <c r="L537" s="906"/>
      <c r="M537" s="905"/>
      <c r="N537" s="905"/>
    </row>
    <row r="538" spans="5:14">
      <c r="E538" s="901"/>
      <c r="F538" s="902"/>
      <c r="G538" s="902"/>
      <c r="H538" s="903"/>
      <c r="I538" s="431"/>
      <c r="J538" s="904"/>
      <c r="K538" s="905"/>
      <c r="L538" s="906"/>
      <c r="M538" s="905"/>
      <c r="N538" s="905"/>
    </row>
    <row r="539" spans="5:14">
      <c r="E539" s="901"/>
      <c r="F539" s="902"/>
      <c r="G539" s="902"/>
      <c r="H539" s="903"/>
      <c r="I539" s="431"/>
      <c r="J539" s="904"/>
      <c r="K539" s="905"/>
      <c r="L539" s="906"/>
      <c r="M539" s="905"/>
      <c r="N539" s="905"/>
    </row>
    <row r="540" spans="5:14">
      <c r="E540" s="901"/>
      <c r="F540" s="902"/>
      <c r="G540" s="902"/>
      <c r="H540" s="903"/>
      <c r="I540" s="431"/>
      <c r="J540" s="904"/>
      <c r="K540" s="905"/>
      <c r="L540" s="906"/>
      <c r="M540" s="905"/>
      <c r="N540" s="905"/>
    </row>
    <row r="541" spans="5:14">
      <c r="E541" s="901"/>
      <c r="F541" s="902"/>
      <c r="G541" s="902"/>
      <c r="H541" s="903"/>
      <c r="I541" s="431"/>
      <c r="J541" s="904"/>
      <c r="K541" s="905"/>
      <c r="L541" s="906"/>
      <c r="M541" s="905"/>
      <c r="N541" s="905"/>
    </row>
    <row r="542" spans="5:14">
      <c r="E542" s="901"/>
      <c r="F542" s="902"/>
      <c r="G542" s="902"/>
      <c r="H542" s="903"/>
      <c r="I542" s="431"/>
      <c r="J542" s="904"/>
      <c r="K542" s="905"/>
      <c r="L542" s="906"/>
      <c r="M542" s="905"/>
      <c r="N542" s="905"/>
    </row>
    <row r="543" spans="5:14">
      <c r="E543" s="901"/>
      <c r="F543" s="902"/>
      <c r="G543" s="902"/>
      <c r="H543" s="903"/>
      <c r="I543" s="431"/>
      <c r="J543" s="904"/>
      <c r="K543" s="905"/>
      <c r="L543" s="906"/>
      <c r="M543" s="905"/>
      <c r="N543" s="905"/>
    </row>
    <row r="544" spans="5:14">
      <c r="E544" s="901"/>
      <c r="F544" s="902"/>
      <c r="G544" s="902"/>
      <c r="H544" s="903"/>
      <c r="I544" s="431"/>
      <c r="J544" s="904"/>
      <c r="K544" s="905"/>
      <c r="L544" s="906"/>
      <c r="M544" s="905"/>
      <c r="N544" s="905"/>
    </row>
    <row r="545" spans="5:14">
      <c r="E545" s="901"/>
      <c r="F545" s="902"/>
      <c r="G545" s="902"/>
      <c r="H545" s="903"/>
      <c r="I545" s="431"/>
      <c r="J545" s="904"/>
      <c r="K545" s="905"/>
      <c r="L545" s="906"/>
      <c r="M545" s="905"/>
      <c r="N545" s="905"/>
    </row>
    <row r="546" spans="5:14">
      <c r="E546" s="901"/>
      <c r="F546" s="902"/>
      <c r="G546" s="902"/>
      <c r="H546" s="903"/>
      <c r="I546" s="431"/>
      <c r="J546" s="904"/>
      <c r="K546" s="905"/>
      <c r="L546" s="906"/>
      <c r="M546" s="905"/>
      <c r="N546" s="905"/>
    </row>
    <row r="547" spans="5:14">
      <c r="E547" s="901"/>
      <c r="F547" s="902"/>
      <c r="G547" s="902"/>
      <c r="H547" s="903"/>
      <c r="I547" s="431"/>
      <c r="J547" s="904"/>
      <c r="K547" s="905"/>
      <c r="L547" s="906"/>
      <c r="M547" s="905"/>
      <c r="N547" s="905"/>
    </row>
    <row r="548" spans="5:14">
      <c r="E548" s="901"/>
      <c r="F548" s="902"/>
      <c r="G548" s="902"/>
      <c r="H548" s="903"/>
      <c r="I548" s="431"/>
      <c r="J548" s="904"/>
      <c r="K548" s="905"/>
      <c r="L548" s="906"/>
      <c r="M548" s="905"/>
      <c r="N548" s="905"/>
    </row>
    <row r="549" spans="5:14">
      <c r="E549" s="901"/>
      <c r="F549" s="902"/>
      <c r="G549" s="902"/>
      <c r="H549" s="903"/>
      <c r="I549" s="431"/>
      <c r="J549" s="904"/>
      <c r="K549" s="905"/>
      <c r="L549" s="906"/>
      <c r="M549" s="905"/>
      <c r="N549" s="905"/>
    </row>
    <row r="550" spans="5:14">
      <c r="E550" s="901"/>
      <c r="F550" s="902"/>
      <c r="G550" s="902"/>
      <c r="H550" s="903"/>
      <c r="I550" s="431"/>
      <c r="J550" s="904"/>
      <c r="K550" s="905"/>
      <c r="L550" s="906"/>
      <c r="M550" s="905"/>
      <c r="N550" s="905"/>
    </row>
    <row r="551" spans="5:14">
      <c r="E551" s="901"/>
      <c r="F551" s="902"/>
      <c r="G551" s="902"/>
      <c r="H551" s="903"/>
      <c r="I551" s="431"/>
      <c r="J551" s="904"/>
      <c r="K551" s="905"/>
      <c r="L551" s="906"/>
      <c r="M551" s="905"/>
      <c r="N551" s="905"/>
    </row>
    <row r="552" spans="5:14">
      <c r="E552" s="901"/>
      <c r="F552" s="902"/>
      <c r="G552" s="902"/>
      <c r="H552" s="903"/>
      <c r="I552" s="431"/>
      <c r="J552" s="904"/>
      <c r="K552" s="905"/>
      <c r="L552" s="906"/>
      <c r="M552" s="905"/>
      <c r="N552" s="905"/>
    </row>
    <row r="553" spans="5:14">
      <c r="E553" s="901"/>
      <c r="F553" s="902"/>
      <c r="G553" s="902"/>
      <c r="H553" s="903"/>
      <c r="I553" s="431"/>
      <c r="J553" s="904"/>
      <c r="K553" s="905"/>
      <c r="L553" s="906"/>
      <c r="M553" s="905"/>
      <c r="N553" s="905"/>
    </row>
    <row r="554" spans="5:14">
      <c r="E554" s="901"/>
      <c r="F554" s="902"/>
      <c r="G554" s="902"/>
      <c r="H554" s="903"/>
      <c r="I554" s="431"/>
      <c r="J554" s="904"/>
      <c r="K554" s="905"/>
      <c r="L554" s="906"/>
      <c r="M554" s="905"/>
      <c r="N554" s="905"/>
    </row>
    <row r="555" spans="5:14">
      <c r="E555" s="901"/>
      <c r="F555" s="902"/>
      <c r="G555" s="902"/>
      <c r="H555" s="903"/>
      <c r="I555" s="431"/>
      <c r="J555" s="904"/>
      <c r="K555" s="905"/>
      <c r="L555" s="906"/>
      <c r="M555" s="905"/>
      <c r="N555" s="905"/>
    </row>
    <row r="556" spans="5:14">
      <c r="E556" s="901"/>
      <c r="F556" s="902"/>
      <c r="G556" s="902"/>
      <c r="H556" s="903"/>
      <c r="I556" s="431"/>
      <c r="J556" s="904"/>
      <c r="K556" s="905"/>
      <c r="L556" s="906"/>
      <c r="M556" s="905"/>
      <c r="N556" s="905"/>
    </row>
    <row r="557" spans="5:14">
      <c r="E557" s="901"/>
      <c r="F557" s="902"/>
      <c r="G557" s="902"/>
      <c r="H557" s="903"/>
      <c r="I557" s="431"/>
      <c r="J557" s="904"/>
      <c r="K557" s="905"/>
      <c r="L557" s="906"/>
      <c r="M557" s="905"/>
      <c r="N557" s="905"/>
    </row>
    <row r="558" spans="5:14">
      <c r="E558" s="901"/>
      <c r="F558" s="902"/>
      <c r="G558" s="902"/>
      <c r="H558" s="903"/>
      <c r="I558" s="431"/>
      <c r="J558" s="904"/>
      <c r="K558" s="905"/>
      <c r="L558" s="906"/>
      <c r="M558" s="905"/>
      <c r="N558" s="905"/>
    </row>
    <row r="559" spans="5:14">
      <c r="E559" s="901"/>
      <c r="F559" s="902"/>
      <c r="G559" s="902"/>
      <c r="H559" s="903"/>
      <c r="I559" s="431"/>
      <c r="J559" s="904"/>
      <c r="K559" s="905"/>
      <c r="L559" s="906"/>
      <c r="M559" s="905"/>
      <c r="N559" s="905"/>
    </row>
    <row r="560" spans="5:14">
      <c r="E560" s="901"/>
      <c r="F560" s="902"/>
      <c r="G560" s="902"/>
      <c r="H560" s="903"/>
      <c r="I560" s="431"/>
      <c r="J560" s="904"/>
      <c r="K560" s="905"/>
      <c r="L560" s="906"/>
      <c r="M560" s="905"/>
      <c r="N560" s="905"/>
    </row>
    <row r="561" spans="5:14">
      <c r="E561" s="901"/>
      <c r="F561" s="902"/>
      <c r="G561" s="902"/>
      <c r="H561" s="903"/>
      <c r="I561" s="431"/>
      <c r="J561" s="904"/>
      <c r="K561" s="905"/>
      <c r="L561" s="906"/>
      <c r="M561" s="905"/>
      <c r="N561" s="905"/>
    </row>
    <row r="562" spans="5:14">
      <c r="E562" s="901"/>
      <c r="F562" s="902"/>
      <c r="G562" s="902"/>
      <c r="H562" s="903"/>
      <c r="I562" s="431"/>
      <c r="J562" s="904"/>
      <c r="K562" s="905"/>
      <c r="L562" s="906"/>
      <c r="M562" s="905"/>
      <c r="N562" s="905"/>
    </row>
    <row r="563" spans="5:14">
      <c r="E563" s="901"/>
      <c r="F563" s="902"/>
      <c r="G563" s="902"/>
      <c r="H563" s="903"/>
      <c r="I563" s="431"/>
      <c r="J563" s="904"/>
      <c r="K563" s="905"/>
      <c r="L563" s="906"/>
      <c r="M563" s="905"/>
      <c r="N563" s="905"/>
    </row>
    <row r="564" spans="5:14">
      <c r="E564" s="901"/>
      <c r="F564" s="902"/>
      <c r="G564" s="902"/>
      <c r="H564" s="903"/>
      <c r="I564" s="431"/>
      <c r="J564" s="904"/>
      <c r="K564" s="905"/>
      <c r="L564" s="906"/>
      <c r="M564" s="905"/>
      <c r="N564" s="905"/>
    </row>
    <row r="565" spans="5:14">
      <c r="E565" s="901"/>
      <c r="F565" s="902"/>
      <c r="G565" s="902"/>
      <c r="H565" s="903"/>
      <c r="I565" s="431"/>
      <c r="J565" s="904"/>
      <c r="K565" s="905"/>
      <c r="L565" s="906"/>
      <c r="M565" s="905"/>
      <c r="N565" s="905"/>
    </row>
    <row r="566" spans="5:14">
      <c r="E566" s="901"/>
      <c r="F566" s="902"/>
      <c r="G566" s="902"/>
      <c r="H566" s="903"/>
      <c r="I566" s="431"/>
      <c r="J566" s="904"/>
      <c r="K566" s="905"/>
      <c r="L566" s="906"/>
      <c r="M566" s="905"/>
      <c r="N566" s="905"/>
    </row>
    <row r="567" spans="5:14">
      <c r="E567" s="901"/>
      <c r="F567" s="902"/>
      <c r="G567" s="902"/>
      <c r="H567" s="903"/>
      <c r="I567" s="431"/>
      <c r="J567" s="904"/>
      <c r="K567" s="905"/>
      <c r="L567" s="906"/>
      <c r="M567" s="905"/>
      <c r="N567" s="905"/>
    </row>
    <row r="568" spans="5:14">
      <c r="E568" s="901"/>
      <c r="F568" s="902"/>
      <c r="G568" s="902"/>
      <c r="H568" s="903"/>
      <c r="I568" s="431"/>
      <c r="J568" s="904"/>
      <c r="K568" s="905"/>
      <c r="L568" s="906"/>
      <c r="M568" s="905"/>
      <c r="N568" s="905"/>
    </row>
    <row r="569" spans="5:14">
      <c r="E569" s="901"/>
      <c r="F569" s="902"/>
      <c r="G569" s="902"/>
      <c r="H569" s="903"/>
      <c r="I569" s="431"/>
      <c r="J569" s="904"/>
      <c r="K569" s="905"/>
      <c r="L569" s="906"/>
      <c r="M569" s="905"/>
      <c r="N569" s="905"/>
    </row>
    <row r="570" spans="5:14">
      <c r="E570" s="901"/>
      <c r="F570" s="902"/>
      <c r="G570" s="902"/>
      <c r="H570" s="903"/>
      <c r="I570" s="431"/>
      <c r="J570" s="904"/>
      <c r="K570" s="905"/>
      <c r="L570" s="906"/>
      <c r="M570" s="905"/>
      <c r="N570" s="905"/>
    </row>
    <row r="571" spans="5:14">
      <c r="E571" s="901"/>
      <c r="F571" s="902"/>
      <c r="G571" s="902"/>
      <c r="H571" s="903"/>
      <c r="I571" s="431"/>
      <c r="J571" s="904"/>
      <c r="K571" s="905"/>
      <c r="L571" s="906"/>
      <c r="M571" s="905"/>
      <c r="N571" s="905"/>
    </row>
    <row r="572" spans="5:14">
      <c r="E572" s="901"/>
      <c r="F572" s="902"/>
      <c r="G572" s="902"/>
      <c r="H572" s="903"/>
      <c r="I572" s="431"/>
      <c r="J572" s="904"/>
      <c r="K572" s="905"/>
      <c r="L572" s="906"/>
      <c r="M572" s="905"/>
      <c r="N572" s="905"/>
    </row>
    <row r="573" spans="5:14">
      <c r="E573" s="901"/>
      <c r="F573" s="902"/>
      <c r="G573" s="902"/>
      <c r="H573" s="903"/>
      <c r="I573" s="431"/>
      <c r="J573" s="904"/>
      <c r="K573" s="905"/>
      <c r="L573" s="906"/>
      <c r="M573" s="905"/>
      <c r="N573" s="905"/>
    </row>
    <row r="574" spans="5:14">
      <c r="E574" s="901"/>
      <c r="F574" s="902"/>
      <c r="G574" s="902"/>
      <c r="H574" s="903"/>
      <c r="I574" s="431"/>
      <c r="J574" s="904"/>
      <c r="K574" s="905"/>
      <c r="L574" s="906"/>
      <c r="M574" s="905"/>
      <c r="N574" s="905"/>
    </row>
    <row r="575" spans="5:14">
      <c r="E575" s="901"/>
      <c r="F575" s="902"/>
      <c r="G575" s="902"/>
      <c r="H575" s="903"/>
      <c r="I575" s="431"/>
      <c r="J575" s="904"/>
      <c r="K575" s="905"/>
      <c r="L575" s="906"/>
      <c r="M575" s="905"/>
      <c r="N575" s="905"/>
    </row>
    <row r="576" spans="5:14">
      <c r="E576" s="901"/>
      <c r="F576" s="902"/>
      <c r="G576" s="902"/>
      <c r="H576" s="903"/>
      <c r="I576" s="431"/>
      <c r="J576" s="904"/>
      <c r="K576" s="905"/>
      <c r="L576" s="906"/>
      <c r="M576" s="905"/>
      <c r="N576" s="905"/>
    </row>
    <row r="577" spans="5:14">
      <c r="E577" s="901"/>
      <c r="F577" s="902"/>
      <c r="G577" s="902"/>
      <c r="H577" s="903"/>
      <c r="I577" s="431"/>
      <c r="J577" s="904"/>
      <c r="K577" s="905"/>
      <c r="L577" s="906"/>
      <c r="M577" s="905"/>
      <c r="N577" s="905"/>
    </row>
    <row r="578" spans="5:14">
      <c r="E578" s="901"/>
      <c r="F578" s="902"/>
      <c r="G578" s="902"/>
      <c r="H578" s="903"/>
      <c r="I578" s="431"/>
      <c r="J578" s="904"/>
      <c r="K578" s="905"/>
      <c r="L578" s="906"/>
      <c r="M578" s="905"/>
      <c r="N578" s="905"/>
    </row>
    <row r="579" spans="5:14">
      <c r="E579" s="901"/>
      <c r="F579" s="902"/>
      <c r="G579" s="902"/>
      <c r="H579" s="903"/>
      <c r="I579" s="431"/>
      <c r="J579" s="904"/>
      <c r="K579" s="905"/>
      <c r="L579" s="906"/>
      <c r="M579" s="905"/>
      <c r="N579" s="905"/>
    </row>
    <row r="580" spans="5:14">
      <c r="E580" s="901"/>
      <c r="F580" s="902"/>
      <c r="G580" s="902"/>
      <c r="H580" s="903"/>
      <c r="I580" s="431"/>
      <c r="J580" s="904"/>
      <c r="K580" s="905"/>
      <c r="L580" s="906"/>
      <c r="M580" s="905"/>
      <c r="N580" s="905"/>
    </row>
    <row r="581" spans="5:14">
      <c r="E581" s="901"/>
      <c r="F581" s="902"/>
      <c r="G581" s="902"/>
      <c r="H581" s="903"/>
      <c r="I581" s="431"/>
      <c r="J581" s="904"/>
      <c r="K581" s="905"/>
      <c r="L581" s="906"/>
      <c r="M581" s="905"/>
      <c r="N581" s="905"/>
    </row>
    <row r="582" spans="5:14">
      <c r="E582" s="901"/>
      <c r="F582" s="902"/>
      <c r="G582" s="902"/>
      <c r="H582" s="903"/>
      <c r="I582" s="431"/>
      <c r="J582" s="904"/>
      <c r="K582" s="905"/>
      <c r="L582" s="906"/>
      <c r="M582" s="905"/>
      <c r="N582" s="905"/>
    </row>
    <row r="583" spans="5:14">
      <c r="E583" s="901"/>
      <c r="F583" s="902"/>
      <c r="G583" s="902"/>
      <c r="H583" s="903"/>
      <c r="I583" s="431"/>
      <c r="J583" s="904"/>
      <c r="K583" s="905"/>
      <c r="L583" s="906"/>
      <c r="M583" s="905"/>
      <c r="N583" s="905"/>
    </row>
    <row r="584" spans="5:14">
      <c r="E584" s="901"/>
      <c r="F584" s="902"/>
      <c r="G584" s="902"/>
      <c r="H584" s="903"/>
      <c r="I584" s="431"/>
      <c r="J584" s="904"/>
      <c r="K584" s="905"/>
      <c r="L584" s="906"/>
      <c r="M584" s="905"/>
      <c r="N584" s="905"/>
    </row>
    <row r="585" spans="5:14">
      <c r="E585" s="901"/>
      <c r="F585" s="902"/>
      <c r="G585" s="902"/>
      <c r="H585" s="903"/>
      <c r="I585" s="431"/>
      <c r="J585" s="904"/>
      <c r="K585" s="905"/>
      <c r="L585" s="906"/>
      <c r="M585" s="905"/>
      <c r="N585" s="905"/>
    </row>
    <row r="586" spans="5:14">
      <c r="E586" s="901"/>
      <c r="F586" s="902"/>
      <c r="G586" s="902"/>
      <c r="H586" s="903"/>
      <c r="I586" s="431"/>
      <c r="J586" s="904"/>
      <c r="K586" s="905"/>
      <c r="L586" s="906"/>
      <c r="M586" s="905"/>
      <c r="N586" s="905"/>
    </row>
    <row r="587" spans="5:14">
      <c r="E587" s="901"/>
      <c r="F587" s="902"/>
      <c r="G587" s="902"/>
      <c r="H587" s="903"/>
      <c r="I587" s="431"/>
      <c r="J587" s="904"/>
      <c r="K587" s="905"/>
      <c r="L587" s="906"/>
      <c r="M587" s="905"/>
      <c r="N587" s="905"/>
    </row>
    <row r="588" spans="5:14">
      <c r="E588" s="901"/>
      <c r="F588" s="902"/>
      <c r="G588" s="902"/>
      <c r="H588" s="903"/>
      <c r="I588" s="431"/>
      <c r="J588" s="904"/>
      <c r="K588" s="905"/>
      <c r="L588" s="906"/>
      <c r="M588" s="905"/>
      <c r="N588" s="905"/>
    </row>
    <row r="589" spans="5:14">
      <c r="E589" s="901"/>
      <c r="F589" s="902"/>
      <c r="G589" s="902"/>
      <c r="H589" s="903"/>
      <c r="I589" s="431"/>
      <c r="J589" s="904"/>
      <c r="K589" s="905"/>
      <c r="L589" s="906"/>
      <c r="M589" s="905"/>
      <c r="N589" s="905"/>
    </row>
    <row r="590" spans="5:14">
      <c r="E590" s="901"/>
      <c r="F590" s="902"/>
      <c r="G590" s="902"/>
      <c r="H590" s="903"/>
      <c r="I590" s="431"/>
      <c r="J590" s="904"/>
      <c r="K590" s="905"/>
      <c r="L590" s="906"/>
      <c r="M590" s="905"/>
      <c r="N590" s="905"/>
    </row>
    <row r="591" spans="5:14">
      <c r="E591" s="901"/>
      <c r="F591" s="902"/>
      <c r="G591" s="902"/>
      <c r="H591" s="903"/>
      <c r="I591" s="431"/>
      <c r="J591" s="904"/>
      <c r="K591" s="905"/>
      <c r="L591" s="906"/>
      <c r="M591" s="905"/>
      <c r="N591" s="905"/>
    </row>
    <row r="592" spans="5:14">
      <c r="E592" s="901"/>
      <c r="F592" s="902"/>
      <c r="G592" s="902"/>
      <c r="H592" s="903"/>
      <c r="I592" s="431"/>
      <c r="J592" s="904"/>
      <c r="K592" s="905"/>
      <c r="L592" s="906"/>
      <c r="M592" s="905"/>
      <c r="N592" s="905"/>
    </row>
    <row r="593" spans="5:14">
      <c r="E593" s="901"/>
      <c r="F593" s="902"/>
      <c r="G593" s="902"/>
      <c r="H593" s="903"/>
      <c r="I593" s="431"/>
      <c r="J593" s="904"/>
      <c r="K593" s="905"/>
      <c r="L593" s="906"/>
      <c r="M593" s="905"/>
      <c r="N593" s="905"/>
    </row>
    <row r="594" spans="5:14">
      <c r="E594" s="901"/>
      <c r="F594" s="902"/>
      <c r="G594" s="902"/>
      <c r="H594" s="903"/>
      <c r="I594" s="431"/>
      <c r="J594" s="904"/>
      <c r="K594" s="905"/>
      <c r="L594" s="906"/>
      <c r="M594" s="905"/>
      <c r="N594" s="905"/>
    </row>
    <row r="595" spans="5:14">
      <c r="E595" s="901"/>
      <c r="F595" s="902"/>
      <c r="G595" s="902"/>
      <c r="H595" s="903"/>
      <c r="I595" s="431"/>
      <c r="J595" s="904"/>
      <c r="K595" s="905"/>
      <c r="L595" s="906"/>
      <c r="M595" s="905"/>
      <c r="N595" s="905"/>
    </row>
    <row r="596" spans="5:14">
      <c r="E596" s="901"/>
      <c r="F596" s="902"/>
      <c r="G596" s="902"/>
      <c r="H596" s="903"/>
      <c r="I596" s="431"/>
      <c r="J596" s="904"/>
      <c r="K596" s="905"/>
      <c r="L596" s="906"/>
      <c r="M596" s="905"/>
      <c r="N596" s="905"/>
    </row>
    <row r="597" spans="5:14">
      <c r="E597" s="901"/>
      <c r="F597" s="902"/>
      <c r="G597" s="902"/>
      <c r="H597" s="903"/>
      <c r="I597" s="431"/>
      <c r="J597" s="904"/>
      <c r="K597" s="905"/>
      <c r="L597" s="906"/>
      <c r="M597" s="905"/>
      <c r="N597" s="905"/>
    </row>
    <row r="598" spans="5:14">
      <c r="E598" s="901"/>
      <c r="F598" s="902"/>
      <c r="G598" s="902"/>
      <c r="H598" s="903"/>
      <c r="I598" s="431"/>
      <c r="J598" s="904"/>
      <c r="K598" s="905"/>
      <c r="L598" s="906"/>
      <c r="M598" s="905"/>
      <c r="N598" s="905"/>
    </row>
    <row r="599" spans="5:14">
      <c r="E599" s="901"/>
      <c r="F599" s="902"/>
      <c r="G599" s="902"/>
      <c r="H599" s="903"/>
      <c r="I599" s="431"/>
      <c r="J599" s="904"/>
      <c r="K599" s="905"/>
      <c r="L599" s="906"/>
      <c r="M599" s="905"/>
      <c r="N599" s="905"/>
    </row>
    <row r="600" spans="5:14">
      <c r="E600" s="901"/>
      <c r="F600" s="902"/>
      <c r="G600" s="902"/>
      <c r="H600" s="903"/>
      <c r="I600" s="431"/>
      <c r="J600" s="904"/>
      <c r="K600" s="905"/>
      <c r="L600" s="906"/>
      <c r="M600" s="905"/>
      <c r="N600" s="905"/>
    </row>
    <row r="601" spans="5:14">
      <c r="E601" s="901"/>
      <c r="F601" s="902"/>
      <c r="G601" s="902"/>
      <c r="H601" s="903"/>
      <c r="I601" s="431"/>
      <c r="J601" s="904"/>
      <c r="K601" s="905"/>
      <c r="L601" s="906"/>
      <c r="M601" s="905"/>
      <c r="N601" s="905"/>
    </row>
    <row r="602" spans="5:14">
      <c r="E602" s="901"/>
      <c r="F602" s="902"/>
      <c r="G602" s="902"/>
      <c r="H602" s="903"/>
      <c r="I602" s="431"/>
      <c r="J602" s="904"/>
      <c r="K602" s="905"/>
      <c r="L602" s="906"/>
      <c r="M602" s="905"/>
      <c r="N602" s="905"/>
    </row>
    <row r="603" spans="5:14">
      <c r="E603" s="901"/>
      <c r="F603" s="902"/>
      <c r="G603" s="902"/>
      <c r="H603" s="903"/>
      <c r="I603" s="431"/>
      <c r="J603" s="904"/>
      <c r="K603" s="905"/>
      <c r="L603" s="906"/>
      <c r="M603" s="905"/>
      <c r="N603" s="905"/>
    </row>
    <row r="604" spans="5:14">
      <c r="E604" s="901"/>
      <c r="F604" s="902"/>
      <c r="G604" s="902"/>
      <c r="H604" s="903"/>
      <c r="I604" s="431"/>
      <c r="J604" s="904"/>
      <c r="K604" s="905"/>
      <c r="L604" s="906"/>
      <c r="M604" s="905"/>
      <c r="N604" s="905"/>
    </row>
    <row r="605" spans="5:14">
      <c r="E605" s="901"/>
      <c r="F605" s="902"/>
      <c r="G605" s="902"/>
      <c r="H605" s="903"/>
      <c r="I605" s="431"/>
      <c r="J605" s="904"/>
      <c r="K605" s="905"/>
      <c r="L605" s="906"/>
      <c r="M605" s="905"/>
      <c r="N605" s="905"/>
    </row>
    <row r="606" spans="5:14">
      <c r="E606" s="901"/>
      <c r="F606" s="902"/>
      <c r="G606" s="902"/>
      <c r="H606" s="903"/>
      <c r="I606" s="431"/>
      <c r="J606" s="904"/>
      <c r="K606" s="905"/>
      <c r="L606" s="906"/>
      <c r="M606" s="905"/>
      <c r="N606" s="905"/>
    </row>
    <row r="607" spans="5:14">
      <c r="E607" s="901"/>
      <c r="F607" s="902"/>
      <c r="G607" s="902"/>
      <c r="H607" s="903"/>
      <c r="I607" s="431"/>
      <c r="J607" s="904"/>
      <c r="K607" s="905"/>
      <c r="L607" s="906"/>
      <c r="M607" s="905"/>
      <c r="N607" s="905"/>
    </row>
    <row r="608" spans="5:14">
      <c r="E608" s="901"/>
      <c r="F608" s="902"/>
      <c r="G608" s="902"/>
      <c r="H608" s="903"/>
      <c r="I608" s="431"/>
      <c r="J608" s="904"/>
      <c r="K608" s="905"/>
      <c r="L608" s="906"/>
      <c r="M608" s="905"/>
      <c r="N608" s="905"/>
    </row>
    <row r="609" spans="5:14">
      <c r="E609" s="901"/>
      <c r="F609" s="902"/>
      <c r="G609" s="902"/>
      <c r="H609" s="903"/>
      <c r="I609" s="431"/>
      <c r="J609" s="904"/>
      <c r="K609" s="905"/>
      <c r="L609" s="906"/>
      <c r="M609" s="905"/>
      <c r="N609" s="905"/>
    </row>
    <row r="610" spans="5:14">
      <c r="E610" s="901"/>
      <c r="F610" s="902"/>
      <c r="G610" s="902"/>
      <c r="H610" s="903"/>
      <c r="I610" s="431"/>
      <c r="J610" s="904"/>
      <c r="K610" s="905"/>
      <c r="L610" s="906"/>
      <c r="M610" s="905"/>
      <c r="N610" s="905"/>
    </row>
    <row r="611" spans="5:14">
      <c r="E611" s="901"/>
      <c r="F611" s="902"/>
      <c r="G611" s="902"/>
      <c r="H611" s="903"/>
      <c r="I611" s="431"/>
      <c r="J611" s="904"/>
      <c r="K611" s="905"/>
      <c r="L611" s="906"/>
      <c r="M611" s="905"/>
      <c r="N611" s="905"/>
    </row>
    <row r="612" spans="5:14">
      <c r="E612" s="901"/>
      <c r="F612" s="902"/>
      <c r="G612" s="902"/>
      <c r="H612" s="903"/>
      <c r="I612" s="431"/>
      <c r="J612" s="904"/>
      <c r="K612" s="905"/>
      <c r="L612" s="906"/>
      <c r="M612" s="905"/>
      <c r="N612" s="905"/>
    </row>
    <row r="613" spans="5:14">
      <c r="E613" s="901"/>
      <c r="F613" s="902"/>
      <c r="G613" s="902"/>
      <c r="H613" s="903"/>
      <c r="I613" s="431"/>
      <c r="J613" s="904"/>
      <c r="K613" s="905"/>
      <c r="L613" s="906"/>
      <c r="M613" s="905"/>
      <c r="N613" s="905"/>
    </row>
  </sheetData>
  <autoFilter ref="A11:U476" xr:uid="{00000000-0009-0000-0000-00000C000000}">
    <sortState xmlns:xlrd2="http://schemas.microsoft.com/office/spreadsheetml/2017/richdata2" ref="A12:U540">
      <sortCondition ref="A11:A540"/>
    </sortState>
  </autoFilter>
  <mergeCells count="4">
    <mergeCell ref="E7:N7"/>
    <mergeCell ref="L480:N480"/>
    <mergeCell ref="L481:N481"/>
    <mergeCell ref="E8:N8"/>
  </mergeCells>
  <phoneticPr fontId="108" type="noConversion"/>
  <printOptions horizontalCentered="1"/>
  <pageMargins left="0.19685039370078741" right="0.19685039370078741" top="1.1811023622047245" bottom="0.98425196850393704" header="0.59055118110236227" footer="0.19685039370078741"/>
  <pageSetup paperSize="9" scale="65" firstPageNumber="0" fitToHeight="0" orientation="landscape" r:id="rId1"/>
  <headerFooter>
    <oddFooter>&amp;R&amp;P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C1:R481"/>
  <sheetViews>
    <sheetView workbookViewId="0">
      <selection activeCell="E15" sqref="D12:E15"/>
    </sheetView>
  </sheetViews>
  <sheetFormatPr defaultColWidth="9.140625" defaultRowHeight="12.75"/>
  <cols>
    <col min="1" max="2" width="9.140625" style="522"/>
    <col min="3" max="3" width="7.5703125" style="521" customWidth="1"/>
    <col min="4" max="5" width="10.7109375" style="521" customWidth="1"/>
    <col min="6" max="6" width="12.7109375" style="521" customWidth="1"/>
    <col min="7" max="7" width="69.7109375" style="533" customWidth="1"/>
    <col min="8" max="8" width="6.28515625" style="521" customWidth="1"/>
    <col min="9" max="9" width="9.7109375" style="521" customWidth="1"/>
    <col min="10" max="10" width="12.28515625" style="521" customWidth="1"/>
    <col min="11" max="11" width="10.42578125" style="521" customWidth="1"/>
    <col min="12" max="12" width="9.7109375" style="521" customWidth="1"/>
    <col min="13" max="13" width="11.7109375" style="521" customWidth="1"/>
    <col min="14" max="14" width="16.85546875" style="521" bestFit="1" customWidth="1"/>
    <col min="15" max="18" width="9.140625" style="521"/>
    <col min="19" max="16384" width="9.140625" style="522"/>
  </cols>
  <sheetData>
    <row r="1" spans="3:14">
      <c r="C1" s="482" t="s">
        <v>2690</v>
      </c>
      <c r="D1" s="483"/>
      <c r="E1" s="484"/>
      <c r="F1" s="485" t="str">
        <f>IF(DADOS!$D$9&lt;&gt;"",DADOS!$D$9,"")</f>
        <v>CÂMARA MUNICIPAL DE TAMARANA</v>
      </c>
      <c r="G1" s="478"/>
      <c r="H1" s="486"/>
      <c r="I1" s="487"/>
      <c r="J1" s="519"/>
      <c r="K1" s="488"/>
      <c r="L1" s="489" t="s">
        <v>29</v>
      </c>
      <c r="M1" s="520"/>
      <c r="N1" s="490">
        <f>IF(BDI!D24&lt;&gt;"",BDI!D24,"")</f>
        <v>0.2354</v>
      </c>
    </row>
    <row r="2" spans="3:14">
      <c r="C2" s="491" t="s">
        <v>3714</v>
      </c>
      <c r="D2" s="492"/>
      <c r="E2" s="484"/>
      <c r="F2" s="493">
        <f>IF(DADOS!N7&lt;&gt;"",DADOS!N7)</f>
        <v>81</v>
      </c>
      <c r="G2" s="478"/>
      <c r="H2" s="486"/>
      <c r="I2" s="238"/>
      <c r="J2" s="519"/>
      <c r="K2" s="488"/>
      <c r="L2" s="489"/>
      <c r="M2" s="520"/>
      <c r="N2" s="490"/>
    </row>
    <row r="3" spans="3:14">
      <c r="C3" s="491" t="s">
        <v>3715</v>
      </c>
      <c r="D3" s="492"/>
      <c r="E3" s="484"/>
      <c r="F3" s="485" t="str">
        <f>IF(DADOS!$D$13&lt;&gt;"",DADOS!$D$13,"")</f>
        <v>CÂMARA MUNICIPAL DE TAMARANA</v>
      </c>
      <c r="G3" s="478"/>
      <c r="H3" s="486"/>
      <c r="I3" s="494"/>
      <c r="J3" s="519"/>
      <c r="K3" s="488"/>
      <c r="L3" s="495" t="s">
        <v>3717</v>
      </c>
      <c r="M3" s="520"/>
      <c r="N3" s="496">
        <f>IF(DADOS!D17&lt;&gt;"",DADOS!D17,0)</f>
        <v>713.26</v>
      </c>
    </row>
    <row r="4" spans="3:14">
      <c r="C4" s="497" t="s">
        <v>3716</v>
      </c>
      <c r="D4" s="498"/>
      <c r="E4" s="499"/>
      <c r="F4" s="500" t="str">
        <f>IF(DADOS!$D$11&lt;&gt;"",DADOS!$D$11,"")</f>
        <v>RUA UBALDINO DE SÁ BITERNCOURT, S/N. - PRAÇA "A-B-3"</v>
      </c>
      <c r="G4" s="501"/>
      <c r="H4" s="502"/>
      <c r="I4" s="231"/>
      <c r="J4" s="519"/>
      <c r="K4" s="488"/>
      <c r="L4" s="503" t="s">
        <v>903</v>
      </c>
      <c r="M4" s="520"/>
      <c r="N4" s="504">
        <f ca="1">IF(DADOS!$D$19&lt;&gt;"",DADOS!$D$19,"")</f>
        <v>44860</v>
      </c>
    </row>
    <row r="5" spans="3:14">
      <c r="C5" s="505" t="s">
        <v>4877</v>
      </c>
      <c r="D5" s="506"/>
      <c r="E5" s="413"/>
      <c r="F5" s="473" t="str">
        <f>DADOS!D21</f>
        <v>SINAPI PR - JULHO 2022 - NÃO DESONERADO</v>
      </c>
      <c r="G5" s="478"/>
      <c r="H5" s="413"/>
      <c r="I5" s="507"/>
      <c r="J5" s="519"/>
      <c r="K5" s="488"/>
      <c r="L5" s="508" t="s">
        <v>4879</v>
      </c>
      <c r="M5" s="519"/>
      <c r="N5" s="459" t="str">
        <f>IF(DADOS!M19&lt;&gt;"",DADOS!M19)</f>
        <v>R01</v>
      </c>
    </row>
    <row r="6" spans="3:14">
      <c r="C6" s="509"/>
      <c r="D6" s="510"/>
      <c r="E6" s="231"/>
      <c r="F6" s="232"/>
      <c r="G6" s="479"/>
      <c r="H6" s="231"/>
      <c r="I6" s="511"/>
      <c r="J6" s="512"/>
      <c r="L6" s="513"/>
      <c r="N6" s="514"/>
    </row>
    <row r="7" spans="3:14">
      <c r="C7" s="1123" t="s">
        <v>6519</v>
      </c>
      <c r="D7" s="1123"/>
      <c r="E7" s="1123"/>
      <c r="F7" s="1123"/>
      <c r="G7" s="1123"/>
      <c r="H7" s="1123"/>
      <c r="I7" s="1123"/>
      <c r="J7" s="1123"/>
      <c r="K7" s="1123"/>
      <c r="L7" s="1123"/>
      <c r="M7" s="1123"/>
      <c r="N7" s="1123"/>
    </row>
    <row r="8" spans="3:14" s="471" customFormat="1">
      <c r="C8" s="1124" t="s">
        <v>6520</v>
      </c>
      <c r="D8" s="1125" t="s">
        <v>6521</v>
      </c>
      <c r="E8" s="1126"/>
      <c r="F8" s="1124" t="s">
        <v>6522</v>
      </c>
      <c r="G8" s="1127" t="s">
        <v>791</v>
      </c>
      <c r="H8" s="1129" t="s">
        <v>6523</v>
      </c>
      <c r="I8" s="1130" t="s">
        <v>6524</v>
      </c>
      <c r="J8" s="1131" t="s">
        <v>6525</v>
      </c>
      <c r="K8" s="480"/>
      <c r="L8" s="474" t="s">
        <v>908</v>
      </c>
      <c r="M8" s="481"/>
      <c r="N8" s="1121" t="s">
        <v>6527</v>
      </c>
    </row>
    <row r="9" spans="3:14" s="472" customFormat="1" ht="25.5">
      <c r="C9" s="1124"/>
      <c r="D9" s="475" t="s">
        <v>544</v>
      </c>
      <c r="E9" s="475" t="s">
        <v>2682</v>
      </c>
      <c r="F9" s="1124"/>
      <c r="G9" s="1128"/>
      <c r="H9" s="1129"/>
      <c r="I9" s="1130"/>
      <c r="J9" s="1132"/>
      <c r="K9" s="476" t="s">
        <v>6526</v>
      </c>
      <c r="L9" s="476" t="s">
        <v>907</v>
      </c>
      <c r="M9" s="477" t="s">
        <v>3732</v>
      </c>
      <c r="N9" s="1122"/>
    </row>
    <row r="10" spans="3:14">
      <c r="C10" s="523"/>
      <c r="D10" s="523"/>
      <c r="E10" s="523"/>
      <c r="F10" s="523"/>
      <c r="G10" s="524"/>
      <c r="H10" s="523"/>
      <c r="I10" s="523"/>
      <c r="J10" s="523"/>
      <c r="K10" s="523"/>
      <c r="L10" s="523"/>
      <c r="M10" s="523"/>
      <c r="N10" s="523"/>
    </row>
    <row r="11" spans="3:14">
      <c r="C11" s="525"/>
      <c r="D11" s="515"/>
      <c r="E11" s="515"/>
      <c r="F11" s="515"/>
      <c r="G11" s="516"/>
      <c r="H11" s="525"/>
      <c r="I11" s="525"/>
      <c r="J11" s="525"/>
      <c r="K11" s="534">
        <f>TRUNC(SUM(K12:K15),2)</f>
        <v>0</v>
      </c>
      <c r="L11" s="534">
        <f>TRUNC(SUM(L12:L15),2)</f>
        <v>0</v>
      </c>
      <c r="M11" s="534">
        <f>TRUNC(SUM(M12:M15),2)</f>
        <v>0</v>
      </c>
      <c r="N11" s="458"/>
    </row>
    <row r="12" spans="3:14">
      <c r="C12" s="526"/>
      <c r="D12" s="531"/>
      <c r="E12" s="531"/>
      <c r="F12" s="517"/>
      <c r="G12" s="532" t="str">
        <f>IF($E12="",IFERROR(VLOOKUP($D12,SERVIÇOS!$C:$H,2,0),IFERROR(VLOOKUP($D12,$F:$M,2,0),"")),IFERROR(VLOOKUP($E12,INSUMOS!$B:$E,2,0),""))</f>
        <v/>
      </c>
      <c r="H12" s="526" t="str">
        <f>IF($E12="",IFERROR(VLOOKUP($D12,SERVIÇOS!$C:$H,3,0),IFERROR(VLOOKUP($D12,$F:$M,3,0),"")),IFERROR(VLOOKUP($E12,INSUMOS!$B:$E,3,0),""))</f>
        <v/>
      </c>
      <c r="I12" s="527"/>
      <c r="J12" s="528" t="str">
        <f>IF($E12="",IFERROR(VLOOKUP($D12,SERVIÇOS!$C:$H,6,0),IFERROR(VLOOKUP($D12,$F:$M,8,0),"")),IFERROR(VLOOKUP($E12,INSUMOS!$B:$E,4,0),""))</f>
        <v/>
      </c>
      <c r="K12" s="528">
        <f>TRUNC(IF($E12="",IFERROR(VLOOKUP($D12,SERVIÇOS!$C:$H,4,0),IFERROR(VLOOKUP($D12,$F:$M,6,0),)),IFERROR(VLOOKUP($E12,INSUMOS!$B:$E,4,0),))*$I12,2)</f>
        <v>0</v>
      </c>
      <c r="L12" s="528">
        <f>TRUNC(IF($E12="",IFERROR(VLOOKUP($D12,SERVIÇOS!$C:$H,5,0),IFERROR(VLOOKUP($D12,$F:$M,7,0),)),0)*$I12,2)</f>
        <v>0</v>
      </c>
      <c r="M12" s="528">
        <f>K12+L12</f>
        <v>0</v>
      </c>
      <c r="N12" s="526"/>
    </row>
    <row r="13" spans="3:14">
      <c r="C13" s="526"/>
      <c r="D13" s="531"/>
      <c r="E13" s="531"/>
      <c r="F13" s="517"/>
      <c r="G13" s="532" t="str">
        <f>IF($E13="",IFERROR(VLOOKUP($D13,SERVIÇOS!$C:$H,2,0),IFERROR(VLOOKUP($D13,$F:$M,2,0),"")),IFERROR(VLOOKUP($E13,INSUMOS!$B:$E,2,0),""))</f>
        <v/>
      </c>
      <c r="H13" s="526" t="str">
        <f>IF($E13="",IFERROR(VLOOKUP($D13,SERVIÇOS!$C:$H,3,0),IFERROR(VLOOKUP($D13,$F:$M,3,0),"")),IFERROR(VLOOKUP($E13,INSUMOS!$B:$E,3,0),""))</f>
        <v/>
      </c>
      <c r="I13" s="527"/>
      <c r="J13" s="528" t="str">
        <f>IF($E13="",IFERROR(VLOOKUP($D13,SERVIÇOS!$C:$H,6,0),IFERROR(VLOOKUP($D13,$F:$M,8,0),"")),IFERROR(VLOOKUP($E13,INSUMOS!$B:$E,4,0),""))</f>
        <v/>
      </c>
      <c r="K13" s="528">
        <f>TRUNC(IF($E13="",IFERROR(VLOOKUP($D13,SERVIÇOS!$C:$H,4,0),IFERROR(VLOOKUP($D13,$F:$M,6,0),)),IFERROR(VLOOKUP($E13,INSUMOS!$B:$E,4,0),))*$I13,2)</f>
        <v>0</v>
      </c>
      <c r="L13" s="528">
        <f>TRUNC(IF($E13="",IFERROR(VLOOKUP($D13,SERVIÇOS!$C:$H,5,0),IFERROR(VLOOKUP($D13,$F:$M,7,0),)),0)*$I13,2)</f>
        <v>0</v>
      </c>
      <c r="M13" s="528">
        <f>K13+L13</f>
        <v>0</v>
      </c>
      <c r="N13" s="526"/>
    </row>
    <row r="14" spans="3:14">
      <c r="C14" s="526"/>
      <c r="D14" s="531"/>
      <c r="E14" s="531"/>
      <c r="F14" s="518"/>
      <c r="G14" s="532" t="str">
        <f>IF($E14="",IFERROR(VLOOKUP($D14,SERVIÇOS!$C:$H,2,0),IFERROR(VLOOKUP($D14,$F:$M,2,0),"")),IFERROR(VLOOKUP($E14,INSUMOS!$B:$E,2,0),""))</f>
        <v/>
      </c>
      <c r="H14" s="526" t="str">
        <f>IF($E14="",IFERROR(VLOOKUP($D14,SERVIÇOS!$C:$H,3,0),IFERROR(VLOOKUP($D14,$F:$M,3,0),"")),IFERROR(VLOOKUP($E14,INSUMOS!$B:$E,3,0),""))</f>
        <v/>
      </c>
      <c r="I14" s="527"/>
      <c r="J14" s="528" t="str">
        <f>IF($E14="",IFERROR(VLOOKUP($D14,SERVIÇOS!$C:$H,6,0),IFERROR(VLOOKUP($D14,$F:$M,8,0),"")),IFERROR(VLOOKUP($E14,INSUMOS!$B:$E,4,0),""))</f>
        <v/>
      </c>
      <c r="K14" s="528">
        <f>TRUNC(IF($E14="",IFERROR(VLOOKUP($D14,SERVIÇOS!$C:$H,4,0),IFERROR(VLOOKUP($D14,$F:$M,6,0),)),IFERROR(VLOOKUP($E14,INSUMOS!$B:$E,4,0),))*$I14,2)</f>
        <v>0</v>
      </c>
      <c r="L14" s="528">
        <f>TRUNC(IF($E14="",IFERROR(VLOOKUP($D14,SERVIÇOS!$C:$H,5,0),IFERROR(VLOOKUP($D14,$F:$M,7,0),)),0)*$I14,2)</f>
        <v>0</v>
      </c>
      <c r="M14" s="528">
        <f t="shared" ref="M14:M77" si="0">K14+L14</f>
        <v>0</v>
      </c>
      <c r="N14" s="526"/>
    </row>
    <row r="15" spans="3:14">
      <c r="C15" s="526"/>
      <c r="D15" s="531"/>
      <c r="E15" s="531"/>
      <c r="F15" s="517"/>
      <c r="G15" s="532" t="str">
        <f>IF($E15="",IFERROR(VLOOKUP($D15,SERVIÇOS!$C:$H,2,0),IFERROR(VLOOKUP($D15,$F:$M,2,0),"")),IFERROR(VLOOKUP($E15,INSUMOS!$B:$E,2,0),""))</f>
        <v/>
      </c>
      <c r="H15" s="526" t="str">
        <f>IF($E15="",IFERROR(VLOOKUP($D15,SERVIÇOS!$C:$H,3,0),IFERROR(VLOOKUP($D15,$F:$M,3,0),"")),IFERROR(VLOOKUP($E15,INSUMOS!$B:$E,3,0),""))</f>
        <v/>
      </c>
      <c r="I15" s="527"/>
      <c r="J15" s="528" t="str">
        <f>IF($E15="",IFERROR(VLOOKUP($D15,SERVIÇOS!$C:$H,6,0),IFERROR(VLOOKUP($D15,$F:$M,8,0),"")),IFERROR(VLOOKUP($E15,INSUMOS!$B:$E,4,0),""))</f>
        <v/>
      </c>
      <c r="K15" s="528">
        <f>TRUNC(IF($E15="",IFERROR(VLOOKUP($D15,SERVIÇOS!$C:$H,4,0),IFERROR(VLOOKUP($D15,$F:$M,6,0),)),IFERROR(VLOOKUP($E15,INSUMOS!$B:$E,4,0),))*$I15,2)</f>
        <v>0</v>
      </c>
      <c r="L15" s="528">
        <f>TRUNC(IF($E15="",IFERROR(VLOOKUP($D15,SERVIÇOS!$C:$H,5,0),IFERROR(VLOOKUP($D15,$F:$M,7,0),)),0)*$I15,2)</f>
        <v>0</v>
      </c>
      <c r="M15" s="528">
        <f t="shared" si="0"/>
        <v>0</v>
      </c>
      <c r="N15" s="526"/>
    </row>
    <row r="16" spans="3:14">
      <c r="C16" s="525"/>
      <c r="D16" s="515"/>
      <c r="E16" s="515"/>
      <c r="F16" s="515"/>
      <c r="G16" s="516"/>
      <c r="H16" s="525" t="str">
        <f>IF($E16="",IFERROR(VLOOKUP($D16,SERVIÇOS!$C:$H,3,0),IFERROR(VLOOKUP($D16,$F:$M,3,0),"")),IFERROR(VLOOKUP($E16,INSUMOS!$B:$E,3,0),""))</f>
        <v/>
      </c>
      <c r="I16" s="529"/>
      <c r="J16" s="530"/>
      <c r="K16" s="534">
        <f>TRUNC(SUM(K17:K20),2)</f>
        <v>0</v>
      </c>
      <c r="L16" s="534">
        <f>TRUNC(SUM(L17:L20),2)</f>
        <v>0</v>
      </c>
      <c r="M16" s="534">
        <f>TRUNC(SUM(M17:M20),2)</f>
        <v>0</v>
      </c>
      <c r="N16" s="458"/>
    </row>
    <row r="17" spans="3:14">
      <c r="C17" s="526"/>
      <c r="D17" s="531"/>
      <c r="E17" s="531"/>
      <c r="F17" s="517"/>
      <c r="G17" s="532" t="str">
        <f>IF($E17="",IFERROR(VLOOKUP($D17,SERVIÇOS!$C:$H,2,0),IFERROR(VLOOKUP($D17,$F:$M,2,0),"")),IFERROR(VLOOKUP($E17,INSUMOS!$B:$E,2,0),""))</f>
        <v/>
      </c>
      <c r="H17" s="526" t="str">
        <f>IF($E17="",IFERROR(VLOOKUP($D17,SERVIÇOS!$C:$H,3,0),IFERROR(VLOOKUP($D17,$F:$M,3,0),"")),IFERROR(VLOOKUP($E17,INSUMOS!$B:$E,3,0),""))</f>
        <v/>
      </c>
      <c r="I17" s="527"/>
      <c r="J17" s="528" t="str">
        <f>IF($E17="",IFERROR(VLOOKUP($D17,SERVIÇOS!$C:$H,6,0),IFERROR(VLOOKUP($D17,$F:$M,8,0),"")),IFERROR(VLOOKUP($E17,INSUMOS!$B:$E,4,0),""))</f>
        <v/>
      </c>
      <c r="K17" s="528">
        <f>TRUNC(IF($E17="",IFERROR(VLOOKUP($D17,SERVIÇOS!$C:$H,4,0),IFERROR(VLOOKUP($D17,$F:$M,6,0),)),IFERROR(VLOOKUP($E17,INSUMOS!$B:$E,4,0),))*$I17,2)</f>
        <v>0</v>
      </c>
      <c r="L17" s="528">
        <f>TRUNC(IF($E17="",IFERROR(VLOOKUP($D17,SERVIÇOS!$C:$H,5,0),IFERROR(VLOOKUP($D17,$F:$M,7,0),)),0)*$I17,2)</f>
        <v>0</v>
      </c>
      <c r="M17" s="528">
        <f t="shared" si="0"/>
        <v>0</v>
      </c>
      <c r="N17" s="526"/>
    </row>
    <row r="18" spans="3:14">
      <c r="C18" s="526"/>
      <c r="D18" s="531"/>
      <c r="E18" s="531"/>
      <c r="F18" s="517"/>
      <c r="G18" s="532" t="str">
        <f>IF($E18="",IFERROR(VLOOKUP($D18,SERVIÇOS!$C:$H,2,0),IFERROR(VLOOKUP($D18,$F:$M,2,0),"")),IFERROR(VLOOKUP($E18,INSUMOS!$B:$E,2,0),""))</f>
        <v/>
      </c>
      <c r="H18" s="526" t="str">
        <f>IF($E18="",IFERROR(VLOOKUP($D18,SERVIÇOS!$C:$H,3,0),IFERROR(VLOOKUP($D18,$F:$M,3,0),"")),IFERROR(VLOOKUP($E18,INSUMOS!$B:$E,3,0),""))</f>
        <v/>
      </c>
      <c r="I18" s="527"/>
      <c r="J18" s="528" t="str">
        <f>IF($E18="",IFERROR(VLOOKUP($D18,SERVIÇOS!$C:$H,6,0),IFERROR(VLOOKUP($D18,$F:$M,8,0),"")),IFERROR(VLOOKUP($E18,INSUMOS!$B:$E,4,0),""))</f>
        <v/>
      </c>
      <c r="K18" s="528">
        <f>TRUNC(IF($E18="",IFERROR(VLOOKUP($D18,SERVIÇOS!$C:$H,4,0),IFERROR(VLOOKUP($D18,$F:$M,6,0),)),IFERROR(VLOOKUP($E18,INSUMOS!$B:$E,4,0),))*$I18,2)</f>
        <v>0</v>
      </c>
      <c r="L18" s="528">
        <f>TRUNC(IF($E18="",IFERROR(VLOOKUP($D18,SERVIÇOS!$C:$H,5,0),IFERROR(VLOOKUP($D18,$F:$M,7,0),)),0)*$I18,2)</f>
        <v>0</v>
      </c>
      <c r="M18" s="528">
        <f t="shared" si="0"/>
        <v>0</v>
      </c>
      <c r="N18" s="526"/>
    </row>
    <row r="19" spans="3:14">
      <c r="C19" s="526"/>
      <c r="D19" s="531"/>
      <c r="E19" s="531"/>
      <c r="F19" s="518"/>
      <c r="G19" s="532" t="str">
        <f>IF($E19="",IFERROR(VLOOKUP($D19,SERVIÇOS!$C:$H,2,0),IFERROR(VLOOKUP($D19,$F:$M,2,0),"")),IFERROR(VLOOKUP($E19,INSUMOS!$B:$E,2,0),""))</f>
        <v/>
      </c>
      <c r="H19" s="526" t="str">
        <f>IF($E19="",IFERROR(VLOOKUP($D19,SERVIÇOS!$C:$H,3,0),IFERROR(VLOOKUP($D19,$F:$M,3,0),"")),IFERROR(VLOOKUP($E19,INSUMOS!$B:$E,3,0),""))</f>
        <v/>
      </c>
      <c r="I19" s="527"/>
      <c r="J19" s="528" t="str">
        <f>IF($E19="",IFERROR(VLOOKUP($D19,SERVIÇOS!$C:$H,6,0),IFERROR(VLOOKUP($D19,$F:$M,8,0),"")),IFERROR(VLOOKUP($E19,INSUMOS!$B:$E,4,0),""))</f>
        <v/>
      </c>
      <c r="K19" s="528">
        <f>TRUNC(IF($E19="",IFERROR(VLOOKUP($D19,SERVIÇOS!$C:$H,4,0),IFERROR(VLOOKUP($D19,$F:$M,6,0),)),IFERROR(VLOOKUP($E19,INSUMOS!$B:$E,4,0),))*$I19,2)</f>
        <v>0</v>
      </c>
      <c r="L19" s="528">
        <f>TRUNC(IF($E19="",IFERROR(VLOOKUP($D19,SERVIÇOS!$C:$H,5,0),IFERROR(VLOOKUP($D19,$F:$M,7,0),)),0)*$I19,2)</f>
        <v>0</v>
      </c>
      <c r="M19" s="528">
        <f t="shared" si="0"/>
        <v>0</v>
      </c>
      <c r="N19" s="526"/>
    </row>
    <row r="20" spans="3:14">
      <c r="C20" s="526"/>
      <c r="D20" s="531"/>
      <c r="E20" s="531"/>
      <c r="F20" s="517"/>
      <c r="G20" s="532" t="str">
        <f>IF($E20="",IFERROR(VLOOKUP($D20,SERVIÇOS!$C:$H,2,0),IFERROR(VLOOKUP($D20,$F:$M,2,0),"")),IFERROR(VLOOKUP($E20,INSUMOS!$B:$E,2,0),""))</f>
        <v/>
      </c>
      <c r="H20" s="526" t="str">
        <f>IF($E20="",IFERROR(VLOOKUP($D20,SERVIÇOS!$C:$H,3,0),IFERROR(VLOOKUP($D20,$F:$M,3,0),"")),IFERROR(VLOOKUP($E20,INSUMOS!$B:$E,3,0),""))</f>
        <v/>
      </c>
      <c r="I20" s="527"/>
      <c r="J20" s="528" t="str">
        <f>IF($E20="",IFERROR(VLOOKUP($D20,SERVIÇOS!$C:$H,6,0),IFERROR(VLOOKUP($D20,$F:$M,8,0),"")),IFERROR(VLOOKUP($E20,INSUMOS!$B:$E,4,0),""))</f>
        <v/>
      </c>
      <c r="K20" s="528">
        <f>TRUNC(IF($E20="",IFERROR(VLOOKUP($D20,SERVIÇOS!$C:$H,4,0),IFERROR(VLOOKUP($D20,$F:$M,6,0),)),IFERROR(VLOOKUP($E20,INSUMOS!$B:$E,4,0),))*$I20,2)</f>
        <v>0</v>
      </c>
      <c r="L20" s="528">
        <f>TRUNC(IF($E20="",IFERROR(VLOOKUP($D20,SERVIÇOS!$C:$H,5,0),IFERROR(VLOOKUP($D20,$F:$M,7,0),)),0)*$I20,2)</f>
        <v>0</v>
      </c>
      <c r="M20" s="528">
        <f t="shared" si="0"/>
        <v>0</v>
      </c>
      <c r="N20" s="526"/>
    </row>
    <row r="21" spans="3:14">
      <c r="C21" s="525"/>
      <c r="D21" s="515"/>
      <c r="E21" s="515"/>
      <c r="F21" s="515"/>
      <c r="G21" s="516"/>
      <c r="H21" s="525" t="str">
        <f>IF($E21="",IFERROR(VLOOKUP($D21,SERVIÇOS!$C:$H,3,0),IFERROR(VLOOKUP($D21,$F:$M,3,0),"")),IFERROR(VLOOKUP($E21,INSUMOS!$B:$E,3,0),""))</f>
        <v/>
      </c>
      <c r="I21" s="529"/>
      <c r="J21" s="530"/>
      <c r="K21" s="534">
        <f>TRUNC(SUM(K22:K24),2)</f>
        <v>0</v>
      </c>
      <c r="L21" s="534">
        <f>TRUNC(SUM(L22:L24),2)</f>
        <v>0</v>
      </c>
      <c r="M21" s="534">
        <f>TRUNC(SUM(M22:M24),2)</f>
        <v>0</v>
      </c>
      <c r="N21" s="458"/>
    </row>
    <row r="22" spans="3:14">
      <c r="C22" s="526"/>
      <c r="D22" s="531"/>
      <c r="E22" s="531"/>
      <c r="F22" s="517"/>
      <c r="G22" s="532" t="str">
        <f>IF($E22="",IFERROR(VLOOKUP($D22,SERVIÇOS!$C:$H,2,0),IFERROR(VLOOKUP($D22,$F:$M,2,0),"")),IFERROR(VLOOKUP($E22,INSUMOS!$B:$E,2,0),""))</f>
        <v/>
      </c>
      <c r="H22" s="526" t="str">
        <f>IF($E22="",IFERROR(VLOOKUP($D22,SERVIÇOS!$C:$H,3,0),IFERROR(VLOOKUP($D22,$F:$M,3,0),"")),IFERROR(VLOOKUP($E22,INSUMOS!$B:$E,3,0),""))</f>
        <v/>
      </c>
      <c r="I22" s="527"/>
      <c r="J22" s="528" t="str">
        <f>IF($E22="",IFERROR(VLOOKUP($D22,SERVIÇOS!$C:$H,6,0),IFERROR(VLOOKUP($D22,$F:$M,8,0),"")),IFERROR(VLOOKUP($E22,INSUMOS!$B:$E,4,0),""))</f>
        <v/>
      </c>
      <c r="K22" s="528">
        <f>TRUNC(IF($E22="",IFERROR(VLOOKUP($D22,SERVIÇOS!$C:$H,4,0),IFERROR(VLOOKUP($D22,$F:$M,6,0),)),IFERROR(VLOOKUP($E22,INSUMOS!$B:$E,4,0),))*$I22,2)</f>
        <v>0</v>
      </c>
      <c r="L22" s="528">
        <f>TRUNC(IF($E22="",IFERROR(VLOOKUP($D22,SERVIÇOS!$C:$H,5,0),IFERROR(VLOOKUP($D22,$F:$M,7,0),)),0)*$I22,2)</f>
        <v>0</v>
      </c>
      <c r="M22" s="528">
        <f t="shared" si="0"/>
        <v>0</v>
      </c>
      <c r="N22" s="526"/>
    </row>
    <row r="23" spans="3:14">
      <c r="C23" s="526"/>
      <c r="D23" s="531"/>
      <c r="E23" s="531"/>
      <c r="F23" s="517"/>
      <c r="G23" s="532" t="str">
        <f>IF($E23="",IFERROR(VLOOKUP($D23,SERVIÇOS!$C:$H,2,0),IFERROR(VLOOKUP($D23,$F:$M,2,0),"")),IFERROR(VLOOKUP($E23,INSUMOS!$B:$E,2,0),""))</f>
        <v/>
      </c>
      <c r="H23" s="526" t="str">
        <f>IF($E23="",IFERROR(VLOOKUP($D23,SERVIÇOS!$C:$H,3,0),IFERROR(VLOOKUP($D23,$F:$M,3,0),"")),IFERROR(VLOOKUP($E23,INSUMOS!$B:$E,3,0),""))</f>
        <v/>
      </c>
      <c r="I23" s="527"/>
      <c r="J23" s="528" t="str">
        <f>IF($E23="",IFERROR(VLOOKUP($D23,SERVIÇOS!$C:$H,6,0),IFERROR(VLOOKUP($D23,$F:$M,8,0),"")),IFERROR(VLOOKUP($E23,INSUMOS!$B:$E,4,0),""))</f>
        <v/>
      </c>
      <c r="K23" s="528">
        <f>TRUNC(IF($E23="",IFERROR(VLOOKUP($D23,SERVIÇOS!$C:$H,4,0),IFERROR(VLOOKUP($D23,$F:$M,6,0),)),IFERROR(VLOOKUP($E23,INSUMOS!$B:$E,4,0),))*$I23,2)</f>
        <v>0</v>
      </c>
      <c r="L23" s="528">
        <f>TRUNC(IF($E23="",IFERROR(VLOOKUP($D23,SERVIÇOS!$C:$H,5,0),IFERROR(VLOOKUP($D23,$F:$M,7,0),)),0)*$I23,2)</f>
        <v>0</v>
      </c>
      <c r="M23" s="528">
        <f t="shared" si="0"/>
        <v>0</v>
      </c>
      <c r="N23" s="526"/>
    </row>
    <row r="24" spans="3:14">
      <c r="C24" s="526"/>
      <c r="D24" s="531"/>
      <c r="E24" s="531"/>
      <c r="F24" s="517"/>
      <c r="G24" s="532" t="str">
        <f>IF($E24="",IFERROR(VLOOKUP($D24,SERVIÇOS!$C:$H,2,0),IFERROR(VLOOKUP($D24,$F:$M,2,0),"")),IFERROR(VLOOKUP($E24,INSUMOS!$B:$E,2,0),""))</f>
        <v/>
      </c>
      <c r="H24" s="526" t="str">
        <f>IF($E24="",IFERROR(VLOOKUP($D24,SERVIÇOS!$C:$H,3,0),IFERROR(VLOOKUP($D24,$F:$M,3,0),"")),IFERROR(VLOOKUP($E24,INSUMOS!$B:$E,3,0),""))</f>
        <v/>
      </c>
      <c r="I24" s="527"/>
      <c r="J24" s="528" t="str">
        <f>IF($E24="",IFERROR(VLOOKUP($D24,SERVIÇOS!$C:$H,6,0),IFERROR(VLOOKUP($D24,$F:$M,8,0),"")),IFERROR(VLOOKUP($E24,INSUMOS!$B:$E,4,0),""))</f>
        <v/>
      </c>
      <c r="K24" s="528">
        <f>TRUNC(IF($E24="",IFERROR(VLOOKUP($D24,SERVIÇOS!$C:$H,4,0),IFERROR(VLOOKUP($D24,$F:$M,6,0),)),IFERROR(VLOOKUP($E24,INSUMOS!$B:$E,4,0),))*$I24,2)</f>
        <v>0</v>
      </c>
      <c r="L24" s="528">
        <f>TRUNC(IF($E24="",IFERROR(VLOOKUP($D24,SERVIÇOS!$C:$H,5,0),IFERROR(VLOOKUP($D24,$F:$M,7,0),)),0)*$I24,2)</f>
        <v>0</v>
      </c>
      <c r="M24" s="528">
        <f t="shared" si="0"/>
        <v>0</v>
      </c>
      <c r="N24" s="526"/>
    </row>
    <row r="25" spans="3:14">
      <c r="C25" s="525"/>
      <c r="D25" s="515"/>
      <c r="E25" s="515"/>
      <c r="F25" s="515"/>
      <c r="G25" s="516"/>
      <c r="H25" s="525" t="str">
        <f>IF($E25="",IFERROR(VLOOKUP($D25,SERVIÇOS!$C:$H,3,0),IFERROR(VLOOKUP($D25,$F:$M,3,0),"")),IFERROR(VLOOKUP($E25,INSUMOS!$B:$E,3,0),""))</f>
        <v/>
      </c>
      <c r="I25" s="529"/>
      <c r="J25" s="530"/>
      <c r="K25" s="534">
        <f>TRUNC(SUM(K26:K30),2)</f>
        <v>0</v>
      </c>
      <c r="L25" s="534">
        <f>TRUNC(SUM(L26:L30),2)</f>
        <v>0</v>
      </c>
      <c r="M25" s="534">
        <f>TRUNC(SUM(M26:M30),2)</f>
        <v>0</v>
      </c>
      <c r="N25" s="458"/>
    </row>
    <row r="26" spans="3:14">
      <c r="C26" s="526"/>
      <c r="D26" s="531"/>
      <c r="E26" s="531"/>
      <c r="F26" s="517"/>
      <c r="G26" s="532" t="str">
        <f>IF($E26="",IFERROR(VLOOKUP($D26,SERVIÇOS!$C:$H,2,0),IFERROR(VLOOKUP($D26,$F:$M,2,0),"")),IFERROR(VLOOKUP($E26,INSUMOS!$B:$E,2,0),""))</f>
        <v/>
      </c>
      <c r="H26" s="526" t="str">
        <f>IF($E26="",IFERROR(VLOOKUP($D26,SERVIÇOS!$C:$H,3,0),IFERROR(VLOOKUP($D26,$F:$M,3,0),"")),IFERROR(VLOOKUP($E26,INSUMOS!$B:$E,3,0),""))</f>
        <v/>
      </c>
      <c r="I26" s="527"/>
      <c r="J26" s="528" t="str">
        <f>IF($E26="",IFERROR(VLOOKUP($D26,SERVIÇOS!$C:$H,6,0),IFERROR(VLOOKUP($D26,$F:$M,8,0),"")),IFERROR(VLOOKUP($E26,INSUMOS!$B:$E,4,0),""))</f>
        <v/>
      </c>
      <c r="K26" s="528">
        <f>TRUNC(IF($E26="",IFERROR(VLOOKUP($D26,SERVIÇOS!$C:$H,4,0),IFERROR(VLOOKUP($D26,$F:$M,6,0),)),IFERROR(VLOOKUP($E26,INSUMOS!$B:$E,4,0),))*$I26,2)</f>
        <v>0</v>
      </c>
      <c r="L26" s="528">
        <f>TRUNC(IF($E26="",IFERROR(VLOOKUP($D26,SERVIÇOS!$C:$H,5,0),IFERROR(VLOOKUP($D26,$F:$M,7,0),)),0)*$I26,2)</f>
        <v>0</v>
      </c>
      <c r="M26" s="528">
        <f t="shared" si="0"/>
        <v>0</v>
      </c>
      <c r="N26" s="526"/>
    </row>
    <row r="27" spans="3:14">
      <c r="C27" s="526"/>
      <c r="D27" s="531"/>
      <c r="E27" s="531"/>
      <c r="F27" s="517"/>
      <c r="G27" s="532" t="str">
        <f>IF($E27="",IFERROR(VLOOKUP($D27,SERVIÇOS!$C:$H,2,0),IFERROR(VLOOKUP($D27,$F:$M,2,0),"")),IFERROR(VLOOKUP($E27,INSUMOS!$B:$E,2,0),""))</f>
        <v/>
      </c>
      <c r="H27" s="526" t="str">
        <f>IF($E27="",IFERROR(VLOOKUP($D27,SERVIÇOS!$C:$H,3,0),IFERROR(VLOOKUP($D27,$F:$M,3,0),"")),IFERROR(VLOOKUP($E27,INSUMOS!$B:$E,3,0),""))</f>
        <v/>
      </c>
      <c r="I27" s="527"/>
      <c r="J27" s="528" t="str">
        <f>IF($E27="",IFERROR(VLOOKUP($D27,SERVIÇOS!$C:$H,6,0),IFERROR(VLOOKUP($D27,$F:$M,8,0),"")),IFERROR(VLOOKUP($E27,INSUMOS!$B:$E,4,0),""))</f>
        <v/>
      </c>
      <c r="K27" s="528">
        <f>TRUNC(IF($E27="",IFERROR(VLOOKUP($D27,SERVIÇOS!$C:$H,4,0),IFERROR(VLOOKUP($D27,$F:$M,6,0),)),IFERROR(VLOOKUP($E27,INSUMOS!$B:$E,4,0),))*$I27,2)</f>
        <v>0</v>
      </c>
      <c r="L27" s="528">
        <f>TRUNC(IF($E27="",IFERROR(VLOOKUP($D27,SERVIÇOS!$C:$H,5,0),IFERROR(VLOOKUP($D27,$F:$M,7,0),)),0)*$I27,2)</f>
        <v>0</v>
      </c>
      <c r="M27" s="528">
        <f t="shared" si="0"/>
        <v>0</v>
      </c>
      <c r="N27" s="526"/>
    </row>
    <row r="28" spans="3:14">
      <c r="C28" s="526"/>
      <c r="D28" s="531"/>
      <c r="E28" s="531"/>
      <c r="F28" s="518"/>
      <c r="G28" s="532" t="str">
        <f>IF($E28="",IFERROR(VLOOKUP($D28,SERVIÇOS!$C:$H,2,0),IFERROR(VLOOKUP($D28,$F:$M,2,0),"")),IFERROR(VLOOKUP($E28,INSUMOS!$B:$E,2,0),""))</f>
        <v/>
      </c>
      <c r="H28" s="526" t="str">
        <f>IF($E28="",IFERROR(VLOOKUP($D28,SERVIÇOS!$C:$H,3,0),IFERROR(VLOOKUP($D28,$F:$M,3,0),"")),IFERROR(VLOOKUP($E28,INSUMOS!$B:$E,3,0),""))</f>
        <v/>
      </c>
      <c r="I28" s="527"/>
      <c r="J28" s="528" t="str">
        <f>IF($E28="",IFERROR(VLOOKUP($D28,SERVIÇOS!$C:$H,6,0),IFERROR(VLOOKUP($D28,$F:$M,8,0),"")),IFERROR(VLOOKUP($E28,INSUMOS!$B:$E,4,0),""))</f>
        <v/>
      </c>
      <c r="K28" s="528">
        <f>TRUNC(IF($E28="",IFERROR(VLOOKUP($D28,SERVIÇOS!$C:$H,4,0),IFERROR(VLOOKUP($D28,$F:$M,6,0),)),IFERROR(VLOOKUP($E28,INSUMOS!$B:$E,4,0),))*$I28,2)</f>
        <v>0</v>
      </c>
      <c r="L28" s="528">
        <f>TRUNC(IF($E28="",IFERROR(VLOOKUP($D28,SERVIÇOS!$C:$H,5,0),IFERROR(VLOOKUP($D28,$F:$M,7,0),)),0)*$I28,2)</f>
        <v>0</v>
      </c>
      <c r="M28" s="528">
        <f t="shared" si="0"/>
        <v>0</v>
      </c>
      <c r="N28" s="526"/>
    </row>
    <row r="29" spans="3:14">
      <c r="C29" s="526"/>
      <c r="D29" s="531"/>
      <c r="E29" s="531"/>
      <c r="F29" s="517"/>
      <c r="G29" s="532" t="str">
        <f>IF($E29="",IFERROR(VLOOKUP($D29,SERVIÇOS!$C:$H,2,0),IFERROR(VLOOKUP($D29,$F:$M,2,0),"")),IFERROR(VLOOKUP($E29,INSUMOS!$B:$E,2,0),""))</f>
        <v/>
      </c>
      <c r="H29" s="526" t="str">
        <f>IF($E29="",IFERROR(VLOOKUP($D29,SERVIÇOS!$C:$H,3,0),IFERROR(VLOOKUP($D29,$F:$M,3,0),"")),IFERROR(VLOOKUP($E29,INSUMOS!$B:$E,3,0),""))</f>
        <v/>
      </c>
      <c r="I29" s="527"/>
      <c r="J29" s="528" t="str">
        <f>IF($E29="",IFERROR(VLOOKUP($D29,SERVIÇOS!$C:$H,6,0),IFERROR(VLOOKUP($D29,$F:$M,8,0),"")),IFERROR(VLOOKUP($E29,INSUMOS!$B:$E,4,0),""))</f>
        <v/>
      </c>
      <c r="K29" s="528">
        <f>TRUNC(IF($E29="",IFERROR(VLOOKUP($D29,SERVIÇOS!$C:$H,4,0),IFERROR(VLOOKUP($D29,$F:$M,6,0),)),IFERROR(VLOOKUP($E29,INSUMOS!$B:$E,4,0),))*$I29,2)</f>
        <v>0</v>
      </c>
      <c r="L29" s="528">
        <f>TRUNC(IF($E29="",IFERROR(VLOOKUP($D29,SERVIÇOS!$C:$H,5,0),IFERROR(VLOOKUP($D29,$F:$M,7,0),)),0)*$I29,2)</f>
        <v>0</v>
      </c>
      <c r="M29" s="528">
        <f t="shared" si="0"/>
        <v>0</v>
      </c>
      <c r="N29" s="526"/>
    </row>
    <row r="30" spans="3:14">
      <c r="C30" s="526"/>
      <c r="D30" s="531"/>
      <c r="E30" s="531"/>
      <c r="F30" s="517"/>
      <c r="G30" s="532" t="str">
        <f>IF($E30="",IFERROR(VLOOKUP($D30,SERVIÇOS!$C:$H,2,0),IFERROR(VLOOKUP($D30,$F:$M,2,0),"")),IFERROR(VLOOKUP($E30,INSUMOS!$B:$E,2,0),""))</f>
        <v/>
      </c>
      <c r="H30" s="526" t="str">
        <f>IF($E30="",IFERROR(VLOOKUP($D30,SERVIÇOS!$C:$H,3,0),IFERROR(VLOOKUP($D30,$F:$M,3,0),"")),IFERROR(VLOOKUP($E30,INSUMOS!$B:$E,3,0),""))</f>
        <v/>
      </c>
      <c r="I30" s="527"/>
      <c r="J30" s="528" t="str">
        <f>IF($E30="",IFERROR(VLOOKUP($D30,SERVIÇOS!$C:$H,6,0),IFERROR(VLOOKUP($D30,$F:$M,8,0),"")),IFERROR(VLOOKUP($E30,INSUMOS!$B:$E,4,0),""))</f>
        <v/>
      </c>
      <c r="K30" s="528">
        <f>TRUNC(IF($E30="",IFERROR(VLOOKUP($D30,SERVIÇOS!$C:$H,4,0),IFERROR(VLOOKUP($D30,$F:$M,6,0),)),IFERROR(VLOOKUP($E30,INSUMOS!$B:$E,4,0),))*$I30,2)</f>
        <v>0</v>
      </c>
      <c r="L30" s="528">
        <f>TRUNC(IF($E30="",IFERROR(VLOOKUP($D30,SERVIÇOS!$C:$H,5,0),IFERROR(VLOOKUP($D30,$F:$M,7,0),)),0)*$I30,2)</f>
        <v>0</v>
      </c>
      <c r="M30" s="528">
        <f t="shared" si="0"/>
        <v>0</v>
      </c>
      <c r="N30" s="526"/>
    </row>
    <row r="31" spans="3:14">
      <c r="C31" s="526" t="str">
        <f t="shared" ref="C31:C76" si="1">IF(D31&lt;&gt;"","C",IF(E31&lt;&gt;"","I",""))</f>
        <v/>
      </c>
      <c r="D31" s="531"/>
      <c r="E31" s="531"/>
      <c r="F31" s="526"/>
      <c r="G31" s="532" t="str">
        <f>IF($E31="",IFERROR(VLOOKUP($D31,SERVIÇOS!$C:$H,2,0),IFERROR(VLOOKUP($D31,$F:$M,2,0),"")),IFERROR(VLOOKUP($E31,INSUMOS!$B:$E,2,0),""))</f>
        <v/>
      </c>
      <c r="H31" s="526" t="str">
        <f>IF($E31="",IFERROR(VLOOKUP($D31,SERVIÇOS!$C:$H,3,0),IFERROR(VLOOKUP($D31,$F:$M,3,0),"")),IFERROR(VLOOKUP($E31,INSUMOS!$B:$E,3,0),""))</f>
        <v/>
      </c>
      <c r="I31" s="527"/>
      <c r="J31" s="528" t="str">
        <f>IF($E31="",IFERROR(VLOOKUP($D31,SERVIÇOS!$C:$H,6,0),IFERROR(VLOOKUP($D31,$F:$M,8,0),"")),IFERROR(VLOOKUP($E31,INSUMOS!$B:$E,4,0),""))</f>
        <v/>
      </c>
      <c r="K31" s="528">
        <f>TRUNC(IF($E31="",IFERROR(VLOOKUP($D31,SERVIÇOS!$C:$H,4,0),IFERROR(VLOOKUP($D31,$F:$M,6,0),)),IFERROR(VLOOKUP($E31,INSUMOS!$B:$E,4,0),))*$I31,2)</f>
        <v>0</v>
      </c>
      <c r="L31" s="528">
        <f>TRUNC(IF($E31="",IFERROR(VLOOKUP($D31,SERVIÇOS!$C:$H,5,0),IFERROR(VLOOKUP($D31,$F:$M,7,0),)),0)*$I31,2)</f>
        <v>0</v>
      </c>
      <c r="M31" s="528">
        <f t="shared" si="0"/>
        <v>0</v>
      </c>
      <c r="N31" s="526"/>
    </row>
    <row r="32" spans="3:14">
      <c r="C32" s="526" t="str">
        <f t="shared" si="1"/>
        <v/>
      </c>
      <c r="D32" s="531"/>
      <c r="E32" s="531"/>
      <c r="F32" s="526"/>
      <c r="G32" s="532" t="str">
        <f>IF($E32="",IFERROR(VLOOKUP($D32,SERVIÇOS!$C:$H,2,0),IFERROR(VLOOKUP($D32,$F:$M,2,0),"")),IFERROR(VLOOKUP($E32,INSUMOS!$B:$E,2,0),""))</f>
        <v/>
      </c>
      <c r="H32" s="526" t="str">
        <f>IF($E32="",IFERROR(VLOOKUP($D32,SERVIÇOS!$C:$H,3,0),IFERROR(VLOOKUP($D32,$F:$M,3,0),"")),IFERROR(VLOOKUP($E32,INSUMOS!$B:$E,3,0),""))</f>
        <v/>
      </c>
      <c r="I32" s="527"/>
      <c r="J32" s="528" t="str">
        <f>IF($E32="",IFERROR(VLOOKUP($D32,SERVIÇOS!$C:$H,6,0),IFERROR(VLOOKUP($D32,$F:$M,8,0),"")),IFERROR(VLOOKUP($E32,INSUMOS!$B:$E,4,0),""))</f>
        <v/>
      </c>
      <c r="K32" s="528">
        <f>TRUNC(IF($E32="",IFERROR(VLOOKUP($D32,SERVIÇOS!$C:$H,4,0),IFERROR(VLOOKUP($D32,$F:$M,6,0),)),IFERROR(VLOOKUP($E32,INSUMOS!$B:$E,4,0),))*$I32,2)</f>
        <v>0</v>
      </c>
      <c r="L32" s="528">
        <f>TRUNC(IF($E32="",IFERROR(VLOOKUP($D32,SERVIÇOS!$C:$H,5,0),IFERROR(VLOOKUP($D32,$F:$M,7,0),)),0)*$I32,2)</f>
        <v>0</v>
      </c>
      <c r="M32" s="528">
        <f t="shared" si="0"/>
        <v>0</v>
      </c>
      <c r="N32" s="526"/>
    </row>
    <row r="33" spans="3:14">
      <c r="C33" s="526" t="str">
        <f t="shared" si="1"/>
        <v/>
      </c>
      <c r="D33" s="531"/>
      <c r="E33" s="531"/>
      <c r="F33" s="526"/>
      <c r="G33" s="532" t="str">
        <f>IF($E33="",IFERROR(VLOOKUP($D33,SERVIÇOS!$C:$H,2,0),IFERROR(VLOOKUP($D33,$F:$M,2,0),"")),IFERROR(VLOOKUP($E33,INSUMOS!$B:$E,2,0),""))</f>
        <v/>
      </c>
      <c r="H33" s="526" t="str">
        <f>IF($E33="",IFERROR(VLOOKUP($D33,SERVIÇOS!$C:$H,3,0),IFERROR(VLOOKUP($D33,$F:$M,3,0),"")),IFERROR(VLOOKUP($E33,INSUMOS!$B:$E,3,0),""))</f>
        <v/>
      </c>
      <c r="I33" s="527"/>
      <c r="J33" s="528" t="str">
        <f>IF($E33="",IFERROR(VLOOKUP($D33,SERVIÇOS!$C:$H,6,0),IFERROR(VLOOKUP($D33,$F:$M,8,0),"")),IFERROR(VLOOKUP($E33,INSUMOS!$B:$E,4,0),""))</f>
        <v/>
      </c>
      <c r="K33" s="528">
        <f>TRUNC(IF($E33="",IFERROR(VLOOKUP($D33,SERVIÇOS!$C:$H,4,0),IFERROR(VLOOKUP($D33,$F:$M,6,0),)),IFERROR(VLOOKUP($E33,INSUMOS!$B:$E,4,0),))*$I33,2)</f>
        <v>0</v>
      </c>
      <c r="L33" s="528">
        <f>TRUNC(IF($E33="",IFERROR(VLOOKUP($D33,SERVIÇOS!$C:$H,5,0),IFERROR(VLOOKUP($D33,$F:$M,7,0),)),0)*$I33,2)</f>
        <v>0</v>
      </c>
      <c r="M33" s="528">
        <f t="shared" si="0"/>
        <v>0</v>
      </c>
      <c r="N33" s="526"/>
    </row>
    <row r="34" spans="3:14">
      <c r="C34" s="526" t="str">
        <f t="shared" si="1"/>
        <v/>
      </c>
      <c r="D34" s="531"/>
      <c r="E34" s="531"/>
      <c r="F34" s="526"/>
      <c r="G34" s="532" t="str">
        <f>IF($E34="",IFERROR(VLOOKUP($D34,SERVIÇOS!$C:$H,2,0),IFERROR(VLOOKUP($D34,$F:$M,2,0),"")),IFERROR(VLOOKUP($E34,INSUMOS!$B:$E,2,0),""))</f>
        <v/>
      </c>
      <c r="H34" s="526" t="str">
        <f>IF($E34="",IFERROR(VLOOKUP($D34,SERVIÇOS!$C:$H,3,0),IFERROR(VLOOKUP($D34,$F:$M,3,0),"")),IFERROR(VLOOKUP($E34,INSUMOS!$B:$E,3,0),""))</f>
        <v/>
      </c>
      <c r="I34" s="527"/>
      <c r="J34" s="528" t="str">
        <f>IF($E34="",IFERROR(VLOOKUP($D34,SERVIÇOS!$C:$H,6,0),IFERROR(VLOOKUP($D34,$F:$M,8,0),"")),IFERROR(VLOOKUP($E34,INSUMOS!$B:$E,4,0),""))</f>
        <v/>
      </c>
      <c r="K34" s="528">
        <f>TRUNC(IF($E34="",IFERROR(VLOOKUP($D34,SERVIÇOS!$C:$H,4,0),IFERROR(VLOOKUP($D34,$F:$M,6,0),)),IFERROR(VLOOKUP($E34,INSUMOS!$B:$E,4,0),))*$I34,2)</f>
        <v>0</v>
      </c>
      <c r="L34" s="528">
        <f>TRUNC(IF($E34="",IFERROR(VLOOKUP($D34,SERVIÇOS!$C:$H,5,0),IFERROR(VLOOKUP($D34,$F:$M,7,0),)),0)*$I34,2)</f>
        <v>0</v>
      </c>
      <c r="M34" s="528">
        <f t="shared" si="0"/>
        <v>0</v>
      </c>
      <c r="N34" s="526"/>
    </row>
    <row r="35" spans="3:14">
      <c r="C35" s="526" t="str">
        <f t="shared" si="1"/>
        <v/>
      </c>
      <c r="D35" s="531"/>
      <c r="E35" s="531"/>
      <c r="F35" s="526"/>
      <c r="G35" s="532" t="str">
        <f>IF($E35="",IFERROR(VLOOKUP($D35,SERVIÇOS!$C:$H,2,0),IFERROR(VLOOKUP($D35,$F:$M,2,0),"")),IFERROR(VLOOKUP($E35,INSUMOS!$B:$E,2,0),""))</f>
        <v/>
      </c>
      <c r="H35" s="526" t="str">
        <f>IF($E35="",IFERROR(VLOOKUP($D35,SERVIÇOS!$C:$H,3,0),IFERROR(VLOOKUP($D35,$F:$M,3,0),"")),IFERROR(VLOOKUP($E35,INSUMOS!$B:$E,3,0),""))</f>
        <v/>
      </c>
      <c r="I35" s="527"/>
      <c r="J35" s="528" t="str">
        <f>IF($E35="",IFERROR(VLOOKUP($D35,SERVIÇOS!$C:$H,6,0),IFERROR(VLOOKUP($D35,$F:$M,8,0),"")),IFERROR(VLOOKUP($E35,INSUMOS!$B:$E,4,0),""))</f>
        <v/>
      </c>
      <c r="K35" s="528">
        <f>TRUNC(IF($E35="",IFERROR(VLOOKUP($D35,SERVIÇOS!$C:$H,4,0),IFERROR(VLOOKUP($D35,$F:$M,6,0),)),IFERROR(VLOOKUP($E35,INSUMOS!$B:$E,4,0),))*$I35,2)</f>
        <v>0</v>
      </c>
      <c r="L35" s="528">
        <f>TRUNC(IF($E35="",IFERROR(VLOOKUP($D35,SERVIÇOS!$C:$H,5,0),IFERROR(VLOOKUP($D35,$F:$M,7,0),)),0)*$I35,2)</f>
        <v>0</v>
      </c>
      <c r="M35" s="528">
        <f t="shared" si="0"/>
        <v>0</v>
      </c>
      <c r="N35" s="526"/>
    </row>
    <row r="36" spans="3:14">
      <c r="C36" s="526" t="str">
        <f t="shared" si="1"/>
        <v/>
      </c>
      <c r="D36" s="531"/>
      <c r="E36" s="531"/>
      <c r="F36" s="526"/>
      <c r="G36" s="532" t="str">
        <f>IF($E36="",IFERROR(VLOOKUP($D36,SERVIÇOS!$C:$H,2,0),IFERROR(VLOOKUP($D36,$F:$M,2,0),"")),IFERROR(VLOOKUP($E36,INSUMOS!$B:$E,2,0),""))</f>
        <v/>
      </c>
      <c r="H36" s="526" t="str">
        <f>IF($E36="",IFERROR(VLOOKUP($D36,SERVIÇOS!$C:$H,3,0),IFERROR(VLOOKUP($D36,$F:$M,3,0),"")),IFERROR(VLOOKUP($E36,INSUMOS!$B:$E,3,0),""))</f>
        <v/>
      </c>
      <c r="I36" s="527"/>
      <c r="J36" s="528" t="str">
        <f>IF($E36="",IFERROR(VLOOKUP($D36,SERVIÇOS!$C:$H,6,0),IFERROR(VLOOKUP($D36,$F:$M,8,0),"")),IFERROR(VLOOKUP($E36,INSUMOS!$B:$E,4,0),""))</f>
        <v/>
      </c>
      <c r="K36" s="528">
        <f>TRUNC(IF($E36="",IFERROR(VLOOKUP($D36,SERVIÇOS!$C:$H,4,0),IFERROR(VLOOKUP($D36,$F:$M,6,0),)),IFERROR(VLOOKUP($E36,INSUMOS!$B:$E,4,0),))*$I36,2)</f>
        <v>0</v>
      </c>
      <c r="L36" s="528">
        <f>TRUNC(IF($E36="",IFERROR(VLOOKUP($D36,SERVIÇOS!$C:$H,5,0),IFERROR(VLOOKUP($D36,$F:$M,7,0),)),0)*$I36,2)</f>
        <v>0</v>
      </c>
      <c r="M36" s="528">
        <f t="shared" si="0"/>
        <v>0</v>
      </c>
      <c r="N36" s="526"/>
    </row>
    <row r="37" spans="3:14">
      <c r="C37" s="526" t="str">
        <f t="shared" si="1"/>
        <v/>
      </c>
      <c r="D37" s="531"/>
      <c r="E37" s="531"/>
      <c r="F37" s="526"/>
      <c r="G37" s="532" t="str">
        <f>IF($E37="",IFERROR(VLOOKUP($D37,SERVIÇOS!$C:$H,2,0),IFERROR(VLOOKUP($D37,$F:$M,2,0),"")),IFERROR(VLOOKUP($E37,INSUMOS!$B:$E,2,0),""))</f>
        <v/>
      </c>
      <c r="H37" s="526" t="str">
        <f>IF($E37="",IFERROR(VLOOKUP($D37,SERVIÇOS!$C:$H,3,0),IFERROR(VLOOKUP($D37,$F:$M,3,0),"")),IFERROR(VLOOKUP($E37,INSUMOS!$B:$E,3,0),""))</f>
        <v/>
      </c>
      <c r="I37" s="527"/>
      <c r="J37" s="528" t="str">
        <f>IF($E37="",IFERROR(VLOOKUP($D37,SERVIÇOS!$C:$H,6,0),IFERROR(VLOOKUP($D37,$F:$M,8,0),"")),IFERROR(VLOOKUP($E37,INSUMOS!$B:$E,4,0),""))</f>
        <v/>
      </c>
      <c r="K37" s="528">
        <f>TRUNC(IF($E37="",IFERROR(VLOOKUP($D37,SERVIÇOS!$C:$H,4,0),IFERROR(VLOOKUP($D37,$F:$M,6,0),)),IFERROR(VLOOKUP($E37,INSUMOS!$B:$E,4,0),))*$I37,2)</f>
        <v>0</v>
      </c>
      <c r="L37" s="528">
        <f>TRUNC(IF($E37="",IFERROR(VLOOKUP($D37,SERVIÇOS!$C:$H,5,0),IFERROR(VLOOKUP($D37,$F:$M,7,0),)),0)*$I37,2)</f>
        <v>0</v>
      </c>
      <c r="M37" s="528">
        <f t="shared" si="0"/>
        <v>0</v>
      </c>
      <c r="N37" s="526"/>
    </row>
    <row r="38" spans="3:14">
      <c r="C38" s="526" t="str">
        <f t="shared" si="1"/>
        <v/>
      </c>
      <c r="D38" s="531"/>
      <c r="E38" s="531"/>
      <c r="F38" s="526"/>
      <c r="G38" s="532" t="str">
        <f>IF($E38="",IFERROR(VLOOKUP($D38,SERVIÇOS!$C:$H,2,0),IFERROR(VLOOKUP($D38,$F:$M,2,0),"")),IFERROR(VLOOKUP($E38,INSUMOS!$B:$E,2,0),""))</f>
        <v/>
      </c>
      <c r="H38" s="526" t="str">
        <f>IF($E38="",IFERROR(VLOOKUP($D38,SERVIÇOS!$C:$H,3,0),IFERROR(VLOOKUP($D38,$F:$M,3,0),"")),IFERROR(VLOOKUP($E38,INSUMOS!$B:$E,3,0),""))</f>
        <v/>
      </c>
      <c r="I38" s="527"/>
      <c r="J38" s="528" t="str">
        <f>IF($E38="",IFERROR(VLOOKUP($D38,SERVIÇOS!$C:$H,6,0),IFERROR(VLOOKUP($D38,$F:$M,8,0),"")),IFERROR(VLOOKUP($E38,INSUMOS!$B:$E,4,0),""))</f>
        <v/>
      </c>
      <c r="K38" s="528">
        <f>TRUNC(IF($E38="",IFERROR(VLOOKUP($D38,SERVIÇOS!$C:$H,4,0),IFERROR(VLOOKUP($D38,$F:$M,6,0),)),IFERROR(VLOOKUP($E38,INSUMOS!$B:$E,4,0),))*$I38,2)</f>
        <v>0</v>
      </c>
      <c r="L38" s="528">
        <f>TRUNC(IF($E38="",IFERROR(VLOOKUP($D38,SERVIÇOS!$C:$H,5,0),IFERROR(VLOOKUP($D38,$F:$M,7,0),)),0)*$I38,2)</f>
        <v>0</v>
      </c>
      <c r="M38" s="528">
        <f t="shared" si="0"/>
        <v>0</v>
      </c>
      <c r="N38" s="526"/>
    </row>
    <row r="39" spans="3:14">
      <c r="C39" s="526" t="str">
        <f t="shared" si="1"/>
        <v/>
      </c>
      <c r="D39" s="531"/>
      <c r="E39" s="531"/>
      <c r="F39" s="526"/>
      <c r="G39" s="532" t="str">
        <f>IF($E39="",IFERROR(VLOOKUP($D39,SERVIÇOS!$C:$H,2,0),IFERROR(VLOOKUP($D39,$F:$M,2,0),"")),IFERROR(VLOOKUP($E39,INSUMOS!$B:$E,2,0),""))</f>
        <v/>
      </c>
      <c r="H39" s="526" t="str">
        <f>IF($E39="",IFERROR(VLOOKUP($D39,SERVIÇOS!$C:$H,3,0),IFERROR(VLOOKUP($D39,$F:$M,3,0),"")),IFERROR(VLOOKUP($E39,INSUMOS!$B:$E,3,0),""))</f>
        <v/>
      </c>
      <c r="I39" s="527"/>
      <c r="J39" s="528" t="str">
        <f>IF($E39="",IFERROR(VLOOKUP($D39,SERVIÇOS!$C:$H,6,0),IFERROR(VLOOKUP($D39,$F:$M,8,0),"")),IFERROR(VLOOKUP($E39,INSUMOS!$B:$E,4,0),""))</f>
        <v/>
      </c>
      <c r="K39" s="528">
        <f>TRUNC(IF($E39="",IFERROR(VLOOKUP($D39,SERVIÇOS!$C:$H,4,0),IFERROR(VLOOKUP($D39,$F:$M,6,0),)),IFERROR(VLOOKUP($E39,INSUMOS!$B:$E,4,0),))*$I39,2)</f>
        <v>0</v>
      </c>
      <c r="L39" s="528">
        <f>TRUNC(IF($E39="",IFERROR(VLOOKUP($D39,SERVIÇOS!$C:$H,5,0),IFERROR(VLOOKUP($D39,$F:$M,7,0),)),0)*$I39,2)</f>
        <v>0</v>
      </c>
      <c r="M39" s="528">
        <f t="shared" si="0"/>
        <v>0</v>
      </c>
      <c r="N39" s="526"/>
    </row>
    <row r="40" spans="3:14">
      <c r="C40" s="526" t="str">
        <f t="shared" si="1"/>
        <v/>
      </c>
      <c r="D40" s="531"/>
      <c r="E40" s="531"/>
      <c r="F40" s="526"/>
      <c r="G40" s="532" t="str">
        <f>IF($E40="",IFERROR(VLOOKUP($D40,SERVIÇOS!$C:$H,2,0),IFERROR(VLOOKUP($D40,$F:$M,2,0),"")),IFERROR(VLOOKUP($E40,INSUMOS!$B:$E,2,0),""))</f>
        <v/>
      </c>
      <c r="H40" s="526" t="str">
        <f>IF($E40="",IFERROR(VLOOKUP($D40,SERVIÇOS!$C:$H,3,0),IFERROR(VLOOKUP($D40,$F:$M,3,0),"")),IFERROR(VLOOKUP($E40,INSUMOS!$B:$E,3,0),""))</f>
        <v/>
      </c>
      <c r="I40" s="527"/>
      <c r="J40" s="528" t="str">
        <f>IF($E40="",IFERROR(VLOOKUP($D40,SERVIÇOS!$C:$H,6,0),IFERROR(VLOOKUP($D40,$F:$M,8,0),"")),IFERROR(VLOOKUP($E40,INSUMOS!$B:$E,4,0),""))</f>
        <v/>
      </c>
      <c r="K40" s="528">
        <f>TRUNC(IF($E40="",IFERROR(VLOOKUP($D40,SERVIÇOS!$C:$H,4,0),IFERROR(VLOOKUP($D40,$F:$M,6,0),)),IFERROR(VLOOKUP($E40,INSUMOS!$B:$E,4,0),))*$I40,2)</f>
        <v>0</v>
      </c>
      <c r="L40" s="528">
        <f>TRUNC(IF($E40="",IFERROR(VLOOKUP($D40,SERVIÇOS!$C:$H,5,0),IFERROR(VLOOKUP($D40,$F:$M,7,0),)),0)*$I40,2)</f>
        <v>0</v>
      </c>
      <c r="M40" s="528">
        <f t="shared" si="0"/>
        <v>0</v>
      </c>
      <c r="N40" s="526"/>
    </row>
    <row r="41" spans="3:14">
      <c r="C41" s="526" t="str">
        <f t="shared" si="1"/>
        <v/>
      </c>
      <c r="D41" s="531"/>
      <c r="E41" s="531"/>
      <c r="F41" s="526"/>
      <c r="G41" s="532" t="str">
        <f>IF($E41="",IFERROR(VLOOKUP($D41,SERVIÇOS!$C:$H,2,0),IFERROR(VLOOKUP($D41,$F:$M,2,0),"")),IFERROR(VLOOKUP($E41,INSUMOS!$B:$E,2,0),""))</f>
        <v/>
      </c>
      <c r="H41" s="526" t="str">
        <f>IF($E41="",IFERROR(VLOOKUP($D41,SERVIÇOS!$C:$H,3,0),IFERROR(VLOOKUP($D41,$F:$M,3,0),"")),IFERROR(VLOOKUP($E41,INSUMOS!$B:$E,3,0),""))</f>
        <v/>
      </c>
      <c r="I41" s="527"/>
      <c r="J41" s="528" t="str">
        <f>IF($E41="",IFERROR(VLOOKUP($D41,SERVIÇOS!$C:$H,6,0),IFERROR(VLOOKUP($D41,$F:$M,8,0),"")),IFERROR(VLOOKUP($E41,INSUMOS!$B:$E,4,0),""))</f>
        <v/>
      </c>
      <c r="K41" s="528">
        <f>TRUNC(IF($E41="",IFERROR(VLOOKUP($D41,SERVIÇOS!$C:$H,4,0),IFERROR(VLOOKUP($D41,$F:$M,6,0),)),IFERROR(VLOOKUP($E41,INSUMOS!$B:$E,4,0),))*$I41,2)</f>
        <v>0</v>
      </c>
      <c r="L41" s="528">
        <f>TRUNC(IF($E41="",IFERROR(VLOOKUP($D41,SERVIÇOS!$C:$H,5,0),IFERROR(VLOOKUP($D41,$F:$M,7,0),)),0)*$I41,2)</f>
        <v>0</v>
      </c>
      <c r="M41" s="528">
        <f t="shared" si="0"/>
        <v>0</v>
      </c>
      <c r="N41" s="526"/>
    </row>
    <row r="42" spans="3:14">
      <c r="C42" s="526" t="str">
        <f t="shared" si="1"/>
        <v/>
      </c>
      <c r="D42" s="531"/>
      <c r="E42" s="531"/>
      <c r="F42" s="526"/>
      <c r="G42" s="532" t="str">
        <f>IF($E42="",IFERROR(VLOOKUP($D42,SERVIÇOS!$C:$H,2,0),IFERROR(VLOOKUP($D42,$F:$M,2,0),"")),IFERROR(VLOOKUP($E42,INSUMOS!$B:$E,2,0),""))</f>
        <v/>
      </c>
      <c r="H42" s="526" t="str">
        <f>IF($E42="",IFERROR(VLOOKUP($D42,SERVIÇOS!$C:$H,3,0),IFERROR(VLOOKUP($D42,$F:$M,3,0),"")),IFERROR(VLOOKUP($E42,INSUMOS!$B:$E,3,0),""))</f>
        <v/>
      </c>
      <c r="I42" s="527"/>
      <c r="J42" s="528" t="str">
        <f>IF($E42="",IFERROR(VLOOKUP($D42,SERVIÇOS!$C:$H,6,0),IFERROR(VLOOKUP($D42,$F:$M,8,0),"")),IFERROR(VLOOKUP($E42,INSUMOS!$B:$E,4,0),""))</f>
        <v/>
      </c>
      <c r="K42" s="528">
        <f>TRUNC(IF($E42="",IFERROR(VLOOKUP($D42,SERVIÇOS!$C:$H,4,0),IFERROR(VLOOKUP($D42,$F:$M,6,0),)),IFERROR(VLOOKUP($E42,INSUMOS!$B:$E,4,0),))*$I42,2)</f>
        <v>0</v>
      </c>
      <c r="L42" s="528">
        <f>TRUNC(IF($E42="",IFERROR(VLOOKUP($D42,SERVIÇOS!$C:$H,5,0),IFERROR(VLOOKUP($D42,$F:$M,7,0),)),0)*$I42,2)</f>
        <v>0</v>
      </c>
      <c r="M42" s="528">
        <f t="shared" si="0"/>
        <v>0</v>
      </c>
      <c r="N42" s="526"/>
    </row>
    <row r="43" spans="3:14">
      <c r="C43" s="526" t="str">
        <f t="shared" si="1"/>
        <v/>
      </c>
      <c r="D43" s="531"/>
      <c r="E43" s="531"/>
      <c r="F43" s="526"/>
      <c r="G43" s="532" t="str">
        <f>IF($E43="",IFERROR(VLOOKUP($D43,SERVIÇOS!$C:$H,2,0),IFERROR(VLOOKUP($D43,$F:$M,2,0),"")),IFERROR(VLOOKUP($E43,INSUMOS!$B:$E,2,0),""))</f>
        <v/>
      </c>
      <c r="H43" s="526" t="str">
        <f>IF($E43="",IFERROR(VLOOKUP($D43,SERVIÇOS!$C:$H,3,0),IFERROR(VLOOKUP($D43,$F:$M,3,0),"")),IFERROR(VLOOKUP($E43,INSUMOS!$B:$E,3,0),""))</f>
        <v/>
      </c>
      <c r="I43" s="527"/>
      <c r="J43" s="528" t="str">
        <f>IF($E43="",IFERROR(VLOOKUP($D43,SERVIÇOS!$C:$H,6,0),IFERROR(VLOOKUP($D43,$F:$M,8,0),"")),IFERROR(VLOOKUP($E43,INSUMOS!$B:$E,4,0),""))</f>
        <v/>
      </c>
      <c r="K43" s="528">
        <f>TRUNC(IF($E43="",IFERROR(VLOOKUP($D43,SERVIÇOS!$C:$H,4,0),IFERROR(VLOOKUP($D43,$F:$M,6,0),)),IFERROR(VLOOKUP($E43,INSUMOS!$B:$E,4,0),))*$I43,2)</f>
        <v>0</v>
      </c>
      <c r="L43" s="528">
        <f>TRUNC(IF($E43="",IFERROR(VLOOKUP($D43,SERVIÇOS!$C:$H,5,0),IFERROR(VLOOKUP($D43,$F:$M,7,0),)),0)*$I43,2)</f>
        <v>0</v>
      </c>
      <c r="M43" s="528">
        <f t="shared" si="0"/>
        <v>0</v>
      </c>
      <c r="N43" s="526"/>
    </row>
    <row r="44" spans="3:14">
      <c r="C44" s="526" t="str">
        <f t="shared" si="1"/>
        <v/>
      </c>
      <c r="D44" s="531"/>
      <c r="E44" s="531"/>
      <c r="F44" s="526"/>
      <c r="G44" s="532" t="str">
        <f>IF($E44="",IFERROR(VLOOKUP($D44,SERVIÇOS!$C:$H,2,0),IFERROR(VLOOKUP($D44,$F:$M,2,0),"")),IFERROR(VLOOKUP($E44,INSUMOS!$B:$E,2,0),""))</f>
        <v/>
      </c>
      <c r="H44" s="526" t="str">
        <f>IF($E44="",IFERROR(VLOOKUP($D44,SERVIÇOS!$C:$H,3,0),IFERROR(VLOOKUP($D44,$F:$M,3,0),"")),IFERROR(VLOOKUP($E44,INSUMOS!$B:$E,3,0),""))</f>
        <v/>
      </c>
      <c r="I44" s="527"/>
      <c r="J44" s="528" t="str">
        <f>IF($E44="",IFERROR(VLOOKUP($D44,SERVIÇOS!$C:$H,6,0),IFERROR(VLOOKUP($D44,$F:$M,8,0),"")),IFERROR(VLOOKUP($E44,INSUMOS!$B:$E,4,0),""))</f>
        <v/>
      </c>
      <c r="K44" s="528">
        <f>TRUNC(IF($E44="",IFERROR(VLOOKUP($D44,SERVIÇOS!$C:$H,4,0),IFERROR(VLOOKUP($D44,$F:$M,6,0),)),IFERROR(VLOOKUP($E44,INSUMOS!$B:$E,4,0),))*$I44,2)</f>
        <v>0</v>
      </c>
      <c r="L44" s="528">
        <f>TRUNC(IF($E44="",IFERROR(VLOOKUP($D44,SERVIÇOS!$C:$H,5,0),IFERROR(VLOOKUP($D44,$F:$M,7,0),)),0)*$I44,2)</f>
        <v>0</v>
      </c>
      <c r="M44" s="528">
        <f t="shared" si="0"/>
        <v>0</v>
      </c>
      <c r="N44" s="526"/>
    </row>
    <row r="45" spans="3:14">
      <c r="C45" s="526" t="str">
        <f t="shared" si="1"/>
        <v/>
      </c>
      <c r="D45" s="531"/>
      <c r="E45" s="531"/>
      <c r="F45" s="526"/>
      <c r="G45" s="532" t="str">
        <f>IF($E45="",IFERROR(VLOOKUP($D45,SERVIÇOS!$C:$H,2,0),IFERROR(VLOOKUP($D45,$F:$M,2,0),"")),IFERROR(VLOOKUP($E45,INSUMOS!$B:$E,2,0),""))</f>
        <v/>
      </c>
      <c r="H45" s="526" t="str">
        <f>IF($E45="",IFERROR(VLOOKUP($D45,SERVIÇOS!$C:$H,3,0),IFERROR(VLOOKUP($D45,$F:$M,3,0),"")),IFERROR(VLOOKUP($E45,INSUMOS!$B:$E,3,0),""))</f>
        <v/>
      </c>
      <c r="I45" s="527"/>
      <c r="J45" s="528" t="str">
        <f>IF($E45="",IFERROR(VLOOKUP($D45,SERVIÇOS!$C:$H,6,0),IFERROR(VLOOKUP($D45,$F:$M,8,0),"")),IFERROR(VLOOKUP($E45,INSUMOS!$B:$E,4,0),""))</f>
        <v/>
      </c>
      <c r="K45" s="528">
        <f>TRUNC(IF($E45="",IFERROR(VLOOKUP($D45,SERVIÇOS!$C:$H,4,0),IFERROR(VLOOKUP($D45,$F:$M,6,0),)),IFERROR(VLOOKUP($E45,INSUMOS!$B:$E,4,0),))*$I45,2)</f>
        <v>0</v>
      </c>
      <c r="L45" s="528">
        <f>TRUNC(IF($E45="",IFERROR(VLOOKUP($D45,SERVIÇOS!$C:$H,5,0),IFERROR(VLOOKUP($D45,$F:$M,7,0),)),0)*$I45,2)</f>
        <v>0</v>
      </c>
      <c r="M45" s="528">
        <f t="shared" si="0"/>
        <v>0</v>
      </c>
      <c r="N45" s="526"/>
    </row>
    <row r="46" spans="3:14">
      <c r="C46" s="526" t="str">
        <f t="shared" si="1"/>
        <v/>
      </c>
      <c r="D46" s="531"/>
      <c r="E46" s="531"/>
      <c r="F46" s="526"/>
      <c r="G46" s="532" t="str">
        <f>IF($E46="",IFERROR(VLOOKUP($D46,SERVIÇOS!$C:$H,2,0),IFERROR(VLOOKUP($D46,$F:$M,2,0),"")),IFERROR(VLOOKUP($E46,INSUMOS!$B:$E,2,0),""))</f>
        <v/>
      </c>
      <c r="H46" s="526" t="str">
        <f>IF($E46="",IFERROR(VLOOKUP($D46,SERVIÇOS!$C:$H,3,0),IFERROR(VLOOKUP($D46,$F:$M,3,0),"")),IFERROR(VLOOKUP($E46,INSUMOS!$B:$E,3,0),""))</f>
        <v/>
      </c>
      <c r="I46" s="527"/>
      <c r="J46" s="528" t="str">
        <f>IF($E46="",IFERROR(VLOOKUP($D46,SERVIÇOS!$C:$H,6,0),IFERROR(VLOOKUP($D46,$F:$M,8,0),"")),IFERROR(VLOOKUP($E46,INSUMOS!$B:$E,4,0),""))</f>
        <v/>
      </c>
      <c r="K46" s="528">
        <f>TRUNC(IF($E46="",IFERROR(VLOOKUP($D46,SERVIÇOS!$C:$H,4,0),IFERROR(VLOOKUP($D46,$F:$M,6,0),)),IFERROR(VLOOKUP($E46,INSUMOS!$B:$E,4,0),))*$I46,2)</f>
        <v>0</v>
      </c>
      <c r="L46" s="528">
        <f>TRUNC(IF($E46="",IFERROR(VLOOKUP($D46,SERVIÇOS!$C:$H,5,0),IFERROR(VLOOKUP($D46,$F:$M,7,0),)),0)*$I46,2)</f>
        <v>0</v>
      </c>
      <c r="M46" s="528">
        <f t="shared" si="0"/>
        <v>0</v>
      </c>
      <c r="N46" s="526"/>
    </row>
    <row r="47" spans="3:14">
      <c r="C47" s="526" t="str">
        <f t="shared" si="1"/>
        <v/>
      </c>
      <c r="D47" s="531"/>
      <c r="E47" s="531"/>
      <c r="F47" s="526"/>
      <c r="G47" s="532" t="str">
        <f>IF($E47="",IFERROR(VLOOKUP($D47,SERVIÇOS!$C:$H,2,0),IFERROR(VLOOKUP($D47,$F:$M,2,0),"")),IFERROR(VLOOKUP($E47,INSUMOS!$B:$E,2,0),""))</f>
        <v/>
      </c>
      <c r="H47" s="526" t="str">
        <f>IF($E47="",IFERROR(VLOOKUP($D47,SERVIÇOS!$C:$H,3,0),IFERROR(VLOOKUP($D47,$F:$M,3,0),"")),IFERROR(VLOOKUP($E47,INSUMOS!$B:$E,3,0),""))</f>
        <v/>
      </c>
      <c r="I47" s="527"/>
      <c r="J47" s="528" t="str">
        <f>IF($E47="",IFERROR(VLOOKUP($D47,SERVIÇOS!$C:$H,6,0),IFERROR(VLOOKUP($D47,$F:$M,8,0),"")),IFERROR(VLOOKUP($E47,INSUMOS!$B:$E,4,0),""))</f>
        <v/>
      </c>
      <c r="K47" s="528">
        <f>TRUNC(IF($E47="",IFERROR(VLOOKUP($D47,SERVIÇOS!$C:$H,4,0),IFERROR(VLOOKUP($D47,$F:$M,6,0),)),IFERROR(VLOOKUP($E47,INSUMOS!$B:$E,4,0),))*$I47,2)</f>
        <v>0</v>
      </c>
      <c r="L47" s="528">
        <f>TRUNC(IF($E47="",IFERROR(VLOOKUP($D47,SERVIÇOS!$C:$H,5,0),IFERROR(VLOOKUP($D47,$F:$M,7,0),)),0)*$I47,2)</f>
        <v>0</v>
      </c>
      <c r="M47" s="528">
        <f t="shared" si="0"/>
        <v>0</v>
      </c>
      <c r="N47" s="526"/>
    </row>
    <row r="48" spans="3:14">
      <c r="C48" s="526" t="str">
        <f t="shared" si="1"/>
        <v/>
      </c>
      <c r="D48" s="531"/>
      <c r="E48" s="531"/>
      <c r="F48" s="526"/>
      <c r="G48" s="532" t="str">
        <f>IF($E48="",IFERROR(VLOOKUP($D48,SERVIÇOS!$C:$H,2,0),IFERROR(VLOOKUP($D48,$F:$M,2,0),"")),IFERROR(VLOOKUP($E48,INSUMOS!$B:$E,2,0),""))</f>
        <v/>
      </c>
      <c r="H48" s="526" t="str">
        <f>IF($E48="",IFERROR(VLOOKUP($D48,SERVIÇOS!$C:$H,3,0),IFERROR(VLOOKUP($D48,$F:$M,3,0),"")),IFERROR(VLOOKUP($E48,INSUMOS!$B:$E,3,0),""))</f>
        <v/>
      </c>
      <c r="I48" s="527"/>
      <c r="J48" s="528" t="str">
        <f>IF($E48="",IFERROR(VLOOKUP($D48,SERVIÇOS!$C:$H,6,0),IFERROR(VLOOKUP($D48,$F:$M,8,0),"")),IFERROR(VLOOKUP($E48,INSUMOS!$B:$E,4,0),""))</f>
        <v/>
      </c>
      <c r="K48" s="528">
        <f>TRUNC(IF($E48="",IFERROR(VLOOKUP($D48,SERVIÇOS!$C:$H,4,0),IFERROR(VLOOKUP($D48,$F:$M,6,0),)),IFERROR(VLOOKUP($E48,INSUMOS!$B:$E,4,0),))*$I48,2)</f>
        <v>0</v>
      </c>
      <c r="L48" s="528">
        <f>TRUNC(IF($E48="",IFERROR(VLOOKUP($D48,SERVIÇOS!$C:$H,5,0),IFERROR(VLOOKUP($D48,$F:$M,7,0),)),0)*$I48,2)</f>
        <v>0</v>
      </c>
      <c r="M48" s="528">
        <f t="shared" si="0"/>
        <v>0</v>
      </c>
      <c r="N48" s="526"/>
    </row>
    <row r="49" spans="3:14">
      <c r="C49" s="526" t="str">
        <f t="shared" si="1"/>
        <v/>
      </c>
      <c r="D49" s="531"/>
      <c r="E49" s="531"/>
      <c r="F49" s="526"/>
      <c r="G49" s="532" t="str">
        <f>IF($E49="",IFERROR(VLOOKUP($D49,SERVIÇOS!$C:$H,2,0),IFERROR(VLOOKUP($D49,$F:$M,2,0),"")),IFERROR(VLOOKUP($E49,INSUMOS!$B:$E,2,0),""))</f>
        <v/>
      </c>
      <c r="H49" s="526" t="str">
        <f>IF($E49="",IFERROR(VLOOKUP($D49,SERVIÇOS!$C:$H,3,0),IFERROR(VLOOKUP($D49,$F:$M,3,0),"")),IFERROR(VLOOKUP($E49,INSUMOS!$B:$E,3,0),""))</f>
        <v/>
      </c>
      <c r="I49" s="527"/>
      <c r="J49" s="528" t="str">
        <f>IF($E49="",IFERROR(VLOOKUP($D49,SERVIÇOS!$C:$H,6,0),IFERROR(VLOOKUP($D49,$F:$M,8,0),"")),IFERROR(VLOOKUP($E49,INSUMOS!$B:$E,4,0),""))</f>
        <v/>
      </c>
      <c r="K49" s="528">
        <f>TRUNC(IF($E49="",IFERROR(VLOOKUP($D49,SERVIÇOS!$C:$H,4,0),IFERROR(VLOOKUP($D49,$F:$M,6,0),)),IFERROR(VLOOKUP($E49,INSUMOS!$B:$E,4,0),))*$I49,2)</f>
        <v>0</v>
      </c>
      <c r="L49" s="528">
        <f>TRUNC(IF($E49="",IFERROR(VLOOKUP($D49,SERVIÇOS!$C:$H,5,0),IFERROR(VLOOKUP($D49,$F:$M,7,0),)),0)*$I49,2)</f>
        <v>0</v>
      </c>
      <c r="M49" s="528">
        <f t="shared" si="0"/>
        <v>0</v>
      </c>
      <c r="N49" s="526"/>
    </row>
    <row r="50" spans="3:14">
      <c r="C50" s="526" t="str">
        <f t="shared" si="1"/>
        <v/>
      </c>
      <c r="D50" s="531"/>
      <c r="E50" s="531"/>
      <c r="F50" s="526"/>
      <c r="G50" s="532" t="str">
        <f>IF($E50="",IFERROR(VLOOKUP($D50,SERVIÇOS!$C:$H,2,0),IFERROR(VLOOKUP($D50,$F:$M,2,0),"")),IFERROR(VLOOKUP($E50,INSUMOS!$B:$E,2,0),""))</f>
        <v/>
      </c>
      <c r="H50" s="526" t="str">
        <f>IF($E50="",IFERROR(VLOOKUP($D50,SERVIÇOS!$C:$H,3,0),IFERROR(VLOOKUP($D50,$F:$M,3,0),"")),IFERROR(VLOOKUP($E50,INSUMOS!$B:$E,3,0),""))</f>
        <v/>
      </c>
      <c r="I50" s="527"/>
      <c r="J50" s="528" t="str">
        <f>IF($E50="",IFERROR(VLOOKUP($D50,SERVIÇOS!$C:$H,6,0),IFERROR(VLOOKUP($D50,$F:$M,8,0),"")),IFERROR(VLOOKUP($E50,INSUMOS!$B:$E,4,0),""))</f>
        <v/>
      </c>
      <c r="K50" s="528">
        <f>TRUNC(IF($E50="",IFERROR(VLOOKUP($D50,SERVIÇOS!$C:$H,4,0),IFERROR(VLOOKUP($D50,$F:$M,6,0),)),IFERROR(VLOOKUP($E50,INSUMOS!$B:$E,4,0),))*$I50,2)</f>
        <v>0</v>
      </c>
      <c r="L50" s="528">
        <f>TRUNC(IF($E50="",IFERROR(VLOOKUP($D50,SERVIÇOS!$C:$H,5,0),IFERROR(VLOOKUP($D50,$F:$M,7,0),)),0)*$I50,2)</f>
        <v>0</v>
      </c>
      <c r="M50" s="528">
        <f t="shared" si="0"/>
        <v>0</v>
      </c>
      <c r="N50" s="526"/>
    </row>
    <row r="51" spans="3:14">
      <c r="C51" s="526" t="str">
        <f t="shared" si="1"/>
        <v/>
      </c>
      <c r="D51" s="531"/>
      <c r="E51" s="531"/>
      <c r="F51" s="526"/>
      <c r="G51" s="532" t="str">
        <f>IF($E51="",IFERROR(VLOOKUP($D51,SERVIÇOS!$C:$H,2,0),IFERROR(VLOOKUP($D51,$F:$M,2,0),"")),IFERROR(VLOOKUP($E51,INSUMOS!$B:$E,2,0),""))</f>
        <v/>
      </c>
      <c r="H51" s="526" t="str">
        <f>IF($E51="",IFERROR(VLOOKUP($D51,SERVIÇOS!$C:$H,3,0),IFERROR(VLOOKUP($D51,$F:$M,3,0),"")),IFERROR(VLOOKUP($E51,INSUMOS!$B:$E,3,0),""))</f>
        <v/>
      </c>
      <c r="I51" s="527"/>
      <c r="J51" s="528" t="str">
        <f>IF($E51="",IFERROR(VLOOKUP($D51,SERVIÇOS!$C:$H,6,0),IFERROR(VLOOKUP($D51,$F:$M,8,0),"")),IFERROR(VLOOKUP($E51,INSUMOS!$B:$E,4,0),""))</f>
        <v/>
      </c>
      <c r="K51" s="528">
        <f>TRUNC(IF($E51="",IFERROR(VLOOKUP($D51,SERVIÇOS!$C:$H,4,0),IFERROR(VLOOKUP($D51,$F:$M,6,0),)),IFERROR(VLOOKUP($E51,INSUMOS!$B:$E,4,0),))*$I51,2)</f>
        <v>0</v>
      </c>
      <c r="L51" s="528">
        <f>TRUNC(IF($E51="",IFERROR(VLOOKUP($D51,SERVIÇOS!$C:$H,5,0),IFERROR(VLOOKUP($D51,$F:$M,7,0),)),0)*$I51,2)</f>
        <v>0</v>
      </c>
      <c r="M51" s="528">
        <f t="shared" si="0"/>
        <v>0</v>
      </c>
      <c r="N51" s="526"/>
    </row>
    <row r="52" spans="3:14">
      <c r="C52" s="526" t="str">
        <f t="shared" si="1"/>
        <v/>
      </c>
      <c r="D52" s="531"/>
      <c r="E52" s="531"/>
      <c r="F52" s="526"/>
      <c r="G52" s="532" t="str">
        <f>IF($E52="",IFERROR(VLOOKUP($D52,SERVIÇOS!$C:$H,2,0),IFERROR(VLOOKUP($D52,$F:$M,2,0),"")),IFERROR(VLOOKUP($E52,INSUMOS!$B:$E,2,0),""))</f>
        <v/>
      </c>
      <c r="H52" s="526" t="str">
        <f>IF($E52="",IFERROR(VLOOKUP($D52,SERVIÇOS!$C:$H,3,0),IFERROR(VLOOKUP($D52,$F:$M,3,0),"")),IFERROR(VLOOKUP($E52,INSUMOS!$B:$E,3,0),""))</f>
        <v/>
      </c>
      <c r="I52" s="527"/>
      <c r="J52" s="528" t="str">
        <f>IF($E52="",IFERROR(VLOOKUP($D52,SERVIÇOS!$C:$H,6,0),IFERROR(VLOOKUP($D52,$F:$M,8,0),"")),IFERROR(VLOOKUP($E52,INSUMOS!$B:$E,4,0),""))</f>
        <v/>
      </c>
      <c r="K52" s="528">
        <f>TRUNC(IF($E52="",IFERROR(VLOOKUP($D52,SERVIÇOS!$C:$H,4,0),IFERROR(VLOOKUP($D52,$F:$M,6,0),)),IFERROR(VLOOKUP($E52,INSUMOS!$B:$E,4,0),))*$I52,2)</f>
        <v>0</v>
      </c>
      <c r="L52" s="528">
        <f>TRUNC(IF($E52="",IFERROR(VLOOKUP($D52,SERVIÇOS!$C:$H,5,0),IFERROR(VLOOKUP($D52,$F:$M,7,0),)),0)*$I52,2)</f>
        <v>0</v>
      </c>
      <c r="M52" s="528">
        <f t="shared" si="0"/>
        <v>0</v>
      </c>
      <c r="N52" s="526"/>
    </row>
    <row r="53" spans="3:14">
      <c r="C53" s="526" t="str">
        <f t="shared" si="1"/>
        <v/>
      </c>
      <c r="D53" s="531"/>
      <c r="E53" s="531"/>
      <c r="F53" s="526"/>
      <c r="G53" s="532" t="str">
        <f>IF($E53="",IFERROR(VLOOKUP($D53,SERVIÇOS!$C:$H,2,0),IFERROR(VLOOKUP($D53,$F:$M,2,0),"")),IFERROR(VLOOKUP($E53,INSUMOS!$B:$E,2,0),""))</f>
        <v/>
      </c>
      <c r="H53" s="526" t="str">
        <f>IF($E53="",IFERROR(VLOOKUP($D53,SERVIÇOS!$C:$H,3,0),IFERROR(VLOOKUP($D53,$F:$M,3,0),"")),IFERROR(VLOOKUP($E53,INSUMOS!$B:$E,3,0),""))</f>
        <v/>
      </c>
      <c r="I53" s="527"/>
      <c r="J53" s="528" t="str">
        <f>IF($E53="",IFERROR(VLOOKUP($D53,SERVIÇOS!$C:$H,6,0),IFERROR(VLOOKUP($D53,$F:$M,8,0),"")),IFERROR(VLOOKUP($E53,INSUMOS!$B:$E,4,0),""))</f>
        <v/>
      </c>
      <c r="K53" s="528">
        <f>TRUNC(IF($E53="",IFERROR(VLOOKUP($D53,SERVIÇOS!$C:$H,4,0),IFERROR(VLOOKUP($D53,$F:$M,6,0),)),IFERROR(VLOOKUP($E53,INSUMOS!$B:$E,4,0),))*$I53,2)</f>
        <v>0</v>
      </c>
      <c r="L53" s="528">
        <f>TRUNC(IF($E53="",IFERROR(VLOOKUP($D53,SERVIÇOS!$C:$H,5,0),IFERROR(VLOOKUP($D53,$F:$M,7,0),)),0)*$I53,2)</f>
        <v>0</v>
      </c>
      <c r="M53" s="528">
        <f t="shared" si="0"/>
        <v>0</v>
      </c>
      <c r="N53" s="526"/>
    </row>
    <row r="54" spans="3:14">
      <c r="C54" s="526" t="str">
        <f t="shared" si="1"/>
        <v/>
      </c>
      <c r="D54" s="531"/>
      <c r="E54" s="531"/>
      <c r="F54" s="526"/>
      <c r="G54" s="532" t="str">
        <f>IF($E54="",IFERROR(VLOOKUP($D54,SERVIÇOS!$C:$H,2,0),IFERROR(VLOOKUP($D54,$F:$M,2,0),"")),IFERROR(VLOOKUP($E54,INSUMOS!$B:$E,2,0),""))</f>
        <v/>
      </c>
      <c r="H54" s="526" t="str">
        <f>IF($E54="",IFERROR(VLOOKUP($D54,SERVIÇOS!$C:$H,3,0),IFERROR(VLOOKUP($D54,$F:$M,3,0),"")),IFERROR(VLOOKUP($E54,INSUMOS!$B:$E,3,0),""))</f>
        <v/>
      </c>
      <c r="I54" s="527"/>
      <c r="J54" s="528" t="str">
        <f>IF($E54="",IFERROR(VLOOKUP($D54,SERVIÇOS!$C:$H,6,0),IFERROR(VLOOKUP($D54,$F:$M,8,0),"")),IFERROR(VLOOKUP($E54,INSUMOS!$B:$E,4,0),""))</f>
        <v/>
      </c>
      <c r="K54" s="528">
        <f>TRUNC(IF($E54="",IFERROR(VLOOKUP($D54,SERVIÇOS!$C:$H,4,0),IFERROR(VLOOKUP($D54,$F:$M,6,0),)),IFERROR(VLOOKUP($E54,INSUMOS!$B:$E,4,0),))*$I54,2)</f>
        <v>0</v>
      </c>
      <c r="L54" s="528">
        <f>TRUNC(IF($E54="",IFERROR(VLOOKUP($D54,SERVIÇOS!$C:$H,5,0),IFERROR(VLOOKUP($D54,$F:$M,7,0),)),0)*$I54,2)</f>
        <v>0</v>
      </c>
      <c r="M54" s="528">
        <f t="shared" si="0"/>
        <v>0</v>
      </c>
      <c r="N54" s="526"/>
    </row>
    <row r="55" spans="3:14">
      <c r="C55" s="526" t="str">
        <f t="shared" si="1"/>
        <v/>
      </c>
      <c r="D55" s="531"/>
      <c r="E55" s="531"/>
      <c r="F55" s="526"/>
      <c r="G55" s="532" t="str">
        <f>IF($E55="",IFERROR(VLOOKUP($D55,SERVIÇOS!$C:$H,2,0),IFERROR(VLOOKUP($D55,$F:$M,2,0),"")),IFERROR(VLOOKUP($E55,INSUMOS!$B:$E,2,0),""))</f>
        <v/>
      </c>
      <c r="H55" s="526" t="str">
        <f>IF($E55="",IFERROR(VLOOKUP($D55,SERVIÇOS!$C:$H,3,0),IFERROR(VLOOKUP($D55,$F:$M,3,0),"")),IFERROR(VLOOKUP($E55,INSUMOS!$B:$E,3,0),""))</f>
        <v/>
      </c>
      <c r="I55" s="527"/>
      <c r="J55" s="528" t="str">
        <f>IF($E55="",IFERROR(VLOOKUP($D55,SERVIÇOS!$C:$H,6,0),IFERROR(VLOOKUP($D55,$F:$M,8,0),"")),IFERROR(VLOOKUP($E55,INSUMOS!$B:$E,4,0),""))</f>
        <v/>
      </c>
      <c r="K55" s="528">
        <f>TRUNC(IF($E55="",IFERROR(VLOOKUP($D55,SERVIÇOS!$C:$H,4,0),IFERROR(VLOOKUP($D55,$F:$M,6,0),)),IFERROR(VLOOKUP($E55,INSUMOS!$B:$E,4,0),))*$I55,2)</f>
        <v>0</v>
      </c>
      <c r="L55" s="528">
        <f>TRUNC(IF($E55="",IFERROR(VLOOKUP($D55,SERVIÇOS!$C:$H,5,0),IFERROR(VLOOKUP($D55,$F:$M,7,0),)),0)*$I55,2)</f>
        <v>0</v>
      </c>
      <c r="M55" s="528">
        <f t="shared" si="0"/>
        <v>0</v>
      </c>
      <c r="N55" s="526"/>
    </row>
    <row r="56" spans="3:14">
      <c r="C56" s="526" t="str">
        <f t="shared" si="1"/>
        <v/>
      </c>
      <c r="D56" s="531"/>
      <c r="E56" s="531"/>
      <c r="F56" s="526"/>
      <c r="G56" s="532" t="str">
        <f>IF($E56="",IFERROR(VLOOKUP($D56,SERVIÇOS!$C:$H,2,0),IFERROR(VLOOKUP($D56,$F:$M,2,0),"")),IFERROR(VLOOKUP($E56,INSUMOS!$B:$E,2,0),""))</f>
        <v/>
      </c>
      <c r="H56" s="526" t="str">
        <f>IF($E56="",IFERROR(VLOOKUP($D56,SERVIÇOS!$C:$H,3,0),IFERROR(VLOOKUP($D56,$F:$M,3,0),"")),IFERROR(VLOOKUP($E56,INSUMOS!$B:$E,3,0),""))</f>
        <v/>
      </c>
      <c r="I56" s="527"/>
      <c r="J56" s="528" t="str">
        <f>IF($E56="",IFERROR(VLOOKUP($D56,SERVIÇOS!$C:$H,6,0),IFERROR(VLOOKUP($D56,$F:$M,8,0),"")),IFERROR(VLOOKUP($E56,INSUMOS!$B:$E,4,0),""))</f>
        <v/>
      </c>
      <c r="K56" s="528">
        <f>TRUNC(IF($E56="",IFERROR(VLOOKUP($D56,SERVIÇOS!$C:$H,4,0),IFERROR(VLOOKUP($D56,$F:$M,6,0),)),IFERROR(VLOOKUP($E56,INSUMOS!$B:$E,4,0),))*$I56,2)</f>
        <v>0</v>
      </c>
      <c r="L56" s="528">
        <f>TRUNC(IF($E56="",IFERROR(VLOOKUP($D56,SERVIÇOS!$C:$H,5,0),IFERROR(VLOOKUP($D56,$F:$M,7,0),)),0)*$I56,2)</f>
        <v>0</v>
      </c>
      <c r="M56" s="528">
        <f t="shared" si="0"/>
        <v>0</v>
      </c>
      <c r="N56" s="526"/>
    </row>
    <row r="57" spans="3:14">
      <c r="C57" s="526" t="str">
        <f t="shared" si="1"/>
        <v/>
      </c>
      <c r="D57" s="531"/>
      <c r="E57" s="531"/>
      <c r="F57" s="526"/>
      <c r="G57" s="532" t="str">
        <f>IF($E57="",IFERROR(VLOOKUP($D57,SERVIÇOS!$C:$H,2,0),IFERROR(VLOOKUP($D57,$F:$M,2,0),"")),IFERROR(VLOOKUP($E57,INSUMOS!$B:$E,2,0),""))</f>
        <v/>
      </c>
      <c r="H57" s="526" t="str">
        <f>IF($E57="",IFERROR(VLOOKUP($D57,SERVIÇOS!$C:$H,3,0),IFERROR(VLOOKUP($D57,$F:$M,3,0),"")),IFERROR(VLOOKUP($E57,INSUMOS!$B:$E,3,0),""))</f>
        <v/>
      </c>
      <c r="I57" s="527"/>
      <c r="J57" s="528" t="str">
        <f>IF($E57="",IFERROR(VLOOKUP($D57,SERVIÇOS!$C:$H,6,0),IFERROR(VLOOKUP($D57,$F:$M,8,0),"")),IFERROR(VLOOKUP($E57,INSUMOS!$B:$E,4,0),""))</f>
        <v/>
      </c>
      <c r="K57" s="528">
        <f>TRUNC(IF($E57="",IFERROR(VLOOKUP($D57,SERVIÇOS!$C:$H,4,0),IFERROR(VLOOKUP($D57,$F:$M,6,0),)),IFERROR(VLOOKUP($E57,INSUMOS!$B:$E,4,0),))*$I57,2)</f>
        <v>0</v>
      </c>
      <c r="L57" s="528">
        <f>TRUNC(IF($E57="",IFERROR(VLOOKUP($D57,SERVIÇOS!$C:$H,5,0),IFERROR(VLOOKUP($D57,$F:$M,7,0),)),0)*$I57,2)</f>
        <v>0</v>
      </c>
      <c r="M57" s="528">
        <f t="shared" si="0"/>
        <v>0</v>
      </c>
      <c r="N57" s="526"/>
    </row>
    <row r="58" spans="3:14">
      <c r="C58" s="526" t="str">
        <f t="shared" si="1"/>
        <v/>
      </c>
      <c r="D58" s="531"/>
      <c r="E58" s="531"/>
      <c r="F58" s="526"/>
      <c r="G58" s="532" t="str">
        <f>IF($E58="",IFERROR(VLOOKUP($D58,SERVIÇOS!$C:$H,2,0),IFERROR(VLOOKUP($D58,$F:$M,2,0),"")),IFERROR(VLOOKUP($E58,INSUMOS!$B:$E,2,0),""))</f>
        <v/>
      </c>
      <c r="H58" s="526" t="str">
        <f>IF($E58="",IFERROR(VLOOKUP($D58,SERVIÇOS!$C:$H,3,0),IFERROR(VLOOKUP($D58,$F:$M,3,0),"")),IFERROR(VLOOKUP($E58,INSUMOS!$B:$E,3,0),""))</f>
        <v/>
      </c>
      <c r="I58" s="527"/>
      <c r="J58" s="528" t="str">
        <f>IF($E58="",IFERROR(VLOOKUP($D58,SERVIÇOS!$C:$H,6,0),IFERROR(VLOOKUP($D58,$F:$M,8,0),"")),IFERROR(VLOOKUP($E58,INSUMOS!$B:$E,4,0),""))</f>
        <v/>
      </c>
      <c r="K58" s="528">
        <f>TRUNC(IF($E58="",IFERROR(VLOOKUP($D58,SERVIÇOS!$C:$H,4,0),IFERROR(VLOOKUP($D58,$F:$M,6,0),)),IFERROR(VLOOKUP($E58,INSUMOS!$B:$E,4,0),))*$I58,2)</f>
        <v>0</v>
      </c>
      <c r="L58" s="528">
        <f>TRUNC(IF($E58="",IFERROR(VLOOKUP($D58,SERVIÇOS!$C:$H,5,0),IFERROR(VLOOKUP($D58,$F:$M,7,0),)),0)*$I58,2)</f>
        <v>0</v>
      </c>
      <c r="M58" s="528">
        <f t="shared" si="0"/>
        <v>0</v>
      </c>
      <c r="N58" s="526"/>
    </row>
    <row r="59" spans="3:14">
      <c r="C59" s="526" t="str">
        <f t="shared" si="1"/>
        <v/>
      </c>
      <c r="D59" s="531"/>
      <c r="E59" s="531"/>
      <c r="F59" s="526"/>
      <c r="G59" s="532" t="str">
        <f>IF($E59="",IFERROR(VLOOKUP($D59,SERVIÇOS!$C:$H,2,0),IFERROR(VLOOKUP($D59,$F:$M,2,0),"")),IFERROR(VLOOKUP($E59,INSUMOS!$B:$E,2,0),""))</f>
        <v/>
      </c>
      <c r="H59" s="526" t="str">
        <f>IF($E59="",IFERROR(VLOOKUP($D59,SERVIÇOS!$C:$H,3,0),IFERROR(VLOOKUP($D59,$F:$M,3,0),"")),IFERROR(VLOOKUP($E59,INSUMOS!$B:$E,3,0),""))</f>
        <v/>
      </c>
      <c r="I59" s="527"/>
      <c r="J59" s="528" t="str">
        <f>IF($E59="",IFERROR(VLOOKUP($D59,SERVIÇOS!$C:$H,6,0),IFERROR(VLOOKUP($D59,$F:$M,8,0),"")),IFERROR(VLOOKUP($E59,INSUMOS!$B:$E,4,0),""))</f>
        <v/>
      </c>
      <c r="K59" s="528">
        <f>TRUNC(IF($E59="",IFERROR(VLOOKUP($D59,SERVIÇOS!$C:$H,4,0),IFERROR(VLOOKUP($D59,$F:$M,6,0),)),IFERROR(VLOOKUP($E59,INSUMOS!$B:$E,4,0),))*$I59,2)</f>
        <v>0</v>
      </c>
      <c r="L59" s="528">
        <f>TRUNC(IF($E59="",IFERROR(VLOOKUP($D59,SERVIÇOS!$C:$H,5,0),IFERROR(VLOOKUP($D59,$F:$M,7,0),)),0)*$I59,2)</f>
        <v>0</v>
      </c>
      <c r="M59" s="528">
        <f t="shared" si="0"/>
        <v>0</v>
      </c>
      <c r="N59" s="526"/>
    </row>
    <row r="60" spans="3:14">
      <c r="C60" s="526" t="str">
        <f t="shared" si="1"/>
        <v/>
      </c>
      <c r="D60" s="531"/>
      <c r="E60" s="531"/>
      <c r="F60" s="526"/>
      <c r="G60" s="532" t="str">
        <f>IF($E60="",IFERROR(VLOOKUP($D60,SERVIÇOS!$C:$H,2,0),IFERROR(VLOOKUP($D60,$F:$M,2,0),"")),IFERROR(VLOOKUP($E60,INSUMOS!$B:$E,2,0),""))</f>
        <v/>
      </c>
      <c r="H60" s="526" t="str">
        <f>IF($E60="",IFERROR(VLOOKUP($D60,SERVIÇOS!$C:$H,3,0),IFERROR(VLOOKUP($D60,$F:$M,3,0),"")),IFERROR(VLOOKUP($E60,INSUMOS!$B:$E,3,0),""))</f>
        <v/>
      </c>
      <c r="I60" s="527"/>
      <c r="J60" s="528" t="str">
        <f>IF($E60="",IFERROR(VLOOKUP($D60,SERVIÇOS!$C:$H,6,0),IFERROR(VLOOKUP($D60,$F:$M,8,0),"")),IFERROR(VLOOKUP($E60,INSUMOS!$B:$E,4,0),""))</f>
        <v/>
      </c>
      <c r="K60" s="528">
        <f>TRUNC(IF($E60="",IFERROR(VLOOKUP($D60,SERVIÇOS!$C:$H,4,0),IFERROR(VLOOKUP($D60,$F:$M,6,0),)),IFERROR(VLOOKUP($E60,INSUMOS!$B:$E,4,0),))*$I60,2)</f>
        <v>0</v>
      </c>
      <c r="L60" s="528">
        <f>TRUNC(IF($E60="",IFERROR(VLOOKUP($D60,SERVIÇOS!$C:$H,5,0),IFERROR(VLOOKUP($D60,$F:$M,7,0),)),0)*$I60,2)</f>
        <v>0</v>
      </c>
      <c r="M60" s="528">
        <f t="shared" si="0"/>
        <v>0</v>
      </c>
      <c r="N60" s="526"/>
    </row>
    <row r="61" spans="3:14">
      <c r="C61" s="526" t="str">
        <f t="shared" si="1"/>
        <v/>
      </c>
      <c r="D61" s="531"/>
      <c r="E61" s="531"/>
      <c r="F61" s="526"/>
      <c r="G61" s="532" t="str">
        <f>IF($E61="",IFERROR(VLOOKUP($D61,SERVIÇOS!$C:$H,2,0),IFERROR(VLOOKUP($D61,$F:$M,2,0),"")),IFERROR(VLOOKUP($E61,INSUMOS!$B:$E,2,0),""))</f>
        <v/>
      </c>
      <c r="H61" s="526" t="str">
        <f>IF($E61="",IFERROR(VLOOKUP($D61,SERVIÇOS!$C:$H,3,0),IFERROR(VLOOKUP($D61,$F:$M,3,0),"")),IFERROR(VLOOKUP($E61,INSUMOS!$B:$E,3,0),""))</f>
        <v/>
      </c>
      <c r="I61" s="527"/>
      <c r="J61" s="528" t="str">
        <f>IF($E61="",IFERROR(VLOOKUP($D61,SERVIÇOS!$C:$H,6,0),IFERROR(VLOOKUP($D61,$F:$M,8,0),"")),IFERROR(VLOOKUP($E61,INSUMOS!$B:$E,4,0),""))</f>
        <v/>
      </c>
      <c r="K61" s="528">
        <f>TRUNC(IF($E61="",IFERROR(VLOOKUP($D61,SERVIÇOS!$C:$H,4,0),IFERROR(VLOOKUP($D61,$F:$M,6,0),)),IFERROR(VLOOKUP($E61,INSUMOS!$B:$E,4,0),))*$I61,2)</f>
        <v>0</v>
      </c>
      <c r="L61" s="528">
        <f>TRUNC(IF($E61="",IFERROR(VLOOKUP($D61,SERVIÇOS!$C:$H,5,0),IFERROR(VLOOKUP($D61,$F:$M,7,0),)),0)*$I61,2)</f>
        <v>0</v>
      </c>
      <c r="M61" s="528">
        <f t="shared" si="0"/>
        <v>0</v>
      </c>
      <c r="N61" s="526"/>
    </row>
    <row r="62" spans="3:14">
      <c r="C62" s="526" t="str">
        <f t="shared" si="1"/>
        <v/>
      </c>
      <c r="D62" s="531"/>
      <c r="E62" s="531"/>
      <c r="F62" s="526"/>
      <c r="G62" s="532" t="str">
        <f>IF($E62="",IFERROR(VLOOKUP($D62,SERVIÇOS!$C:$H,2,0),IFERROR(VLOOKUP($D62,$F:$M,2,0),"")),IFERROR(VLOOKUP($E62,INSUMOS!$B:$E,2,0),""))</f>
        <v/>
      </c>
      <c r="H62" s="526" t="str">
        <f>IF($E62="",IFERROR(VLOOKUP($D62,SERVIÇOS!$C:$H,3,0),IFERROR(VLOOKUP($D62,$F:$M,3,0),"")),IFERROR(VLOOKUP($E62,INSUMOS!$B:$E,3,0),""))</f>
        <v/>
      </c>
      <c r="I62" s="527"/>
      <c r="J62" s="528" t="str">
        <f>IF($E62="",IFERROR(VLOOKUP($D62,SERVIÇOS!$C:$H,6,0),IFERROR(VLOOKUP($D62,$F:$M,8,0),"")),IFERROR(VLOOKUP($E62,INSUMOS!$B:$E,4,0),""))</f>
        <v/>
      </c>
      <c r="K62" s="528">
        <f>TRUNC(IF($E62="",IFERROR(VLOOKUP($D62,SERVIÇOS!$C:$H,4,0),IFERROR(VLOOKUP($D62,$F:$M,6,0),)),IFERROR(VLOOKUP($E62,INSUMOS!$B:$E,4,0),))*$I62,2)</f>
        <v>0</v>
      </c>
      <c r="L62" s="528">
        <f>TRUNC(IF($E62="",IFERROR(VLOOKUP($D62,SERVIÇOS!$C:$H,5,0),IFERROR(VLOOKUP($D62,$F:$M,7,0),)),0)*$I62,2)</f>
        <v>0</v>
      </c>
      <c r="M62" s="528">
        <f t="shared" si="0"/>
        <v>0</v>
      </c>
      <c r="N62" s="526"/>
    </row>
    <row r="63" spans="3:14">
      <c r="C63" s="526" t="str">
        <f t="shared" si="1"/>
        <v/>
      </c>
      <c r="D63" s="531"/>
      <c r="E63" s="531"/>
      <c r="F63" s="526"/>
      <c r="G63" s="532" t="str">
        <f>IF($E63="",IFERROR(VLOOKUP($D63,SERVIÇOS!$C:$H,2,0),IFERROR(VLOOKUP($D63,$F:$M,2,0),"")),IFERROR(VLOOKUP($E63,INSUMOS!$B:$E,2,0),""))</f>
        <v/>
      </c>
      <c r="H63" s="526" t="str">
        <f>IF($E63="",IFERROR(VLOOKUP($D63,SERVIÇOS!$C:$H,3,0),IFERROR(VLOOKUP($D63,$F:$M,3,0),"")),IFERROR(VLOOKUP($E63,INSUMOS!$B:$E,3,0),""))</f>
        <v/>
      </c>
      <c r="I63" s="527"/>
      <c r="J63" s="528" t="str">
        <f>IF($E63="",IFERROR(VLOOKUP($D63,SERVIÇOS!$C:$H,6,0),IFERROR(VLOOKUP($D63,$F:$M,8,0),"")),IFERROR(VLOOKUP($E63,INSUMOS!$B:$E,4,0),""))</f>
        <v/>
      </c>
      <c r="K63" s="528">
        <f>TRUNC(IF($E63="",IFERROR(VLOOKUP($D63,SERVIÇOS!$C:$H,4,0),IFERROR(VLOOKUP($D63,$F:$M,6,0),)),IFERROR(VLOOKUP($E63,INSUMOS!$B:$E,4,0),))*$I63,2)</f>
        <v>0</v>
      </c>
      <c r="L63" s="528">
        <f>TRUNC(IF($E63="",IFERROR(VLOOKUP($D63,SERVIÇOS!$C:$H,5,0),IFERROR(VLOOKUP($D63,$F:$M,7,0),)),0)*$I63,2)</f>
        <v>0</v>
      </c>
      <c r="M63" s="528">
        <f t="shared" si="0"/>
        <v>0</v>
      </c>
      <c r="N63" s="526"/>
    </row>
    <row r="64" spans="3:14">
      <c r="C64" s="526" t="str">
        <f t="shared" si="1"/>
        <v/>
      </c>
      <c r="D64" s="531"/>
      <c r="E64" s="531"/>
      <c r="F64" s="526"/>
      <c r="G64" s="532" t="str">
        <f>IF($E64="",IFERROR(VLOOKUP($D64,SERVIÇOS!$C:$H,2,0),IFERROR(VLOOKUP($D64,$F:$M,2,0),"")),IFERROR(VLOOKUP($E64,INSUMOS!$B:$E,2,0),""))</f>
        <v/>
      </c>
      <c r="H64" s="526" t="str">
        <f>IF($E64="",IFERROR(VLOOKUP($D64,SERVIÇOS!$C:$H,3,0),IFERROR(VLOOKUP($D64,$F:$M,3,0),"")),IFERROR(VLOOKUP($E64,INSUMOS!$B:$E,3,0),""))</f>
        <v/>
      </c>
      <c r="I64" s="527"/>
      <c r="J64" s="528" t="str">
        <f>IF($E64="",IFERROR(VLOOKUP($D64,SERVIÇOS!$C:$H,6,0),IFERROR(VLOOKUP($D64,$F:$M,8,0),"")),IFERROR(VLOOKUP($E64,INSUMOS!$B:$E,4,0),""))</f>
        <v/>
      </c>
      <c r="K64" s="528">
        <f>TRUNC(IF($E64="",IFERROR(VLOOKUP($D64,SERVIÇOS!$C:$H,4,0),IFERROR(VLOOKUP($D64,$F:$M,6,0),)),IFERROR(VLOOKUP($E64,INSUMOS!$B:$E,4,0),))*$I64,2)</f>
        <v>0</v>
      </c>
      <c r="L64" s="528">
        <f>TRUNC(IF($E64="",IFERROR(VLOOKUP($D64,SERVIÇOS!$C:$H,5,0),IFERROR(VLOOKUP($D64,$F:$M,7,0),)),0)*$I64,2)</f>
        <v>0</v>
      </c>
      <c r="M64" s="528">
        <f t="shared" si="0"/>
        <v>0</v>
      </c>
      <c r="N64" s="526"/>
    </row>
    <row r="65" spans="3:14">
      <c r="C65" s="526" t="str">
        <f t="shared" si="1"/>
        <v/>
      </c>
      <c r="D65" s="531"/>
      <c r="E65" s="531"/>
      <c r="F65" s="526"/>
      <c r="G65" s="532" t="str">
        <f>IF($E65="",IFERROR(VLOOKUP($D65,SERVIÇOS!$C:$H,2,0),IFERROR(VLOOKUP($D65,$F:$M,2,0),"")),IFERROR(VLOOKUP($E65,INSUMOS!$B:$E,2,0),""))</f>
        <v/>
      </c>
      <c r="H65" s="526" t="str">
        <f>IF($E65="",IFERROR(VLOOKUP($D65,SERVIÇOS!$C:$H,3,0),IFERROR(VLOOKUP($D65,$F:$M,3,0),"")),IFERROR(VLOOKUP($E65,INSUMOS!$B:$E,3,0),""))</f>
        <v/>
      </c>
      <c r="I65" s="527"/>
      <c r="J65" s="528" t="str">
        <f>IF($E65="",IFERROR(VLOOKUP($D65,SERVIÇOS!$C:$H,6,0),IFERROR(VLOOKUP($D65,$F:$M,8,0),"")),IFERROR(VLOOKUP($E65,INSUMOS!$B:$E,4,0),""))</f>
        <v/>
      </c>
      <c r="K65" s="528">
        <f>TRUNC(IF($E65="",IFERROR(VLOOKUP($D65,SERVIÇOS!$C:$H,4,0),IFERROR(VLOOKUP($D65,$F:$M,6,0),)),IFERROR(VLOOKUP($E65,INSUMOS!$B:$E,4,0),))*$I65,2)</f>
        <v>0</v>
      </c>
      <c r="L65" s="528">
        <f>TRUNC(IF($E65="",IFERROR(VLOOKUP($D65,SERVIÇOS!$C:$H,5,0),IFERROR(VLOOKUP($D65,$F:$M,7,0),)),0)*$I65,2)</f>
        <v>0</v>
      </c>
      <c r="M65" s="528">
        <f t="shared" si="0"/>
        <v>0</v>
      </c>
      <c r="N65" s="526"/>
    </row>
    <row r="66" spans="3:14">
      <c r="C66" s="526" t="str">
        <f t="shared" si="1"/>
        <v/>
      </c>
      <c r="D66" s="531"/>
      <c r="E66" s="531"/>
      <c r="F66" s="526"/>
      <c r="G66" s="532" t="str">
        <f>IF($E66="",IFERROR(VLOOKUP($D66,SERVIÇOS!$C:$H,2,0),IFERROR(VLOOKUP($D66,$F:$M,2,0),"")),IFERROR(VLOOKUP($E66,INSUMOS!$B:$E,2,0),""))</f>
        <v/>
      </c>
      <c r="H66" s="526" t="str">
        <f>IF($E66="",IFERROR(VLOOKUP($D66,SERVIÇOS!$C:$H,3,0),IFERROR(VLOOKUP($D66,$F:$M,3,0),"")),IFERROR(VLOOKUP($E66,INSUMOS!$B:$E,3,0),""))</f>
        <v/>
      </c>
      <c r="I66" s="527"/>
      <c r="J66" s="528" t="str">
        <f>IF($E66="",IFERROR(VLOOKUP($D66,SERVIÇOS!$C:$H,6,0),IFERROR(VLOOKUP($D66,$F:$M,8,0),"")),IFERROR(VLOOKUP($E66,INSUMOS!$B:$E,4,0),""))</f>
        <v/>
      </c>
      <c r="K66" s="528">
        <f>TRUNC(IF($E66="",IFERROR(VLOOKUP($D66,SERVIÇOS!$C:$H,4,0),IFERROR(VLOOKUP($D66,$F:$M,6,0),)),IFERROR(VLOOKUP($E66,INSUMOS!$B:$E,4,0),))*$I66,2)</f>
        <v>0</v>
      </c>
      <c r="L66" s="528">
        <f>TRUNC(IF($E66="",IFERROR(VLOOKUP($D66,SERVIÇOS!$C:$H,5,0),IFERROR(VLOOKUP($D66,$F:$M,7,0),)),0)*$I66,2)</f>
        <v>0</v>
      </c>
      <c r="M66" s="528">
        <f t="shared" si="0"/>
        <v>0</v>
      </c>
      <c r="N66" s="526"/>
    </row>
    <row r="67" spans="3:14">
      <c r="C67" s="526" t="str">
        <f t="shared" si="1"/>
        <v/>
      </c>
      <c r="D67" s="531"/>
      <c r="E67" s="531"/>
      <c r="F67" s="526"/>
      <c r="G67" s="532" t="str">
        <f>IF($E67="",IFERROR(VLOOKUP($D67,SERVIÇOS!$C:$H,2,0),IFERROR(VLOOKUP($D67,$F:$M,2,0),"")),IFERROR(VLOOKUP($E67,INSUMOS!$B:$E,2,0),""))</f>
        <v/>
      </c>
      <c r="H67" s="526" t="str">
        <f>IF($E67="",IFERROR(VLOOKUP($D67,SERVIÇOS!$C:$H,3,0),IFERROR(VLOOKUP($D67,$F:$M,3,0),"")),IFERROR(VLOOKUP($E67,INSUMOS!$B:$E,3,0),""))</f>
        <v/>
      </c>
      <c r="I67" s="527"/>
      <c r="J67" s="528" t="str">
        <f>IF($E67="",IFERROR(VLOOKUP($D67,SERVIÇOS!$C:$H,6,0),IFERROR(VLOOKUP($D67,$F:$M,8,0),"")),IFERROR(VLOOKUP($E67,INSUMOS!$B:$E,4,0),""))</f>
        <v/>
      </c>
      <c r="K67" s="528">
        <f>TRUNC(IF($E67="",IFERROR(VLOOKUP($D67,SERVIÇOS!$C:$H,4,0),IFERROR(VLOOKUP($D67,$F:$M,6,0),)),IFERROR(VLOOKUP($E67,INSUMOS!$B:$E,4,0),))*$I67,2)</f>
        <v>0</v>
      </c>
      <c r="L67" s="528">
        <f>TRUNC(IF($E67="",IFERROR(VLOOKUP($D67,SERVIÇOS!$C:$H,5,0),IFERROR(VLOOKUP($D67,$F:$M,7,0),)),0)*$I67,2)</f>
        <v>0</v>
      </c>
      <c r="M67" s="528">
        <f t="shared" si="0"/>
        <v>0</v>
      </c>
      <c r="N67" s="526"/>
    </row>
    <row r="68" spans="3:14">
      <c r="C68" s="526" t="str">
        <f t="shared" si="1"/>
        <v/>
      </c>
      <c r="D68" s="531"/>
      <c r="E68" s="531"/>
      <c r="F68" s="526"/>
      <c r="G68" s="532" t="str">
        <f>IF($E68="",IFERROR(VLOOKUP($D68,SERVIÇOS!$C:$H,2,0),IFERROR(VLOOKUP($D68,$F:$M,2,0),"")),IFERROR(VLOOKUP($E68,INSUMOS!$B:$E,2,0),""))</f>
        <v/>
      </c>
      <c r="H68" s="526" t="str">
        <f>IF($E68="",IFERROR(VLOOKUP($D68,SERVIÇOS!$C:$H,3,0),IFERROR(VLOOKUP($D68,$F:$M,3,0),"")),IFERROR(VLOOKUP($E68,INSUMOS!$B:$E,3,0),""))</f>
        <v/>
      </c>
      <c r="I68" s="527"/>
      <c r="J68" s="528" t="str">
        <f>IF($E68="",IFERROR(VLOOKUP($D68,SERVIÇOS!$C:$H,6,0),IFERROR(VLOOKUP($D68,$F:$M,8,0),"")),IFERROR(VLOOKUP($E68,INSUMOS!$B:$E,4,0),""))</f>
        <v/>
      </c>
      <c r="K68" s="528">
        <f>TRUNC(IF($E68="",IFERROR(VLOOKUP($D68,SERVIÇOS!$C:$H,4,0),IFERROR(VLOOKUP($D68,$F:$M,6,0),)),IFERROR(VLOOKUP($E68,INSUMOS!$B:$E,4,0),))*$I68,2)</f>
        <v>0</v>
      </c>
      <c r="L68" s="528">
        <f>TRUNC(IF($E68="",IFERROR(VLOOKUP($D68,SERVIÇOS!$C:$H,5,0),IFERROR(VLOOKUP($D68,$F:$M,7,0),)),0)*$I68,2)</f>
        <v>0</v>
      </c>
      <c r="M68" s="528">
        <f t="shared" si="0"/>
        <v>0</v>
      </c>
      <c r="N68" s="526"/>
    </row>
    <row r="69" spans="3:14">
      <c r="C69" s="526" t="str">
        <f t="shared" si="1"/>
        <v/>
      </c>
      <c r="D69" s="531"/>
      <c r="E69" s="531"/>
      <c r="F69" s="526"/>
      <c r="G69" s="532" t="str">
        <f>IF($E69="",IFERROR(VLOOKUP($D69,SERVIÇOS!$C:$H,2,0),IFERROR(VLOOKUP($D69,$F:$M,2,0),"")),IFERROR(VLOOKUP($E69,INSUMOS!$B:$E,2,0),""))</f>
        <v/>
      </c>
      <c r="H69" s="526" t="str">
        <f>IF($E69="",IFERROR(VLOOKUP($D69,SERVIÇOS!$C:$H,3,0),IFERROR(VLOOKUP($D69,$F:$M,3,0),"")),IFERROR(VLOOKUP($E69,INSUMOS!$B:$E,3,0),""))</f>
        <v/>
      </c>
      <c r="I69" s="527"/>
      <c r="J69" s="528" t="str">
        <f>IF($E69="",IFERROR(VLOOKUP($D69,SERVIÇOS!$C:$H,6,0),IFERROR(VLOOKUP($D69,$F:$M,8,0),"")),IFERROR(VLOOKUP($E69,INSUMOS!$B:$E,4,0),""))</f>
        <v/>
      </c>
      <c r="K69" s="528">
        <f>TRUNC(IF($E69="",IFERROR(VLOOKUP($D69,SERVIÇOS!$C:$H,4,0),IFERROR(VLOOKUP($D69,$F:$M,6,0),)),IFERROR(VLOOKUP($E69,INSUMOS!$B:$E,4,0),))*$I69,2)</f>
        <v>0</v>
      </c>
      <c r="L69" s="528">
        <f>TRUNC(IF($E69="",IFERROR(VLOOKUP($D69,SERVIÇOS!$C:$H,5,0),IFERROR(VLOOKUP($D69,$F:$M,7,0),)),0)*$I69,2)</f>
        <v>0</v>
      </c>
      <c r="M69" s="528">
        <f t="shared" si="0"/>
        <v>0</v>
      </c>
      <c r="N69" s="526"/>
    </row>
    <row r="70" spans="3:14">
      <c r="C70" s="526" t="str">
        <f t="shared" si="1"/>
        <v/>
      </c>
      <c r="D70" s="531"/>
      <c r="E70" s="531"/>
      <c r="F70" s="526"/>
      <c r="G70" s="532" t="str">
        <f>IF($E70="",IFERROR(VLOOKUP($D70,SERVIÇOS!$C:$H,2,0),IFERROR(VLOOKUP($D70,$F:$M,2,0),"")),IFERROR(VLOOKUP($E70,INSUMOS!$B:$E,2,0),""))</f>
        <v/>
      </c>
      <c r="H70" s="526" t="str">
        <f>IF($E70="",IFERROR(VLOOKUP($D70,SERVIÇOS!$C:$H,3,0),IFERROR(VLOOKUP($D70,$F:$M,3,0),"")),IFERROR(VLOOKUP($E70,INSUMOS!$B:$E,3,0),""))</f>
        <v/>
      </c>
      <c r="I70" s="527"/>
      <c r="J70" s="528" t="str">
        <f>IF($E70="",IFERROR(VLOOKUP($D70,SERVIÇOS!$C:$H,6,0),IFERROR(VLOOKUP($D70,$F:$M,8,0),"")),IFERROR(VLOOKUP($E70,INSUMOS!$B:$E,4,0),""))</f>
        <v/>
      </c>
      <c r="K70" s="528">
        <f>TRUNC(IF($E70="",IFERROR(VLOOKUP($D70,SERVIÇOS!$C:$H,4,0),IFERROR(VLOOKUP($D70,$F:$M,6,0),)),IFERROR(VLOOKUP($E70,INSUMOS!$B:$E,4,0),))*$I70,2)</f>
        <v>0</v>
      </c>
      <c r="L70" s="528">
        <f>TRUNC(IF($E70="",IFERROR(VLOOKUP($D70,SERVIÇOS!$C:$H,5,0),IFERROR(VLOOKUP($D70,$F:$M,7,0),)),0)*$I70,2)</f>
        <v>0</v>
      </c>
      <c r="M70" s="528">
        <f t="shared" si="0"/>
        <v>0</v>
      </c>
      <c r="N70" s="526"/>
    </row>
    <row r="71" spans="3:14">
      <c r="C71" s="526" t="str">
        <f t="shared" si="1"/>
        <v/>
      </c>
      <c r="D71" s="531"/>
      <c r="E71" s="531"/>
      <c r="F71" s="526"/>
      <c r="G71" s="532" t="str">
        <f>IF($E71="",IFERROR(VLOOKUP($D71,SERVIÇOS!$C:$H,2,0),IFERROR(VLOOKUP($D71,$F:$M,2,0),"")),IFERROR(VLOOKUP($E71,INSUMOS!$B:$E,2,0),""))</f>
        <v/>
      </c>
      <c r="H71" s="526" t="str">
        <f>IF($E71="",IFERROR(VLOOKUP($D71,SERVIÇOS!$C:$H,3,0),IFERROR(VLOOKUP($D71,$F:$M,3,0),"")),IFERROR(VLOOKUP($E71,INSUMOS!$B:$E,3,0),""))</f>
        <v/>
      </c>
      <c r="I71" s="527"/>
      <c r="J71" s="528" t="str">
        <f>IF($E71="",IFERROR(VLOOKUP($D71,SERVIÇOS!$C:$H,6,0),IFERROR(VLOOKUP($D71,$F:$M,8,0),"")),IFERROR(VLOOKUP($E71,INSUMOS!$B:$E,4,0),""))</f>
        <v/>
      </c>
      <c r="K71" s="528">
        <f>TRUNC(IF($E71="",IFERROR(VLOOKUP($D71,SERVIÇOS!$C:$H,4,0),IFERROR(VLOOKUP($D71,$F:$M,6,0),)),IFERROR(VLOOKUP($E71,INSUMOS!$B:$E,4,0),))*$I71,2)</f>
        <v>0</v>
      </c>
      <c r="L71" s="528">
        <f>TRUNC(IF($E71="",IFERROR(VLOOKUP($D71,SERVIÇOS!$C:$H,5,0),IFERROR(VLOOKUP($D71,$F:$M,7,0),)),0)*$I71,2)</f>
        <v>0</v>
      </c>
      <c r="M71" s="528">
        <f t="shared" si="0"/>
        <v>0</v>
      </c>
      <c r="N71" s="526"/>
    </row>
    <row r="72" spans="3:14">
      <c r="C72" s="526" t="str">
        <f t="shared" si="1"/>
        <v/>
      </c>
      <c r="D72" s="531"/>
      <c r="E72" s="531"/>
      <c r="F72" s="526"/>
      <c r="G72" s="532" t="str">
        <f>IF($E72="",IFERROR(VLOOKUP($D72,SERVIÇOS!$C:$H,2,0),IFERROR(VLOOKUP($D72,$F:$M,2,0),"")),IFERROR(VLOOKUP($E72,INSUMOS!$B:$E,2,0),""))</f>
        <v/>
      </c>
      <c r="H72" s="526" t="str">
        <f>IF($E72="",IFERROR(VLOOKUP($D72,SERVIÇOS!$C:$H,3,0),IFERROR(VLOOKUP($D72,$F:$M,3,0),"")),IFERROR(VLOOKUP($E72,INSUMOS!$B:$E,3,0),""))</f>
        <v/>
      </c>
      <c r="I72" s="527"/>
      <c r="J72" s="528" t="str">
        <f>IF($E72="",IFERROR(VLOOKUP($D72,SERVIÇOS!$C:$H,6,0),IFERROR(VLOOKUP($D72,$F:$M,8,0),"")),IFERROR(VLOOKUP($E72,INSUMOS!$B:$E,4,0),""))</f>
        <v/>
      </c>
      <c r="K72" s="528">
        <f>TRUNC(IF($E72="",IFERROR(VLOOKUP($D72,SERVIÇOS!$C:$H,4,0),IFERROR(VLOOKUP($D72,$F:$M,6,0),)),IFERROR(VLOOKUP($E72,INSUMOS!$B:$E,4,0),))*$I72,2)</f>
        <v>0</v>
      </c>
      <c r="L72" s="528">
        <f>TRUNC(IF($E72="",IFERROR(VLOOKUP($D72,SERVIÇOS!$C:$H,5,0),IFERROR(VLOOKUP($D72,$F:$M,7,0),)),0)*$I72,2)</f>
        <v>0</v>
      </c>
      <c r="M72" s="528">
        <f t="shared" si="0"/>
        <v>0</v>
      </c>
      <c r="N72" s="526"/>
    </row>
    <row r="73" spans="3:14">
      <c r="C73" s="526" t="str">
        <f t="shared" si="1"/>
        <v/>
      </c>
      <c r="D73" s="531"/>
      <c r="E73" s="531"/>
      <c r="F73" s="526"/>
      <c r="G73" s="532" t="str">
        <f>IF($E73="",IFERROR(VLOOKUP($D73,SERVIÇOS!$C:$H,2,0),IFERROR(VLOOKUP($D73,$F:$M,2,0),"")),IFERROR(VLOOKUP($E73,INSUMOS!$B:$E,2,0),""))</f>
        <v/>
      </c>
      <c r="H73" s="526" t="str">
        <f>IF($E73="",IFERROR(VLOOKUP($D73,SERVIÇOS!$C:$H,3,0),IFERROR(VLOOKUP($D73,$F:$M,3,0),"")),IFERROR(VLOOKUP($E73,INSUMOS!$B:$E,3,0),""))</f>
        <v/>
      </c>
      <c r="I73" s="527"/>
      <c r="J73" s="528" t="str">
        <f>IF($E73="",IFERROR(VLOOKUP($D73,SERVIÇOS!$C:$H,6,0),IFERROR(VLOOKUP($D73,$F:$M,8,0),"")),IFERROR(VLOOKUP($E73,INSUMOS!$B:$E,4,0),""))</f>
        <v/>
      </c>
      <c r="K73" s="528">
        <f>TRUNC(IF($E73="",IFERROR(VLOOKUP($D73,SERVIÇOS!$C:$H,4,0),IFERROR(VLOOKUP($D73,$F:$M,6,0),)),IFERROR(VLOOKUP($E73,INSUMOS!$B:$E,4,0),))*$I73,2)</f>
        <v>0</v>
      </c>
      <c r="L73" s="528">
        <f>TRUNC(IF($E73="",IFERROR(VLOOKUP($D73,SERVIÇOS!$C:$H,5,0),IFERROR(VLOOKUP($D73,$F:$M,7,0),)),0)*$I73,2)</f>
        <v>0</v>
      </c>
      <c r="M73" s="528">
        <f t="shared" si="0"/>
        <v>0</v>
      </c>
      <c r="N73" s="526"/>
    </row>
    <row r="74" spans="3:14">
      <c r="C74" s="526" t="str">
        <f t="shared" si="1"/>
        <v/>
      </c>
      <c r="D74" s="531"/>
      <c r="E74" s="531"/>
      <c r="F74" s="526"/>
      <c r="G74" s="532" t="str">
        <f>IF($E74="",IFERROR(VLOOKUP($D74,SERVIÇOS!$C:$H,2,0),IFERROR(VLOOKUP($D74,$F:$M,2,0),"")),IFERROR(VLOOKUP($E74,INSUMOS!$B:$E,2,0),""))</f>
        <v/>
      </c>
      <c r="H74" s="526" t="str">
        <f>IF($E74="",IFERROR(VLOOKUP($D74,SERVIÇOS!$C:$H,3,0),IFERROR(VLOOKUP($D74,$F:$M,3,0),"")),IFERROR(VLOOKUP($E74,INSUMOS!$B:$E,3,0),""))</f>
        <v/>
      </c>
      <c r="I74" s="527"/>
      <c r="J74" s="528" t="str">
        <f>IF($E74="",IFERROR(VLOOKUP($D74,SERVIÇOS!$C:$H,6,0),IFERROR(VLOOKUP($D74,$F:$M,8,0),"")),IFERROR(VLOOKUP($E74,INSUMOS!$B:$E,4,0),""))</f>
        <v/>
      </c>
      <c r="K74" s="528">
        <f>TRUNC(IF($E74="",IFERROR(VLOOKUP($D74,SERVIÇOS!$C:$H,4,0),IFERROR(VLOOKUP($D74,$F:$M,6,0),)),IFERROR(VLOOKUP($E74,INSUMOS!$B:$E,4,0),))*$I74,2)</f>
        <v>0</v>
      </c>
      <c r="L74" s="528">
        <f>TRUNC(IF($E74="",IFERROR(VLOOKUP($D74,SERVIÇOS!$C:$H,5,0),IFERROR(VLOOKUP($D74,$F:$M,7,0),)),0)*$I74,2)</f>
        <v>0</v>
      </c>
      <c r="M74" s="528">
        <f t="shared" si="0"/>
        <v>0</v>
      </c>
      <c r="N74" s="526"/>
    </row>
    <row r="75" spans="3:14">
      <c r="C75" s="526" t="str">
        <f t="shared" si="1"/>
        <v/>
      </c>
      <c r="D75" s="531"/>
      <c r="E75" s="531"/>
      <c r="F75" s="526"/>
      <c r="G75" s="532" t="str">
        <f>IF($E75="",IFERROR(VLOOKUP($D75,SERVIÇOS!$C:$H,2,0),IFERROR(VLOOKUP($D75,$F:$M,2,0),"")),IFERROR(VLOOKUP($E75,INSUMOS!$B:$E,2,0),""))</f>
        <v/>
      </c>
      <c r="H75" s="526" t="str">
        <f>IF($E75="",IFERROR(VLOOKUP($D75,SERVIÇOS!$C:$H,3,0),IFERROR(VLOOKUP($D75,$F:$M,3,0),"")),IFERROR(VLOOKUP($E75,INSUMOS!$B:$E,3,0),""))</f>
        <v/>
      </c>
      <c r="I75" s="527"/>
      <c r="J75" s="528" t="str">
        <f>IF($E75="",IFERROR(VLOOKUP($D75,SERVIÇOS!$C:$H,6,0),IFERROR(VLOOKUP($D75,$F:$M,8,0),"")),IFERROR(VLOOKUP($E75,INSUMOS!$B:$E,4,0),""))</f>
        <v/>
      </c>
      <c r="K75" s="528">
        <f>TRUNC(IF($E75="",IFERROR(VLOOKUP($D75,SERVIÇOS!$C:$H,4,0),IFERROR(VLOOKUP($D75,$F:$M,6,0),)),IFERROR(VLOOKUP($E75,INSUMOS!$B:$E,4,0),))*$I75,2)</f>
        <v>0</v>
      </c>
      <c r="L75" s="528">
        <f>TRUNC(IF($E75="",IFERROR(VLOOKUP($D75,SERVIÇOS!$C:$H,5,0),IFERROR(VLOOKUP($D75,$F:$M,7,0),)),0)*$I75,2)</f>
        <v>0</v>
      </c>
      <c r="M75" s="528">
        <f t="shared" si="0"/>
        <v>0</v>
      </c>
      <c r="N75" s="526"/>
    </row>
    <row r="76" spans="3:14">
      <c r="C76" s="526" t="str">
        <f t="shared" si="1"/>
        <v/>
      </c>
      <c r="D76" s="531"/>
      <c r="E76" s="531"/>
      <c r="F76" s="526"/>
      <c r="G76" s="532" t="str">
        <f>IF($E76="",IFERROR(VLOOKUP($D76,SERVIÇOS!$C:$H,2,0),IFERROR(VLOOKUP($D76,$F:$M,2,0),"")),IFERROR(VLOOKUP($E76,INSUMOS!$B:$E,2,0),""))</f>
        <v/>
      </c>
      <c r="H76" s="526" t="str">
        <f>IF($E76="",IFERROR(VLOOKUP($D76,SERVIÇOS!$C:$H,3,0),IFERROR(VLOOKUP($D76,$F:$M,3,0),"")),IFERROR(VLOOKUP($E76,INSUMOS!$B:$E,3,0),""))</f>
        <v/>
      </c>
      <c r="I76" s="527"/>
      <c r="J76" s="528" t="str">
        <f>IF($E76="",IFERROR(VLOOKUP($D76,SERVIÇOS!$C:$H,6,0),IFERROR(VLOOKUP($D76,$F:$M,8,0),"")),IFERROR(VLOOKUP($E76,INSUMOS!$B:$E,4,0),""))</f>
        <v/>
      </c>
      <c r="K76" s="528">
        <f>TRUNC(IF($E76="",IFERROR(VLOOKUP($D76,SERVIÇOS!$C:$H,4,0),IFERROR(VLOOKUP($D76,$F:$M,6,0),)),IFERROR(VLOOKUP($E76,INSUMOS!$B:$E,4,0),))*$I76,2)</f>
        <v>0</v>
      </c>
      <c r="L76" s="528">
        <f>TRUNC(IF($E76="",IFERROR(VLOOKUP($D76,SERVIÇOS!$C:$H,5,0),IFERROR(VLOOKUP($D76,$F:$M,7,0),)),0)*$I76,2)</f>
        <v>0</v>
      </c>
      <c r="M76" s="528">
        <f t="shared" si="0"/>
        <v>0</v>
      </c>
      <c r="N76" s="526"/>
    </row>
    <row r="77" spans="3:14">
      <c r="C77" s="526" t="str">
        <f t="shared" ref="C77:C140" si="2">IF(D77&lt;&gt;"","C",IF(E77&lt;&gt;"","I",""))</f>
        <v/>
      </c>
      <c r="D77" s="531"/>
      <c r="E77" s="531"/>
      <c r="F77" s="526"/>
      <c r="G77" s="532" t="str">
        <f>IF($E77="",IFERROR(VLOOKUP($D77,SERVIÇOS!$C:$H,2,0),IFERROR(VLOOKUP($D77,$F:$M,2,0),"")),IFERROR(VLOOKUP($E77,INSUMOS!$B:$E,2,0),""))</f>
        <v/>
      </c>
      <c r="H77" s="526" t="str">
        <f>IF($E77="",IFERROR(VLOOKUP($D77,SERVIÇOS!$C:$H,3,0),IFERROR(VLOOKUP($D77,$F:$M,3,0),"")),IFERROR(VLOOKUP($E77,INSUMOS!$B:$E,3,0),""))</f>
        <v/>
      </c>
      <c r="I77" s="527"/>
      <c r="J77" s="528" t="str">
        <f>IF($E77="",IFERROR(VLOOKUP($D77,SERVIÇOS!$C:$H,6,0),IFERROR(VLOOKUP($D77,$F:$M,8,0),"")),IFERROR(VLOOKUP($E77,INSUMOS!$B:$E,4,0),""))</f>
        <v/>
      </c>
      <c r="K77" s="528">
        <f>TRUNC(IF($E77="",IFERROR(VLOOKUP($D77,SERVIÇOS!$C:$H,4,0),IFERROR(VLOOKUP($D77,$F:$M,6,0),)),IFERROR(VLOOKUP($E77,INSUMOS!$B:$E,4,0),))*$I77,2)</f>
        <v>0</v>
      </c>
      <c r="L77" s="528">
        <f>TRUNC(IF($E77="",IFERROR(VLOOKUP($D77,SERVIÇOS!$C:$H,5,0),IFERROR(VLOOKUP($D77,$F:$M,7,0),)),0)*$I77,2)</f>
        <v>0</v>
      </c>
      <c r="M77" s="528">
        <f t="shared" si="0"/>
        <v>0</v>
      </c>
      <c r="N77" s="526"/>
    </row>
    <row r="78" spans="3:14">
      <c r="C78" s="526" t="str">
        <f t="shared" si="2"/>
        <v/>
      </c>
      <c r="D78" s="531"/>
      <c r="E78" s="531"/>
      <c r="F78" s="526"/>
      <c r="G78" s="532" t="str">
        <f>IF($E78="",IFERROR(VLOOKUP($D78,SERVIÇOS!$C:$H,2,0),IFERROR(VLOOKUP($D78,$F:$M,2,0),"")),IFERROR(VLOOKUP($E78,INSUMOS!$B:$E,2,0),""))</f>
        <v/>
      </c>
      <c r="H78" s="526" t="str">
        <f>IF($E78="",IFERROR(VLOOKUP($D78,SERVIÇOS!$C:$H,3,0),IFERROR(VLOOKUP($D78,$F:$M,3,0),"")),IFERROR(VLOOKUP($E78,INSUMOS!$B:$E,3,0),""))</f>
        <v/>
      </c>
      <c r="I78" s="527"/>
      <c r="J78" s="528" t="str">
        <f>IF($E78="",IFERROR(VLOOKUP($D78,SERVIÇOS!$C:$H,6,0),IFERROR(VLOOKUP($D78,$F:$M,8,0),"")),IFERROR(VLOOKUP($E78,INSUMOS!$B:$E,4,0),""))</f>
        <v/>
      </c>
      <c r="K78" s="528">
        <f>TRUNC(IF($E78="",IFERROR(VLOOKUP($D78,SERVIÇOS!$C:$H,4,0),IFERROR(VLOOKUP($D78,$F:$M,6,0),)),IFERROR(VLOOKUP($E78,INSUMOS!$B:$E,4,0),))*$I78,2)</f>
        <v>0</v>
      </c>
      <c r="L78" s="528">
        <f>TRUNC(IF($E78="",IFERROR(VLOOKUP($D78,SERVIÇOS!$C:$H,5,0),IFERROR(VLOOKUP($D78,$F:$M,7,0),)),0)*$I78,2)</f>
        <v>0</v>
      </c>
      <c r="M78" s="528">
        <f t="shared" ref="M78:M141" si="3">K78+L78</f>
        <v>0</v>
      </c>
      <c r="N78" s="526"/>
    </row>
    <row r="79" spans="3:14">
      <c r="C79" s="526" t="str">
        <f t="shared" si="2"/>
        <v/>
      </c>
      <c r="D79" s="531"/>
      <c r="E79" s="531"/>
      <c r="F79" s="526"/>
      <c r="G79" s="532" t="str">
        <f>IF($E79="",IFERROR(VLOOKUP($D79,SERVIÇOS!$C:$H,2,0),IFERROR(VLOOKUP($D79,$F:$M,2,0),"")),IFERROR(VLOOKUP($E79,INSUMOS!$B:$E,2,0),""))</f>
        <v/>
      </c>
      <c r="H79" s="526" t="str">
        <f>IF($E79="",IFERROR(VLOOKUP($D79,SERVIÇOS!$C:$H,3,0),IFERROR(VLOOKUP($D79,$F:$M,3,0),"")),IFERROR(VLOOKUP($E79,INSUMOS!$B:$E,3,0),""))</f>
        <v/>
      </c>
      <c r="I79" s="527"/>
      <c r="J79" s="528" t="str">
        <f>IF($E79="",IFERROR(VLOOKUP($D79,SERVIÇOS!$C:$H,6,0),IFERROR(VLOOKUP($D79,$F:$M,8,0),"")),IFERROR(VLOOKUP($E79,INSUMOS!$B:$E,4,0),""))</f>
        <v/>
      </c>
      <c r="K79" s="528">
        <f>TRUNC(IF($E79="",IFERROR(VLOOKUP($D79,SERVIÇOS!$C:$H,4,0),IFERROR(VLOOKUP($D79,$F:$M,6,0),)),IFERROR(VLOOKUP($E79,INSUMOS!$B:$E,4,0),))*$I79,2)</f>
        <v>0</v>
      </c>
      <c r="L79" s="528">
        <f>TRUNC(IF($E79="",IFERROR(VLOOKUP($D79,SERVIÇOS!$C:$H,5,0),IFERROR(VLOOKUP($D79,$F:$M,7,0),)),0)*$I79,2)</f>
        <v>0</v>
      </c>
      <c r="M79" s="528">
        <f t="shared" si="3"/>
        <v>0</v>
      </c>
      <c r="N79" s="526"/>
    </row>
    <row r="80" spans="3:14">
      <c r="C80" s="526" t="str">
        <f t="shared" si="2"/>
        <v/>
      </c>
      <c r="D80" s="531"/>
      <c r="E80" s="531"/>
      <c r="F80" s="526"/>
      <c r="G80" s="532" t="str">
        <f>IF($E80="",IFERROR(VLOOKUP($D80,SERVIÇOS!$C:$H,2,0),IFERROR(VLOOKUP($D80,$F:$M,2,0),"")),IFERROR(VLOOKUP($E80,INSUMOS!$B:$E,2,0),""))</f>
        <v/>
      </c>
      <c r="H80" s="526" t="str">
        <f>IF($E80="",IFERROR(VLOOKUP($D80,SERVIÇOS!$C:$H,3,0),IFERROR(VLOOKUP($D80,$F:$M,3,0),"")),IFERROR(VLOOKUP($E80,INSUMOS!$B:$E,3,0),""))</f>
        <v/>
      </c>
      <c r="I80" s="527"/>
      <c r="J80" s="528" t="str">
        <f>IF($E80="",IFERROR(VLOOKUP($D80,SERVIÇOS!$C:$H,6,0),IFERROR(VLOOKUP($D80,$F:$M,8,0),"")),IFERROR(VLOOKUP($E80,INSUMOS!$B:$E,4,0),""))</f>
        <v/>
      </c>
      <c r="K80" s="528">
        <f>TRUNC(IF($E80="",IFERROR(VLOOKUP($D80,SERVIÇOS!$C:$H,4,0),IFERROR(VLOOKUP($D80,$F:$M,6,0),)),IFERROR(VLOOKUP($E80,INSUMOS!$B:$E,4,0),))*$I80,2)</f>
        <v>0</v>
      </c>
      <c r="L80" s="528">
        <f>TRUNC(IF($E80="",IFERROR(VLOOKUP($D80,SERVIÇOS!$C:$H,5,0),IFERROR(VLOOKUP($D80,$F:$M,7,0),)),0)*$I80,2)</f>
        <v>0</v>
      </c>
      <c r="M80" s="528">
        <f t="shared" si="3"/>
        <v>0</v>
      </c>
      <c r="N80" s="526"/>
    </row>
    <row r="81" spans="3:14">
      <c r="C81" s="526" t="str">
        <f t="shared" si="2"/>
        <v/>
      </c>
      <c r="D81" s="531"/>
      <c r="E81" s="531"/>
      <c r="F81" s="526"/>
      <c r="G81" s="532" t="str">
        <f>IF($E81="",IFERROR(VLOOKUP($D81,SERVIÇOS!$C:$H,2,0),IFERROR(VLOOKUP($D81,$F:$M,2,0),"")),IFERROR(VLOOKUP($E81,INSUMOS!$B:$E,2,0),""))</f>
        <v/>
      </c>
      <c r="H81" s="526" t="str">
        <f>IF($E81="",IFERROR(VLOOKUP($D81,SERVIÇOS!$C:$H,3,0),IFERROR(VLOOKUP($D81,$F:$M,3,0),"")),IFERROR(VLOOKUP($E81,INSUMOS!$B:$E,3,0),""))</f>
        <v/>
      </c>
      <c r="I81" s="527"/>
      <c r="J81" s="528" t="str">
        <f>IF($E81="",IFERROR(VLOOKUP($D81,SERVIÇOS!$C:$H,6,0),IFERROR(VLOOKUP($D81,$F:$M,8,0),"")),IFERROR(VLOOKUP($E81,INSUMOS!$B:$E,4,0),""))</f>
        <v/>
      </c>
      <c r="K81" s="528">
        <f>TRUNC(IF($E81="",IFERROR(VLOOKUP($D81,SERVIÇOS!$C:$H,4,0),IFERROR(VLOOKUP($D81,$F:$M,6,0),)),IFERROR(VLOOKUP($E81,INSUMOS!$B:$E,4,0),))*$I81,2)</f>
        <v>0</v>
      </c>
      <c r="L81" s="528">
        <f>TRUNC(IF($E81="",IFERROR(VLOOKUP($D81,SERVIÇOS!$C:$H,5,0),IFERROR(VLOOKUP($D81,$F:$M,7,0),)),0)*$I81,2)</f>
        <v>0</v>
      </c>
      <c r="M81" s="528">
        <f t="shared" si="3"/>
        <v>0</v>
      </c>
      <c r="N81" s="526"/>
    </row>
    <row r="82" spans="3:14">
      <c r="C82" s="526" t="str">
        <f t="shared" si="2"/>
        <v/>
      </c>
      <c r="D82" s="531"/>
      <c r="E82" s="531"/>
      <c r="F82" s="526"/>
      <c r="G82" s="532" t="str">
        <f>IF($E82="",IFERROR(VLOOKUP($D82,SERVIÇOS!$C:$H,2,0),IFERROR(VLOOKUP($D82,$F:$M,2,0),"")),IFERROR(VLOOKUP($E82,INSUMOS!$B:$E,2,0),""))</f>
        <v/>
      </c>
      <c r="H82" s="526" t="str">
        <f>IF($E82="",IFERROR(VLOOKUP($D82,SERVIÇOS!$C:$H,3,0),IFERROR(VLOOKUP($D82,$F:$M,3,0),"")),IFERROR(VLOOKUP($E82,INSUMOS!$B:$E,3,0),""))</f>
        <v/>
      </c>
      <c r="I82" s="527"/>
      <c r="J82" s="528" t="str">
        <f>IF($E82="",IFERROR(VLOOKUP($D82,SERVIÇOS!$C:$H,6,0),IFERROR(VLOOKUP($D82,$F:$M,8,0),"")),IFERROR(VLOOKUP($E82,INSUMOS!$B:$E,4,0),""))</f>
        <v/>
      </c>
      <c r="K82" s="528">
        <f>TRUNC(IF($E82="",IFERROR(VLOOKUP($D82,SERVIÇOS!$C:$H,4,0),IFERROR(VLOOKUP($D82,$F:$M,6,0),)),IFERROR(VLOOKUP($E82,INSUMOS!$B:$E,4,0),))*$I82,2)</f>
        <v>0</v>
      </c>
      <c r="L82" s="528">
        <f>TRUNC(IF($E82="",IFERROR(VLOOKUP($D82,SERVIÇOS!$C:$H,5,0),IFERROR(VLOOKUP($D82,$F:$M,7,0),)),0)*$I82,2)</f>
        <v>0</v>
      </c>
      <c r="M82" s="528">
        <f t="shared" si="3"/>
        <v>0</v>
      </c>
      <c r="N82" s="526"/>
    </row>
    <row r="83" spans="3:14">
      <c r="C83" s="526" t="str">
        <f t="shared" si="2"/>
        <v/>
      </c>
      <c r="D83" s="531"/>
      <c r="E83" s="531"/>
      <c r="F83" s="526"/>
      <c r="G83" s="532" t="str">
        <f>IF($E83="",IFERROR(VLOOKUP($D83,SERVIÇOS!$C:$H,2,0),IFERROR(VLOOKUP($D83,$F:$M,2,0),"")),IFERROR(VLOOKUP($E83,INSUMOS!$B:$E,2,0),""))</f>
        <v/>
      </c>
      <c r="H83" s="526" t="str">
        <f>IF($E83="",IFERROR(VLOOKUP($D83,SERVIÇOS!$C:$H,3,0),IFERROR(VLOOKUP($D83,$F:$M,3,0),"")),IFERROR(VLOOKUP($E83,INSUMOS!$B:$E,3,0),""))</f>
        <v/>
      </c>
      <c r="I83" s="527"/>
      <c r="J83" s="528" t="str">
        <f>IF($E83="",IFERROR(VLOOKUP($D83,SERVIÇOS!$C:$H,6,0),IFERROR(VLOOKUP($D83,$F:$M,8,0),"")),IFERROR(VLOOKUP($E83,INSUMOS!$B:$E,4,0),""))</f>
        <v/>
      </c>
      <c r="K83" s="528">
        <f>TRUNC(IF($E83="",IFERROR(VLOOKUP($D83,SERVIÇOS!$C:$H,4,0),IFERROR(VLOOKUP($D83,$F:$M,6,0),)),IFERROR(VLOOKUP($E83,INSUMOS!$B:$E,4,0),))*$I83,2)</f>
        <v>0</v>
      </c>
      <c r="L83" s="528">
        <f>TRUNC(IF($E83="",IFERROR(VLOOKUP($D83,SERVIÇOS!$C:$H,5,0),IFERROR(VLOOKUP($D83,$F:$M,7,0),)),0)*$I83,2)</f>
        <v>0</v>
      </c>
      <c r="M83" s="528">
        <f t="shared" si="3"/>
        <v>0</v>
      </c>
      <c r="N83" s="526"/>
    </row>
    <row r="84" spans="3:14">
      <c r="C84" s="526" t="str">
        <f t="shared" si="2"/>
        <v/>
      </c>
      <c r="D84" s="531"/>
      <c r="E84" s="531"/>
      <c r="F84" s="526"/>
      <c r="G84" s="532" t="str">
        <f>IF($E84="",IFERROR(VLOOKUP($D84,SERVIÇOS!$C:$H,2,0),IFERROR(VLOOKUP($D84,$F:$M,2,0),"")),IFERROR(VLOOKUP($E84,INSUMOS!$B:$E,2,0),""))</f>
        <v/>
      </c>
      <c r="H84" s="526" t="str">
        <f>IF($E84="",IFERROR(VLOOKUP($D84,SERVIÇOS!$C:$H,3,0),IFERROR(VLOOKUP($D84,$F:$M,3,0),"")),IFERROR(VLOOKUP($E84,INSUMOS!$B:$E,3,0),""))</f>
        <v/>
      </c>
      <c r="I84" s="527"/>
      <c r="J84" s="528" t="str">
        <f>IF($E84="",IFERROR(VLOOKUP($D84,SERVIÇOS!$C:$H,6,0),IFERROR(VLOOKUP($D84,$F:$M,8,0),"")),IFERROR(VLOOKUP($E84,INSUMOS!$B:$E,4,0),""))</f>
        <v/>
      </c>
      <c r="K84" s="528">
        <f>TRUNC(IF($E84="",IFERROR(VLOOKUP($D84,SERVIÇOS!$C:$H,4,0),IFERROR(VLOOKUP($D84,$F:$M,6,0),)),IFERROR(VLOOKUP($E84,INSUMOS!$B:$E,4,0),))*$I84,2)</f>
        <v>0</v>
      </c>
      <c r="L84" s="528">
        <f>TRUNC(IF($E84="",IFERROR(VLOOKUP($D84,SERVIÇOS!$C:$H,5,0),IFERROR(VLOOKUP($D84,$F:$M,7,0),)),0)*$I84,2)</f>
        <v>0</v>
      </c>
      <c r="M84" s="528">
        <f t="shared" si="3"/>
        <v>0</v>
      </c>
      <c r="N84" s="526"/>
    </row>
    <row r="85" spans="3:14">
      <c r="C85" s="526" t="str">
        <f t="shared" si="2"/>
        <v/>
      </c>
      <c r="D85" s="531"/>
      <c r="E85" s="531"/>
      <c r="F85" s="526"/>
      <c r="G85" s="532" t="str">
        <f>IF($E85="",IFERROR(VLOOKUP($D85,SERVIÇOS!$C:$H,2,0),IFERROR(VLOOKUP($D85,$F:$M,2,0),"")),IFERROR(VLOOKUP($E85,INSUMOS!$B:$E,2,0),""))</f>
        <v/>
      </c>
      <c r="H85" s="526" t="str">
        <f>IF($E85="",IFERROR(VLOOKUP($D85,SERVIÇOS!$C:$H,3,0),IFERROR(VLOOKUP($D85,$F:$M,3,0),"")),IFERROR(VLOOKUP($E85,INSUMOS!$B:$E,3,0),""))</f>
        <v/>
      </c>
      <c r="I85" s="527"/>
      <c r="J85" s="528" t="str">
        <f>IF($E85="",IFERROR(VLOOKUP($D85,SERVIÇOS!$C:$H,6,0),IFERROR(VLOOKUP($D85,$F:$M,8,0),"")),IFERROR(VLOOKUP($E85,INSUMOS!$B:$E,4,0),""))</f>
        <v/>
      </c>
      <c r="K85" s="528">
        <f>TRUNC(IF($E85="",IFERROR(VLOOKUP($D85,SERVIÇOS!$C:$H,4,0),IFERROR(VLOOKUP($D85,$F:$M,6,0),)),IFERROR(VLOOKUP($E85,INSUMOS!$B:$E,4,0),))*$I85,2)</f>
        <v>0</v>
      </c>
      <c r="L85" s="528">
        <f>TRUNC(IF($E85="",IFERROR(VLOOKUP($D85,SERVIÇOS!$C:$H,5,0),IFERROR(VLOOKUP($D85,$F:$M,7,0),)),0)*$I85,2)</f>
        <v>0</v>
      </c>
      <c r="M85" s="528">
        <f t="shared" si="3"/>
        <v>0</v>
      </c>
      <c r="N85" s="526"/>
    </row>
    <row r="86" spans="3:14">
      <c r="C86" s="526" t="str">
        <f t="shared" si="2"/>
        <v/>
      </c>
      <c r="D86" s="531"/>
      <c r="E86" s="531"/>
      <c r="F86" s="526"/>
      <c r="G86" s="532" t="str">
        <f>IF($E86="",IFERROR(VLOOKUP($D86,SERVIÇOS!$C:$H,2,0),IFERROR(VLOOKUP($D86,$F:$M,2,0),"")),IFERROR(VLOOKUP($E86,INSUMOS!$B:$E,2,0),""))</f>
        <v/>
      </c>
      <c r="H86" s="526" t="str">
        <f>IF($E86="",IFERROR(VLOOKUP($D86,SERVIÇOS!$C:$H,3,0),IFERROR(VLOOKUP($D86,$F:$M,3,0),"")),IFERROR(VLOOKUP($E86,INSUMOS!$B:$E,3,0),""))</f>
        <v/>
      </c>
      <c r="I86" s="527"/>
      <c r="J86" s="528" t="str">
        <f>IF($E86="",IFERROR(VLOOKUP($D86,SERVIÇOS!$C:$H,6,0),IFERROR(VLOOKUP($D86,$F:$M,8,0),"")),IFERROR(VLOOKUP($E86,INSUMOS!$B:$E,4,0),""))</f>
        <v/>
      </c>
      <c r="K86" s="528">
        <f>TRUNC(IF($E86="",IFERROR(VLOOKUP($D86,SERVIÇOS!$C:$H,4,0),IFERROR(VLOOKUP($D86,$F:$M,6,0),)),IFERROR(VLOOKUP($E86,INSUMOS!$B:$E,4,0),))*$I86,2)</f>
        <v>0</v>
      </c>
      <c r="L86" s="528">
        <f>TRUNC(IF($E86="",IFERROR(VLOOKUP($D86,SERVIÇOS!$C:$H,5,0),IFERROR(VLOOKUP($D86,$F:$M,7,0),)),0)*$I86,2)</f>
        <v>0</v>
      </c>
      <c r="M86" s="528">
        <f t="shared" si="3"/>
        <v>0</v>
      </c>
      <c r="N86" s="526"/>
    </row>
    <row r="87" spans="3:14">
      <c r="C87" s="526" t="str">
        <f t="shared" si="2"/>
        <v/>
      </c>
      <c r="D87" s="531"/>
      <c r="E87" s="531"/>
      <c r="F87" s="526"/>
      <c r="G87" s="532" t="str">
        <f>IF($E87="",IFERROR(VLOOKUP($D87,SERVIÇOS!$C:$H,2,0),IFERROR(VLOOKUP($D87,$F:$M,2,0),"")),IFERROR(VLOOKUP($E87,INSUMOS!$B:$E,2,0),""))</f>
        <v/>
      </c>
      <c r="H87" s="526" t="str">
        <f>IF($E87="",IFERROR(VLOOKUP($D87,SERVIÇOS!$C:$H,3,0),IFERROR(VLOOKUP($D87,$F:$M,3,0),"")),IFERROR(VLOOKUP($E87,INSUMOS!$B:$E,3,0),""))</f>
        <v/>
      </c>
      <c r="I87" s="527"/>
      <c r="J87" s="528" t="str">
        <f>IF($E87="",IFERROR(VLOOKUP($D87,SERVIÇOS!$C:$H,6,0),IFERROR(VLOOKUP($D87,$F:$M,8,0),"")),IFERROR(VLOOKUP($E87,INSUMOS!$B:$E,4,0),""))</f>
        <v/>
      </c>
      <c r="K87" s="528">
        <f>TRUNC(IF($E87="",IFERROR(VLOOKUP($D87,SERVIÇOS!$C:$H,4,0),IFERROR(VLOOKUP($D87,$F:$M,6,0),)),IFERROR(VLOOKUP($E87,INSUMOS!$B:$E,4,0),))*$I87,2)</f>
        <v>0</v>
      </c>
      <c r="L87" s="528">
        <f>TRUNC(IF($E87="",IFERROR(VLOOKUP($D87,SERVIÇOS!$C:$H,5,0),IFERROR(VLOOKUP($D87,$F:$M,7,0),)),0)*$I87,2)</f>
        <v>0</v>
      </c>
      <c r="M87" s="528">
        <f t="shared" si="3"/>
        <v>0</v>
      </c>
      <c r="N87" s="526"/>
    </row>
    <row r="88" spans="3:14">
      <c r="C88" s="526" t="str">
        <f t="shared" si="2"/>
        <v/>
      </c>
      <c r="D88" s="531"/>
      <c r="E88" s="531"/>
      <c r="F88" s="526"/>
      <c r="G88" s="532" t="str">
        <f>IF($E88="",IFERROR(VLOOKUP($D88,SERVIÇOS!$C:$H,2,0),IFERROR(VLOOKUP($D88,$F:$M,2,0),"")),IFERROR(VLOOKUP($E88,INSUMOS!$B:$E,2,0),""))</f>
        <v/>
      </c>
      <c r="H88" s="526" t="str">
        <f>IF($E88="",IFERROR(VLOOKUP($D88,SERVIÇOS!$C:$H,3,0),IFERROR(VLOOKUP($D88,$F:$M,3,0),"")),IFERROR(VLOOKUP($E88,INSUMOS!$B:$E,3,0),""))</f>
        <v/>
      </c>
      <c r="I88" s="527"/>
      <c r="J88" s="528" t="str">
        <f>IF($E88="",IFERROR(VLOOKUP($D88,SERVIÇOS!$C:$H,6,0),IFERROR(VLOOKUP($D88,$F:$M,8,0),"")),IFERROR(VLOOKUP($E88,INSUMOS!$B:$E,4,0),""))</f>
        <v/>
      </c>
      <c r="K88" s="528">
        <f>TRUNC(IF($E88="",IFERROR(VLOOKUP($D88,SERVIÇOS!$C:$H,4,0),IFERROR(VLOOKUP($D88,$F:$M,6,0),)),IFERROR(VLOOKUP($E88,INSUMOS!$B:$E,4,0),))*$I88,2)</f>
        <v>0</v>
      </c>
      <c r="L88" s="528">
        <f>TRUNC(IF($E88="",IFERROR(VLOOKUP($D88,SERVIÇOS!$C:$H,5,0),IFERROR(VLOOKUP($D88,$F:$M,7,0),)),0)*$I88,2)</f>
        <v>0</v>
      </c>
      <c r="M88" s="528">
        <f t="shared" si="3"/>
        <v>0</v>
      </c>
      <c r="N88" s="526"/>
    </row>
    <row r="89" spans="3:14">
      <c r="C89" s="526" t="str">
        <f t="shared" si="2"/>
        <v/>
      </c>
      <c r="D89" s="531"/>
      <c r="E89" s="531"/>
      <c r="F89" s="526"/>
      <c r="G89" s="532" t="str">
        <f>IF($E89="",IFERROR(VLOOKUP($D89,SERVIÇOS!$C:$H,2,0),IFERROR(VLOOKUP($D89,$F:$M,2,0),"")),IFERROR(VLOOKUP($E89,INSUMOS!$B:$E,2,0),""))</f>
        <v/>
      </c>
      <c r="H89" s="526" t="str">
        <f>IF($E89="",IFERROR(VLOOKUP($D89,SERVIÇOS!$C:$H,3,0),IFERROR(VLOOKUP($D89,$F:$M,3,0),"")),IFERROR(VLOOKUP($E89,INSUMOS!$B:$E,3,0),""))</f>
        <v/>
      </c>
      <c r="I89" s="527"/>
      <c r="J89" s="528" t="str">
        <f>IF($E89="",IFERROR(VLOOKUP($D89,SERVIÇOS!$C:$H,6,0),IFERROR(VLOOKUP($D89,$F:$M,8,0),"")),IFERROR(VLOOKUP($E89,INSUMOS!$B:$E,4,0),""))</f>
        <v/>
      </c>
      <c r="K89" s="528">
        <f>TRUNC(IF($E89="",IFERROR(VLOOKUP($D89,SERVIÇOS!$C:$H,4,0),IFERROR(VLOOKUP($D89,$F:$M,6,0),)),IFERROR(VLOOKUP($E89,INSUMOS!$B:$E,4,0),))*$I89,2)</f>
        <v>0</v>
      </c>
      <c r="L89" s="528">
        <f>TRUNC(IF($E89="",IFERROR(VLOOKUP($D89,SERVIÇOS!$C:$H,5,0),IFERROR(VLOOKUP($D89,$F:$M,7,0),)),0)*$I89,2)</f>
        <v>0</v>
      </c>
      <c r="M89" s="528">
        <f t="shared" si="3"/>
        <v>0</v>
      </c>
      <c r="N89" s="526"/>
    </row>
    <row r="90" spans="3:14">
      <c r="C90" s="526" t="str">
        <f t="shared" si="2"/>
        <v/>
      </c>
      <c r="D90" s="531"/>
      <c r="E90" s="531"/>
      <c r="F90" s="526"/>
      <c r="G90" s="532" t="str">
        <f>IF($E90="",IFERROR(VLOOKUP($D90,SERVIÇOS!$C:$H,2,0),IFERROR(VLOOKUP($D90,$F:$M,2,0),"")),IFERROR(VLOOKUP($E90,INSUMOS!$B:$E,2,0),""))</f>
        <v/>
      </c>
      <c r="H90" s="526" t="str">
        <f>IF($E90="",IFERROR(VLOOKUP($D90,SERVIÇOS!$C:$H,3,0),IFERROR(VLOOKUP($D90,$F:$M,3,0),"")),IFERROR(VLOOKUP($E90,INSUMOS!$B:$E,3,0),""))</f>
        <v/>
      </c>
      <c r="I90" s="527"/>
      <c r="J90" s="528" t="str">
        <f>IF($E90="",IFERROR(VLOOKUP($D90,SERVIÇOS!$C:$H,6,0),IFERROR(VLOOKUP($D90,$F:$M,8,0),"")),IFERROR(VLOOKUP($E90,INSUMOS!$B:$E,4,0),""))</f>
        <v/>
      </c>
      <c r="K90" s="528">
        <f>TRUNC(IF($E90="",IFERROR(VLOOKUP($D90,SERVIÇOS!$C:$H,4,0),IFERROR(VLOOKUP($D90,$F:$M,6,0),)),IFERROR(VLOOKUP($E90,INSUMOS!$B:$E,4,0),))*$I90,2)</f>
        <v>0</v>
      </c>
      <c r="L90" s="528">
        <f>TRUNC(IF($E90="",IFERROR(VLOOKUP($D90,SERVIÇOS!$C:$H,5,0),IFERROR(VLOOKUP($D90,$F:$M,7,0),)),0)*$I90,2)</f>
        <v>0</v>
      </c>
      <c r="M90" s="528">
        <f t="shared" si="3"/>
        <v>0</v>
      </c>
      <c r="N90" s="526"/>
    </row>
    <row r="91" spans="3:14">
      <c r="C91" s="526" t="str">
        <f t="shared" si="2"/>
        <v/>
      </c>
      <c r="D91" s="531"/>
      <c r="E91" s="531"/>
      <c r="F91" s="526"/>
      <c r="G91" s="532" t="str">
        <f>IF($E91="",IFERROR(VLOOKUP($D91,SERVIÇOS!$C:$H,2,0),IFERROR(VLOOKUP($D91,$F:$M,2,0),"")),IFERROR(VLOOKUP($E91,INSUMOS!$B:$E,2,0),""))</f>
        <v/>
      </c>
      <c r="H91" s="526" t="str">
        <f>IF($E91="",IFERROR(VLOOKUP($D91,SERVIÇOS!$C:$H,3,0),IFERROR(VLOOKUP($D91,$F:$M,3,0),"")),IFERROR(VLOOKUP($E91,INSUMOS!$B:$E,3,0),""))</f>
        <v/>
      </c>
      <c r="I91" s="527"/>
      <c r="J91" s="528" t="str">
        <f>IF($E91="",IFERROR(VLOOKUP($D91,SERVIÇOS!$C:$H,6,0),IFERROR(VLOOKUP($D91,$F:$M,8,0),"")),IFERROR(VLOOKUP($E91,INSUMOS!$B:$E,4,0),""))</f>
        <v/>
      </c>
      <c r="K91" s="528">
        <f>TRUNC(IF($E91="",IFERROR(VLOOKUP($D91,SERVIÇOS!$C:$H,4,0),IFERROR(VLOOKUP($D91,$F:$M,6,0),)),IFERROR(VLOOKUP($E91,INSUMOS!$B:$E,4,0),))*$I91,2)</f>
        <v>0</v>
      </c>
      <c r="L91" s="528">
        <f>TRUNC(IF($E91="",IFERROR(VLOOKUP($D91,SERVIÇOS!$C:$H,5,0),IFERROR(VLOOKUP($D91,$F:$M,7,0),)),0)*$I91,2)</f>
        <v>0</v>
      </c>
      <c r="M91" s="528">
        <f t="shared" si="3"/>
        <v>0</v>
      </c>
      <c r="N91" s="526"/>
    </row>
    <row r="92" spans="3:14">
      <c r="C92" s="526" t="str">
        <f t="shared" si="2"/>
        <v/>
      </c>
      <c r="D92" s="531"/>
      <c r="E92" s="531"/>
      <c r="F92" s="526"/>
      <c r="G92" s="532" t="str">
        <f>IF($E92="",IFERROR(VLOOKUP($D92,SERVIÇOS!$C:$H,2,0),IFERROR(VLOOKUP($D92,$F:$M,2,0),"")),IFERROR(VLOOKUP($E92,INSUMOS!$B:$E,2,0),""))</f>
        <v/>
      </c>
      <c r="H92" s="526" t="str">
        <f>IF($E92="",IFERROR(VLOOKUP($D92,SERVIÇOS!$C:$H,3,0),IFERROR(VLOOKUP($D92,$F:$M,3,0),"")),IFERROR(VLOOKUP($E92,INSUMOS!$B:$E,3,0),""))</f>
        <v/>
      </c>
      <c r="I92" s="527"/>
      <c r="J92" s="528" t="str">
        <f>IF($E92="",IFERROR(VLOOKUP($D92,SERVIÇOS!$C:$H,6,0),IFERROR(VLOOKUP($D92,$F:$M,8,0),"")),IFERROR(VLOOKUP($E92,INSUMOS!$B:$E,4,0),""))</f>
        <v/>
      </c>
      <c r="K92" s="528">
        <f>TRUNC(IF($E92="",IFERROR(VLOOKUP($D92,SERVIÇOS!$C:$H,4,0),IFERROR(VLOOKUP($D92,$F:$M,6,0),)),IFERROR(VLOOKUP($E92,INSUMOS!$B:$E,4,0),))*$I92,2)</f>
        <v>0</v>
      </c>
      <c r="L92" s="528">
        <f>TRUNC(IF($E92="",IFERROR(VLOOKUP($D92,SERVIÇOS!$C:$H,5,0),IFERROR(VLOOKUP($D92,$F:$M,7,0),)),0)*$I92,2)</f>
        <v>0</v>
      </c>
      <c r="M92" s="528">
        <f t="shared" si="3"/>
        <v>0</v>
      </c>
      <c r="N92" s="526"/>
    </row>
    <row r="93" spans="3:14">
      <c r="C93" s="526" t="str">
        <f t="shared" si="2"/>
        <v/>
      </c>
      <c r="D93" s="531"/>
      <c r="E93" s="531"/>
      <c r="F93" s="526"/>
      <c r="G93" s="532" t="str">
        <f>IF($E93="",IFERROR(VLOOKUP($D93,SERVIÇOS!$C:$H,2,0),IFERROR(VLOOKUP($D93,$F:$M,2,0),"")),IFERROR(VLOOKUP($E93,INSUMOS!$B:$E,2,0),""))</f>
        <v/>
      </c>
      <c r="H93" s="526" t="str">
        <f>IF($E93="",IFERROR(VLOOKUP($D93,SERVIÇOS!$C:$H,3,0),IFERROR(VLOOKUP($D93,$F:$M,3,0),"")),IFERROR(VLOOKUP($E93,INSUMOS!$B:$E,3,0),""))</f>
        <v/>
      </c>
      <c r="I93" s="527"/>
      <c r="J93" s="528" t="str">
        <f>IF($E93="",IFERROR(VLOOKUP($D93,SERVIÇOS!$C:$H,6,0),IFERROR(VLOOKUP($D93,$F:$M,8,0),"")),IFERROR(VLOOKUP($E93,INSUMOS!$B:$E,4,0),""))</f>
        <v/>
      </c>
      <c r="K93" s="528">
        <f>TRUNC(IF($E93="",IFERROR(VLOOKUP($D93,SERVIÇOS!$C:$H,4,0),IFERROR(VLOOKUP($D93,$F:$M,6,0),)),IFERROR(VLOOKUP($E93,INSUMOS!$B:$E,4,0),))*$I93,2)</f>
        <v>0</v>
      </c>
      <c r="L93" s="528">
        <f>TRUNC(IF($E93="",IFERROR(VLOOKUP($D93,SERVIÇOS!$C:$H,5,0),IFERROR(VLOOKUP($D93,$F:$M,7,0),)),0)*$I93,2)</f>
        <v>0</v>
      </c>
      <c r="M93" s="528">
        <f t="shared" si="3"/>
        <v>0</v>
      </c>
      <c r="N93" s="526"/>
    </row>
    <row r="94" spans="3:14">
      <c r="C94" s="526" t="str">
        <f t="shared" si="2"/>
        <v/>
      </c>
      <c r="D94" s="531"/>
      <c r="E94" s="531"/>
      <c r="F94" s="526"/>
      <c r="G94" s="532" t="str">
        <f>IF($E94="",IFERROR(VLOOKUP($D94,SERVIÇOS!$C:$H,2,0),IFERROR(VLOOKUP($D94,$F:$M,2,0),"")),IFERROR(VLOOKUP($E94,INSUMOS!$B:$E,2,0),""))</f>
        <v/>
      </c>
      <c r="H94" s="526" t="str">
        <f>IF($E94="",IFERROR(VLOOKUP($D94,SERVIÇOS!$C:$H,3,0),IFERROR(VLOOKUP($D94,$F:$M,3,0),"")),IFERROR(VLOOKUP($E94,INSUMOS!$B:$E,3,0),""))</f>
        <v/>
      </c>
      <c r="I94" s="527"/>
      <c r="J94" s="528" t="str">
        <f>IF($E94="",IFERROR(VLOOKUP($D94,SERVIÇOS!$C:$H,6,0),IFERROR(VLOOKUP($D94,$F:$M,8,0),"")),IFERROR(VLOOKUP($E94,INSUMOS!$B:$E,4,0),""))</f>
        <v/>
      </c>
      <c r="K94" s="528">
        <f>TRUNC(IF($E94="",IFERROR(VLOOKUP($D94,SERVIÇOS!$C:$H,4,0),IFERROR(VLOOKUP($D94,$F:$M,6,0),)),IFERROR(VLOOKUP($E94,INSUMOS!$B:$E,4,0),))*$I94,2)</f>
        <v>0</v>
      </c>
      <c r="L94" s="528">
        <f>TRUNC(IF($E94="",IFERROR(VLOOKUP($D94,SERVIÇOS!$C:$H,5,0),IFERROR(VLOOKUP($D94,$F:$M,7,0),)),0)*$I94,2)</f>
        <v>0</v>
      </c>
      <c r="M94" s="528">
        <f t="shared" si="3"/>
        <v>0</v>
      </c>
      <c r="N94" s="526"/>
    </row>
    <row r="95" spans="3:14">
      <c r="C95" s="526" t="str">
        <f t="shared" si="2"/>
        <v/>
      </c>
      <c r="D95" s="531"/>
      <c r="E95" s="531"/>
      <c r="F95" s="526"/>
      <c r="G95" s="532" t="str">
        <f>IF($E95="",IFERROR(VLOOKUP($D95,SERVIÇOS!$C:$H,2,0),IFERROR(VLOOKUP($D95,$F:$M,2,0),"")),IFERROR(VLOOKUP($E95,INSUMOS!$B:$E,2,0),""))</f>
        <v/>
      </c>
      <c r="H95" s="526" t="str">
        <f>IF($E95="",IFERROR(VLOOKUP($D95,SERVIÇOS!$C:$H,3,0),IFERROR(VLOOKUP($D95,$F:$M,3,0),"")),IFERROR(VLOOKUP($E95,INSUMOS!$B:$E,3,0),""))</f>
        <v/>
      </c>
      <c r="I95" s="527"/>
      <c r="J95" s="528" t="str">
        <f>IF($E95="",IFERROR(VLOOKUP($D95,SERVIÇOS!$C:$H,6,0),IFERROR(VLOOKUP($D95,$F:$M,8,0),"")),IFERROR(VLOOKUP($E95,INSUMOS!$B:$E,4,0),""))</f>
        <v/>
      </c>
      <c r="K95" s="528">
        <f>TRUNC(IF($E95="",IFERROR(VLOOKUP($D95,SERVIÇOS!$C:$H,4,0),IFERROR(VLOOKUP($D95,$F:$M,6,0),)),IFERROR(VLOOKUP($E95,INSUMOS!$B:$E,4,0),))*$I95,2)</f>
        <v>0</v>
      </c>
      <c r="L95" s="528">
        <f>TRUNC(IF($E95="",IFERROR(VLOOKUP($D95,SERVIÇOS!$C:$H,5,0),IFERROR(VLOOKUP($D95,$F:$M,7,0),)),0)*$I95,2)</f>
        <v>0</v>
      </c>
      <c r="M95" s="528">
        <f t="shared" si="3"/>
        <v>0</v>
      </c>
      <c r="N95" s="526"/>
    </row>
    <row r="96" spans="3:14">
      <c r="C96" s="526" t="str">
        <f t="shared" si="2"/>
        <v/>
      </c>
      <c r="D96" s="531"/>
      <c r="E96" s="531"/>
      <c r="F96" s="526"/>
      <c r="G96" s="532" t="str">
        <f>IF($E96="",IFERROR(VLOOKUP($D96,SERVIÇOS!$C:$H,2,0),IFERROR(VLOOKUP($D96,$F:$M,2,0),"")),IFERROR(VLOOKUP($E96,INSUMOS!$B:$E,2,0),""))</f>
        <v/>
      </c>
      <c r="H96" s="526" t="str">
        <f>IF($E96="",IFERROR(VLOOKUP($D96,SERVIÇOS!$C:$H,3,0),IFERROR(VLOOKUP($D96,$F:$M,3,0),"")),IFERROR(VLOOKUP($E96,INSUMOS!$B:$E,3,0),""))</f>
        <v/>
      </c>
      <c r="I96" s="527"/>
      <c r="J96" s="528" t="str">
        <f>IF($E96="",IFERROR(VLOOKUP($D96,SERVIÇOS!$C:$H,6,0),IFERROR(VLOOKUP($D96,$F:$M,8,0),"")),IFERROR(VLOOKUP($E96,INSUMOS!$B:$E,4,0),""))</f>
        <v/>
      </c>
      <c r="K96" s="528">
        <f>TRUNC(IF($E96="",IFERROR(VLOOKUP($D96,SERVIÇOS!$C:$H,4,0),IFERROR(VLOOKUP($D96,$F:$M,6,0),)),IFERROR(VLOOKUP($E96,INSUMOS!$B:$E,4,0),))*$I96,2)</f>
        <v>0</v>
      </c>
      <c r="L96" s="528">
        <f>TRUNC(IF($E96="",IFERROR(VLOOKUP($D96,SERVIÇOS!$C:$H,5,0),IFERROR(VLOOKUP($D96,$F:$M,7,0),)),0)*$I96,2)</f>
        <v>0</v>
      </c>
      <c r="M96" s="528">
        <f t="shared" si="3"/>
        <v>0</v>
      </c>
      <c r="N96" s="526"/>
    </row>
    <row r="97" spans="3:14">
      <c r="C97" s="526" t="str">
        <f t="shared" si="2"/>
        <v/>
      </c>
      <c r="D97" s="531"/>
      <c r="E97" s="531"/>
      <c r="F97" s="526"/>
      <c r="G97" s="532" t="str">
        <f>IF($E97="",IFERROR(VLOOKUP($D97,SERVIÇOS!$C:$H,2,0),IFERROR(VLOOKUP($D97,$F:$M,2,0),"")),IFERROR(VLOOKUP($E97,INSUMOS!$B:$E,2,0),""))</f>
        <v/>
      </c>
      <c r="H97" s="526" t="str">
        <f>IF($E97="",IFERROR(VLOOKUP($D97,SERVIÇOS!$C:$H,3,0),IFERROR(VLOOKUP($D97,$F:$M,3,0),"")),IFERROR(VLOOKUP($E97,INSUMOS!$B:$E,3,0),""))</f>
        <v/>
      </c>
      <c r="I97" s="527"/>
      <c r="J97" s="528" t="str">
        <f>IF($E97="",IFERROR(VLOOKUP($D97,SERVIÇOS!$C:$H,6,0),IFERROR(VLOOKUP($D97,$F:$M,8,0),"")),IFERROR(VLOOKUP($E97,INSUMOS!$B:$E,4,0),""))</f>
        <v/>
      </c>
      <c r="K97" s="528">
        <f>TRUNC(IF($E97="",IFERROR(VLOOKUP($D97,SERVIÇOS!$C:$H,4,0),IFERROR(VLOOKUP($D97,$F:$M,6,0),)),IFERROR(VLOOKUP($E97,INSUMOS!$B:$E,4,0),))*$I97,2)</f>
        <v>0</v>
      </c>
      <c r="L97" s="528">
        <f>TRUNC(IF($E97="",IFERROR(VLOOKUP($D97,SERVIÇOS!$C:$H,5,0),IFERROR(VLOOKUP($D97,$F:$M,7,0),)),0)*$I97,2)</f>
        <v>0</v>
      </c>
      <c r="M97" s="528">
        <f t="shared" si="3"/>
        <v>0</v>
      </c>
      <c r="N97" s="526"/>
    </row>
    <row r="98" spans="3:14">
      <c r="C98" s="526" t="str">
        <f t="shared" si="2"/>
        <v/>
      </c>
      <c r="D98" s="531"/>
      <c r="E98" s="531"/>
      <c r="F98" s="526"/>
      <c r="G98" s="532" t="str">
        <f>IF($E98="",IFERROR(VLOOKUP($D98,SERVIÇOS!$C:$H,2,0),IFERROR(VLOOKUP($D98,$F:$M,2,0),"")),IFERROR(VLOOKUP($E98,INSUMOS!$B:$E,2,0),""))</f>
        <v/>
      </c>
      <c r="H98" s="526" t="str">
        <f>IF($E98="",IFERROR(VLOOKUP($D98,SERVIÇOS!$C:$H,3,0),IFERROR(VLOOKUP($D98,$F:$M,3,0),"")),IFERROR(VLOOKUP($E98,INSUMOS!$B:$E,3,0),""))</f>
        <v/>
      </c>
      <c r="I98" s="527"/>
      <c r="J98" s="528" t="str">
        <f>IF($E98="",IFERROR(VLOOKUP($D98,SERVIÇOS!$C:$H,6,0),IFERROR(VLOOKUP($D98,$F:$M,8,0),"")),IFERROR(VLOOKUP($E98,INSUMOS!$B:$E,4,0),""))</f>
        <v/>
      </c>
      <c r="K98" s="528">
        <f>TRUNC(IF($E98="",IFERROR(VLOOKUP($D98,SERVIÇOS!$C:$H,4,0),IFERROR(VLOOKUP($D98,$F:$M,6,0),)),IFERROR(VLOOKUP($E98,INSUMOS!$B:$E,4,0),))*$I98,2)</f>
        <v>0</v>
      </c>
      <c r="L98" s="528">
        <f>TRUNC(IF($E98="",IFERROR(VLOOKUP($D98,SERVIÇOS!$C:$H,5,0),IFERROR(VLOOKUP($D98,$F:$M,7,0),)),0)*$I98,2)</f>
        <v>0</v>
      </c>
      <c r="M98" s="528">
        <f t="shared" si="3"/>
        <v>0</v>
      </c>
      <c r="N98" s="526"/>
    </row>
    <row r="99" spans="3:14">
      <c r="C99" s="526" t="str">
        <f t="shared" si="2"/>
        <v/>
      </c>
      <c r="D99" s="531"/>
      <c r="E99" s="531"/>
      <c r="F99" s="526"/>
      <c r="G99" s="532" t="str">
        <f>IF($E99="",IFERROR(VLOOKUP($D99,SERVIÇOS!$C:$H,2,0),IFERROR(VLOOKUP($D99,$F:$M,2,0),"")),IFERROR(VLOOKUP($E99,INSUMOS!$B:$E,2,0),""))</f>
        <v/>
      </c>
      <c r="H99" s="526" t="str">
        <f>IF($E99="",IFERROR(VLOOKUP($D99,SERVIÇOS!$C:$H,3,0),IFERROR(VLOOKUP($D99,$F:$M,3,0),"")),IFERROR(VLOOKUP($E99,INSUMOS!$B:$E,3,0),""))</f>
        <v/>
      </c>
      <c r="I99" s="527"/>
      <c r="J99" s="528" t="str">
        <f>IF($E99="",IFERROR(VLOOKUP($D99,SERVIÇOS!$C:$H,6,0),IFERROR(VLOOKUP($D99,$F:$M,8,0),"")),IFERROR(VLOOKUP($E99,INSUMOS!$B:$E,4,0),""))</f>
        <v/>
      </c>
      <c r="K99" s="528">
        <f>TRUNC(IF($E99="",IFERROR(VLOOKUP($D99,SERVIÇOS!$C:$H,4,0),IFERROR(VLOOKUP($D99,$F:$M,6,0),)),IFERROR(VLOOKUP($E99,INSUMOS!$B:$E,4,0),))*$I99,2)</f>
        <v>0</v>
      </c>
      <c r="L99" s="528">
        <f>TRUNC(IF($E99="",IFERROR(VLOOKUP($D99,SERVIÇOS!$C:$H,5,0),IFERROR(VLOOKUP($D99,$F:$M,7,0),)),0)*$I99,2)</f>
        <v>0</v>
      </c>
      <c r="M99" s="528">
        <f t="shared" si="3"/>
        <v>0</v>
      </c>
      <c r="N99" s="526"/>
    </row>
    <row r="100" spans="3:14">
      <c r="C100" s="526" t="str">
        <f t="shared" si="2"/>
        <v/>
      </c>
      <c r="D100" s="531"/>
      <c r="E100" s="531"/>
      <c r="F100" s="526"/>
      <c r="G100" s="532" t="str">
        <f>IF($E100="",IFERROR(VLOOKUP($D100,SERVIÇOS!$C:$H,2,0),IFERROR(VLOOKUP($D100,$F:$M,2,0),"")),IFERROR(VLOOKUP($E100,INSUMOS!$B:$E,2,0),""))</f>
        <v/>
      </c>
      <c r="H100" s="526" t="str">
        <f>IF($E100="",IFERROR(VLOOKUP($D100,SERVIÇOS!$C:$H,3,0),IFERROR(VLOOKUP($D100,$F:$M,3,0),"")),IFERROR(VLOOKUP($E100,INSUMOS!$B:$E,3,0),""))</f>
        <v/>
      </c>
      <c r="I100" s="527"/>
      <c r="J100" s="528" t="str">
        <f>IF($E100="",IFERROR(VLOOKUP($D100,SERVIÇOS!$C:$H,6,0),IFERROR(VLOOKUP($D100,$F:$M,8,0),"")),IFERROR(VLOOKUP($E100,INSUMOS!$B:$E,4,0),""))</f>
        <v/>
      </c>
      <c r="K100" s="528">
        <f>TRUNC(IF($E100="",IFERROR(VLOOKUP($D100,SERVIÇOS!$C:$H,4,0),IFERROR(VLOOKUP($D100,$F:$M,6,0),)),IFERROR(VLOOKUP($E100,INSUMOS!$B:$E,4,0),))*$I100,2)</f>
        <v>0</v>
      </c>
      <c r="L100" s="528">
        <f>TRUNC(IF($E100="",IFERROR(VLOOKUP($D100,SERVIÇOS!$C:$H,5,0),IFERROR(VLOOKUP($D100,$F:$M,7,0),)),0)*$I100,2)</f>
        <v>0</v>
      </c>
      <c r="M100" s="528">
        <f t="shared" si="3"/>
        <v>0</v>
      </c>
      <c r="N100" s="526"/>
    </row>
    <row r="101" spans="3:14">
      <c r="C101" s="526" t="str">
        <f t="shared" si="2"/>
        <v/>
      </c>
      <c r="D101" s="531"/>
      <c r="E101" s="531"/>
      <c r="F101" s="526"/>
      <c r="G101" s="532" t="str">
        <f>IF($E101="",IFERROR(VLOOKUP($D101,SERVIÇOS!$C:$H,2,0),IFERROR(VLOOKUP($D101,$F:$M,2,0),"")),IFERROR(VLOOKUP($E101,INSUMOS!$B:$E,2,0),""))</f>
        <v/>
      </c>
      <c r="H101" s="526" t="str">
        <f>IF($E101="",IFERROR(VLOOKUP($D101,SERVIÇOS!$C:$H,3,0),IFERROR(VLOOKUP($D101,$F:$M,3,0),"")),IFERROR(VLOOKUP($E101,INSUMOS!$B:$E,3,0),""))</f>
        <v/>
      </c>
      <c r="I101" s="527"/>
      <c r="J101" s="528" t="str">
        <f>IF($E101="",IFERROR(VLOOKUP($D101,SERVIÇOS!$C:$H,6,0),IFERROR(VLOOKUP($D101,$F:$M,8,0),"")),IFERROR(VLOOKUP($E101,INSUMOS!$B:$E,4,0),""))</f>
        <v/>
      </c>
      <c r="K101" s="528">
        <f>TRUNC(IF($E101="",IFERROR(VLOOKUP($D101,SERVIÇOS!$C:$H,4,0),IFERROR(VLOOKUP($D101,$F:$M,6,0),)),IFERROR(VLOOKUP($E101,INSUMOS!$B:$E,4,0),))*$I101,2)</f>
        <v>0</v>
      </c>
      <c r="L101" s="528">
        <f>TRUNC(IF($E101="",IFERROR(VLOOKUP($D101,SERVIÇOS!$C:$H,5,0),IFERROR(VLOOKUP($D101,$F:$M,7,0),)),0)*$I101,2)</f>
        <v>0</v>
      </c>
      <c r="M101" s="528">
        <f t="shared" si="3"/>
        <v>0</v>
      </c>
      <c r="N101" s="526"/>
    </row>
    <row r="102" spans="3:14">
      <c r="C102" s="526" t="str">
        <f t="shared" si="2"/>
        <v/>
      </c>
      <c r="D102" s="531"/>
      <c r="E102" s="531"/>
      <c r="F102" s="526"/>
      <c r="G102" s="532" t="str">
        <f>IF($E102="",IFERROR(VLOOKUP($D102,SERVIÇOS!$C:$H,2,0),IFERROR(VLOOKUP($D102,$F:$M,2,0),"")),IFERROR(VLOOKUP($E102,INSUMOS!$B:$E,2,0),""))</f>
        <v/>
      </c>
      <c r="H102" s="526" t="str">
        <f>IF($E102="",IFERROR(VLOOKUP($D102,SERVIÇOS!$C:$H,3,0),IFERROR(VLOOKUP($D102,$F:$M,3,0),"")),IFERROR(VLOOKUP($E102,INSUMOS!$B:$E,3,0),""))</f>
        <v/>
      </c>
      <c r="I102" s="527"/>
      <c r="J102" s="528" t="str">
        <f>IF($E102="",IFERROR(VLOOKUP($D102,SERVIÇOS!$C:$H,6,0),IFERROR(VLOOKUP($D102,$F:$M,8,0),"")),IFERROR(VLOOKUP($E102,INSUMOS!$B:$E,4,0),""))</f>
        <v/>
      </c>
      <c r="K102" s="528">
        <f>TRUNC(IF($E102="",IFERROR(VLOOKUP($D102,SERVIÇOS!$C:$H,4,0),IFERROR(VLOOKUP($D102,$F:$M,6,0),)),IFERROR(VLOOKUP($E102,INSUMOS!$B:$E,4,0),))*$I102,2)</f>
        <v>0</v>
      </c>
      <c r="L102" s="528">
        <f>TRUNC(IF($E102="",IFERROR(VLOOKUP($D102,SERVIÇOS!$C:$H,5,0),IFERROR(VLOOKUP($D102,$F:$M,7,0),)),0)*$I102,2)</f>
        <v>0</v>
      </c>
      <c r="M102" s="528">
        <f t="shared" si="3"/>
        <v>0</v>
      </c>
      <c r="N102" s="526"/>
    </row>
    <row r="103" spans="3:14">
      <c r="C103" s="526" t="str">
        <f t="shared" si="2"/>
        <v/>
      </c>
      <c r="D103" s="531"/>
      <c r="E103" s="531"/>
      <c r="F103" s="526"/>
      <c r="G103" s="532" t="str">
        <f>IF($E103="",IFERROR(VLOOKUP($D103,SERVIÇOS!$C:$H,2,0),IFERROR(VLOOKUP($D103,$F:$M,2,0),"")),IFERROR(VLOOKUP($E103,INSUMOS!$B:$E,2,0),""))</f>
        <v/>
      </c>
      <c r="H103" s="526" t="str">
        <f>IF($E103="",IFERROR(VLOOKUP($D103,SERVIÇOS!$C:$H,3,0),IFERROR(VLOOKUP($D103,$F:$M,3,0),"")),IFERROR(VLOOKUP($E103,INSUMOS!$B:$E,3,0),""))</f>
        <v/>
      </c>
      <c r="I103" s="527"/>
      <c r="J103" s="528" t="str">
        <f>IF($E103="",IFERROR(VLOOKUP($D103,SERVIÇOS!$C:$H,6,0),IFERROR(VLOOKUP($D103,$F:$M,8,0),"")),IFERROR(VLOOKUP($E103,INSUMOS!$B:$E,4,0),""))</f>
        <v/>
      </c>
      <c r="K103" s="528">
        <f>TRUNC(IF($E103="",IFERROR(VLOOKUP($D103,SERVIÇOS!$C:$H,4,0),IFERROR(VLOOKUP($D103,$F:$M,6,0),)),IFERROR(VLOOKUP($E103,INSUMOS!$B:$E,4,0),))*$I103,2)</f>
        <v>0</v>
      </c>
      <c r="L103" s="528">
        <f>TRUNC(IF($E103="",IFERROR(VLOOKUP($D103,SERVIÇOS!$C:$H,5,0),IFERROR(VLOOKUP($D103,$F:$M,7,0),)),0)*$I103,2)</f>
        <v>0</v>
      </c>
      <c r="M103" s="528">
        <f t="shared" si="3"/>
        <v>0</v>
      </c>
      <c r="N103" s="526"/>
    </row>
    <row r="104" spans="3:14">
      <c r="C104" s="526" t="str">
        <f t="shared" si="2"/>
        <v/>
      </c>
      <c r="D104" s="531"/>
      <c r="E104" s="531"/>
      <c r="F104" s="526"/>
      <c r="G104" s="532" t="str">
        <f>IF($E104="",IFERROR(VLOOKUP($D104,SERVIÇOS!$C:$H,2,0),IFERROR(VLOOKUP($D104,$F:$M,2,0),"")),IFERROR(VLOOKUP($E104,INSUMOS!$B:$E,2,0),""))</f>
        <v/>
      </c>
      <c r="H104" s="526" t="str">
        <f>IF($E104="",IFERROR(VLOOKUP($D104,SERVIÇOS!$C:$H,3,0),IFERROR(VLOOKUP($D104,$F:$M,3,0),"")),IFERROR(VLOOKUP($E104,INSUMOS!$B:$E,3,0),""))</f>
        <v/>
      </c>
      <c r="I104" s="527"/>
      <c r="J104" s="528" t="str">
        <f>IF($E104="",IFERROR(VLOOKUP($D104,SERVIÇOS!$C:$H,6,0),IFERROR(VLOOKUP($D104,$F:$M,8,0),"")),IFERROR(VLOOKUP($E104,INSUMOS!$B:$E,4,0),""))</f>
        <v/>
      </c>
      <c r="K104" s="528">
        <f>TRUNC(IF($E104="",IFERROR(VLOOKUP($D104,SERVIÇOS!$C:$H,4,0),IFERROR(VLOOKUP($D104,$F:$M,6,0),)),IFERROR(VLOOKUP($E104,INSUMOS!$B:$E,4,0),))*$I104,2)</f>
        <v>0</v>
      </c>
      <c r="L104" s="528">
        <f>TRUNC(IF($E104="",IFERROR(VLOOKUP($D104,SERVIÇOS!$C:$H,5,0),IFERROR(VLOOKUP($D104,$F:$M,7,0),)),0)*$I104,2)</f>
        <v>0</v>
      </c>
      <c r="M104" s="528">
        <f t="shared" si="3"/>
        <v>0</v>
      </c>
      <c r="N104" s="526"/>
    </row>
    <row r="105" spans="3:14">
      <c r="C105" s="526" t="str">
        <f t="shared" si="2"/>
        <v/>
      </c>
      <c r="D105" s="531"/>
      <c r="E105" s="531"/>
      <c r="F105" s="526"/>
      <c r="G105" s="532" t="str">
        <f>IF($E105="",IFERROR(VLOOKUP($D105,SERVIÇOS!$C:$H,2,0),IFERROR(VLOOKUP($D105,$F:$M,2,0),"")),IFERROR(VLOOKUP($E105,INSUMOS!$B:$E,2,0),""))</f>
        <v/>
      </c>
      <c r="H105" s="526" t="str">
        <f>IF($E105="",IFERROR(VLOOKUP($D105,SERVIÇOS!$C:$H,3,0),IFERROR(VLOOKUP($D105,$F:$M,3,0),"")),IFERROR(VLOOKUP($E105,INSUMOS!$B:$E,3,0),""))</f>
        <v/>
      </c>
      <c r="I105" s="527"/>
      <c r="J105" s="528" t="str">
        <f>IF($E105="",IFERROR(VLOOKUP($D105,SERVIÇOS!$C:$H,6,0),IFERROR(VLOOKUP($D105,$F:$M,8,0),"")),IFERROR(VLOOKUP($E105,INSUMOS!$B:$E,4,0),""))</f>
        <v/>
      </c>
      <c r="K105" s="528">
        <f>TRUNC(IF($E105="",IFERROR(VLOOKUP($D105,SERVIÇOS!$C:$H,4,0),IFERROR(VLOOKUP($D105,$F:$M,6,0),)),IFERROR(VLOOKUP($E105,INSUMOS!$B:$E,4,0),))*$I105,2)</f>
        <v>0</v>
      </c>
      <c r="L105" s="528">
        <f>TRUNC(IF($E105="",IFERROR(VLOOKUP($D105,SERVIÇOS!$C:$H,5,0),IFERROR(VLOOKUP($D105,$F:$M,7,0),)),0)*$I105,2)</f>
        <v>0</v>
      </c>
      <c r="M105" s="528">
        <f t="shared" si="3"/>
        <v>0</v>
      </c>
      <c r="N105" s="526"/>
    </row>
    <row r="106" spans="3:14">
      <c r="C106" s="526" t="str">
        <f t="shared" si="2"/>
        <v/>
      </c>
      <c r="D106" s="531"/>
      <c r="E106" s="531"/>
      <c r="F106" s="526"/>
      <c r="G106" s="532" t="str">
        <f>IF($E106="",IFERROR(VLOOKUP($D106,SERVIÇOS!$C:$H,2,0),IFERROR(VLOOKUP($D106,$F:$M,2,0),"")),IFERROR(VLOOKUP($E106,INSUMOS!$B:$E,2,0),""))</f>
        <v/>
      </c>
      <c r="H106" s="526" t="str">
        <f>IF($E106="",IFERROR(VLOOKUP($D106,SERVIÇOS!$C:$H,3,0),IFERROR(VLOOKUP($D106,$F:$M,3,0),"")),IFERROR(VLOOKUP($E106,INSUMOS!$B:$E,3,0),""))</f>
        <v/>
      </c>
      <c r="I106" s="527"/>
      <c r="J106" s="528" t="str">
        <f>IF($E106="",IFERROR(VLOOKUP($D106,SERVIÇOS!$C:$H,6,0),IFERROR(VLOOKUP($D106,$F:$M,8,0),"")),IFERROR(VLOOKUP($E106,INSUMOS!$B:$E,4,0),""))</f>
        <v/>
      </c>
      <c r="K106" s="528">
        <f>TRUNC(IF($E106="",IFERROR(VLOOKUP($D106,SERVIÇOS!$C:$H,4,0),IFERROR(VLOOKUP($D106,$F:$M,6,0),)),IFERROR(VLOOKUP($E106,INSUMOS!$B:$E,4,0),))*$I106,2)</f>
        <v>0</v>
      </c>
      <c r="L106" s="528">
        <f>TRUNC(IF($E106="",IFERROR(VLOOKUP($D106,SERVIÇOS!$C:$H,5,0),IFERROR(VLOOKUP($D106,$F:$M,7,0),)),0)*$I106,2)</f>
        <v>0</v>
      </c>
      <c r="M106" s="528">
        <f t="shared" si="3"/>
        <v>0</v>
      </c>
      <c r="N106" s="526"/>
    </row>
    <row r="107" spans="3:14">
      <c r="C107" s="526" t="str">
        <f t="shared" si="2"/>
        <v/>
      </c>
      <c r="D107" s="531"/>
      <c r="E107" s="531"/>
      <c r="F107" s="526"/>
      <c r="G107" s="532" t="str">
        <f>IF($E107="",IFERROR(VLOOKUP($D107,SERVIÇOS!$C:$H,2,0),IFERROR(VLOOKUP($D107,$F:$M,2,0),"")),IFERROR(VLOOKUP($E107,INSUMOS!$B:$E,2,0),""))</f>
        <v/>
      </c>
      <c r="H107" s="526" t="str">
        <f>IF($E107="",IFERROR(VLOOKUP($D107,SERVIÇOS!$C:$H,3,0),IFERROR(VLOOKUP($D107,$F:$M,3,0),"")),IFERROR(VLOOKUP($E107,INSUMOS!$B:$E,3,0),""))</f>
        <v/>
      </c>
      <c r="I107" s="527"/>
      <c r="J107" s="528" t="str">
        <f>IF($E107="",IFERROR(VLOOKUP($D107,SERVIÇOS!$C:$H,6,0),IFERROR(VLOOKUP($D107,$F:$M,8,0),"")),IFERROR(VLOOKUP($E107,INSUMOS!$B:$E,4,0),""))</f>
        <v/>
      </c>
      <c r="K107" s="528">
        <f>TRUNC(IF($E107="",IFERROR(VLOOKUP($D107,SERVIÇOS!$C:$H,4,0),IFERROR(VLOOKUP($D107,$F:$M,6,0),)),IFERROR(VLOOKUP($E107,INSUMOS!$B:$E,4,0),))*$I107,2)</f>
        <v>0</v>
      </c>
      <c r="L107" s="528">
        <f>TRUNC(IF($E107="",IFERROR(VLOOKUP($D107,SERVIÇOS!$C:$H,5,0),IFERROR(VLOOKUP($D107,$F:$M,7,0),)),0)*$I107,2)</f>
        <v>0</v>
      </c>
      <c r="M107" s="528">
        <f t="shared" si="3"/>
        <v>0</v>
      </c>
      <c r="N107" s="526"/>
    </row>
    <row r="108" spans="3:14">
      <c r="C108" s="526" t="str">
        <f t="shared" si="2"/>
        <v/>
      </c>
      <c r="D108" s="531"/>
      <c r="E108" s="531"/>
      <c r="F108" s="526"/>
      <c r="G108" s="532" t="str">
        <f>IF($E108="",IFERROR(VLOOKUP($D108,SERVIÇOS!$C:$H,2,0),IFERROR(VLOOKUP($D108,$F:$M,2,0),"")),IFERROR(VLOOKUP($E108,INSUMOS!$B:$E,2,0),""))</f>
        <v/>
      </c>
      <c r="H108" s="526" t="str">
        <f>IF($E108="",IFERROR(VLOOKUP($D108,SERVIÇOS!$C:$H,3,0),IFERROR(VLOOKUP($D108,$F:$M,3,0),"")),IFERROR(VLOOKUP($E108,INSUMOS!$B:$E,3,0),""))</f>
        <v/>
      </c>
      <c r="I108" s="527"/>
      <c r="J108" s="528" t="str">
        <f>IF($E108="",IFERROR(VLOOKUP($D108,SERVIÇOS!$C:$H,6,0),IFERROR(VLOOKUP($D108,$F:$M,8,0),"")),IFERROR(VLOOKUP($E108,INSUMOS!$B:$E,4,0),""))</f>
        <v/>
      </c>
      <c r="K108" s="528">
        <f>TRUNC(IF($E108="",IFERROR(VLOOKUP($D108,SERVIÇOS!$C:$H,4,0),IFERROR(VLOOKUP($D108,$F:$M,6,0),)),IFERROR(VLOOKUP($E108,INSUMOS!$B:$E,4,0),))*$I108,2)</f>
        <v>0</v>
      </c>
      <c r="L108" s="528">
        <f>TRUNC(IF($E108="",IFERROR(VLOOKUP($D108,SERVIÇOS!$C:$H,5,0),IFERROR(VLOOKUP($D108,$F:$M,7,0),)),0)*$I108,2)</f>
        <v>0</v>
      </c>
      <c r="M108" s="528">
        <f t="shared" si="3"/>
        <v>0</v>
      </c>
      <c r="N108" s="526"/>
    </row>
    <row r="109" spans="3:14">
      <c r="C109" s="526" t="str">
        <f t="shared" si="2"/>
        <v/>
      </c>
      <c r="D109" s="531"/>
      <c r="E109" s="531"/>
      <c r="F109" s="526"/>
      <c r="G109" s="532" t="str">
        <f>IF($E109="",IFERROR(VLOOKUP($D109,SERVIÇOS!$C:$H,2,0),IFERROR(VLOOKUP($D109,$F:$M,2,0),"")),IFERROR(VLOOKUP($E109,INSUMOS!$B:$E,2,0),""))</f>
        <v/>
      </c>
      <c r="H109" s="526" t="str">
        <f>IF($E109="",IFERROR(VLOOKUP($D109,SERVIÇOS!$C:$H,3,0),IFERROR(VLOOKUP($D109,$F:$M,3,0),"")),IFERROR(VLOOKUP($E109,INSUMOS!$B:$E,3,0),""))</f>
        <v/>
      </c>
      <c r="I109" s="527"/>
      <c r="J109" s="528" t="str">
        <f>IF($E109="",IFERROR(VLOOKUP($D109,SERVIÇOS!$C:$H,6,0),IFERROR(VLOOKUP($D109,$F:$M,8,0),"")),IFERROR(VLOOKUP($E109,INSUMOS!$B:$E,4,0),""))</f>
        <v/>
      </c>
      <c r="K109" s="528">
        <f>TRUNC(IF($E109="",IFERROR(VLOOKUP($D109,SERVIÇOS!$C:$H,4,0),IFERROR(VLOOKUP($D109,$F:$M,6,0),)),IFERROR(VLOOKUP($E109,INSUMOS!$B:$E,4,0),))*$I109,2)</f>
        <v>0</v>
      </c>
      <c r="L109" s="528">
        <f>TRUNC(IF($E109="",IFERROR(VLOOKUP($D109,SERVIÇOS!$C:$H,5,0),IFERROR(VLOOKUP($D109,$F:$M,7,0),)),0)*$I109,2)</f>
        <v>0</v>
      </c>
      <c r="M109" s="528">
        <f t="shared" si="3"/>
        <v>0</v>
      </c>
      <c r="N109" s="526"/>
    </row>
    <row r="110" spans="3:14">
      <c r="C110" s="526" t="str">
        <f t="shared" si="2"/>
        <v/>
      </c>
      <c r="D110" s="531"/>
      <c r="E110" s="531"/>
      <c r="F110" s="526"/>
      <c r="G110" s="532" t="str">
        <f>IF($E110="",IFERROR(VLOOKUP($D110,SERVIÇOS!$C:$H,2,0),IFERROR(VLOOKUP($D110,$F:$M,2,0),"")),IFERROR(VLOOKUP($E110,INSUMOS!$B:$E,2,0),""))</f>
        <v/>
      </c>
      <c r="H110" s="526" t="str">
        <f>IF($E110="",IFERROR(VLOOKUP($D110,SERVIÇOS!$C:$H,3,0),IFERROR(VLOOKUP($D110,$F:$M,3,0),"")),IFERROR(VLOOKUP($E110,INSUMOS!$B:$E,3,0),""))</f>
        <v/>
      </c>
      <c r="I110" s="527"/>
      <c r="J110" s="528" t="str">
        <f>IF($E110="",IFERROR(VLOOKUP($D110,SERVIÇOS!$C:$H,6,0),IFERROR(VLOOKUP($D110,$F:$M,8,0),"")),IFERROR(VLOOKUP($E110,INSUMOS!$B:$E,4,0),""))</f>
        <v/>
      </c>
      <c r="K110" s="528">
        <f>TRUNC(IF($E110="",IFERROR(VLOOKUP($D110,SERVIÇOS!$C:$H,4,0),IFERROR(VLOOKUP($D110,$F:$M,6,0),)),IFERROR(VLOOKUP($E110,INSUMOS!$B:$E,4,0),))*$I110,2)</f>
        <v>0</v>
      </c>
      <c r="L110" s="528">
        <f>TRUNC(IF($E110="",IFERROR(VLOOKUP($D110,SERVIÇOS!$C:$H,5,0),IFERROR(VLOOKUP($D110,$F:$M,7,0),)),0)*$I110,2)</f>
        <v>0</v>
      </c>
      <c r="M110" s="528">
        <f t="shared" si="3"/>
        <v>0</v>
      </c>
      <c r="N110" s="526"/>
    </row>
    <row r="111" spans="3:14">
      <c r="C111" s="526" t="str">
        <f t="shared" si="2"/>
        <v/>
      </c>
      <c r="D111" s="531"/>
      <c r="E111" s="531"/>
      <c r="F111" s="526"/>
      <c r="G111" s="532" t="str">
        <f>IF($E111="",IFERROR(VLOOKUP($D111,SERVIÇOS!$C:$H,2,0),IFERROR(VLOOKUP($D111,$F:$M,2,0),"")),IFERROR(VLOOKUP($E111,INSUMOS!$B:$E,2,0),""))</f>
        <v/>
      </c>
      <c r="H111" s="526" t="str">
        <f>IF($E111="",IFERROR(VLOOKUP($D111,SERVIÇOS!$C:$H,3,0),IFERROR(VLOOKUP($D111,$F:$M,3,0),"")),IFERROR(VLOOKUP($E111,INSUMOS!$B:$E,3,0),""))</f>
        <v/>
      </c>
      <c r="I111" s="527"/>
      <c r="J111" s="528" t="str">
        <f>IF($E111="",IFERROR(VLOOKUP($D111,SERVIÇOS!$C:$H,6,0),IFERROR(VLOOKUP($D111,$F:$M,8,0),"")),IFERROR(VLOOKUP($E111,INSUMOS!$B:$E,4,0),""))</f>
        <v/>
      </c>
      <c r="K111" s="528">
        <f>TRUNC(IF($E111="",IFERROR(VLOOKUP($D111,SERVIÇOS!$C:$H,4,0),IFERROR(VLOOKUP($D111,$F:$M,6,0),)),IFERROR(VLOOKUP($E111,INSUMOS!$B:$E,4,0),))*$I111,2)</f>
        <v>0</v>
      </c>
      <c r="L111" s="528">
        <f>TRUNC(IF($E111="",IFERROR(VLOOKUP($D111,SERVIÇOS!$C:$H,5,0),IFERROR(VLOOKUP($D111,$F:$M,7,0),)),0)*$I111,2)</f>
        <v>0</v>
      </c>
      <c r="M111" s="528">
        <f t="shared" si="3"/>
        <v>0</v>
      </c>
      <c r="N111" s="526"/>
    </row>
    <row r="112" spans="3:14">
      <c r="C112" s="526" t="str">
        <f t="shared" si="2"/>
        <v/>
      </c>
      <c r="D112" s="531"/>
      <c r="E112" s="531"/>
      <c r="F112" s="526"/>
      <c r="G112" s="532" t="str">
        <f>IF($E112="",IFERROR(VLOOKUP($D112,SERVIÇOS!$C:$H,2,0),IFERROR(VLOOKUP($D112,$F:$M,2,0),"")),IFERROR(VLOOKUP($E112,INSUMOS!$B:$E,2,0),""))</f>
        <v/>
      </c>
      <c r="H112" s="526" t="str">
        <f>IF($E112="",IFERROR(VLOOKUP($D112,SERVIÇOS!$C:$H,3,0),IFERROR(VLOOKUP($D112,$F:$M,3,0),"")),IFERROR(VLOOKUP($E112,INSUMOS!$B:$E,3,0),""))</f>
        <v/>
      </c>
      <c r="I112" s="527"/>
      <c r="J112" s="528" t="str">
        <f>IF($E112="",IFERROR(VLOOKUP($D112,SERVIÇOS!$C:$H,6,0),IFERROR(VLOOKUP($D112,$F:$M,8,0),"")),IFERROR(VLOOKUP($E112,INSUMOS!$B:$E,4,0),""))</f>
        <v/>
      </c>
      <c r="K112" s="528">
        <f>TRUNC(IF($E112="",IFERROR(VLOOKUP($D112,SERVIÇOS!$C:$H,4,0),IFERROR(VLOOKUP($D112,$F:$M,6,0),)),IFERROR(VLOOKUP($E112,INSUMOS!$B:$E,4,0),))*$I112,2)</f>
        <v>0</v>
      </c>
      <c r="L112" s="528">
        <f>TRUNC(IF($E112="",IFERROR(VLOOKUP($D112,SERVIÇOS!$C:$H,5,0),IFERROR(VLOOKUP($D112,$F:$M,7,0),)),0)*$I112,2)</f>
        <v>0</v>
      </c>
      <c r="M112" s="528">
        <f t="shared" si="3"/>
        <v>0</v>
      </c>
      <c r="N112" s="526"/>
    </row>
    <row r="113" spans="3:14">
      <c r="C113" s="526" t="str">
        <f t="shared" si="2"/>
        <v/>
      </c>
      <c r="D113" s="531"/>
      <c r="E113" s="531"/>
      <c r="F113" s="526"/>
      <c r="G113" s="532" t="str">
        <f>IF($E113="",IFERROR(VLOOKUP($D113,SERVIÇOS!$C:$H,2,0),IFERROR(VLOOKUP($D113,$F:$M,2,0),"")),IFERROR(VLOOKUP($E113,INSUMOS!$B:$E,2,0),""))</f>
        <v/>
      </c>
      <c r="H113" s="526" t="str">
        <f>IF($E113="",IFERROR(VLOOKUP($D113,SERVIÇOS!$C:$H,3,0),IFERROR(VLOOKUP($D113,$F:$M,3,0),"")),IFERROR(VLOOKUP($E113,INSUMOS!$B:$E,3,0),""))</f>
        <v/>
      </c>
      <c r="I113" s="527"/>
      <c r="J113" s="528" t="str">
        <f>IF($E113="",IFERROR(VLOOKUP($D113,SERVIÇOS!$C:$H,6,0),IFERROR(VLOOKUP($D113,$F:$M,8,0),"")),IFERROR(VLOOKUP($E113,INSUMOS!$B:$E,4,0),""))</f>
        <v/>
      </c>
      <c r="K113" s="528">
        <f>TRUNC(IF($E113="",IFERROR(VLOOKUP($D113,SERVIÇOS!$C:$H,4,0),IFERROR(VLOOKUP($D113,$F:$M,6,0),)),IFERROR(VLOOKUP($E113,INSUMOS!$B:$E,4,0),))*$I113,2)</f>
        <v>0</v>
      </c>
      <c r="L113" s="528">
        <f>TRUNC(IF($E113="",IFERROR(VLOOKUP($D113,SERVIÇOS!$C:$H,5,0),IFERROR(VLOOKUP($D113,$F:$M,7,0),)),0)*$I113,2)</f>
        <v>0</v>
      </c>
      <c r="M113" s="528">
        <f t="shared" si="3"/>
        <v>0</v>
      </c>
      <c r="N113" s="526"/>
    </row>
    <row r="114" spans="3:14">
      <c r="C114" s="526" t="str">
        <f t="shared" si="2"/>
        <v/>
      </c>
      <c r="D114" s="531"/>
      <c r="E114" s="531"/>
      <c r="F114" s="526"/>
      <c r="G114" s="532" t="str">
        <f>IF($E114="",IFERROR(VLOOKUP($D114,SERVIÇOS!$C:$H,2,0),IFERROR(VLOOKUP($D114,$F:$M,2,0),"")),IFERROR(VLOOKUP($E114,INSUMOS!$B:$E,2,0),""))</f>
        <v/>
      </c>
      <c r="H114" s="526" t="str">
        <f>IF($E114="",IFERROR(VLOOKUP($D114,SERVIÇOS!$C:$H,3,0),IFERROR(VLOOKUP($D114,$F:$M,3,0),"")),IFERROR(VLOOKUP($E114,INSUMOS!$B:$E,3,0),""))</f>
        <v/>
      </c>
      <c r="I114" s="527"/>
      <c r="J114" s="528" t="str">
        <f>IF($E114="",IFERROR(VLOOKUP($D114,SERVIÇOS!$C:$H,6,0),IFERROR(VLOOKUP($D114,$F:$M,8,0),"")),IFERROR(VLOOKUP($E114,INSUMOS!$B:$E,4,0),""))</f>
        <v/>
      </c>
      <c r="K114" s="528">
        <f>TRUNC(IF($E114="",IFERROR(VLOOKUP($D114,SERVIÇOS!$C:$H,4,0),IFERROR(VLOOKUP($D114,$F:$M,6,0),)),IFERROR(VLOOKUP($E114,INSUMOS!$B:$E,4,0),))*$I114,2)</f>
        <v>0</v>
      </c>
      <c r="L114" s="528">
        <f>TRUNC(IF($E114="",IFERROR(VLOOKUP($D114,SERVIÇOS!$C:$H,5,0),IFERROR(VLOOKUP($D114,$F:$M,7,0),)),0)*$I114,2)</f>
        <v>0</v>
      </c>
      <c r="M114" s="528">
        <f t="shared" si="3"/>
        <v>0</v>
      </c>
      <c r="N114" s="526"/>
    </row>
    <row r="115" spans="3:14">
      <c r="C115" s="526" t="str">
        <f t="shared" si="2"/>
        <v/>
      </c>
      <c r="D115" s="531"/>
      <c r="E115" s="531"/>
      <c r="F115" s="526"/>
      <c r="G115" s="532" t="str">
        <f>IF($E115="",IFERROR(VLOOKUP($D115,SERVIÇOS!$C:$H,2,0),IFERROR(VLOOKUP($D115,$F:$M,2,0),"")),IFERROR(VLOOKUP($E115,INSUMOS!$B:$E,2,0),""))</f>
        <v/>
      </c>
      <c r="H115" s="526" t="str">
        <f>IF($E115="",IFERROR(VLOOKUP($D115,SERVIÇOS!$C:$H,3,0),IFERROR(VLOOKUP($D115,$F:$M,3,0),"")),IFERROR(VLOOKUP($E115,INSUMOS!$B:$E,3,0),""))</f>
        <v/>
      </c>
      <c r="I115" s="527"/>
      <c r="J115" s="528" t="str">
        <f>IF($E115="",IFERROR(VLOOKUP($D115,SERVIÇOS!$C:$H,6,0),IFERROR(VLOOKUP($D115,$F:$M,8,0),"")),IFERROR(VLOOKUP($E115,INSUMOS!$B:$E,4,0),""))</f>
        <v/>
      </c>
      <c r="K115" s="528">
        <f>TRUNC(IF($E115="",IFERROR(VLOOKUP($D115,SERVIÇOS!$C:$H,4,0),IFERROR(VLOOKUP($D115,$F:$M,6,0),)),IFERROR(VLOOKUP($E115,INSUMOS!$B:$E,4,0),))*$I115,2)</f>
        <v>0</v>
      </c>
      <c r="L115" s="528">
        <f>TRUNC(IF($E115="",IFERROR(VLOOKUP($D115,SERVIÇOS!$C:$H,5,0),IFERROR(VLOOKUP($D115,$F:$M,7,0),)),0)*$I115,2)</f>
        <v>0</v>
      </c>
      <c r="M115" s="528">
        <f t="shared" si="3"/>
        <v>0</v>
      </c>
      <c r="N115" s="526"/>
    </row>
    <row r="116" spans="3:14">
      <c r="C116" s="526" t="str">
        <f t="shared" si="2"/>
        <v/>
      </c>
      <c r="D116" s="531"/>
      <c r="E116" s="531"/>
      <c r="F116" s="526"/>
      <c r="G116" s="532" t="str">
        <f>IF($E116="",IFERROR(VLOOKUP($D116,SERVIÇOS!$C:$H,2,0),IFERROR(VLOOKUP($D116,$F:$M,2,0),"")),IFERROR(VLOOKUP($E116,INSUMOS!$B:$E,2,0),""))</f>
        <v/>
      </c>
      <c r="H116" s="526" t="str">
        <f>IF($E116="",IFERROR(VLOOKUP($D116,SERVIÇOS!$C:$H,3,0),IFERROR(VLOOKUP($D116,$F:$M,3,0),"")),IFERROR(VLOOKUP($E116,INSUMOS!$B:$E,3,0),""))</f>
        <v/>
      </c>
      <c r="I116" s="527"/>
      <c r="J116" s="528" t="str">
        <f>IF($E116="",IFERROR(VLOOKUP($D116,SERVIÇOS!$C:$H,6,0),IFERROR(VLOOKUP($D116,$F:$M,8,0),"")),IFERROR(VLOOKUP($E116,INSUMOS!$B:$E,4,0),""))</f>
        <v/>
      </c>
      <c r="K116" s="528">
        <f>TRUNC(IF($E116="",IFERROR(VLOOKUP($D116,SERVIÇOS!$C:$H,4,0),IFERROR(VLOOKUP($D116,$F:$M,6,0),)),IFERROR(VLOOKUP($E116,INSUMOS!$B:$E,4,0),))*$I116,2)</f>
        <v>0</v>
      </c>
      <c r="L116" s="528">
        <f>TRUNC(IF($E116="",IFERROR(VLOOKUP($D116,SERVIÇOS!$C:$H,5,0),IFERROR(VLOOKUP($D116,$F:$M,7,0),)),0)*$I116,2)</f>
        <v>0</v>
      </c>
      <c r="M116" s="528">
        <f t="shared" si="3"/>
        <v>0</v>
      </c>
      <c r="N116" s="526"/>
    </row>
    <row r="117" spans="3:14">
      <c r="C117" s="526" t="str">
        <f t="shared" si="2"/>
        <v/>
      </c>
      <c r="D117" s="531"/>
      <c r="E117" s="531"/>
      <c r="F117" s="526"/>
      <c r="G117" s="532" t="str">
        <f>IF($E117="",IFERROR(VLOOKUP($D117,SERVIÇOS!$C:$H,2,0),IFERROR(VLOOKUP($D117,$F:$M,2,0),"")),IFERROR(VLOOKUP($E117,INSUMOS!$B:$E,2,0),""))</f>
        <v/>
      </c>
      <c r="H117" s="526" t="str">
        <f>IF($E117="",IFERROR(VLOOKUP($D117,SERVIÇOS!$C:$H,3,0),IFERROR(VLOOKUP($D117,$F:$M,3,0),"")),IFERROR(VLOOKUP($E117,INSUMOS!$B:$E,3,0),""))</f>
        <v/>
      </c>
      <c r="I117" s="527"/>
      <c r="J117" s="528" t="str">
        <f>IF($E117="",IFERROR(VLOOKUP($D117,SERVIÇOS!$C:$H,6,0),IFERROR(VLOOKUP($D117,$F:$M,8,0),"")),IFERROR(VLOOKUP($E117,INSUMOS!$B:$E,4,0),""))</f>
        <v/>
      </c>
      <c r="K117" s="528">
        <f>TRUNC(IF($E117="",IFERROR(VLOOKUP($D117,SERVIÇOS!$C:$H,4,0),IFERROR(VLOOKUP($D117,$F:$M,6,0),)),IFERROR(VLOOKUP($E117,INSUMOS!$B:$E,4,0),))*$I117,2)</f>
        <v>0</v>
      </c>
      <c r="L117" s="528">
        <f>TRUNC(IF($E117="",IFERROR(VLOOKUP($D117,SERVIÇOS!$C:$H,5,0),IFERROR(VLOOKUP($D117,$F:$M,7,0),)),0)*$I117,2)</f>
        <v>0</v>
      </c>
      <c r="M117" s="528">
        <f t="shared" si="3"/>
        <v>0</v>
      </c>
      <c r="N117" s="526"/>
    </row>
    <row r="118" spans="3:14">
      <c r="C118" s="526" t="str">
        <f t="shared" si="2"/>
        <v/>
      </c>
      <c r="D118" s="531"/>
      <c r="E118" s="531"/>
      <c r="F118" s="526"/>
      <c r="G118" s="532" t="str">
        <f>IF($E118="",IFERROR(VLOOKUP($D118,SERVIÇOS!$C:$H,2,0),IFERROR(VLOOKUP($D118,$F:$M,2,0),"")),IFERROR(VLOOKUP($E118,INSUMOS!$B:$E,2,0),""))</f>
        <v/>
      </c>
      <c r="H118" s="526" t="str">
        <f>IF($E118="",IFERROR(VLOOKUP($D118,SERVIÇOS!$C:$H,3,0),IFERROR(VLOOKUP($D118,$F:$M,3,0),"")),IFERROR(VLOOKUP($E118,INSUMOS!$B:$E,3,0),""))</f>
        <v/>
      </c>
      <c r="I118" s="527"/>
      <c r="J118" s="528" t="str">
        <f>IF($E118="",IFERROR(VLOOKUP($D118,SERVIÇOS!$C:$H,6,0),IFERROR(VLOOKUP($D118,$F:$M,8,0),"")),IFERROR(VLOOKUP($E118,INSUMOS!$B:$E,4,0),""))</f>
        <v/>
      </c>
      <c r="K118" s="528">
        <f>TRUNC(IF($E118="",IFERROR(VLOOKUP($D118,SERVIÇOS!$C:$H,4,0),IFERROR(VLOOKUP($D118,$F:$M,6,0),)),IFERROR(VLOOKUP($E118,INSUMOS!$B:$E,4,0),))*$I118,2)</f>
        <v>0</v>
      </c>
      <c r="L118" s="528">
        <f>TRUNC(IF($E118="",IFERROR(VLOOKUP($D118,SERVIÇOS!$C:$H,5,0),IFERROR(VLOOKUP($D118,$F:$M,7,0),)),0)*$I118,2)</f>
        <v>0</v>
      </c>
      <c r="M118" s="528">
        <f t="shared" si="3"/>
        <v>0</v>
      </c>
      <c r="N118" s="526"/>
    </row>
    <row r="119" spans="3:14">
      <c r="C119" s="526" t="str">
        <f t="shared" si="2"/>
        <v/>
      </c>
      <c r="D119" s="531"/>
      <c r="E119" s="531"/>
      <c r="F119" s="526"/>
      <c r="G119" s="532" t="str">
        <f>IF($E119="",IFERROR(VLOOKUP($D119,SERVIÇOS!$C:$H,2,0),IFERROR(VLOOKUP($D119,$F:$M,2,0),"")),IFERROR(VLOOKUP($E119,INSUMOS!$B:$E,2,0),""))</f>
        <v/>
      </c>
      <c r="H119" s="526" t="str">
        <f>IF($E119="",IFERROR(VLOOKUP($D119,SERVIÇOS!$C:$H,3,0),IFERROR(VLOOKUP($D119,$F:$M,3,0),"")),IFERROR(VLOOKUP($E119,INSUMOS!$B:$E,3,0),""))</f>
        <v/>
      </c>
      <c r="I119" s="527"/>
      <c r="J119" s="528" t="str">
        <f>IF($E119="",IFERROR(VLOOKUP($D119,SERVIÇOS!$C:$H,6,0),IFERROR(VLOOKUP($D119,$F:$M,8,0),"")),IFERROR(VLOOKUP($E119,INSUMOS!$B:$E,4,0),""))</f>
        <v/>
      </c>
      <c r="K119" s="528">
        <f>TRUNC(IF($E119="",IFERROR(VLOOKUP($D119,SERVIÇOS!$C:$H,4,0),IFERROR(VLOOKUP($D119,$F:$M,6,0),)),IFERROR(VLOOKUP($E119,INSUMOS!$B:$E,4,0),))*$I119,2)</f>
        <v>0</v>
      </c>
      <c r="L119" s="528">
        <f>TRUNC(IF($E119="",IFERROR(VLOOKUP($D119,SERVIÇOS!$C:$H,5,0),IFERROR(VLOOKUP($D119,$F:$M,7,0),)),0)*$I119,2)</f>
        <v>0</v>
      </c>
      <c r="M119" s="528">
        <f t="shared" si="3"/>
        <v>0</v>
      </c>
      <c r="N119" s="526"/>
    </row>
    <row r="120" spans="3:14">
      <c r="C120" s="526" t="str">
        <f t="shared" si="2"/>
        <v/>
      </c>
      <c r="D120" s="531"/>
      <c r="E120" s="531"/>
      <c r="F120" s="526"/>
      <c r="G120" s="532" t="str">
        <f>IF($E120="",IFERROR(VLOOKUP($D120,SERVIÇOS!$C:$H,2,0),IFERROR(VLOOKUP($D120,$F:$M,2,0),"")),IFERROR(VLOOKUP($E120,INSUMOS!$B:$E,2,0),""))</f>
        <v/>
      </c>
      <c r="H120" s="526" t="str">
        <f>IF($E120="",IFERROR(VLOOKUP($D120,SERVIÇOS!$C:$H,3,0),IFERROR(VLOOKUP($D120,$F:$M,3,0),"")),IFERROR(VLOOKUP($E120,INSUMOS!$B:$E,3,0),""))</f>
        <v/>
      </c>
      <c r="I120" s="527"/>
      <c r="J120" s="528" t="str">
        <f>IF($E120="",IFERROR(VLOOKUP($D120,SERVIÇOS!$C:$H,6,0),IFERROR(VLOOKUP($D120,$F:$M,8,0),"")),IFERROR(VLOOKUP($E120,INSUMOS!$B:$E,4,0),""))</f>
        <v/>
      </c>
      <c r="K120" s="528">
        <f>TRUNC(IF($E120="",IFERROR(VLOOKUP($D120,SERVIÇOS!$C:$H,4,0),IFERROR(VLOOKUP($D120,$F:$M,6,0),)),IFERROR(VLOOKUP($E120,INSUMOS!$B:$E,4,0),))*$I120,2)</f>
        <v>0</v>
      </c>
      <c r="L120" s="528">
        <f>TRUNC(IF($E120="",IFERROR(VLOOKUP($D120,SERVIÇOS!$C:$H,5,0),IFERROR(VLOOKUP($D120,$F:$M,7,0),)),0)*$I120,2)</f>
        <v>0</v>
      </c>
      <c r="M120" s="528">
        <f t="shared" si="3"/>
        <v>0</v>
      </c>
      <c r="N120" s="526"/>
    </row>
    <row r="121" spans="3:14">
      <c r="C121" s="526" t="str">
        <f t="shared" si="2"/>
        <v/>
      </c>
      <c r="D121" s="531"/>
      <c r="E121" s="531"/>
      <c r="F121" s="526"/>
      <c r="G121" s="532" t="str">
        <f>IF($E121="",IFERROR(VLOOKUP($D121,SERVIÇOS!$C:$H,2,0),IFERROR(VLOOKUP($D121,$F:$M,2,0),"")),IFERROR(VLOOKUP($E121,INSUMOS!$B:$E,2,0),""))</f>
        <v/>
      </c>
      <c r="H121" s="526" t="str">
        <f>IF($E121="",IFERROR(VLOOKUP($D121,SERVIÇOS!$C:$H,3,0),IFERROR(VLOOKUP($D121,$F:$M,3,0),"")),IFERROR(VLOOKUP($E121,INSUMOS!$B:$E,3,0),""))</f>
        <v/>
      </c>
      <c r="I121" s="527"/>
      <c r="J121" s="528" t="str">
        <f>IF($E121="",IFERROR(VLOOKUP($D121,SERVIÇOS!$C:$H,6,0),IFERROR(VLOOKUP($D121,$F:$M,8,0),"")),IFERROR(VLOOKUP($E121,INSUMOS!$B:$E,4,0),""))</f>
        <v/>
      </c>
      <c r="K121" s="528">
        <f>TRUNC(IF($E121="",IFERROR(VLOOKUP($D121,SERVIÇOS!$C:$H,4,0),IFERROR(VLOOKUP($D121,$F:$M,6,0),)),IFERROR(VLOOKUP($E121,INSUMOS!$B:$E,4,0),))*$I121,2)</f>
        <v>0</v>
      </c>
      <c r="L121" s="528">
        <f>TRUNC(IF($E121="",IFERROR(VLOOKUP($D121,SERVIÇOS!$C:$H,5,0),IFERROR(VLOOKUP($D121,$F:$M,7,0),)),0)*$I121,2)</f>
        <v>0</v>
      </c>
      <c r="M121" s="528">
        <f t="shared" si="3"/>
        <v>0</v>
      </c>
      <c r="N121" s="526"/>
    </row>
    <row r="122" spans="3:14">
      <c r="C122" s="526" t="str">
        <f t="shared" si="2"/>
        <v/>
      </c>
      <c r="D122" s="531"/>
      <c r="E122" s="531"/>
      <c r="F122" s="526"/>
      <c r="G122" s="532" t="str">
        <f>IF($E122="",IFERROR(VLOOKUP($D122,SERVIÇOS!$C:$H,2,0),IFERROR(VLOOKUP($D122,$F:$M,2,0),"")),IFERROR(VLOOKUP($E122,INSUMOS!$B:$E,2,0),""))</f>
        <v/>
      </c>
      <c r="H122" s="526" t="str">
        <f>IF($E122="",IFERROR(VLOOKUP($D122,SERVIÇOS!$C:$H,3,0),IFERROR(VLOOKUP($D122,$F:$M,3,0),"")),IFERROR(VLOOKUP($E122,INSUMOS!$B:$E,3,0),""))</f>
        <v/>
      </c>
      <c r="I122" s="527"/>
      <c r="J122" s="528" t="str">
        <f>IF($E122="",IFERROR(VLOOKUP($D122,SERVIÇOS!$C:$H,6,0),IFERROR(VLOOKUP($D122,$F:$M,8,0),"")),IFERROR(VLOOKUP($E122,INSUMOS!$B:$E,4,0),""))</f>
        <v/>
      </c>
      <c r="K122" s="528">
        <f>TRUNC(IF($E122="",IFERROR(VLOOKUP($D122,SERVIÇOS!$C:$H,4,0),IFERROR(VLOOKUP($D122,$F:$M,6,0),)),IFERROR(VLOOKUP($E122,INSUMOS!$B:$E,4,0),))*$I122,2)</f>
        <v>0</v>
      </c>
      <c r="L122" s="528">
        <f>TRUNC(IF($E122="",IFERROR(VLOOKUP($D122,SERVIÇOS!$C:$H,5,0),IFERROR(VLOOKUP($D122,$F:$M,7,0),)),0)*$I122,2)</f>
        <v>0</v>
      </c>
      <c r="M122" s="528">
        <f t="shared" si="3"/>
        <v>0</v>
      </c>
      <c r="N122" s="526"/>
    </row>
    <row r="123" spans="3:14">
      <c r="C123" s="526" t="str">
        <f t="shared" si="2"/>
        <v/>
      </c>
      <c r="D123" s="531"/>
      <c r="E123" s="531"/>
      <c r="F123" s="526"/>
      <c r="G123" s="532" t="str">
        <f>IF($E123="",IFERROR(VLOOKUP($D123,SERVIÇOS!$C:$H,2,0),IFERROR(VLOOKUP($D123,$F:$M,2,0),"")),IFERROR(VLOOKUP($E123,INSUMOS!$B:$E,2,0),""))</f>
        <v/>
      </c>
      <c r="H123" s="526" t="str">
        <f>IF($E123="",IFERROR(VLOOKUP($D123,SERVIÇOS!$C:$H,3,0),IFERROR(VLOOKUP($D123,$F:$M,3,0),"")),IFERROR(VLOOKUP($E123,INSUMOS!$B:$E,3,0),""))</f>
        <v/>
      </c>
      <c r="I123" s="527"/>
      <c r="J123" s="528" t="str">
        <f>IF($E123="",IFERROR(VLOOKUP($D123,SERVIÇOS!$C:$H,6,0),IFERROR(VLOOKUP($D123,$F:$M,8,0),"")),IFERROR(VLOOKUP($E123,INSUMOS!$B:$E,4,0),""))</f>
        <v/>
      </c>
      <c r="K123" s="528">
        <f>TRUNC(IF($E123="",IFERROR(VLOOKUP($D123,SERVIÇOS!$C:$H,4,0),IFERROR(VLOOKUP($D123,$F:$M,6,0),)),IFERROR(VLOOKUP($E123,INSUMOS!$B:$E,4,0),))*$I123,2)</f>
        <v>0</v>
      </c>
      <c r="L123" s="528">
        <f>TRUNC(IF($E123="",IFERROR(VLOOKUP($D123,SERVIÇOS!$C:$H,5,0),IFERROR(VLOOKUP($D123,$F:$M,7,0),)),0)*$I123,2)</f>
        <v>0</v>
      </c>
      <c r="M123" s="528">
        <f t="shared" si="3"/>
        <v>0</v>
      </c>
      <c r="N123" s="526"/>
    </row>
    <row r="124" spans="3:14">
      <c r="C124" s="526" t="str">
        <f t="shared" si="2"/>
        <v/>
      </c>
      <c r="D124" s="531"/>
      <c r="E124" s="531"/>
      <c r="F124" s="526"/>
      <c r="G124" s="532" t="str">
        <f>IF($E124="",IFERROR(VLOOKUP($D124,SERVIÇOS!$C:$H,2,0),IFERROR(VLOOKUP($D124,$F:$M,2,0),"")),IFERROR(VLOOKUP($E124,INSUMOS!$B:$E,2,0),""))</f>
        <v/>
      </c>
      <c r="H124" s="526" t="str">
        <f>IF($E124="",IFERROR(VLOOKUP($D124,SERVIÇOS!$C:$H,3,0),IFERROR(VLOOKUP($D124,$F:$M,3,0),"")),IFERROR(VLOOKUP($E124,INSUMOS!$B:$E,3,0),""))</f>
        <v/>
      </c>
      <c r="I124" s="527"/>
      <c r="J124" s="528" t="str">
        <f>IF($E124="",IFERROR(VLOOKUP($D124,SERVIÇOS!$C:$H,6,0),IFERROR(VLOOKUP($D124,$F:$M,8,0),"")),IFERROR(VLOOKUP($E124,INSUMOS!$B:$E,4,0),""))</f>
        <v/>
      </c>
      <c r="K124" s="528">
        <f>TRUNC(IF($E124="",IFERROR(VLOOKUP($D124,SERVIÇOS!$C:$H,4,0),IFERROR(VLOOKUP($D124,$F:$M,6,0),)),IFERROR(VLOOKUP($E124,INSUMOS!$B:$E,4,0),))*$I124,2)</f>
        <v>0</v>
      </c>
      <c r="L124" s="528">
        <f>TRUNC(IF($E124="",IFERROR(VLOOKUP($D124,SERVIÇOS!$C:$H,5,0),IFERROR(VLOOKUP($D124,$F:$M,7,0),)),0)*$I124,2)</f>
        <v>0</v>
      </c>
      <c r="M124" s="528">
        <f t="shared" si="3"/>
        <v>0</v>
      </c>
      <c r="N124" s="526"/>
    </row>
    <row r="125" spans="3:14">
      <c r="C125" s="526" t="str">
        <f t="shared" si="2"/>
        <v/>
      </c>
      <c r="D125" s="531"/>
      <c r="E125" s="531"/>
      <c r="F125" s="526"/>
      <c r="G125" s="532" t="str">
        <f>IF($E125="",IFERROR(VLOOKUP($D125,SERVIÇOS!$C:$H,2,0),IFERROR(VLOOKUP($D125,$F:$M,2,0),"")),IFERROR(VLOOKUP($E125,INSUMOS!$B:$E,2,0),""))</f>
        <v/>
      </c>
      <c r="H125" s="526" t="str">
        <f>IF($E125="",IFERROR(VLOOKUP($D125,SERVIÇOS!$C:$H,3,0),IFERROR(VLOOKUP($D125,$F:$M,3,0),"")),IFERROR(VLOOKUP($E125,INSUMOS!$B:$E,3,0),""))</f>
        <v/>
      </c>
      <c r="I125" s="527"/>
      <c r="J125" s="528" t="str">
        <f>IF($E125="",IFERROR(VLOOKUP($D125,SERVIÇOS!$C:$H,6,0),IFERROR(VLOOKUP($D125,$F:$M,8,0),"")),IFERROR(VLOOKUP($E125,INSUMOS!$B:$E,4,0),""))</f>
        <v/>
      </c>
      <c r="K125" s="528">
        <f>TRUNC(IF($E125="",IFERROR(VLOOKUP($D125,SERVIÇOS!$C:$H,4,0),IFERROR(VLOOKUP($D125,$F:$M,6,0),)),IFERROR(VLOOKUP($E125,INSUMOS!$B:$E,4,0),))*$I125,2)</f>
        <v>0</v>
      </c>
      <c r="L125" s="528">
        <f>TRUNC(IF($E125="",IFERROR(VLOOKUP($D125,SERVIÇOS!$C:$H,5,0),IFERROR(VLOOKUP($D125,$F:$M,7,0),)),0)*$I125,2)</f>
        <v>0</v>
      </c>
      <c r="M125" s="528">
        <f t="shared" si="3"/>
        <v>0</v>
      </c>
      <c r="N125" s="526"/>
    </row>
    <row r="126" spans="3:14">
      <c r="C126" s="526" t="str">
        <f t="shared" si="2"/>
        <v/>
      </c>
      <c r="D126" s="531"/>
      <c r="E126" s="531"/>
      <c r="F126" s="526"/>
      <c r="G126" s="532" t="str">
        <f>IF($E126="",IFERROR(VLOOKUP($D126,SERVIÇOS!$C:$H,2,0),IFERROR(VLOOKUP($D126,$F:$M,2,0),"")),IFERROR(VLOOKUP($E126,INSUMOS!$B:$E,2,0),""))</f>
        <v/>
      </c>
      <c r="H126" s="526" t="str">
        <f>IF($E126="",IFERROR(VLOOKUP($D126,SERVIÇOS!$C:$H,3,0),IFERROR(VLOOKUP($D126,$F:$M,3,0),"")),IFERROR(VLOOKUP($E126,INSUMOS!$B:$E,3,0),""))</f>
        <v/>
      </c>
      <c r="I126" s="527"/>
      <c r="J126" s="528" t="str">
        <f>IF($E126="",IFERROR(VLOOKUP($D126,SERVIÇOS!$C:$H,6,0),IFERROR(VLOOKUP($D126,$F:$M,8,0),"")),IFERROR(VLOOKUP($E126,INSUMOS!$B:$E,4,0),""))</f>
        <v/>
      </c>
      <c r="K126" s="528">
        <f>TRUNC(IF($E126="",IFERROR(VLOOKUP($D126,SERVIÇOS!$C:$H,4,0),IFERROR(VLOOKUP($D126,$F:$M,6,0),)),IFERROR(VLOOKUP($E126,INSUMOS!$B:$E,4,0),))*$I126,2)</f>
        <v>0</v>
      </c>
      <c r="L126" s="528">
        <f>TRUNC(IF($E126="",IFERROR(VLOOKUP($D126,SERVIÇOS!$C:$H,5,0),IFERROR(VLOOKUP($D126,$F:$M,7,0),)),0)*$I126,2)</f>
        <v>0</v>
      </c>
      <c r="M126" s="528">
        <f t="shared" si="3"/>
        <v>0</v>
      </c>
      <c r="N126" s="526"/>
    </row>
    <row r="127" spans="3:14">
      <c r="C127" s="526" t="str">
        <f t="shared" si="2"/>
        <v/>
      </c>
      <c r="D127" s="531"/>
      <c r="E127" s="531"/>
      <c r="F127" s="526"/>
      <c r="G127" s="532" t="str">
        <f>IF($E127="",IFERROR(VLOOKUP($D127,SERVIÇOS!$C:$H,2,0),IFERROR(VLOOKUP($D127,$F:$M,2,0),"")),IFERROR(VLOOKUP($E127,INSUMOS!$B:$E,2,0),""))</f>
        <v/>
      </c>
      <c r="H127" s="526" t="str">
        <f>IF($E127="",IFERROR(VLOOKUP($D127,SERVIÇOS!$C:$H,3,0),IFERROR(VLOOKUP($D127,$F:$M,3,0),"")),IFERROR(VLOOKUP($E127,INSUMOS!$B:$E,3,0),""))</f>
        <v/>
      </c>
      <c r="I127" s="527"/>
      <c r="J127" s="528" t="str">
        <f>IF($E127="",IFERROR(VLOOKUP($D127,SERVIÇOS!$C:$H,6,0),IFERROR(VLOOKUP($D127,$F:$M,8,0),"")),IFERROR(VLOOKUP($E127,INSUMOS!$B:$E,4,0),""))</f>
        <v/>
      </c>
      <c r="K127" s="528">
        <f>TRUNC(IF($E127="",IFERROR(VLOOKUP($D127,SERVIÇOS!$C:$H,4,0),IFERROR(VLOOKUP($D127,$F:$M,6,0),)),IFERROR(VLOOKUP($E127,INSUMOS!$B:$E,4,0),))*$I127,2)</f>
        <v>0</v>
      </c>
      <c r="L127" s="528">
        <f>TRUNC(IF($E127="",IFERROR(VLOOKUP($D127,SERVIÇOS!$C:$H,5,0),IFERROR(VLOOKUP($D127,$F:$M,7,0),)),0)*$I127,2)</f>
        <v>0</v>
      </c>
      <c r="M127" s="528">
        <f t="shared" si="3"/>
        <v>0</v>
      </c>
      <c r="N127" s="526"/>
    </row>
    <row r="128" spans="3:14">
      <c r="C128" s="526" t="str">
        <f t="shared" si="2"/>
        <v/>
      </c>
      <c r="D128" s="531"/>
      <c r="E128" s="531"/>
      <c r="F128" s="526"/>
      <c r="G128" s="532" t="str">
        <f>IF($E128="",IFERROR(VLOOKUP($D128,SERVIÇOS!$C:$H,2,0),IFERROR(VLOOKUP($D128,$F:$M,2,0),"")),IFERROR(VLOOKUP($E128,INSUMOS!$B:$E,2,0),""))</f>
        <v/>
      </c>
      <c r="H128" s="526" t="str">
        <f>IF($E128="",IFERROR(VLOOKUP($D128,SERVIÇOS!$C:$H,3,0),IFERROR(VLOOKUP($D128,$F:$M,3,0),"")),IFERROR(VLOOKUP($E128,INSUMOS!$B:$E,3,0),""))</f>
        <v/>
      </c>
      <c r="I128" s="527"/>
      <c r="J128" s="528" t="str">
        <f>IF($E128="",IFERROR(VLOOKUP($D128,SERVIÇOS!$C:$H,6,0),IFERROR(VLOOKUP($D128,$F:$M,8,0),"")),IFERROR(VLOOKUP($E128,INSUMOS!$B:$E,4,0),""))</f>
        <v/>
      </c>
      <c r="K128" s="528">
        <f>TRUNC(IF($E128="",IFERROR(VLOOKUP($D128,SERVIÇOS!$C:$H,4,0),IFERROR(VLOOKUP($D128,$F:$M,6,0),)),IFERROR(VLOOKUP($E128,INSUMOS!$B:$E,4,0),))*$I128,2)</f>
        <v>0</v>
      </c>
      <c r="L128" s="528">
        <f>TRUNC(IF($E128="",IFERROR(VLOOKUP($D128,SERVIÇOS!$C:$H,5,0),IFERROR(VLOOKUP($D128,$F:$M,7,0),)),0)*$I128,2)</f>
        <v>0</v>
      </c>
      <c r="M128" s="528">
        <f t="shared" si="3"/>
        <v>0</v>
      </c>
      <c r="N128" s="526"/>
    </row>
    <row r="129" spans="3:14">
      <c r="C129" s="526" t="str">
        <f t="shared" si="2"/>
        <v/>
      </c>
      <c r="D129" s="531"/>
      <c r="E129" s="531"/>
      <c r="F129" s="526"/>
      <c r="G129" s="532" t="str">
        <f>IF($E129="",IFERROR(VLOOKUP($D129,SERVIÇOS!$C:$H,2,0),IFERROR(VLOOKUP($D129,$F:$M,2,0),"")),IFERROR(VLOOKUP($E129,INSUMOS!$B:$E,2,0),""))</f>
        <v/>
      </c>
      <c r="H129" s="526" t="str">
        <f>IF($E129="",IFERROR(VLOOKUP($D129,SERVIÇOS!$C:$H,3,0),IFERROR(VLOOKUP($D129,$F:$M,3,0),"")),IFERROR(VLOOKUP($E129,INSUMOS!$B:$E,3,0),""))</f>
        <v/>
      </c>
      <c r="I129" s="527"/>
      <c r="J129" s="528" t="str">
        <f>IF($E129="",IFERROR(VLOOKUP($D129,SERVIÇOS!$C:$H,6,0),IFERROR(VLOOKUP($D129,$F:$M,8,0),"")),IFERROR(VLOOKUP($E129,INSUMOS!$B:$E,4,0),""))</f>
        <v/>
      </c>
      <c r="K129" s="528">
        <f>TRUNC(IF($E129="",IFERROR(VLOOKUP($D129,SERVIÇOS!$C:$H,4,0),IFERROR(VLOOKUP($D129,$F:$M,6,0),)),IFERROR(VLOOKUP($E129,INSUMOS!$B:$E,4,0),))*$I129,2)</f>
        <v>0</v>
      </c>
      <c r="L129" s="528">
        <f>TRUNC(IF($E129="",IFERROR(VLOOKUP($D129,SERVIÇOS!$C:$H,5,0),IFERROR(VLOOKUP($D129,$F:$M,7,0),)),0)*$I129,2)</f>
        <v>0</v>
      </c>
      <c r="M129" s="528">
        <f t="shared" si="3"/>
        <v>0</v>
      </c>
      <c r="N129" s="526"/>
    </row>
    <row r="130" spans="3:14">
      <c r="C130" s="526" t="str">
        <f t="shared" si="2"/>
        <v/>
      </c>
      <c r="D130" s="531"/>
      <c r="E130" s="531"/>
      <c r="F130" s="526"/>
      <c r="G130" s="532" t="str">
        <f>IF($E130="",IFERROR(VLOOKUP($D130,SERVIÇOS!$C:$H,2,0),IFERROR(VLOOKUP($D130,$F:$M,2,0),"")),IFERROR(VLOOKUP($E130,INSUMOS!$B:$E,2,0),""))</f>
        <v/>
      </c>
      <c r="H130" s="526" t="str">
        <f>IF($E130="",IFERROR(VLOOKUP($D130,SERVIÇOS!$C:$H,3,0),IFERROR(VLOOKUP($D130,$F:$M,3,0),"")),IFERROR(VLOOKUP($E130,INSUMOS!$B:$E,3,0),""))</f>
        <v/>
      </c>
      <c r="I130" s="527"/>
      <c r="J130" s="528" t="str">
        <f>IF($E130="",IFERROR(VLOOKUP($D130,SERVIÇOS!$C:$H,6,0),IFERROR(VLOOKUP($D130,$F:$M,8,0),"")),IFERROR(VLOOKUP($E130,INSUMOS!$B:$E,4,0),""))</f>
        <v/>
      </c>
      <c r="K130" s="528">
        <f>TRUNC(IF($E130="",IFERROR(VLOOKUP($D130,SERVIÇOS!$C:$H,4,0),IFERROR(VLOOKUP($D130,$F:$M,6,0),)),IFERROR(VLOOKUP($E130,INSUMOS!$B:$E,4,0),))*$I130,2)</f>
        <v>0</v>
      </c>
      <c r="L130" s="528">
        <f>TRUNC(IF($E130="",IFERROR(VLOOKUP($D130,SERVIÇOS!$C:$H,5,0),IFERROR(VLOOKUP($D130,$F:$M,7,0),)),0)*$I130,2)</f>
        <v>0</v>
      </c>
      <c r="M130" s="528">
        <f t="shared" si="3"/>
        <v>0</v>
      </c>
      <c r="N130" s="526"/>
    </row>
    <row r="131" spans="3:14">
      <c r="C131" s="526" t="str">
        <f t="shared" si="2"/>
        <v/>
      </c>
      <c r="D131" s="531"/>
      <c r="E131" s="531"/>
      <c r="F131" s="526"/>
      <c r="G131" s="532" t="str">
        <f>IF($E131="",IFERROR(VLOOKUP($D131,SERVIÇOS!$C:$H,2,0),IFERROR(VLOOKUP($D131,$F:$M,2,0),"")),IFERROR(VLOOKUP($E131,INSUMOS!$B:$E,2,0),""))</f>
        <v/>
      </c>
      <c r="H131" s="526" t="str">
        <f>IF($E131="",IFERROR(VLOOKUP($D131,SERVIÇOS!$C:$H,3,0),IFERROR(VLOOKUP($D131,$F:$M,3,0),"")),IFERROR(VLOOKUP($E131,INSUMOS!$B:$E,3,0),""))</f>
        <v/>
      </c>
      <c r="I131" s="527"/>
      <c r="J131" s="528" t="str">
        <f>IF($E131="",IFERROR(VLOOKUP($D131,SERVIÇOS!$C:$H,6,0),IFERROR(VLOOKUP($D131,$F:$M,8,0),"")),IFERROR(VLOOKUP($E131,INSUMOS!$B:$E,4,0),""))</f>
        <v/>
      </c>
      <c r="K131" s="528">
        <f>TRUNC(IF($E131="",IFERROR(VLOOKUP($D131,SERVIÇOS!$C:$H,4,0),IFERROR(VLOOKUP($D131,$F:$M,6,0),)),IFERROR(VLOOKUP($E131,INSUMOS!$B:$E,4,0),))*$I131,2)</f>
        <v>0</v>
      </c>
      <c r="L131" s="528">
        <f>TRUNC(IF($E131="",IFERROR(VLOOKUP($D131,SERVIÇOS!$C:$H,5,0),IFERROR(VLOOKUP($D131,$F:$M,7,0),)),0)*$I131,2)</f>
        <v>0</v>
      </c>
      <c r="M131" s="528">
        <f t="shared" si="3"/>
        <v>0</v>
      </c>
      <c r="N131" s="526"/>
    </row>
    <row r="132" spans="3:14">
      <c r="C132" s="526" t="str">
        <f t="shared" si="2"/>
        <v/>
      </c>
      <c r="D132" s="531"/>
      <c r="E132" s="531"/>
      <c r="F132" s="526"/>
      <c r="G132" s="532" t="str">
        <f>IF($E132="",IFERROR(VLOOKUP($D132,SERVIÇOS!$C:$H,2,0),IFERROR(VLOOKUP($D132,$F:$M,2,0),"")),IFERROR(VLOOKUP($E132,INSUMOS!$B:$E,2,0),""))</f>
        <v/>
      </c>
      <c r="H132" s="526" t="str">
        <f>IF($E132="",IFERROR(VLOOKUP($D132,SERVIÇOS!$C:$H,3,0),IFERROR(VLOOKUP($D132,$F:$M,3,0),"")),IFERROR(VLOOKUP($E132,INSUMOS!$B:$E,3,0),""))</f>
        <v/>
      </c>
      <c r="I132" s="527"/>
      <c r="J132" s="528" t="str">
        <f>IF($E132="",IFERROR(VLOOKUP($D132,SERVIÇOS!$C:$H,6,0),IFERROR(VLOOKUP($D132,$F:$M,8,0),"")),IFERROR(VLOOKUP($E132,INSUMOS!$B:$E,4,0),""))</f>
        <v/>
      </c>
      <c r="K132" s="528">
        <f>TRUNC(IF($E132="",IFERROR(VLOOKUP($D132,SERVIÇOS!$C:$H,4,0),IFERROR(VLOOKUP($D132,$F:$M,6,0),)),IFERROR(VLOOKUP($E132,INSUMOS!$B:$E,4,0),))*$I132,2)</f>
        <v>0</v>
      </c>
      <c r="L132" s="528">
        <f>TRUNC(IF($E132="",IFERROR(VLOOKUP($D132,SERVIÇOS!$C:$H,5,0),IFERROR(VLOOKUP($D132,$F:$M,7,0),)),0)*$I132,2)</f>
        <v>0</v>
      </c>
      <c r="M132" s="528">
        <f t="shared" si="3"/>
        <v>0</v>
      </c>
      <c r="N132" s="526"/>
    </row>
    <row r="133" spans="3:14">
      <c r="C133" s="526" t="str">
        <f t="shared" si="2"/>
        <v/>
      </c>
      <c r="D133" s="531"/>
      <c r="E133" s="531"/>
      <c r="F133" s="526"/>
      <c r="G133" s="532" t="str">
        <f>IF($E133="",IFERROR(VLOOKUP($D133,SERVIÇOS!$C:$H,2,0),IFERROR(VLOOKUP($D133,$F:$M,2,0),"")),IFERROR(VLOOKUP($E133,INSUMOS!$B:$E,2,0),""))</f>
        <v/>
      </c>
      <c r="H133" s="526" t="str">
        <f>IF($E133="",IFERROR(VLOOKUP($D133,SERVIÇOS!$C:$H,3,0),IFERROR(VLOOKUP($D133,$F:$M,3,0),"")),IFERROR(VLOOKUP($E133,INSUMOS!$B:$E,3,0),""))</f>
        <v/>
      </c>
      <c r="I133" s="527"/>
      <c r="J133" s="528" t="str">
        <f>IF($E133="",IFERROR(VLOOKUP($D133,SERVIÇOS!$C:$H,6,0),IFERROR(VLOOKUP($D133,$F:$M,8,0),"")),IFERROR(VLOOKUP($E133,INSUMOS!$B:$E,4,0),""))</f>
        <v/>
      </c>
      <c r="K133" s="528">
        <f>TRUNC(IF($E133="",IFERROR(VLOOKUP($D133,SERVIÇOS!$C:$H,4,0),IFERROR(VLOOKUP($D133,$F:$M,6,0),)),IFERROR(VLOOKUP($E133,INSUMOS!$B:$E,4,0),))*$I133,2)</f>
        <v>0</v>
      </c>
      <c r="L133" s="528">
        <f>TRUNC(IF($E133="",IFERROR(VLOOKUP($D133,SERVIÇOS!$C:$H,5,0),IFERROR(VLOOKUP($D133,$F:$M,7,0),)),0)*$I133,2)</f>
        <v>0</v>
      </c>
      <c r="M133" s="528">
        <f t="shared" si="3"/>
        <v>0</v>
      </c>
      <c r="N133" s="526"/>
    </row>
    <row r="134" spans="3:14">
      <c r="C134" s="526" t="str">
        <f t="shared" si="2"/>
        <v/>
      </c>
      <c r="D134" s="531"/>
      <c r="E134" s="531"/>
      <c r="F134" s="526"/>
      <c r="G134" s="532" t="str">
        <f>IF($E134="",IFERROR(VLOOKUP($D134,SERVIÇOS!$C:$H,2,0),IFERROR(VLOOKUP($D134,$F:$M,2,0),"")),IFERROR(VLOOKUP($E134,INSUMOS!$B:$E,2,0),""))</f>
        <v/>
      </c>
      <c r="H134" s="526" t="str">
        <f>IF($E134="",IFERROR(VLOOKUP($D134,SERVIÇOS!$C:$H,3,0),IFERROR(VLOOKUP($D134,$F:$M,3,0),"")),IFERROR(VLOOKUP($E134,INSUMOS!$B:$E,3,0),""))</f>
        <v/>
      </c>
      <c r="I134" s="527"/>
      <c r="J134" s="528" t="str">
        <f>IF($E134="",IFERROR(VLOOKUP($D134,SERVIÇOS!$C:$H,6,0),IFERROR(VLOOKUP($D134,$F:$M,8,0),"")),IFERROR(VLOOKUP($E134,INSUMOS!$B:$E,4,0),""))</f>
        <v/>
      </c>
      <c r="K134" s="528">
        <f>TRUNC(IF($E134="",IFERROR(VLOOKUP($D134,SERVIÇOS!$C:$H,4,0),IFERROR(VLOOKUP($D134,$F:$M,6,0),)),IFERROR(VLOOKUP($E134,INSUMOS!$B:$E,4,0),))*$I134,2)</f>
        <v>0</v>
      </c>
      <c r="L134" s="528">
        <f>TRUNC(IF($E134="",IFERROR(VLOOKUP($D134,SERVIÇOS!$C:$H,5,0),IFERROR(VLOOKUP($D134,$F:$M,7,0),)),0)*$I134,2)</f>
        <v>0</v>
      </c>
      <c r="M134" s="528">
        <f t="shared" si="3"/>
        <v>0</v>
      </c>
      <c r="N134" s="526"/>
    </row>
    <row r="135" spans="3:14">
      <c r="C135" s="526" t="str">
        <f t="shared" si="2"/>
        <v/>
      </c>
      <c r="D135" s="531"/>
      <c r="E135" s="531"/>
      <c r="F135" s="526"/>
      <c r="G135" s="532" t="str">
        <f>IF($E135="",IFERROR(VLOOKUP($D135,SERVIÇOS!$C:$H,2,0),IFERROR(VLOOKUP($D135,$F:$M,2,0),"")),IFERROR(VLOOKUP($E135,INSUMOS!$B:$E,2,0),""))</f>
        <v/>
      </c>
      <c r="H135" s="526" t="str">
        <f>IF($E135="",IFERROR(VLOOKUP($D135,SERVIÇOS!$C:$H,3,0),IFERROR(VLOOKUP($D135,$F:$M,3,0),"")),IFERROR(VLOOKUP($E135,INSUMOS!$B:$E,3,0),""))</f>
        <v/>
      </c>
      <c r="I135" s="527"/>
      <c r="J135" s="528" t="str">
        <f>IF($E135="",IFERROR(VLOOKUP($D135,SERVIÇOS!$C:$H,6,0),IFERROR(VLOOKUP($D135,$F:$M,8,0),"")),IFERROR(VLOOKUP($E135,INSUMOS!$B:$E,4,0),""))</f>
        <v/>
      </c>
      <c r="K135" s="528">
        <f>TRUNC(IF($E135="",IFERROR(VLOOKUP($D135,SERVIÇOS!$C:$H,4,0),IFERROR(VLOOKUP($D135,$F:$M,6,0),)),IFERROR(VLOOKUP($E135,INSUMOS!$B:$E,4,0),))*$I135,2)</f>
        <v>0</v>
      </c>
      <c r="L135" s="528">
        <f>TRUNC(IF($E135="",IFERROR(VLOOKUP($D135,SERVIÇOS!$C:$H,5,0),IFERROR(VLOOKUP($D135,$F:$M,7,0),)),0)*$I135,2)</f>
        <v>0</v>
      </c>
      <c r="M135" s="528">
        <f t="shared" si="3"/>
        <v>0</v>
      </c>
      <c r="N135" s="526"/>
    </row>
    <row r="136" spans="3:14">
      <c r="C136" s="526" t="str">
        <f t="shared" si="2"/>
        <v/>
      </c>
      <c r="D136" s="531"/>
      <c r="E136" s="531"/>
      <c r="F136" s="526"/>
      <c r="G136" s="532" t="str">
        <f>IF($E136="",IFERROR(VLOOKUP($D136,SERVIÇOS!$C:$H,2,0),IFERROR(VLOOKUP($D136,$F:$M,2,0),"")),IFERROR(VLOOKUP($E136,INSUMOS!$B:$E,2,0),""))</f>
        <v/>
      </c>
      <c r="H136" s="526" t="str">
        <f>IF($E136="",IFERROR(VLOOKUP($D136,SERVIÇOS!$C:$H,3,0),IFERROR(VLOOKUP($D136,$F:$M,3,0),"")),IFERROR(VLOOKUP($E136,INSUMOS!$B:$E,3,0),""))</f>
        <v/>
      </c>
      <c r="I136" s="527"/>
      <c r="J136" s="528" t="str">
        <f>IF($E136="",IFERROR(VLOOKUP($D136,SERVIÇOS!$C:$H,6,0),IFERROR(VLOOKUP($D136,$F:$M,8,0),"")),IFERROR(VLOOKUP($E136,INSUMOS!$B:$E,4,0),""))</f>
        <v/>
      </c>
      <c r="K136" s="528">
        <f>TRUNC(IF($E136="",IFERROR(VLOOKUP($D136,SERVIÇOS!$C:$H,4,0),IFERROR(VLOOKUP($D136,$F:$M,6,0),)),IFERROR(VLOOKUP($E136,INSUMOS!$B:$E,4,0),))*$I136,2)</f>
        <v>0</v>
      </c>
      <c r="L136" s="528">
        <f>TRUNC(IF($E136="",IFERROR(VLOOKUP($D136,SERVIÇOS!$C:$H,5,0),IFERROR(VLOOKUP($D136,$F:$M,7,0),)),0)*$I136,2)</f>
        <v>0</v>
      </c>
      <c r="M136" s="528">
        <f t="shared" si="3"/>
        <v>0</v>
      </c>
      <c r="N136" s="526"/>
    </row>
    <row r="137" spans="3:14">
      <c r="C137" s="526" t="str">
        <f t="shared" si="2"/>
        <v/>
      </c>
      <c r="D137" s="531"/>
      <c r="E137" s="531"/>
      <c r="F137" s="526"/>
      <c r="G137" s="532" t="str">
        <f>IF($E137="",IFERROR(VLOOKUP($D137,SERVIÇOS!$C:$H,2,0),IFERROR(VLOOKUP($D137,$F:$M,2,0),"")),IFERROR(VLOOKUP($E137,INSUMOS!$B:$E,2,0),""))</f>
        <v/>
      </c>
      <c r="H137" s="526" t="str">
        <f>IF($E137="",IFERROR(VLOOKUP($D137,SERVIÇOS!$C:$H,3,0),IFERROR(VLOOKUP($D137,$F:$M,3,0),"")),IFERROR(VLOOKUP($E137,INSUMOS!$B:$E,3,0),""))</f>
        <v/>
      </c>
      <c r="I137" s="527"/>
      <c r="J137" s="528" t="str">
        <f>IF($E137="",IFERROR(VLOOKUP($D137,SERVIÇOS!$C:$H,6,0),IFERROR(VLOOKUP($D137,$F:$M,8,0),"")),IFERROR(VLOOKUP($E137,INSUMOS!$B:$E,4,0),""))</f>
        <v/>
      </c>
      <c r="K137" s="528">
        <f>TRUNC(IF($E137="",IFERROR(VLOOKUP($D137,SERVIÇOS!$C:$H,4,0),IFERROR(VLOOKUP($D137,$F:$M,6,0),)),IFERROR(VLOOKUP($E137,INSUMOS!$B:$E,4,0),))*$I137,2)</f>
        <v>0</v>
      </c>
      <c r="L137" s="528">
        <f>TRUNC(IF($E137="",IFERROR(VLOOKUP($D137,SERVIÇOS!$C:$H,5,0),IFERROR(VLOOKUP($D137,$F:$M,7,0),)),0)*$I137,2)</f>
        <v>0</v>
      </c>
      <c r="M137" s="528">
        <f t="shared" si="3"/>
        <v>0</v>
      </c>
      <c r="N137" s="526"/>
    </row>
    <row r="138" spans="3:14">
      <c r="C138" s="526" t="str">
        <f t="shared" si="2"/>
        <v/>
      </c>
      <c r="D138" s="531"/>
      <c r="E138" s="531"/>
      <c r="F138" s="526"/>
      <c r="G138" s="532" t="str">
        <f>IF($E138="",IFERROR(VLOOKUP($D138,SERVIÇOS!$C:$H,2,0),IFERROR(VLOOKUP($D138,$F:$M,2,0),"")),IFERROR(VLOOKUP($E138,INSUMOS!$B:$E,2,0),""))</f>
        <v/>
      </c>
      <c r="H138" s="526" t="str">
        <f>IF($E138="",IFERROR(VLOOKUP($D138,SERVIÇOS!$C:$H,3,0),IFERROR(VLOOKUP($D138,$F:$M,3,0),"")),IFERROR(VLOOKUP($E138,INSUMOS!$B:$E,3,0),""))</f>
        <v/>
      </c>
      <c r="I138" s="527"/>
      <c r="J138" s="528" t="str">
        <f>IF($E138="",IFERROR(VLOOKUP($D138,SERVIÇOS!$C:$H,6,0),IFERROR(VLOOKUP($D138,$F:$M,8,0),"")),IFERROR(VLOOKUP($E138,INSUMOS!$B:$E,4,0),""))</f>
        <v/>
      </c>
      <c r="K138" s="528">
        <f>TRUNC(IF($E138="",IFERROR(VLOOKUP($D138,SERVIÇOS!$C:$H,4,0),IFERROR(VLOOKUP($D138,$F:$M,6,0),)),IFERROR(VLOOKUP($E138,INSUMOS!$B:$E,4,0),))*$I138,2)</f>
        <v>0</v>
      </c>
      <c r="L138" s="528">
        <f>TRUNC(IF($E138="",IFERROR(VLOOKUP($D138,SERVIÇOS!$C:$H,5,0),IFERROR(VLOOKUP($D138,$F:$M,7,0),)),0)*$I138,2)</f>
        <v>0</v>
      </c>
      <c r="M138" s="528">
        <f t="shared" si="3"/>
        <v>0</v>
      </c>
      <c r="N138" s="526"/>
    </row>
    <row r="139" spans="3:14">
      <c r="C139" s="526" t="str">
        <f t="shared" si="2"/>
        <v/>
      </c>
      <c r="D139" s="531"/>
      <c r="E139" s="531"/>
      <c r="F139" s="526"/>
      <c r="G139" s="532" t="str">
        <f>IF($E139="",IFERROR(VLOOKUP($D139,SERVIÇOS!$C:$H,2,0),IFERROR(VLOOKUP($D139,$F:$M,2,0),"")),IFERROR(VLOOKUP($E139,INSUMOS!$B:$E,2,0),""))</f>
        <v/>
      </c>
      <c r="H139" s="526" t="str">
        <f>IF($E139="",IFERROR(VLOOKUP($D139,SERVIÇOS!$C:$H,3,0),IFERROR(VLOOKUP($D139,$F:$M,3,0),"")),IFERROR(VLOOKUP($E139,INSUMOS!$B:$E,3,0),""))</f>
        <v/>
      </c>
      <c r="I139" s="527"/>
      <c r="J139" s="528" t="str">
        <f>IF($E139="",IFERROR(VLOOKUP($D139,SERVIÇOS!$C:$H,6,0),IFERROR(VLOOKUP($D139,$F:$M,8,0),"")),IFERROR(VLOOKUP($E139,INSUMOS!$B:$E,4,0),""))</f>
        <v/>
      </c>
      <c r="K139" s="528">
        <f>TRUNC(IF($E139="",IFERROR(VLOOKUP($D139,SERVIÇOS!$C:$H,4,0),IFERROR(VLOOKUP($D139,$F:$M,6,0),)),IFERROR(VLOOKUP($E139,INSUMOS!$B:$E,4,0),))*$I139,2)</f>
        <v>0</v>
      </c>
      <c r="L139" s="528">
        <f>TRUNC(IF($E139="",IFERROR(VLOOKUP($D139,SERVIÇOS!$C:$H,5,0),IFERROR(VLOOKUP($D139,$F:$M,7,0),)),0)*$I139,2)</f>
        <v>0</v>
      </c>
      <c r="M139" s="528">
        <f t="shared" si="3"/>
        <v>0</v>
      </c>
      <c r="N139" s="526"/>
    </row>
    <row r="140" spans="3:14">
      <c r="C140" s="526" t="str">
        <f t="shared" si="2"/>
        <v/>
      </c>
      <c r="D140" s="531"/>
      <c r="E140" s="531"/>
      <c r="F140" s="526"/>
      <c r="G140" s="532" t="str">
        <f>IF($E140="",IFERROR(VLOOKUP($D140,SERVIÇOS!$C:$H,2,0),IFERROR(VLOOKUP($D140,$F:$M,2,0),"")),IFERROR(VLOOKUP($E140,INSUMOS!$B:$E,2,0),""))</f>
        <v/>
      </c>
      <c r="H140" s="526" t="str">
        <f>IF($E140="",IFERROR(VLOOKUP($D140,SERVIÇOS!$C:$H,3,0),IFERROR(VLOOKUP($D140,$F:$M,3,0),"")),IFERROR(VLOOKUP($E140,INSUMOS!$B:$E,3,0),""))</f>
        <v/>
      </c>
      <c r="I140" s="527"/>
      <c r="J140" s="528" t="str">
        <f>IF($E140="",IFERROR(VLOOKUP($D140,SERVIÇOS!$C:$H,6,0),IFERROR(VLOOKUP($D140,$F:$M,8,0),"")),IFERROR(VLOOKUP($E140,INSUMOS!$B:$E,4,0),""))</f>
        <v/>
      </c>
      <c r="K140" s="528">
        <f>TRUNC(IF($E140="",IFERROR(VLOOKUP($D140,SERVIÇOS!$C:$H,4,0),IFERROR(VLOOKUP($D140,$F:$M,6,0),)),IFERROR(VLOOKUP($E140,INSUMOS!$B:$E,4,0),))*$I140,2)</f>
        <v>0</v>
      </c>
      <c r="L140" s="528">
        <f>TRUNC(IF($E140="",IFERROR(VLOOKUP($D140,SERVIÇOS!$C:$H,5,0),IFERROR(VLOOKUP($D140,$F:$M,7,0),)),0)*$I140,2)</f>
        <v>0</v>
      </c>
      <c r="M140" s="528">
        <f t="shared" si="3"/>
        <v>0</v>
      </c>
      <c r="N140" s="526"/>
    </row>
    <row r="141" spans="3:14">
      <c r="C141" s="526" t="str">
        <f t="shared" ref="C141:C204" si="4">IF(D141&lt;&gt;"","C",IF(E141&lt;&gt;"","I",""))</f>
        <v/>
      </c>
      <c r="D141" s="531"/>
      <c r="E141" s="531"/>
      <c r="F141" s="526"/>
      <c r="G141" s="532" t="str">
        <f>IF($E141="",IFERROR(VLOOKUP($D141,SERVIÇOS!$C:$H,2,0),IFERROR(VLOOKUP($D141,$F:$M,2,0),"")),IFERROR(VLOOKUP($E141,INSUMOS!$B:$E,2,0),""))</f>
        <v/>
      </c>
      <c r="H141" s="526" t="str">
        <f>IF($E141="",IFERROR(VLOOKUP($D141,SERVIÇOS!$C:$H,3,0),IFERROR(VLOOKUP($D141,$F:$M,3,0),"")),IFERROR(VLOOKUP($E141,INSUMOS!$B:$E,3,0),""))</f>
        <v/>
      </c>
      <c r="I141" s="527"/>
      <c r="J141" s="528" t="str">
        <f>IF($E141="",IFERROR(VLOOKUP($D141,SERVIÇOS!$C:$H,6,0),IFERROR(VLOOKUP($D141,$F:$M,8,0),"")),IFERROR(VLOOKUP($E141,INSUMOS!$B:$E,4,0),""))</f>
        <v/>
      </c>
      <c r="K141" s="528">
        <f>TRUNC(IF($E141="",IFERROR(VLOOKUP($D141,SERVIÇOS!$C:$H,4,0),IFERROR(VLOOKUP($D141,$F:$M,6,0),)),IFERROR(VLOOKUP($E141,INSUMOS!$B:$E,4,0),))*$I141,2)</f>
        <v>0</v>
      </c>
      <c r="L141" s="528">
        <f>TRUNC(IF($E141="",IFERROR(VLOOKUP($D141,SERVIÇOS!$C:$H,5,0),IFERROR(VLOOKUP($D141,$F:$M,7,0),)),0)*$I141,2)</f>
        <v>0</v>
      </c>
      <c r="M141" s="528">
        <f t="shared" si="3"/>
        <v>0</v>
      </c>
      <c r="N141" s="526"/>
    </row>
    <row r="142" spans="3:14">
      <c r="C142" s="526" t="str">
        <f t="shared" si="4"/>
        <v/>
      </c>
      <c r="D142" s="531"/>
      <c r="E142" s="531"/>
      <c r="F142" s="526"/>
      <c r="G142" s="532" t="str">
        <f>IF($E142="",IFERROR(VLOOKUP($D142,SERVIÇOS!$C:$H,2,0),IFERROR(VLOOKUP($D142,$F:$M,2,0),"")),IFERROR(VLOOKUP($E142,INSUMOS!$B:$E,2,0),""))</f>
        <v/>
      </c>
      <c r="H142" s="526" t="str">
        <f>IF($E142="",IFERROR(VLOOKUP($D142,SERVIÇOS!$C:$H,3,0),IFERROR(VLOOKUP($D142,$F:$M,3,0),"")),IFERROR(VLOOKUP($E142,INSUMOS!$B:$E,3,0),""))</f>
        <v/>
      </c>
      <c r="I142" s="527"/>
      <c r="J142" s="528" t="str">
        <f>IF($E142="",IFERROR(VLOOKUP($D142,SERVIÇOS!$C:$H,6,0),IFERROR(VLOOKUP($D142,$F:$M,8,0),"")),IFERROR(VLOOKUP($E142,INSUMOS!$B:$E,4,0),""))</f>
        <v/>
      </c>
      <c r="K142" s="528">
        <f>TRUNC(IF($E142="",IFERROR(VLOOKUP($D142,SERVIÇOS!$C:$H,4,0),IFERROR(VLOOKUP($D142,$F:$M,6,0),)),IFERROR(VLOOKUP($E142,INSUMOS!$B:$E,4,0),))*$I142,2)</f>
        <v>0</v>
      </c>
      <c r="L142" s="528">
        <f>TRUNC(IF($E142="",IFERROR(VLOOKUP($D142,SERVIÇOS!$C:$H,5,0),IFERROR(VLOOKUP($D142,$F:$M,7,0),)),0)*$I142,2)</f>
        <v>0</v>
      </c>
      <c r="M142" s="528">
        <f t="shared" ref="M142:M205" si="5">K142+L142</f>
        <v>0</v>
      </c>
      <c r="N142" s="526"/>
    </row>
    <row r="143" spans="3:14">
      <c r="C143" s="526" t="str">
        <f t="shared" si="4"/>
        <v/>
      </c>
      <c r="D143" s="531"/>
      <c r="E143" s="531"/>
      <c r="F143" s="526"/>
      <c r="G143" s="532" t="str">
        <f>IF($E143="",IFERROR(VLOOKUP($D143,SERVIÇOS!$C:$H,2,0),IFERROR(VLOOKUP($D143,$F:$M,2,0),"")),IFERROR(VLOOKUP($E143,INSUMOS!$B:$E,2,0),""))</f>
        <v/>
      </c>
      <c r="H143" s="526" t="str">
        <f>IF($E143="",IFERROR(VLOOKUP($D143,SERVIÇOS!$C:$H,3,0),IFERROR(VLOOKUP($D143,$F:$M,3,0),"")),IFERROR(VLOOKUP($E143,INSUMOS!$B:$E,3,0),""))</f>
        <v/>
      </c>
      <c r="I143" s="527"/>
      <c r="J143" s="528" t="str">
        <f>IF($E143="",IFERROR(VLOOKUP($D143,SERVIÇOS!$C:$H,6,0),IFERROR(VLOOKUP($D143,$F:$M,8,0),"")),IFERROR(VLOOKUP($E143,INSUMOS!$B:$E,4,0),""))</f>
        <v/>
      </c>
      <c r="K143" s="528">
        <f>TRUNC(IF($E143="",IFERROR(VLOOKUP($D143,SERVIÇOS!$C:$H,4,0),IFERROR(VLOOKUP($D143,$F:$M,6,0),)),IFERROR(VLOOKUP($E143,INSUMOS!$B:$E,4,0),))*$I143,2)</f>
        <v>0</v>
      </c>
      <c r="L143" s="528">
        <f>TRUNC(IF($E143="",IFERROR(VLOOKUP($D143,SERVIÇOS!$C:$H,5,0),IFERROR(VLOOKUP($D143,$F:$M,7,0),)),0)*$I143,2)</f>
        <v>0</v>
      </c>
      <c r="M143" s="528">
        <f t="shared" si="5"/>
        <v>0</v>
      </c>
      <c r="N143" s="526"/>
    </row>
    <row r="144" spans="3:14">
      <c r="C144" s="526" t="str">
        <f t="shared" si="4"/>
        <v/>
      </c>
      <c r="D144" s="531"/>
      <c r="E144" s="531"/>
      <c r="F144" s="526"/>
      <c r="G144" s="532" t="str">
        <f>IF($E144="",IFERROR(VLOOKUP($D144,SERVIÇOS!$C:$H,2,0),IFERROR(VLOOKUP($D144,$F:$M,2,0),"")),IFERROR(VLOOKUP($E144,INSUMOS!$B:$E,2,0),""))</f>
        <v/>
      </c>
      <c r="H144" s="526" t="str">
        <f>IF($E144="",IFERROR(VLOOKUP($D144,SERVIÇOS!$C:$H,3,0),IFERROR(VLOOKUP($D144,$F:$M,3,0),"")),IFERROR(VLOOKUP($E144,INSUMOS!$B:$E,3,0),""))</f>
        <v/>
      </c>
      <c r="I144" s="527"/>
      <c r="J144" s="528" t="str">
        <f>IF($E144="",IFERROR(VLOOKUP($D144,SERVIÇOS!$C:$H,6,0),IFERROR(VLOOKUP($D144,$F:$M,8,0),"")),IFERROR(VLOOKUP($E144,INSUMOS!$B:$E,4,0),""))</f>
        <v/>
      </c>
      <c r="K144" s="528">
        <f>TRUNC(IF($E144="",IFERROR(VLOOKUP($D144,SERVIÇOS!$C:$H,4,0),IFERROR(VLOOKUP($D144,$F:$M,6,0),)),IFERROR(VLOOKUP($E144,INSUMOS!$B:$E,4,0),))*$I144,2)</f>
        <v>0</v>
      </c>
      <c r="L144" s="528">
        <f>TRUNC(IF($E144="",IFERROR(VLOOKUP($D144,SERVIÇOS!$C:$H,5,0),IFERROR(VLOOKUP($D144,$F:$M,7,0),)),0)*$I144,2)</f>
        <v>0</v>
      </c>
      <c r="M144" s="528">
        <f t="shared" si="5"/>
        <v>0</v>
      </c>
      <c r="N144" s="526"/>
    </row>
    <row r="145" spans="3:14">
      <c r="C145" s="526" t="str">
        <f t="shared" si="4"/>
        <v/>
      </c>
      <c r="D145" s="531"/>
      <c r="E145" s="531"/>
      <c r="F145" s="526"/>
      <c r="G145" s="532" t="str">
        <f>IF($E145="",IFERROR(VLOOKUP($D145,SERVIÇOS!$C:$H,2,0),IFERROR(VLOOKUP($D145,$F:$M,2,0),"")),IFERROR(VLOOKUP($E145,INSUMOS!$B:$E,2,0),""))</f>
        <v/>
      </c>
      <c r="H145" s="526" t="str">
        <f>IF($E145="",IFERROR(VLOOKUP($D145,SERVIÇOS!$C:$H,3,0),IFERROR(VLOOKUP($D145,$F:$M,3,0),"")),IFERROR(VLOOKUP($E145,INSUMOS!$B:$E,3,0),""))</f>
        <v/>
      </c>
      <c r="I145" s="527"/>
      <c r="J145" s="528" t="str">
        <f>IF($E145="",IFERROR(VLOOKUP($D145,SERVIÇOS!$C:$H,6,0),IFERROR(VLOOKUP($D145,$F:$M,8,0),"")),IFERROR(VLOOKUP($E145,INSUMOS!$B:$E,4,0),""))</f>
        <v/>
      </c>
      <c r="K145" s="528">
        <f>TRUNC(IF($E145="",IFERROR(VLOOKUP($D145,SERVIÇOS!$C:$H,4,0),IFERROR(VLOOKUP($D145,$F:$M,6,0),)),IFERROR(VLOOKUP($E145,INSUMOS!$B:$E,4,0),))*$I145,2)</f>
        <v>0</v>
      </c>
      <c r="L145" s="528">
        <f>TRUNC(IF($E145="",IFERROR(VLOOKUP($D145,SERVIÇOS!$C:$H,5,0),IFERROR(VLOOKUP($D145,$F:$M,7,0),)),0)*$I145,2)</f>
        <v>0</v>
      </c>
      <c r="M145" s="528">
        <f t="shared" si="5"/>
        <v>0</v>
      </c>
      <c r="N145" s="526"/>
    </row>
    <row r="146" spans="3:14">
      <c r="C146" s="526" t="str">
        <f t="shared" si="4"/>
        <v/>
      </c>
      <c r="D146" s="531"/>
      <c r="E146" s="531"/>
      <c r="F146" s="526"/>
      <c r="G146" s="532" t="str">
        <f>IF($E146="",IFERROR(VLOOKUP($D146,SERVIÇOS!$C:$H,2,0),IFERROR(VLOOKUP($D146,$F:$M,2,0),"")),IFERROR(VLOOKUP($E146,INSUMOS!$B:$E,2,0),""))</f>
        <v/>
      </c>
      <c r="H146" s="526" t="str">
        <f>IF($E146="",IFERROR(VLOOKUP($D146,SERVIÇOS!$C:$H,3,0),IFERROR(VLOOKUP($D146,$F:$M,3,0),"")),IFERROR(VLOOKUP($E146,INSUMOS!$B:$E,3,0),""))</f>
        <v/>
      </c>
      <c r="I146" s="527"/>
      <c r="J146" s="528" t="str">
        <f>IF($E146="",IFERROR(VLOOKUP($D146,SERVIÇOS!$C:$H,6,0),IFERROR(VLOOKUP($D146,$F:$M,8,0),"")),IFERROR(VLOOKUP($E146,INSUMOS!$B:$E,4,0),""))</f>
        <v/>
      </c>
      <c r="K146" s="528">
        <f>TRUNC(IF($E146="",IFERROR(VLOOKUP($D146,SERVIÇOS!$C:$H,4,0),IFERROR(VLOOKUP($D146,$F:$M,6,0),)),IFERROR(VLOOKUP($E146,INSUMOS!$B:$E,4,0),))*$I146,2)</f>
        <v>0</v>
      </c>
      <c r="L146" s="528">
        <f>TRUNC(IF($E146="",IFERROR(VLOOKUP($D146,SERVIÇOS!$C:$H,5,0),IFERROR(VLOOKUP($D146,$F:$M,7,0),)),0)*$I146,2)</f>
        <v>0</v>
      </c>
      <c r="M146" s="528">
        <f t="shared" si="5"/>
        <v>0</v>
      </c>
      <c r="N146" s="526"/>
    </row>
    <row r="147" spans="3:14">
      <c r="C147" s="526" t="str">
        <f t="shared" si="4"/>
        <v/>
      </c>
      <c r="D147" s="531"/>
      <c r="E147" s="531"/>
      <c r="F147" s="526"/>
      <c r="G147" s="532" t="str">
        <f>IF($E147="",IFERROR(VLOOKUP($D147,SERVIÇOS!$C:$H,2,0),IFERROR(VLOOKUP($D147,$F:$M,2,0),"")),IFERROR(VLOOKUP($E147,INSUMOS!$B:$E,2,0),""))</f>
        <v/>
      </c>
      <c r="H147" s="526" t="str">
        <f>IF($E147="",IFERROR(VLOOKUP($D147,SERVIÇOS!$C:$H,3,0),IFERROR(VLOOKUP($D147,$F:$M,3,0),"")),IFERROR(VLOOKUP($E147,INSUMOS!$B:$E,3,0),""))</f>
        <v/>
      </c>
      <c r="I147" s="527"/>
      <c r="J147" s="528" t="str">
        <f>IF($E147="",IFERROR(VLOOKUP($D147,SERVIÇOS!$C:$H,6,0),IFERROR(VLOOKUP($D147,$F:$M,8,0),"")),IFERROR(VLOOKUP($E147,INSUMOS!$B:$E,4,0),""))</f>
        <v/>
      </c>
      <c r="K147" s="528">
        <f>TRUNC(IF($E147="",IFERROR(VLOOKUP($D147,SERVIÇOS!$C:$H,4,0),IFERROR(VLOOKUP($D147,$F:$M,6,0),)),IFERROR(VLOOKUP($E147,INSUMOS!$B:$E,4,0),))*$I147,2)</f>
        <v>0</v>
      </c>
      <c r="L147" s="528">
        <f>TRUNC(IF($E147="",IFERROR(VLOOKUP($D147,SERVIÇOS!$C:$H,5,0),IFERROR(VLOOKUP($D147,$F:$M,7,0),)),0)*$I147,2)</f>
        <v>0</v>
      </c>
      <c r="M147" s="528">
        <f t="shared" si="5"/>
        <v>0</v>
      </c>
      <c r="N147" s="526"/>
    </row>
    <row r="148" spans="3:14">
      <c r="C148" s="526" t="str">
        <f t="shared" si="4"/>
        <v/>
      </c>
      <c r="D148" s="531"/>
      <c r="E148" s="531"/>
      <c r="F148" s="526"/>
      <c r="G148" s="532" t="str">
        <f>IF($E148="",IFERROR(VLOOKUP($D148,SERVIÇOS!$C:$H,2,0),IFERROR(VLOOKUP($D148,$F:$M,2,0),"")),IFERROR(VLOOKUP($E148,INSUMOS!$B:$E,2,0),""))</f>
        <v/>
      </c>
      <c r="H148" s="526" t="str">
        <f>IF($E148="",IFERROR(VLOOKUP($D148,SERVIÇOS!$C:$H,3,0),IFERROR(VLOOKUP($D148,$F:$M,3,0),"")),IFERROR(VLOOKUP($E148,INSUMOS!$B:$E,3,0),""))</f>
        <v/>
      </c>
      <c r="I148" s="527"/>
      <c r="J148" s="528" t="str">
        <f>IF($E148="",IFERROR(VLOOKUP($D148,SERVIÇOS!$C:$H,6,0),IFERROR(VLOOKUP($D148,$F:$M,8,0),"")),IFERROR(VLOOKUP($E148,INSUMOS!$B:$E,4,0),""))</f>
        <v/>
      </c>
      <c r="K148" s="528">
        <f>TRUNC(IF($E148="",IFERROR(VLOOKUP($D148,SERVIÇOS!$C:$H,4,0),IFERROR(VLOOKUP($D148,$F:$M,6,0),)),IFERROR(VLOOKUP($E148,INSUMOS!$B:$E,4,0),))*$I148,2)</f>
        <v>0</v>
      </c>
      <c r="L148" s="528">
        <f>TRUNC(IF($E148="",IFERROR(VLOOKUP($D148,SERVIÇOS!$C:$H,5,0),IFERROR(VLOOKUP($D148,$F:$M,7,0),)),0)*$I148,2)</f>
        <v>0</v>
      </c>
      <c r="M148" s="528">
        <f t="shared" si="5"/>
        <v>0</v>
      </c>
      <c r="N148" s="526"/>
    </row>
    <row r="149" spans="3:14">
      <c r="C149" s="526" t="str">
        <f t="shared" si="4"/>
        <v/>
      </c>
      <c r="D149" s="531"/>
      <c r="E149" s="531"/>
      <c r="F149" s="526"/>
      <c r="G149" s="532" t="str">
        <f>IF($E149="",IFERROR(VLOOKUP($D149,SERVIÇOS!$C:$H,2,0),IFERROR(VLOOKUP($D149,$F:$M,2,0),"")),IFERROR(VLOOKUP($E149,INSUMOS!$B:$E,2,0),""))</f>
        <v/>
      </c>
      <c r="H149" s="526" t="str">
        <f>IF($E149="",IFERROR(VLOOKUP($D149,SERVIÇOS!$C:$H,3,0),IFERROR(VLOOKUP($D149,$F:$M,3,0),"")),IFERROR(VLOOKUP($E149,INSUMOS!$B:$E,3,0),""))</f>
        <v/>
      </c>
      <c r="I149" s="527"/>
      <c r="J149" s="528" t="str">
        <f>IF($E149="",IFERROR(VLOOKUP($D149,SERVIÇOS!$C:$H,6,0),IFERROR(VLOOKUP($D149,$F:$M,8,0),"")),IFERROR(VLOOKUP($E149,INSUMOS!$B:$E,4,0),""))</f>
        <v/>
      </c>
      <c r="K149" s="528">
        <f>TRUNC(IF($E149="",IFERROR(VLOOKUP($D149,SERVIÇOS!$C:$H,4,0),IFERROR(VLOOKUP($D149,$F:$M,6,0),)),IFERROR(VLOOKUP($E149,INSUMOS!$B:$E,4,0),))*$I149,2)</f>
        <v>0</v>
      </c>
      <c r="L149" s="528">
        <f>TRUNC(IF($E149="",IFERROR(VLOOKUP($D149,SERVIÇOS!$C:$H,5,0),IFERROR(VLOOKUP($D149,$F:$M,7,0),)),0)*$I149,2)</f>
        <v>0</v>
      </c>
      <c r="M149" s="528">
        <f t="shared" si="5"/>
        <v>0</v>
      </c>
      <c r="N149" s="526"/>
    </row>
    <row r="150" spans="3:14">
      <c r="C150" s="526" t="str">
        <f t="shared" si="4"/>
        <v/>
      </c>
      <c r="D150" s="531"/>
      <c r="E150" s="531"/>
      <c r="F150" s="526"/>
      <c r="G150" s="532" t="str">
        <f>IF($E150="",IFERROR(VLOOKUP($D150,SERVIÇOS!$C:$H,2,0),IFERROR(VLOOKUP($D150,$F:$M,2,0),"")),IFERROR(VLOOKUP($E150,INSUMOS!$B:$E,2,0),""))</f>
        <v/>
      </c>
      <c r="H150" s="526" t="str">
        <f>IF($E150="",IFERROR(VLOOKUP($D150,SERVIÇOS!$C:$H,3,0),IFERROR(VLOOKUP($D150,$F:$M,3,0),"")),IFERROR(VLOOKUP($E150,INSUMOS!$B:$E,3,0),""))</f>
        <v/>
      </c>
      <c r="I150" s="527"/>
      <c r="J150" s="528" t="str">
        <f>IF($E150="",IFERROR(VLOOKUP($D150,SERVIÇOS!$C:$H,6,0),IFERROR(VLOOKUP($D150,$F:$M,8,0),"")),IFERROR(VLOOKUP($E150,INSUMOS!$B:$E,4,0),""))</f>
        <v/>
      </c>
      <c r="K150" s="528">
        <f>TRUNC(IF($E150="",IFERROR(VLOOKUP($D150,SERVIÇOS!$C:$H,4,0),IFERROR(VLOOKUP($D150,$F:$M,6,0),)),IFERROR(VLOOKUP($E150,INSUMOS!$B:$E,4,0),))*$I150,2)</f>
        <v>0</v>
      </c>
      <c r="L150" s="528">
        <f>TRUNC(IF($E150="",IFERROR(VLOOKUP($D150,SERVIÇOS!$C:$H,5,0),IFERROR(VLOOKUP($D150,$F:$M,7,0),)),0)*$I150,2)</f>
        <v>0</v>
      </c>
      <c r="M150" s="528">
        <f t="shared" si="5"/>
        <v>0</v>
      </c>
      <c r="N150" s="526"/>
    </row>
    <row r="151" spans="3:14">
      <c r="C151" s="526" t="str">
        <f t="shared" si="4"/>
        <v/>
      </c>
      <c r="D151" s="531"/>
      <c r="E151" s="531"/>
      <c r="F151" s="526"/>
      <c r="G151" s="532" t="str">
        <f>IF($E151="",IFERROR(VLOOKUP($D151,SERVIÇOS!$C:$H,2,0),IFERROR(VLOOKUP($D151,$F:$M,2,0),"")),IFERROR(VLOOKUP($E151,INSUMOS!$B:$E,2,0),""))</f>
        <v/>
      </c>
      <c r="H151" s="526" t="str">
        <f>IF($E151="",IFERROR(VLOOKUP($D151,SERVIÇOS!$C:$H,3,0),IFERROR(VLOOKUP($D151,$F:$M,3,0),"")),IFERROR(VLOOKUP($E151,INSUMOS!$B:$E,3,0),""))</f>
        <v/>
      </c>
      <c r="I151" s="527"/>
      <c r="J151" s="528" t="str">
        <f>IF($E151="",IFERROR(VLOOKUP($D151,SERVIÇOS!$C:$H,6,0),IFERROR(VLOOKUP($D151,$F:$M,8,0),"")),IFERROR(VLOOKUP($E151,INSUMOS!$B:$E,4,0),""))</f>
        <v/>
      </c>
      <c r="K151" s="528">
        <f>TRUNC(IF($E151="",IFERROR(VLOOKUP($D151,SERVIÇOS!$C:$H,4,0),IFERROR(VLOOKUP($D151,$F:$M,6,0),)),IFERROR(VLOOKUP($E151,INSUMOS!$B:$E,4,0),))*$I151,2)</f>
        <v>0</v>
      </c>
      <c r="L151" s="528">
        <f>TRUNC(IF($E151="",IFERROR(VLOOKUP($D151,SERVIÇOS!$C:$H,5,0),IFERROR(VLOOKUP($D151,$F:$M,7,0),)),0)*$I151,2)</f>
        <v>0</v>
      </c>
      <c r="M151" s="528">
        <f t="shared" si="5"/>
        <v>0</v>
      </c>
      <c r="N151" s="526"/>
    </row>
    <row r="152" spans="3:14">
      <c r="C152" s="526" t="str">
        <f t="shared" si="4"/>
        <v/>
      </c>
      <c r="D152" s="531"/>
      <c r="E152" s="531"/>
      <c r="F152" s="526"/>
      <c r="G152" s="532" t="str">
        <f>IF($E152="",IFERROR(VLOOKUP($D152,SERVIÇOS!$C:$H,2,0),IFERROR(VLOOKUP($D152,$F:$M,2,0),"")),IFERROR(VLOOKUP($E152,INSUMOS!$B:$E,2,0),""))</f>
        <v/>
      </c>
      <c r="H152" s="526" t="str">
        <f>IF($E152="",IFERROR(VLOOKUP($D152,SERVIÇOS!$C:$H,3,0),IFERROR(VLOOKUP($D152,$F:$M,3,0),"")),IFERROR(VLOOKUP($E152,INSUMOS!$B:$E,3,0),""))</f>
        <v/>
      </c>
      <c r="I152" s="527"/>
      <c r="J152" s="528" t="str">
        <f>IF($E152="",IFERROR(VLOOKUP($D152,SERVIÇOS!$C:$H,6,0),IFERROR(VLOOKUP($D152,$F:$M,8,0),"")),IFERROR(VLOOKUP($E152,INSUMOS!$B:$E,4,0),""))</f>
        <v/>
      </c>
      <c r="K152" s="528">
        <f>TRUNC(IF($E152="",IFERROR(VLOOKUP($D152,SERVIÇOS!$C:$H,4,0),IFERROR(VLOOKUP($D152,$F:$M,6,0),)),IFERROR(VLOOKUP($E152,INSUMOS!$B:$E,4,0),))*$I152,2)</f>
        <v>0</v>
      </c>
      <c r="L152" s="528">
        <f>TRUNC(IF($E152="",IFERROR(VLOOKUP($D152,SERVIÇOS!$C:$H,5,0),IFERROR(VLOOKUP($D152,$F:$M,7,0),)),0)*$I152,2)</f>
        <v>0</v>
      </c>
      <c r="M152" s="528">
        <f t="shared" si="5"/>
        <v>0</v>
      </c>
      <c r="N152" s="526"/>
    </row>
    <row r="153" spans="3:14">
      <c r="C153" s="526" t="str">
        <f t="shared" si="4"/>
        <v/>
      </c>
      <c r="D153" s="531"/>
      <c r="E153" s="531"/>
      <c r="F153" s="526"/>
      <c r="G153" s="532" t="str">
        <f>IF($E153="",IFERROR(VLOOKUP($D153,SERVIÇOS!$C:$H,2,0),IFERROR(VLOOKUP($D153,$F:$M,2,0),"")),IFERROR(VLOOKUP($E153,INSUMOS!$B:$E,2,0),""))</f>
        <v/>
      </c>
      <c r="H153" s="526" t="str">
        <f>IF($E153="",IFERROR(VLOOKUP($D153,SERVIÇOS!$C:$H,3,0),IFERROR(VLOOKUP($D153,$F:$M,3,0),"")),IFERROR(VLOOKUP($E153,INSUMOS!$B:$E,3,0),""))</f>
        <v/>
      </c>
      <c r="I153" s="527"/>
      <c r="J153" s="528" t="str">
        <f>IF($E153="",IFERROR(VLOOKUP($D153,SERVIÇOS!$C:$H,6,0),IFERROR(VLOOKUP($D153,$F:$M,8,0),"")),IFERROR(VLOOKUP($E153,INSUMOS!$B:$E,4,0),""))</f>
        <v/>
      </c>
      <c r="K153" s="528">
        <f>TRUNC(IF($E153="",IFERROR(VLOOKUP($D153,SERVIÇOS!$C:$H,4,0),IFERROR(VLOOKUP($D153,$F:$M,6,0),)),IFERROR(VLOOKUP($E153,INSUMOS!$B:$E,4,0),))*$I153,2)</f>
        <v>0</v>
      </c>
      <c r="L153" s="528">
        <f>TRUNC(IF($E153="",IFERROR(VLOOKUP($D153,SERVIÇOS!$C:$H,5,0),IFERROR(VLOOKUP($D153,$F:$M,7,0),)),0)*$I153,2)</f>
        <v>0</v>
      </c>
      <c r="M153" s="528">
        <f t="shared" si="5"/>
        <v>0</v>
      </c>
      <c r="N153" s="526"/>
    </row>
    <row r="154" spans="3:14">
      <c r="C154" s="526" t="str">
        <f t="shared" si="4"/>
        <v/>
      </c>
      <c r="D154" s="531"/>
      <c r="E154" s="531"/>
      <c r="F154" s="526"/>
      <c r="G154" s="532" t="str">
        <f>IF($E154="",IFERROR(VLOOKUP($D154,SERVIÇOS!$C:$H,2,0),IFERROR(VLOOKUP($D154,$F:$M,2,0),"")),IFERROR(VLOOKUP($E154,INSUMOS!$B:$E,2,0),""))</f>
        <v/>
      </c>
      <c r="H154" s="526" t="str">
        <f>IF($E154="",IFERROR(VLOOKUP($D154,SERVIÇOS!$C:$H,3,0),IFERROR(VLOOKUP($D154,$F:$M,3,0),"")),IFERROR(VLOOKUP($E154,INSUMOS!$B:$E,3,0),""))</f>
        <v/>
      </c>
      <c r="I154" s="527"/>
      <c r="J154" s="528" t="str">
        <f>IF($E154="",IFERROR(VLOOKUP($D154,SERVIÇOS!$C:$H,6,0),IFERROR(VLOOKUP($D154,$F:$M,8,0),"")),IFERROR(VLOOKUP($E154,INSUMOS!$B:$E,4,0),""))</f>
        <v/>
      </c>
      <c r="K154" s="528">
        <f>TRUNC(IF($E154="",IFERROR(VLOOKUP($D154,SERVIÇOS!$C:$H,4,0),IFERROR(VLOOKUP($D154,$F:$M,6,0),)),IFERROR(VLOOKUP($E154,INSUMOS!$B:$E,4,0),))*$I154,2)</f>
        <v>0</v>
      </c>
      <c r="L154" s="528">
        <f>TRUNC(IF($E154="",IFERROR(VLOOKUP($D154,SERVIÇOS!$C:$H,5,0),IFERROR(VLOOKUP($D154,$F:$M,7,0),)),0)*$I154,2)</f>
        <v>0</v>
      </c>
      <c r="M154" s="528">
        <f t="shared" si="5"/>
        <v>0</v>
      </c>
      <c r="N154" s="526"/>
    </row>
    <row r="155" spans="3:14">
      <c r="C155" s="526" t="str">
        <f t="shared" si="4"/>
        <v/>
      </c>
      <c r="D155" s="531"/>
      <c r="E155" s="531"/>
      <c r="F155" s="526"/>
      <c r="G155" s="532" t="str">
        <f>IF($E155="",IFERROR(VLOOKUP($D155,SERVIÇOS!$C:$H,2,0),IFERROR(VLOOKUP($D155,$F:$M,2,0),"")),IFERROR(VLOOKUP($E155,INSUMOS!$B:$E,2,0),""))</f>
        <v/>
      </c>
      <c r="H155" s="526" t="str">
        <f>IF($E155="",IFERROR(VLOOKUP($D155,SERVIÇOS!$C:$H,3,0),IFERROR(VLOOKUP($D155,$F:$M,3,0),"")),IFERROR(VLOOKUP($E155,INSUMOS!$B:$E,3,0),""))</f>
        <v/>
      </c>
      <c r="I155" s="527"/>
      <c r="J155" s="528" t="str">
        <f>IF($E155="",IFERROR(VLOOKUP($D155,SERVIÇOS!$C:$H,6,0),IFERROR(VLOOKUP($D155,$F:$M,8,0),"")),IFERROR(VLOOKUP($E155,INSUMOS!$B:$E,4,0),""))</f>
        <v/>
      </c>
      <c r="K155" s="528">
        <f>TRUNC(IF($E155="",IFERROR(VLOOKUP($D155,SERVIÇOS!$C:$H,4,0),IFERROR(VLOOKUP($D155,$F:$M,6,0),)),IFERROR(VLOOKUP($E155,INSUMOS!$B:$E,4,0),))*$I155,2)</f>
        <v>0</v>
      </c>
      <c r="L155" s="528">
        <f>TRUNC(IF($E155="",IFERROR(VLOOKUP($D155,SERVIÇOS!$C:$H,5,0),IFERROR(VLOOKUP($D155,$F:$M,7,0),)),0)*$I155,2)</f>
        <v>0</v>
      </c>
      <c r="M155" s="528">
        <f t="shared" si="5"/>
        <v>0</v>
      </c>
      <c r="N155" s="526"/>
    </row>
    <row r="156" spans="3:14">
      <c r="C156" s="526" t="str">
        <f t="shared" si="4"/>
        <v/>
      </c>
      <c r="D156" s="531"/>
      <c r="E156" s="531"/>
      <c r="F156" s="526"/>
      <c r="G156" s="532" t="str">
        <f>IF($E156="",IFERROR(VLOOKUP($D156,SERVIÇOS!$C:$H,2,0),IFERROR(VLOOKUP($D156,$F:$M,2,0),"")),IFERROR(VLOOKUP($E156,INSUMOS!$B:$E,2,0),""))</f>
        <v/>
      </c>
      <c r="H156" s="526" t="str">
        <f>IF($E156="",IFERROR(VLOOKUP($D156,SERVIÇOS!$C:$H,3,0),IFERROR(VLOOKUP($D156,$F:$M,3,0),"")),IFERROR(VLOOKUP($E156,INSUMOS!$B:$E,3,0),""))</f>
        <v/>
      </c>
      <c r="I156" s="527"/>
      <c r="J156" s="528" t="str">
        <f>IF($E156="",IFERROR(VLOOKUP($D156,SERVIÇOS!$C:$H,6,0),IFERROR(VLOOKUP($D156,$F:$M,8,0),"")),IFERROR(VLOOKUP($E156,INSUMOS!$B:$E,4,0),""))</f>
        <v/>
      </c>
      <c r="K156" s="528">
        <f>TRUNC(IF($E156="",IFERROR(VLOOKUP($D156,SERVIÇOS!$C:$H,4,0),IFERROR(VLOOKUP($D156,$F:$M,6,0),)),IFERROR(VLOOKUP($E156,INSUMOS!$B:$E,4,0),))*$I156,2)</f>
        <v>0</v>
      </c>
      <c r="L156" s="528">
        <f>TRUNC(IF($E156="",IFERROR(VLOOKUP($D156,SERVIÇOS!$C:$H,5,0),IFERROR(VLOOKUP($D156,$F:$M,7,0),)),0)*$I156,2)</f>
        <v>0</v>
      </c>
      <c r="M156" s="528">
        <f t="shared" si="5"/>
        <v>0</v>
      </c>
      <c r="N156" s="526"/>
    </row>
    <row r="157" spans="3:14">
      <c r="C157" s="526" t="str">
        <f t="shared" si="4"/>
        <v/>
      </c>
      <c r="D157" s="531"/>
      <c r="E157" s="531"/>
      <c r="F157" s="526"/>
      <c r="G157" s="532" t="str">
        <f>IF($E157="",IFERROR(VLOOKUP($D157,SERVIÇOS!$C:$H,2,0),IFERROR(VLOOKUP($D157,$F:$M,2,0),"")),IFERROR(VLOOKUP($E157,INSUMOS!$B:$E,2,0),""))</f>
        <v/>
      </c>
      <c r="H157" s="526" t="str">
        <f>IF($E157="",IFERROR(VLOOKUP($D157,SERVIÇOS!$C:$H,3,0),IFERROR(VLOOKUP($D157,$F:$M,3,0),"")),IFERROR(VLOOKUP($E157,INSUMOS!$B:$E,3,0),""))</f>
        <v/>
      </c>
      <c r="I157" s="527"/>
      <c r="J157" s="528" t="str">
        <f>IF($E157="",IFERROR(VLOOKUP($D157,SERVIÇOS!$C:$H,6,0),IFERROR(VLOOKUP($D157,$F:$M,8,0),"")),IFERROR(VLOOKUP($E157,INSUMOS!$B:$E,4,0),""))</f>
        <v/>
      </c>
      <c r="K157" s="528">
        <f>TRUNC(IF($E157="",IFERROR(VLOOKUP($D157,SERVIÇOS!$C:$H,4,0),IFERROR(VLOOKUP($D157,$F:$M,6,0),)),IFERROR(VLOOKUP($E157,INSUMOS!$B:$E,4,0),))*$I157,2)</f>
        <v>0</v>
      </c>
      <c r="L157" s="528">
        <f>TRUNC(IF($E157="",IFERROR(VLOOKUP($D157,SERVIÇOS!$C:$H,5,0),IFERROR(VLOOKUP($D157,$F:$M,7,0),)),0)*$I157,2)</f>
        <v>0</v>
      </c>
      <c r="M157" s="528">
        <f t="shared" si="5"/>
        <v>0</v>
      </c>
      <c r="N157" s="526"/>
    </row>
    <row r="158" spans="3:14">
      <c r="C158" s="526" t="str">
        <f t="shared" si="4"/>
        <v/>
      </c>
      <c r="D158" s="531"/>
      <c r="E158" s="531"/>
      <c r="F158" s="526"/>
      <c r="G158" s="532" t="str">
        <f>IF($E158="",IFERROR(VLOOKUP($D158,SERVIÇOS!$C:$H,2,0),IFERROR(VLOOKUP($D158,$F:$M,2,0),"")),IFERROR(VLOOKUP($E158,INSUMOS!$B:$E,2,0),""))</f>
        <v/>
      </c>
      <c r="H158" s="526" t="str">
        <f>IF($E158="",IFERROR(VLOOKUP($D158,SERVIÇOS!$C:$H,3,0),IFERROR(VLOOKUP($D158,$F:$M,3,0),"")),IFERROR(VLOOKUP($E158,INSUMOS!$B:$E,3,0),""))</f>
        <v/>
      </c>
      <c r="I158" s="527"/>
      <c r="J158" s="528" t="str">
        <f>IF($E158="",IFERROR(VLOOKUP($D158,SERVIÇOS!$C:$H,6,0),IFERROR(VLOOKUP($D158,$F:$M,8,0),"")),IFERROR(VLOOKUP($E158,INSUMOS!$B:$E,4,0),""))</f>
        <v/>
      </c>
      <c r="K158" s="528">
        <f>TRUNC(IF($E158="",IFERROR(VLOOKUP($D158,SERVIÇOS!$C:$H,4,0),IFERROR(VLOOKUP($D158,$F:$M,6,0),)),IFERROR(VLOOKUP($E158,INSUMOS!$B:$E,4,0),))*$I158,2)</f>
        <v>0</v>
      </c>
      <c r="L158" s="528">
        <f>TRUNC(IF($E158="",IFERROR(VLOOKUP($D158,SERVIÇOS!$C:$H,5,0),IFERROR(VLOOKUP($D158,$F:$M,7,0),)),0)*$I158,2)</f>
        <v>0</v>
      </c>
      <c r="M158" s="528">
        <f t="shared" si="5"/>
        <v>0</v>
      </c>
      <c r="N158" s="526"/>
    </row>
    <row r="159" spans="3:14">
      <c r="C159" s="526" t="str">
        <f t="shared" si="4"/>
        <v/>
      </c>
      <c r="D159" s="531"/>
      <c r="E159" s="531"/>
      <c r="F159" s="526"/>
      <c r="G159" s="532" t="str">
        <f>IF($E159="",IFERROR(VLOOKUP($D159,SERVIÇOS!$C:$H,2,0),IFERROR(VLOOKUP($D159,$F:$M,2,0),"")),IFERROR(VLOOKUP($E159,INSUMOS!$B:$E,2,0),""))</f>
        <v/>
      </c>
      <c r="H159" s="526" t="str">
        <f>IF($E159="",IFERROR(VLOOKUP($D159,SERVIÇOS!$C:$H,3,0),IFERROR(VLOOKUP($D159,$F:$M,3,0),"")),IFERROR(VLOOKUP($E159,INSUMOS!$B:$E,3,0),""))</f>
        <v/>
      </c>
      <c r="I159" s="527"/>
      <c r="J159" s="528" t="str">
        <f>IF($E159="",IFERROR(VLOOKUP($D159,SERVIÇOS!$C:$H,6,0),IFERROR(VLOOKUP($D159,$F:$M,8,0),"")),IFERROR(VLOOKUP($E159,INSUMOS!$B:$E,4,0),""))</f>
        <v/>
      </c>
      <c r="K159" s="528">
        <f>TRUNC(IF($E159="",IFERROR(VLOOKUP($D159,SERVIÇOS!$C:$H,4,0),IFERROR(VLOOKUP($D159,$F:$M,6,0),)),IFERROR(VLOOKUP($E159,INSUMOS!$B:$E,4,0),))*$I159,2)</f>
        <v>0</v>
      </c>
      <c r="L159" s="528">
        <f>TRUNC(IF($E159="",IFERROR(VLOOKUP($D159,SERVIÇOS!$C:$H,5,0),IFERROR(VLOOKUP($D159,$F:$M,7,0),)),0)*$I159,2)</f>
        <v>0</v>
      </c>
      <c r="M159" s="528">
        <f t="shared" si="5"/>
        <v>0</v>
      </c>
      <c r="N159" s="526"/>
    </row>
    <row r="160" spans="3:14">
      <c r="C160" s="526" t="str">
        <f t="shared" si="4"/>
        <v/>
      </c>
      <c r="D160" s="531"/>
      <c r="E160" s="531"/>
      <c r="F160" s="526"/>
      <c r="G160" s="532" t="str">
        <f>IF($E160="",IFERROR(VLOOKUP($D160,SERVIÇOS!$C:$H,2,0),IFERROR(VLOOKUP($D160,$F:$M,2,0),"")),IFERROR(VLOOKUP($E160,INSUMOS!$B:$E,2,0),""))</f>
        <v/>
      </c>
      <c r="H160" s="526" t="str">
        <f>IF($E160="",IFERROR(VLOOKUP($D160,SERVIÇOS!$C:$H,3,0),IFERROR(VLOOKUP($D160,$F:$M,3,0),"")),IFERROR(VLOOKUP($E160,INSUMOS!$B:$E,3,0),""))</f>
        <v/>
      </c>
      <c r="I160" s="527"/>
      <c r="J160" s="528" t="str">
        <f>IF($E160="",IFERROR(VLOOKUP($D160,SERVIÇOS!$C:$H,6,0),IFERROR(VLOOKUP($D160,$F:$M,8,0),"")),IFERROR(VLOOKUP($E160,INSUMOS!$B:$E,4,0),""))</f>
        <v/>
      </c>
      <c r="K160" s="528">
        <f>TRUNC(IF($E160="",IFERROR(VLOOKUP($D160,SERVIÇOS!$C:$H,4,0),IFERROR(VLOOKUP($D160,$F:$M,6,0),)),IFERROR(VLOOKUP($E160,INSUMOS!$B:$E,4,0),))*$I160,2)</f>
        <v>0</v>
      </c>
      <c r="L160" s="528">
        <f>TRUNC(IF($E160="",IFERROR(VLOOKUP($D160,SERVIÇOS!$C:$H,5,0),IFERROR(VLOOKUP($D160,$F:$M,7,0),)),0)*$I160,2)</f>
        <v>0</v>
      </c>
      <c r="M160" s="528">
        <f t="shared" si="5"/>
        <v>0</v>
      </c>
      <c r="N160" s="526"/>
    </row>
    <row r="161" spans="3:14">
      <c r="C161" s="526" t="str">
        <f t="shared" si="4"/>
        <v/>
      </c>
      <c r="D161" s="531"/>
      <c r="E161" s="531"/>
      <c r="F161" s="526"/>
      <c r="G161" s="532" t="str">
        <f>IF($E161="",IFERROR(VLOOKUP($D161,SERVIÇOS!$C:$H,2,0),IFERROR(VLOOKUP($D161,$F:$M,2,0),"")),IFERROR(VLOOKUP($E161,INSUMOS!$B:$E,2,0),""))</f>
        <v/>
      </c>
      <c r="H161" s="526" t="str">
        <f>IF($E161="",IFERROR(VLOOKUP($D161,SERVIÇOS!$C:$H,3,0),IFERROR(VLOOKUP($D161,$F:$M,3,0),"")),IFERROR(VLOOKUP($E161,INSUMOS!$B:$E,3,0),""))</f>
        <v/>
      </c>
      <c r="I161" s="527"/>
      <c r="J161" s="528" t="str">
        <f>IF($E161="",IFERROR(VLOOKUP($D161,SERVIÇOS!$C:$H,6,0),IFERROR(VLOOKUP($D161,$F:$M,8,0),"")),IFERROR(VLOOKUP($E161,INSUMOS!$B:$E,4,0),""))</f>
        <v/>
      </c>
      <c r="K161" s="528">
        <f>TRUNC(IF($E161="",IFERROR(VLOOKUP($D161,SERVIÇOS!$C:$H,4,0),IFERROR(VLOOKUP($D161,$F:$M,6,0),)),IFERROR(VLOOKUP($E161,INSUMOS!$B:$E,4,0),))*$I161,2)</f>
        <v>0</v>
      </c>
      <c r="L161" s="528">
        <f>TRUNC(IF($E161="",IFERROR(VLOOKUP($D161,SERVIÇOS!$C:$H,5,0),IFERROR(VLOOKUP($D161,$F:$M,7,0),)),0)*$I161,2)</f>
        <v>0</v>
      </c>
      <c r="M161" s="528">
        <f t="shared" si="5"/>
        <v>0</v>
      </c>
      <c r="N161" s="526"/>
    </row>
    <row r="162" spans="3:14">
      <c r="C162" s="526" t="str">
        <f t="shared" si="4"/>
        <v/>
      </c>
      <c r="D162" s="531"/>
      <c r="E162" s="531"/>
      <c r="F162" s="526"/>
      <c r="G162" s="532" t="str">
        <f>IF($E162="",IFERROR(VLOOKUP($D162,SERVIÇOS!$C:$H,2,0),IFERROR(VLOOKUP($D162,$F:$M,2,0),"")),IFERROR(VLOOKUP($E162,INSUMOS!$B:$E,2,0),""))</f>
        <v/>
      </c>
      <c r="H162" s="526" t="str">
        <f>IF($E162="",IFERROR(VLOOKUP($D162,SERVIÇOS!$C:$H,3,0),IFERROR(VLOOKUP($D162,$F:$M,3,0),"")),IFERROR(VLOOKUP($E162,INSUMOS!$B:$E,3,0),""))</f>
        <v/>
      </c>
      <c r="I162" s="527"/>
      <c r="J162" s="528" t="str">
        <f>IF($E162="",IFERROR(VLOOKUP($D162,SERVIÇOS!$C:$H,6,0),IFERROR(VLOOKUP($D162,$F:$M,8,0),"")),IFERROR(VLOOKUP($E162,INSUMOS!$B:$E,4,0),""))</f>
        <v/>
      </c>
      <c r="K162" s="528">
        <f>TRUNC(IF($E162="",IFERROR(VLOOKUP($D162,SERVIÇOS!$C:$H,4,0),IFERROR(VLOOKUP($D162,$F:$M,6,0),)),IFERROR(VLOOKUP($E162,INSUMOS!$B:$E,4,0),))*$I162,2)</f>
        <v>0</v>
      </c>
      <c r="L162" s="528">
        <f>TRUNC(IF($E162="",IFERROR(VLOOKUP($D162,SERVIÇOS!$C:$H,5,0),IFERROR(VLOOKUP($D162,$F:$M,7,0),)),0)*$I162,2)</f>
        <v>0</v>
      </c>
      <c r="M162" s="528">
        <f t="shared" si="5"/>
        <v>0</v>
      </c>
      <c r="N162" s="526"/>
    </row>
    <row r="163" spans="3:14">
      <c r="C163" s="526" t="str">
        <f t="shared" si="4"/>
        <v/>
      </c>
      <c r="D163" s="531"/>
      <c r="E163" s="531"/>
      <c r="F163" s="526"/>
      <c r="G163" s="532" t="str">
        <f>IF($E163="",IFERROR(VLOOKUP($D163,SERVIÇOS!$C:$H,2,0),IFERROR(VLOOKUP($D163,$F:$M,2,0),"")),IFERROR(VLOOKUP($E163,INSUMOS!$B:$E,2,0),""))</f>
        <v/>
      </c>
      <c r="H163" s="526" t="str">
        <f>IF($E163="",IFERROR(VLOOKUP($D163,SERVIÇOS!$C:$H,3,0),IFERROR(VLOOKUP($D163,$F:$M,3,0),"")),IFERROR(VLOOKUP($E163,INSUMOS!$B:$E,3,0),""))</f>
        <v/>
      </c>
      <c r="I163" s="527"/>
      <c r="J163" s="528" t="str">
        <f>IF($E163="",IFERROR(VLOOKUP($D163,SERVIÇOS!$C:$H,6,0),IFERROR(VLOOKUP($D163,$F:$M,8,0),"")),IFERROR(VLOOKUP($E163,INSUMOS!$B:$E,4,0),""))</f>
        <v/>
      </c>
      <c r="K163" s="528">
        <f>TRUNC(IF($E163="",IFERROR(VLOOKUP($D163,SERVIÇOS!$C:$H,4,0),IFERROR(VLOOKUP($D163,$F:$M,6,0),)),IFERROR(VLOOKUP($E163,INSUMOS!$B:$E,4,0),))*$I163,2)</f>
        <v>0</v>
      </c>
      <c r="L163" s="528">
        <f>TRUNC(IF($E163="",IFERROR(VLOOKUP($D163,SERVIÇOS!$C:$H,5,0),IFERROR(VLOOKUP($D163,$F:$M,7,0),)),0)*$I163,2)</f>
        <v>0</v>
      </c>
      <c r="M163" s="528">
        <f t="shared" si="5"/>
        <v>0</v>
      </c>
      <c r="N163" s="526"/>
    </row>
    <row r="164" spans="3:14">
      <c r="C164" s="526" t="str">
        <f t="shared" si="4"/>
        <v/>
      </c>
      <c r="D164" s="531"/>
      <c r="E164" s="531"/>
      <c r="F164" s="526"/>
      <c r="G164" s="532" t="str">
        <f>IF($E164="",IFERROR(VLOOKUP($D164,SERVIÇOS!$C:$H,2,0),IFERROR(VLOOKUP($D164,$F:$M,2,0),"")),IFERROR(VLOOKUP($E164,INSUMOS!$B:$E,2,0),""))</f>
        <v/>
      </c>
      <c r="H164" s="526" t="str">
        <f>IF($E164="",IFERROR(VLOOKUP($D164,SERVIÇOS!$C:$H,3,0),IFERROR(VLOOKUP($D164,$F:$M,3,0),"")),IFERROR(VLOOKUP($E164,INSUMOS!$B:$E,3,0),""))</f>
        <v/>
      </c>
      <c r="I164" s="527"/>
      <c r="J164" s="528" t="str">
        <f>IF($E164="",IFERROR(VLOOKUP($D164,SERVIÇOS!$C:$H,6,0),IFERROR(VLOOKUP($D164,$F:$M,8,0),"")),IFERROR(VLOOKUP($E164,INSUMOS!$B:$E,4,0),""))</f>
        <v/>
      </c>
      <c r="K164" s="528">
        <f>TRUNC(IF($E164="",IFERROR(VLOOKUP($D164,SERVIÇOS!$C:$H,4,0),IFERROR(VLOOKUP($D164,$F:$M,6,0),)),IFERROR(VLOOKUP($E164,INSUMOS!$B:$E,4,0),))*$I164,2)</f>
        <v>0</v>
      </c>
      <c r="L164" s="528">
        <f>TRUNC(IF($E164="",IFERROR(VLOOKUP($D164,SERVIÇOS!$C:$H,5,0),IFERROR(VLOOKUP($D164,$F:$M,7,0),)),0)*$I164,2)</f>
        <v>0</v>
      </c>
      <c r="M164" s="528">
        <f t="shared" si="5"/>
        <v>0</v>
      </c>
      <c r="N164" s="526"/>
    </row>
    <row r="165" spans="3:14">
      <c r="C165" s="526" t="str">
        <f t="shared" si="4"/>
        <v/>
      </c>
      <c r="D165" s="531"/>
      <c r="E165" s="531"/>
      <c r="F165" s="526"/>
      <c r="G165" s="532" t="str">
        <f>IF($E165="",IFERROR(VLOOKUP($D165,SERVIÇOS!$C:$H,2,0),IFERROR(VLOOKUP($D165,$F:$M,2,0),"")),IFERROR(VLOOKUP($E165,INSUMOS!$B:$E,2,0),""))</f>
        <v/>
      </c>
      <c r="H165" s="526" t="str">
        <f>IF($E165="",IFERROR(VLOOKUP($D165,SERVIÇOS!$C:$H,3,0),IFERROR(VLOOKUP($D165,$F:$M,3,0),"")),IFERROR(VLOOKUP($E165,INSUMOS!$B:$E,3,0),""))</f>
        <v/>
      </c>
      <c r="I165" s="527"/>
      <c r="J165" s="528" t="str">
        <f>IF($E165="",IFERROR(VLOOKUP($D165,SERVIÇOS!$C:$H,6,0),IFERROR(VLOOKUP($D165,$F:$M,8,0),"")),IFERROR(VLOOKUP($E165,INSUMOS!$B:$E,4,0),""))</f>
        <v/>
      </c>
      <c r="K165" s="528">
        <f>TRUNC(IF($E165="",IFERROR(VLOOKUP($D165,SERVIÇOS!$C:$H,4,0),IFERROR(VLOOKUP($D165,$F:$M,6,0),)),IFERROR(VLOOKUP($E165,INSUMOS!$B:$E,4,0),))*$I165,2)</f>
        <v>0</v>
      </c>
      <c r="L165" s="528">
        <f>TRUNC(IF($E165="",IFERROR(VLOOKUP($D165,SERVIÇOS!$C:$H,5,0),IFERROR(VLOOKUP($D165,$F:$M,7,0),)),0)*$I165,2)</f>
        <v>0</v>
      </c>
      <c r="M165" s="528">
        <f t="shared" si="5"/>
        <v>0</v>
      </c>
      <c r="N165" s="526"/>
    </row>
    <row r="166" spans="3:14">
      <c r="C166" s="526" t="str">
        <f t="shared" si="4"/>
        <v/>
      </c>
      <c r="D166" s="531"/>
      <c r="E166" s="531"/>
      <c r="F166" s="526"/>
      <c r="G166" s="532" t="str">
        <f>IF($E166="",IFERROR(VLOOKUP($D166,SERVIÇOS!$C:$H,2,0),IFERROR(VLOOKUP($D166,$F:$M,2,0),"")),IFERROR(VLOOKUP($E166,INSUMOS!$B:$E,2,0),""))</f>
        <v/>
      </c>
      <c r="H166" s="526" t="str">
        <f>IF($E166="",IFERROR(VLOOKUP($D166,SERVIÇOS!$C:$H,3,0),IFERROR(VLOOKUP($D166,$F:$M,3,0),"")),IFERROR(VLOOKUP($E166,INSUMOS!$B:$E,3,0),""))</f>
        <v/>
      </c>
      <c r="I166" s="527"/>
      <c r="J166" s="528" t="str">
        <f>IF($E166="",IFERROR(VLOOKUP($D166,SERVIÇOS!$C:$H,6,0),IFERROR(VLOOKUP($D166,$F:$M,8,0),"")),IFERROR(VLOOKUP($E166,INSUMOS!$B:$E,4,0),""))</f>
        <v/>
      </c>
      <c r="K166" s="528">
        <f>TRUNC(IF($E166="",IFERROR(VLOOKUP($D166,SERVIÇOS!$C:$H,4,0),IFERROR(VLOOKUP($D166,$F:$M,6,0),)),IFERROR(VLOOKUP($E166,INSUMOS!$B:$E,4,0),))*$I166,2)</f>
        <v>0</v>
      </c>
      <c r="L166" s="528">
        <f>TRUNC(IF($E166="",IFERROR(VLOOKUP($D166,SERVIÇOS!$C:$H,5,0),IFERROR(VLOOKUP($D166,$F:$M,7,0),)),0)*$I166,2)</f>
        <v>0</v>
      </c>
      <c r="M166" s="528">
        <f t="shared" si="5"/>
        <v>0</v>
      </c>
      <c r="N166" s="526"/>
    </row>
    <row r="167" spans="3:14">
      <c r="C167" s="526" t="str">
        <f t="shared" si="4"/>
        <v/>
      </c>
      <c r="D167" s="531"/>
      <c r="E167" s="531"/>
      <c r="F167" s="526"/>
      <c r="G167" s="532" t="str">
        <f>IF($E167="",IFERROR(VLOOKUP($D167,SERVIÇOS!$C:$H,2,0),IFERROR(VLOOKUP($D167,$F:$M,2,0),"")),IFERROR(VLOOKUP($E167,INSUMOS!$B:$E,2,0),""))</f>
        <v/>
      </c>
      <c r="H167" s="526" t="str">
        <f>IF($E167="",IFERROR(VLOOKUP($D167,SERVIÇOS!$C:$H,3,0),IFERROR(VLOOKUP($D167,$F:$M,3,0),"")),IFERROR(VLOOKUP($E167,INSUMOS!$B:$E,3,0),""))</f>
        <v/>
      </c>
      <c r="I167" s="527"/>
      <c r="J167" s="528" t="str">
        <f>IF($E167="",IFERROR(VLOOKUP($D167,SERVIÇOS!$C:$H,6,0),IFERROR(VLOOKUP($D167,$F:$M,8,0),"")),IFERROR(VLOOKUP($E167,INSUMOS!$B:$E,4,0),""))</f>
        <v/>
      </c>
      <c r="K167" s="528">
        <f>TRUNC(IF($E167="",IFERROR(VLOOKUP($D167,SERVIÇOS!$C:$H,4,0),IFERROR(VLOOKUP($D167,$F:$M,6,0),)),IFERROR(VLOOKUP($E167,INSUMOS!$B:$E,4,0),))*$I167,2)</f>
        <v>0</v>
      </c>
      <c r="L167" s="528">
        <f>TRUNC(IF($E167="",IFERROR(VLOOKUP($D167,SERVIÇOS!$C:$H,5,0),IFERROR(VLOOKUP($D167,$F:$M,7,0),)),0)*$I167,2)</f>
        <v>0</v>
      </c>
      <c r="M167" s="528">
        <f t="shared" si="5"/>
        <v>0</v>
      </c>
      <c r="N167" s="526"/>
    </row>
    <row r="168" spans="3:14">
      <c r="C168" s="526" t="str">
        <f t="shared" si="4"/>
        <v/>
      </c>
      <c r="D168" s="531"/>
      <c r="E168" s="531"/>
      <c r="F168" s="526"/>
      <c r="G168" s="532" t="str">
        <f>IF($E168="",IFERROR(VLOOKUP($D168,SERVIÇOS!$C:$H,2,0),IFERROR(VLOOKUP($D168,$F:$M,2,0),"")),IFERROR(VLOOKUP($E168,INSUMOS!$B:$E,2,0),""))</f>
        <v/>
      </c>
      <c r="H168" s="526" t="str">
        <f>IF($E168="",IFERROR(VLOOKUP($D168,SERVIÇOS!$C:$H,3,0),IFERROR(VLOOKUP($D168,$F:$M,3,0),"")),IFERROR(VLOOKUP($E168,INSUMOS!$B:$E,3,0),""))</f>
        <v/>
      </c>
      <c r="I168" s="527"/>
      <c r="J168" s="528" t="str">
        <f>IF($E168="",IFERROR(VLOOKUP($D168,SERVIÇOS!$C:$H,6,0),IFERROR(VLOOKUP($D168,$F:$M,8,0),"")),IFERROR(VLOOKUP($E168,INSUMOS!$B:$E,4,0),""))</f>
        <v/>
      </c>
      <c r="K168" s="528">
        <f>TRUNC(IF($E168="",IFERROR(VLOOKUP($D168,SERVIÇOS!$C:$H,4,0),IFERROR(VLOOKUP($D168,$F:$M,6,0),)),IFERROR(VLOOKUP($E168,INSUMOS!$B:$E,4,0),))*$I168,2)</f>
        <v>0</v>
      </c>
      <c r="L168" s="528">
        <f>TRUNC(IF($E168="",IFERROR(VLOOKUP($D168,SERVIÇOS!$C:$H,5,0),IFERROR(VLOOKUP($D168,$F:$M,7,0),)),0)*$I168,2)</f>
        <v>0</v>
      </c>
      <c r="M168" s="528">
        <f t="shared" si="5"/>
        <v>0</v>
      </c>
      <c r="N168" s="526"/>
    </row>
    <row r="169" spans="3:14">
      <c r="C169" s="526" t="str">
        <f t="shared" si="4"/>
        <v/>
      </c>
      <c r="D169" s="531"/>
      <c r="E169" s="531"/>
      <c r="F169" s="526"/>
      <c r="G169" s="532" t="str">
        <f>IF($E169="",IFERROR(VLOOKUP($D169,SERVIÇOS!$C:$H,2,0),IFERROR(VLOOKUP($D169,$F:$M,2,0),"")),IFERROR(VLOOKUP($E169,INSUMOS!$B:$E,2,0),""))</f>
        <v/>
      </c>
      <c r="H169" s="526" t="str">
        <f>IF($E169="",IFERROR(VLOOKUP($D169,SERVIÇOS!$C:$H,3,0),IFERROR(VLOOKUP($D169,$F:$M,3,0),"")),IFERROR(VLOOKUP($E169,INSUMOS!$B:$E,3,0),""))</f>
        <v/>
      </c>
      <c r="I169" s="527"/>
      <c r="J169" s="528" t="str">
        <f>IF($E169="",IFERROR(VLOOKUP($D169,SERVIÇOS!$C:$H,6,0),IFERROR(VLOOKUP($D169,$F:$M,8,0),"")),IFERROR(VLOOKUP($E169,INSUMOS!$B:$E,4,0),""))</f>
        <v/>
      </c>
      <c r="K169" s="528">
        <f>TRUNC(IF($E169="",IFERROR(VLOOKUP($D169,SERVIÇOS!$C:$H,4,0),IFERROR(VLOOKUP($D169,$F:$M,6,0),)),IFERROR(VLOOKUP($E169,INSUMOS!$B:$E,4,0),))*$I169,2)</f>
        <v>0</v>
      </c>
      <c r="L169" s="528">
        <f>TRUNC(IF($E169="",IFERROR(VLOOKUP($D169,SERVIÇOS!$C:$H,5,0),IFERROR(VLOOKUP($D169,$F:$M,7,0),)),0)*$I169,2)</f>
        <v>0</v>
      </c>
      <c r="M169" s="528">
        <f t="shared" si="5"/>
        <v>0</v>
      </c>
      <c r="N169" s="526"/>
    </row>
    <row r="170" spans="3:14">
      <c r="C170" s="526" t="str">
        <f t="shared" si="4"/>
        <v/>
      </c>
      <c r="D170" s="531"/>
      <c r="E170" s="531"/>
      <c r="F170" s="526"/>
      <c r="G170" s="532" t="str">
        <f>IF($E170="",IFERROR(VLOOKUP($D170,SERVIÇOS!$C:$H,2,0),IFERROR(VLOOKUP($D170,$F:$M,2,0),"")),IFERROR(VLOOKUP($E170,INSUMOS!$B:$E,2,0),""))</f>
        <v/>
      </c>
      <c r="H170" s="526" t="str">
        <f>IF($E170="",IFERROR(VLOOKUP($D170,SERVIÇOS!$C:$H,3,0),IFERROR(VLOOKUP($D170,$F:$M,3,0),"")),IFERROR(VLOOKUP($E170,INSUMOS!$B:$E,3,0),""))</f>
        <v/>
      </c>
      <c r="I170" s="527"/>
      <c r="J170" s="528" t="str">
        <f>IF($E170="",IFERROR(VLOOKUP($D170,SERVIÇOS!$C:$H,6,0),IFERROR(VLOOKUP($D170,$F:$M,8,0),"")),IFERROR(VLOOKUP($E170,INSUMOS!$B:$E,4,0),""))</f>
        <v/>
      </c>
      <c r="K170" s="528">
        <f>TRUNC(IF($E170="",IFERROR(VLOOKUP($D170,SERVIÇOS!$C:$H,4,0),IFERROR(VLOOKUP($D170,$F:$M,6,0),)),IFERROR(VLOOKUP($E170,INSUMOS!$B:$E,4,0),))*$I170,2)</f>
        <v>0</v>
      </c>
      <c r="L170" s="528">
        <f>TRUNC(IF($E170="",IFERROR(VLOOKUP($D170,SERVIÇOS!$C:$H,5,0),IFERROR(VLOOKUP($D170,$F:$M,7,0),)),0)*$I170,2)</f>
        <v>0</v>
      </c>
      <c r="M170" s="528">
        <f t="shared" si="5"/>
        <v>0</v>
      </c>
      <c r="N170" s="526"/>
    </row>
    <row r="171" spans="3:14">
      <c r="C171" s="526" t="str">
        <f t="shared" si="4"/>
        <v/>
      </c>
      <c r="D171" s="531"/>
      <c r="E171" s="531"/>
      <c r="F171" s="526"/>
      <c r="G171" s="532" t="str">
        <f>IF($E171="",IFERROR(VLOOKUP($D171,SERVIÇOS!$C:$H,2,0),IFERROR(VLOOKUP($D171,$F:$M,2,0),"")),IFERROR(VLOOKUP($E171,INSUMOS!$B:$E,2,0),""))</f>
        <v/>
      </c>
      <c r="H171" s="526" t="str">
        <f>IF($E171="",IFERROR(VLOOKUP($D171,SERVIÇOS!$C:$H,3,0),IFERROR(VLOOKUP($D171,$F:$M,3,0),"")),IFERROR(VLOOKUP($E171,INSUMOS!$B:$E,3,0),""))</f>
        <v/>
      </c>
      <c r="I171" s="527"/>
      <c r="J171" s="528" t="str">
        <f>IF($E171="",IFERROR(VLOOKUP($D171,SERVIÇOS!$C:$H,6,0),IFERROR(VLOOKUP($D171,$F:$M,8,0),"")),IFERROR(VLOOKUP($E171,INSUMOS!$B:$E,4,0),""))</f>
        <v/>
      </c>
      <c r="K171" s="528">
        <f>TRUNC(IF($E171="",IFERROR(VLOOKUP($D171,SERVIÇOS!$C:$H,4,0),IFERROR(VLOOKUP($D171,$F:$M,6,0),)),IFERROR(VLOOKUP($E171,INSUMOS!$B:$E,4,0),))*$I171,2)</f>
        <v>0</v>
      </c>
      <c r="L171" s="528">
        <f>TRUNC(IF($E171="",IFERROR(VLOOKUP($D171,SERVIÇOS!$C:$H,5,0),IFERROR(VLOOKUP($D171,$F:$M,7,0),)),0)*$I171,2)</f>
        <v>0</v>
      </c>
      <c r="M171" s="528">
        <f t="shared" si="5"/>
        <v>0</v>
      </c>
      <c r="N171" s="526"/>
    </row>
    <row r="172" spans="3:14">
      <c r="C172" s="526" t="str">
        <f t="shared" si="4"/>
        <v/>
      </c>
      <c r="D172" s="531"/>
      <c r="E172" s="531"/>
      <c r="F172" s="526"/>
      <c r="G172" s="532" t="str">
        <f>IF($E172="",IFERROR(VLOOKUP($D172,SERVIÇOS!$C:$H,2,0),IFERROR(VLOOKUP($D172,$F:$M,2,0),"")),IFERROR(VLOOKUP($E172,INSUMOS!$B:$E,2,0),""))</f>
        <v/>
      </c>
      <c r="H172" s="526" t="str">
        <f>IF($E172="",IFERROR(VLOOKUP($D172,SERVIÇOS!$C:$H,3,0),IFERROR(VLOOKUP($D172,$F:$M,3,0),"")),IFERROR(VLOOKUP($E172,INSUMOS!$B:$E,3,0),""))</f>
        <v/>
      </c>
      <c r="I172" s="527"/>
      <c r="J172" s="528" t="str">
        <f>IF($E172="",IFERROR(VLOOKUP($D172,SERVIÇOS!$C:$H,6,0),IFERROR(VLOOKUP($D172,$F:$M,8,0),"")),IFERROR(VLOOKUP($E172,INSUMOS!$B:$E,4,0),""))</f>
        <v/>
      </c>
      <c r="K172" s="528">
        <f>TRUNC(IF($E172="",IFERROR(VLOOKUP($D172,SERVIÇOS!$C:$H,4,0),IFERROR(VLOOKUP($D172,$F:$M,6,0),)),IFERROR(VLOOKUP($E172,INSUMOS!$B:$E,4,0),))*$I172,2)</f>
        <v>0</v>
      </c>
      <c r="L172" s="528">
        <f>TRUNC(IF($E172="",IFERROR(VLOOKUP($D172,SERVIÇOS!$C:$H,5,0),IFERROR(VLOOKUP($D172,$F:$M,7,0),)),0)*$I172,2)</f>
        <v>0</v>
      </c>
      <c r="M172" s="528">
        <f t="shared" si="5"/>
        <v>0</v>
      </c>
      <c r="N172" s="526"/>
    </row>
    <row r="173" spans="3:14">
      <c r="C173" s="526" t="str">
        <f t="shared" si="4"/>
        <v/>
      </c>
      <c r="D173" s="531"/>
      <c r="E173" s="531"/>
      <c r="F173" s="526"/>
      <c r="G173" s="532" t="str">
        <f>IF($E173="",IFERROR(VLOOKUP($D173,SERVIÇOS!$C:$H,2,0),IFERROR(VLOOKUP($D173,$F:$M,2,0),"")),IFERROR(VLOOKUP($E173,INSUMOS!$B:$E,2,0),""))</f>
        <v/>
      </c>
      <c r="H173" s="526" t="str">
        <f>IF($E173="",IFERROR(VLOOKUP($D173,SERVIÇOS!$C:$H,3,0),IFERROR(VLOOKUP($D173,$F:$M,3,0),"")),IFERROR(VLOOKUP($E173,INSUMOS!$B:$E,3,0),""))</f>
        <v/>
      </c>
      <c r="I173" s="527"/>
      <c r="J173" s="528" t="str">
        <f>IF($E173="",IFERROR(VLOOKUP($D173,SERVIÇOS!$C:$H,6,0),IFERROR(VLOOKUP($D173,$F:$M,8,0),"")),IFERROR(VLOOKUP($E173,INSUMOS!$B:$E,4,0),""))</f>
        <v/>
      </c>
      <c r="K173" s="528">
        <f>TRUNC(IF($E173="",IFERROR(VLOOKUP($D173,SERVIÇOS!$C:$H,4,0),IFERROR(VLOOKUP($D173,$F:$M,6,0),)),IFERROR(VLOOKUP($E173,INSUMOS!$B:$E,4,0),))*$I173,2)</f>
        <v>0</v>
      </c>
      <c r="L173" s="528">
        <f>TRUNC(IF($E173="",IFERROR(VLOOKUP($D173,SERVIÇOS!$C:$H,5,0),IFERROR(VLOOKUP($D173,$F:$M,7,0),)),0)*$I173,2)</f>
        <v>0</v>
      </c>
      <c r="M173" s="528">
        <f t="shared" si="5"/>
        <v>0</v>
      </c>
      <c r="N173" s="526"/>
    </row>
    <row r="174" spans="3:14">
      <c r="C174" s="526" t="str">
        <f t="shared" si="4"/>
        <v/>
      </c>
      <c r="D174" s="531"/>
      <c r="E174" s="531"/>
      <c r="F174" s="526"/>
      <c r="G174" s="532" t="str">
        <f>IF($E174="",IFERROR(VLOOKUP($D174,SERVIÇOS!$C:$H,2,0),IFERROR(VLOOKUP($D174,$F:$M,2,0),"")),IFERROR(VLOOKUP($E174,INSUMOS!$B:$E,2,0),""))</f>
        <v/>
      </c>
      <c r="H174" s="526" t="str">
        <f>IF($E174="",IFERROR(VLOOKUP($D174,SERVIÇOS!$C:$H,3,0),IFERROR(VLOOKUP($D174,$F:$M,3,0),"")),IFERROR(VLOOKUP($E174,INSUMOS!$B:$E,3,0),""))</f>
        <v/>
      </c>
      <c r="I174" s="527"/>
      <c r="J174" s="528" t="str">
        <f>IF($E174="",IFERROR(VLOOKUP($D174,SERVIÇOS!$C:$H,6,0),IFERROR(VLOOKUP($D174,$F:$M,8,0),"")),IFERROR(VLOOKUP($E174,INSUMOS!$B:$E,4,0),""))</f>
        <v/>
      </c>
      <c r="K174" s="528">
        <f>TRUNC(IF($E174="",IFERROR(VLOOKUP($D174,SERVIÇOS!$C:$H,4,0),IFERROR(VLOOKUP($D174,$F:$M,6,0),)),IFERROR(VLOOKUP($E174,INSUMOS!$B:$E,4,0),))*$I174,2)</f>
        <v>0</v>
      </c>
      <c r="L174" s="528">
        <f>TRUNC(IF($E174="",IFERROR(VLOOKUP($D174,SERVIÇOS!$C:$H,5,0),IFERROR(VLOOKUP($D174,$F:$M,7,0),)),0)*$I174,2)</f>
        <v>0</v>
      </c>
      <c r="M174" s="528">
        <f t="shared" si="5"/>
        <v>0</v>
      </c>
      <c r="N174" s="526"/>
    </row>
    <row r="175" spans="3:14">
      <c r="C175" s="526" t="str">
        <f t="shared" si="4"/>
        <v/>
      </c>
      <c r="D175" s="531"/>
      <c r="E175" s="531"/>
      <c r="F175" s="526"/>
      <c r="G175" s="532" t="str">
        <f>IF($E175="",IFERROR(VLOOKUP($D175,SERVIÇOS!$C:$H,2,0),IFERROR(VLOOKUP($D175,$F:$M,2,0),"")),IFERROR(VLOOKUP($E175,INSUMOS!$B:$E,2,0),""))</f>
        <v/>
      </c>
      <c r="H175" s="526" t="str">
        <f>IF($E175="",IFERROR(VLOOKUP($D175,SERVIÇOS!$C:$H,3,0),IFERROR(VLOOKUP($D175,$F:$M,3,0),"")),IFERROR(VLOOKUP($E175,INSUMOS!$B:$E,3,0),""))</f>
        <v/>
      </c>
      <c r="I175" s="527"/>
      <c r="J175" s="528" t="str">
        <f>IF($E175="",IFERROR(VLOOKUP($D175,SERVIÇOS!$C:$H,6,0),IFERROR(VLOOKUP($D175,$F:$M,8,0),"")),IFERROR(VLOOKUP($E175,INSUMOS!$B:$E,4,0),""))</f>
        <v/>
      </c>
      <c r="K175" s="528">
        <f>TRUNC(IF($E175="",IFERROR(VLOOKUP($D175,SERVIÇOS!$C:$H,4,0),IFERROR(VLOOKUP($D175,$F:$M,6,0),)),IFERROR(VLOOKUP($E175,INSUMOS!$B:$E,4,0),))*$I175,2)</f>
        <v>0</v>
      </c>
      <c r="L175" s="528">
        <f>TRUNC(IF($E175="",IFERROR(VLOOKUP($D175,SERVIÇOS!$C:$H,5,0),IFERROR(VLOOKUP($D175,$F:$M,7,0),)),0)*$I175,2)</f>
        <v>0</v>
      </c>
      <c r="M175" s="528">
        <f t="shared" si="5"/>
        <v>0</v>
      </c>
      <c r="N175" s="526"/>
    </row>
    <row r="176" spans="3:14">
      <c r="C176" s="526" t="str">
        <f t="shared" si="4"/>
        <v/>
      </c>
      <c r="D176" s="531"/>
      <c r="E176" s="531"/>
      <c r="F176" s="526"/>
      <c r="G176" s="532" t="str">
        <f>IF($E176="",IFERROR(VLOOKUP($D176,SERVIÇOS!$C:$H,2,0),IFERROR(VLOOKUP($D176,$F:$M,2,0),"")),IFERROR(VLOOKUP($E176,INSUMOS!$B:$E,2,0),""))</f>
        <v/>
      </c>
      <c r="H176" s="526" t="str">
        <f>IF($E176="",IFERROR(VLOOKUP($D176,SERVIÇOS!$C:$H,3,0),IFERROR(VLOOKUP($D176,$F:$M,3,0),"")),IFERROR(VLOOKUP($E176,INSUMOS!$B:$E,3,0),""))</f>
        <v/>
      </c>
      <c r="I176" s="527"/>
      <c r="J176" s="528" t="str">
        <f>IF($E176="",IFERROR(VLOOKUP($D176,SERVIÇOS!$C:$H,6,0),IFERROR(VLOOKUP($D176,$F:$M,8,0),"")),IFERROR(VLOOKUP($E176,INSUMOS!$B:$E,4,0),""))</f>
        <v/>
      </c>
      <c r="K176" s="528">
        <f>TRUNC(IF($E176="",IFERROR(VLOOKUP($D176,SERVIÇOS!$C:$H,4,0),IFERROR(VLOOKUP($D176,$F:$M,6,0),)),IFERROR(VLOOKUP($E176,INSUMOS!$B:$E,4,0),))*$I176,2)</f>
        <v>0</v>
      </c>
      <c r="L176" s="528">
        <f>TRUNC(IF($E176="",IFERROR(VLOOKUP($D176,SERVIÇOS!$C:$H,5,0),IFERROR(VLOOKUP($D176,$F:$M,7,0),)),0)*$I176,2)</f>
        <v>0</v>
      </c>
      <c r="M176" s="528">
        <f t="shared" si="5"/>
        <v>0</v>
      </c>
      <c r="N176" s="526"/>
    </row>
    <row r="177" spans="3:14">
      <c r="C177" s="526" t="str">
        <f t="shared" si="4"/>
        <v/>
      </c>
      <c r="D177" s="531"/>
      <c r="E177" s="531"/>
      <c r="F177" s="526"/>
      <c r="G177" s="532" t="str">
        <f>IF($E177="",IFERROR(VLOOKUP($D177,SERVIÇOS!$C:$H,2,0),IFERROR(VLOOKUP($D177,$F:$M,2,0),"")),IFERROR(VLOOKUP($E177,INSUMOS!$B:$E,2,0),""))</f>
        <v/>
      </c>
      <c r="H177" s="526" t="str">
        <f>IF($E177="",IFERROR(VLOOKUP($D177,SERVIÇOS!$C:$H,3,0),IFERROR(VLOOKUP($D177,$F:$M,3,0),"")),IFERROR(VLOOKUP($E177,INSUMOS!$B:$E,3,0),""))</f>
        <v/>
      </c>
      <c r="I177" s="527"/>
      <c r="J177" s="528" t="str">
        <f>IF($E177="",IFERROR(VLOOKUP($D177,SERVIÇOS!$C:$H,6,0),IFERROR(VLOOKUP($D177,$F:$M,8,0),"")),IFERROR(VLOOKUP($E177,INSUMOS!$B:$E,4,0),""))</f>
        <v/>
      </c>
      <c r="K177" s="528">
        <f>TRUNC(IF($E177="",IFERROR(VLOOKUP($D177,SERVIÇOS!$C:$H,4,0),IFERROR(VLOOKUP($D177,$F:$M,6,0),)),IFERROR(VLOOKUP($E177,INSUMOS!$B:$E,4,0),))*$I177,2)</f>
        <v>0</v>
      </c>
      <c r="L177" s="528">
        <f>TRUNC(IF($E177="",IFERROR(VLOOKUP($D177,SERVIÇOS!$C:$H,5,0),IFERROR(VLOOKUP($D177,$F:$M,7,0),)),0)*$I177,2)</f>
        <v>0</v>
      </c>
      <c r="M177" s="528">
        <f t="shared" si="5"/>
        <v>0</v>
      </c>
      <c r="N177" s="526"/>
    </row>
    <row r="178" spans="3:14">
      <c r="C178" s="526" t="str">
        <f t="shared" si="4"/>
        <v/>
      </c>
      <c r="D178" s="531"/>
      <c r="E178" s="531"/>
      <c r="F178" s="526"/>
      <c r="G178" s="532" t="str">
        <f>IF($E178="",IFERROR(VLOOKUP($D178,SERVIÇOS!$C:$H,2,0),IFERROR(VLOOKUP($D178,$F:$M,2,0),"")),IFERROR(VLOOKUP($E178,INSUMOS!$B:$E,2,0),""))</f>
        <v/>
      </c>
      <c r="H178" s="526" t="str">
        <f>IF($E178="",IFERROR(VLOOKUP($D178,SERVIÇOS!$C:$H,3,0),IFERROR(VLOOKUP($D178,$F:$M,3,0),"")),IFERROR(VLOOKUP($E178,INSUMOS!$B:$E,3,0),""))</f>
        <v/>
      </c>
      <c r="I178" s="527"/>
      <c r="J178" s="528" t="str">
        <f>IF($E178="",IFERROR(VLOOKUP($D178,SERVIÇOS!$C:$H,6,0),IFERROR(VLOOKUP($D178,$F:$M,8,0),"")),IFERROR(VLOOKUP($E178,INSUMOS!$B:$E,4,0),""))</f>
        <v/>
      </c>
      <c r="K178" s="528">
        <f>TRUNC(IF($E178="",IFERROR(VLOOKUP($D178,SERVIÇOS!$C:$H,4,0),IFERROR(VLOOKUP($D178,$F:$M,6,0),)),IFERROR(VLOOKUP($E178,INSUMOS!$B:$E,4,0),))*$I178,2)</f>
        <v>0</v>
      </c>
      <c r="L178" s="528">
        <f>TRUNC(IF($E178="",IFERROR(VLOOKUP($D178,SERVIÇOS!$C:$H,5,0),IFERROR(VLOOKUP($D178,$F:$M,7,0),)),0)*$I178,2)</f>
        <v>0</v>
      </c>
      <c r="M178" s="528">
        <f t="shared" si="5"/>
        <v>0</v>
      </c>
      <c r="N178" s="526"/>
    </row>
    <row r="179" spans="3:14">
      <c r="C179" s="526" t="str">
        <f t="shared" si="4"/>
        <v/>
      </c>
      <c r="D179" s="531"/>
      <c r="E179" s="531"/>
      <c r="F179" s="526"/>
      <c r="G179" s="532" t="str">
        <f>IF($E179="",IFERROR(VLOOKUP($D179,SERVIÇOS!$C:$H,2,0),IFERROR(VLOOKUP($D179,$F:$M,2,0),"")),IFERROR(VLOOKUP($E179,INSUMOS!$B:$E,2,0),""))</f>
        <v/>
      </c>
      <c r="H179" s="526" t="str">
        <f>IF($E179="",IFERROR(VLOOKUP($D179,SERVIÇOS!$C:$H,3,0),IFERROR(VLOOKUP($D179,$F:$M,3,0),"")),IFERROR(VLOOKUP($E179,INSUMOS!$B:$E,3,0),""))</f>
        <v/>
      </c>
      <c r="I179" s="527"/>
      <c r="J179" s="528" t="str">
        <f>IF($E179="",IFERROR(VLOOKUP($D179,SERVIÇOS!$C:$H,6,0),IFERROR(VLOOKUP($D179,$F:$M,8,0),"")),IFERROR(VLOOKUP($E179,INSUMOS!$B:$E,4,0),""))</f>
        <v/>
      </c>
      <c r="K179" s="528">
        <f>TRUNC(IF($E179="",IFERROR(VLOOKUP($D179,SERVIÇOS!$C:$H,4,0),IFERROR(VLOOKUP($D179,$F:$M,6,0),)),IFERROR(VLOOKUP($E179,INSUMOS!$B:$E,4,0),))*$I179,2)</f>
        <v>0</v>
      </c>
      <c r="L179" s="528">
        <f>TRUNC(IF($E179="",IFERROR(VLOOKUP($D179,SERVIÇOS!$C:$H,5,0),IFERROR(VLOOKUP($D179,$F:$M,7,0),)),0)*$I179,2)</f>
        <v>0</v>
      </c>
      <c r="M179" s="528">
        <f t="shared" si="5"/>
        <v>0</v>
      </c>
      <c r="N179" s="526"/>
    </row>
    <row r="180" spans="3:14">
      <c r="C180" s="526" t="str">
        <f t="shared" si="4"/>
        <v/>
      </c>
      <c r="D180" s="531"/>
      <c r="E180" s="531"/>
      <c r="F180" s="526"/>
      <c r="G180" s="532" t="str">
        <f>IF($E180="",IFERROR(VLOOKUP($D180,SERVIÇOS!$C:$H,2,0),IFERROR(VLOOKUP($D180,$F:$M,2,0),"")),IFERROR(VLOOKUP($E180,INSUMOS!$B:$E,2,0),""))</f>
        <v/>
      </c>
      <c r="H180" s="526" t="str">
        <f>IF($E180="",IFERROR(VLOOKUP($D180,SERVIÇOS!$C:$H,3,0),IFERROR(VLOOKUP($D180,$F:$M,3,0),"")),IFERROR(VLOOKUP($E180,INSUMOS!$B:$E,3,0),""))</f>
        <v/>
      </c>
      <c r="I180" s="527"/>
      <c r="J180" s="528" t="str">
        <f>IF($E180="",IFERROR(VLOOKUP($D180,SERVIÇOS!$C:$H,6,0),IFERROR(VLOOKUP($D180,$F:$M,8,0),"")),IFERROR(VLOOKUP($E180,INSUMOS!$B:$E,4,0),""))</f>
        <v/>
      </c>
      <c r="K180" s="528">
        <f>TRUNC(IF($E180="",IFERROR(VLOOKUP($D180,SERVIÇOS!$C:$H,4,0),IFERROR(VLOOKUP($D180,$F:$M,6,0),)),IFERROR(VLOOKUP($E180,INSUMOS!$B:$E,4,0),))*$I180,2)</f>
        <v>0</v>
      </c>
      <c r="L180" s="528">
        <f>TRUNC(IF($E180="",IFERROR(VLOOKUP($D180,SERVIÇOS!$C:$H,5,0),IFERROR(VLOOKUP($D180,$F:$M,7,0),)),0)*$I180,2)</f>
        <v>0</v>
      </c>
      <c r="M180" s="528">
        <f t="shared" si="5"/>
        <v>0</v>
      </c>
      <c r="N180" s="526"/>
    </row>
    <row r="181" spans="3:14">
      <c r="C181" s="526" t="str">
        <f t="shared" si="4"/>
        <v/>
      </c>
      <c r="D181" s="531"/>
      <c r="E181" s="531"/>
      <c r="F181" s="526"/>
      <c r="G181" s="532" t="str">
        <f>IF($E181="",IFERROR(VLOOKUP($D181,SERVIÇOS!$C:$H,2,0),IFERROR(VLOOKUP($D181,$F:$M,2,0),"")),IFERROR(VLOOKUP($E181,INSUMOS!$B:$E,2,0),""))</f>
        <v/>
      </c>
      <c r="H181" s="526" t="str">
        <f>IF($E181="",IFERROR(VLOOKUP($D181,SERVIÇOS!$C:$H,3,0),IFERROR(VLOOKUP($D181,$F:$M,3,0),"")),IFERROR(VLOOKUP($E181,INSUMOS!$B:$E,3,0),""))</f>
        <v/>
      </c>
      <c r="I181" s="527"/>
      <c r="J181" s="528" t="str">
        <f>IF($E181="",IFERROR(VLOOKUP($D181,SERVIÇOS!$C:$H,6,0),IFERROR(VLOOKUP($D181,$F:$M,8,0),"")),IFERROR(VLOOKUP($E181,INSUMOS!$B:$E,4,0),""))</f>
        <v/>
      </c>
      <c r="K181" s="528">
        <f>TRUNC(IF($E181="",IFERROR(VLOOKUP($D181,SERVIÇOS!$C:$H,4,0),IFERROR(VLOOKUP($D181,$F:$M,6,0),)),IFERROR(VLOOKUP($E181,INSUMOS!$B:$E,4,0),))*$I181,2)</f>
        <v>0</v>
      </c>
      <c r="L181" s="528">
        <f>TRUNC(IF($E181="",IFERROR(VLOOKUP($D181,SERVIÇOS!$C:$H,5,0),IFERROR(VLOOKUP($D181,$F:$M,7,0),)),0)*$I181,2)</f>
        <v>0</v>
      </c>
      <c r="M181" s="528">
        <f t="shared" si="5"/>
        <v>0</v>
      </c>
      <c r="N181" s="526"/>
    </row>
    <row r="182" spans="3:14">
      <c r="C182" s="526" t="str">
        <f t="shared" si="4"/>
        <v/>
      </c>
      <c r="D182" s="531"/>
      <c r="E182" s="531"/>
      <c r="F182" s="526"/>
      <c r="G182" s="532" t="str">
        <f>IF($E182="",IFERROR(VLOOKUP($D182,SERVIÇOS!$C:$H,2,0),IFERROR(VLOOKUP($D182,$F:$M,2,0),"")),IFERROR(VLOOKUP($E182,INSUMOS!$B:$E,2,0),""))</f>
        <v/>
      </c>
      <c r="H182" s="526" t="str">
        <f>IF($E182="",IFERROR(VLOOKUP($D182,SERVIÇOS!$C:$H,3,0),IFERROR(VLOOKUP($D182,$F:$M,3,0),"")),IFERROR(VLOOKUP($E182,INSUMOS!$B:$E,3,0),""))</f>
        <v/>
      </c>
      <c r="I182" s="527"/>
      <c r="J182" s="528" t="str">
        <f>IF($E182="",IFERROR(VLOOKUP($D182,SERVIÇOS!$C:$H,6,0),IFERROR(VLOOKUP($D182,$F:$M,8,0),"")),IFERROR(VLOOKUP($E182,INSUMOS!$B:$E,4,0),""))</f>
        <v/>
      </c>
      <c r="K182" s="528">
        <f>TRUNC(IF($E182="",IFERROR(VLOOKUP($D182,SERVIÇOS!$C:$H,4,0),IFERROR(VLOOKUP($D182,$F:$M,6,0),)),IFERROR(VLOOKUP($E182,INSUMOS!$B:$E,4,0),))*$I182,2)</f>
        <v>0</v>
      </c>
      <c r="L182" s="528">
        <f>TRUNC(IF($E182="",IFERROR(VLOOKUP($D182,SERVIÇOS!$C:$H,5,0),IFERROR(VLOOKUP($D182,$F:$M,7,0),)),0)*$I182,2)</f>
        <v>0</v>
      </c>
      <c r="M182" s="528">
        <f t="shared" si="5"/>
        <v>0</v>
      </c>
      <c r="N182" s="526"/>
    </row>
    <row r="183" spans="3:14">
      <c r="C183" s="526" t="str">
        <f t="shared" si="4"/>
        <v/>
      </c>
      <c r="D183" s="531"/>
      <c r="E183" s="531"/>
      <c r="F183" s="526"/>
      <c r="G183" s="532" t="str">
        <f>IF($E183="",IFERROR(VLOOKUP($D183,SERVIÇOS!$C:$H,2,0),IFERROR(VLOOKUP($D183,$F:$M,2,0),"")),IFERROR(VLOOKUP($E183,INSUMOS!$B:$E,2,0),""))</f>
        <v/>
      </c>
      <c r="H183" s="526" t="str">
        <f>IF($E183="",IFERROR(VLOOKUP($D183,SERVIÇOS!$C:$H,3,0),IFERROR(VLOOKUP($D183,$F:$M,3,0),"")),IFERROR(VLOOKUP($E183,INSUMOS!$B:$E,3,0),""))</f>
        <v/>
      </c>
      <c r="I183" s="527"/>
      <c r="J183" s="528" t="str">
        <f>IF($E183="",IFERROR(VLOOKUP($D183,SERVIÇOS!$C:$H,6,0),IFERROR(VLOOKUP($D183,$F:$M,8,0),"")),IFERROR(VLOOKUP($E183,INSUMOS!$B:$E,4,0),""))</f>
        <v/>
      </c>
      <c r="K183" s="528">
        <f>TRUNC(IF($E183="",IFERROR(VLOOKUP($D183,SERVIÇOS!$C:$H,4,0),IFERROR(VLOOKUP($D183,$F:$M,6,0),)),IFERROR(VLOOKUP($E183,INSUMOS!$B:$E,4,0),))*$I183,2)</f>
        <v>0</v>
      </c>
      <c r="L183" s="528">
        <f>TRUNC(IF($E183="",IFERROR(VLOOKUP($D183,SERVIÇOS!$C:$H,5,0),IFERROR(VLOOKUP($D183,$F:$M,7,0),)),0)*$I183,2)</f>
        <v>0</v>
      </c>
      <c r="M183" s="528">
        <f t="shared" si="5"/>
        <v>0</v>
      </c>
      <c r="N183" s="526"/>
    </row>
    <row r="184" spans="3:14">
      <c r="C184" s="526" t="str">
        <f t="shared" si="4"/>
        <v/>
      </c>
      <c r="D184" s="531"/>
      <c r="E184" s="531"/>
      <c r="F184" s="526"/>
      <c r="G184" s="532" t="str">
        <f>IF($E184="",IFERROR(VLOOKUP($D184,SERVIÇOS!$C:$H,2,0),IFERROR(VLOOKUP($D184,$F:$M,2,0),"")),IFERROR(VLOOKUP($E184,INSUMOS!$B:$E,2,0),""))</f>
        <v/>
      </c>
      <c r="H184" s="526" t="str">
        <f>IF($E184="",IFERROR(VLOOKUP($D184,SERVIÇOS!$C:$H,3,0),IFERROR(VLOOKUP($D184,$F:$M,3,0),"")),IFERROR(VLOOKUP($E184,INSUMOS!$B:$E,3,0),""))</f>
        <v/>
      </c>
      <c r="I184" s="527"/>
      <c r="J184" s="528" t="str">
        <f>IF($E184="",IFERROR(VLOOKUP($D184,SERVIÇOS!$C:$H,6,0),IFERROR(VLOOKUP($D184,$F:$M,8,0),"")),IFERROR(VLOOKUP($E184,INSUMOS!$B:$E,4,0),""))</f>
        <v/>
      </c>
      <c r="K184" s="528">
        <f>TRUNC(IF($E184="",IFERROR(VLOOKUP($D184,SERVIÇOS!$C:$H,4,0),IFERROR(VLOOKUP($D184,$F:$M,6,0),)),IFERROR(VLOOKUP($E184,INSUMOS!$B:$E,4,0),))*$I184,2)</f>
        <v>0</v>
      </c>
      <c r="L184" s="528">
        <f>TRUNC(IF($E184="",IFERROR(VLOOKUP($D184,SERVIÇOS!$C:$H,5,0),IFERROR(VLOOKUP($D184,$F:$M,7,0),)),0)*$I184,2)</f>
        <v>0</v>
      </c>
      <c r="M184" s="528">
        <f t="shared" si="5"/>
        <v>0</v>
      </c>
      <c r="N184" s="526"/>
    </row>
    <row r="185" spans="3:14">
      <c r="C185" s="526" t="str">
        <f t="shared" si="4"/>
        <v/>
      </c>
      <c r="D185" s="531"/>
      <c r="E185" s="531"/>
      <c r="F185" s="526"/>
      <c r="G185" s="532" t="str">
        <f>IF($E185="",IFERROR(VLOOKUP($D185,SERVIÇOS!$C:$H,2,0),IFERROR(VLOOKUP($D185,$F:$M,2,0),"")),IFERROR(VLOOKUP($E185,INSUMOS!$B:$E,2,0),""))</f>
        <v/>
      </c>
      <c r="H185" s="526" t="str">
        <f>IF($E185="",IFERROR(VLOOKUP($D185,SERVIÇOS!$C:$H,3,0),IFERROR(VLOOKUP($D185,$F:$M,3,0),"")),IFERROR(VLOOKUP($E185,INSUMOS!$B:$E,3,0),""))</f>
        <v/>
      </c>
      <c r="I185" s="527"/>
      <c r="J185" s="528" t="str">
        <f>IF($E185="",IFERROR(VLOOKUP($D185,SERVIÇOS!$C:$H,6,0),IFERROR(VLOOKUP($D185,$F:$M,8,0),"")),IFERROR(VLOOKUP($E185,INSUMOS!$B:$E,4,0),""))</f>
        <v/>
      </c>
      <c r="K185" s="528">
        <f>TRUNC(IF($E185="",IFERROR(VLOOKUP($D185,SERVIÇOS!$C:$H,4,0),IFERROR(VLOOKUP($D185,$F:$M,6,0),)),IFERROR(VLOOKUP($E185,INSUMOS!$B:$E,4,0),))*$I185,2)</f>
        <v>0</v>
      </c>
      <c r="L185" s="528">
        <f>TRUNC(IF($E185="",IFERROR(VLOOKUP($D185,SERVIÇOS!$C:$H,5,0),IFERROR(VLOOKUP($D185,$F:$M,7,0),)),0)*$I185,2)</f>
        <v>0</v>
      </c>
      <c r="M185" s="528">
        <f t="shared" si="5"/>
        <v>0</v>
      </c>
      <c r="N185" s="526"/>
    </row>
    <row r="186" spans="3:14">
      <c r="C186" s="526" t="str">
        <f t="shared" si="4"/>
        <v/>
      </c>
      <c r="D186" s="531"/>
      <c r="E186" s="531"/>
      <c r="F186" s="526"/>
      <c r="G186" s="532" t="str">
        <f>IF($E186="",IFERROR(VLOOKUP($D186,SERVIÇOS!$C:$H,2,0),IFERROR(VLOOKUP($D186,$F:$M,2,0),"")),IFERROR(VLOOKUP($E186,INSUMOS!$B:$E,2,0),""))</f>
        <v/>
      </c>
      <c r="H186" s="526" t="str">
        <f>IF($E186="",IFERROR(VLOOKUP($D186,SERVIÇOS!$C:$H,3,0),IFERROR(VLOOKUP($D186,$F:$M,3,0),"")),IFERROR(VLOOKUP($E186,INSUMOS!$B:$E,3,0),""))</f>
        <v/>
      </c>
      <c r="I186" s="527"/>
      <c r="J186" s="528" t="str">
        <f>IF($E186="",IFERROR(VLOOKUP($D186,SERVIÇOS!$C:$H,6,0),IFERROR(VLOOKUP($D186,$F:$M,8,0),"")),IFERROR(VLOOKUP($E186,INSUMOS!$B:$E,4,0),""))</f>
        <v/>
      </c>
      <c r="K186" s="528">
        <f>TRUNC(IF($E186="",IFERROR(VLOOKUP($D186,SERVIÇOS!$C:$H,4,0),IFERROR(VLOOKUP($D186,$F:$M,6,0),)),IFERROR(VLOOKUP($E186,INSUMOS!$B:$E,4,0),))*$I186,2)</f>
        <v>0</v>
      </c>
      <c r="L186" s="528">
        <f>TRUNC(IF($E186="",IFERROR(VLOOKUP($D186,SERVIÇOS!$C:$H,5,0),IFERROR(VLOOKUP($D186,$F:$M,7,0),)),0)*$I186,2)</f>
        <v>0</v>
      </c>
      <c r="M186" s="528">
        <f t="shared" si="5"/>
        <v>0</v>
      </c>
      <c r="N186" s="526"/>
    </row>
    <row r="187" spans="3:14">
      <c r="C187" s="526" t="str">
        <f t="shared" si="4"/>
        <v/>
      </c>
      <c r="D187" s="531"/>
      <c r="E187" s="531"/>
      <c r="F187" s="526"/>
      <c r="G187" s="532" t="str">
        <f>IF($E187="",IFERROR(VLOOKUP($D187,SERVIÇOS!$C:$H,2,0),IFERROR(VLOOKUP($D187,$F:$M,2,0),"")),IFERROR(VLOOKUP($E187,INSUMOS!$B:$E,2,0),""))</f>
        <v/>
      </c>
      <c r="H187" s="526" t="str">
        <f>IF($E187="",IFERROR(VLOOKUP($D187,SERVIÇOS!$C:$H,3,0),IFERROR(VLOOKUP($D187,$F:$M,3,0),"")),IFERROR(VLOOKUP($E187,INSUMOS!$B:$E,3,0),""))</f>
        <v/>
      </c>
      <c r="I187" s="527"/>
      <c r="J187" s="528" t="str">
        <f>IF($E187="",IFERROR(VLOOKUP($D187,SERVIÇOS!$C:$H,6,0),IFERROR(VLOOKUP($D187,$F:$M,8,0),"")),IFERROR(VLOOKUP($E187,INSUMOS!$B:$E,4,0),""))</f>
        <v/>
      </c>
      <c r="K187" s="528">
        <f>TRUNC(IF($E187="",IFERROR(VLOOKUP($D187,SERVIÇOS!$C:$H,4,0),IFERROR(VLOOKUP($D187,$F:$M,6,0),)),IFERROR(VLOOKUP($E187,INSUMOS!$B:$E,4,0),))*$I187,2)</f>
        <v>0</v>
      </c>
      <c r="L187" s="528">
        <f>TRUNC(IF($E187="",IFERROR(VLOOKUP($D187,SERVIÇOS!$C:$H,5,0),IFERROR(VLOOKUP($D187,$F:$M,7,0),)),0)*$I187,2)</f>
        <v>0</v>
      </c>
      <c r="M187" s="528">
        <f t="shared" si="5"/>
        <v>0</v>
      </c>
      <c r="N187" s="526"/>
    </row>
    <row r="188" spans="3:14">
      <c r="C188" s="526" t="str">
        <f t="shared" si="4"/>
        <v/>
      </c>
      <c r="D188" s="531"/>
      <c r="E188" s="531"/>
      <c r="F188" s="526"/>
      <c r="G188" s="532" t="str">
        <f>IF($E188="",IFERROR(VLOOKUP($D188,SERVIÇOS!$C:$H,2,0),IFERROR(VLOOKUP($D188,$F:$M,2,0),"")),IFERROR(VLOOKUP($E188,INSUMOS!$B:$E,2,0),""))</f>
        <v/>
      </c>
      <c r="H188" s="526" t="str">
        <f>IF($E188="",IFERROR(VLOOKUP($D188,SERVIÇOS!$C:$H,3,0),IFERROR(VLOOKUP($D188,$F:$M,3,0),"")),IFERROR(VLOOKUP($E188,INSUMOS!$B:$E,3,0),""))</f>
        <v/>
      </c>
      <c r="I188" s="527"/>
      <c r="J188" s="528" t="str">
        <f>IF($E188="",IFERROR(VLOOKUP($D188,SERVIÇOS!$C:$H,6,0),IFERROR(VLOOKUP($D188,$F:$M,8,0),"")),IFERROR(VLOOKUP($E188,INSUMOS!$B:$E,4,0),""))</f>
        <v/>
      </c>
      <c r="K188" s="528">
        <f>TRUNC(IF($E188="",IFERROR(VLOOKUP($D188,SERVIÇOS!$C:$H,4,0),IFERROR(VLOOKUP($D188,$F:$M,6,0),)),IFERROR(VLOOKUP($E188,INSUMOS!$B:$E,4,0),))*$I188,2)</f>
        <v>0</v>
      </c>
      <c r="L188" s="528">
        <f>TRUNC(IF($E188="",IFERROR(VLOOKUP($D188,SERVIÇOS!$C:$H,5,0),IFERROR(VLOOKUP($D188,$F:$M,7,0),)),0)*$I188,2)</f>
        <v>0</v>
      </c>
      <c r="M188" s="528">
        <f t="shared" si="5"/>
        <v>0</v>
      </c>
      <c r="N188" s="526"/>
    </row>
    <row r="189" spans="3:14">
      <c r="C189" s="526" t="str">
        <f t="shared" si="4"/>
        <v/>
      </c>
      <c r="D189" s="531"/>
      <c r="E189" s="531"/>
      <c r="F189" s="526"/>
      <c r="G189" s="532" t="str">
        <f>IF($E189="",IFERROR(VLOOKUP($D189,SERVIÇOS!$C:$H,2,0),IFERROR(VLOOKUP($D189,$F:$M,2,0),"")),IFERROR(VLOOKUP($E189,INSUMOS!$B:$E,2,0),""))</f>
        <v/>
      </c>
      <c r="H189" s="526" t="str">
        <f>IF($E189="",IFERROR(VLOOKUP($D189,SERVIÇOS!$C:$H,3,0),IFERROR(VLOOKUP($D189,$F:$M,3,0),"")),IFERROR(VLOOKUP($E189,INSUMOS!$B:$E,3,0),""))</f>
        <v/>
      </c>
      <c r="I189" s="527"/>
      <c r="J189" s="528" t="str">
        <f>IF($E189="",IFERROR(VLOOKUP($D189,SERVIÇOS!$C:$H,6,0),IFERROR(VLOOKUP($D189,$F:$M,8,0),"")),IFERROR(VLOOKUP($E189,INSUMOS!$B:$E,4,0),""))</f>
        <v/>
      </c>
      <c r="K189" s="528">
        <f>TRUNC(IF($E189="",IFERROR(VLOOKUP($D189,SERVIÇOS!$C:$H,4,0),IFERROR(VLOOKUP($D189,$F:$M,6,0),)),IFERROR(VLOOKUP($E189,INSUMOS!$B:$E,4,0),))*$I189,2)</f>
        <v>0</v>
      </c>
      <c r="L189" s="528">
        <f>TRUNC(IF($E189="",IFERROR(VLOOKUP($D189,SERVIÇOS!$C:$H,5,0),IFERROR(VLOOKUP($D189,$F:$M,7,0),)),0)*$I189,2)</f>
        <v>0</v>
      </c>
      <c r="M189" s="528">
        <f t="shared" si="5"/>
        <v>0</v>
      </c>
      <c r="N189" s="526"/>
    </row>
    <row r="190" spans="3:14">
      <c r="C190" s="526" t="str">
        <f t="shared" si="4"/>
        <v/>
      </c>
      <c r="D190" s="531"/>
      <c r="E190" s="531"/>
      <c r="F190" s="526"/>
      <c r="G190" s="532" t="str">
        <f>IF($E190="",IFERROR(VLOOKUP($D190,SERVIÇOS!$C:$H,2,0),IFERROR(VLOOKUP($D190,$F:$M,2,0),"")),IFERROR(VLOOKUP($E190,INSUMOS!$B:$E,2,0),""))</f>
        <v/>
      </c>
      <c r="H190" s="526" t="str">
        <f>IF($E190="",IFERROR(VLOOKUP($D190,SERVIÇOS!$C:$H,3,0),IFERROR(VLOOKUP($D190,$F:$M,3,0),"")),IFERROR(VLOOKUP($E190,INSUMOS!$B:$E,3,0),""))</f>
        <v/>
      </c>
      <c r="I190" s="527"/>
      <c r="J190" s="528" t="str">
        <f>IF($E190="",IFERROR(VLOOKUP($D190,SERVIÇOS!$C:$H,6,0),IFERROR(VLOOKUP($D190,$F:$M,8,0),"")),IFERROR(VLOOKUP($E190,INSUMOS!$B:$E,4,0),""))</f>
        <v/>
      </c>
      <c r="K190" s="528">
        <f>TRUNC(IF($E190="",IFERROR(VLOOKUP($D190,SERVIÇOS!$C:$H,4,0),IFERROR(VLOOKUP($D190,$F:$M,6,0),)),IFERROR(VLOOKUP($E190,INSUMOS!$B:$E,4,0),))*$I190,2)</f>
        <v>0</v>
      </c>
      <c r="L190" s="528">
        <f>TRUNC(IF($E190="",IFERROR(VLOOKUP($D190,SERVIÇOS!$C:$H,5,0),IFERROR(VLOOKUP($D190,$F:$M,7,0),)),0)*$I190,2)</f>
        <v>0</v>
      </c>
      <c r="M190" s="528">
        <f t="shared" si="5"/>
        <v>0</v>
      </c>
      <c r="N190" s="526"/>
    </row>
    <row r="191" spans="3:14">
      <c r="C191" s="526" t="str">
        <f t="shared" si="4"/>
        <v/>
      </c>
      <c r="D191" s="531"/>
      <c r="E191" s="531"/>
      <c r="F191" s="526"/>
      <c r="G191" s="532" t="str">
        <f>IF($E191="",IFERROR(VLOOKUP($D191,SERVIÇOS!$C:$H,2,0),IFERROR(VLOOKUP($D191,$F:$M,2,0),"")),IFERROR(VLOOKUP($E191,INSUMOS!$B:$E,2,0),""))</f>
        <v/>
      </c>
      <c r="H191" s="526" t="str">
        <f>IF($E191="",IFERROR(VLOOKUP($D191,SERVIÇOS!$C:$H,3,0),IFERROR(VLOOKUP($D191,$F:$M,3,0),"")),IFERROR(VLOOKUP($E191,INSUMOS!$B:$E,3,0),""))</f>
        <v/>
      </c>
      <c r="I191" s="527"/>
      <c r="J191" s="528" t="str">
        <f>IF($E191="",IFERROR(VLOOKUP($D191,SERVIÇOS!$C:$H,6,0),IFERROR(VLOOKUP($D191,$F:$M,8,0),"")),IFERROR(VLOOKUP($E191,INSUMOS!$B:$E,4,0),""))</f>
        <v/>
      </c>
      <c r="K191" s="528">
        <f>TRUNC(IF($E191="",IFERROR(VLOOKUP($D191,SERVIÇOS!$C:$H,4,0),IFERROR(VLOOKUP($D191,$F:$M,6,0),)),IFERROR(VLOOKUP($E191,INSUMOS!$B:$E,4,0),))*$I191,2)</f>
        <v>0</v>
      </c>
      <c r="L191" s="528">
        <f>TRUNC(IF($E191="",IFERROR(VLOOKUP($D191,SERVIÇOS!$C:$H,5,0),IFERROR(VLOOKUP($D191,$F:$M,7,0),)),0)*$I191,2)</f>
        <v>0</v>
      </c>
      <c r="M191" s="528">
        <f t="shared" si="5"/>
        <v>0</v>
      </c>
      <c r="N191" s="526"/>
    </row>
    <row r="192" spans="3:14">
      <c r="C192" s="526" t="str">
        <f t="shared" si="4"/>
        <v/>
      </c>
      <c r="D192" s="531"/>
      <c r="E192" s="531"/>
      <c r="F192" s="526"/>
      <c r="G192" s="532" t="str">
        <f>IF($E192="",IFERROR(VLOOKUP($D192,SERVIÇOS!$C:$H,2,0),IFERROR(VLOOKUP($D192,$F:$M,2,0),"")),IFERROR(VLOOKUP($E192,INSUMOS!$B:$E,2,0),""))</f>
        <v/>
      </c>
      <c r="H192" s="526" t="str">
        <f>IF($E192="",IFERROR(VLOOKUP($D192,SERVIÇOS!$C:$H,3,0),IFERROR(VLOOKUP($D192,$F:$M,3,0),"")),IFERROR(VLOOKUP($E192,INSUMOS!$B:$E,3,0),""))</f>
        <v/>
      </c>
      <c r="I192" s="527"/>
      <c r="J192" s="528" t="str">
        <f>IF($E192="",IFERROR(VLOOKUP($D192,SERVIÇOS!$C:$H,6,0),IFERROR(VLOOKUP($D192,$F:$M,8,0),"")),IFERROR(VLOOKUP($E192,INSUMOS!$B:$E,4,0),""))</f>
        <v/>
      </c>
      <c r="K192" s="528">
        <f>TRUNC(IF($E192="",IFERROR(VLOOKUP($D192,SERVIÇOS!$C:$H,4,0),IFERROR(VLOOKUP($D192,$F:$M,6,0),)),IFERROR(VLOOKUP($E192,INSUMOS!$B:$E,4,0),))*$I192,2)</f>
        <v>0</v>
      </c>
      <c r="L192" s="528">
        <f>TRUNC(IF($E192="",IFERROR(VLOOKUP($D192,SERVIÇOS!$C:$H,5,0),IFERROR(VLOOKUP($D192,$F:$M,7,0),)),0)*$I192,2)</f>
        <v>0</v>
      </c>
      <c r="M192" s="528">
        <f t="shared" si="5"/>
        <v>0</v>
      </c>
      <c r="N192" s="526"/>
    </row>
    <row r="193" spans="3:14">
      <c r="C193" s="526" t="str">
        <f t="shared" si="4"/>
        <v/>
      </c>
      <c r="D193" s="531"/>
      <c r="E193" s="531"/>
      <c r="F193" s="526"/>
      <c r="G193" s="532" t="str">
        <f>IF($E193="",IFERROR(VLOOKUP($D193,SERVIÇOS!$C:$H,2,0),IFERROR(VLOOKUP($D193,$F:$M,2,0),"")),IFERROR(VLOOKUP($E193,INSUMOS!$B:$E,2,0),""))</f>
        <v/>
      </c>
      <c r="H193" s="526" t="str">
        <f>IF($E193="",IFERROR(VLOOKUP($D193,SERVIÇOS!$C:$H,3,0),IFERROR(VLOOKUP($D193,$F:$M,3,0),"")),IFERROR(VLOOKUP($E193,INSUMOS!$B:$E,3,0),""))</f>
        <v/>
      </c>
      <c r="I193" s="527"/>
      <c r="J193" s="528" t="str">
        <f>IF($E193="",IFERROR(VLOOKUP($D193,SERVIÇOS!$C:$H,6,0),IFERROR(VLOOKUP($D193,$F:$M,8,0),"")),IFERROR(VLOOKUP($E193,INSUMOS!$B:$E,4,0),""))</f>
        <v/>
      </c>
      <c r="K193" s="528">
        <f>TRUNC(IF($E193="",IFERROR(VLOOKUP($D193,SERVIÇOS!$C:$H,4,0),IFERROR(VLOOKUP($D193,$F:$M,6,0),)),IFERROR(VLOOKUP($E193,INSUMOS!$B:$E,4,0),))*$I193,2)</f>
        <v>0</v>
      </c>
      <c r="L193" s="528">
        <f>TRUNC(IF($E193="",IFERROR(VLOOKUP($D193,SERVIÇOS!$C:$H,5,0),IFERROR(VLOOKUP($D193,$F:$M,7,0),)),0)*$I193,2)</f>
        <v>0</v>
      </c>
      <c r="M193" s="528">
        <f t="shared" si="5"/>
        <v>0</v>
      </c>
      <c r="N193" s="526"/>
    </row>
    <row r="194" spans="3:14">
      <c r="C194" s="526" t="str">
        <f t="shared" si="4"/>
        <v/>
      </c>
      <c r="D194" s="531"/>
      <c r="E194" s="531"/>
      <c r="F194" s="526"/>
      <c r="G194" s="532" t="str">
        <f>IF($E194="",IFERROR(VLOOKUP($D194,SERVIÇOS!$C:$H,2,0),IFERROR(VLOOKUP($D194,$F:$M,2,0),"")),IFERROR(VLOOKUP($E194,INSUMOS!$B:$E,2,0),""))</f>
        <v/>
      </c>
      <c r="H194" s="526" t="str">
        <f>IF($E194="",IFERROR(VLOOKUP($D194,SERVIÇOS!$C:$H,3,0),IFERROR(VLOOKUP($D194,$F:$M,3,0),"")),IFERROR(VLOOKUP($E194,INSUMOS!$B:$E,3,0),""))</f>
        <v/>
      </c>
      <c r="I194" s="527"/>
      <c r="J194" s="528" t="str">
        <f>IF($E194="",IFERROR(VLOOKUP($D194,SERVIÇOS!$C:$H,6,0),IFERROR(VLOOKUP($D194,$F:$M,8,0),"")),IFERROR(VLOOKUP($E194,INSUMOS!$B:$E,4,0),""))</f>
        <v/>
      </c>
      <c r="K194" s="528">
        <f>TRUNC(IF($E194="",IFERROR(VLOOKUP($D194,SERVIÇOS!$C:$H,4,0),IFERROR(VLOOKUP($D194,$F:$M,6,0),)),IFERROR(VLOOKUP($E194,INSUMOS!$B:$E,4,0),))*$I194,2)</f>
        <v>0</v>
      </c>
      <c r="L194" s="528">
        <f>TRUNC(IF($E194="",IFERROR(VLOOKUP($D194,SERVIÇOS!$C:$H,5,0),IFERROR(VLOOKUP($D194,$F:$M,7,0),)),0)*$I194,2)</f>
        <v>0</v>
      </c>
      <c r="M194" s="528">
        <f t="shared" si="5"/>
        <v>0</v>
      </c>
      <c r="N194" s="526"/>
    </row>
    <row r="195" spans="3:14">
      <c r="C195" s="526" t="str">
        <f t="shared" si="4"/>
        <v/>
      </c>
      <c r="D195" s="531"/>
      <c r="E195" s="531"/>
      <c r="F195" s="526"/>
      <c r="G195" s="532" t="str">
        <f>IF($E195="",IFERROR(VLOOKUP($D195,SERVIÇOS!$C:$H,2,0),IFERROR(VLOOKUP($D195,$F:$M,2,0),"")),IFERROR(VLOOKUP($E195,INSUMOS!$B:$E,2,0),""))</f>
        <v/>
      </c>
      <c r="H195" s="526" t="str">
        <f>IF($E195="",IFERROR(VLOOKUP($D195,SERVIÇOS!$C:$H,3,0),IFERROR(VLOOKUP($D195,$F:$M,3,0),"")),IFERROR(VLOOKUP($E195,INSUMOS!$B:$E,3,0),""))</f>
        <v/>
      </c>
      <c r="I195" s="527"/>
      <c r="J195" s="528" t="str">
        <f>IF($E195="",IFERROR(VLOOKUP($D195,SERVIÇOS!$C:$H,6,0),IFERROR(VLOOKUP($D195,$F:$M,8,0),"")),IFERROR(VLOOKUP($E195,INSUMOS!$B:$E,4,0),""))</f>
        <v/>
      </c>
      <c r="K195" s="528">
        <f>TRUNC(IF($E195="",IFERROR(VLOOKUP($D195,SERVIÇOS!$C:$H,4,0),IFERROR(VLOOKUP($D195,$F:$M,6,0),)),IFERROR(VLOOKUP($E195,INSUMOS!$B:$E,4,0),))*$I195,2)</f>
        <v>0</v>
      </c>
      <c r="L195" s="528">
        <f>TRUNC(IF($E195="",IFERROR(VLOOKUP($D195,SERVIÇOS!$C:$H,5,0),IFERROR(VLOOKUP($D195,$F:$M,7,0),)),0)*$I195,2)</f>
        <v>0</v>
      </c>
      <c r="M195" s="528">
        <f t="shared" si="5"/>
        <v>0</v>
      </c>
      <c r="N195" s="526"/>
    </row>
    <row r="196" spans="3:14">
      <c r="C196" s="526" t="str">
        <f t="shared" si="4"/>
        <v/>
      </c>
      <c r="D196" s="531"/>
      <c r="E196" s="531"/>
      <c r="F196" s="526"/>
      <c r="G196" s="532" t="str">
        <f>IF($E196="",IFERROR(VLOOKUP($D196,SERVIÇOS!$C:$H,2,0),IFERROR(VLOOKUP($D196,$F:$M,2,0),"")),IFERROR(VLOOKUP($E196,INSUMOS!$B:$E,2,0),""))</f>
        <v/>
      </c>
      <c r="H196" s="526" t="str">
        <f>IF($E196="",IFERROR(VLOOKUP($D196,SERVIÇOS!$C:$H,3,0),IFERROR(VLOOKUP($D196,$F:$M,3,0),"")),IFERROR(VLOOKUP($E196,INSUMOS!$B:$E,3,0),""))</f>
        <v/>
      </c>
      <c r="I196" s="527"/>
      <c r="J196" s="528" t="str">
        <f>IF($E196="",IFERROR(VLOOKUP($D196,SERVIÇOS!$C:$H,6,0),IFERROR(VLOOKUP($D196,$F:$M,8,0),"")),IFERROR(VLOOKUP($E196,INSUMOS!$B:$E,4,0),""))</f>
        <v/>
      </c>
      <c r="K196" s="528">
        <f>TRUNC(IF($E196="",IFERROR(VLOOKUP($D196,SERVIÇOS!$C:$H,4,0),IFERROR(VLOOKUP($D196,$F:$M,6,0),)),IFERROR(VLOOKUP($E196,INSUMOS!$B:$E,4,0),))*$I196,2)</f>
        <v>0</v>
      </c>
      <c r="L196" s="528">
        <f>TRUNC(IF($E196="",IFERROR(VLOOKUP($D196,SERVIÇOS!$C:$H,5,0),IFERROR(VLOOKUP($D196,$F:$M,7,0),)),0)*$I196,2)</f>
        <v>0</v>
      </c>
      <c r="M196" s="528">
        <f t="shared" si="5"/>
        <v>0</v>
      </c>
      <c r="N196" s="526"/>
    </row>
    <row r="197" spans="3:14">
      <c r="C197" s="526" t="str">
        <f t="shared" si="4"/>
        <v/>
      </c>
      <c r="D197" s="531"/>
      <c r="E197" s="531"/>
      <c r="F197" s="526"/>
      <c r="G197" s="532" t="str">
        <f>IF($E197="",IFERROR(VLOOKUP($D197,SERVIÇOS!$C:$H,2,0),IFERROR(VLOOKUP($D197,$F:$M,2,0),"")),IFERROR(VLOOKUP($E197,INSUMOS!$B:$E,2,0),""))</f>
        <v/>
      </c>
      <c r="H197" s="526" t="str">
        <f>IF($E197="",IFERROR(VLOOKUP($D197,SERVIÇOS!$C:$H,3,0),IFERROR(VLOOKUP($D197,$F:$M,3,0),"")),IFERROR(VLOOKUP($E197,INSUMOS!$B:$E,3,0),""))</f>
        <v/>
      </c>
      <c r="I197" s="527"/>
      <c r="J197" s="528" t="str">
        <f>IF($E197="",IFERROR(VLOOKUP($D197,SERVIÇOS!$C:$H,6,0),IFERROR(VLOOKUP($D197,$F:$M,8,0),"")),IFERROR(VLOOKUP($E197,INSUMOS!$B:$E,4,0),""))</f>
        <v/>
      </c>
      <c r="K197" s="528">
        <f>TRUNC(IF($E197="",IFERROR(VLOOKUP($D197,SERVIÇOS!$C:$H,4,0),IFERROR(VLOOKUP($D197,$F:$M,6,0),)),IFERROR(VLOOKUP($E197,INSUMOS!$B:$E,4,0),))*$I197,2)</f>
        <v>0</v>
      </c>
      <c r="L197" s="528">
        <f>TRUNC(IF($E197="",IFERROR(VLOOKUP($D197,SERVIÇOS!$C:$H,5,0),IFERROR(VLOOKUP($D197,$F:$M,7,0),)),0)*$I197,2)</f>
        <v>0</v>
      </c>
      <c r="M197" s="528">
        <f t="shared" si="5"/>
        <v>0</v>
      </c>
      <c r="N197" s="526"/>
    </row>
    <row r="198" spans="3:14">
      <c r="C198" s="526" t="str">
        <f t="shared" si="4"/>
        <v/>
      </c>
      <c r="D198" s="531"/>
      <c r="E198" s="531"/>
      <c r="F198" s="526"/>
      <c r="G198" s="532" t="str">
        <f>IF($E198="",IFERROR(VLOOKUP($D198,SERVIÇOS!$C:$H,2,0),IFERROR(VLOOKUP($D198,$F:$M,2,0),"")),IFERROR(VLOOKUP($E198,INSUMOS!$B:$E,2,0),""))</f>
        <v/>
      </c>
      <c r="H198" s="526" t="str">
        <f>IF($E198="",IFERROR(VLOOKUP($D198,SERVIÇOS!$C:$H,3,0),IFERROR(VLOOKUP($D198,$F:$M,3,0),"")),IFERROR(VLOOKUP($E198,INSUMOS!$B:$E,3,0),""))</f>
        <v/>
      </c>
      <c r="I198" s="527"/>
      <c r="J198" s="528" t="str">
        <f>IF($E198="",IFERROR(VLOOKUP($D198,SERVIÇOS!$C:$H,6,0),IFERROR(VLOOKUP($D198,$F:$M,8,0),"")),IFERROR(VLOOKUP($E198,INSUMOS!$B:$E,4,0),""))</f>
        <v/>
      </c>
      <c r="K198" s="528">
        <f>TRUNC(IF($E198="",IFERROR(VLOOKUP($D198,SERVIÇOS!$C:$H,4,0),IFERROR(VLOOKUP($D198,$F:$M,6,0),)),IFERROR(VLOOKUP($E198,INSUMOS!$B:$E,4,0),))*$I198,2)</f>
        <v>0</v>
      </c>
      <c r="L198" s="528">
        <f>TRUNC(IF($E198="",IFERROR(VLOOKUP($D198,SERVIÇOS!$C:$H,5,0),IFERROR(VLOOKUP($D198,$F:$M,7,0),)),0)*$I198,2)</f>
        <v>0</v>
      </c>
      <c r="M198" s="528">
        <f t="shared" si="5"/>
        <v>0</v>
      </c>
      <c r="N198" s="526"/>
    </row>
    <row r="199" spans="3:14">
      <c r="C199" s="526" t="str">
        <f t="shared" si="4"/>
        <v/>
      </c>
      <c r="D199" s="531"/>
      <c r="E199" s="531"/>
      <c r="F199" s="526"/>
      <c r="G199" s="532" t="str">
        <f>IF($E199="",IFERROR(VLOOKUP($D199,SERVIÇOS!$C:$H,2,0),IFERROR(VLOOKUP($D199,$F:$M,2,0),"")),IFERROR(VLOOKUP($E199,INSUMOS!$B:$E,2,0),""))</f>
        <v/>
      </c>
      <c r="H199" s="526" t="str">
        <f>IF($E199="",IFERROR(VLOOKUP($D199,SERVIÇOS!$C:$H,3,0),IFERROR(VLOOKUP($D199,$F:$M,3,0),"")),IFERROR(VLOOKUP($E199,INSUMOS!$B:$E,3,0),""))</f>
        <v/>
      </c>
      <c r="I199" s="527"/>
      <c r="J199" s="528" t="str">
        <f>IF($E199="",IFERROR(VLOOKUP($D199,SERVIÇOS!$C:$H,6,0),IFERROR(VLOOKUP($D199,$F:$M,8,0),"")),IFERROR(VLOOKUP($E199,INSUMOS!$B:$E,4,0),""))</f>
        <v/>
      </c>
      <c r="K199" s="528">
        <f>TRUNC(IF($E199="",IFERROR(VLOOKUP($D199,SERVIÇOS!$C:$H,4,0),IFERROR(VLOOKUP($D199,$F:$M,6,0),)),IFERROR(VLOOKUP($E199,INSUMOS!$B:$E,4,0),))*$I199,2)</f>
        <v>0</v>
      </c>
      <c r="L199" s="528">
        <f>TRUNC(IF($E199="",IFERROR(VLOOKUP($D199,SERVIÇOS!$C:$H,5,0),IFERROR(VLOOKUP($D199,$F:$M,7,0),)),0)*$I199,2)</f>
        <v>0</v>
      </c>
      <c r="M199" s="528">
        <f t="shared" si="5"/>
        <v>0</v>
      </c>
      <c r="N199" s="526"/>
    </row>
    <row r="200" spans="3:14">
      <c r="C200" s="526" t="str">
        <f t="shared" si="4"/>
        <v/>
      </c>
      <c r="D200" s="531"/>
      <c r="E200" s="531"/>
      <c r="F200" s="526"/>
      <c r="G200" s="532" t="str">
        <f>IF($E200="",IFERROR(VLOOKUP($D200,SERVIÇOS!$C:$H,2,0),IFERROR(VLOOKUP($D200,$F:$M,2,0),"")),IFERROR(VLOOKUP($E200,INSUMOS!$B:$E,2,0),""))</f>
        <v/>
      </c>
      <c r="H200" s="526" t="str">
        <f>IF($E200="",IFERROR(VLOOKUP($D200,SERVIÇOS!$C:$H,3,0),IFERROR(VLOOKUP($D200,$F:$M,3,0),"")),IFERROR(VLOOKUP($E200,INSUMOS!$B:$E,3,0),""))</f>
        <v/>
      </c>
      <c r="I200" s="527"/>
      <c r="J200" s="528" t="str">
        <f>IF($E200="",IFERROR(VLOOKUP($D200,SERVIÇOS!$C:$H,6,0),IFERROR(VLOOKUP($D200,$F:$M,8,0),"")),IFERROR(VLOOKUP($E200,INSUMOS!$B:$E,4,0),""))</f>
        <v/>
      </c>
      <c r="K200" s="528">
        <f>TRUNC(IF($E200="",IFERROR(VLOOKUP($D200,SERVIÇOS!$C:$H,4,0),IFERROR(VLOOKUP($D200,$F:$M,6,0),)),IFERROR(VLOOKUP($E200,INSUMOS!$B:$E,4,0),))*$I200,2)</f>
        <v>0</v>
      </c>
      <c r="L200" s="528">
        <f>TRUNC(IF($E200="",IFERROR(VLOOKUP($D200,SERVIÇOS!$C:$H,5,0),IFERROR(VLOOKUP($D200,$F:$M,7,0),)),0)*$I200,2)</f>
        <v>0</v>
      </c>
      <c r="M200" s="528">
        <f t="shared" si="5"/>
        <v>0</v>
      </c>
      <c r="N200" s="526"/>
    </row>
    <row r="201" spans="3:14">
      <c r="C201" s="526" t="str">
        <f t="shared" si="4"/>
        <v/>
      </c>
      <c r="D201" s="531"/>
      <c r="E201" s="531"/>
      <c r="F201" s="526"/>
      <c r="G201" s="532" t="str">
        <f>IF($E201="",IFERROR(VLOOKUP($D201,SERVIÇOS!$C:$H,2,0),IFERROR(VLOOKUP($D201,$F:$M,2,0),"")),IFERROR(VLOOKUP($E201,INSUMOS!$B:$E,2,0),""))</f>
        <v/>
      </c>
      <c r="H201" s="526" t="str">
        <f>IF($E201="",IFERROR(VLOOKUP($D201,SERVIÇOS!$C:$H,3,0),IFERROR(VLOOKUP($D201,$F:$M,3,0),"")),IFERROR(VLOOKUP($E201,INSUMOS!$B:$E,3,0),""))</f>
        <v/>
      </c>
      <c r="I201" s="527"/>
      <c r="J201" s="528" t="str">
        <f>IF($E201="",IFERROR(VLOOKUP($D201,SERVIÇOS!$C:$H,6,0),IFERROR(VLOOKUP($D201,$F:$M,8,0),"")),IFERROR(VLOOKUP($E201,INSUMOS!$B:$E,4,0),""))</f>
        <v/>
      </c>
      <c r="K201" s="528">
        <f>TRUNC(IF($E201="",IFERROR(VLOOKUP($D201,SERVIÇOS!$C:$H,4,0),IFERROR(VLOOKUP($D201,$F:$M,6,0),)),IFERROR(VLOOKUP($E201,INSUMOS!$B:$E,4,0),))*$I201,2)</f>
        <v>0</v>
      </c>
      <c r="L201" s="528">
        <f>TRUNC(IF($E201="",IFERROR(VLOOKUP($D201,SERVIÇOS!$C:$H,5,0),IFERROR(VLOOKUP($D201,$F:$M,7,0),)),0)*$I201,2)</f>
        <v>0</v>
      </c>
      <c r="M201" s="528">
        <f t="shared" si="5"/>
        <v>0</v>
      </c>
      <c r="N201" s="526"/>
    </row>
    <row r="202" spans="3:14">
      <c r="C202" s="526" t="str">
        <f t="shared" si="4"/>
        <v/>
      </c>
      <c r="D202" s="531"/>
      <c r="E202" s="531"/>
      <c r="F202" s="526"/>
      <c r="G202" s="532" t="str">
        <f>IF($E202="",IFERROR(VLOOKUP($D202,SERVIÇOS!$C:$H,2,0),IFERROR(VLOOKUP($D202,$F:$M,2,0),"")),IFERROR(VLOOKUP($E202,INSUMOS!$B:$E,2,0),""))</f>
        <v/>
      </c>
      <c r="H202" s="526" t="str">
        <f>IF($E202="",IFERROR(VLOOKUP($D202,SERVIÇOS!$C:$H,3,0),IFERROR(VLOOKUP($D202,$F:$M,3,0),"")),IFERROR(VLOOKUP($E202,INSUMOS!$B:$E,3,0),""))</f>
        <v/>
      </c>
      <c r="I202" s="527"/>
      <c r="J202" s="528" t="str">
        <f>IF($E202="",IFERROR(VLOOKUP($D202,SERVIÇOS!$C:$H,6,0),IFERROR(VLOOKUP($D202,$F:$M,8,0),"")),IFERROR(VLOOKUP($E202,INSUMOS!$B:$E,4,0),""))</f>
        <v/>
      </c>
      <c r="K202" s="528">
        <f>TRUNC(IF($E202="",IFERROR(VLOOKUP($D202,SERVIÇOS!$C:$H,4,0),IFERROR(VLOOKUP($D202,$F:$M,6,0),)),IFERROR(VLOOKUP($E202,INSUMOS!$B:$E,4,0),))*$I202,2)</f>
        <v>0</v>
      </c>
      <c r="L202" s="528">
        <f>TRUNC(IF($E202="",IFERROR(VLOOKUP($D202,SERVIÇOS!$C:$H,5,0),IFERROR(VLOOKUP($D202,$F:$M,7,0),)),0)*$I202,2)</f>
        <v>0</v>
      </c>
      <c r="M202" s="528">
        <f t="shared" si="5"/>
        <v>0</v>
      </c>
      <c r="N202" s="526"/>
    </row>
    <row r="203" spans="3:14">
      <c r="C203" s="526" t="str">
        <f t="shared" si="4"/>
        <v/>
      </c>
      <c r="D203" s="531"/>
      <c r="E203" s="531"/>
      <c r="F203" s="526"/>
      <c r="G203" s="532" t="str">
        <f>IF($E203="",IFERROR(VLOOKUP($D203,SERVIÇOS!$C:$H,2,0),IFERROR(VLOOKUP($D203,$F:$M,2,0),"")),IFERROR(VLOOKUP($E203,INSUMOS!$B:$E,2,0),""))</f>
        <v/>
      </c>
      <c r="H203" s="526" t="str">
        <f>IF($E203="",IFERROR(VLOOKUP($D203,SERVIÇOS!$C:$H,3,0),IFERROR(VLOOKUP($D203,$F:$M,3,0),"")),IFERROR(VLOOKUP($E203,INSUMOS!$B:$E,3,0),""))</f>
        <v/>
      </c>
      <c r="I203" s="527"/>
      <c r="J203" s="528" t="str">
        <f>IF($E203="",IFERROR(VLOOKUP($D203,SERVIÇOS!$C:$H,6,0),IFERROR(VLOOKUP($D203,$F:$M,8,0),"")),IFERROR(VLOOKUP($E203,INSUMOS!$B:$E,4,0),""))</f>
        <v/>
      </c>
      <c r="K203" s="528">
        <f>TRUNC(IF($E203="",IFERROR(VLOOKUP($D203,SERVIÇOS!$C:$H,4,0),IFERROR(VLOOKUP($D203,$F:$M,6,0),)),IFERROR(VLOOKUP($E203,INSUMOS!$B:$E,4,0),))*$I203,2)</f>
        <v>0</v>
      </c>
      <c r="L203" s="528">
        <f>TRUNC(IF($E203="",IFERROR(VLOOKUP($D203,SERVIÇOS!$C:$H,5,0),IFERROR(VLOOKUP($D203,$F:$M,7,0),)),0)*$I203,2)</f>
        <v>0</v>
      </c>
      <c r="M203" s="528">
        <f t="shared" si="5"/>
        <v>0</v>
      </c>
      <c r="N203" s="526"/>
    </row>
    <row r="204" spans="3:14">
      <c r="C204" s="526" t="str">
        <f t="shared" si="4"/>
        <v/>
      </c>
      <c r="D204" s="531"/>
      <c r="E204" s="531"/>
      <c r="F204" s="526"/>
      <c r="G204" s="532" t="str">
        <f>IF($E204="",IFERROR(VLOOKUP($D204,SERVIÇOS!$C:$H,2,0),IFERROR(VLOOKUP($D204,$F:$M,2,0),"")),IFERROR(VLOOKUP($E204,INSUMOS!$B:$E,2,0),""))</f>
        <v/>
      </c>
      <c r="H204" s="526" t="str">
        <f>IF($E204="",IFERROR(VLOOKUP($D204,SERVIÇOS!$C:$H,3,0),IFERROR(VLOOKUP($D204,$F:$M,3,0),"")),IFERROR(VLOOKUP($E204,INSUMOS!$B:$E,3,0),""))</f>
        <v/>
      </c>
      <c r="I204" s="527"/>
      <c r="J204" s="528" t="str">
        <f>IF($E204="",IFERROR(VLOOKUP($D204,SERVIÇOS!$C:$H,6,0),IFERROR(VLOOKUP($D204,$F:$M,8,0),"")),IFERROR(VLOOKUP($E204,INSUMOS!$B:$E,4,0),""))</f>
        <v/>
      </c>
      <c r="K204" s="528">
        <f>TRUNC(IF($E204="",IFERROR(VLOOKUP($D204,SERVIÇOS!$C:$H,4,0),IFERROR(VLOOKUP($D204,$F:$M,6,0),)),IFERROR(VLOOKUP($E204,INSUMOS!$B:$E,4,0),))*$I204,2)</f>
        <v>0</v>
      </c>
      <c r="L204" s="528">
        <f>TRUNC(IF($E204="",IFERROR(VLOOKUP($D204,SERVIÇOS!$C:$H,5,0),IFERROR(VLOOKUP($D204,$F:$M,7,0),)),0)*$I204,2)</f>
        <v>0</v>
      </c>
      <c r="M204" s="528">
        <f t="shared" si="5"/>
        <v>0</v>
      </c>
      <c r="N204" s="526"/>
    </row>
    <row r="205" spans="3:14">
      <c r="C205" s="526" t="str">
        <f t="shared" ref="C205:C268" si="6">IF(D205&lt;&gt;"","C",IF(E205&lt;&gt;"","I",""))</f>
        <v/>
      </c>
      <c r="D205" s="531"/>
      <c r="E205" s="531"/>
      <c r="F205" s="526"/>
      <c r="G205" s="532" t="str">
        <f>IF($E205="",IFERROR(VLOOKUP($D205,SERVIÇOS!$C:$H,2,0),IFERROR(VLOOKUP($D205,$F:$M,2,0),"")),IFERROR(VLOOKUP($E205,INSUMOS!$B:$E,2,0),""))</f>
        <v/>
      </c>
      <c r="H205" s="526" t="str">
        <f>IF($E205="",IFERROR(VLOOKUP($D205,SERVIÇOS!$C:$H,3,0),IFERROR(VLOOKUP($D205,$F:$M,3,0),"")),IFERROR(VLOOKUP($E205,INSUMOS!$B:$E,3,0),""))</f>
        <v/>
      </c>
      <c r="I205" s="527"/>
      <c r="J205" s="528" t="str">
        <f>IF($E205="",IFERROR(VLOOKUP($D205,SERVIÇOS!$C:$H,6,0),IFERROR(VLOOKUP($D205,$F:$M,8,0),"")),IFERROR(VLOOKUP($E205,INSUMOS!$B:$E,4,0),""))</f>
        <v/>
      </c>
      <c r="K205" s="528">
        <f>TRUNC(IF($E205="",IFERROR(VLOOKUP($D205,SERVIÇOS!$C:$H,4,0),IFERROR(VLOOKUP($D205,$F:$M,6,0),)),IFERROR(VLOOKUP($E205,INSUMOS!$B:$E,4,0),))*$I205,2)</f>
        <v>0</v>
      </c>
      <c r="L205" s="528">
        <f>TRUNC(IF($E205="",IFERROR(VLOOKUP($D205,SERVIÇOS!$C:$H,5,0),IFERROR(VLOOKUP($D205,$F:$M,7,0),)),0)*$I205,2)</f>
        <v>0</v>
      </c>
      <c r="M205" s="528">
        <f t="shared" si="5"/>
        <v>0</v>
      </c>
      <c r="N205" s="526"/>
    </row>
    <row r="206" spans="3:14">
      <c r="C206" s="526" t="str">
        <f t="shared" si="6"/>
        <v/>
      </c>
      <c r="D206" s="531"/>
      <c r="E206" s="531"/>
      <c r="F206" s="526"/>
      <c r="G206" s="532" t="str">
        <f>IF($E206="",IFERROR(VLOOKUP($D206,SERVIÇOS!$C:$H,2,0),IFERROR(VLOOKUP($D206,$F:$M,2,0),"")),IFERROR(VLOOKUP($E206,INSUMOS!$B:$E,2,0),""))</f>
        <v/>
      </c>
      <c r="H206" s="526" t="str">
        <f>IF($E206="",IFERROR(VLOOKUP($D206,SERVIÇOS!$C:$H,3,0),IFERROR(VLOOKUP($D206,$F:$M,3,0),"")),IFERROR(VLOOKUP($E206,INSUMOS!$B:$E,3,0),""))</f>
        <v/>
      </c>
      <c r="I206" s="527"/>
      <c r="J206" s="528" t="str">
        <f>IF($E206="",IFERROR(VLOOKUP($D206,SERVIÇOS!$C:$H,6,0),IFERROR(VLOOKUP($D206,$F:$M,8,0),"")),IFERROR(VLOOKUP($E206,INSUMOS!$B:$E,4,0),""))</f>
        <v/>
      </c>
      <c r="K206" s="528">
        <f>TRUNC(IF($E206="",IFERROR(VLOOKUP($D206,SERVIÇOS!$C:$H,4,0),IFERROR(VLOOKUP($D206,$F:$M,6,0),)),IFERROR(VLOOKUP($E206,INSUMOS!$B:$E,4,0),))*$I206,2)</f>
        <v>0</v>
      </c>
      <c r="L206" s="528">
        <f>TRUNC(IF($E206="",IFERROR(VLOOKUP($D206,SERVIÇOS!$C:$H,5,0),IFERROR(VLOOKUP($D206,$F:$M,7,0),)),0)*$I206,2)</f>
        <v>0</v>
      </c>
      <c r="M206" s="528">
        <f t="shared" ref="M206:M269" si="7">K206+L206</f>
        <v>0</v>
      </c>
      <c r="N206" s="526"/>
    </row>
    <row r="207" spans="3:14">
      <c r="C207" s="526" t="str">
        <f t="shared" si="6"/>
        <v/>
      </c>
      <c r="D207" s="531"/>
      <c r="E207" s="531"/>
      <c r="F207" s="526"/>
      <c r="G207" s="532" t="str">
        <f>IF($E207="",IFERROR(VLOOKUP($D207,SERVIÇOS!$C:$H,2,0),IFERROR(VLOOKUP($D207,$F:$M,2,0),"")),IFERROR(VLOOKUP($E207,INSUMOS!$B:$E,2,0),""))</f>
        <v/>
      </c>
      <c r="H207" s="526" t="str">
        <f>IF($E207="",IFERROR(VLOOKUP($D207,SERVIÇOS!$C:$H,3,0),IFERROR(VLOOKUP($D207,$F:$M,3,0),"")),IFERROR(VLOOKUP($E207,INSUMOS!$B:$E,3,0),""))</f>
        <v/>
      </c>
      <c r="I207" s="527"/>
      <c r="J207" s="528" t="str">
        <f>IF($E207="",IFERROR(VLOOKUP($D207,SERVIÇOS!$C:$H,6,0),IFERROR(VLOOKUP($D207,$F:$M,8,0),"")),IFERROR(VLOOKUP($E207,INSUMOS!$B:$E,4,0),""))</f>
        <v/>
      </c>
      <c r="K207" s="528">
        <f>TRUNC(IF($E207="",IFERROR(VLOOKUP($D207,SERVIÇOS!$C:$H,4,0),IFERROR(VLOOKUP($D207,$F:$M,6,0),)),IFERROR(VLOOKUP($E207,INSUMOS!$B:$E,4,0),))*$I207,2)</f>
        <v>0</v>
      </c>
      <c r="L207" s="528">
        <f>TRUNC(IF($E207="",IFERROR(VLOOKUP($D207,SERVIÇOS!$C:$H,5,0),IFERROR(VLOOKUP($D207,$F:$M,7,0),)),0)*$I207,2)</f>
        <v>0</v>
      </c>
      <c r="M207" s="528">
        <f t="shared" si="7"/>
        <v>0</v>
      </c>
      <c r="N207" s="526"/>
    </row>
    <row r="208" spans="3:14">
      <c r="C208" s="526" t="str">
        <f t="shared" si="6"/>
        <v/>
      </c>
      <c r="D208" s="531"/>
      <c r="E208" s="531"/>
      <c r="F208" s="526"/>
      <c r="G208" s="532" t="str">
        <f>IF($E208="",IFERROR(VLOOKUP($D208,SERVIÇOS!$C:$H,2,0),IFERROR(VLOOKUP($D208,$F:$M,2,0),"")),IFERROR(VLOOKUP($E208,INSUMOS!$B:$E,2,0),""))</f>
        <v/>
      </c>
      <c r="H208" s="526" t="str">
        <f>IF($E208="",IFERROR(VLOOKUP($D208,SERVIÇOS!$C:$H,3,0),IFERROR(VLOOKUP($D208,$F:$M,3,0),"")),IFERROR(VLOOKUP($E208,INSUMOS!$B:$E,3,0),""))</f>
        <v/>
      </c>
      <c r="I208" s="527"/>
      <c r="J208" s="528" t="str">
        <f>IF($E208="",IFERROR(VLOOKUP($D208,SERVIÇOS!$C:$H,6,0),IFERROR(VLOOKUP($D208,$F:$M,8,0),"")),IFERROR(VLOOKUP($E208,INSUMOS!$B:$E,4,0),""))</f>
        <v/>
      </c>
      <c r="K208" s="528">
        <f>TRUNC(IF($E208="",IFERROR(VLOOKUP($D208,SERVIÇOS!$C:$H,4,0),IFERROR(VLOOKUP($D208,$F:$M,6,0),)),IFERROR(VLOOKUP($E208,INSUMOS!$B:$E,4,0),))*$I208,2)</f>
        <v>0</v>
      </c>
      <c r="L208" s="528">
        <f>TRUNC(IF($E208="",IFERROR(VLOOKUP($D208,SERVIÇOS!$C:$H,5,0),IFERROR(VLOOKUP($D208,$F:$M,7,0),)),0)*$I208,2)</f>
        <v>0</v>
      </c>
      <c r="M208" s="528">
        <f t="shared" si="7"/>
        <v>0</v>
      </c>
      <c r="N208" s="526"/>
    </row>
    <row r="209" spans="3:14">
      <c r="C209" s="526" t="str">
        <f t="shared" si="6"/>
        <v/>
      </c>
      <c r="D209" s="531"/>
      <c r="E209" s="531"/>
      <c r="F209" s="526"/>
      <c r="G209" s="532" t="str">
        <f>IF($E209="",IFERROR(VLOOKUP($D209,SERVIÇOS!$C:$H,2,0),IFERROR(VLOOKUP($D209,$F:$M,2,0),"")),IFERROR(VLOOKUP($E209,INSUMOS!$B:$E,2,0),""))</f>
        <v/>
      </c>
      <c r="H209" s="526" t="str">
        <f>IF($E209="",IFERROR(VLOOKUP($D209,SERVIÇOS!$C:$H,3,0),IFERROR(VLOOKUP($D209,$F:$M,3,0),"")),IFERROR(VLOOKUP($E209,INSUMOS!$B:$E,3,0),""))</f>
        <v/>
      </c>
      <c r="I209" s="527"/>
      <c r="J209" s="528" t="str">
        <f>IF($E209="",IFERROR(VLOOKUP($D209,SERVIÇOS!$C:$H,6,0),IFERROR(VLOOKUP($D209,$F:$M,8,0),"")),IFERROR(VLOOKUP($E209,INSUMOS!$B:$E,4,0),""))</f>
        <v/>
      </c>
      <c r="K209" s="528">
        <f>TRUNC(IF($E209="",IFERROR(VLOOKUP($D209,SERVIÇOS!$C:$H,4,0),IFERROR(VLOOKUP($D209,$F:$M,6,0),)),IFERROR(VLOOKUP($E209,INSUMOS!$B:$E,4,0),))*$I209,2)</f>
        <v>0</v>
      </c>
      <c r="L209" s="528">
        <f>TRUNC(IF($E209="",IFERROR(VLOOKUP($D209,SERVIÇOS!$C:$H,5,0),IFERROR(VLOOKUP($D209,$F:$M,7,0),)),0)*$I209,2)</f>
        <v>0</v>
      </c>
      <c r="M209" s="528">
        <f t="shared" si="7"/>
        <v>0</v>
      </c>
      <c r="N209" s="526"/>
    </row>
    <row r="210" spans="3:14">
      <c r="C210" s="526" t="str">
        <f t="shared" si="6"/>
        <v/>
      </c>
      <c r="D210" s="531"/>
      <c r="E210" s="531"/>
      <c r="F210" s="526"/>
      <c r="G210" s="532" t="str">
        <f>IF($E210="",IFERROR(VLOOKUP($D210,SERVIÇOS!$C:$H,2,0),IFERROR(VLOOKUP($D210,$F:$M,2,0),"")),IFERROR(VLOOKUP($E210,INSUMOS!$B:$E,2,0),""))</f>
        <v/>
      </c>
      <c r="H210" s="526" t="str">
        <f>IF($E210="",IFERROR(VLOOKUP($D210,SERVIÇOS!$C:$H,3,0),IFERROR(VLOOKUP($D210,$F:$M,3,0),"")),IFERROR(VLOOKUP($E210,INSUMOS!$B:$E,3,0),""))</f>
        <v/>
      </c>
      <c r="I210" s="527"/>
      <c r="J210" s="528" t="str">
        <f>IF($E210="",IFERROR(VLOOKUP($D210,SERVIÇOS!$C:$H,6,0),IFERROR(VLOOKUP($D210,$F:$M,8,0),"")),IFERROR(VLOOKUP($E210,INSUMOS!$B:$E,4,0),""))</f>
        <v/>
      </c>
      <c r="K210" s="528">
        <f>TRUNC(IF($E210="",IFERROR(VLOOKUP($D210,SERVIÇOS!$C:$H,4,0),IFERROR(VLOOKUP($D210,$F:$M,6,0),)),IFERROR(VLOOKUP($E210,INSUMOS!$B:$E,4,0),))*$I210,2)</f>
        <v>0</v>
      </c>
      <c r="L210" s="528">
        <f>TRUNC(IF($E210="",IFERROR(VLOOKUP($D210,SERVIÇOS!$C:$H,5,0),IFERROR(VLOOKUP($D210,$F:$M,7,0),)),0)*$I210,2)</f>
        <v>0</v>
      </c>
      <c r="M210" s="528">
        <f t="shared" si="7"/>
        <v>0</v>
      </c>
      <c r="N210" s="526"/>
    </row>
    <row r="211" spans="3:14">
      <c r="C211" s="526" t="str">
        <f t="shared" si="6"/>
        <v/>
      </c>
      <c r="D211" s="531"/>
      <c r="E211" s="531"/>
      <c r="F211" s="526"/>
      <c r="G211" s="532" t="str">
        <f>IF($E211="",IFERROR(VLOOKUP($D211,SERVIÇOS!$C:$H,2,0),IFERROR(VLOOKUP($D211,$F:$M,2,0),"")),IFERROR(VLOOKUP($E211,INSUMOS!$B:$E,2,0),""))</f>
        <v/>
      </c>
      <c r="H211" s="526" t="str">
        <f>IF($E211="",IFERROR(VLOOKUP($D211,SERVIÇOS!$C:$H,3,0),IFERROR(VLOOKUP($D211,$F:$M,3,0),"")),IFERROR(VLOOKUP($E211,INSUMOS!$B:$E,3,0),""))</f>
        <v/>
      </c>
      <c r="I211" s="527"/>
      <c r="J211" s="528" t="str">
        <f>IF($E211="",IFERROR(VLOOKUP($D211,SERVIÇOS!$C:$H,6,0),IFERROR(VLOOKUP($D211,$F:$M,8,0),"")),IFERROR(VLOOKUP($E211,INSUMOS!$B:$E,4,0),""))</f>
        <v/>
      </c>
      <c r="K211" s="528">
        <f>TRUNC(IF($E211="",IFERROR(VLOOKUP($D211,SERVIÇOS!$C:$H,4,0),IFERROR(VLOOKUP($D211,$F:$M,6,0),)),IFERROR(VLOOKUP($E211,INSUMOS!$B:$E,4,0),))*$I211,2)</f>
        <v>0</v>
      </c>
      <c r="L211" s="528">
        <f>TRUNC(IF($E211="",IFERROR(VLOOKUP($D211,SERVIÇOS!$C:$H,5,0),IFERROR(VLOOKUP($D211,$F:$M,7,0),)),0)*$I211,2)</f>
        <v>0</v>
      </c>
      <c r="M211" s="528">
        <f t="shared" si="7"/>
        <v>0</v>
      </c>
      <c r="N211" s="526"/>
    </row>
    <row r="212" spans="3:14">
      <c r="C212" s="526" t="str">
        <f t="shared" si="6"/>
        <v/>
      </c>
      <c r="D212" s="531"/>
      <c r="E212" s="531"/>
      <c r="F212" s="526"/>
      <c r="G212" s="532" t="str">
        <f>IF($E212="",IFERROR(VLOOKUP($D212,SERVIÇOS!$C:$H,2,0),IFERROR(VLOOKUP($D212,$F:$M,2,0),"")),IFERROR(VLOOKUP($E212,INSUMOS!$B:$E,2,0),""))</f>
        <v/>
      </c>
      <c r="H212" s="526" t="str">
        <f>IF($E212="",IFERROR(VLOOKUP($D212,SERVIÇOS!$C:$H,3,0),IFERROR(VLOOKUP($D212,$F:$M,3,0),"")),IFERROR(VLOOKUP($E212,INSUMOS!$B:$E,3,0),""))</f>
        <v/>
      </c>
      <c r="I212" s="527"/>
      <c r="J212" s="528" t="str">
        <f>IF($E212="",IFERROR(VLOOKUP($D212,SERVIÇOS!$C:$H,6,0),IFERROR(VLOOKUP($D212,$F:$M,8,0),"")),IFERROR(VLOOKUP($E212,INSUMOS!$B:$E,4,0),""))</f>
        <v/>
      </c>
      <c r="K212" s="528">
        <f>TRUNC(IF($E212="",IFERROR(VLOOKUP($D212,SERVIÇOS!$C:$H,4,0),IFERROR(VLOOKUP($D212,$F:$M,6,0),)),IFERROR(VLOOKUP($E212,INSUMOS!$B:$E,4,0),))*$I212,2)</f>
        <v>0</v>
      </c>
      <c r="L212" s="528">
        <f>TRUNC(IF($E212="",IFERROR(VLOOKUP($D212,SERVIÇOS!$C:$H,5,0),IFERROR(VLOOKUP($D212,$F:$M,7,0),)),0)*$I212,2)</f>
        <v>0</v>
      </c>
      <c r="M212" s="528">
        <f t="shared" si="7"/>
        <v>0</v>
      </c>
      <c r="N212" s="526"/>
    </row>
    <row r="213" spans="3:14">
      <c r="C213" s="526" t="str">
        <f t="shared" si="6"/>
        <v/>
      </c>
      <c r="D213" s="531"/>
      <c r="E213" s="531"/>
      <c r="F213" s="526"/>
      <c r="G213" s="532" t="str">
        <f>IF($E213="",IFERROR(VLOOKUP($D213,SERVIÇOS!$C:$H,2,0),IFERROR(VLOOKUP($D213,$F:$M,2,0),"")),IFERROR(VLOOKUP($E213,INSUMOS!$B:$E,2,0),""))</f>
        <v/>
      </c>
      <c r="H213" s="526" t="str">
        <f>IF($E213="",IFERROR(VLOOKUP($D213,SERVIÇOS!$C:$H,3,0),IFERROR(VLOOKUP($D213,$F:$M,3,0),"")),IFERROR(VLOOKUP($E213,INSUMOS!$B:$E,3,0),""))</f>
        <v/>
      </c>
      <c r="I213" s="527"/>
      <c r="J213" s="528" t="str">
        <f>IF($E213="",IFERROR(VLOOKUP($D213,SERVIÇOS!$C:$H,6,0),IFERROR(VLOOKUP($D213,$F:$M,8,0),"")),IFERROR(VLOOKUP($E213,INSUMOS!$B:$E,4,0),""))</f>
        <v/>
      </c>
      <c r="K213" s="528">
        <f>TRUNC(IF($E213="",IFERROR(VLOOKUP($D213,SERVIÇOS!$C:$H,4,0),IFERROR(VLOOKUP($D213,$F:$M,6,0),)),IFERROR(VLOOKUP($E213,INSUMOS!$B:$E,4,0),))*$I213,2)</f>
        <v>0</v>
      </c>
      <c r="L213" s="528">
        <f>TRUNC(IF($E213="",IFERROR(VLOOKUP($D213,SERVIÇOS!$C:$H,5,0),IFERROR(VLOOKUP($D213,$F:$M,7,0),)),0)*$I213,2)</f>
        <v>0</v>
      </c>
      <c r="M213" s="528">
        <f t="shared" si="7"/>
        <v>0</v>
      </c>
      <c r="N213" s="526"/>
    </row>
    <row r="214" spans="3:14">
      <c r="C214" s="526" t="str">
        <f t="shared" si="6"/>
        <v/>
      </c>
      <c r="D214" s="531"/>
      <c r="E214" s="531"/>
      <c r="F214" s="526"/>
      <c r="G214" s="532" t="str">
        <f>IF($E214="",IFERROR(VLOOKUP($D214,SERVIÇOS!$C:$H,2,0),IFERROR(VLOOKUP($D214,$F:$M,2,0),"")),IFERROR(VLOOKUP($E214,INSUMOS!$B:$E,2,0),""))</f>
        <v/>
      </c>
      <c r="H214" s="526" t="str">
        <f>IF($E214="",IFERROR(VLOOKUP($D214,SERVIÇOS!$C:$H,3,0),IFERROR(VLOOKUP($D214,$F:$M,3,0),"")),IFERROR(VLOOKUP($E214,INSUMOS!$B:$E,3,0),""))</f>
        <v/>
      </c>
      <c r="I214" s="527"/>
      <c r="J214" s="528" t="str">
        <f>IF($E214="",IFERROR(VLOOKUP($D214,SERVIÇOS!$C:$H,6,0),IFERROR(VLOOKUP($D214,$F:$M,8,0),"")),IFERROR(VLOOKUP($E214,INSUMOS!$B:$E,4,0),""))</f>
        <v/>
      </c>
      <c r="K214" s="528">
        <f>TRUNC(IF($E214="",IFERROR(VLOOKUP($D214,SERVIÇOS!$C:$H,4,0),IFERROR(VLOOKUP($D214,$F:$M,6,0),)),IFERROR(VLOOKUP($E214,INSUMOS!$B:$E,4,0),))*$I214,2)</f>
        <v>0</v>
      </c>
      <c r="L214" s="528">
        <f>TRUNC(IF($E214="",IFERROR(VLOOKUP($D214,SERVIÇOS!$C:$H,5,0),IFERROR(VLOOKUP($D214,$F:$M,7,0),)),0)*$I214,2)</f>
        <v>0</v>
      </c>
      <c r="M214" s="528">
        <f t="shared" si="7"/>
        <v>0</v>
      </c>
      <c r="N214" s="526"/>
    </row>
    <row r="215" spans="3:14">
      <c r="C215" s="526" t="str">
        <f t="shared" si="6"/>
        <v/>
      </c>
      <c r="D215" s="531"/>
      <c r="E215" s="531"/>
      <c r="F215" s="526"/>
      <c r="G215" s="532" t="str">
        <f>IF($E215="",IFERROR(VLOOKUP($D215,SERVIÇOS!$C:$H,2,0),IFERROR(VLOOKUP($D215,$F:$M,2,0),"")),IFERROR(VLOOKUP($E215,INSUMOS!$B:$E,2,0),""))</f>
        <v/>
      </c>
      <c r="H215" s="526" t="str">
        <f>IF($E215="",IFERROR(VLOOKUP($D215,SERVIÇOS!$C:$H,3,0),IFERROR(VLOOKUP($D215,$F:$M,3,0),"")),IFERROR(VLOOKUP($E215,INSUMOS!$B:$E,3,0),""))</f>
        <v/>
      </c>
      <c r="I215" s="527"/>
      <c r="J215" s="528" t="str">
        <f>IF($E215="",IFERROR(VLOOKUP($D215,SERVIÇOS!$C:$H,6,0),IFERROR(VLOOKUP($D215,$F:$M,8,0),"")),IFERROR(VLOOKUP($E215,INSUMOS!$B:$E,4,0),""))</f>
        <v/>
      </c>
      <c r="K215" s="528">
        <f>TRUNC(IF($E215="",IFERROR(VLOOKUP($D215,SERVIÇOS!$C:$H,4,0),IFERROR(VLOOKUP($D215,$F:$M,6,0),)),IFERROR(VLOOKUP($E215,INSUMOS!$B:$E,4,0),))*$I215,2)</f>
        <v>0</v>
      </c>
      <c r="L215" s="528">
        <f>TRUNC(IF($E215="",IFERROR(VLOOKUP($D215,SERVIÇOS!$C:$H,5,0),IFERROR(VLOOKUP($D215,$F:$M,7,0),)),0)*$I215,2)</f>
        <v>0</v>
      </c>
      <c r="M215" s="528">
        <f t="shared" si="7"/>
        <v>0</v>
      </c>
      <c r="N215" s="526"/>
    </row>
    <row r="216" spans="3:14">
      <c r="C216" s="526" t="str">
        <f t="shared" si="6"/>
        <v/>
      </c>
      <c r="D216" s="531"/>
      <c r="E216" s="531"/>
      <c r="F216" s="526"/>
      <c r="G216" s="532" t="str">
        <f>IF($E216="",IFERROR(VLOOKUP($D216,SERVIÇOS!$C:$H,2,0),IFERROR(VLOOKUP($D216,$F:$M,2,0),"")),IFERROR(VLOOKUP($E216,INSUMOS!$B:$E,2,0),""))</f>
        <v/>
      </c>
      <c r="H216" s="526" t="str">
        <f>IF($E216="",IFERROR(VLOOKUP($D216,SERVIÇOS!$C:$H,3,0),IFERROR(VLOOKUP($D216,$F:$M,3,0),"")),IFERROR(VLOOKUP($E216,INSUMOS!$B:$E,3,0),""))</f>
        <v/>
      </c>
      <c r="I216" s="527"/>
      <c r="J216" s="528" t="str">
        <f>IF($E216="",IFERROR(VLOOKUP($D216,SERVIÇOS!$C:$H,6,0),IFERROR(VLOOKUP($D216,$F:$M,8,0),"")),IFERROR(VLOOKUP($E216,INSUMOS!$B:$E,4,0),""))</f>
        <v/>
      </c>
      <c r="K216" s="528">
        <f>TRUNC(IF($E216="",IFERROR(VLOOKUP($D216,SERVIÇOS!$C:$H,4,0),IFERROR(VLOOKUP($D216,$F:$M,6,0),)),IFERROR(VLOOKUP($E216,INSUMOS!$B:$E,4,0),))*$I216,2)</f>
        <v>0</v>
      </c>
      <c r="L216" s="528">
        <f>TRUNC(IF($E216="",IFERROR(VLOOKUP($D216,SERVIÇOS!$C:$H,5,0),IFERROR(VLOOKUP($D216,$F:$M,7,0),)),0)*$I216,2)</f>
        <v>0</v>
      </c>
      <c r="M216" s="528">
        <f t="shared" si="7"/>
        <v>0</v>
      </c>
      <c r="N216" s="526"/>
    </row>
    <row r="217" spans="3:14">
      <c r="C217" s="526" t="str">
        <f t="shared" si="6"/>
        <v/>
      </c>
      <c r="D217" s="531"/>
      <c r="E217" s="531"/>
      <c r="F217" s="526"/>
      <c r="G217" s="532" t="str">
        <f>IF($E217="",IFERROR(VLOOKUP($D217,SERVIÇOS!$C:$H,2,0),IFERROR(VLOOKUP($D217,$F:$M,2,0),"")),IFERROR(VLOOKUP($E217,INSUMOS!$B:$E,2,0),""))</f>
        <v/>
      </c>
      <c r="H217" s="526" t="str">
        <f>IF($E217="",IFERROR(VLOOKUP($D217,SERVIÇOS!$C:$H,3,0),IFERROR(VLOOKUP($D217,$F:$M,3,0),"")),IFERROR(VLOOKUP($E217,INSUMOS!$B:$E,3,0),""))</f>
        <v/>
      </c>
      <c r="I217" s="527"/>
      <c r="J217" s="528" t="str">
        <f>IF($E217="",IFERROR(VLOOKUP($D217,SERVIÇOS!$C:$H,6,0),IFERROR(VLOOKUP($D217,$F:$M,8,0),"")),IFERROR(VLOOKUP($E217,INSUMOS!$B:$E,4,0),""))</f>
        <v/>
      </c>
      <c r="K217" s="528">
        <f>TRUNC(IF($E217="",IFERROR(VLOOKUP($D217,SERVIÇOS!$C:$H,4,0),IFERROR(VLOOKUP($D217,$F:$M,6,0),)),IFERROR(VLOOKUP($E217,INSUMOS!$B:$E,4,0),))*$I217,2)</f>
        <v>0</v>
      </c>
      <c r="L217" s="528">
        <f>TRUNC(IF($E217="",IFERROR(VLOOKUP($D217,SERVIÇOS!$C:$H,5,0),IFERROR(VLOOKUP($D217,$F:$M,7,0),)),0)*$I217,2)</f>
        <v>0</v>
      </c>
      <c r="M217" s="528">
        <f t="shared" si="7"/>
        <v>0</v>
      </c>
      <c r="N217" s="526"/>
    </row>
    <row r="218" spans="3:14">
      <c r="C218" s="526" t="str">
        <f t="shared" si="6"/>
        <v/>
      </c>
      <c r="D218" s="531"/>
      <c r="E218" s="531"/>
      <c r="F218" s="526"/>
      <c r="G218" s="532" t="str">
        <f>IF($E218="",IFERROR(VLOOKUP($D218,SERVIÇOS!$C:$H,2,0),IFERROR(VLOOKUP($D218,$F:$M,2,0),"")),IFERROR(VLOOKUP($E218,INSUMOS!$B:$E,2,0),""))</f>
        <v/>
      </c>
      <c r="H218" s="526" t="str">
        <f>IF($E218="",IFERROR(VLOOKUP($D218,SERVIÇOS!$C:$H,3,0),IFERROR(VLOOKUP($D218,$F:$M,3,0),"")),IFERROR(VLOOKUP($E218,INSUMOS!$B:$E,3,0),""))</f>
        <v/>
      </c>
      <c r="I218" s="527"/>
      <c r="J218" s="528" t="str">
        <f>IF($E218="",IFERROR(VLOOKUP($D218,SERVIÇOS!$C:$H,6,0),IFERROR(VLOOKUP($D218,$F:$M,8,0),"")),IFERROR(VLOOKUP($E218,INSUMOS!$B:$E,4,0),""))</f>
        <v/>
      </c>
      <c r="K218" s="528">
        <f>TRUNC(IF($E218="",IFERROR(VLOOKUP($D218,SERVIÇOS!$C:$H,4,0),IFERROR(VLOOKUP($D218,$F:$M,6,0),)),IFERROR(VLOOKUP($E218,INSUMOS!$B:$E,4,0),))*$I218,2)</f>
        <v>0</v>
      </c>
      <c r="L218" s="528">
        <f>TRUNC(IF($E218="",IFERROR(VLOOKUP($D218,SERVIÇOS!$C:$H,5,0),IFERROR(VLOOKUP($D218,$F:$M,7,0),)),0)*$I218,2)</f>
        <v>0</v>
      </c>
      <c r="M218" s="528">
        <f t="shared" si="7"/>
        <v>0</v>
      </c>
      <c r="N218" s="526"/>
    </row>
    <row r="219" spans="3:14">
      <c r="C219" s="526" t="str">
        <f t="shared" si="6"/>
        <v/>
      </c>
      <c r="D219" s="531"/>
      <c r="E219" s="531"/>
      <c r="F219" s="526"/>
      <c r="G219" s="532" t="str">
        <f>IF($E219="",IFERROR(VLOOKUP($D219,SERVIÇOS!$C:$H,2,0),IFERROR(VLOOKUP($D219,$F:$M,2,0),"")),IFERROR(VLOOKUP($E219,INSUMOS!$B:$E,2,0),""))</f>
        <v/>
      </c>
      <c r="H219" s="526" t="str">
        <f>IF($E219="",IFERROR(VLOOKUP($D219,SERVIÇOS!$C:$H,3,0),IFERROR(VLOOKUP($D219,$F:$M,3,0),"")),IFERROR(VLOOKUP($E219,INSUMOS!$B:$E,3,0),""))</f>
        <v/>
      </c>
      <c r="I219" s="527"/>
      <c r="J219" s="528" t="str">
        <f>IF($E219="",IFERROR(VLOOKUP($D219,SERVIÇOS!$C:$H,6,0),IFERROR(VLOOKUP($D219,$F:$M,8,0),"")),IFERROR(VLOOKUP($E219,INSUMOS!$B:$E,4,0),""))</f>
        <v/>
      </c>
      <c r="K219" s="528">
        <f>TRUNC(IF($E219="",IFERROR(VLOOKUP($D219,SERVIÇOS!$C:$H,4,0),IFERROR(VLOOKUP($D219,$F:$M,6,0),)),IFERROR(VLOOKUP($E219,INSUMOS!$B:$E,4,0),))*$I219,2)</f>
        <v>0</v>
      </c>
      <c r="L219" s="528">
        <f>TRUNC(IF($E219="",IFERROR(VLOOKUP($D219,SERVIÇOS!$C:$H,5,0),IFERROR(VLOOKUP($D219,$F:$M,7,0),)),0)*$I219,2)</f>
        <v>0</v>
      </c>
      <c r="M219" s="528">
        <f t="shared" si="7"/>
        <v>0</v>
      </c>
      <c r="N219" s="526"/>
    </row>
    <row r="220" spans="3:14">
      <c r="C220" s="526" t="str">
        <f t="shared" si="6"/>
        <v/>
      </c>
      <c r="D220" s="531"/>
      <c r="E220" s="531"/>
      <c r="F220" s="526"/>
      <c r="G220" s="532" t="str">
        <f>IF($E220="",IFERROR(VLOOKUP($D220,SERVIÇOS!$C:$H,2,0),IFERROR(VLOOKUP($D220,$F:$M,2,0),"")),IFERROR(VLOOKUP($E220,INSUMOS!$B:$E,2,0),""))</f>
        <v/>
      </c>
      <c r="H220" s="526" t="str">
        <f>IF($E220="",IFERROR(VLOOKUP($D220,SERVIÇOS!$C:$H,3,0),IFERROR(VLOOKUP($D220,$F:$M,3,0),"")),IFERROR(VLOOKUP($E220,INSUMOS!$B:$E,3,0),""))</f>
        <v/>
      </c>
      <c r="I220" s="527"/>
      <c r="J220" s="528" t="str">
        <f>IF($E220="",IFERROR(VLOOKUP($D220,SERVIÇOS!$C:$H,6,0),IFERROR(VLOOKUP($D220,$F:$M,8,0),"")),IFERROR(VLOOKUP($E220,INSUMOS!$B:$E,4,0),""))</f>
        <v/>
      </c>
      <c r="K220" s="528">
        <f>TRUNC(IF($E220="",IFERROR(VLOOKUP($D220,SERVIÇOS!$C:$H,4,0),IFERROR(VLOOKUP($D220,$F:$M,6,0),)),IFERROR(VLOOKUP($E220,INSUMOS!$B:$E,4,0),))*$I220,2)</f>
        <v>0</v>
      </c>
      <c r="L220" s="528">
        <f>TRUNC(IF($E220="",IFERROR(VLOOKUP($D220,SERVIÇOS!$C:$H,5,0),IFERROR(VLOOKUP($D220,$F:$M,7,0),)),0)*$I220,2)</f>
        <v>0</v>
      </c>
      <c r="M220" s="528">
        <f t="shared" si="7"/>
        <v>0</v>
      </c>
      <c r="N220" s="526"/>
    </row>
    <row r="221" spans="3:14">
      <c r="C221" s="526" t="str">
        <f t="shared" si="6"/>
        <v/>
      </c>
      <c r="D221" s="531"/>
      <c r="E221" s="531"/>
      <c r="F221" s="526"/>
      <c r="G221" s="532" t="str">
        <f>IF($E221="",IFERROR(VLOOKUP($D221,SERVIÇOS!$C:$H,2,0),IFERROR(VLOOKUP($D221,$F:$M,2,0),"")),IFERROR(VLOOKUP($E221,INSUMOS!$B:$E,2,0),""))</f>
        <v/>
      </c>
      <c r="H221" s="526" t="str">
        <f>IF($E221="",IFERROR(VLOOKUP($D221,SERVIÇOS!$C:$H,3,0),IFERROR(VLOOKUP($D221,$F:$M,3,0),"")),IFERROR(VLOOKUP($E221,INSUMOS!$B:$E,3,0),""))</f>
        <v/>
      </c>
      <c r="I221" s="527"/>
      <c r="J221" s="528" t="str">
        <f>IF($E221="",IFERROR(VLOOKUP($D221,SERVIÇOS!$C:$H,6,0),IFERROR(VLOOKUP($D221,$F:$M,8,0),"")),IFERROR(VLOOKUP($E221,INSUMOS!$B:$E,4,0),""))</f>
        <v/>
      </c>
      <c r="K221" s="528">
        <f>TRUNC(IF($E221="",IFERROR(VLOOKUP($D221,SERVIÇOS!$C:$H,4,0),IFERROR(VLOOKUP($D221,$F:$M,6,0),)),IFERROR(VLOOKUP($E221,INSUMOS!$B:$E,4,0),))*$I221,2)</f>
        <v>0</v>
      </c>
      <c r="L221" s="528">
        <f>TRUNC(IF($E221="",IFERROR(VLOOKUP($D221,SERVIÇOS!$C:$H,5,0),IFERROR(VLOOKUP($D221,$F:$M,7,0),)),0)*$I221,2)</f>
        <v>0</v>
      </c>
      <c r="M221" s="528">
        <f t="shared" si="7"/>
        <v>0</v>
      </c>
      <c r="N221" s="526"/>
    </row>
    <row r="222" spans="3:14">
      <c r="C222" s="526" t="str">
        <f t="shared" si="6"/>
        <v/>
      </c>
      <c r="D222" s="531"/>
      <c r="E222" s="531"/>
      <c r="F222" s="526"/>
      <c r="G222" s="532" t="str">
        <f>IF($E222="",IFERROR(VLOOKUP($D222,SERVIÇOS!$C:$H,2,0),IFERROR(VLOOKUP($D222,$F:$M,2,0),"")),IFERROR(VLOOKUP($E222,INSUMOS!$B:$E,2,0),""))</f>
        <v/>
      </c>
      <c r="H222" s="526" t="str">
        <f>IF($E222="",IFERROR(VLOOKUP($D222,SERVIÇOS!$C:$H,3,0),IFERROR(VLOOKUP($D222,$F:$M,3,0),"")),IFERROR(VLOOKUP($E222,INSUMOS!$B:$E,3,0),""))</f>
        <v/>
      </c>
      <c r="I222" s="527"/>
      <c r="J222" s="528" t="str">
        <f>IF($E222="",IFERROR(VLOOKUP($D222,SERVIÇOS!$C:$H,6,0),IFERROR(VLOOKUP($D222,$F:$M,8,0),"")),IFERROR(VLOOKUP($E222,INSUMOS!$B:$E,4,0),""))</f>
        <v/>
      </c>
      <c r="K222" s="528">
        <f>TRUNC(IF($E222="",IFERROR(VLOOKUP($D222,SERVIÇOS!$C:$H,4,0),IFERROR(VLOOKUP($D222,$F:$M,6,0),)),IFERROR(VLOOKUP($E222,INSUMOS!$B:$E,4,0),))*$I222,2)</f>
        <v>0</v>
      </c>
      <c r="L222" s="528">
        <f>TRUNC(IF($E222="",IFERROR(VLOOKUP($D222,SERVIÇOS!$C:$H,5,0),IFERROR(VLOOKUP($D222,$F:$M,7,0),)),0)*$I222,2)</f>
        <v>0</v>
      </c>
      <c r="M222" s="528">
        <f t="shared" si="7"/>
        <v>0</v>
      </c>
      <c r="N222" s="526"/>
    </row>
    <row r="223" spans="3:14">
      <c r="C223" s="526" t="str">
        <f t="shared" si="6"/>
        <v/>
      </c>
      <c r="D223" s="531"/>
      <c r="E223" s="531"/>
      <c r="F223" s="526"/>
      <c r="G223" s="532" t="str">
        <f>IF($E223="",IFERROR(VLOOKUP($D223,SERVIÇOS!$C:$H,2,0),IFERROR(VLOOKUP($D223,$F:$M,2,0),"")),IFERROR(VLOOKUP($E223,INSUMOS!$B:$E,2,0),""))</f>
        <v/>
      </c>
      <c r="H223" s="526" t="str">
        <f>IF($E223="",IFERROR(VLOOKUP($D223,SERVIÇOS!$C:$H,3,0),IFERROR(VLOOKUP($D223,$F:$M,3,0),"")),IFERROR(VLOOKUP($E223,INSUMOS!$B:$E,3,0),""))</f>
        <v/>
      </c>
      <c r="I223" s="527"/>
      <c r="J223" s="528" t="str">
        <f>IF($E223="",IFERROR(VLOOKUP($D223,SERVIÇOS!$C:$H,6,0),IFERROR(VLOOKUP($D223,$F:$M,8,0),"")),IFERROR(VLOOKUP($E223,INSUMOS!$B:$E,4,0),""))</f>
        <v/>
      </c>
      <c r="K223" s="528">
        <f>TRUNC(IF($E223="",IFERROR(VLOOKUP($D223,SERVIÇOS!$C:$H,4,0),IFERROR(VLOOKUP($D223,$F:$M,6,0),)),IFERROR(VLOOKUP($E223,INSUMOS!$B:$E,4,0),))*$I223,2)</f>
        <v>0</v>
      </c>
      <c r="L223" s="528">
        <f>TRUNC(IF($E223="",IFERROR(VLOOKUP($D223,SERVIÇOS!$C:$H,5,0),IFERROR(VLOOKUP($D223,$F:$M,7,0),)),0)*$I223,2)</f>
        <v>0</v>
      </c>
      <c r="M223" s="528">
        <f t="shared" si="7"/>
        <v>0</v>
      </c>
      <c r="N223" s="526"/>
    </row>
    <row r="224" spans="3:14">
      <c r="C224" s="526" t="str">
        <f t="shared" si="6"/>
        <v/>
      </c>
      <c r="D224" s="531"/>
      <c r="E224" s="531"/>
      <c r="F224" s="526"/>
      <c r="G224" s="532" t="str">
        <f>IF($E224="",IFERROR(VLOOKUP($D224,SERVIÇOS!$C:$H,2,0),IFERROR(VLOOKUP($D224,$F:$M,2,0),"")),IFERROR(VLOOKUP($E224,INSUMOS!$B:$E,2,0),""))</f>
        <v/>
      </c>
      <c r="H224" s="526" t="str">
        <f>IF($E224="",IFERROR(VLOOKUP($D224,SERVIÇOS!$C:$H,3,0),IFERROR(VLOOKUP($D224,$F:$M,3,0),"")),IFERROR(VLOOKUP($E224,INSUMOS!$B:$E,3,0),""))</f>
        <v/>
      </c>
      <c r="I224" s="527"/>
      <c r="J224" s="528" t="str">
        <f>IF($E224="",IFERROR(VLOOKUP($D224,SERVIÇOS!$C:$H,6,0),IFERROR(VLOOKUP($D224,$F:$M,8,0),"")),IFERROR(VLOOKUP($E224,INSUMOS!$B:$E,4,0),""))</f>
        <v/>
      </c>
      <c r="K224" s="528">
        <f>TRUNC(IF($E224="",IFERROR(VLOOKUP($D224,SERVIÇOS!$C:$H,4,0),IFERROR(VLOOKUP($D224,$F:$M,6,0),)),IFERROR(VLOOKUP($E224,INSUMOS!$B:$E,4,0),))*$I224,2)</f>
        <v>0</v>
      </c>
      <c r="L224" s="528">
        <f>TRUNC(IF($E224="",IFERROR(VLOOKUP($D224,SERVIÇOS!$C:$H,5,0),IFERROR(VLOOKUP($D224,$F:$M,7,0),)),0)*$I224,2)</f>
        <v>0</v>
      </c>
      <c r="M224" s="528">
        <f t="shared" si="7"/>
        <v>0</v>
      </c>
      <c r="N224" s="526"/>
    </row>
    <row r="225" spans="3:14">
      <c r="C225" s="526" t="str">
        <f t="shared" si="6"/>
        <v/>
      </c>
      <c r="D225" s="531"/>
      <c r="E225" s="531"/>
      <c r="F225" s="526"/>
      <c r="G225" s="532" t="str">
        <f>IF($E225="",IFERROR(VLOOKUP($D225,SERVIÇOS!$C:$H,2,0),IFERROR(VLOOKUP($D225,$F:$M,2,0),"")),IFERROR(VLOOKUP($E225,INSUMOS!$B:$E,2,0),""))</f>
        <v/>
      </c>
      <c r="H225" s="526" t="str">
        <f>IF($E225="",IFERROR(VLOOKUP($D225,SERVIÇOS!$C:$H,3,0),IFERROR(VLOOKUP($D225,$F:$M,3,0),"")),IFERROR(VLOOKUP($E225,INSUMOS!$B:$E,3,0),""))</f>
        <v/>
      </c>
      <c r="I225" s="527"/>
      <c r="J225" s="528" t="str">
        <f>IF($E225="",IFERROR(VLOOKUP($D225,SERVIÇOS!$C:$H,6,0),IFERROR(VLOOKUP($D225,$F:$M,8,0),"")),IFERROR(VLOOKUP($E225,INSUMOS!$B:$E,4,0),""))</f>
        <v/>
      </c>
      <c r="K225" s="528">
        <f>TRUNC(IF($E225="",IFERROR(VLOOKUP($D225,SERVIÇOS!$C:$H,4,0),IFERROR(VLOOKUP($D225,$F:$M,6,0),)),IFERROR(VLOOKUP($E225,INSUMOS!$B:$E,4,0),))*$I225,2)</f>
        <v>0</v>
      </c>
      <c r="L225" s="528">
        <f>TRUNC(IF($E225="",IFERROR(VLOOKUP($D225,SERVIÇOS!$C:$H,5,0),IFERROR(VLOOKUP($D225,$F:$M,7,0),)),0)*$I225,2)</f>
        <v>0</v>
      </c>
      <c r="M225" s="528">
        <f t="shared" si="7"/>
        <v>0</v>
      </c>
      <c r="N225" s="526"/>
    </row>
    <row r="226" spans="3:14">
      <c r="C226" s="526" t="str">
        <f t="shared" si="6"/>
        <v/>
      </c>
      <c r="D226" s="531"/>
      <c r="E226" s="531"/>
      <c r="F226" s="526"/>
      <c r="G226" s="532" t="str">
        <f>IF($E226="",IFERROR(VLOOKUP($D226,SERVIÇOS!$C:$H,2,0),IFERROR(VLOOKUP($D226,$F:$M,2,0),"")),IFERROR(VLOOKUP($E226,INSUMOS!$B:$E,2,0),""))</f>
        <v/>
      </c>
      <c r="H226" s="526" t="str">
        <f>IF($E226="",IFERROR(VLOOKUP($D226,SERVIÇOS!$C:$H,3,0),IFERROR(VLOOKUP($D226,$F:$M,3,0),"")),IFERROR(VLOOKUP($E226,INSUMOS!$B:$E,3,0),""))</f>
        <v/>
      </c>
      <c r="I226" s="527"/>
      <c r="J226" s="528" t="str">
        <f>IF($E226="",IFERROR(VLOOKUP($D226,SERVIÇOS!$C:$H,6,0),IFERROR(VLOOKUP($D226,$F:$M,8,0),"")),IFERROR(VLOOKUP($E226,INSUMOS!$B:$E,4,0),""))</f>
        <v/>
      </c>
      <c r="K226" s="528">
        <f>TRUNC(IF($E226="",IFERROR(VLOOKUP($D226,SERVIÇOS!$C:$H,4,0),IFERROR(VLOOKUP($D226,$F:$M,6,0),)),IFERROR(VLOOKUP($E226,INSUMOS!$B:$E,4,0),))*$I226,2)</f>
        <v>0</v>
      </c>
      <c r="L226" s="528">
        <f>TRUNC(IF($E226="",IFERROR(VLOOKUP($D226,SERVIÇOS!$C:$H,5,0),IFERROR(VLOOKUP($D226,$F:$M,7,0),)),0)*$I226,2)</f>
        <v>0</v>
      </c>
      <c r="M226" s="528">
        <f t="shared" si="7"/>
        <v>0</v>
      </c>
      <c r="N226" s="526"/>
    </row>
    <row r="227" spans="3:14">
      <c r="C227" s="526" t="str">
        <f t="shared" si="6"/>
        <v/>
      </c>
      <c r="D227" s="531"/>
      <c r="E227" s="531"/>
      <c r="F227" s="526"/>
      <c r="G227" s="532" t="str">
        <f>IF($E227="",IFERROR(VLOOKUP($D227,SERVIÇOS!$C:$H,2,0),IFERROR(VLOOKUP($D227,$F:$M,2,0),"")),IFERROR(VLOOKUP($E227,INSUMOS!$B:$E,2,0),""))</f>
        <v/>
      </c>
      <c r="H227" s="526" t="str">
        <f>IF($E227="",IFERROR(VLOOKUP($D227,SERVIÇOS!$C:$H,3,0),IFERROR(VLOOKUP($D227,$F:$M,3,0),"")),IFERROR(VLOOKUP($E227,INSUMOS!$B:$E,3,0),""))</f>
        <v/>
      </c>
      <c r="I227" s="527"/>
      <c r="J227" s="528" t="str">
        <f>IF($E227="",IFERROR(VLOOKUP($D227,SERVIÇOS!$C:$H,6,0),IFERROR(VLOOKUP($D227,$F:$M,8,0),"")),IFERROR(VLOOKUP($E227,INSUMOS!$B:$E,4,0),""))</f>
        <v/>
      </c>
      <c r="K227" s="528">
        <f>TRUNC(IF($E227="",IFERROR(VLOOKUP($D227,SERVIÇOS!$C:$H,4,0),IFERROR(VLOOKUP($D227,$F:$M,6,0),)),IFERROR(VLOOKUP($E227,INSUMOS!$B:$E,4,0),))*$I227,2)</f>
        <v>0</v>
      </c>
      <c r="L227" s="528">
        <f>TRUNC(IF($E227="",IFERROR(VLOOKUP($D227,SERVIÇOS!$C:$H,5,0),IFERROR(VLOOKUP($D227,$F:$M,7,0),)),0)*$I227,2)</f>
        <v>0</v>
      </c>
      <c r="M227" s="528">
        <f t="shared" si="7"/>
        <v>0</v>
      </c>
      <c r="N227" s="526"/>
    </row>
    <row r="228" spans="3:14">
      <c r="C228" s="526" t="str">
        <f t="shared" si="6"/>
        <v/>
      </c>
      <c r="D228" s="531"/>
      <c r="E228" s="531"/>
      <c r="F228" s="526"/>
      <c r="G228" s="532" t="str">
        <f>IF($E228="",IFERROR(VLOOKUP($D228,SERVIÇOS!$C:$H,2,0),IFERROR(VLOOKUP($D228,$F:$M,2,0),"")),IFERROR(VLOOKUP($E228,INSUMOS!$B:$E,2,0),""))</f>
        <v/>
      </c>
      <c r="H228" s="526" t="str">
        <f>IF($E228="",IFERROR(VLOOKUP($D228,SERVIÇOS!$C:$H,3,0),IFERROR(VLOOKUP($D228,$F:$M,3,0),"")),IFERROR(VLOOKUP($E228,INSUMOS!$B:$E,3,0),""))</f>
        <v/>
      </c>
      <c r="I228" s="527"/>
      <c r="J228" s="528" t="str">
        <f>IF($E228="",IFERROR(VLOOKUP($D228,SERVIÇOS!$C:$H,6,0),IFERROR(VLOOKUP($D228,$F:$M,8,0),"")),IFERROR(VLOOKUP($E228,INSUMOS!$B:$E,4,0),""))</f>
        <v/>
      </c>
      <c r="K228" s="528">
        <f>TRUNC(IF($E228="",IFERROR(VLOOKUP($D228,SERVIÇOS!$C:$H,4,0),IFERROR(VLOOKUP($D228,$F:$M,6,0),)),IFERROR(VLOOKUP($E228,INSUMOS!$B:$E,4,0),))*$I228,2)</f>
        <v>0</v>
      </c>
      <c r="L228" s="528">
        <f>TRUNC(IF($E228="",IFERROR(VLOOKUP($D228,SERVIÇOS!$C:$H,5,0),IFERROR(VLOOKUP($D228,$F:$M,7,0),)),0)*$I228,2)</f>
        <v>0</v>
      </c>
      <c r="M228" s="528">
        <f t="shared" si="7"/>
        <v>0</v>
      </c>
      <c r="N228" s="526"/>
    </row>
    <row r="229" spans="3:14">
      <c r="C229" s="526" t="str">
        <f t="shared" si="6"/>
        <v/>
      </c>
      <c r="D229" s="531"/>
      <c r="E229" s="531"/>
      <c r="F229" s="526"/>
      <c r="G229" s="532" t="str">
        <f>IF($E229="",IFERROR(VLOOKUP($D229,SERVIÇOS!$C:$H,2,0),IFERROR(VLOOKUP($D229,$F:$M,2,0),"")),IFERROR(VLOOKUP($E229,INSUMOS!$B:$E,2,0),""))</f>
        <v/>
      </c>
      <c r="H229" s="526" t="str">
        <f>IF($E229="",IFERROR(VLOOKUP($D229,SERVIÇOS!$C:$H,3,0),IFERROR(VLOOKUP($D229,$F:$M,3,0),"")),IFERROR(VLOOKUP($E229,INSUMOS!$B:$E,3,0),""))</f>
        <v/>
      </c>
      <c r="I229" s="527"/>
      <c r="J229" s="528" t="str">
        <f>IF($E229="",IFERROR(VLOOKUP($D229,SERVIÇOS!$C:$H,6,0),IFERROR(VLOOKUP($D229,$F:$M,8,0),"")),IFERROR(VLOOKUP($E229,INSUMOS!$B:$E,4,0),""))</f>
        <v/>
      </c>
      <c r="K229" s="528">
        <f>TRUNC(IF($E229="",IFERROR(VLOOKUP($D229,SERVIÇOS!$C:$H,4,0),IFERROR(VLOOKUP($D229,$F:$M,6,0),)),IFERROR(VLOOKUP($E229,INSUMOS!$B:$E,4,0),))*$I229,2)</f>
        <v>0</v>
      </c>
      <c r="L229" s="528">
        <f>TRUNC(IF($E229="",IFERROR(VLOOKUP($D229,SERVIÇOS!$C:$H,5,0),IFERROR(VLOOKUP($D229,$F:$M,7,0),)),0)*$I229,2)</f>
        <v>0</v>
      </c>
      <c r="M229" s="528">
        <f t="shared" si="7"/>
        <v>0</v>
      </c>
      <c r="N229" s="526"/>
    </row>
    <row r="230" spans="3:14">
      <c r="C230" s="526" t="str">
        <f t="shared" si="6"/>
        <v/>
      </c>
      <c r="D230" s="531"/>
      <c r="E230" s="531"/>
      <c r="F230" s="526"/>
      <c r="G230" s="532" t="str">
        <f>IF($E230="",IFERROR(VLOOKUP($D230,SERVIÇOS!$C:$H,2,0),IFERROR(VLOOKUP($D230,$F:$M,2,0),"")),IFERROR(VLOOKUP($E230,INSUMOS!$B:$E,2,0),""))</f>
        <v/>
      </c>
      <c r="H230" s="526" t="str">
        <f>IF($E230="",IFERROR(VLOOKUP($D230,SERVIÇOS!$C:$H,3,0),IFERROR(VLOOKUP($D230,$F:$M,3,0),"")),IFERROR(VLOOKUP($E230,INSUMOS!$B:$E,3,0),""))</f>
        <v/>
      </c>
      <c r="I230" s="527"/>
      <c r="J230" s="528" t="str">
        <f>IF($E230="",IFERROR(VLOOKUP($D230,SERVIÇOS!$C:$H,6,0),IFERROR(VLOOKUP($D230,$F:$M,8,0),"")),IFERROR(VLOOKUP($E230,INSUMOS!$B:$E,4,0),""))</f>
        <v/>
      </c>
      <c r="K230" s="528">
        <f>TRUNC(IF($E230="",IFERROR(VLOOKUP($D230,SERVIÇOS!$C:$H,4,0),IFERROR(VLOOKUP($D230,$F:$M,6,0),)),IFERROR(VLOOKUP($E230,INSUMOS!$B:$E,4,0),))*$I230,2)</f>
        <v>0</v>
      </c>
      <c r="L230" s="528">
        <f>TRUNC(IF($E230="",IFERROR(VLOOKUP($D230,SERVIÇOS!$C:$H,5,0),IFERROR(VLOOKUP($D230,$F:$M,7,0),)),0)*$I230,2)</f>
        <v>0</v>
      </c>
      <c r="M230" s="528">
        <f t="shared" si="7"/>
        <v>0</v>
      </c>
      <c r="N230" s="526"/>
    </row>
    <row r="231" spans="3:14">
      <c r="C231" s="526" t="str">
        <f t="shared" si="6"/>
        <v/>
      </c>
      <c r="D231" s="531"/>
      <c r="E231" s="531"/>
      <c r="F231" s="526"/>
      <c r="G231" s="532" t="str">
        <f>IF($E231="",IFERROR(VLOOKUP($D231,SERVIÇOS!$C:$H,2,0),IFERROR(VLOOKUP($D231,$F:$M,2,0),"")),IFERROR(VLOOKUP($E231,INSUMOS!$B:$E,2,0),""))</f>
        <v/>
      </c>
      <c r="H231" s="526" t="str">
        <f>IF($E231="",IFERROR(VLOOKUP($D231,SERVIÇOS!$C:$H,3,0),IFERROR(VLOOKUP($D231,$F:$M,3,0),"")),IFERROR(VLOOKUP($E231,INSUMOS!$B:$E,3,0),""))</f>
        <v/>
      </c>
      <c r="I231" s="527"/>
      <c r="J231" s="528" t="str">
        <f>IF($E231="",IFERROR(VLOOKUP($D231,SERVIÇOS!$C:$H,6,0),IFERROR(VLOOKUP($D231,$F:$M,8,0),"")),IFERROR(VLOOKUP($E231,INSUMOS!$B:$E,4,0),""))</f>
        <v/>
      </c>
      <c r="K231" s="528">
        <f>TRUNC(IF($E231="",IFERROR(VLOOKUP($D231,SERVIÇOS!$C:$H,4,0),IFERROR(VLOOKUP($D231,$F:$M,6,0),)),IFERROR(VLOOKUP($E231,INSUMOS!$B:$E,4,0),))*$I231,2)</f>
        <v>0</v>
      </c>
      <c r="L231" s="528">
        <f>TRUNC(IF($E231="",IFERROR(VLOOKUP($D231,SERVIÇOS!$C:$H,5,0),IFERROR(VLOOKUP($D231,$F:$M,7,0),)),0)*$I231,2)</f>
        <v>0</v>
      </c>
      <c r="M231" s="528">
        <f t="shared" si="7"/>
        <v>0</v>
      </c>
      <c r="N231" s="526"/>
    </row>
    <row r="232" spans="3:14">
      <c r="C232" s="526" t="str">
        <f t="shared" si="6"/>
        <v/>
      </c>
      <c r="D232" s="531"/>
      <c r="E232" s="531"/>
      <c r="F232" s="526"/>
      <c r="G232" s="532" t="str">
        <f>IF($E232="",IFERROR(VLOOKUP($D232,SERVIÇOS!$C:$H,2,0),IFERROR(VLOOKUP($D232,$F:$M,2,0),"")),IFERROR(VLOOKUP($E232,INSUMOS!$B:$E,2,0),""))</f>
        <v/>
      </c>
      <c r="H232" s="526" t="str">
        <f>IF($E232="",IFERROR(VLOOKUP($D232,SERVIÇOS!$C:$H,3,0),IFERROR(VLOOKUP($D232,$F:$M,3,0),"")),IFERROR(VLOOKUP($E232,INSUMOS!$B:$E,3,0),""))</f>
        <v/>
      </c>
      <c r="I232" s="527"/>
      <c r="J232" s="528" t="str">
        <f>IF($E232="",IFERROR(VLOOKUP($D232,SERVIÇOS!$C:$H,6,0),IFERROR(VLOOKUP($D232,$F:$M,8,0),"")),IFERROR(VLOOKUP($E232,INSUMOS!$B:$E,4,0),""))</f>
        <v/>
      </c>
      <c r="K232" s="528">
        <f>TRUNC(IF($E232="",IFERROR(VLOOKUP($D232,SERVIÇOS!$C:$H,4,0),IFERROR(VLOOKUP($D232,$F:$M,6,0),)),IFERROR(VLOOKUP($E232,INSUMOS!$B:$E,4,0),))*$I232,2)</f>
        <v>0</v>
      </c>
      <c r="L232" s="528">
        <f>TRUNC(IF($E232="",IFERROR(VLOOKUP($D232,SERVIÇOS!$C:$H,5,0),IFERROR(VLOOKUP($D232,$F:$M,7,0),)),0)*$I232,2)</f>
        <v>0</v>
      </c>
      <c r="M232" s="528">
        <f t="shared" si="7"/>
        <v>0</v>
      </c>
      <c r="N232" s="526"/>
    </row>
    <row r="233" spans="3:14">
      <c r="C233" s="526" t="str">
        <f t="shared" si="6"/>
        <v/>
      </c>
      <c r="D233" s="531"/>
      <c r="E233" s="531"/>
      <c r="F233" s="526"/>
      <c r="G233" s="532" t="str">
        <f>IF($E233="",IFERROR(VLOOKUP($D233,SERVIÇOS!$C:$H,2,0),IFERROR(VLOOKUP($D233,$F:$M,2,0),"")),IFERROR(VLOOKUP($E233,INSUMOS!$B:$E,2,0),""))</f>
        <v/>
      </c>
      <c r="H233" s="526" t="str">
        <f>IF($E233="",IFERROR(VLOOKUP($D233,SERVIÇOS!$C:$H,3,0),IFERROR(VLOOKUP($D233,$F:$M,3,0),"")),IFERROR(VLOOKUP($E233,INSUMOS!$B:$E,3,0),""))</f>
        <v/>
      </c>
      <c r="I233" s="527"/>
      <c r="J233" s="528" t="str">
        <f>IF($E233="",IFERROR(VLOOKUP($D233,SERVIÇOS!$C:$H,6,0),IFERROR(VLOOKUP($D233,$F:$M,8,0),"")),IFERROR(VLOOKUP($E233,INSUMOS!$B:$E,4,0),""))</f>
        <v/>
      </c>
      <c r="K233" s="528">
        <f>TRUNC(IF($E233="",IFERROR(VLOOKUP($D233,SERVIÇOS!$C:$H,4,0),IFERROR(VLOOKUP($D233,$F:$M,6,0),)),IFERROR(VLOOKUP($E233,INSUMOS!$B:$E,4,0),))*$I233,2)</f>
        <v>0</v>
      </c>
      <c r="L233" s="528">
        <f>TRUNC(IF($E233="",IFERROR(VLOOKUP($D233,SERVIÇOS!$C:$H,5,0),IFERROR(VLOOKUP($D233,$F:$M,7,0),)),0)*$I233,2)</f>
        <v>0</v>
      </c>
      <c r="M233" s="528">
        <f t="shared" si="7"/>
        <v>0</v>
      </c>
      <c r="N233" s="526"/>
    </row>
    <row r="234" spans="3:14">
      <c r="C234" s="526" t="str">
        <f t="shared" si="6"/>
        <v/>
      </c>
      <c r="D234" s="531"/>
      <c r="E234" s="531"/>
      <c r="F234" s="526"/>
      <c r="G234" s="532" t="str">
        <f>IF($E234="",IFERROR(VLOOKUP($D234,SERVIÇOS!$C:$H,2,0),IFERROR(VLOOKUP($D234,$F:$M,2,0),"")),IFERROR(VLOOKUP($E234,INSUMOS!$B:$E,2,0),""))</f>
        <v/>
      </c>
      <c r="H234" s="526" t="str">
        <f>IF($E234="",IFERROR(VLOOKUP($D234,SERVIÇOS!$C:$H,3,0),IFERROR(VLOOKUP($D234,$F:$M,3,0),"")),IFERROR(VLOOKUP($E234,INSUMOS!$B:$E,3,0),""))</f>
        <v/>
      </c>
      <c r="I234" s="527"/>
      <c r="J234" s="528" t="str">
        <f>IF($E234="",IFERROR(VLOOKUP($D234,SERVIÇOS!$C:$H,6,0),IFERROR(VLOOKUP($D234,$F:$M,8,0),"")),IFERROR(VLOOKUP($E234,INSUMOS!$B:$E,4,0),""))</f>
        <v/>
      </c>
      <c r="K234" s="528">
        <f>TRUNC(IF($E234="",IFERROR(VLOOKUP($D234,SERVIÇOS!$C:$H,4,0),IFERROR(VLOOKUP($D234,$F:$M,6,0),)),IFERROR(VLOOKUP($E234,INSUMOS!$B:$E,4,0),))*$I234,2)</f>
        <v>0</v>
      </c>
      <c r="L234" s="528">
        <f>TRUNC(IF($E234="",IFERROR(VLOOKUP($D234,SERVIÇOS!$C:$H,5,0),IFERROR(VLOOKUP($D234,$F:$M,7,0),)),0)*$I234,2)</f>
        <v>0</v>
      </c>
      <c r="M234" s="528">
        <f t="shared" si="7"/>
        <v>0</v>
      </c>
      <c r="N234" s="526"/>
    </row>
    <row r="235" spans="3:14">
      <c r="C235" s="526" t="str">
        <f t="shared" si="6"/>
        <v/>
      </c>
      <c r="D235" s="531"/>
      <c r="E235" s="531"/>
      <c r="F235" s="526"/>
      <c r="G235" s="532" t="str">
        <f>IF($E235="",IFERROR(VLOOKUP($D235,SERVIÇOS!$C:$H,2,0),IFERROR(VLOOKUP($D235,$F:$M,2,0),"")),IFERROR(VLOOKUP($E235,INSUMOS!$B:$E,2,0),""))</f>
        <v/>
      </c>
      <c r="H235" s="526" t="str">
        <f>IF($E235="",IFERROR(VLOOKUP($D235,SERVIÇOS!$C:$H,3,0),IFERROR(VLOOKUP($D235,$F:$M,3,0),"")),IFERROR(VLOOKUP($E235,INSUMOS!$B:$E,3,0),""))</f>
        <v/>
      </c>
      <c r="I235" s="527"/>
      <c r="J235" s="528" t="str">
        <f>IF($E235="",IFERROR(VLOOKUP($D235,SERVIÇOS!$C:$H,6,0),IFERROR(VLOOKUP($D235,$F:$M,8,0),"")),IFERROR(VLOOKUP($E235,INSUMOS!$B:$E,4,0),""))</f>
        <v/>
      </c>
      <c r="K235" s="528">
        <f>TRUNC(IF($E235="",IFERROR(VLOOKUP($D235,SERVIÇOS!$C:$H,4,0),IFERROR(VLOOKUP($D235,$F:$M,6,0),)),IFERROR(VLOOKUP($E235,INSUMOS!$B:$E,4,0),))*$I235,2)</f>
        <v>0</v>
      </c>
      <c r="L235" s="528">
        <f>TRUNC(IF($E235="",IFERROR(VLOOKUP($D235,SERVIÇOS!$C:$H,5,0),IFERROR(VLOOKUP($D235,$F:$M,7,0),)),0)*$I235,2)</f>
        <v>0</v>
      </c>
      <c r="M235" s="528">
        <f t="shared" si="7"/>
        <v>0</v>
      </c>
      <c r="N235" s="526"/>
    </row>
    <row r="236" spans="3:14">
      <c r="C236" s="526" t="str">
        <f t="shared" si="6"/>
        <v/>
      </c>
      <c r="D236" s="531"/>
      <c r="E236" s="531"/>
      <c r="F236" s="526"/>
      <c r="G236" s="532" t="str">
        <f>IF($E236="",IFERROR(VLOOKUP($D236,SERVIÇOS!$C:$H,2,0),IFERROR(VLOOKUP($D236,$F:$M,2,0),"")),IFERROR(VLOOKUP($E236,INSUMOS!$B:$E,2,0),""))</f>
        <v/>
      </c>
      <c r="H236" s="526" t="str">
        <f>IF($E236="",IFERROR(VLOOKUP($D236,SERVIÇOS!$C:$H,3,0),IFERROR(VLOOKUP($D236,$F:$M,3,0),"")),IFERROR(VLOOKUP($E236,INSUMOS!$B:$E,3,0),""))</f>
        <v/>
      </c>
      <c r="I236" s="527"/>
      <c r="J236" s="528" t="str">
        <f>IF($E236="",IFERROR(VLOOKUP($D236,SERVIÇOS!$C:$H,6,0),IFERROR(VLOOKUP($D236,$F:$M,8,0),"")),IFERROR(VLOOKUP($E236,INSUMOS!$B:$E,4,0),""))</f>
        <v/>
      </c>
      <c r="K236" s="528">
        <f>TRUNC(IF($E236="",IFERROR(VLOOKUP($D236,SERVIÇOS!$C:$H,4,0),IFERROR(VLOOKUP($D236,$F:$M,6,0),)),IFERROR(VLOOKUP($E236,INSUMOS!$B:$E,4,0),))*$I236,2)</f>
        <v>0</v>
      </c>
      <c r="L236" s="528">
        <f>TRUNC(IF($E236="",IFERROR(VLOOKUP($D236,SERVIÇOS!$C:$H,5,0),IFERROR(VLOOKUP($D236,$F:$M,7,0),)),0)*$I236,2)</f>
        <v>0</v>
      </c>
      <c r="M236" s="528">
        <f t="shared" si="7"/>
        <v>0</v>
      </c>
      <c r="N236" s="526"/>
    </row>
    <row r="237" spans="3:14">
      <c r="C237" s="526" t="str">
        <f t="shared" si="6"/>
        <v/>
      </c>
      <c r="D237" s="531"/>
      <c r="E237" s="531"/>
      <c r="F237" s="526"/>
      <c r="G237" s="532" t="str">
        <f>IF($E237="",IFERROR(VLOOKUP($D237,SERVIÇOS!$C:$H,2,0),IFERROR(VLOOKUP($D237,$F:$M,2,0),"")),IFERROR(VLOOKUP($E237,INSUMOS!$B:$E,2,0),""))</f>
        <v/>
      </c>
      <c r="H237" s="526" t="str">
        <f>IF($E237="",IFERROR(VLOOKUP($D237,SERVIÇOS!$C:$H,3,0),IFERROR(VLOOKUP($D237,$F:$M,3,0),"")),IFERROR(VLOOKUP($E237,INSUMOS!$B:$E,3,0),""))</f>
        <v/>
      </c>
      <c r="I237" s="527"/>
      <c r="J237" s="528" t="str">
        <f>IF($E237="",IFERROR(VLOOKUP($D237,SERVIÇOS!$C:$H,6,0),IFERROR(VLOOKUP($D237,$F:$M,8,0),"")),IFERROR(VLOOKUP($E237,INSUMOS!$B:$E,4,0),""))</f>
        <v/>
      </c>
      <c r="K237" s="528">
        <f>TRUNC(IF($E237="",IFERROR(VLOOKUP($D237,SERVIÇOS!$C:$H,4,0),IFERROR(VLOOKUP($D237,$F:$M,6,0),)),IFERROR(VLOOKUP($E237,INSUMOS!$B:$E,4,0),))*$I237,2)</f>
        <v>0</v>
      </c>
      <c r="L237" s="528">
        <f>TRUNC(IF($E237="",IFERROR(VLOOKUP($D237,SERVIÇOS!$C:$H,5,0),IFERROR(VLOOKUP($D237,$F:$M,7,0),)),0)*$I237,2)</f>
        <v>0</v>
      </c>
      <c r="M237" s="528">
        <f t="shared" si="7"/>
        <v>0</v>
      </c>
      <c r="N237" s="526"/>
    </row>
    <row r="238" spans="3:14">
      <c r="C238" s="526" t="str">
        <f t="shared" si="6"/>
        <v/>
      </c>
      <c r="D238" s="531"/>
      <c r="E238" s="531"/>
      <c r="F238" s="526"/>
      <c r="G238" s="532" t="str">
        <f>IF($E238="",IFERROR(VLOOKUP($D238,SERVIÇOS!$C:$H,2,0),IFERROR(VLOOKUP($D238,$F:$M,2,0),"")),IFERROR(VLOOKUP($E238,INSUMOS!$B:$E,2,0),""))</f>
        <v/>
      </c>
      <c r="H238" s="526" t="str">
        <f>IF($E238="",IFERROR(VLOOKUP($D238,SERVIÇOS!$C:$H,3,0),IFERROR(VLOOKUP($D238,$F:$M,3,0),"")),IFERROR(VLOOKUP($E238,INSUMOS!$B:$E,3,0),""))</f>
        <v/>
      </c>
      <c r="I238" s="527"/>
      <c r="J238" s="528" t="str">
        <f>IF($E238="",IFERROR(VLOOKUP($D238,SERVIÇOS!$C:$H,6,0),IFERROR(VLOOKUP($D238,$F:$M,8,0),"")),IFERROR(VLOOKUP($E238,INSUMOS!$B:$E,4,0),""))</f>
        <v/>
      </c>
      <c r="K238" s="528">
        <f>TRUNC(IF($E238="",IFERROR(VLOOKUP($D238,SERVIÇOS!$C:$H,4,0),IFERROR(VLOOKUP($D238,$F:$M,6,0),)),IFERROR(VLOOKUP($E238,INSUMOS!$B:$E,4,0),))*$I238,2)</f>
        <v>0</v>
      </c>
      <c r="L238" s="528">
        <f>TRUNC(IF($E238="",IFERROR(VLOOKUP($D238,SERVIÇOS!$C:$H,5,0),IFERROR(VLOOKUP($D238,$F:$M,7,0),)),0)*$I238,2)</f>
        <v>0</v>
      </c>
      <c r="M238" s="528">
        <f t="shared" si="7"/>
        <v>0</v>
      </c>
      <c r="N238" s="526"/>
    </row>
    <row r="239" spans="3:14">
      <c r="C239" s="526" t="str">
        <f t="shared" si="6"/>
        <v/>
      </c>
      <c r="D239" s="531"/>
      <c r="E239" s="531"/>
      <c r="F239" s="526"/>
      <c r="G239" s="532" t="str">
        <f>IF($E239="",IFERROR(VLOOKUP($D239,SERVIÇOS!$C:$H,2,0),IFERROR(VLOOKUP($D239,$F:$M,2,0),"")),IFERROR(VLOOKUP($E239,INSUMOS!$B:$E,2,0),""))</f>
        <v/>
      </c>
      <c r="H239" s="526" t="str">
        <f>IF($E239="",IFERROR(VLOOKUP($D239,SERVIÇOS!$C:$H,3,0),IFERROR(VLOOKUP($D239,$F:$M,3,0),"")),IFERROR(VLOOKUP($E239,INSUMOS!$B:$E,3,0),""))</f>
        <v/>
      </c>
      <c r="I239" s="527"/>
      <c r="J239" s="528" t="str">
        <f>IF($E239="",IFERROR(VLOOKUP($D239,SERVIÇOS!$C:$H,6,0),IFERROR(VLOOKUP($D239,$F:$M,8,0),"")),IFERROR(VLOOKUP($E239,INSUMOS!$B:$E,4,0),""))</f>
        <v/>
      </c>
      <c r="K239" s="528">
        <f>TRUNC(IF($E239="",IFERROR(VLOOKUP($D239,SERVIÇOS!$C:$H,4,0),IFERROR(VLOOKUP($D239,$F:$M,6,0),)),IFERROR(VLOOKUP($E239,INSUMOS!$B:$E,4,0),))*$I239,2)</f>
        <v>0</v>
      </c>
      <c r="L239" s="528">
        <f>TRUNC(IF($E239="",IFERROR(VLOOKUP($D239,SERVIÇOS!$C:$H,5,0),IFERROR(VLOOKUP($D239,$F:$M,7,0),)),0)*$I239,2)</f>
        <v>0</v>
      </c>
      <c r="M239" s="528">
        <f t="shared" si="7"/>
        <v>0</v>
      </c>
      <c r="N239" s="526"/>
    </row>
    <row r="240" spans="3:14">
      <c r="C240" s="526" t="str">
        <f t="shared" si="6"/>
        <v/>
      </c>
      <c r="D240" s="531"/>
      <c r="E240" s="531"/>
      <c r="F240" s="526"/>
      <c r="G240" s="532" t="str">
        <f>IF($E240="",IFERROR(VLOOKUP($D240,SERVIÇOS!$C:$H,2,0),IFERROR(VLOOKUP($D240,$F:$M,2,0),"")),IFERROR(VLOOKUP($E240,INSUMOS!$B:$E,2,0),""))</f>
        <v/>
      </c>
      <c r="H240" s="526" t="str">
        <f>IF($E240="",IFERROR(VLOOKUP($D240,SERVIÇOS!$C:$H,3,0),IFERROR(VLOOKUP($D240,$F:$M,3,0),"")),IFERROR(VLOOKUP($E240,INSUMOS!$B:$E,3,0),""))</f>
        <v/>
      </c>
      <c r="I240" s="527"/>
      <c r="J240" s="528" t="str">
        <f>IF($E240="",IFERROR(VLOOKUP($D240,SERVIÇOS!$C:$H,6,0),IFERROR(VLOOKUP($D240,$F:$M,8,0),"")),IFERROR(VLOOKUP($E240,INSUMOS!$B:$E,4,0),""))</f>
        <v/>
      </c>
      <c r="K240" s="528">
        <f>TRUNC(IF($E240="",IFERROR(VLOOKUP($D240,SERVIÇOS!$C:$H,4,0),IFERROR(VLOOKUP($D240,$F:$M,6,0),)),IFERROR(VLOOKUP($E240,INSUMOS!$B:$E,4,0),))*$I240,2)</f>
        <v>0</v>
      </c>
      <c r="L240" s="528">
        <f>TRUNC(IF($E240="",IFERROR(VLOOKUP($D240,SERVIÇOS!$C:$H,5,0),IFERROR(VLOOKUP($D240,$F:$M,7,0),)),0)*$I240,2)</f>
        <v>0</v>
      </c>
      <c r="M240" s="528">
        <f t="shared" si="7"/>
        <v>0</v>
      </c>
      <c r="N240" s="526"/>
    </row>
    <row r="241" spans="3:14">
      <c r="C241" s="526" t="str">
        <f t="shared" si="6"/>
        <v/>
      </c>
      <c r="D241" s="531"/>
      <c r="E241" s="531"/>
      <c r="F241" s="526"/>
      <c r="G241" s="532" t="str">
        <f>IF($E241="",IFERROR(VLOOKUP($D241,SERVIÇOS!$C:$H,2,0),IFERROR(VLOOKUP($D241,$F:$M,2,0),"")),IFERROR(VLOOKUP($E241,INSUMOS!$B:$E,2,0),""))</f>
        <v/>
      </c>
      <c r="H241" s="526" t="str">
        <f>IF($E241="",IFERROR(VLOOKUP($D241,SERVIÇOS!$C:$H,3,0),IFERROR(VLOOKUP($D241,$F:$M,3,0),"")),IFERROR(VLOOKUP($E241,INSUMOS!$B:$E,3,0),""))</f>
        <v/>
      </c>
      <c r="I241" s="527"/>
      <c r="J241" s="528" t="str">
        <f>IF($E241="",IFERROR(VLOOKUP($D241,SERVIÇOS!$C:$H,6,0),IFERROR(VLOOKUP($D241,$F:$M,8,0),"")),IFERROR(VLOOKUP($E241,INSUMOS!$B:$E,4,0),""))</f>
        <v/>
      </c>
      <c r="K241" s="528">
        <f>TRUNC(IF($E241="",IFERROR(VLOOKUP($D241,SERVIÇOS!$C:$H,4,0),IFERROR(VLOOKUP($D241,$F:$M,6,0),)),IFERROR(VLOOKUP($E241,INSUMOS!$B:$E,4,0),))*$I241,2)</f>
        <v>0</v>
      </c>
      <c r="L241" s="528">
        <f>TRUNC(IF($E241="",IFERROR(VLOOKUP($D241,SERVIÇOS!$C:$H,5,0),IFERROR(VLOOKUP($D241,$F:$M,7,0),)),0)*$I241,2)</f>
        <v>0</v>
      </c>
      <c r="M241" s="528">
        <f t="shared" si="7"/>
        <v>0</v>
      </c>
      <c r="N241" s="526"/>
    </row>
    <row r="242" spans="3:14">
      <c r="C242" s="526" t="str">
        <f t="shared" si="6"/>
        <v/>
      </c>
      <c r="D242" s="531"/>
      <c r="E242" s="531"/>
      <c r="F242" s="526"/>
      <c r="G242" s="532" t="str">
        <f>IF($E242="",IFERROR(VLOOKUP($D242,SERVIÇOS!$C:$H,2,0),IFERROR(VLOOKUP($D242,$F:$M,2,0),"")),IFERROR(VLOOKUP($E242,INSUMOS!$B:$E,2,0),""))</f>
        <v/>
      </c>
      <c r="H242" s="526" t="str">
        <f>IF($E242="",IFERROR(VLOOKUP($D242,SERVIÇOS!$C:$H,3,0),IFERROR(VLOOKUP($D242,$F:$M,3,0),"")),IFERROR(VLOOKUP($E242,INSUMOS!$B:$E,3,0),""))</f>
        <v/>
      </c>
      <c r="I242" s="527"/>
      <c r="J242" s="528" t="str">
        <f>IF($E242="",IFERROR(VLOOKUP($D242,SERVIÇOS!$C:$H,6,0),IFERROR(VLOOKUP($D242,$F:$M,8,0),"")),IFERROR(VLOOKUP($E242,INSUMOS!$B:$E,4,0),""))</f>
        <v/>
      </c>
      <c r="K242" s="528">
        <f>TRUNC(IF($E242="",IFERROR(VLOOKUP($D242,SERVIÇOS!$C:$H,4,0),IFERROR(VLOOKUP($D242,$F:$M,6,0),)),IFERROR(VLOOKUP($E242,INSUMOS!$B:$E,4,0),))*$I242,2)</f>
        <v>0</v>
      </c>
      <c r="L242" s="528">
        <f>TRUNC(IF($E242="",IFERROR(VLOOKUP($D242,SERVIÇOS!$C:$H,5,0),IFERROR(VLOOKUP($D242,$F:$M,7,0),)),0)*$I242,2)</f>
        <v>0</v>
      </c>
      <c r="M242" s="528">
        <f t="shared" si="7"/>
        <v>0</v>
      </c>
      <c r="N242" s="526"/>
    </row>
    <row r="243" spans="3:14">
      <c r="C243" s="526" t="str">
        <f t="shared" si="6"/>
        <v/>
      </c>
      <c r="D243" s="531"/>
      <c r="E243" s="531"/>
      <c r="F243" s="526"/>
      <c r="G243" s="532" t="str">
        <f>IF($E243="",IFERROR(VLOOKUP($D243,SERVIÇOS!$C:$H,2,0),IFERROR(VLOOKUP($D243,$F:$M,2,0),"")),IFERROR(VLOOKUP($E243,INSUMOS!$B:$E,2,0),""))</f>
        <v/>
      </c>
      <c r="H243" s="526" t="str">
        <f>IF($E243="",IFERROR(VLOOKUP($D243,SERVIÇOS!$C:$H,3,0),IFERROR(VLOOKUP($D243,$F:$M,3,0),"")),IFERROR(VLOOKUP($E243,INSUMOS!$B:$E,3,0),""))</f>
        <v/>
      </c>
      <c r="I243" s="527"/>
      <c r="J243" s="528" t="str">
        <f>IF($E243="",IFERROR(VLOOKUP($D243,SERVIÇOS!$C:$H,6,0),IFERROR(VLOOKUP($D243,$F:$M,8,0),"")),IFERROR(VLOOKUP($E243,INSUMOS!$B:$E,4,0),""))</f>
        <v/>
      </c>
      <c r="K243" s="528">
        <f>TRUNC(IF($E243="",IFERROR(VLOOKUP($D243,SERVIÇOS!$C:$H,4,0),IFERROR(VLOOKUP($D243,$F:$M,6,0),)),IFERROR(VLOOKUP($E243,INSUMOS!$B:$E,4,0),))*$I243,2)</f>
        <v>0</v>
      </c>
      <c r="L243" s="528">
        <f>TRUNC(IF($E243="",IFERROR(VLOOKUP($D243,SERVIÇOS!$C:$H,5,0),IFERROR(VLOOKUP($D243,$F:$M,7,0),)),0)*$I243,2)</f>
        <v>0</v>
      </c>
      <c r="M243" s="528">
        <f t="shared" si="7"/>
        <v>0</v>
      </c>
      <c r="N243" s="526"/>
    </row>
    <row r="244" spans="3:14">
      <c r="C244" s="526" t="str">
        <f t="shared" si="6"/>
        <v/>
      </c>
      <c r="D244" s="531"/>
      <c r="E244" s="531"/>
      <c r="F244" s="526"/>
      <c r="G244" s="532" t="str">
        <f>IF($E244="",IFERROR(VLOOKUP($D244,SERVIÇOS!$C:$H,2,0),IFERROR(VLOOKUP($D244,$F:$M,2,0),"")),IFERROR(VLOOKUP($E244,INSUMOS!$B:$E,2,0),""))</f>
        <v/>
      </c>
      <c r="H244" s="526" t="str">
        <f>IF($E244="",IFERROR(VLOOKUP($D244,SERVIÇOS!$C:$H,3,0),IFERROR(VLOOKUP($D244,$F:$M,3,0),"")),IFERROR(VLOOKUP($E244,INSUMOS!$B:$E,3,0),""))</f>
        <v/>
      </c>
      <c r="I244" s="527"/>
      <c r="J244" s="528" t="str">
        <f>IF($E244="",IFERROR(VLOOKUP($D244,SERVIÇOS!$C:$H,6,0),IFERROR(VLOOKUP($D244,$F:$M,8,0),"")),IFERROR(VLOOKUP($E244,INSUMOS!$B:$E,4,0),""))</f>
        <v/>
      </c>
      <c r="K244" s="528">
        <f>TRUNC(IF($E244="",IFERROR(VLOOKUP($D244,SERVIÇOS!$C:$H,4,0),IFERROR(VLOOKUP($D244,$F:$M,6,0),)),IFERROR(VLOOKUP($E244,INSUMOS!$B:$E,4,0),))*$I244,2)</f>
        <v>0</v>
      </c>
      <c r="L244" s="528">
        <f>TRUNC(IF($E244="",IFERROR(VLOOKUP($D244,SERVIÇOS!$C:$H,5,0),IFERROR(VLOOKUP($D244,$F:$M,7,0),)),0)*$I244,2)</f>
        <v>0</v>
      </c>
      <c r="M244" s="528">
        <f t="shared" si="7"/>
        <v>0</v>
      </c>
      <c r="N244" s="526"/>
    </row>
    <row r="245" spans="3:14">
      <c r="C245" s="526" t="str">
        <f t="shared" si="6"/>
        <v/>
      </c>
      <c r="D245" s="531"/>
      <c r="E245" s="531"/>
      <c r="F245" s="526"/>
      <c r="G245" s="532" t="str">
        <f>IF($E245="",IFERROR(VLOOKUP($D245,SERVIÇOS!$C:$H,2,0),IFERROR(VLOOKUP($D245,$F:$M,2,0),"")),IFERROR(VLOOKUP($E245,INSUMOS!$B:$E,2,0),""))</f>
        <v/>
      </c>
      <c r="H245" s="526" t="str">
        <f>IF($E245="",IFERROR(VLOOKUP($D245,SERVIÇOS!$C:$H,3,0),IFERROR(VLOOKUP($D245,$F:$M,3,0),"")),IFERROR(VLOOKUP($E245,INSUMOS!$B:$E,3,0),""))</f>
        <v/>
      </c>
      <c r="I245" s="527"/>
      <c r="J245" s="528" t="str">
        <f>IF($E245="",IFERROR(VLOOKUP($D245,SERVIÇOS!$C:$H,6,0),IFERROR(VLOOKUP($D245,$F:$M,8,0),"")),IFERROR(VLOOKUP($E245,INSUMOS!$B:$E,4,0),""))</f>
        <v/>
      </c>
      <c r="K245" s="528">
        <f>TRUNC(IF($E245="",IFERROR(VLOOKUP($D245,SERVIÇOS!$C:$H,4,0),IFERROR(VLOOKUP($D245,$F:$M,6,0),)),IFERROR(VLOOKUP($E245,INSUMOS!$B:$E,4,0),))*$I245,2)</f>
        <v>0</v>
      </c>
      <c r="L245" s="528">
        <f>TRUNC(IF($E245="",IFERROR(VLOOKUP($D245,SERVIÇOS!$C:$H,5,0),IFERROR(VLOOKUP($D245,$F:$M,7,0),)),0)*$I245,2)</f>
        <v>0</v>
      </c>
      <c r="M245" s="528">
        <f t="shared" si="7"/>
        <v>0</v>
      </c>
      <c r="N245" s="526"/>
    </row>
    <row r="246" spans="3:14">
      <c r="C246" s="526" t="str">
        <f t="shared" si="6"/>
        <v/>
      </c>
      <c r="D246" s="531"/>
      <c r="E246" s="531"/>
      <c r="F246" s="526"/>
      <c r="G246" s="532" t="str">
        <f>IF($E246="",IFERROR(VLOOKUP($D246,SERVIÇOS!$C:$H,2,0),IFERROR(VLOOKUP($D246,$F:$M,2,0),"")),IFERROR(VLOOKUP($E246,INSUMOS!$B:$E,2,0),""))</f>
        <v/>
      </c>
      <c r="H246" s="526" t="str">
        <f>IF($E246="",IFERROR(VLOOKUP($D246,SERVIÇOS!$C:$H,3,0),IFERROR(VLOOKUP($D246,$F:$M,3,0),"")),IFERROR(VLOOKUP($E246,INSUMOS!$B:$E,3,0),""))</f>
        <v/>
      </c>
      <c r="I246" s="527"/>
      <c r="J246" s="528" t="str">
        <f>IF($E246="",IFERROR(VLOOKUP($D246,SERVIÇOS!$C:$H,6,0),IFERROR(VLOOKUP($D246,$F:$M,8,0),"")),IFERROR(VLOOKUP($E246,INSUMOS!$B:$E,4,0),""))</f>
        <v/>
      </c>
      <c r="K246" s="528">
        <f>TRUNC(IF($E246="",IFERROR(VLOOKUP($D246,SERVIÇOS!$C:$H,4,0),IFERROR(VLOOKUP($D246,$F:$M,6,0),)),IFERROR(VLOOKUP($E246,INSUMOS!$B:$E,4,0),))*$I246,2)</f>
        <v>0</v>
      </c>
      <c r="L246" s="528">
        <f>TRUNC(IF($E246="",IFERROR(VLOOKUP($D246,SERVIÇOS!$C:$H,5,0),IFERROR(VLOOKUP($D246,$F:$M,7,0),)),0)*$I246,2)</f>
        <v>0</v>
      </c>
      <c r="M246" s="528">
        <f t="shared" si="7"/>
        <v>0</v>
      </c>
      <c r="N246" s="526"/>
    </row>
    <row r="247" spans="3:14">
      <c r="C247" s="526" t="str">
        <f t="shared" si="6"/>
        <v/>
      </c>
      <c r="D247" s="531"/>
      <c r="E247" s="531"/>
      <c r="F247" s="526"/>
      <c r="G247" s="532" t="str">
        <f>IF($E247="",IFERROR(VLOOKUP($D247,SERVIÇOS!$C:$H,2,0),IFERROR(VLOOKUP($D247,$F:$M,2,0),"")),IFERROR(VLOOKUP($E247,INSUMOS!$B:$E,2,0),""))</f>
        <v/>
      </c>
      <c r="H247" s="526" t="str">
        <f>IF($E247="",IFERROR(VLOOKUP($D247,SERVIÇOS!$C:$H,3,0),IFERROR(VLOOKUP($D247,$F:$M,3,0),"")),IFERROR(VLOOKUP($E247,INSUMOS!$B:$E,3,0),""))</f>
        <v/>
      </c>
      <c r="I247" s="527"/>
      <c r="J247" s="528" t="str">
        <f>IF($E247="",IFERROR(VLOOKUP($D247,SERVIÇOS!$C:$H,6,0),IFERROR(VLOOKUP($D247,$F:$M,8,0),"")),IFERROR(VLOOKUP($E247,INSUMOS!$B:$E,4,0),""))</f>
        <v/>
      </c>
      <c r="K247" s="528">
        <f>TRUNC(IF($E247="",IFERROR(VLOOKUP($D247,SERVIÇOS!$C:$H,4,0),IFERROR(VLOOKUP($D247,$F:$M,6,0),)),IFERROR(VLOOKUP($E247,INSUMOS!$B:$E,4,0),))*$I247,2)</f>
        <v>0</v>
      </c>
      <c r="L247" s="528">
        <f>TRUNC(IF($E247="",IFERROR(VLOOKUP($D247,SERVIÇOS!$C:$H,5,0),IFERROR(VLOOKUP($D247,$F:$M,7,0),)),0)*$I247,2)</f>
        <v>0</v>
      </c>
      <c r="M247" s="528">
        <f t="shared" si="7"/>
        <v>0</v>
      </c>
      <c r="N247" s="526"/>
    </row>
    <row r="248" spans="3:14">
      <c r="C248" s="526" t="str">
        <f t="shared" si="6"/>
        <v/>
      </c>
      <c r="D248" s="531"/>
      <c r="E248" s="531"/>
      <c r="F248" s="526"/>
      <c r="G248" s="532" t="str">
        <f>IF($E248="",IFERROR(VLOOKUP($D248,SERVIÇOS!$C:$H,2,0),IFERROR(VLOOKUP($D248,$F:$M,2,0),"")),IFERROR(VLOOKUP($E248,INSUMOS!$B:$E,2,0),""))</f>
        <v/>
      </c>
      <c r="H248" s="526" t="str">
        <f>IF($E248="",IFERROR(VLOOKUP($D248,SERVIÇOS!$C:$H,3,0),IFERROR(VLOOKUP($D248,$F:$M,3,0),"")),IFERROR(VLOOKUP($E248,INSUMOS!$B:$E,3,0),""))</f>
        <v/>
      </c>
      <c r="I248" s="527"/>
      <c r="J248" s="528" t="str">
        <f>IF($E248="",IFERROR(VLOOKUP($D248,SERVIÇOS!$C:$H,6,0),IFERROR(VLOOKUP($D248,$F:$M,8,0),"")),IFERROR(VLOOKUP($E248,INSUMOS!$B:$E,4,0),""))</f>
        <v/>
      </c>
      <c r="K248" s="528">
        <f>TRUNC(IF($E248="",IFERROR(VLOOKUP($D248,SERVIÇOS!$C:$H,4,0),IFERROR(VLOOKUP($D248,$F:$M,6,0),)),IFERROR(VLOOKUP($E248,INSUMOS!$B:$E,4,0),))*$I248,2)</f>
        <v>0</v>
      </c>
      <c r="L248" s="528">
        <f>TRUNC(IF($E248="",IFERROR(VLOOKUP($D248,SERVIÇOS!$C:$H,5,0),IFERROR(VLOOKUP($D248,$F:$M,7,0),)),0)*$I248,2)</f>
        <v>0</v>
      </c>
      <c r="M248" s="528">
        <f t="shared" si="7"/>
        <v>0</v>
      </c>
      <c r="N248" s="526"/>
    </row>
    <row r="249" spans="3:14">
      <c r="C249" s="526" t="str">
        <f t="shared" si="6"/>
        <v/>
      </c>
      <c r="D249" s="531"/>
      <c r="E249" s="531"/>
      <c r="F249" s="526"/>
      <c r="G249" s="532" t="str">
        <f>IF($E249="",IFERROR(VLOOKUP($D249,SERVIÇOS!$C:$H,2,0),IFERROR(VLOOKUP($D249,$F:$M,2,0),"")),IFERROR(VLOOKUP($E249,INSUMOS!$B:$E,2,0),""))</f>
        <v/>
      </c>
      <c r="H249" s="526" t="str">
        <f>IF($E249="",IFERROR(VLOOKUP($D249,SERVIÇOS!$C:$H,3,0),IFERROR(VLOOKUP($D249,$F:$M,3,0),"")),IFERROR(VLOOKUP($E249,INSUMOS!$B:$E,3,0),""))</f>
        <v/>
      </c>
      <c r="I249" s="527"/>
      <c r="J249" s="528" t="str">
        <f>IF($E249="",IFERROR(VLOOKUP($D249,SERVIÇOS!$C:$H,6,0),IFERROR(VLOOKUP($D249,$F:$M,8,0),"")),IFERROR(VLOOKUP($E249,INSUMOS!$B:$E,4,0),""))</f>
        <v/>
      </c>
      <c r="K249" s="528">
        <f>TRUNC(IF($E249="",IFERROR(VLOOKUP($D249,SERVIÇOS!$C:$H,4,0),IFERROR(VLOOKUP($D249,$F:$M,6,0),)),IFERROR(VLOOKUP($E249,INSUMOS!$B:$E,4,0),))*$I249,2)</f>
        <v>0</v>
      </c>
      <c r="L249" s="528">
        <f>TRUNC(IF($E249="",IFERROR(VLOOKUP($D249,SERVIÇOS!$C:$H,5,0),IFERROR(VLOOKUP($D249,$F:$M,7,0),)),0)*$I249,2)</f>
        <v>0</v>
      </c>
      <c r="M249" s="528">
        <f t="shared" si="7"/>
        <v>0</v>
      </c>
      <c r="N249" s="526"/>
    </row>
    <row r="250" spans="3:14">
      <c r="C250" s="526" t="str">
        <f t="shared" si="6"/>
        <v/>
      </c>
      <c r="D250" s="531"/>
      <c r="E250" s="531"/>
      <c r="F250" s="526"/>
      <c r="G250" s="532" t="str">
        <f>IF($E250="",IFERROR(VLOOKUP($D250,SERVIÇOS!$C:$H,2,0),IFERROR(VLOOKUP($D250,$F:$M,2,0),"")),IFERROR(VLOOKUP($E250,INSUMOS!$B:$E,2,0),""))</f>
        <v/>
      </c>
      <c r="H250" s="526" t="str">
        <f>IF($E250="",IFERROR(VLOOKUP($D250,SERVIÇOS!$C:$H,3,0),IFERROR(VLOOKUP($D250,$F:$M,3,0),"")),IFERROR(VLOOKUP($E250,INSUMOS!$B:$E,3,0),""))</f>
        <v/>
      </c>
      <c r="I250" s="527"/>
      <c r="J250" s="528" t="str">
        <f>IF($E250="",IFERROR(VLOOKUP($D250,SERVIÇOS!$C:$H,6,0),IFERROR(VLOOKUP($D250,$F:$M,8,0),"")),IFERROR(VLOOKUP($E250,INSUMOS!$B:$E,4,0),""))</f>
        <v/>
      </c>
      <c r="K250" s="528">
        <f>TRUNC(IF($E250="",IFERROR(VLOOKUP($D250,SERVIÇOS!$C:$H,4,0),IFERROR(VLOOKUP($D250,$F:$M,6,0),)),IFERROR(VLOOKUP($E250,INSUMOS!$B:$E,4,0),))*$I250,2)</f>
        <v>0</v>
      </c>
      <c r="L250" s="528">
        <f>TRUNC(IF($E250="",IFERROR(VLOOKUP($D250,SERVIÇOS!$C:$H,5,0),IFERROR(VLOOKUP($D250,$F:$M,7,0),)),0)*$I250,2)</f>
        <v>0</v>
      </c>
      <c r="M250" s="528">
        <f t="shared" si="7"/>
        <v>0</v>
      </c>
      <c r="N250" s="526"/>
    </row>
    <row r="251" spans="3:14">
      <c r="C251" s="526" t="str">
        <f t="shared" si="6"/>
        <v/>
      </c>
      <c r="D251" s="531"/>
      <c r="E251" s="531"/>
      <c r="F251" s="526"/>
      <c r="G251" s="532" t="str">
        <f>IF($E251="",IFERROR(VLOOKUP($D251,SERVIÇOS!$C:$H,2,0),IFERROR(VLOOKUP($D251,$F:$M,2,0),"")),IFERROR(VLOOKUP($E251,INSUMOS!$B:$E,2,0),""))</f>
        <v/>
      </c>
      <c r="H251" s="526" t="str">
        <f>IF($E251="",IFERROR(VLOOKUP($D251,SERVIÇOS!$C:$H,3,0),IFERROR(VLOOKUP($D251,$F:$M,3,0),"")),IFERROR(VLOOKUP($E251,INSUMOS!$B:$E,3,0),""))</f>
        <v/>
      </c>
      <c r="I251" s="527"/>
      <c r="J251" s="528" t="str">
        <f>IF($E251="",IFERROR(VLOOKUP($D251,SERVIÇOS!$C:$H,6,0),IFERROR(VLOOKUP($D251,$F:$M,8,0),"")),IFERROR(VLOOKUP($E251,INSUMOS!$B:$E,4,0),""))</f>
        <v/>
      </c>
      <c r="K251" s="528">
        <f>TRUNC(IF($E251="",IFERROR(VLOOKUP($D251,SERVIÇOS!$C:$H,4,0),IFERROR(VLOOKUP($D251,$F:$M,6,0),)),IFERROR(VLOOKUP($E251,INSUMOS!$B:$E,4,0),))*$I251,2)</f>
        <v>0</v>
      </c>
      <c r="L251" s="528">
        <f>TRUNC(IF($E251="",IFERROR(VLOOKUP($D251,SERVIÇOS!$C:$H,5,0),IFERROR(VLOOKUP($D251,$F:$M,7,0),)),0)*$I251,2)</f>
        <v>0</v>
      </c>
      <c r="M251" s="528">
        <f t="shared" si="7"/>
        <v>0</v>
      </c>
      <c r="N251" s="526"/>
    </row>
    <row r="252" spans="3:14">
      <c r="C252" s="526" t="str">
        <f t="shared" si="6"/>
        <v/>
      </c>
      <c r="D252" s="531"/>
      <c r="E252" s="531"/>
      <c r="F252" s="526"/>
      <c r="G252" s="532" t="str">
        <f>IF($E252="",IFERROR(VLOOKUP($D252,SERVIÇOS!$C:$H,2,0),IFERROR(VLOOKUP($D252,$F:$M,2,0),"")),IFERROR(VLOOKUP($E252,INSUMOS!$B:$E,2,0),""))</f>
        <v/>
      </c>
      <c r="H252" s="526" t="str">
        <f>IF($E252="",IFERROR(VLOOKUP($D252,SERVIÇOS!$C:$H,3,0),IFERROR(VLOOKUP($D252,$F:$M,3,0),"")),IFERROR(VLOOKUP($E252,INSUMOS!$B:$E,3,0),""))</f>
        <v/>
      </c>
      <c r="I252" s="527"/>
      <c r="J252" s="528" t="str">
        <f>IF($E252="",IFERROR(VLOOKUP($D252,SERVIÇOS!$C:$H,6,0),IFERROR(VLOOKUP($D252,$F:$M,8,0),"")),IFERROR(VLOOKUP($E252,INSUMOS!$B:$E,4,0),""))</f>
        <v/>
      </c>
      <c r="K252" s="528">
        <f>TRUNC(IF($E252="",IFERROR(VLOOKUP($D252,SERVIÇOS!$C:$H,4,0),IFERROR(VLOOKUP($D252,$F:$M,6,0),)),IFERROR(VLOOKUP($E252,INSUMOS!$B:$E,4,0),))*$I252,2)</f>
        <v>0</v>
      </c>
      <c r="L252" s="528">
        <f>TRUNC(IF($E252="",IFERROR(VLOOKUP($D252,SERVIÇOS!$C:$H,5,0),IFERROR(VLOOKUP($D252,$F:$M,7,0),)),0)*$I252,2)</f>
        <v>0</v>
      </c>
      <c r="M252" s="528">
        <f t="shared" si="7"/>
        <v>0</v>
      </c>
      <c r="N252" s="526"/>
    </row>
    <row r="253" spans="3:14">
      <c r="C253" s="526" t="str">
        <f t="shared" si="6"/>
        <v/>
      </c>
      <c r="D253" s="531"/>
      <c r="E253" s="531"/>
      <c r="F253" s="526"/>
      <c r="G253" s="532" t="str">
        <f>IF($E253="",IFERROR(VLOOKUP($D253,SERVIÇOS!$C:$H,2,0),IFERROR(VLOOKUP($D253,$F:$M,2,0),"")),IFERROR(VLOOKUP($E253,INSUMOS!$B:$E,2,0),""))</f>
        <v/>
      </c>
      <c r="H253" s="526" t="str">
        <f>IF($E253="",IFERROR(VLOOKUP($D253,SERVIÇOS!$C:$H,3,0),IFERROR(VLOOKUP($D253,$F:$M,3,0),"")),IFERROR(VLOOKUP($E253,INSUMOS!$B:$E,3,0),""))</f>
        <v/>
      </c>
      <c r="I253" s="527"/>
      <c r="J253" s="528" t="str">
        <f>IF($E253="",IFERROR(VLOOKUP($D253,SERVIÇOS!$C:$H,6,0),IFERROR(VLOOKUP($D253,$F:$M,8,0),"")),IFERROR(VLOOKUP($E253,INSUMOS!$B:$E,4,0),""))</f>
        <v/>
      </c>
      <c r="K253" s="528">
        <f>TRUNC(IF($E253="",IFERROR(VLOOKUP($D253,SERVIÇOS!$C:$H,4,0),IFERROR(VLOOKUP($D253,$F:$M,6,0),)),IFERROR(VLOOKUP($E253,INSUMOS!$B:$E,4,0),))*$I253,2)</f>
        <v>0</v>
      </c>
      <c r="L253" s="528">
        <f>TRUNC(IF($E253="",IFERROR(VLOOKUP($D253,SERVIÇOS!$C:$H,5,0),IFERROR(VLOOKUP($D253,$F:$M,7,0),)),0)*$I253,2)</f>
        <v>0</v>
      </c>
      <c r="M253" s="528">
        <f t="shared" si="7"/>
        <v>0</v>
      </c>
      <c r="N253" s="526"/>
    </row>
    <row r="254" spans="3:14">
      <c r="C254" s="526" t="str">
        <f t="shared" si="6"/>
        <v/>
      </c>
      <c r="D254" s="531"/>
      <c r="E254" s="531"/>
      <c r="F254" s="526"/>
      <c r="G254" s="532" t="str">
        <f>IF($E254="",IFERROR(VLOOKUP($D254,SERVIÇOS!$C:$H,2,0),IFERROR(VLOOKUP($D254,$F:$M,2,0),"")),IFERROR(VLOOKUP($E254,INSUMOS!$B:$E,2,0),""))</f>
        <v/>
      </c>
      <c r="H254" s="526" t="str">
        <f>IF($E254="",IFERROR(VLOOKUP($D254,SERVIÇOS!$C:$H,3,0),IFERROR(VLOOKUP($D254,$F:$M,3,0),"")),IFERROR(VLOOKUP($E254,INSUMOS!$B:$E,3,0),""))</f>
        <v/>
      </c>
      <c r="I254" s="527"/>
      <c r="J254" s="528" t="str">
        <f>IF($E254="",IFERROR(VLOOKUP($D254,SERVIÇOS!$C:$H,6,0),IFERROR(VLOOKUP($D254,$F:$M,8,0),"")),IFERROR(VLOOKUP($E254,INSUMOS!$B:$E,4,0),""))</f>
        <v/>
      </c>
      <c r="K254" s="528">
        <f>TRUNC(IF($E254="",IFERROR(VLOOKUP($D254,SERVIÇOS!$C:$H,4,0),IFERROR(VLOOKUP($D254,$F:$M,6,0),)),IFERROR(VLOOKUP($E254,INSUMOS!$B:$E,4,0),))*$I254,2)</f>
        <v>0</v>
      </c>
      <c r="L254" s="528">
        <f>TRUNC(IF($E254="",IFERROR(VLOOKUP($D254,SERVIÇOS!$C:$H,5,0),IFERROR(VLOOKUP($D254,$F:$M,7,0),)),0)*$I254,2)</f>
        <v>0</v>
      </c>
      <c r="M254" s="528">
        <f t="shared" si="7"/>
        <v>0</v>
      </c>
      <c r="N254" s="526"/>
    </row>
    <row r="255" spans="3:14">
      <c r="C255" s="526" t="str">
        <f t="shared" si="6"/>
        <v/>
      </c>
      <c r="D255" s="531"/>
      <c r="E255" s="531"/>
      <c r="F255" s="526"/>
      <c r="G255" s="532" t="str">
        <f>IF($E255="",IFERROR(VLOOKUP($D255,SERVIÇOS!$C:$H,2,0),IFERROR(VLOOKUP($D255,$F:$M,2,0),"")),IFERROR(VLOOKUP($E255,INSUMOS!$B:$E,2,0),""))</f>
        <v/>
      </c>
      <c r="H255" s="526" t="str">
        <f>IF($E255="",IFERROR(VLOOKUP($D255,SERVIÇOS!$C:$H,3,0),IFERROR(VLOOKUP($D255,$F:$M,3,0),"")),IFERROR(VLOOKUP($E255,INSUMOS!$B:$E,3,0),""))</f>
        <v/>
      </c>
      <c r="I255" s="527"/>
      <c r="J255" s="528" t="str">
        <f>IF($E255="",IFERROR(VLOOKUP($D255,SERVIÇOS!$C:$H,6,0),IFERROR(VLOOKUP($D255,$F:$M,8,0),"")),IFERROR(VLOOKUP($E255,INSUMOS!$B:$E,4,0),""))</f>
        <v/>
      </c>
      <c r="K255" s="528">
        <f>TRUNC(IF($E255="",IFERROR(VLOOKUP($D255,SERVIÇOS!$C:$H,4,0),IFERROR(VLOOKUP($D255,$F:$M,6,0),)),IFERROR(VLOOKUP($E255,INSUMOS!$B:$E,4,0),))*$I255,2)</f>
        <v>0</v>
      </c>
      <c r="L255" s="528">
        <f>TRUNC(IF($E255="",IFERROR(VLOOKUP($D255,SERVIÇOS!$C:$H,5,0),IFERROR(VLOOKUP($D255,$F:$M,7,0),)),0)*$I255,2)</f>
        <v>0</v>
      </c>
      <c r="M255" s="528">
        <f t="shared" si="7"/>
        <v>0</v>
      </c>
      <c r="N255" s="526"/>
    </row>
    <row r="256" spans="3:14">
      <c r="C256" s="526" t="str">
        <f t="shared" si="6"/>
        <v/>
      </c>
      <c r="D256" s="531"/>
      <c r="E256" s="531"/>
      <c r="F256" s="526"/>
      <c r="G256" s="532" t="str">
        <f>IF($E256="",IFERROR(VLOOKUP($D256,SERVIÇOS!$C:$H,2,0),IFERROR(VLOOKUP($D256,$F:$M,2,0),"")),IFERROR(VLOOKUP($E256,INSUMOS!$B:$E,2,0),""))</f>
        <v/>
      </c>
      <c r="H256" s="526" t="str">
        <f>IF($E256="",IFERROR(VLOOKUP($D256,SERVIÇOS!$C:$H,3,0),IFERROR(VLOOKUP($D256,$F:$M,3,0),"")),IFERROR(VLOOKUP($E256,INSUMOS!$B:$E,3,0),""))</f>
        <v/>
      </c>
      <c r="I256" s="527"/>
      <c r="J256" s="528" t="str">
        <f>IF($E256="",IFERROR(VLOOKUP($D256,SERVIÇOS!$C:$H,6,0),IFERROR(VLOOKUP($D256,$F:$M,8,0),"")),IFERROR(VLOOKUP($E256,INSUMOS!$B:$E,4,0),""))</f>
        <v/>
      </c>
      <c r="K256" s="528">
        <f>TRUNC(IF($E256="",IFERROR(VLOOKUP($D256,SERVIÇOS!$C:$H,4,0),IFERROR(VLOOKUP($D256,$F:$M,6,0),)),IFERROR(VLOOKUP($E256,INSUMOS!$B:$E,4,0),))*$I256,2)</f>
        <v>0</v>
      </c>
      <c r="L256" s="528">
        <f>TRUNC(IF($E256="",IFERROR(VLOOKUP($D256,SERVIÇOS!$C:$H,5,0),IFERROR(VLOOKUP($D256,$F:$M,7,0),)),0)*$I256,2)</f>
        <v>0</v>
      </c>
      <c r="M256" s="528">
        <f t="shared" si="7"/>
        <v>0</v>
      </c>
      <c r="N256" s="526"/>
    </row>
    <row r="257" spans="3:14">
      <c r="C257" s="526" t="str">
        <f t="shared" si="6"/>
        <v/>
      </c>
      <c r="D257" s="531"/>
      <c r="E257" s="531"/>
      <c r="F257" s="526"/>
      <c r="G257" s="532" t="str">
        <f>IF($E257="",IFERROR(VLOOKUP($D257,SERVIÇOS!$C:$H,2,0),IFERROR(VLOOKUP($D257,$F:$M,2,0),"")),IFERROR(VLOOKUP($E257,INSUMOS!$B:$E,2,0),""))</f>
        <v/>
      </c>
      <c r="H257" s="526" t="str">
        <f>IF($E257="",IFERROR(VLOOKUP($D257,SERVIÇOS!$C:$H,3,0),IFERROR(VLOOKUP($D257,$F:$M,3,0),"")),IFERROR(VLOOKUP($E257,INSUMOS!$B:$E,3,0),""))</f>
        <v/>
      </c>
      <c r="I257" s="527"/>
      <c r="J257" s="528" t="str">
        <f>IF($E257="",IFERROR(VLOOKUP($D257,SERVIÇOS!$C:$H,6,0),IFERROR(VLOOKUP($D257,$F:$M,8,0),"")),IFERROR(VLOOKUP($E257,INSUMOS!$B:$E,4,0),""))</f>
        <v/>
      </c>
      <c r="K257" s="528">
        <f>TRUNC(IF($E257="",IFERROR(VLOOKUP($D257,SERVIÇOS!$C:$H,4,0),IFERROR(VLOOKUP($D257,$F:$M,6,0),)),IFERROR(VLOOKUP($E257,INSUMOS!$B:$E,4,0),))*$I257,2)</f>
        <v>0</v>
      </c>
      <c r="L257" s="528">
        <f>TRUNC(IF($E257="",IFERROR(VLOOKUP($D257,SERVIÇOS!$C:$H,5,0),IFERROR(VLOOKUP($D257,$F:$M,7,0),)),0)*$I257,2)</f>
        <v>0</v>
      </c>
      <c r="M257" s="528">
        <f t="shared" si="7"/>
        <v>0</v>
      </c>
      <c r="N257" s="526"/>
    </row>
    <row r="258" spans="3:14">
      <c r="C258" s="526" t="str">
        <f t="shared" si="6"/>
        <v/>
      </c>
      <c r="D258" s="531"/>
      <c r="E258" s="531"/>
      <c r="F258" s="526"/>
      <c r="G258" s="532" t="str">
        <f>IF($E258="",IFERROR(VLOOKUP($D258,SERVIÇOS!$C:$H,2,0),IFERROR(VLOOKUP($D258,$F:$M,2,0),"")),IFERROR(VLOOKUP($E258,INSUMOS!$B:$E,2,0),""))</f>
        <v/>
      </c>
      <c r="H258" s="526" t="str">
        <f>IF($E258="",IFERROR(VLOOKUP($D258,SERVIÇOS!$C:$H,3,0),IFERROR(VLOOKUP($D258,$F:$M,3,0),"")),IFERROR(VLOOKUP($E258,INSUMOS!$B:$E,3,0),""))</f>
        <v/>
      </c>
      <c r="I258" s="527"/>
      <c r="J258" s="528" t="str">
        <f>IF($E258="",IFERROR(VLOOKUP($D258,SERVIÇOS!$C:$H,6,0),IFERROR(VLOOKUP($D258,$F:$M,8,0),"")),IFERROR(VLOOKUP($E258,INSUMOS!$B:$E,4,0),""))</f>
        <v/>
      </c>
      <c r="K258" s="528">
        <f>TRUNC(IF($E258="",IFERROR(VLOOKUP($D258,SERVIÇOS!$C:$H,4,0),IFERROR(VLOOKUP($D258,$F:$M,6,0),)),IFERROR(VLOOKUP($E258,INSUMOS!$B:$E,4,0),))*$I258,2)</f>
        <v>0</v>
      </c>
      <c r="L258" s="528">
        <f>TRUNC(IF($E258="",IFERROR(VLOOKUP($D258,SERVIÇOS!$C:$H,5,0),IFERROR(VLOOKUP($D258,$F:$M,7,0),)),0)*$I258,2)</f>
        <v>0</v>
      </c>
      <c r="M258" s="528">
        <f t="shared" si="7"/>
        <v>0</v>
      </c>
      <c r="N258" s="526"/>
    </row>
    <row r="259" spans="3:14">
      <c r="C259" s="526" t="str">
        <f t="shared" si="6"/>
        <v/>
      </c>
      <c r="D259" s="531"/>
      <c r="E259" s="531"/>
      <c r="F259" s="526"/>
      <c r="G259" s="532" t="str">
        <f>IF($E259="",IFERROR(VLOOKUP($D259,SERVIÇOS!$C:$H,2,0),IFERROR(VLOOKUP($D259,$F:$M,2,0),"")),IFERROR(VLOOKUP($E259,INSUMOS!$B:$E,2,0),""))</f>
        <v/>
      </c>
      <c r="H259" s="526" t="str">
        <f>IF($E259="",IFERROR(VLOOKUP($D259,SERVIÇOS!$C:$H,3,0),IFERROR(VLOOKUP($D259,$F:$M,3,0),"")),IFERROR(VLOOKUP($E259,INSUMOS!$B:$E,3,0),""))</f>
        <v/>
      </c>
      <c r="I259" s="527"/>
      <c r="J259" s="528" t="str">
        <f>IF($E259="",IFERROR(VLOOKUP($D259,SERVIÇOS!$C:$H,6,0),IFERROR(VLOOKUP($D259,$F:$M,8,0),"")),IFERROR(VLOOKUP($E259,INSUMOS!$B:$E,4,0),""))</f>
        <v/>
      </c>
      <c r="K259" s="528">
        <f>TRUNC(IF($E259="",IFERROR(VLOOKUP($D259,SERVIÇOS!$C:$H,4,0),IFERROR(VLOOKUP($D259,$F:$M,6,0),)),IFERROR(VLOOKUP($E259,INSUMOS!$B:$E,4,0),))*$I259,2)</f>
        <v>0</v>
      </c>
      <c r="L259" s="528">
        <f>TRUNC(IF($E259="",IFERROR(VLOOKUP($D259,SERVIÇOS!$C:$H,5,0),IFERROR(VLOOKUP($D259,$F:$M,7,0),)),0)*$I259,2)</f>
        <v>0</v>
      </c>
      <c r="M259" s="528">
        <f t="shared" si="7"/>
        <v>0</v>
      </c>
      <c r="N259" s="526"/>
    </row>
    <row r="260" spans="3:14">
      <c r="C260" s="526" t="str">
        <f t="shared" si="6"/>
        <v/>
      </c>
      <c r="D260" s="531"/>
      <c r="E260" s="531"/>
      <c r="F260" s="526"/>
      <c r="G260" s="532" t="str">
        <f>IF($E260="",IFERROR(VLOOKUP($D260,SERVIÇOS!$C:$H,2,0),IFERROR(VLOOKUP($D260,$F:$M,2,0),"")),IFERROR(VLOOKUP($E260,INSUMOS!$B:$E,2,0),""))</f>
        <v/>
      </c>
      <c r="H260" s="526" t="str">
        <f>IF($E260="",IFERROR(VLOOKUP($D260,SERVIÇOS!$C:$H,3,0),IFERROR(VLOOKUP($D260,$F:$M,3,0),"")),IFERROR(VLOOKUP($E260,INSUMOS!$B:$E,3,0),""))</f>
        <v/>
      </c>
      <c r="I260" s="527"/>
      <c r="J260" s="528" t="str">
        <f>IF($E260="",IFERROR(VLOOKUP($D260,SERVIÇOS!$C:$H,6,0),IFERROR(VLOOKUP($D260,$F:$M,8,0),"")),IFERROR(VLOOKUP($E260,INSUMOS!$B:$E,4,0),""))</f>
        <v/>
      </c>
      <c r="K260" s="528">
        <f>TRUNC(IF($E260="",IFERROR(VLOOKUP($D260,SERVIÇOS!$C:$H,4,0),IFERROR(VLOOKUP($D260,$F:$M,6,0),)),IFERROR(VLOOKUP($E260,INSUMOS!$B:$E,4,0),))*$I260,2)</f>
        <v>0</v>
      </c>
      <c r="L260" s="528">
        <f>TRUNC(IF($E260="",IFERROR(VLOOKUP($D260,SERVIÇOS!$C:$H,5,0),IFERROR(VLOOKUP($D260,$F:$M,7,0),)),0)*$I260,2)</f>
        <v>0</v>
      </c>
      <c r="M260" s="528">
        <f t="shared" si="7"/>
        <v>0</v>
      </c>
      <c r="N260" s="526"/>
    </row>
    <row r="261" spans="3:14">
      <c r="C261" s="526" t="str">
        <f t="shared" si="6"/>
        <v/>
      </c>
      <c r="D261" s="531"/>
      <c r="E261" s="531"/>
      <c r="F261" s="526"/>
      <c r="G261" s="532" t="str">
        <f>IF($E261="",IFERROR(VLOOKUP($D261,SERVIÇOS!$C:$H,2,0),IFERROR(VLOOKUP($D261,$F:$M,2,0),"")),IFERROR(VLOOKUP($E261,INSUMOS!$B:$E,2,0),""))</f>
        <v/>
      </c>
      <c r="H261" s="526" t="str">
        <f>IF($E261="",IFERROR(VLOOKUP($D261,SERVIÇOS!$C:$H,3,0),IFERROR(VLOOKUP($D261,$F:$M,3,0),"")),IFERROR(VLOOKUP($E261,INSUMOS!$B:$E,3,0),""))</f>
        <v/>
      </c>
      <c r="I261" s="527"/>
      <c r="J261" s="528" t="str">
        <f>IF($E261="",IFERROR(VLOOKUP($D261,SERVIÇOS!$C:$H,6,0),IFERROR(VLOOKUP($D261,$F:$M,8,0),"")),IFERROR(VLOOKUP($E261,INSUMOS!$B:$E,4,0),""))</f>
        <v/>
      </c>
      <c r="K261" s="528">
        <f>TRUNC(IF($E261="",IFERROR(VLOOKUP($D261,SERVIÇOS!$C:$H,4,0),IFERROR(VLOOKUP($D261,$F:$M,6,0),)),IFERROR(VLOOKUP($E261,INSUMOS!$B:$E,4,0),))*$I261,2)</f>
        <v>0</v>
      </c>
      <c r="L261" s="528">
        <f>TRUNC(IF($E261="",IFERROR(VLOOKUP($D261,SERVIÇOS!$C:$H,5,0),IFERROR(VLOOKUP($D261,$F:$M,7,0),)),0)*$I261,2)</f>
        <v>0</v>
      </c>
      <c r="M261" s="528">
        <f t="shared" si="7"/>
        <v>0</v>
      </c>
      <c r="N261" s="526"/>
    </row>
    <row r="262" spans="3:14">
      <c r="C262" s="526" t="str">
        <f t="shared" si="6"/>
        <v/>
      </c>
      <c r="D262" s="531"/>
      <c r="E262" s="531"/>
      <c r="F262" s="526"/>
      <c r="G262" s="532" t="str">
        <f>IF($E262="",IFERROR(VLOOKUP($D262,SERVIÇOS!$C:$H,2,0),IFERROR(VLOOKUP($D262,$F:$M,2,0),"")),IFERROR(VLOOKUP($E262,INSUMOS!$B:$E,2,0),""))</f>
        <v/>
      </c>
      <c r="H262" s="526" t="str">
        <f>IF($E262="",IFERROR(VLOOKUP($D262,SERVIÇOS!$C:$H,3,0),IFERROR(VLOOKUP($D262,$F:$M,3,0),"")),IFERROR(VLOOKUP($E262,INSUMOS!$B:$E,3,0),""))</f>
        <v/>
      </c>
      <c r="I262" s="527"/>
      <c r="J262" s="528" t="str">
        <f>IF($E262="",IFERROR(VLOOKUP($D262,SERVIÇOS!$C:$H,6,0),IFERROR(VLOOKUP($D262,$F:$M,8,0),"")),IFERROR(VLOOKUP($E262,INSUMOS!$B:$E,4,0),""))</f>
        <v/>
      </c>
      <c r="K262" s="528">
        <f>TRUNC(IF($E262="",IFERROR(VLOOKUP($D262,SERVIÇOS!$C:$H,4,0),IFERROR(VLOOKUP($D262,$F:$M,6,0),)),IFERROR(VLOOKUP($E262,INSUMOS!$B:$E,4,0),))*$I262,2)</f>
        <v>0</v>
      </c>
      <c r="L262" s="528">
        <f>TRUNC(IF($E262="",IFERROR(VLOOKUP($D262,SERVIÇOS!$C:$H,5,0),IFERROR(VLOOKUP($D262,$F:$M,7,0),)),0)*$I262,2)</f>
        <v>0</v>
      </c>
      <c r="M262" s="528">
        <f t="shared" si="7"/>
        <v>0</v>
      </c>
      <c r="N262" s="526"/>
    </row>
    <row r="263" spans="3:14">
      <c r="C263" s="526" t="str">
        <f t="shared" si="6"/>
        <v/>
      </c>
      <c r="D263" s="531"/>
      <c r="E263" s="531"/>
      <c r="F263" s="526"/>
      <c r="G263" s="532" t="str">
        <f>IF($E263="",IFERROR(VLOOKUP($D263,SERVIÇOS!$C:$H,2,0),IFERROR(VLOOKUP($D263,$F:$M,2,0),"")),IFERROR(VLOOKUP($E263,INSUMOS!$B:$E,2,0),""))</f>
        <v/>
      </c>
      <c r="H263" s="526" t="str">
        <f>IF($E263="",IFERROR(VLOOKUP($D263,SERVIÇOS!$C:$H,3,0),IFERROR(VLOOKUP($D263,$F:$M,3,0),"")),IFERROR(VLOOKUP($E263,INSUMOS!$B:$E,3,0),""))</f>
        <v/>
      </c>
      <c r="I263" s="527"/>
      <c r="J263" s="528" t="str">
        <f>IF($E263="",IFERROR(VLOOKUP($D263,SERVIÇOS!$C:$H,6,0),IFERROR(VLOOKUP($D263,$F:$M,8,0),"")),IFERROR(VLOOKUP($E263,INSUMOS!$B:$E,4,0),""))</f>
        <v/>
      </c>
      <c r="K263" s="528">
        <f>TRUNC(IF($E263="",IFERROR(VLOOKUP($D263,SERVIÇOS!$C:$H,4,0),IFERROR(VLOOKUP($D263,$F:$M,6,0),)),IFERROR(VLOOKUP($E263,INSUMOS!$B:$E,4,0),))*$I263,2)</f>
        <v>0</v>
      </c>
      <c r="L263" s="528">
        <f>TRUNC(IF($E263="",IFERROR(VLOOKUP($D263,SERVIÇOS!$C:$H,5,0),IFERROR(VLOOKUP($D263,$F:$M,7,0),)),0)*$I263,2)</f>
        <v>0</v>
      </c>
      <c r="M263" s="528">
        <f t="shared" si="7"/>
        <v>0</v>
      </c>
      <c r="N263" s="526"/>
    </row>
    <row r="264" spans="3:14">
      <c r="C264" s="526" t="str">
        <f t="shared" si="6"/>
        <v/>
      </c>
      <c r="D264" s="531"/>
      <c r="E264" s="531"/>
      <c r="F264" s="526"/>
      <c r="G264" s="532" t="str">
        <f>IF($E264="",IFERROR(VLOOKUP($D264,SERVIÇOS!$C:$H,2,0),IFERROR(VLOOKUP($D264,$F:$M,2,0),"")),IFERROR(VLOOKUP($E264,INSUMOS!$B:$E,2,0),""))</f>
        <v/>
      </c>
      <c r="H264" s="526" t="str">
        <f>IF($E264="",IFERROR(VLOOKUP($D264,SERVIÇOS!$C:$H,3,0),IFERROR(VLOOKUP($D264,$F:$M,3,0),"")),IFERROR(VLOOKUP($E264,INSUMOS!$B:$E,3,0),""))</f>
        <v/>
      </c>
      <c r="I264" s="527"/>
      <c r="J264" s="528" t="str">
        <f>IF($E264="",IFERROR(VLOOKUP($D264,SERVIÇOS!$C:$H,6,0),IFERROR(VLOOKUP($D264,$F:$M,8,0),"")),IFERROR(VLOOKUP($E264,INSUMOS!$B:$E,4,0),""))</f>
        <v/>
      </c>
      <c r="K264" s="528">
        <f>TRUNC(IF($E264="",IFERROR(VLOOKUP($D264,SERVIÇOS!$C:$H,4,0),IFERROR(VLOOKUP($D264,$F:$M,6,0),)),IFERROR(VLOOKUP($E264,INSUMOS!$B:$E,4,0),))*$I264,2)</f>
        <v>0</v>
      </c>
      <c r="L264" s="528">
        <f>TRUNC(IF($E264="",IFERROR(VLOOKUP($D264,SERVIÇOS!$C:$H,5,0),IFERROR(VLOOKUP($D264,$F:$M,7,0),)),0)*$I264,2)</f>
        <v>0</v>
      </c>
      <c r="M264" s="528">
        <f t="shared" si="7"/>
        <v>0</v>
      </c>
      <c r="N264" s="526"/>
    </row>
    <row r="265" spans="3:14">
      <c r="C265" s="526" t="str">
        <f t="shared" si="6"/>
        <v/>
      </c>
      <c r="D265" s="531"/>
      <c r="E265" s="531"/>
      <c r="F265" s="526"/>
      <c r="G265" s="532" t="str">
        <f>IF($E265="",IFERROR(VLOOKUP($D265,SERVIÇOS!$C:$H,2,0),IFERROR(VLOOKUP($D265,$F:$M,2,0),"")),IFERROR(VLOOKUP($E265,INSUMOS!$B:$E,2,0),""))</f>
        <v/>
      </c>
      <c r="H265" s="526" t="str">
        <f>IF($E265="",IFERROR(VLOOKUP($D265,SERVIÇOS!$C:$H,3,0),IFERROR(VLOOKUP($D265,$F:$M,3,0),"")),IFERROR(VLOOKUP($E265,INSUMOS!$B:$E,3,0),""))</f>
        <v/>
      </c>
      <c r="I265" s="527"/>
      <c r="J265" s="528" t="str">
        <f>IF($E265="",IFERROR(VLOOKUP($D265,SERVIÇOS!$C:$H,6,0),IFERROR(VLOOKUP($D265,$F:$M,8,0),"")),IFERROR(VLOOKUP($E265,INSUMOS!$B:$E,4,0),""))</f>
        <v/>
      </c>
      <c r="K265" s="528">
        <f>TRUNC(IF($E265="",IFERROR(VLOOKUP($D265,SERVIÇOS!$C:$H,4,0),IFERROR(VLOOKUP($D265,$F:$M,6,0),)),IFERROR(VLOOKUP($E265,INSUMOS!$B:$E,4,0),))*$I265,2)</f>
        <v>0</v>
      </c>
      <c r="L265" s="528">
        <f>TRUNC(IF($E265="",IFERROR(VLOOKUP($D265,SERVIÇOS!$C:$H,5,0),IFERROR(VLOOKUP($D265,$F:$M,7,0),)),0)*$I265,2)</f>
        <v>0</v>
      </c>
      <c r="M265" s="528">
        <f t="shared" si="7"/>
        <v>0</v>
      </c>
      <c r="N265" s="526"/>
    </row>
    <row r="266" spans="3:14">
      <c r="C266" s="526" t="str">
        <f t="shared" si="6"/>
        <v/>
      </c>
      <c r="D266" s="531"/>
      <c r="E266" s="531"/>
      <c r="F266" s="526"/>
      <c r="G266" s="532" t="str">
        <f>IF($E266="",IFERROR(VLOOKUP($D266,SERVIÇOS!$C:$H,2,0),IFERROR(VLOOKUP($D266,$F:$M,2,0),"")),IFERROR(VLOOKUP($E266,INSUMOS!$B:$E,2,0),""))</f>
        <v/>
      </c>
      <c r="H266" s="526" t="str">
        <f>IF($E266="",IFERROR(VLOOKUP($D266,SERVIÇOS!$C:$H,3,0),IFERROR(VLOOKUP($D266,$F:$M,3,0),"")),IFERROR(VLOOKUP($E266,INSUMOS!$B:$E,3,0),""))</f>
        <v/>
      </c>
      <c r="I266" s="527"/>
      <c r="J266" s="528" t="str">
        <f>IF($E266="",IFERROR(VLOOKUP($D266,SERVIÇOS!$C:$H,6,0),IFERROR(VLOOKUP($D266,$F:$M,8,0),"")),IFERROR(VLOOKUP($E266,INSUMOS!$B:$E,4,0),""))</f>
        <v/>
      </c>
      <c r="K266" s="528">
        <f>TRUNC(IF($E266="",IFERROR(VLOOKUP($D266,SERVIÇOS!$C:$H,4,0),IFERROR(VLOOKUP($D266,$F:$M,6,0),)),IFERROR(VLOOKUP($E266,INSUMOS!$B:$E,4,0),))*$I266,2)</f>
        <v>0</v>
      </c>
      <c r="L266" s="528">
        <f>TRUNC(IF($E266="",IFERROR(VLOOKUP($D266,SERVIÇOS!$C:$H,5,0),IFERROR(VLOOKUP($D266,$F:$M,7,0),)),0)*$I266,2)</f>
        <v>0</v>
      </c>
      <c r="M266" s="528">
        <f t="shared" si="7"/>
        <v>0</v>
      </c>
      <c r="N266" s="526"/>
    </row>
    <row r="267" spans="3:14">
      <c r="C267" s="526" t="str">
        <f t="shared" si="6"/>
        <v/>
      </c>
      <c r="D267" s="531"/>
      <c r="E267" s="531"/>
      <c r="F267" s="526"/>
      <c r="G267" s="532" t="str">
        <f>IF($E267="",IFERROR(VLOOKUP($D267,SERVIÇOS!$C:$H,2,0),IFERROR(VLOOKUP($D267,$F:$M,2,0),"")),IFERROR(VLOOKUP($E267,INSUMOS!$B:$E,2,0),""))</f>
        <v/>
      </c>
      <c r="H267" s="526" t="str">
        <f>IF($E267="",IFERROR(VLOOKUP($D267,SERVIÇOS!$C:$H,3,0),IFERROR(VLOOKUP($D267,$F:$M,3,0),"")),IFERROR(VLOOKUP($E267,INSUMOS!$B:$E,3,0),""))</f>
        <v/>
      </c>
      <c r="I267" s="527"/>
      <c r="J267" s="528" t="str">
        <f>IF($E267="",IFERROR(VLOOKUP($D267,SERVIÇOS!$C:$H,6,0),IFERROR(VLOOKUP($D267,$F:$M,8,0),"")),IFERROR(VLOOKUP($E267,INSUMOS!$B:$E,4,0),""))</f>
        <v/>
      </c>
      <c r="K267" s="528">
        <f>TRUNC(IF($E267="",IFERROR(VLOOKUP($D267,SERVIÇOS!$C:$H,4,0),IFERROR(VLOOKUP($D267,$F:$M,6,0),)),IFERROR(VLOOKUP($E267,INSUMOS!$B:$E,4,0),))*$I267,2)</f>
        <v>0</v>
      </c>
      <c r="L267" s="528">
        <f>TRUNC(IF($E267="",IFERROR(VLOOKUP($D267,SERVIÇOS!$C:$H,5,0),IFERROR(VLOOKUP($D267,$F:$M,7,0),)),0)*$I267,2)</f>
        <v>0</v>
      </c>
      <c r="M267" s="528">
        <f t="shared" si="7"/>
        <v>0</v>
      </c>
      <c r="N267" s="526"/>
    </row>
    <row r="268" spans="3:14">
      <c r="C268" s="526" t="str">
        <f t="shared" si="6"/>
        <v/>
      </c>
      <c r="D268" s="531"/>
      <c r="E268" s="531"/>
      <c r="F268" s="526"/>
      <c r="G268" s="532" t="str">
        <f>IF($E268="",IFERROR(VLOOKUP($D268,SERVIÇOS!$C:$H,2,0),IFERROR(VLOOKUP($D268,$F:$M,2,0),"")),IFERROR(VLOOKUP($E268,INSUMOS!$B:$E,2,0),""))</f>
        <v/>
      </c>
      <c r="H268" s="526" t="str">
        <f>IF($E268="",IFERROR(VLOOKUP($D268,SERVIÇOS!$C:$H,3,0),IFERROR(VLOOKUP($D268,$F:$M,3,0),"")),IFERROR(VLOOKUP($E268,INSUMOS!$B:$E,3,0),""))</f>
        <v/>
      </c>
      <c r="I268" s="527"/>
      <c r="J268" s="528" t="str">
        <f>IF($E268="",IFERROR(VLOOKUP($D268,SERVIÇOS!$C:$H,6,0),IFERROR(VLOOKUP($D268,$F:$M,8,0),"")),IFERROR(VLOOKUP($E268,INSUMOS!$B:$E,4,0),""))</f>
        <v/>
      </c>
      <c r="K268" s="528">
        <f>TRUNC(IF($E268="",IFERROR(VLOOKUP($D268,SERVIÇOS!$C:$H,4,0),IFERROR(VLOOKUP($D268,$F:$M,6,0),)),IFERROR(VLOOKUP($E268,INSUMOS!$B:$E,4,0),))*$I268,2)</f>
        <v>0</v>
      </c>
      <c r="L268" s="528">
        <f>TRUNC(IF($E268="",IFERROR(VLOOKUP($D268,SERVIÇOS!$C:$H,5,0),IFERROR(VLOOKUP($D268,$F:$M,7,0),)),0)*$I268,2)</f>
        <v>0</v>
      </c>
      <c r="M268" s="528">
        <f t="shared" si="7"/>
        <v>0</v>
      </c>
      <c r="N268" s="526"/>
    </row>
    <row r="269" spans="3:14">
      <c r="C269" s="526" t="str">
        <f t="shared" ref="C269:C332" si="8">IF(D269&lt;&gt;"","C",IF(E269&lt;&gt;"","I",""))</f>
        <v/>
      </c>
      <c r="D269" s="531"/>
      <c r="E269" s="531"/>
      <c r="F269" s="526"/>
      <c r="G269" s="532" t="str">
        <f>IF($E269="",IFERROR(VLOOKUP($D269,SERVIÇOS!$C:$H,2,0),IFERROR(VLOOKUP($D269,$F:$M,2,0),"")),IFERROR(VLOOKUP($E269,INSUMOS!$B:$E,2,0),""))</f>
        <v/>
      </c>
      <c r="H269" s="526" t="str">
        <f>IF($E269="",IFERROR(VLOOKUP($D269,SERVIÇOS!$C:$H,3,0),IFERROR(VLOOKUP($D269,$F:$M,3,0),"")),IFERROR(VLOOKUP($E269,INSUMOS!$B:$E,3,0),""))</f>
        <v/>
      </c>
      <c r="I269" s="527"/>
      <c r="J269" s="528" t="str">
        <f>IF($E269="",IFERROR(VLOOKUP($D269,SERVIÇOS!$C:$H,6,0),IFERROR(VLOOKUP($D269,$F:$M,8,0),"")),IFERROR(VLOOKUP($E269,INSUMOS!$B:$E,4,0),""))</f>
        <v/>
      </c>
      <c r="K269" s="528">
        <f>TRUNC(IF($E269="",IFERROR(VLOOKUP($D269,SERVIÇOS!$C:$H,4,0),IFERROR(VLOOKUP($D269,$F:$M,6,0),)),IFERROR(VLOOKUP($E269,INSUMOS!$B:$E,4,0),))*$I269,2)</f>
        <v>0</v>
      </c>
      <c r="L269" s="528">
        <f>TRUNC(IF($E269="",IFERROR(VLOOKUP($D269,SERVIÇOS!$C:$H,5,0),IFERROR(VLOOKUP($D269,$F:$M,7,0),)),0)*$I269,2)</f>
        <v>0</v>
      </c>
      <c r="M269" s="528">
        <f t="shared" si="7"/>
        <v>0</v>
      </c>
      <c r="N269" s="526"/>
    </row>
    <row r="270" spans="3:14">
      <c r="C270" s="526" t="str">
        <f t="shared" si="8"/>
        <v/>
      </c>
      <c r="D270" s="531"/>
      <c r="E270" s="531"/>
      <c r="F270" s="526"/>
      <c r="G270" s="532" t="str">
        <f>IF($E270="",IFERROR(VLOOKUP($D270,SERVIÇOS!$C:$H,2,0),IFERROR(VLOOKUP($D270,$F:$M,2,0),"")),IFERROR(VLOOKUP($E270,INSUMOS!$B:$E,2,0),""))</f>
        <v/>
      </c>
      <c r="H270" s="526" t="str">
        <f>IF($E270="",IFERROR(VLOOKUP($D270,SERVIÇOS!$C:$H,3,0),IFERROR(VLOOKUP($D270,$F:$M,3,0),"")),IFERROR(VLOOKUP($E270,INSUMOS!$B:$E,3,0),""))</f>
        <v/>
      </c>
      <c r="I270" s="527"/>
      <c r="J270" s="528" t="str">
        <f>IF($E270="",IFERROR(VLOOKUP($D270,SERVIÇOS!$C:$H,6,0),IFERROR(VLOOKUP($D270,$F:$M,8,0),"")),IFERROR(VLOOKUP($E270,INSUMOS!$B:$E,4,0),""))</f>
        <v/>
      </c>
      <c r="K270" s="528">
        <f>TRUNC(IF($E270="",IFERROR(VLOOKUP($D270,SERVIÇOS!$C:$H,4,0),IFERROR(VLOOKUP($D270,$F:$M,6,0),)),IFERROR(VLOOKUP($E270,INSUMOS!$B:$E,4,0),))*$I270,2)</f>
        <v>0</v>
      </c>
      <c r="L270" s="528">
        <f>TRUNC(IF($E270="",IFERROR(VLOOKUP($D270,SERVIÇOS!$C:$H,5,0),IFERROR(VLOOKUP($D270,$F:$M,7,0),)),0)*$I270,2)</f>
        <v>0</v>
      </c>
      <c r="M270" s="528">
        <f t="shared" ref="M270:M333" si="9">K270+L270</f>
        <v>0</v>
      </c>
      <c r="N270" s="526"/>
    </row>
    <row r="271" spans="3:14">
      <c r="C271" s="526" t="str">
        <f t="shared" si="8"/>
        <v/>
      </c>
      <c r="D271" s="531"/>
      <c r="E271" s="531"/>
      <c r="F271" s="526"/>
      <c r="G271" s="532" t="str">
        <f>IF($E271="",IFERROR(VLOOKUP($D271,SERVIÇOS!$C:$H,2,0),IFERROR(VLOOKUP($D271,$F:$M,2,0),"")),IFERROR(VLOOKUP($E271,INSUMOS!$B:$E,2,0),""))</f>
        <v/>
      </c>
      <c r="H271" s="526" t="str">
        <f>IF($E271="",IFERROR(VLOOKUP($D271,SERVIÇOS!$C:$H,3,0),IFERROR(VLOOKUP($D271,$F:$M,3,0),"")),IFERROR(VLOOKUP($E271,INSUMOS!$B:$E,3,0),""))</f>
        <v/>
      </c>
      <c r="I271" s="527"/>
      <c r="J271" s="528" t="str">
        <f>IF($E271="",IFERROR(VLOOKUP($D271,SERVIÇOS!$C:$H,6,0),IFERROR(VLOOKUP($D271,$F:$M,8,0),"")),IFERROR(VLOOKUP($E271,INSUMOS!$B:$E,4,0),""))</f>
        <v/>
      </c>
      <c r="K271" s="528">
        <f>TRUNC(IF($E271="",IFERROR(VLOOKUP($D271,SERVIÇOS!$C:$H,4,0),IFERROR(VLOOKUP($D271,$F:$M,6,0),)),IFERROR(VLOOKUP($E271,INSUMOS!$B:$E,4,0),))*$I271,2)</f>
        <v>0</v>
      </c>
      <c r="L271" s="528">
        <f>TRUNC(IF($E271="",IFERROR(VLOOKUP($D271,SERVIÇOS!$C:$H,5,0),IFERROR(VLOOKUP($D271,$F:$M,7,0),)),0)*$I271,2)</f>
        <v>0</v>
      </c>
      <c r="M271" s="528">
        <f t="shared" si="9"/>
        <v>0</v>
      </c>
      <c r="N271" s="526"/>
    </row>
    <row r="272" spans="3:14">
      <c r="C272" s="526" t="str">
        <f t="shared" si="8"/>
        <v/>
      </c>
      <c r="D272" s="531"/>
      <c r="E272" s="531"/>
      <c r="F272" s="526"/>
      <c r="G272" s="532" t="str">
        <f>IF($E272="",IFERROR(VLOOKUP($D272,SERVIÇOS!$C:$H,2,0),IFERROR(VLOOKUP($D272,$F:$M,2,0),"")),IFERROR(VLOOKUP($E272,INSUMOS!$B:$E,2,0),""))</f>
        <v/>
      </c>
      <c r="H272" s="526" t="str">
        <f>IF($E272="",IFERROR(VLOOKUP($D272,SERVIÇOS!$C:$H,3,0),IFERROR(VLOOKUP($D272,$F:$M,3,0),"")),IFERROR(VLOOKUP($E272,INSUMOS!$B:$E,3,0),""))</f>
        <v/>
      </c>
      <c r="I272" s="527"/>
      <c r="J272" s="528" t="str">
        <f>IF($E272="",IFERROR(VLOOKUP($D272,SERVIÇOS!$C:$H,6,0),IFERROR(VLOOKUP($D272,$F:$M,8,0),"")),IFERROR(VLOOKUP($E272,INSUMOS!$B:$E,4,0),""))</f>
        <v/>
      </c>
      <c r="K272" s="528">
        <f>TRUNC(IF($E272="",IFERROR(VLOOKUP($D272,SERVIÇOS!$C:$H,4,0),IFERROR(VLOOKUP($D272,$F:$M,6,0),)),IFERROR(VLOOKUP($E272,INSUMOS!$B:$E,4,0),))*$I272,2)</f>
        <v>0</v>
      </c>
      <c r="L272" s="528">
        <f>TRUNC(IF($E272="",IFERROR(VLOOKUP($D272,SERVIÇOS!$C:$H,5,0),IFERROR(VLOOKUP($D272,$F:$M,7,0),)),0)*$I272,2)</f>
        <v>0</v>
      </c>
      <c r="M272" s="528">
        <f t="shared" si="9"/>
        <v>0</v>
      </c>
      <c r="N272" s="526"/>
    </row>
    <row r="273" spans="3:14">
      <c r="C273" s="526" t="str">
        <f t="shared" si="8"/>
        <v/>
      </c>
      <c r="D273" s="531"/>
      <c r="E273" s="531"/>
      <c r="F273" s="526"/>
      <c r="G273" s="532" t="str">
        <f>IF($E273="",IFERROR(VLOOKUP($D273,SERVIÇOS!$C:$H,2,0),IFERROR(VLOOKUP($D273,$F:$M,2,0),"")),IFERROR(VLOOKUP($E273,INSUMOS!$B:$E,2,0),""))</f>
        <v/>
      </c>
      <c r="H273" s="526" t="str">
        <f>IF($E273="",IFERROR(VLOOKUP($D273,SERVIÇOS!$C:$H,3,0),IFERROR(VLOOKUP($D273,$F:$M,3,0),"")),IFERROR(VLOOKUP($E273,INSUMOS!$B:$E,3,0),""))</f>
        <v/>
      </c>
      <c r="I273" s="527"/>
      <c r="J273" s="528" t="str">
        <f>IF($E273="",IFERROR(VLOOKUP($D273,SERVIÇOS!$C:$H,6,0),IFERROR(VLOOKUP($D273,$F:$M,8,0),"")),IFERROR(VLOOKUP($E273,INSUMOS!$B:$E,4,0),""))</f>
        <v/>
      </c>
      <c r="K273" s="528">
        <f>TRUNC(IF($E273="",IFERROR(VLOOKUP($D273,SERVIÇOS!$C:$H,4,0),IFERROR(VLOOKUP($D273,$F:$M,6,0),)),IFERROR(VLOOKUP($E273,INSUMOS!$B:$E,4,0),))*$I273,2)</f>
        <v>0</v>
      </c>
      <c r="L273" s="528">
        <f>TRUNC(IF($E273="",IFERROR(VLOOKUP($D273,SERVIÇOS!$C:$H,5,0),IFERROR(VLOOKUP($D273,$F:$M,7,0),)),0)*$I273,2)</f>
        <v>0</v>
      </c>
      <c r="M273" s="528">
        <f t="shared" si="9"/>
        <v>0</v>
      </c>
      <c r="N273" s="526"/>
    </row>
    <row r="274" spans="3:14">
      <c r="C274" s="526" t="str">
        <f t="shared" si="8"/>
        <v/>
      </c>
      <c r="D274" s="531"/>
      <c r="E274" s="531"/>
      <c r="F274" s="526"/>
      <c r="G274" s="532" t="str">
        <f>IF($E274="",IFERROR(VLOOKUP($D274,SERVIÇOS!$C:$H,2,0),IFERROR(VLOOKUP($D274,$F:$M,2,0),"")),IFERROR(VLOOKUP($E274,INSUMOS!$B:$E,2,0),""))</f>
        <v/>
      </c>
      <c r="H274" s="526" t="str">
        <f>IF($E274="",IFERROR(VLOOKUP($D274,SERVIÇOS!$C:$H,3,0),IFERROR(VLOOKUP($D274,$F:$M,3,0),"")),IFERROR(VLOOKUP($E274,INSUMOS!$B:$E,3,0),""))</f>
        <v/>
      </c>
      <c r="I274" s="527"/>
      <c r="J274" s="528" t="str">
        <f>IF($E274="",IFERROR(VLOOKUP($D274,SERVIÇOS!$C:$H,6,0),IFERROR(VLOOKUP($D274,$F:$M,8,0),"")),IFERROR(VLOOKUP($E274,INSUMOS!$B:$E,4,0),""))</f>
        <v/>
      </c>
      <c r="K274" s="528">
        <f>TRUNC(IF($E274="",IFERROR(VLOOKUP($D274,SERVIÇOS!$C:$H,4,0),IFERROR(VLOOKUP($D274,$F:$M,6,0),)),IFERROR(VLOOKUP($E274,INSUMOS!$B:$E,4,0),))*$I274,2)</f>
        <v>0</v>
      </c>
      <c r="L274" s="528">
        <f>TRUNC(IF($E274="",IFERROR(VLOOKUP($D274,SERVIÇOS!$C:$H,5,0),IFERROR(VLOOKUP($D274,$F:$M,7,0),)),0)*$I274,2)</f>
        <v>0</v>
      </c>
      <c r="M274" s="528">
        <f t="shared" si="9"/>
        <v>0</v>
      </c>
      <c r="N274" s="526"/>
    </row>
    <row r="275" spans="3:14">
      <c r="C275" s="526" t="str">
        <f t="shared" si="8"/>
        <v/>
      </c>
      <c r="D275" s="531"/>
      <c r="E275" s="531"/>
      <c r="F275" s="526"/>
      <c r="G275" s="532" t="str">
        <f>IF($E275="",IFERROR(VLOOKUP($D275,SERVIÇOS!$C:$H,2,0),IFERROR(VLOOKUP($D275,$F:$M,2,0),"")),IFERROR(VLOOKUP($E275,INSUMOS!$B:$E,2,0),""))</f>
        <v/>
      </c>
      <c r="H275" s="526" t="str">
        <f>IF($E275="",IFERROR(VLOOKUP($D275,SERVIÇOS!$C:$H,3,0),IFERROR(VLOOKUP($D275,$F:$M,3,0),"")),IFERROR(VLOOKUP($E275,INSUMOS!$B:$E,3,0),""))</f>
        <v/>
      </c>
      <c r="I275" s="527"/>
      <c r="J275" s="528" t="str">
        <f>IF($E275="",IFERROR(VLOOKUP($D275,SERVIÇOS!$C:$H,6,0),IFERROR(VLOOKUP($D275,$F:$M,8,0),"")),IFERROR(VLOOKUP($E275,INSUMOS!$B:$E,4,0),""))</f>
        <v/>
      </c>
      <c r="K275" s="528">
        <f>TRUNC(IF($E275="",IFERROR(VLOOKUP($D275,SERVIÇOS!$C:$H,4,0),IFERROR(VLOOKUP($D275,$F:$M,6,0),)),IFERROR(VLOOKUP($E275,INSUMOS!$B:$E,4,0),))*$I275,2)</f>
        <v>0</v>
      </c>
      <c r="L275" s="528">
        <f>TRUNC(IF($E275="",IFERROR(VLOOKUP($D275,SERVIÇOS!$C:$H,5,0),IFERROR(VLOOKUP($D275,$F:$M,7,0),)),0)*$I275,2)</f>
        <v>0</v>
      </c>
      <c r="M275" s="528">
        <f t="shared" si="9"/>
        <v>0</v>
      </c>
      <c r="N275" s="526"/>
    </row>
    <row r="276" spans="3:14">
      <c r="C276" s="526" t="str">
        <f t="shared" si="8"/>
        <v/>
      </c>
      <c r="D276" s="531"/>
      <c r="E276" s="531"/>
      <c r="F276" s="526"/>
      <c r="G276" s="532" t="str">
        <f>IF($E276="",IFERROR(VLOOKUP($D276,SERVIÇOS!$C:$H,2,0),IFERROR(VLOOKUP($D276,$F:$M,2,0),"")),IFERROR(VLOOKUP($E276,INSUMOS!$B:$E,2,0),""))</f>
        <v/>
      </c>
      <c r="H276" s="526" t="str">
        <f>IF($E276="",IFERROR(VLOOKUP($D276,SERVIÇOS!$C:$H,3,0),IFERROR(VLOOKUP($D276,$F:$M,3,0),"")),IFERROR(VLOOKUP($E276,INSUMOS!$B:$E,3,0),""))</f>
        <v/>
      </c>
      <c r="I276" s="527"/>
      <c r="J276" s="528" t="str">
        <f>IF($E276="",IFERROR(VLOOKUP($D276,SERVIÇOS!$C:$H,6,0),IFERROR(VLOOKUP($D276,$F:$M,8,0),"")),IFERROR(VLOOKUP($E276,INSUMOS!$B:$E,4,0),""))</f>
        <v/>
      </c>
      <c r="K276" s="528">
        <f>TRUNC(IF($E276="",IFERROR(VLOOKUP($D276,SERVIÇOS!$C:$H,4,0),IFERROR(VLOOKUP($D276,$F:$M,6,0),)),IFERROR(VLOOKUP($E276,INSUMOS!$B:$E,4,0),))*$I276,2)</f>
        <v>0</v>
      </c>
      <c r="L276" s="528">
        <f>TRUNC(IF($E276="",IFERROR(VLOOKUP($D276,SERVIÇOS!$C:$H,5,0),IFERROR(VLOOKUP($D276,$F:$M,7,0),)),0)*$I276,2)</f>
        <v>0</v>
      </c>
      <c r="M276" s="528">
        <f t="shared" si="9"/>
        <v>0</v>
      </c>
      <c r="N276" s="526"/>
    </row>
    <row r="277" spans="3:14">
      <c r="C277" s="526" t="str">
        <f t="shared" si="8"/>
        <v/>
      </c>
      <c r="D277" s="531"/>
      <c r="E277" s="531"/>
      <c r="F277" s="526"/>
      <c r="G277" s="532" t="str">
        <f>IF($E277="",IFERROR(VLOOKUP($D277,SERVIÇOS!$C:$H,2,0),IFERROR(VLOOKUP($D277,$F:$M,2,0),"")),IFERROR(VLOOKUP($E277,INSUMOS!$B:$E,2,0),""))</f>
        <v/>
      </c>
      <c r="H277" s="526" t="str">
        <f>IF($E277="",IFERROR(VLOOKUP($D277,SERVIÇOS!$C:$H,3,0),IFERROR(VLOOKUP($D277,$F:$M,3,0),"")),IFERROR(VLOOKUP($E277,INSUMOS!$B:$E,3,0),""))</f>
        <v/>
      </c>
      <c r="I277" s="527"/>
      <c r="J277" s="528" t="str">
        <f>IF($E277="",IFERROR(VLOOKUP($D277,SERVIÇOS!$C:$H,6,0),IFERROR(VLOOKUP($D277,$F:$M,8,0),"")),IFERROR(VLOOKUP($E277,INSUMOS!$B:$E,4,0),""))</f>
        <v/>
      </c>
      <c r="K277" s="528">
        <f>TRUNC(IF($E277="",IFERROR(VLOOKUP($D277,SERVIÇOS!$C:$H,4,0),IFERROR(VLOOKUP($D277,$F:$M,6,0),)),IFERROR(VLOOKUP($E277,INSUMOS!$B:$E,4,0),))*$I277,2)</f>
        <v>0</v>
      </c>
      <c r="L277" s="528">
        <f>TRUNC(IF($E277="",IFERROR(VLOOKUP($D277,SERVIÇOS!$C:$H,5,0),IFERROR(VLOOKUP($D277,$F:$M,7,0),)),0)*$I277,2)</f>
        <v>0</v>
      </c>
      <c r="M277" s="528">
        <f t="shared" si="9"/>
        <v>0</v>
      </c>
      <c r="N277" s="526"/>
    </row>
    <row r="278" spans="3:14">
      <c r="C278" s="526" t="str">
        <f t="shared" si="8"/>
        <v/>
      </c>
      <c r="D278" s="531"/>
      <c r="E278" s="531"/>
      <c r="F278" s="526"/>
      <c r="G278" s="532" t="str">
        <f>IF($E278="",IFERROR(VLOOKUP($D278,SERVIÇOS!$C:$H,2,0),IFERROR(VLOOKUP($D278,$F:$M,2,0),"")),IFERROR(VLOOKUP($E278,INSUMOS!$B:$E,2,0),""))</f>
        <v/>
      </c>
      <c r="H278" s="526" t="str">
        <f>IF($E278="",IFERROR(VLOOKUP($D278,SERVIÇOS!$C:$H,3,0),IFERROR(VLOOKUP($D278,$F:$M,3,0),"")),IFERROR(VLOOKUP($E278,INSUMOS!$B:$E,3,0),""))</f>
        <v/>
      </c>
      <c r="I278" s="527"/>
      <c r="J278" s="528" t="str">
        <f>IF($E278="",IFERROR(VLOOKUP($D278,SERVIÇOS!$C:$H,6,0),IFERROR(VLOOKUP($D278,$F:$M,8,0),"")),IFERROR(VLOOKUP($E278,INSUMOS!$B:$E,4,0),""))</f>
        <v/>
      </c>
      <c r="K278" s="528">
        <f>TRUNC(IF($E278="",IFERROR(VLOOKUP($D278,SERVIÇOS!$C:$H,4,0),IFERROR(VLOOKUP($D278,$F:$M,6,0),)),IFERROR(VLOOKUP($E278,INSUMOS!$B:$E,4,0),))*$I278,2)</f>
        <v>0</v>
      </c>
      <c r="L278" s="528">
        <f>TRUNC(IF($E278="",IFERROR(VLOOKUP($D278,SERVIÇOS!$C:$H,5,0),IFERROR(VLOOKUP($D278,$F:$M,7,0),)),0)*$I278,2)</f>
        <v>0</v>
      </c>
      <c r="M278" s="528">
        <f t="shared" si="9"/>
        <v>0</v>
      </c>
      <c r="N278" s="526"/>
    </row>
    <row r="279" spans="3:14">
      <c r="C279" s="526" t="str">
        <f t="shared" si="8"/>
        <v/>
      </c>
      <c r="D279" s="531"/>
      <c r="E279" s="531"/>
      <c r="F279" s="526"/>
      <c r="G279" s="532" t="str">
        <f>IF($E279="",IFERROR(VLOOKUP($D279,SERVIÇOS!$C:$H,2,0),IFERROR(VLOOKUP($D279,$F:$M,2,0),"")),IFERROR(VLOOKUP($E279,INSUMOS!$B:$E,2,0),""))</f>
        <v/>
      </c>
      <c r="H279" s="526" t="str">
        <f>IF($E279="",IFERROR(VLOOKUP($D279,SERVIÇOS!$C:$H,3,0),IFERROR(VLOOKUP($D279,$F:$M,3,0),"")),IFERROR(VLOOKUP($E279,INSUMOS!$B:$E,3,0),""))</f>
        <v/>
      </c>
      <c r="I279" s="527"/>
      <c r="J279" s="528" t="str">
        <f>IF($E279="",IFERROR(VLOOKUP($D279,SERVIÇOS!$C:$H,6,0),IFERROR(VLOOKUP($D279,$F:$M,8,0),"")),IFERROR(VLOOKUP($E279,INSUMOS!$B:$E,4,0),""))</f>
        <v/>
      </c>
      <c r="K279" s="528">
        <f>TRUNC(IF($E279="",IFERROR(VLOOKUP($D279,SERVIÇOS!$C:$H,4,0),IFERROR(VLOOKUP($D279,$F:$M,6,0),)),IFERROR(VLOOKUP($E279,INSUMOS!$B:$E,4,0),))*$I279,2)</f>
        <v>0</v>
      </c>
      <c r="L279" s="528">
        <f>TRUNC(IF($E279="",IFERROR(VLOOKUP($D279,SERVIÇOS!$C:$H,5,0),IFERROR(VLOOKUP($D279,$F:$M,7,0),)),0)*$I279,2)</f>
        <v>0</v>
      </c>
      <c r="M279" s="528">
        <f t="shared" si="9"/>
        <v>0</v>
      </c>
      <c r="N279" s="526"/>
    </row>
    <row r="280" spans="3:14">
      <c r="C280" s="526" t="str">
        <f t="shared" si="8"/>
        <v/>
      </c>
      <c r="D280" s="531"/>
      <c r="E280" s="531"/>
      <c r="F280" s="526"/>
      <c r="G280" s="532" t="str">
        <f>IF($E280="",IFERROR(VLOOKUP($D280,SERVIÇOS!$C:$H,2,0),IFERROR(VLOOKUP($D280,$F:$M,2,0),"")),IFERROR(VLOOKUP($E280,INSUMOS!$B:$E,2,0),""))</f>
        <v/>
      </c>
      <c r="H280" s="526" t="str">
        <f>IF($E280="",IFERROR(VLOOKUP($D280,SERVIÇOS!$C:$H,3,0),IFERROR(VLOOKUP($D280,$F:$M,3,0),"")),IFERROR(VLOOKUP($E280,INSUMOS!$B:$E,3,0),""))</f>
        <v/>
      </c>
      <c r="I280" s="527"/>
      <c r="J280" s="528" t="str">
        <f>IF($E280="",IFERROR(VLOOKUP($D280,SERVIÇOS!$C:$H,6,0),IFERROR(VLOOKUP($D280,$F:$M,8,0),"")),IFERROR(VLOOKUP($E280,INSUMOS!$B:$E,4,0),""))</f>
        <v/>
      </c>
      <c r="K280" s="528">
        <f>TRUNC(IF($E280="",IFERROR(VLOOKUP($D280,SERVIÇOS!$C:$H,4,0),IFERROR(VLOOKUP($D280,$F:$M,6,0),)),IFERROR(VLOOKUP($E280,INSUMOS!$B:$E,4,0),))*$I280,2)</f>
        <v>0</v>
      </c>
      <c r="L280" s="528">
        <f>TRUNC(IF($E280="",IFERROR(VLOOKUP($D280,SERVIÇOS!$C:$H,5,0),IFERROR(VLOOKUP($D280,$F:$M,7,0),)),0)*$I280,2)</f>
        <v>0</v>
      </c>
      <c r="M280" s="528">
        <f t="shared" si="9"/>
        <v>0</v>
      </c>
      <c r="N280" s="526"/>
    </row>
    <row r="281" spans="3:14">
      <c r="C281" s="526" t="str">
        <f t="shared" si="8"/>
        <v/>
      </c>
      <c r="D281" s="531"/>
      <c r="E281" s="531"/>
      <c r="F281" s="526"/>
      <c r="G281" s="532" t="str">
        <f>IF($E281="",IFERROR(VLOOKUP($D281,SERVIÇOS!$C:$H,2,0),IFERROR(VLOOKUP($D281,$F:$M,2,0),"")),IFERROR(VLOOKUP($E281,INSUMOS!$B:$E,2,0),""))</f>
        <v/>
      </c>
      <c r="H281" s="526" t="str">
        <f>IF($E281="",IFERROR(VLOOKUP($D281,SERVIÇOS!$C:$H,3,0),IFERROR(VLOOKUP($D281,$F:$M,3,0),"")),IFERROR(VLOOKUP($E281,INSUMOS!$B:$E,3,0),""))</f>
        <v/>
      </c>
      <c r="I281" s="527"/>
      <c r="J281" s="528" t="str">
        <f>IF($E281="",IFERROR(VLOOKUP($D281,SERVIÇOS!$C:$H,6,0),IFERROR(VLOOKUP($D281,$F:$M,8,0),"")),IFERROR(VLOOKUP($E281,INSUMOS!$B:$E,4,0),""))</f>
        <v/>
      </c>
      <c r="K281" s="528">
        <f>TRUNC(IF($E281="",IFERROR(VLOOKUP($D281,SERVIÇOS!$C:$H,4,0),IFERROR(VLOOKUP($D281,$F:$M,6,0),)),IFERROR(VLOOKUP($E281,INSUMOS!$B:$E,4,0),))*$I281,2)</f>
        <v>0</v>
      </c>
      <c r="L281" s="528">
        <f>TRUNC(IF($E281="",IFERROR(VLOOKUP($D281,SERVIÇOS!$C:$H,5,0),IFERROR(VLOOKUP($D281,$F:$M,7,0),)),0)*$I281,2)</f>
        <v>0</v>
      </c>
      <c r="M281" s="528">
        <f t="shared" si="9"/>
        <v>0</v>
      </c>
      <c r="N281" s="526"/>
    </row>
    <row r="282" spans="3:14">
      <c r="C282" s="526" t="str">
        <f t="shared" si="8"/>
        <v/>
      </c>
      <c r="D282" s="531"/>
      <c r="E282" s="531"/>
      <c r="F282" s="526"/>
      <c r="G282" s="532" t="str">
        <f>IF($E282="",IFERROR(VLOOKUP($D282,SERVIÇOS!$C:$H,2,0),IFERROR(VLOOKUP($D282,$F:$M,2,0),"")),IFERROR(VLOOKUP($E282,INSUMOS!$B:$E,2,0),""))</f>
        <v/>
      </c>
      <c r="H282" s="526" t="str">
        <f>IF($E282="",IFERROR(VLOOKUP($D282,SERVIÇOS!$C:$H,3,0),IFERROR(VLOOKUP($D282,$F:$M,3,0),"")),IFERROR(VLOOKUP($E282,INSUMOS!$B:$E,3,0),""))</f>
        <v/>
      </c>
      <c r="I282" s="527"/>
      <c r="J282" s="528" t="str">
        <f>IF($E282="",IFERROR(VLOOKUP($D282,SERVIÇOS!$C:$H,6,0),IFERROR(VLOOKUP($D282,$F:$M,8,0),"")),IFERROR(VLOOKUP($E282,INSUMOS!$B:$E,4,0),""))</f>
        <v/>
      </c>
      <c r="K282" s="528">
        <f>TRUNC(IF($E282="",IFERROR(VLOOKUP($D282,SERVIÇOS!$C:$H,4,0),IFERROR(VLOOKUP($D282,$F:$M,6,0),)),IFERROR(VLOOKUP($E282,INSUMOS!$B:$E,4,0),))*$I282,2)</f>
        <v>0</v>
      </c>
      <c r="L282" s="528">
        <f>TRUNC(IF($E282="",IFERROR(VLOOKUP($D282,SERVIÇOS!$C:$H,5,0),IFERROR(VLOOKUP($D282,$F:$M,7,0),)),0)*$I282,2)</f>
        <v>0</v>
      </c>
      <c r="M282" s="528">
        <f t="shared" si="9"/>
        <v>0</v>
      </c>
      <c r="N282" s="526"/>
    </row>
    <row r="283" spans="3:14">
      <c r="C283" s="526" t="str">
        <f t="shared" si="8"/>
        <v/>
      </c>
      <c r="D283" s="531"/>
      <c r="E283" s="531"/>
      <c r="F283" s="526"/>
      <c r="G283" s="532" t="str">
        <f>IF($E283="",IFERROR(VLOOKUP($D283,SERVIÇOS!$C:$H,2,0),IFERROR(VLOOKUP($D283,$F:$M,2,0),"")),IFERROR(VLOOKUP($E283,INSUMOS!$B:$E,2,0),""))</f>
        <v/>
      </c>
      <c r="H283" s="526" t="str">
        <f>IF($E283="",IFERROR(VLOOKUP($D283,SERVIÇOS!$C:$H,3,0),IFERROR(VLOOKUP($D283,$F:$M,3,0),"")),IFERROR(VLOOKUP($E283,INSUMOS!$B:$E,3,0),""))</f>
        <v/>
      </c>
      <c r="I283" s="527"/>
      <c r="J283" s="528" t="str">
        <f>IF($E283="",IFERROR(VLOOKUP($D283,SERVIÇOS!$C:$H,6,0),IFERROR(VLOOKUP($D283,$F:$M,8,0),"")),IFERROR(VLOOKUP($E283,INSUMOS!$B:$E,4,0),""))</f>
        <v/>
      </c>
      <c r="K283" s="528">
        <f>TRUNC(IF($E283="",IFERROR(VLOOKUP($D283,SERVIÇOS!$C:$H,4,0),IFERROR(VLOOKUP($D283,$F:$M,6,0),)),IFERROR(VLOOKUP($E283,INSUMOS!$B:$E,4,0),))*$I283,2)</f>
        <v>0</v>
      </c>
      <c r="L283" s="528">
        <f>TRUNC(IF($E283="",IFERROR(VLOOKUP($D283,SERVIÇOS!$C:$H,5,0),IFERROR(VLOOKUP($D283,$F:$M,7,0),)),0)*$I283,2)</f>
        <v>0</v>
      </c>
      <c r="M283" s="528">
        <f t="shared" si="9"/>
        <v>0</v>
      </c>
      <c r="N283" s="526"/>
    </row>
    <row r="284" spans="3:14">
      <c r="C284" s="526" t="str">
        <f t="shared" si="8"/>
        <v/>
      </c>
      <c r="D284" s="531"/>
      <c r="E284" s="531"/>
      <c r="F284" s="526"/>
      <c r="G284" s="532" t="str">
        <f>IF($E284="",IFERROR(VLOOKUP($D284,SERVIÇOS!$C:$H,2,0),IFERROR(VLOOKUP($D284,$F:$M,2,0),"")),IFERROR(VLOOKUP($E284,INSUMOS!$B:$E,2,0),""))</f>
        <v/>
      </c>
      <c r="H284" s="526" t="str">
        <f>IF($E284="",IFERROR(VLOOKUP($D284,SERVIÇOS!$C:$H,3,0),IFERROR(VLOOKUP($D284,$F:$M,3,0),"")),IFERROR(VLOOKUP($E284,INSUMOS!$B:$E,3,0),""))</f>
        <v/>
      </c>
      <c r="I284" s="527"/>
      <c r="J284" s="528" t="str">
        <f>IF($E284="",IFERROR(VLOOKUP($D284,SERVIÇOS!$C:$H,6,0),IFERROR(VLOOKUP($D284,$F:$M,8,0),"")),IFERROR(VLOOKUP($E284,INSUMOS!$B:$E,4,0),""))</f>
        <v/>
      </c>
      <c r="K284" s="528">
        <f>TRUNC(IF($E284="",IFERROR(VLOOKUP($D284,SERVIÇOS!$C:$H,4,0),IFERROR(VLOOKUP($D284,$F:$M,6,0),)),IFERROR(VLOOKUP($E284,INSUMOS!$B:$E,4,0),))*$I284,2)</f>
        <v>0</v>
      </c>
      <c r="L284" s="528">
        <f>TRUNC(IF($E284="",IFERROR(VLOOKUP($D284,SERVIÇOS!$C:$H,5,0),IFERROR(VLOOKUP($D284,$F:$M,7,0),)),0)*$I284,2)</f>
        <v>0</v>
      </c>
      <c r="M284" s="528">
        <f t="shared" si="9"/>
        <v>0</v>
      </c>
      <c r="N284" s="526"/>
    </row>
    <row r="285" spans="3:14">
      <c r="C285" s="526" t="str">
        <f t="shared" si="8"/>
        <v/>
      </c>
      <c r="D285" s="531"/>
      <c r="E285" s="531"/>
      <c r="F285" s="526"/>
      <c r="G285" s="532" t="str">
        <f>IF($E285="",IFERROR(VLOOKUP($D285,SERVIÇOS!$C:$H,2,0),IFERROR(VLOOKUP($D285,$F:$M,2,0),"")),IFERROR(VLOOKUP($E285,INSUMOS!$B:$E,2,0),""))</f>
        <v/>
      </c>
      <c r="H285" s="526" t="str">
        <f>IF($E285="",IFERROR(VLOOKUP($D285,SERVIÇOS!$C:$H,3,0),IFERROR(VLOOKUP($D285,$F:$M,3,0),"")),IFERROR(VLOOKUP($E285,INSUMOS!$B:$E,3,0),""))</f>
        <v/>
      </c>
      <c r="I285" s="527"/>
      <c r="J285" s="528" t="str">
        <f>IF($E285="",IFERROR(VLOOKUP($D285,SERVIÇOS!$C:$H,6,0),IFERROR(VLOOKUP($D285,$F:$M,8,0),"")),IFERROR(VLOOKUP($E285,INSUMOS!$B:$E,4,0),""))</f>
        <v/>
      </c>
      <c r="K285" s="528">
        <f>TRUNC(IF($E285="",IFERROR(VLOOKUP($D285,SERVIÇOS!$C:$H,4,0),IFERROR(VLOOKUP($D285,$F:$M,6,0),)),IFERROR(VLOOKUP($E285,INSUMOS!$B:$E,4,0),))*$I285,2)</f>
        <v>0</v>
      </c>
      <c r="L285" s="528">
        <f>TRUNC(IF($E285="",IFERROR(VLOOKUP($D285,SERVIÇOS!$C:$H,5,0),IFERROR(VLOOKUP($D285,$F:$M,7,0),)),0)*$I285,2)</f>
        <v>0</v>
      </c>
      <c r="M285" s="528">
        <f t="shared" si="9"/>
        <v>0</v>
      </c>
      <c r="N285" s="526"/>
    </row>
    <row r="286" spans="3:14">
      <c r="C286" s="526" t="str">
        <f t="shared" si="8"/>
        <v/>
      </c>
      <c r="D286" s="531"/>
      <c r="E286" s="531"/>
      <c r="F286" s="526"/>
      <c r="G286" s="532" t="str">
        <f>IF($E286="",IFERROR(VLOOKUP($D286,SERVIÇOS!$C:$H,2,0),IFERROR(VLOOKUP($D286,$F:$M,2,0),"")),IFERROR(VLOOKUP($E286,INSUMOS!$B:$E,2,0),""))</f>
        <v/>
      </c>
      <c r="H286" s="526" t="str">
        <f>IF($E286="",IFERROR(VLOOKUP($D286,SERVIÇOS!$C:$H,3,0),IFERROR(VLOOKUP($D286,$F:$M,3,0),"")),IFERROR(VLOOKUP($E286,INSUMOS!$B:$E,3,0),""))</f>
        <v/>
      </c>
      <c r="I286" s="527"/>
      <c r="J286" s="528" t="str">
        <f>IF($E286="",IFERROR(VLOOKUP($D286,SERVIÇOS!$C:$H,6,0),IFERROR(VLOOKUP($D286,$F:$M,8,0),"")),IFERROR(VLOOKUP($E286,INSUMOS!$B:$E,4,0),""))</f>
        <v/>
      </c>
      <c r="K286" s="528">
        <f>TRUNC(IF($E286="",IFERROR(VLOOKUP($D286,SERVIÇOS!$C:$H,4,0),IFERROR(VLOOKUP($D286,$F:$M,6,0),)),IFERROR(VLOOKUP($E286,INSUMOS!$B:$E,4,0),))*$I286,2)</f>
        <v>0</v>
      </c>
      <c r="L286" s="528">
        <f>TRUNC(IF($E286="",IFERROR(VLOOKUP($D286,SERVIÇOS!$C:$H,5,0),IFERROR(VLOOKUP($D286,$F:$M,7,0),)),0)*$I286,2)</f>
        <v>0</v>
      </c>
      <c r="M286" s="528">
        <f t="shared" si="9"/>
        <v>0</v>
      </c>
      <c r="N286" s="526"/>
    </row>
    <row r="287" spans="3:14">
      <c r="C287" s="526" t="str">
        <f t="shared" si="8"/>
        <v/>
      </c>
      <c r="D287" s="531"/>
      <c r="E287" s="531"/>
      <c r="F287" s="526"/>
      <c r="G287" s="532" t="str">
        <f>IF($E287="",IFERROR(VLOOKUP($D287,SERVIÇOS!$C:$H,2,0),IFERROR(VLOOKUP($D287,$F:$M,2,0),"")),IFERROR(VLOOKUP($E287,INSUMOS!$B:$E,2,0),""))</f>
        <v/>
      </c>
      <c r="H287" s="526" t="str">
        <f>IF($E287="",IFERROR(VLOOKUP($D287,SERVIÇOS!$C:$H,3,0),IFERROR(VLOOKUP($D287,$F:$M,3,0),"")),IFERROR(VLOOKUP($E287,INSUMOS!$B:$E,3,0),""))</f>
        <v/>
      </c>
      <c r="I287" s="527"/>
      <c r="J287" s="528" t="str">
        <f>IF($E287="",IFERROR(VLOOKUP($D287,SERVIÇOS!$C:$H,6,0),IFERROR(VLOOKUP($D287,$F:$M,8,0),"")),IFERROR(VLOOKUP($E287,INSUMOS!$B:$E,4,0),""))</f>
        <v/>
      </c>
      <c r="K287" s="528">
        <f>TRUNC(IF($E287="",IFERROR(VLOOKUP($D287,SERVIÇOS!$C:$H,4,0),IFERROR(VLOOKUP($D287,$F:$M,6,0),)),IFERROR(VLOOKUP($E287,INSUMOS!$B:$E,4,0),))*$I287,2)</f>
        <v>0</v>
      </c>
      <c r="L287" s="528">
        <f>TRUNC(IF($E287="",IFERROR(VLOOKUP($D287,SERVIÇOS!$C:$H,5,0),IFERROR(VLOOKUP($D287,$F:$M,7,0),)),0)*$I287,2)</f>
        <v>0</v>
      </c>
      <c r="M287" s="528">
        <f t="shared" si="9"/>
        <v>0</v>
      </c>
      <c r="N287" s="526"/>
    </row>
    <row r="288" spans="3:14">
      <c r="C288" s="526" t="str">
        <f t="shared" si="8"/>
        <v/>
      </c>
      <c r="D288" s="531"/>
      <c r="E288" s="531"/>
      <c r="F288" s="526"/>
      <c r="G288" s="532" t="str">
        <f>IF($E288="",IFERROR(VLOOKUP($D288,SERVIÇOS!$C:$H,2,0),IFERROR(VLOOKUP($D288,$F:$M,2,0),"")),IFERROR(VLOOKUP($E288,INSUMOS!$B:$E,2,0),""))</f>
        <v/>
      </c>
      <c r="H288" s="526" t="str">
        <f>IF($E288="",IFERROR(VLOOKUP($D288,SERVIÇOS!$C:$H,3,0),IFERROR(VLOOKUP($D288,$F:$M,3,0),"")),IFERROR(VLOOKUP($E288,INSUMOS!$B:$E,3,0),""))</f>
        <v/>
      </c>
      <c r="I288" s="527"/>
      <c r="J288" s="528" t="str">
        <f>IF($E288="",IFERROR(VLOOKUP($D288,SERVIÇOS!$C:$H,6,0),IFERROR(VLOOKUP($D288,$F:$M,8,0),"")),IFERROR(VLOOKUP($E288,INSUMOS!$B:$E,4,0),""))</f>
        <v/>
      </c>
      <c r="K288" s="528">
        <f>TRUNC(IF($E288="",IFERROR(VLOOKUP($D288,SERVIÇOS!$C:$H,4,0),IFERROR(VLOOKUP($D288,$F:$M,6,0),)),IFERROR(VLOOKUP($E288,INSUMOS!$B:$E,4,0),))*$I288,2)</f>
        <v>0</v>
      </c>
      <c r="L288" s="528">
        <f>TRUNC(IF($E288="",IFERROR(VLOOKUP($D288,SERVIÇOS!$C:$H,5,0),IFERROR(VLOOKUP($D288,$F:$M,7,0),)),0)*$I288,2)</f>
        <v>0</v>
      </c>
      <c r="M288" s="528">
        <f t="shared" si="9"/>
        <v>0</v>
      </c>
      <c r="N288" s="526"/>
    </row>
    <row r="289" spans="3:14">
      <c r="C289" s="526" t="str">
        <f t="shared" si="8"/>
        <v/>
      </c>
      <c r="D289" s="531"/>
      <c r="E289" s="531"/>
      <c r="F289" s="526"/>
      <c r="G289" s="532" t="str">
        <f>IF($E289="",IFERROR(VLOOKUP($D289,SERVIÇOS!$C:$H,2,0),IFERROR(VLOOKUP($D289,$F:$M,2,0),"")),IFERROR(VLOOKUP($E289,INSUMOS!$B:$E,2,0),""))</f>
        <v/>
      </c>
      <c r="H289" s="526" t="str">
        <f>IF($E289="",IFERROR(VLOOKUP($D289,SERVIÇOS!$C:$H,3,0),IFERROR(VLOOKUP($D289,$F:$M,3,0),"")),IFERROR(VLOOKUP($E289,INSUMOS!$B:$E,3,0),""))</f>
        <v/>
      </c>
      <c r="I289" s="527"/>
      <c r="J289" s="528" t="str">
        <f>IF($E289="",IFERROR(VLOOKUP($D289,SERVIÇOS!$C:$H,6,0),IFERROR(VLOOKUP($D289,$F:$M,8,0),"")),IFERROR(VLOOKUP($E289,INSUMOS!$B:$E,4,0),""))</f>
        <v/>
      </c>
      <c r="K289" s="528">
        <f>TRUNC(IF($E289="",IFERROR(VLOOKUP($D289,SERVIÇOS!$C:$H,4,0),IFERROR(VLOOKUP($D289,$F:$M,6,0),)),IFERROR(VLOOKUP($E289,INSUMOS!$B:$E,4,0),))*$I289,2)</f>
        <v>0</v>
      </c>
      <c r="L289" s="528">
        <f>TRUNC(IF($E289="",IFERROR(VLOOKUP($D289,SERVIÇOS!$C:$H,5,0),IFERROR(VLOOKUP($D289,$F:$M,7,0),)),0)*$I289,2)</f>
        <v>0</v>
      </c>
      <c r="M289" s="528">
        <f t="shared" si="9"/>
        <v>0</v>
      </c>
      <c r="N289" s="526"/>
    </row>
    <row r="290" spans="3:14">
      <c r="C290" s="526" t="str">
        <f t="shared" si="8"/>
        <v/>
      </c>
      <c r="D290" s="531"/>
      <c r="E290" s="531"/>
      <c r="F290" s="526"/>
      <c r="G290" s="532" t="str">
        <f>IF($E290="",IFERROR(VLOOKUP($D290,SERVIÇOS!$C:$H,2,0),IFERROR(VLOOKUP($D290,$F:$M,2,0),"")),IFERROR(VLOOKUP($E290,INSUMOS!$B:$E,2,0),""))</f>
        <v/>
      </c>
      <c r="H290" s="526" t="str">
        <f>IF($E290="",IFERROR(VLOOKUP($D290,SERVIÇOS!$C:$H,3,0),IFERROR(VLOOKUP($D290,$F:$M,3,0),"")),IFERROR(VLOOKUP($E290,INSUMOS!$B:$E,3,0),""))</f>
        <v/>
      </c>
      <c r="I290" s="527"/>
      <c r="J290" s="528" t="str">
        <f>IF($E290="",IFERROR(VLOOKUP($D290,SERVIÇOS!$C:$H,6,0),IFERROR(VLOOKUP($D290,$F:$M,8,0),"")),IFERROR(VLOOKUP($E290,INSUMOS!$B:$E,4,0),""))</f>
        <v/>
      </c>
      <c r="K290" s="528">
        <f>TRUNC(IF($E290="",IFERROR(VLOOKUP($D290,SERVIÇOS!$C:$H,4,0),IFERROR(VLOOKUP($D290,$F:$M,6,0),)),IFERROR(VLOOKUP($E290,INSUMOS!$B:$E,4,0),))*$I290,2)</f>
        <v>0</v>
      </c>
      <c r="L290" s="528">
        <f>TRUNC(IF($E290="",IFERROR(VLOOKUP($D290,SERVIÇOS!$C:$H,5,0),IFERROR(VLOOKUP($D290,$F:$M,7,0),)),0)*$I290,2)</f>
        <v>0</v>
      </c>
      <c r="M290" s="528">
        <f t="shared" si="9"/>
        <v>0</v>
      </c>
      <c r="N290" s="526"/>
    </row>
    <row r="291" spans="3:14">
      <c r="C291" s="526" t="str">
        <f t="shared" si="8"/>
        <v/>
      </c>
      <c r="D291" s="531"/>
      <c r="E291" s="531"/>
      <c r="F291" s="526"/>
      <c r="G291" s="532" t="str">
        <f>IF($E291="",IFERROR(VLOOKUP($D291,SERVIÇOS!$C:$H,2,0),IFERROR(VLOOKUP($D291,$F:$M,2,0),"")),IFERROR(VLOOKUP($E291,INSUMOS!$B:$E,2,0),""))</f>
        <v/>
      </c>
      <c r="H291" s="526" t="str">
        <f>IF($E291="",IFERROR(VLOOKUP($D291,SERVIÇOS!$C:$H,3,0),IFERROR(VLOOKUP($D291,$F:$M,3,0),"")),IFERROR(VLOOKUP($E291,INSUMOS!$B:$E,3,0),""))</f>
        <v/>
      </c>
      <c r="I291" s="527"/>
      <c r="J291" s="528" t="str">
        <f>IF($E291="",IFERROR(VLOOKUP($D291,SERVIÇOS!$C:$H,6,0),IFERROR(VLOOKUP($D291,$F:$M,8,0),"")),IFERROR(VLOOKUP($E291,INSUMOS!$B:$E,4,0),""))</f>
        <v/>
      </c>
      <c r="K291" s="528">
        <f>TRUNC(IF($E291="",IFERROR(VLOOKUP($D291,SERVIÇOS!$C:$H,4,0),IFERROR(VLOOKUP($D291,$F:$M,6,0),)),IFERROR(VLOOKUP($E291,INSUMOS!$B:$E,4,0),))*$I291,2)</f>
        <v>0</v>
      </c>
      <c r="L291" s="528">
        <f>TRUNC(IF($E291="",IFERROR(VLOOKUP($D291,SERVIÇOS!$C:$H,5,0),IFERROR(VLOOKUP($D291,$F:$M,7,0),)),0)*$I291,2)</f>
        <v>0</v>
      </c>
      <c r="M291" s="528">
        <f t="shared" si="9"/>
        <v>0</v>
      </c>
      <c r="N291" s="526"/>
    </row>
    <row r="292" spans="3:14">
      <c r="C292" s="526" t="str">
        <f t="shared" si="8"/>
        <v/>
      </c>
      <c r="D292" s="531"/>
      <c r="E292" s="531"/>
      <c r="F292" s="526"/>
      <c r="G292" s="532" t="str">
        <f>IF($E292="",IFERROR(VLOOKUP($D292,SERVIÇOS!$C:$H,2,0),IFERROR(VLOOKUP($D292,$F:$M,2,0),"")),IFERROR(VLOOKUP($E292,INSUMOS!$B:$E,2,0),""))</f>
        <v/>
      </c>
      <c r="H292" s="526" t="str">
        <f>IF($E292="",IFERROR(VLOOKUP($D292,SERVIÇOS!$C:$H,3,0),IFERROR(VLOOKUP($D292,$F:$M,3,0),"")),IFERROR(VLOOKUP($E292,INSUMOS!$B:$E,3,0),""))</f>
        <v/>
      </c>
      <c r="I292" s="527"/>
      <c r="J292" s="528" t="str">
        <f>IF($E292="",IFERROR(VLOOKUP($D292,SERVIÇOS!$C:$H,6,0),IFERROR(VLOOKUP($D292,$F:$M,8,0),"")),IFERROR(VLOOKUP($E292,INSUMOS!$B:$E,4,0),""))</f>
        <v/>
      </c>
      <c r="K292" s="528">
        <f>TRUNC(IF($E292="",IFERROR(VLOOKUP($D292,SERVIÇOS!$C:$H,4,0),IFERROR(VLOOKUP($D292,$F:$M,6,0),)),IFERROR(VLOOKUP($E292,INSUMOS!$B:$E,4,0),))*$I292,2)</f>
        <v>0</v>
      </c>
      <c r="L292" s="528">
        <f>TRUNC(IF($E292="",IFERROR(VLOOKUP($D292,SERVIÇOS!$C:$H,5,0),IFERROR(VLOOKUP($D292,$F:$M,7,0),)),0)*$I292,2)</f>
        <v>0</v>
      </c>
      <c r="M292" s="528">
        <f t="shared" si="9"/>
        <v>0</v>
      </c>
      <c r="N292" s="526"/>
    </row>
    <row r="293" spans="3:14">
      <c r="C293" s="526" t="str">
        <f t="shared" si="8"/>
        <v/>
      </c>
      <c r="D293" s="531"/>
      <c r="E293" s="531"/>
      <c r="F293" s="526"/>
      <c r="G293" s="532" t="str">
        <f>IF($E293="",IFERROR(VLOOKUP($D293,SERVIÇOS!$C:$H,2,0),IFERROR(VLOOKUP($D293,$F:$M,2,0),"")),IFERROR(VLOOKUP($E293,INSUMOS!$B:$E,2,0),""))</f>
        <v/>
      </c>
      <c r="H293" s="526" t="str">
        <f>IF($E293="",IFERROR(VLOOKUP($D293,SERVIÇOS!$C:$H,3,0),IFERROR(VLOOKUP($D293,$F:$M,3,0),"")),IFERROR(VLOOKUP($E293,INSUMOS!$B:$E,3,0),""))</f>
        <v/>
      </c>
      <c r="I293" s="527"/>
      <c r="J293" s="528" t="str">
        <f>IF($E293="",IFERROR(VLOOKUP($D293,SERVIÇOS!$C:$H,6,0),IFERROR(VLOOKUP($D293,$F:$M,8,0),"")),IFERROR(VLOOKUP($E293,INSUMOS!$B:$E,4,0),""))</f>
        <v/>
      </c>
      <c r="K293" s="528">
        <f>TRUNC(IF($E293="",IFERROR(VLOOKUP($D293,SERVIÇOS!$C:$H,4,0),IFERROR(VLOOKUP($D293,$F:$M,6,0),)),IFERROR(VLOOKUP($E293,INSUMOS!$B:$E,4,0),))*$I293,2)</f>
        <v>0</v>
      </c>
      <c r="L293" s="528">
        <f>TRUNC(IF($E293="",IFERROR(VLOOKUP($D293,SERVIÇOS!$C:$H,5,0),IFERROR(VLOOKUP($D293,$F:$M,7,0),)),0)*$I293,2)</f>
        <v>0</v>
      </c>
      <c r="M293" s="528">
        <f t="shared" si="9"/>
        <v>0</v>
      </c>
      <c r="N293" s="526"/>
    </row>
    <row r="294" spans="3:14">
      <c r="C294" s="526" t="str">
        <f t="shared" si="8"/>
        <v/>
      </c>
      <c r="D294" s="531"/>
      <c r="E294" s="531"/>
      <c r="F294" s="526"/>
      <c r="G294" s="532" t="str">
        <f>IF($E294="",IFERROR(VLOOKUP($D294,SERVIÇOS!$C:$H,2,0),IFERROR(VLOOKUP($D294,$F:$M,2,0),"")),IFERROR(VLOOKUP($E294,INSUMOS!$B:$E,2,0),""))</f>
        <v/>
      </c>
      <c r="H294" s="526" t="str">
        <f>IF($E294="",IFERROR(VLOOKUP($D294,SERVIÇOS!$C:$H,3,0),IFERROR(VLOOKUP($D294,$F:$M,3,0),"")),IFERROR(VLOOKUP($E294,INSUMOS!$B:$E,3,0),""))</f>
        <v/>
      </c>
      <c r="I294" s="527"/>
      <c r="J294" s="528" t="str">
        <f>IF($E294="",IFERROR(VLOOKUP($D294,SERVIÇOS!$C:$H,6,0),IFERROR(VLOOKUP($D294,$F:$M,8,0),"")),IFERROR(VLOOKUP($E294,INSUMOS!$B:$E,4,0),""))</f>
        <v/>
      </c>
      <c r="K294" s="528">
        <f>TRUNC(IF($E294="",IFERROR(VLOOKUP($D294,SERVIÇOS!$C:$H,4,0),IFERROR(VLOOKUP($D294,$F:$M,6,0),)),IFERROR(VLOOKUP($E294,INSUMOS!$B:$E,4,0),))*$I294,2)</f>
        <v>0</v>
      </c>
      <c r="L294" s="528">
        <f>TRUNC(IF($E294="",IFERROR(VLOOKUP($D294,SERVIÇOS!$C:$H,5,0),IFERROR(VLOOKUP($D294,$F:$M,7,0),)),0)*$I294,2)</f>
        <v>0</v>
      </c>
      <c r="M294" s="528">
        <f t="shared" si="9"/>
        <v>0</v>
      </c>
      <c r="N294" s="526"/>
    </row>
    <row r="295" spans="3:14">
      <c r="C295" s="526" t="str">
        <f t="shared" si="8"/>
        <v/>
      </c>
      <c r="D295" s="531"/>
      <c r="E295" s="531"/>
      <c r="F295" s="526"/>
      <c r="G295" s="532" t="str">
        <f>IF($E295="",IFERROR(VLOOKUP($D295,SERVIÇOS!$C:$H,2,0),IFERROR(VLOOKUP($D295,$F:$M,2,0),"")),IFERROR(VLOOKUP($E295,INSUMOS!$B:$E,2,0),""))</f>
        <v/>
      </c>
      <c r="H295" s="526" t="str">
        <f>IF($E295="",IFERROR(VLOOKUP($D295,SERVIÇOS!$C:$H,3,0),IFERROR(VLOOKUP($D295,$F:$M,3,0),"")),IFERROR(VLOOKUP($E295,INSUMOS!$B:$E,3,0),""))</f>
        <v/>
      </c>
      <c r="I295" s="527"/>
      <c r="J295" s="528" t="str">
        <f>IF($E295="",IFERROR(VLOOKUP($D295,SERVIÇOS!$C:$H,6,0),IFERROR(VLOOKUP($D295,$F:$M,8,0),"")),IFERROR(VLOOKUP($E295,INSUMOS!$B:$E,4,0),""))</f>
        <v/>
      </c>
      <c r="K295" s="528">
        <f>TRUNC(IF($E295="",IFERROR(VLOOKUP($D295,SERVIÇOS!$C:$H,4,0),IFERROR(VLOOKUP($D295,$F:$M,6,0),)),IFERROR(VLOOKUP($E295,INSUMOS!$B:$E,4,0),))*$I295,2)</f>
        <v>0</v>
      </c>
      <c r="L295" s="528">
        <f>TRUNC(IF($E295="",IFERROR(VLOOKUP($D295,SERVIÇOS!$C:$H,5,0),IFERROR(VLOOKUP($D295,$F:$M,7,0),)),0)*$I295,2)</f>
        <v>0</v>
      </c>
      <c r="M295" s="528">
        <f t="shared" si="9"/>
        <v>0</v>
      </c>
      <c r="N295" s="526"/>
    </row>
    <row r="296" spans="3:14">
      <c r="C296" s="526" t="str">
        <f t="shared" si="8"/>
        <v/>
      </c>
      <c r="D296" s="531"/>
      <c r="E296" s="531"/>
      <c r="F296" s="526"/>
      <c r="G296" s="532" t="str">
        <f>IF($E296="",IFERROR(VLOOKUP($D296,SERVIÇOS!$C:$H,2,0),IFERROR(VLOOKUP($D296,$F:$M,2,0),"")),IFERROR(VLOOKUP($E296,INSUMOS!$B:$E,2,0),""))</f>
        <v/>
      </c>
      <c r="H296" s="526" t="str">
        <f>IF($E296="",IFERROR(VLOOKUP($D296,SERVIÇOS!$C:$H,3,0),IFERROR(VLOOKUP($D296,$F:$M,3,0),"")),IFERROR(VLOOKUP($E296,INSUMOS!$B:$E,3,0),""))</f>
        <v/>
      </c>
      <c r="I296" s="527"/>
      <c r="J296" s="528" t="str">
        <f>IF($E296="",IFERROR(VLOOKUP($D296,SERVIÇOS!$C:$H,6,0),IFERROR(VLOOKUP($D296,$F:$M,8,0),"")),IFERROR(VLOOKUP($E296,INSUMOS!$B:$E,4,0),""))</f>
        <v/>
      </c>
      <c r="K296" s="528">
        <f>TRUNC(IF($E296="",IFERROR(VLOOKUP($D296,SERVIÇOS!$C:$H,4,0),IFERROR(VLOOKUP($D296,$F:$M,6,0),)),IFERROR(VLOOKUP($E296,INSUMOS!$B:$E,4,0),))*$I296,2)</f>
        <v>0</v>
      </c>
      <c r="L296" s="528">
        <f>TRUNC(IF($E296="",IFERROR(VLOOKUP($D296,SERVIÇOS!$C:$H,5,0),IFERROR(VLOOKUP($D296,$F:$M,7,0),)),0)*$I296,2)</f>
        <v>0</v>
      </c>
      <c r="M296" s="528">
        <f t="shared" si="9"/>
        <v>0</v>
      </c>
      <c r="N296" s="526"/>
    </row>
    <row r="297" spans="3:14">
      <c r="C297" s="526" t="str">
        <f t="shared" si="8"/>
        <v/>
      </c>
      <c r="D297" s="531"/>
      <c r="E297" s="531"/>
      <c r="F297" s="526"/>
      <c r="G297" s="532" t="str">
        <f>IF($E297="",IFERROR(VLOOKUP($D297,SERVIÇOS!$C:$H,2,0),IFERROR(VLOOKUP($D297,$F:$M,2,0),"")),IFERROR(VLOOKUP($E297,INSUMOS!$B:$E,2,0),""))</f>
        <v/>
      </c>
      <c r="H297" s="526" t="str">
        <f>IF($E297="",IFERROR(VLOOKUP($D297,SERVIÇOS!$C:$H,3,0),IFERROR(VLOOKUP($D297,$F:$M,3,0),"")),IFERROR(VLOOKUP($E297,INSUMOS!$B:$E,3,0),""))</f>
        <v/>
      </c>
      <c r="I297" s="527"/>
      <c r="J297" s="528" t="str">
        <f>IF($E297="",IFERROR(VLOOKUP($D297,SERVIÇOS!$C:$H,6,0),IFERROR(VLOOKUP($D297,$F:$M,8,0),"")),IFERROR(VLOOKUP($E297,INSUMOS!$B:$E,4,0),""))</f>
        <v/>
      </c>
      <c r="K297" s="528">
        <f>TRUNC(IF($E297="",IFERROR(VLOOKUP($D297,SERVIÇOS!$C:$H,4,0),IFERROR(VLOOKUP($D297,$F:$M,6,0),)),IFERROR(VLOOKUP($E297,INSUMOS!$B:$E,4,0),))*$I297,2)</f>
        <v>0</v>
      </c>
      <c r="L297" s="528">
        <f>TRUNC(IF($E297="",IFERROR(VLOOKUP($D297,SERVIÇOS!$C:$H,5,0),IFERROR(VLOOKUP($D297,$F:$M,7,0),)),0)*$I297,2)</f>
        <v>0</v>
      </c>
      <c r="M297" s="528">
        <f t="shared" si="9"/>
        <v>0</v>
      </c>
      <c r="N297" s="526"/>
    </row>
    <row r="298" spans="3:14">
      <c r="C298" s="526" t="str">
        <f t="shared" si="8"/>
        <v/>
      </c>
      <c r="D298" s="531"/>
      <c r="E298" s="531"/>
      <c r="F298" s="526"/>
      <c r="G298" s="532" t="str">
        <f>IF($E298="",IFERROR(VLOOKUP($D298,SERVIÇOS!$C:$H,2,0),IFERROR(VLOOKUP($D298,$F:$M,2,0),"")),IFERROR(VLOOKUP($E298,INSUMOS!$B:$E,2,0),""))</f>
        <v/>
      </c>
      <c r="H298" s="526" t="str">
        <f>IF($E298="",IFERROR(VLOOKUP($D298,SERVIÇOS!$C:$H,3,0),IFERROR(VLOOKUP($D298,$F:$M,3,0),"")),IFERROR(VLOOKUP($E298,INSUMOS!$B:$E,3,0),""))</f>
        <v/>
      </c>
      <c r="I298" s="527"/>
      <c r="J298" s="528" t="str">
        <f>IF($E298="",IFERROR(VLOOKUP($D298,SERVIÇOS!$C:$H,6,0),IFERROR(VLOOKUP($D298,$F:$M,8,0),"")),IFERROR(VLOOKUP($E298,INSUMOS!$B:$E,4,0),""))</f>
        <v/>
      </c>
      <c r="K298" s="528">
        <f>TRUNC(IF($E298="",IFERROR(VLOOKUP($D298,SERVIÇOS!$C:$H,4,0),IFERROR(VLOOKUP($D298,$F:$M,6,0),)),IFERROR(VLOOKUP($E298,INSUMOS!$B:$E,4,0),))*$I298,2)</f>
        <v>0</v>
      </c>
      <c r="L298" s="528">
        <f>TRUNC(IF($E298="",IFERROR(VLOOKUP($D298,SERVIÇOS!$C:$H,5,0),IFERROR(VLOOKUP($D298,$F:$M,7,0),)),0)*$I298,2)</f>
        <v>0</v>
      </c>
      <c r="M298" s="528">
        <f t="shared" si="9"/>
        <v>0</v>
      </c>
      <c r="N298" s="526"/>
    </row>
    <row r="299" spans="3:14">
      <c r="C299" s="526" t="str">
        <f t="shared" si="8"/>
        <v/>
      </c>
      <c r="D299" s="531"/>
      <c r="E299" s="531"/>
      <c r="F299" s="526"/>
      <c r="G299" s="532" t="str">
        <f>IF($E299="",IFERROR(VLOOKUP($D299,SERVIÇOS!$C:$H,2,0),IFERROR(VLOOKUP($D299,$F:$M,2,0),"")),IFERROR(VLOOKUP($E299,INSUMOS!$B:$E,2,0),""))</f>
        <v/>
      </c>
      <c r="H299" s="526" t="str">
        <f>IF($E299="",IFERROR(VLOOKUP($D299,SERVIÇOS!$C:$H,3,0),IFERROR(VLOOKUP($D299,$F:$M,3,0),"")),IFERROR(VLOOKUP($E299,INSUMOS!$B:$E,3,0),""))</f>
        <v/>
      </c>
      <c r="I299" s="527"/>
      <c r="J299" s="528" t="str">
        <f>IF($E299="",IFERROR(VLOOKUP($D299,SERVIÇOS!$C:$H,6,0),IFERROR(VLOOKUP($D299,$F:$M,8,0),"")),IFERROR(VLOOKUP($E299,INSUMOS!$B:$E,4,0),""))</f>
        <v/>
      </c>
      <c r="K299" s="528">
        <f>TRUNC(IF($E299="",IFERROR(VLOOKUP($D299,SERVIÇOS!$C:$H,4,0),IFERROR(VLOOKUP($D299,$F:$M,6,0),)),IFERROR(VLOOKUP($E299,INSUMOS!$B:$E,4,0),))*$I299,2)</f>
        <v>0</v>
      </c>
      <c r="L299" s="528">
        <f>TRUNC(IF($E299="",IFERROR(VLOOKUP($D299,SERVIÇOS!$C:$H,5,0),IFERROR(VLOOKUP($D299,$F:$M,7,0),)),0)*$I299,2)</f>
        <v>0</v>
      </c>
      <c r="M299" s="528">
        <f t="shared" si="9"/>
        <v>0</v>
      </c>
      <c r="N299" s="526"/>
    </row>
    <row r="300" spans="3:14">
      <c r="C300" s="526" t="str">
        <f t="shared" si="8"/>
        <v/>
      </c>
      <c r="D300" s="531"/>
      <c r="E300" s="531"/>
      <c r="F300" s="526"/>
      <c r="G300" s="532" t="str">
        <f>IF($E300="",IFERROR(VLOOKUP($D300,SERVIÇOS!$C:$H,2,0),IFERROR(VLOOKUP($D300,$F:$M,2,0),"")),IFERROR(VLOOKUP($E300,INSUMOS!$B:$E,2,0),""))</f>
        <v/>
      </c>
      <c r="H300" s="526" t="str">
        <f>IF($E300="",IFERROR(VLOOKUP($D300,SERVIÇOS!$C:$H,3,0),IFERROR(VLOOKUP($D300,$F:$M,3,0),"")),IFERROR(VLOOKUP($E300,INSUMOS!$B:$E,3,0),""))</f>
        <v/>
      </c>
      <c r="I300" s="527"/>
      <c r="J300" s="528" t="str">
        <f>IF($E300="",IFERROR(VLOOKUP($D300,SERVIÇOS!$C:$H,6,0),IFERROR(VLOOKUP($D300,$F:$M,8,0),"")),IFERROR(VLOOKUP($E300,INSUMOS!$B:$E,4,0),""))</f>
        <v/>
      </c>
      <c r="K300" s="528">
        <f>TRUNC(IF($E300="",IFERROR(VLOOKUP($D300,SERVIÇOS!$C:$H,4,0),IFERROR(VLOOKUP($D300,$F:$M,6,0),)),IFERROR(VLOOKUP($E300,INSUMOS!$B:$E,4,0),))*$I300,2)</f>
        <v>0</v>
      </c>
      <c r="L300" s="528">
        <f>TRUNC(IF($E300="",IFERROR(VLOOKUP($D300,SERVIÇOS!$C:$H,5,0),IFERROR(VLOOKUP($D300,$F:$M,7,0),)),0)*$I300,2)</f>
        <v>0</v>
      </c>
      <c r="M300" s="528">
        <f t="shared" si="9"/>
        <v>0</v>
      </c>
      <c r="N300" s="526"/>
    </row>
    <row r="301" spans="3:14">
      <c r="C301" s="526" t="str">
        <f t="shared" si="8"/>
        <v/>
      </c>
      <c r="D301" s="531"/>
      <c r="E301" s="531"/>
      <c r="F301" s="526"/>
      <c r="G301" s="532" t="str">
        <f>IF($E301="",IFERROR(VLOOKUP($D301,SERVIÇOS!$C:$H,2,0),IFERROR(VLOOKUP($D301,$F:$M,2,0),"")),IFERROR(VLOOKUP($E301,INSUMOS!$B:$E,2,0),""))</f>
        <v/>
      </c>
      <c r="H301" s="526" t="str">
        <f>IF($E301="",IFERROR(VLOOKUP($D301,SERVIÇOS!$C:$H,3,0),IFERROR(VLOOKUP($D301,$F:$M,3,0),"")),IFERROR(VLOOKUP($E301,INSUMOS!$B:$E,3,0),""))</f>
        <v/>
      </c>
      <c r="I301" s="527"/>
      <c r="J301" s="528" t="str">
        <f>IF($E301="",IFERROR(VLOOKUP($D301,SERVIÇOS!$C:$H,6,0),IFERROR(VLOOKUP($D301,$F:$M,8,0),"")),IFERROR(VLOOKUP($E301,INSUMOS!$B:$E,4,0),""))</f>
        <v/>
      </c>
      <c r="K301" s="528">
        <f>TRUNC(IF($E301="",IFERROR(VLOOKUP($D301,SERVIÇOS!$C:$H,4,0),IFERROR(VLOOKUP($D301,$F:$M,6,0),)),IFERROR(VLOOKUP($E301,INSUMOS!$B:$E,4,0),))*$I301,2)</f>
        <v>0</v>
      </c>
      <c r="L301" s="528">
        <f>TRUNC(IF($E301="",IFERROR(VLOOKUP($D301,SERVIÇOS!$C:$H,5,0),IFERROR(VLOOKUP($D301,$F:$M,7,0),)),0)*$I301,2)</f>
        <v>0</v>
      </c>
      <c r="M301" s="528">
        <f t="shared" si="9"/>
        <v>0</v>
      </c>
      <c r="N301" s="526"/>
    </row>
    <row r="302" spans="3:14">
      <c r="C302" s="526" t="str">
        <f t="shared" si="8"/>
        <v/>
      </c>
      <c r="D302" s="531"/>
      <c r="E302" s="531"/>
      <c r="F302" s="526"/>
      <c r="G302" s="532" t="str">
        <f>IF($E302="",IFERROR(VLOOKUP($D302,SERVIÇOS!$C:$H,2,0),IFERROR(VLOOKUP($D302,$F:$M,2,0),"")),IFERROR(VLOOKUP($E302,INSUMOS!$B:$E,2,0),""))</f>
        <v/>
      </c>
      <c r="H302" s="526" t="str">
        <f>IF($E302="",IFERROR(VLOOKUP($D302,SERVIÇOS!$C:$H,3,0),IFERROR(VLOOKUP($D302,$F:$M,3,0),"")),IFERROR(VLOOKUP($E302,INSUMOS!$B:$E,3,0),""))</f>
        <v/>
      </c>
      <c r="I302" s="527"/>
      <c r="J302" s="528" t="str">
        <f>IF($E302="",IFERROR(VLOOKUP($D302,SERVIÇOS!$C:$H,6,0),IFERROR(VLOOKUP($D302,$F:$M,8,0),"")),IFERROR(VLOOKUP($E302,INSUMOS!$B:$E,4,0),""))</f>
        <v/>
      </c>
      <c r="K302" s="528">
        <f>TRUNC(IF($E302="",IFERROR(VLOOKUP($D302,SERVIÇOS!$C:$H,4,0),IFERROR(VLOOKUP($D302,$F:$M,6,0),)),IFERROR(VLOOKUP($E302,INSUMOS!$B:$E,4,0),))*$I302,2)</f>
        <v>0</v>
      </c>
      <c r="L302" s="528">
        <f>TRUNC(IF($E302="",IFERROR(VLOOKUP($D302,SERVIÇOS!$C:$H,5,0),IFERROR(VLOOKUP($D302,$F:$M,7,0),)),0)*$I302,2)</f>
        <v>0</v>
      </c>
      <c r="M302" s="528">
        <f t="shared" si="9"/>
        <v>0</v>
      </c>
      <c r="N302" s="526"/>
    </row>
    <row r="303" spans="3:14">
      <c r="C303" s="526" t="str">
        <f t="shared" si="8"/>
        <v/>
      </c>
      <c r="D303" s="531"/>
      <c r="E303" s="531"/>
      <c r="F303" s="526"/>
      <c r="G303" s="532" t="str">
        <f>IF($E303="",IFERROR(VLOOKUP($D303,SERVIÇOS!$C:$H,2,0),IFERROR(VLOOKUP($D303,$F:$M,2,0),"")),IFERROR(VLOOKUP($E303,INSUMOS!$B:$E,2,0),""))</f>
        <v/>
      </c>
      <c r="H303" s="526" t="str">
        <f>IF($E303="",IFERROR(VLOOKUP($D303,SERVIÇOS!$C:$H,3,0),IFERROR(VLOOKUP($D303,$F:$M,3,0),"")),IFERROR(VLOOKUP($E303,INSUMOS!$B:$E,3,0),""))</f>
        <v/>
      </c>
      <c r="I303" s="527"/>
      <c r="J303" s="528" t="str">
        <f>IF($E303="",IFERROR(VLOOKUP($D303,SERVIÇOS!$C:$H,6,0),IFERROR(VLOOKUP($D303,$F:$M,8,0),"")),IFERROR(VLOOKUP($E303,INSUMOS!$B:$E,4,0),""))</f>
        <v/>
      </c>
      <c r="K303" s="528">
        <f>TRUNC(IF($E303="",IFERROR(VLOOKUP($D303,SERVIÇOS!$C:$H,4,0),IFERROR(VLOOKUP($D303,$F:$M,6,0),)),IFERROR(VLOOKUP($E303,INSUMOS!$B:$E,4,0),))*$I303,2)</f>
        <v>0</v>
      </c>
      <c r="L303" s="528">
        <f>TRUNC(IF($E303="",IFERROR(VLOOKUP($D303,SERVIÇOS!$C:$H,5,0),IFERROR(VLOOKUP($D303,$F:$M,7,0),)),0)*$I303,2)</f>
        <v>0</v>
      </c>
      <c r="M303" s="528">
        <f t="shared" si="9"/>
        <v>0</v>
      </c>
      <c r="N303" s="526"/>
    </row>
    <row r="304" spans="3:14">
      <c r="C304" s="526" t="str">
        <f t="shared" si="8"/>
        <v/>
      </c>
      <c r="D304" s="531"/>
      <c r="E304" s="531"/>
      <c r="F304" s="526"/>
      <c r="G304" s="532" t="str">
        <f>IF($E304="",IFERROR(VLOOKUP($D304,SERVIÇOS!$C:$H,2,0),IFERROR(VLOOKUP($D304,$F:$M,2,0),"")),IFERROR(VLOOKUP($E304,INSUMOS!$B:$E,2,0),""))</f>
        <v/>
      </c>
      <c r="H304" s="526" t="str">
        <f>IF($E304="",IFERROR(VLOOKUP($D304,SERVIÇOS!$C:$H,3,0),IFERROR(VLOOKUP($D304,$F:$M,3,0),"")),IFERROR(VLOOKUP($E304,INSUMOS!$B:$E,3,0),""))</f>
        <v/>
      </c>
      <c r="I304" s="527"/>
      <c r="J304" s="528" t="str">
        <f>IF($E304="",IFERROR(VLOOKUP($D304,SERVIÇOS!$C:$H,6,0),IFERROR(VLOOKUP($D304,$F:$M,8,0),"")),IFERROR(VLOOKUP($E304,INSUMOS!$B:$E,4,0),""))</f>
        <v/>
      </c>
      <c r="K304" s="528">
        <f>TRUNC(IF($E304="",IFERROR(VLOOKUP($D304,SERVIÇOS!$C:$H,4,0),IFERROR(VLOOKUP($D304,$F:$M,6,0),)),IFERROR(VLOOKUP($E304,INSUMOS!$B:$E,4,0),))*$I304,2)</f>
        <v>0</v>
      </c>
      <c r="L304" s="528">
        <f>TRUNC(IF($E304="",IFERROR(VLOOKUP($D304,SERVIÇOS!$C:$H,5,0),IFERROR(VLOOKUP($D304,$F:$M,7,0),)),0)*$I304,2)</f>
        <v>0</v>
      </c>
      <c r="M304" s="528">
        <f t="shared" si="9"/>
        <v>0</v>
      </c>
      <c r="N304" s="526"/>
    </row>
    <row r="305" spans="3:14">
      <c r="C305" s="526" t="str">
        <f t="shared" si="8"/>
        <v/>
      </c>
      <c r="D305" s="531"/>
      <c r="E305" s="531"/>
      <c r="F305" s="526"/>
      <c r="G305" s="532" t="str">
        <f>IF($E305="",IFERROR(VLOOKUP($D305,SERVIÇOS!$C:$H,2,0),IFERROR(VLOOKUP($D305,$F:$M,2,0),"")),IFERROR(VLOOKUP($E305,INSUMOS!$B:$E,2,0),""))</f>
        <v/>
      </c>
      <c r="H305" s="526" t="str">
        <f>IF($E305="",IFERROR(VLOOKUP($D305,SERVIÇOS!$C:$H,3,0),IFERROR(VLOOKUP($D305,$F:$M,3,0),"")),IFERROR(VLOOKUP($E305,INSUMOS!$B:$E,3,0),""))</f>
        <v/>
      </c>
      <c r="I305" s="527"/>
      <c r="J305" s="528" t="str">
        <f>IF($E305="",IFERROR(VLOOKUP($D305,SERVIÇOS!$C:$H,6,0),IFERROR(VLOOKUP($D305,$F:$M,8,0),"")),IFERROR(VLOOKUP($E305,INSUMOS!$B:$E,4,0),""))</f>
        <v/>
      </c>
      <c r="K305" s="528">
        <f>TRUNC(IF($E305="",IFERROR(VLOOKUP($D305,SERVIÇOS!$C:$H,4,0),IFERROR(VLOOKUP($D305,$F:$M,6,0),)),IFERROR(VLOOKUP($E305,INSUMOS!$B:$E,4,0),))*$I305,2)</f>
        <v>0</v>
      </c>
      <c r="L305" s="528">
        <f>TRUNC(IF($E305="",IFERROR(VLOOKUP($D305,SERVIÇOS!$C:$H,5,0),IFERROR(VLOOKUP($D305,$F:$M,7,0),)),0)*$I305,2)</f>
        <v>0</v>
      </c>
      <c r="M305" s="528">
        <f t="shared" si="9"/>
        <v>0</v>
      </c>
      <c r="N305" s="526"/>
    </row>
    <row r="306" spans="3:14">
      <c r="C306" s="526" t="str">
        <f t="shared" si="8"/>
        <v/>
      </c>
      <c r="D306" s="531"/>
      <c r="E306" s="531"/>
      <c r="F306" s="526"/>
      <c r="G306" s="532" t="str">
        <f>IF($E306="",IFERROR(VLOOKUP($D306,SERVIÇOS!$C:$H,2,0),IFERROR(VLOOKUP($D306,$F:$M,2,0),"")),IFERROR(VLOOKUP($E306,INSUMOS!$B:$E,2,0),""))</f>
        <v/>
      </c>
      <c r="H306" s="526" t="str">
        <f>IF($E306="",IFERROR(VLOOKUP($D306,SERVIÇOS!$C:$H,3,0),IFERROR(VLOOKUP($D306,$F:$M,3,0),"")),IFERROR(VLOOKUP($E306,INSUMOS!$B:$E,3,0),""))</f>
        <v/>
      </c>
      <c r="I306" s="527"/>
      <c r="J306" s="528" t="str">
        <f>IF($E306="",IFERROR(VLOOKUP($D306,SERVIÇOS!$C:$H,6,0),IFERROR(VLOOKUP($D306,$F:$M,8,0),"")),IFERROR(VLOOKUP($E306,INSUMOS!$B:$E,4,0),""))</f>
        <v/>
      </c>
      <c r="K306" s="528">
        <f>TRUNC(IF($E306="",IFERROR(VLOOKUP($D306,SERVIÇOS!$C:$H,4,0),IFERROR(VLOOKUP($D306,$F:$M,6,0),)),IFERROR(VLOOKUP($E306,INSUMOS!$B:$E,4,0),))*$I306,2)</f>
        <v>0</v>
      </c>
      <c r="L306" s="528">
        <f>TRUNC(IF($E306="",IFERROR(VLOOKUP($D306,SERVIÇOS!$C:$H,5,0),IFERROR(VLOOKUP($D306,$F:$M,7,0),)),0)*$I306,2)</f>
        <v>0</v>
      </c>
      <c r="M306" s="528">
        <f t="shared" si="9"/>
        <v>0</v>
      </c>
      <c r="N306" s="526"/>
    </row>
    <row r="307" spans="3:14">
      <c r="C307" s="526" t="str">
        <f t="shared" si="8"/>
        <v/>
      </c>
      <c r="D307" s="531"/>
      <c r="E307" s="531"/>
      <c r="F307" s="526"/>
      <c r="G307" s="532" t="str">
        <f>IF($E307="",IFERROR(VLOOKUP($D307,SERVIÇOS!$C:$H,2,0),IFERROR(VLOOKUP($D307,$F:$M,2,0),"")),IFERROR(VLOOKUP($E307,INSUMOS!$B:$E,2,0),""))</f>
        <v/>
      </c>
      <c r="H307" s="526" t="str">
        <f>IF($E307="",IFERROR(VLOOKUP($D307,SERVIÇOS!$C:$H,3,0),IFERROR(VLOOKUP($D307,$F:$M,3,0),"")),IFERROR(VLOOKUP($E307,INSUMOS!$B:$E,3,0),""))</f>
        <v/>
      </c>
      <c r="I307" s="527"/>
      <c r="J307" s="528" t="str">
        <f>IF($E307="",IFERROR(VLOOKUP($D307,SERVIÇOS!$C:$H,6,0),IFERROR(VLOOKUP($D307,$F:$M,8,0),"")),IFERROR(VLOOKUP($E307,INSUMOS!$B:$E,4,0),""))</f>
        <v/>
      </c>
      <c r="K307" s="528">
        <f>TRUNC(IF($E307="",IFERROR(VLOOKUP($D307,SERVIÇOS!$C:$H,4,0),IFERROR(VLOOKUP($D307,$F:$M,6,0),)),IFERROR(VLOOKUP($E307,INSUMOS!$B:$E,4,0),))*$I307,2)</f>
        <v>0</v>
      </c>
      <c r="L307" s="528">
        <f>TRUNC(IF($E307="",IFERROR(VLOOKUP($D307,SERVIÇOS!$C:$H,5,0),IFERROR(VLOOKUP($D307,$F:$M,7,0),)),0)*$I307,2)</f>
        <v>0</v>
      </c>
      <c r="M307" s="528">
        <f t="shared" si="9"/>
        <v>0</v>
      </c>
      <c r="N307" s="526"/>
    </row>
    <row r="308" spans="3:14">
      <c r="C308" s="526" t="str">
        <f t="shared" si="8"/>
        <v/>
      </c>
      <c r="D308" s="531"/>
      <c r="E308" s="531"/>
      <c r="F308" s="526"/>
      <c r="G308" s="532" t="str">
        <f>IF($E308="",IFERROR(VLOOKUP($D308,SERVIÇOS!$C:$H,2,0),IFERROR(VLOOKUP($D308,$F:$M,2,0),"")),IFERROR(VLOOKUP($E308,INSUMOS!$B:$E,2,0),""))</f>
        <v/>
      </c>
      <c r="H308" s="526" t="str">
        <f>IF($E308="",IFERROR(VLOOKUP($D308,SERVIÇOS!$C:$H,3,0),IFERROR(VLOOKUP($D308,$F:$M,3,0),"")),IFERROR(VLOOKUP($E308,INSUMOS!$B:$E,3,0),""))</f>
        <v/>
      </c>
      <c r="I308" s="527"/>
      <c r="J308" s="528" t="str">
        <f>IF($E308="",IFERROR(VLOOKUP($D308,SERVIÇOS!$C:$H,6,0),IFERROR(VLOOKUP($D308,$F:$M,8,0),"")),IFERROR(VLOOKUP($E308,INSUMOS!$B:$E,4,0),""))</f>
        <v/>
      </c>
      <c r="K308" s="528">
        <f>TRUNC(IF($E308="",IFERROR(VLOOKUP($D308,SERVIÇOS!$C:$H,4,0),IFERROR(VLOOKUP($D308,$F:$M,6,0),)),IFERROR(VLOOKUP($E308,INSUMOS!$B:$E,4,0),))*$I308,2)</f>
        <v>0</v>
      </c>
      <c r="L308" s="528">
        <f>TRUNC(IF($E308="",IFERROR(VLOOKUP($D308,SERVIÇOS!$C:$H,5,0),IFERROR(VLOOKUP($D308,$F:$M,7,0),)),0)*$I308,2)</f>
        <v>0</v>
      </c>
      <c r="M308" s="528">
        <f t="shared" si="9"/>
        <v>0</v>
      </c>
      <c r="N308" s="526"/>
    </row>
    <row r="309" spans="3:14">
      <c r="C309" s="526" t="str">
        <f t="shared" si="8"/>
        <v/>
      </c>
      <c r="D309" s="531"/>
      <c r="E309" s="531"/>
      <c r="F309" s="526"/>
      <c r="G309" s="532" t="str">
        <f>IF($E309="",IFERROR(VLOOKUP($D309,SERVIÇOS!$C:$H,2,0),IFERROR(VLOOKUP($D309,$F:$M,2,0),"")),IFERROR(VLOOKUP($E309,INSUMOS!$B:$E,2,0),""))</f>
        <v/>
      </c>
      <c r="H309" s="526" t="str">
        <f>IF($E309="",IFERROR(VLOOKUP($D309,SERVIÇOS!$C:$H,3,0),IFERROR(VLOOKUP($D309,$F:$M,3,0),"")),IFERROR(VLOOKUP($E309,INSUMOS!$B:$E,3,0),""))</f>
        <v/>
      </c>
      <c r="I309" s="527"/>
      <c r="J309" s="528" t="str">
        <f>IF($E309="",IFERROR(VLOOKUP($D309,SERVIÇOS!$C:$H,6,0),IFERROR(VLOOKUP($D309,$F:$M,8,0),"")),IFERROR(VLOOKUP($E309,INSUMOS!$B:$E,4,0),""))</f>
        <v/>
      </c>
      <c r="K309" s="528">
        <f>TRUNC(IF($E309="",IFERROR(VLOOKUP($D309,SERVIÇOS!$C:$H,4,0),IFERROR(VLOOKUP($D309,$F:$M,6,0),)),IFERROR(VLOOKUP($E309,INSUMOS!$B:$E,4,0),))*$I309,2)</f>
        <v>0</v>
      </c>
      <c r="L309" s="528">
        <f>TRUNC(IF($E309="",IFERROR(VLOOKUP($D309,SERVIÇOS!$C:$H,5,0),IFERROR(VLOOKUP($D309,$F:$M,7,0),)),0)*$I309,2)</f>
        <v>0</v>
      </c>
      <c r="M309" s="528">
        <f t="shared" si="9"/>
        <v>0</v>
      </c>
      <c r="N309" s="526"/>
    </row>
    <row r="310" spans="3:14">
      <c r="C310" s="526" t="str">
        <f t="shared" si="8"/>
        <v/>
      </c>
      <c r="D310" s="531"/>
      <c r="E310" s="531"/>
      <c r="F310" s="526"/>
      <c r="G310" s="532" t="str">
        <f>IF($E310="",IFERROR(VLOOKUP($D310,SERVIÇOS!$C:$H,2,0),IFERROR(VLOOKUP($D310,$F:$M,2,0),"")),IFERROR(VLOOKUP($E310,INSUMOS!$B:$E,2,0),""))</f>
        <v/>
      </c>
      <c r="H310" s="526" t="str">
        <f>IF($E310="",IFERROR(VLOOKUP($D310,SERVIÇOS!$C:$H,3,0),IFERROR(VLOOKUP($D310,$F:$M,3,0),"")),IFERROR(VLOOKUP($E310,INSUMOS!$B:$E,3,0),""))</f>
        <v/>
      </c>
      <c r="I310" s="527"/>
      <c r="J310" s="528" t="str">
        <f>IF($E310="",IFERROR(VLOOKUP($D310,SERVIÇOS!$C:$H,6,0),IFERROR(VLOOKUP($D310,$F:$M,8,0),"")),IFERROR(VLOOKUP($E310,INSUMOS!$B:$E,4,0),""))</f>
        <v/>
      </c>
      <c r="K310" s="528">
        <f>TRUNC(IF($E310="",IFERROR(VLOOKUP($D310,SERVIÇOS!$C:$H,4,0),IFERROR(VLOOKUP($D310,$F:$M,6,0),)),IFERROR(VLOOKUP($E310,INSUMOS!$B:$E,4,0),))*$I310,2)</f>
        <v>0</v>
      </c>
      <c r="L310" s="528">
        <f>TRUNC(IF($E310="",IFERROR(VLOOKUP($D310,SERVIÇOS!$C:$H,5,0),IFERROR(VLOOKUP($D310,$F:$M,7,0),)),0)*$I310,2)</f>
        <v>0</v>
      </c>
      <c r="M310" s="528">
        <f t="shared" si="9"/>
        <v>0</v>
      </c>
      <c r="N310" s="526"/>
    </row>
    <row r="311" spans="3:14">
      <c r="C311" s="526" t="str">
        <f t="shared" si="8"/>
        <v/>
      </c>
      <c r="D311" s="531"/>
      <c r="E311" s="531"/>
      <c r="F311" s="526"/>
      <c r="G311" s="532" t="str">
        <f>IF($E311="",IFERROR(VLOOKUP($D311,SERVIÇOS!$C:$H,2,0),IFERROR(VLOOKUP($D311,$F:$M,2,0),"")),IFERROR(VLOOKUP($E311,INSUMOS!$B:$E,2,0),""))</f>
        <v/>
      </c>
      <c r="H311" s="526" t="str">
        <f>IF($E311="",IFERROR(VLOOKUP($D311,SERVIÇOS!$C:$H,3,0),IFERROR(VLOOKUP($D311,$F:$M,3,0),"")),IFERROR(VLOOKUP($E311,INSUMOS!$B:$E,3,0),""))</f>
        <v/>
      </c>
      <c r="I311" s="527"/>
      <c r="J311" s="528" t="str">
        <f>IF($E311="",IFERROR(VLOOKUP($D311,SERVIÇOS!$C:$H,6,0),IFERROR(VLOOKUP($D311,$F:$M,8,0),"")),IFERROR(VLOOKUP($E311,INSUMOS!$B:$E,4,0),""))</f>
        <v/>
      </c>
      <c r="K311" s="528">
        <f>TRUNC(IF($E311="",IFERROR(VLOOKUP($D311,SERVIÇOS!$C:$H,4,0),IFERROR(VLOOKUP($D311,$F:$M,6,0),)),IFERROR(VLOOKUP($E311,INSUMOS!$B:$E,4,0),))*$I311,2)</f>
        <v>0</v>
      </c>
      <c r="L311" s="528">
        <f>TRUNC(IF($E311="",IFERROR(VLOOKUP($D311,SERVIÇOS!$C:$H,5,0),IFERROR(VLOOKUP($D311,$F:$M,7,0),)),0)*$I311,2)</f>
        <v>0</v>
      </c>
      <c r="M311" s="528">
        <f t="shared" si="9"/>
        <v>0</v>
      </c>
      <c r="N311" s="526"/>
    </row>
    <row r="312" spans="3:14">
      <c r="C312" s="526" t="str">
        <f t="shared" si="8"/>
        <v/>
      </c>
      <c r="D312" s="531"/>
      <c r="E312" s="531"/>
      <c r="F312" s="526"/>
      <c r="G312" s="532" t="str">
        <f>IF($E312="",IFERROR(VLOOKUP($D312,SERVIÇOS!$C:$H,2,0),IFERROR(VLOOKUP($D312,$F:$M,2,0),"")),IFERROR(VLOOKUP($E312,INSUMOS!$B:$E,2,0),""))</f>
        <v/>
      </c>
      <c r="H312" s="526" t="str">
        <f>IF($E312="",IFERROR(VLOOKUP($D312,SERVIÇOS!$C:$H,3,0),IFERROR(VLOOKUP($D312,$F:$M,3,0),"")),IFERROR(VLOOKUP($E312,INSUMOS!$B:$E,3,0),""))</f>
        <v/>
      </c>
      <c r="I312" s="527"/>
      <c r="J312" s="528" t="str">
        <f>IF($E312="",IFERROR(VLOOKUP($D312,SERVIÇOS!$C:$H,6,0),IFERROR(VLOOKUP($D312,$F:$M,8,0),"")),IFERROR(VLOOKUP($E312,INSUMOS!$B:$E,4,0),""))</f>
        <v/>
      </c>
      <c r="K312" s="528">
        <f>TRUNC(IF($E312="",IFERROR(VLOOKUP($D312,SERVIÇOS!$C:$H,4,0),IFERROR(VLOOKUP($D312,$F:$M,6,0),)),IFERROR(VLOOKUP($E312,INSUMOS!$B:$E,4,0),))*$I312,2)</f>
        <v>0</v>
      </c>
      <c r="L312" s="528">
        <f>TRUNC(IF($E312="",IFERROR(VLOOKUP($D312,SERVIÇOS!$C:$H,5,0),IFERROR(VLOOKUP($D312,$F:$M,7,0),)),0)*$I312,2)</f>
        <v>0</v>
      </c>
      <c r="M312" s="528">
        <f t="shared" si="9"/>
        <v>0</v>
      </c>
      <c r="N312" s="526"/>
    </row>
    <row r="313" spans="3:14">
      <c r="C313" s="526" t="str">
        <f t="shared" si="8"/>
        <v/>
      </c>
      <c r="D313" s="531"/>
      <c r="E313" s="531"/>
      <c r="F313" s="526"/>
      <c r="G313" s="532" t="str">
        <f>IF($E313="",IFERROR(VLOOKUP($D313,SERVIÇOS!$C:$H,2,0),IFERROR(VLOOKUP($D313,$F:$M,2,0),"")),IFERROR(VLOOKUP($E313,INSUMOS!$B:$E,2,0),""))</f>
        <v/>
      </c>
      <c r="H313" s="526" t="str">
        <f>IF($E313="",IFERROR(VLOOKUP($D313,SERVIÇOS!$C:$H,3,0),IFERROR(VLOOKUP($D313,$F:$M,3,0),"")),IFERROR(VLOOKUP($E313,INSUMOS!$B:$E,3,0),""))</f>
        <v/>
      </c>
      <c r="I313" s="527"/>
      <c r="J313" s="528" t="str">
        <f>IF($E313="",IFERROR(VLOOKUP($D313,SERVIÇOS!$C:$H,6,0),IFERROR(VLOOKUP($D313,$F:$M,8,0),"")),IFERROR(VLOOKUP($E313,INSUMOS!$B:$E,4,0),""))</f>
        <v/>
      </c>
      <c r="K313" s="528">
        <f>TRUNC(IF($E313="",IFERROR(VLOOKUP($D313,SERVIÇOS!$C:$H,4,0),IFERROR(VLOOKUP($D313,$F:$M,6,0),)),IFERROR(VLOOKUP($E313,INSUMOS!$B:$E,4,0),))*$I313,2)</f>
        <v>0</v>
      </c>
      <c r="L313" s="528">
        <f>TRUNC(IF($E313="",IFERROR(VLOOKUP($D313,SERVIÇOS!$C:$H,5,0),IFERROR(VLOOKUP($D313,$F:$M,7,0),)),0)*$I313,2)</f>
        <v>0</v>
      </c>
      <c r="M313" s="528">
        <f t="shared" si="9"/>
        <v>0</v>
      </c>
      <c r="N313" s="526"/>
    </row>
    <row r="314" spans="3:14">
      <c r="C314" s="526" t="str">
        <f t="shared" si="8"/>
        <v/>
      </c>
      <c r="D314" s="531"/>
      <c r="E314" s="531"/>
      <c r="F314" s="526"/>
      <c r="G314" s="532" t="str">
        <f>IF($E314="",IFERROR(VLOOKUP($D314,SERVIÇOS!$C:$H,2,0),IFERROR(VLOOKUP($D314,$F:$M,2,0),"")),IFERROR(VLOOKUP($E314,INSUMOS!$B:$E,2,0),""))</f>
        <v/>
      </c>
      <c r="H314" s="526" t="str">
        <f>IF($E314="",IFERROR(VLOOKUP($D314,SERVIÇOS!$C:$H,3,0),IFERROR(VLOOKUP($D314,$F:$M,3,0),"")),IFERROR(VLOOKUP($E314,INSUMOS!$B:$E,3,0),""))</f>
        <v/>
      </c>
      <c r="I314" s="527"/>
      <c r="J314" s="528" t="str">
        <f>IF($E314="",IFERROR(VLOOKUP($D314,SERVIÇOS!$C:$H,6,0),IFERROR(VLOOKUP($D314,$F:$M,8,0),"")),IFERROR(VLOOKUP($E314,INSUMOS!$B:$E,4,0),""))</f>
        <v/>
      </c>
      <c r="K314" s="528">
        <f>TRUNC(IF($E314="",IFERROR(VLOOKUP($D314,SERVIÇOS!$C:$H,4,0),IFERROR(VLOOKUP($D314,$F:$M,6,0),)),IFERROR(VLOOKUP($E314,INSUMOS!$B:$E,4,0),))*$I314,2)</f>
        <v>0</v>
      </c>
      <c r="L314" s="528">
        <f>TRUNC(IF($E314="",IFERROR(VLOOKUP($D314,SERVIÇOS!$C:$H,5,0),IFERROR(VLOOKUP($D314,$F:$M,7,0),)),0)*$I314,2)</f>
        <v>0</v>
      </c>
      <c r="M314" s="528">
        <f t="shared" si="9"/>
        <v>0</v>
      </c>
      <c r="N314" s="526"/>
    </row>
    <row r="315" spans="3:14">
      <c r="C315" s="526" t="str">
        <f t="shared" si="8"/>
        <v/>
      </c>
      <c r="D315" s="531"/>
      <c r="E315" s="531"/>
      <c r="F315" s="526"/>
      <c r="G315" s="532" t="str">
        <f>IF($E315="",IFERROR(VLOOKUP($D315,SERVIÇOS!$C:$H,2,0),IFERROR(VLOOKUP($D315,$F:$M,2,0),"")),IFERROR(VLOOKUP($E315,INSUMOS!$B:$E,2,0),""))</f>
        <v/>
      </c>
      <c r="H315" s="526" t="str">
        <f>IF($E315="",IFERROR(VLOOKUP($D315,SERVIÇOS!$C:$H,3,0),IFERROR(VLOOKUP($D315,$F:$M,3,0),"")),IFERROR(VLOOKUP($E315,INSUMOS!$B:$E,3,0),""))</f>
        <v/>
      </c>
      <c r="I315" s="527"/>
      <c r="J315" s="528" t="str">
        <f>IF($E315="",IFERROR(VLOOKUP($D315,SERVIÇOS!$C:$H,6,0),IFERROR(VLOOKUP($D315,$F:$M,8,0),"")),IFERROR(VLOOKUP($E315,INSUMOS!$B:$E,4,0),""))</f>
        <v/>
      </c>
      <c r="K315" s="528">
        <f>TRUNC(IF($E315="",IFERROR(VLOOKUP($D315,SERVIÇOS!$C:$H,4,0),IFERROR(VLOOKUP($D315,$F:$M,6,0),)),IFERROR(VLOOKUP($E315,INSUMOS!$B:$E,4,0),))*$I315,2)</f>
        <v>0</v>
      </c>
      <c r="L315" s="528">
        <f>TRUNC(IF($E315="",IFERROR(VLOOKUP($D315,SERVIÇOS!$C:$H,5,0),IFERROR(VLOOKUP($D315,$F:$M,7,0),)),0)*$I315,2)</f>
        <v>0</v>
      </c>
      <c r="M315" s="528">
        <f t="shared" si="9"/>
        <v>0</v>
      </c>
      <c r="N315" s="526"/>
    </row>
    <row r="316" spans="3:14">
      <c r="C316" s="526" t="str">
        <f t="shared" si="8"/>
        <v/>
      </c>
      <c r="D316" s="531"/>
      <c r="E316" s="531"/>
      <c r="F316" s="526"/>
      <c r="G316" s="532" t="str">
        <f>IF($E316="",IFERROR(VLOOKUP($D316,SERVIÇOS!$C:$H,2,0),IFERROR(VLOOKUP($D316,$F:$M,2,0),"")),IFERROR(VLOOKUP($E316,INSUMOS!$B:$E,2,0),""))</f>
        <v/>
      </c>
      <c r="H316" s="526" t="str">
        <f>IF($E316="",IFERROR(VLOOKUP($D316,SERVIÇOS!$C:$H,3,0),IFERROR(VLOOKUP($D316,$F:$M,3,0),"")),IFERROR(VLOOKUP($E316,INSUMOS!$B:$E,3,0),""))</f>
        <v/>
      </c>
      <c r="I316" s="527"/>
      <c r="J316" s="528" t="str">
        <f>IF($E316="",IFERROR(VLOOKUP($D316,SERVIÇOS!$C:$H,6,0),IFERROR(VLOOKUP($D316,$F:$M,8,0),"")),IFERROR(VLOOKUP($E316,INSUMOS!$B:$E,4,0),""))</f>
        <v/>
      </c>
      <c r="K316" s="528">
        <f>TRUNC(IF($E316="",IFERROR(VLOOKUP($D316,SERVIÇOS!$C:$H,4,0),IFERROR(VLOOKUP($D316,$F:$M,6,0),)),IFERROR(VLOOKUP($E316,INSUMOS!$B:$E,4,0),))*$I316,2)</f>
        <v>0</v>
      </c>
      <c r="L316" s="528">
        <f>TRUNC(IF($E316="",IFERROR(VLOOKUP($D316,SERVIÇOS!$C:$H,5,0),IFERROR(VLOOKUP($D316,$F:$M,7,0),)),0)*$I316,2)</f>
        <v>0</v>
      </c>
      <c r="M316" s="528">
        <f t="shared" si="9"/>
        <v>0</v>
      </c>
      <c r="N316" s="526"/>
    </row>
    <row r="317" spans="3:14">
      <c r="C317" s="526" t="str">
        <f t="shared" si="8"/>
        <v/>
      </c>
      <c r="D317" s="531"/>
      <c r="E317" s="531"/>
      <c r="F317" s="526"/>
      <c r="G317" s="532" t="str">
        <f>IF($E317="",IFERROR(VLOOKUP($D317,SERVIÇOS!$C:$H,2,0),IFERROR(VLOOKUP($D317,$F:$M,2,0),"")),IFERROR(VLOOKUP($E317,INSUMOS!$B:$E,2,0),""))</f>
        <v/>
      </c>
      <c r="H317" s="526" t="str">
        <f>IF($E317="",IFERROR(VLOOKUP($D317,SERVIÇOS!$C:$H,3,0),IFERROR(VLOOKUP($D317,$F:$M,3,0),"")),IFERROR(VLOOKUP($E317,INSUMOS!$B:$E,3,0),""))</f>
        <v/>
      </c>
      <c r="I317" s="527"/>
      <c r="J317" s="528" t="str">
        <f>IF($E317="",IFERROR(VLOOKUP($D317,SERVIÇOS!$C:$H,6,0),IFERROR(VLOOKUP($D317,$F:$M,8,0),"")),IFERROR(VLOOKUP($E317,INSUMOS!$B:$E,4,0),""))</f>
        <v/>
      </c>
      <c r="K317" s="528">
        <f>TRUNC(IF($E317="",IFERROR(VLOOKUP($D317,SERVIÇOS!$C:$H,4,0),IFERROR(VLOOKUP($D317,$F:$M,6,0),)),IFERROR(VLOOKUP($E317,INSUMOS!$B:$E,4,0),))*$I317,2)</f>
        <v>0</v>
      </c>
      <c r="L317" s="528">
        <f>TRUNC(IF($E317="",IFERROR(VLOOKUP($D317,SERVIÇOS!$C:$H,5,0),IFERROR(VLOOKUP($D317,$F:$M,7,0),)),0)*$I317,2)</f>
        <v>0</v>
      </c>
      <c r="M317" s="528">
        <f t="shared" si="9"/>
        <v>0</v>
      </c>
      <c r="N317" s="526"/>
    </row>
    <row r="318" spans="3:14">
      <c r="C318" s="526" t="str">
        <f t="shared" si="8"/>
        <v/>
      </c>
      <c r="D318" s="531"/>
      <c r="E318" s="531"/>
      <c r="F318" s="526"/>
      <c r="G318" s="532" t="str">
        <f>IF($E318="",IFERROR(VLOOKUP($D318,SERVIÇOS!$C:$H,2,0),IFERROR(VLOOKUP($D318,$F:$M,2,0),"")),IFERROR(VLOOKUP($E318,INSUMOS!$B:$E,2,0),""))</f>
        <v/>
      </c>
      <c r="H318" s="526" t="str">
        <f>IF($E318="",IFERROR(VLOOKUP($D318,SERVIÇOS!$C:$H,3,0),IFERROR(VLOOKUP($D318,$F:$M,3,0),"")),IFERROR(VLOOKUP($E318,INSUMOS!$B:$E,3,0),""))</f>
        <v/>
      </c>
      <c r="I318" s="527"/>
      <c r="J318" s="528" t="str">
        <f>IF($E318="",IFERROR(VLOOKUP($D318,SERVIÇOS!$C:$H,6,0),IFERROR(VLOOKUP($D318,$F:$M,8,0),"")),IFERROR(VLOOKUP($E318,INSUMOS!$B:$E,4,0),""))</f>
        <v/>
      </c>
      <c r="K318" s="528">
        <f>TRUNC(IF($E318="",IFERROR(VLOOKUP($D318,SERVIÇOS!$C:$H,4,0),IFERROR(VLOOKUP($D318,$F:$M,6,0),)),IFERROR(VLOOKUP($E318,INSUMOS!$B:$E,4,0),))*$I318,2)</f>
        <v>0</v>
      </c>
      <c r="L318" s="528">
        <f>TRUNC(IF($E318="",IFERROR(VLOOKUP($D318,SERVIÇOS!$C:$H,5,0),IFERROR(VLOOKUP($D318,$F:$M,7,0),)),0)*$I318,2)</f>
        <v>0</v>
      </c>
      <c r="M318" s="528">
        <f t="shared" si="9"/>
        <v>0</v>
      </c>
      <c r="N318" s="526"/>
    </row>
    <row r="319" spans="3:14">
      <c r="C319" s="526" t="str">
        <f t="shared" si="8"/>
        <v/>
      </c>
      <c r="D319" s="531"/>
      <c r="E319" s="531"/>
      <c r="F319" s="526"/>
      <c r="G319" s="532" t="str">
        <f>IF($E319="",IFERROR(VLOOKUP($D319,SERVIÇOS!$C:$H,2,0),IFERROR(VLOOKUP($D319,$F:$M,2,0),"")),IFERROR(VLOOKUP($E319,INSUMOS!$B:$E,2,0),""))</f>
        <v/>
      </c>
      <c r="H319" s="526" t="str">
        <f>IF($E319="",IFERROR(VLOOKUP($D319,SERVIÇOS!$C:$H,3,0),IFERROR(VLOOKUP($D319,$F:$M,3,0),"")),IFERROR(VLOOKUP($E319,INSUMOS!$B:$E,3,0),""))</f>
        <v/>
      </c>
      <c r="I319" s="527"/>
      <c r="J319" s="528" t="str">
        <f>IF($E319="",IFERROR(VLOOKUP($D319,SERVIÇOS!$C:$H,6,0),IFERROR(VLOOKUP($D319,$F:$M,8,0),"")),IFERROR(VLOOKUP($E319,INSUMOS!$B:$E,4,0),""))</f>
        <v/>
      </c>
      <c r="K319" s="528">
        <f>TRUNC(IF($E319="",IFERROR(VLOOKUP($D319,SERVIÇOS!$C:$H,4,0),IFERROR(VLOOKUP($D319,$F:$M,6,0),)),IFERROR(VLOOKUP($E319,INSUMOS!$B:$E,4,0),))*$I319,2)</f>
        <v>0</v>
      </c>
      <c r="L319" s="528">
        <f>TRUNC(IF($E319="",IFERROR(VLOOKUP($D319,SERVIÇOS!$C:$H,5,0),IFERROR(VLOOKUP($D319,$F:$M,7,0),)),0)*$I319,2)</f>
        <v>0</v>
      </c>
      <c r="M319" s="528">
        <f t="shared" si="9"/>
        <v>0</v>
      </c>
      <c r="N319" s="526"/>
    </row>
    <row r="320" spans="3:14">
      <c r="C320" s="526" t="str">
        <f t="shared" si="8"/>
        <v/>
      </c>
      <c r="D320" s="531"/>
      <c r="E320" s="531"/>
      <c r="F320" s="526"/>
      <c r="G320" s="532" t="str">
        <f>IF($E320="",IFERROR(VLOOKUP($D320,SERVIÇOS!$C:$H,2,0),IFERROR(VLOOKUP($D320,$F:$M,2,0),"")),IFERROR(VLOOKUP($E320,INSUMOS!$B:$E,2,0),""))</f>
        <v/>
      </c>
      <c r="H320" s="526" t="str">
        <f>IF($E320="",IFERROR(VLOOKUP($D320,SERVIÇOS!$C:$H,3,0),IFERROR(VLOOKUP($D320,$F:$M,3,0),"")),IFERROR(VLOOKUP($E320,INSUMOS!$B:$E,3,0),""))</f>
        <v/>
      </c>
      <c r="I320" s="527"/>
      <c r="J320" s="528" t="str">
        <f>IF($E320="",IFERROR(VLOOKUP($D320,SERVIÇOS!$C:$H,6,0),IFERROR(VLOOKUP($D320,$F:$M,8,0),"")),IFERROR(VLOOKUP($E320,INSUMOS!$B:$E,4,0),""))</f>
        <v/>
      </c>
      <c r="K320" s="528">
        <f>TRUNC(IF($E320="",IFERROR(VLOOKUP($D320,SERVIÇOS!$C:$H,4,0),IFERROR(VLOOKUP($D320,$F:$M,6,0),)),IFERROR(VLOOKUP($E320,INSUMOS!$B:$E,4,0),))*$I320,2)</f>
        <v>0</v>
      </c>
      <c r="L320" s="528">
        <f>TRUNC(IF($E320="",IFERROR(VLOOKUP($D320,SERVIÇOS!$C:$H,5,0),IFERROR(VLOOKUP($D320,$F:$M,7,0),)),0)*$I320,2)</f>
        <v>0</v>
      </c>
      <c r="M320" s="528">
        <f t="shared" si="9"/>
        <v>0</v>
      </c>
      <c r="N320" s="526"/>
    </row>
    <row r="321" spans="3:14">
      <c r="C321" s="526" t="str">
        <f t="shared" si="8"/>
        <v/>
      </c>
      <c r="D321" s="531"/>
      <c r="E321" s="531"/>
      <c r="F321" s="526"/>
      <c r="G321" s="532" t="str">
        <f>IF($E321="",IFERROR(VLOOKUP($D321,SERVIÇOS!$C:$H,2,0),IFERROR(VLOOKUP($D321,$F:$M,2,0),"")),IFERROR(VLOOKUP($E321,INSUMOS!$B:$E,2,0),""))</f>
        <v/>
      </c>
      <c r="H321" s="526" t="str">
        <f>IF($E321="",IFERROR(VLOOKUP($D321,SERVIÇOS!$C:$H,3,0),IFERROR(VLOOKUP($D321,$F:$M,3,0),"")),IFERROR(VLOOKUP($E321,INSUMOS!$B:$E,3,0),""))</f>
        <v/>
      </c>
      <c r="I321" s="527"/>
      <c r="J321" s="528" t="str">
        <f>IF($E321="",IFERROR(VLOOKUP($D321,SERVIÇOS!$C:$H,6,0),IFERROR(VLOOKUP($D321,$F:$M,8,0),"")),IFERROR(VLOOKUP($E321,INSUMOS!$B:$E,4,0),""))</f>
        <v/>
      </c>
      <c r="K321" s="528">
        <f>TRUNC(IF($E321="",IFERROR(VLOOKUP($D321,SERVIÇOS!$C:$H,4,0),IFERROR(VLOOKUP($D321,$F:$M,6,0),)),IFERROR(VLOOKUP($E321,INSUMOS!$B:$E,4,0),))*$I321,2)</f>
        <v>0</v>
      </c>
      <c r="L321" s="528">
        <f>TRUNC(IF($E321="",IFERROR(VLOOKUP($D321,SERVIÇOS!$C:$H,5,0),IFERROR(VLOOKUP($D321,$F:$M,7,0),)),0)*$I321,2)</f>
        <v>0</v>
      </c>
      <c r="M321" s="528">
        <f t="shared" si="9"/>
        <v>0</v>
      </c>
      <c r="N321" s="526"/>
    </row>
    <row r="322" spans="3:14">
      <c r="C322" s="526" t="str">
        <f t="shared" si="8"/>
        <v/>
      </c>
      <c r="D322" s="531"/>
      <c r="E322" s="531"/>
      <c r="F322" s="526"/>
      <c r="G322" s="532" t="str">
        <f>IF($E322="",IFERROR(VLOOKUP($D322,SERVIÇOS!$C:$H,2,0),IFERROR(VLOOKUP($D322,$F:$M,2,0),"")),IFERROR(VLOOKUP($E322,INSUMOS!$B:$E,2,0),""))</f>
        <v/>
      </c>
      <c r="H322" s="526" t="str">
        <f>IF($E322="",IFERROR(VLOOKUP($D322,SERVIÇOS!$C:$H,3,0),IFERROR(VLOOKUP($D322,$F:$M,3,0),"")),IFERROR(VLOOKUP($E322,INSUMOS!$B:$E,3,0),""))</f>
        <v/>
      </c>
      <c r="I322" s="527"/>
      <c r="J322" s="528" t="str">
        <f>IF($E322="",IFERROR(VLOOKUP($D322,SERVIÇOS!$C:$H,6,0),IFERROR(VLOOKUP($D322,$F:$M,8,0),"")),IFERROR(VLOOKUP($E322,INSUMOS!$B:$E,4,0),""))</f>
        <v/>
      </c>
      <c r="K322" s="528">
        <f>TRUNC(IF($E322="",IFERROR(VLOOKUP($D322,SERVIÇOS!$C:$H,4,0),IFERROR(VLOOKUP($D322,$F:$M,6,0),)),IFERROR(VLOOKUP($E322,INSUMOS!$B:$E,4,0),))*$I322,2)</f>
        <v>0</v>
      </c>
      <c r="L322" s="528">
        <f>TRUNC(IF($E322="",IFERROR(VLOOKUP($D322,SERVIÇOS!$C:$H,5,0),IFERROR(VLOOKUP($D322,$F:$M,7,0),)),0)*$I322,2)</f>
        <v>0</v>
      </c>
      <c r="M322" s="528">
        <f t="shared" si="9"/>
        <v>0</v>
      </c>
      <c r="N322" s="526"/>
    </row>
    <row r="323" spans="3:14">
      <c r="C323" s="526" t="str">
        <f t="shared" si="8"/>
        <v/>
      </c>
      <c r="D323" s="531"/>
      <c r="E323" s="531"/>
      <c r="F323" s="526"/>
      <c r="G323" s="532" t="str">
        <f>IF($E323="",IFERROR(VLOOKUP($D323,SERVIÇOS!$C:$H,2,0),IFERROR(VLOOKUP($D323,$F:$M,2,0),"")),IFERROR(VLOOKUP($E323,INSUMOS!$B:$E,2,0),""))</f>
        <v/>
      </c>
      <c r="H323" s="526" t="str">
        <f>IF($E323="",IFERROR(VLOOKUP($D323,SERVIÇOS!$C:$H,3,0),IFERROR(VLOOKUP($D323,$F:$M,3,0),"")),IFERROR(VLOOKUP($E323,INSUMOS!$B:$E,3,0),""))</f>
        <v/>
      </c>
      <c r="I323" s="527"/>
      <c r="J323" s="528" t="str">
        <f>IF($E323="",IFERROR(VLOOKUP($D323,SERVIÇOS!$C:$H,6,0),IFERROR(VLOOKUP($D323,$F:$M,8,0),"")),IFERROR(VLOOKUP($E323,INSUMOS!$B:$E,4,0),""))</f>
        <v/>
      </c>
      <c r="K323" s="528">
        <f>TRUNC(IF($E323="",IFERROR(VLOOKUP($D323,SERVIÇOS!$C:$H,4,0),IFERROR(VLOOKUP($D323,$F:$M,6,0),)),IFERROR(VLOOKUP($E323,INSUMOS!$B:$E,4,0),))*$I323,2)</f>
        <v>0</v>
      </c>
      <c r="L323" s="528">
        <f>TRUNC(IF($E323="",IFERROR(VLOOKUP($D323,SERVIÇOS!$C:$H,5,0),IFERROR(VLOOKUP($D323,$F:$M,7,0),)),0)*$I323,2)</f>
        <v>0</v>
      </c>
      <c r="M323" s="528">
        <f t="shared" si="9"/>
        <v>0</v>
      </c>
      <c r="N323" s="526"/>
    </row>
    <row r="324" spans="3:14">
      <c r="C324" s="526" t="str">
        <f t="shared" si="8"/>
        <v/>
      </c>
      <c r="D324" s="531"/>
      <c r="E324" s="531"/>
      <c r="F324" s="526"/>
      <c r="G324" s="532" t="str">
        <f>IF($E324="",IFERROR(VLOOKUP($D324,SERVIÇOS!$C:$H,2,0),IFERROR(VLOOKUP($D324,$F:$M,2,0),"")),IFERROR(VLOOKUP($E324,INSUMOS!$B:$E,2,0),""))</f>
        <v/>
      </c>
      <c r="H324" s="526" t="str">
        <f>IF($E324="",IFERROR(VLOOKUP($D324,SERVIÇOS!$C:$H,3,0),IFERROR(VLOOKUP($D324,$F:$M,3,0),"")),IFERROR(VLOOKUP($E324,INSUMOS!$B:$E,3,0),""))</f>
        <v/>
      </c>
      <c r="I324" s="527"/>
      <c r="J324" s="528" t="str">
        <f>IF($E324="",IFERROR(VLOOKUP($D324,SERVIÇOS!$C:$H,6,0),IFERROR(VLOOKUP($D324,$F:$M,8,0),"")),IFERROR(VLOOKUP($E324,INSUMOS!$B:$E,4,0),""))</f>
        <v/>
      </c>
      <c r="K324" s="528">
        <f>TRUNC(IF($E324="",IFERROR(VLOOKUP($D324,SERVIÇOS!$C:$H,4,0),IFERROR(VLOOKUP($D324,$F:$M,6,0),)),IFERROR(VLOOKUP($E324,INSUMOS!$B:$E,4,0),))*$I324,2)</f>
        <v>0</v>
      </c>
      <c r="L324" s="528">
        <f>TRUNC(IF($E324="",IFERROR(VLOOKUP($D324,SERVIÇOS!$C:$H,5,0),IFERROR(VLOOKUP($D324,$F:$M,7,0),)),0)*$I324,2)</f>
        <v>0</v>
      </c>
      <c r="M324" s="528">
        <f t="shared" si="9"/>
        <v>0</v>
      </c>
      <c r="N324" s="526"/>
    </row>
    <row r="325" spans="3:14">
      <c r="C325" s="526" t="str">
        <f t="shared" si="8"/>
        <v/>
      </c>
      <c r="D325" s="531"/>
      <c r="E325" s="531"/>
      <c r="F325" s="526"/>
      <c r="G325" s="532" t="str">
        <f>IF($E325="",IFERROR(VLOOKUP($D325,SERVIÇOS!$C:$H,2,0),IFERROR(VLOOKUP($D325,$F:$M,2,0),"")),IFERROR(VLOOKUP($E325,INSUMOS!$B:$E,2,0),""))</f>
        <v/>
      </c>
      <c r="H325" s="526" t="str">
        <f>IF($E325="",IFERROR(VLOOKUP($D325,SERVIÇOS!$C:$H,3,0),IFERROR(VLOOKUP($D325,$F:$M,3,0),"")),IFERROR(VLOOKUP($E325,INSUMOS!$B:$E,3,0),""))</f>
        <v/>
      </c>
      <c r="I325" s="527"/>
      <c r="J325" s="528" t="str">
        <f>IF($E325="",IFERROR(VLOOKUP($D325,SERVIÇOS!$C:$H,6,0),IFERROR(VLOOKUP($D325,$F:$M,8,0),"")),IFERROR(VLOOKUP($E325,INSUMOS!$B:$E,4,0),""))</f>
        <v/>
      </c>
      <c r="K325" s="528">
        <f>TRUNC(IF($E325="",IFERROR(VLOOKUP($D325,SERVIÇOS!$C:$H,4,0),IFERROR(VLOOKUP($D325,$F:$M,6,0),)),IFERROR(VLOOKUP($E325,INSUMOS!$B:$E,4,0),))*$I325,2)</f>
        <v>0</v>
      </c>
      <c r="L325" s="528">
        <f>TRUNC(IF($E325="",IFERROR(VLOOKUP($D325,SERVIÇOS!$C:$H,5,0),IFERROR(VLOOKUP($D325,$F:$M,7,0),)),0)*$I325,2)</f>
        <v>0</v>
      </c>
      <c r="M325" s="528">
        <f t="shared" si="9"/>
        <v>0</v>
      </c>
      <c r="N325" s="526"/>
    </row>
    <row r="326" spans="3:14">
      <c r="C326" s="526" t="str">
        <f t="shared" si="8"/>
        <v/>
      </c>
      <c r="D326" s="531"/>
      <c r="E326" s="531"/>
      <c r="F326" s="526"/>
      <c r="G326" s="532" t="str">
        <f>IF($E326="",IFERROR(VLOOKUP($D326,SERVIÇOS!$C:$H,2,0),IFERROR(VLOOKUP($D326,$F:$M,2,0),"")),IFERROR(VLOOKUP($E326,INSUMOS!$B:$E,2,0),""))</f>
        <v/>
      </c>
      <c r="H326" s="526" t="str">
        <f>IF($E326="",IFERROR(VLOOKUP($D326,SERVIÇOS!$C:$H,3,0),IFERROR(VLOOKUP($D326,$F:$M,3,0),"")),IFERROR(VLOOKUP($E326,INSUMOS!$B:$E,3,0),""))</f>
        <v/>
      </c>
      <c r="I326" s="527"/>
      <c r="J326" s="528" t="str">
        <f>IF($E326="",IFERROR(VLOOKUP($D326,SERVIÇOS!$C:$H,6,0),IFERROR(VLOOKUP($D326,$F:$M,8,0),"")),IFERROR(VLOOKUP($E326,INSUMOS!$B:$E,4,0),""))</f>
        <v/>
      </c>
      <c r="K326" s="528">
        <f>TRUNC(IF($E326="",IFERROR(VLOOKUP($D326,SERVIÇOS!$C:$H,4,0),IFERROR(VLOOKUP($D326,$F:$M,6,0),)),IFERROR(VLOOKUP($E326,INSUMOS!$B:$E,4,0),))*$I326,2)</f>
        <v>0</v>
      </c>
      <c r="L326" s="528">
        <f>TRUNC(IF($E326="",IFERROR(VLOOKUP($D326,SERVIÇOS!$C:$H,5,0),IFERROR(VLOOKUP($D326,$F:$M,7,0),)),0)*$I326,2)</f>
        <v>0</v>
      </c>
      <c r="M326" s="528">
        <f t="shared" si="9"/>
        <v>0</v>
      </c>
      <c r="N326" s="526"/>
    </row>
    <row r="327" spans="3:14">
      <c r="C327" s="526" t="str">
        <f t="shared" si="8"/>
        <v/>
      </c>
      <c r="D327" s="531"/>
      <c r="E327" s="531"/>
      <c r="F327" s="526"/>
      <c r="G327" s="532" t="str">
        <f>IF($E327="",IFERROR(VLOOKUP($D327,SERVIÇOS!$C:$H,2,0),IFERROR(VLOOKUP($D327,$F:$M,2,0),"")),IFERROR(VLOOKUP($E327,INSUMOS!$B:$E,2,0),""))</f>
        <v/>
      </c>
      <c r="H327" s="526" t="str">
        <f>IF($E327="",IFERROR(VLOOKUP($D327,SERVIÇOS!$C:$H,3,0),IFERROR(VLOOKUP($D327,$F:$M,3,0),"")),IFERROR(VLOOKUP($E327,INSUMOS!$B:$E,3,0),""))</f>
        <v/>
      </c>
      <c r="I327" s="527"/>
      <c r="J327" s="528" t="str">
        <f>IF($E327="",IFERROR(VLOOKUP($D327,SERVIÇOS!$C:$H,6,0),IFERROR(VLOOKUP($D327,$F:$M,8,0),"")),IFERROR(VLOOKUP($E327,INSUMOS!$B:$E,4,0),""))</f>
        <v/>
      </c>
      <c r="K327" s="528">
        <f>TRUNC(IF($E327="",IFERROR(VLOOKUP($D327,SERVIÇOS!$C:$H,4,0),IFERROR(VLOOKUP($D327,$F:$M,6,0),)),IFERROR(VLOOKUP($E327,INSUMOS!$B:$E,4,0),))*$I327,2)</f>
        <v>0</v>
      </c>
      <c r="L327" s="528">
        <f>TRUNC(IF($E327="",IFERROR(VLOOKUP($D327,SERVIÇOS!$C:$H,5,0),IFERROR(VLOOKUP($D327,$F:$M,7,0),)),0)*$I327,2)</f>
        <v>0</v>
      </c>
      <c r="M327" s="528">
        <f t="shared" si="9"/>
        <v>0</v>
      </c>
      <c r="N327" s="526"/>
    </row>
    <row r="328" spans="3:14">
      <c r="C328" s="526" t="str">
        <f t="shared" si="8"/>
        <v/>
      </c>
      <c r="D328" s="531"/>
      <c r="E328" s="531"/>
      <c r="F328" s="526"/>
      <c r="G328" s="532" t="str">
        <f>IF($E328="",IFERROR(VLOOKUP($D328,SERVIÇOS!$C:$H,2,0),IFERROR(VLOOKUP($D328,$F:$M,2,0),"")),IFERROR(VLOOKUP($E328,INSUMOS!$B:$E,2,0),""))</f>
        <v/>
      </c>
      <c r="H328" s="526" t="str">
        <f>IF($E328="",IFERROR(VLOOKUP($D328,SERVIÇOS!$C:$H,3,0),IFERROR(VLOOKUP($D328,$F:$M,3,0),"")),IFERROR(VLOOKUP($E328,INSUMOS!$B:$E,3,0),""))</f>
        <v/>
      </c>
      <c r="I328" s="527"/>
      <c r="J328" s="528" t="str">
        <f>IF($E328="",IFERROR(VLOOKUP($D328,SERVIÇOS!$C:$H,6,0),IFERROR(VLOOKUP($D328,$F:$M,8,0),"")),IFERROR(VLOOKUP($E328,INSUMOS!$B:$E,4,0),""))</f>
        <v/>
      </c>
      <c r="K328" s="528">
        <f>TRUNC(IF($E328="",IFERROR(VLOOKUP($D328,SERVIÇOS!$C:$H,4,0),IFERROR(VLOOKUP($D328,$F:$M,6,0),)),IFERROR(VLOOKUP($E328,INSUMOS!$B:$E,4,0),))*$I328,2)</f>
        <v>0</v>
      </c>
      <c r="L328" s="528">
        <f>TRUNC(IF($E328="",IFERROR(VLOOKUP($D328,SERVIÇOS!$C:$H,5,0),IFERROR(VLOOKUP($D328,$F:$M,7,0),)),0)*$I328,2)</f>
        <v>0</v>
      </c>
      <c r="M328" s="528">
        <f t="shared" si="9"/>
        <v>0</v>
      </c>
      <c r="N328" s="526"/>
    </row>
    <row r="329" spans="3:14">
      <c r="C329" s="526" t="str">
        <f t="shared" si="8"/>
        <v/>
      </c>
      <c r="D329" s="531"/>
      <c r="E329" s="531"/>
      <c r="F329" s="526"/>
      <c r="G329" s="532" t="str">
        <f>IF($E329="",IFERROR(VLOOKUP($D329,SERVIÇOS!$C:$H,2,0),IFERROR(VLOOKUP($D329,$F:$M,2,0),"")),IFERROR(VLOOKUP($E329,INSUMOS!$B:$E,2,0),""))</f>
        <v/>
      </c>
      <c r="H329" s="526" t="str">
        <f>IF($E329="",IFERROR(VLOOKUP($D329,SERVIÇOS!$C:$H,3,0),IFERROR(VLOOKUP($D329,$F:$M,3,0),"")),IFERROR(VLOOKUP($E329,INSUMOS!$B:$E,3,0),""))</f>
        <v/>
      </c>
      <c r="I329" s="527"/>
      <c r="J329" s="528" t="str">
        <f>IF($E329="",IFERROR(VLOOKUP($D329,SERVIÇOS!$C:$H,6,0),IFERROR(VLOOKUP($D329,$F:$M,8,0),"")),IFERROR(VLOOKUP($E329,INSUMOS!$B:$E,4,0),""))</f>
        <v/>
      </c>
      <c r="K329" s="528">
        <f>TRUNC(IF($E329="",IFERROR(VLOOKUP($D329,SERVIÇOS!$C:$H,4,0),IFERROR(VLOOKUP($D329,$F:$M,6,0),)),IFERROR(VLOOKUP($E329,INSUMOS!$B:$E,4,0),))*$I329,2)</f>
        <v>0</v>
      </c>
      <c r="L329" s="528">
        <f>TRUNC(IF($E329="",IFERROR(VLOOKUP($D329,SERVIÇOS!$C:$H,5,0),IFERROR(VLOOKUP($D329,$F:$M,7,0),)),0)*$I329,2)</f>
        <v>0</v>
      </c>
      <c r="M329" s="528">
        <f t="shared" si="9"/>
        <v>0</v>
      </c>
      <c r="N329" s="526"/>
    </row>
    <row r="330" spans="3:14">
      <c r="C330" s="526" t="str">
        <f t="shared" si="8"/>
        <v/>
      </c>
      <c r="D330" s="531"/>
      <c r="E330" s="531"/>
      <c r="F330" s="526"/>
      <c r="G330" s="532" t="str">
        <f>IF($E330="",IFERROR(VLOOKUP($D330,SERVIÇOS!$C:$H,2,0),IFERROR(VLOOKUP($D330,$F:$M,2,0),"")),IFERROR(VLOOKUP($E330,INSUMOS!$B:$E,2,0),""))</f>
        <v/>
      </c>
      <c r="H330" s="526" t="str">
        <f>IF($E330="",IFERROR(VLOOKUP($D330,SERVIÇOS!$C:$H,3,0),IFERROR(VLOOKUP($D330,$F:$M,3,0),"")),IFERROR(VLOOKUP($E330,INSUMOS!$B:$E,3,0),""))</f>
        <v/>
      </c>
      <c r="I330" s="527"/>
      <c r="J330" s="528" t="str">
        <f>IF($E330="",IFERROR(VLOOKUP($D330,SERVIÇOS!$C:$H,6,0),IFERROR(VLOOKUP($D330,$F:$M,8,0),"")),IFERROR(VLOOKUP($E330,INSUMOS!$B:$E,4,0),""))</f>
        <v/>
      </c>
      <c r="K330" s="528">
        <f>TRUNC(IF($E330="",IFERROR(VLOOKUP($D330,SERVIÇOS!$C:$H,4,0),IFERROR(VLOOKUP($D330,$F:$M,6,0),)),IFERROR(VLOOKUP($E330,INSUMOS!$B:$E,4,0),))*$I330,2)</f>
        <v>0</v>
      </c>
      <c r="L330" s="528">
        <f>TRUNC(IF($E330="",IFERROR(VLOOKUP($D330,SERVIÇOS!$C:$H,5,0),IFERROR(VLOOKUP($D330,$F:$M,7,0),)),0)*$I330,2)</f>
        <v>0</v>
      </c>
      <c r="M330" s="528">
        <f t="shared" si="9"/>
        <v>0</v>
      </c>
      <c r="N330" s="526"/>
    </row>
    <row r="331" spans="3:14">
      <c r="C331" s="526" t="str">
        <f t="shared" si="8"/>
        <v/>
      </c>
      <c r="D331" s="531"/>
      <c r="E331" s="531"/>
      <c r="F331" s="526"/>
      <c r="G331" s="532" t="str">
        <f>IF($E331="",IFERROR(VLOOKUP($D331,SERVIÇOS!$C:$H,2,0),IFERROR(VLOOKUP($D331,$F:$M,2,0),"")),IFERROR(VLOOKUP($E331,INSUMOS!$B:$E,2,0),""))</f>
        <v/>
      </c>
      <c r="H331" s="526" t="str">
        <f>IF($E331="",IFERROR(VLOOKUP($D331,SERVIÇOS!$C:$H,3,0),IFERROR(VLOOKUP($D331,$F:$M,3,0),"")),IFERROR(VLOOKUP($E331,INSUMOS!$B:$E,3,0),""))</f>
        <v/>
      </c>
      <c r="I331" s="527"/>
      <c r="J331" s="528" t="str">
        <f>IF($E331="",IFERROR(VLOOKUP($D331,SERVIÇOS!$C:$H,6,0),IFERROR(VLOOKUP($D331,$F:$M,8,0),"")),IFERROR(VLOOKUP($E331,INSUMOS!$B:$E,4,0),""))</f>
        <v/>
      </c>
      <c r="K331" s="528">
        <f>TRUNC(IF($E331="",IFERROR(VLOOKUP($D331,SERVIÇOS!$C:$H,4,0),IFERROR(VLOOKUP($D331,$F:$M,6,0),)),IFERROR(VLOOKUP($E331,INSUMOS!$B:$E,4,0),))*$I331,2)</f>
        <v>0</v>
      </c>
      <c r="L331" s="528">
        <f>TRUNC(IF($E331="",IFERROR(VLOOKUP($D331,SERVIÇOS!$C:$H,5,0),IFERROR(VLOOKUP($D331,$F:$M,7,0),)),0)*$I331,2)</f>
        <v>0</v>
      </c>
      <c r="M331" s="528">
        <f t="shared" si="9"/>
        <v>0</v>
      </c>
      <c r="N331" s="526"/>
    </row>
    <row r="332" spans="3:14">
      <c r="C332" s="526" t="str">
        <f t="shared" si="8"/>
        <v/>
      </c>
      <c r="D332" s="531"/>
      <c r="E332" s="531"/>
      <c r="F332" s="526"/>
      <c r="G332" s="532" t="str">
        <f>IF($E332="",IFERROR(VLOOKUP($D332,SERVIÇOS!$C:$H,2,0),IFERROR(VLOOKUP($D332,$F:$M,2,0),"")),IFERROR(VLOOKUP($E332,INSUMOS!$B:$E,2,0),""))</f>
        <v/>
      </c>
      <c r="H332" s="526" t="str">
        <f>IF($E332="",IFERROR(VLOOKUP($D332,SERVIÇOS!$C:$H,3,0),IFERROR(VLOOKUP($D332,$F:$M,3,0),"")),IFERROR(VLOOKUP($E332,INSUMOS!$B:$E,3,0),""))</f>
        <v/>
      </c>
      <c r="I332" s="527"/>
      <c r="J332" s="528" t="str">
        <f>IF($E332="",IFERROR(VLOOKUP($D332,SERVIÇOS!$C:$H,6,0),IFERROR(VLOOKUP($D332,$F:$M,8,0),"")),IFERROR(VLOOKUP($E332,INSUMOS!$B:$E,4,0),""))</f>
        <v/>
      </c>
      <c r="K332" s="528">
        <f>TRUNC(IF($E332="",IFERROR(VLOOKUP($D332,SERVIÇOS!$C:$H,4,0),IFERROR(VLOOKUP($D332,$F:$M,6,0),)),IFERROR(VLOOKUP($E332,INSUMOS!$B:$E,4,0),))*$I332,2)</f>
        <v>0</v>
      </c>
      <c r="L332" s="528">
        <f>TRUNC(IF($E332="",IFERROR(VLOOKUP($D332,SERVIÇOS!$C:$H,5,0),IFERROR(VLOOKUP($D332,$F:$M,7,0),)),0)*$I332,2)</f>
        <v>0</v>
      </c>
      <c r="M332" s="528">
        <f t="shared" si="9"/>
        <v>0</v>
      </c>
      <c r="N332" s="526"/>
    </row>
    <row r="333" spans="3:14">
      <c r="C333" s="526" t="str">
        <f t="shared" ref="C333:C396" si="10">IF(D333&lt;&gt;"","C",IF(E333&lt;&gt;"","I",""))</f>
        <v/>
      </c>
      <c r="D333" s="531"/>
      <c r="E333" s="531"/>
      <c r="F333" s="526"/>
      <c r="G333" s="532" t="str">
        <f>IF($E333="",IFERROR(VLOOKUP($D333,SERVIÇOS!$C:$H,2,0),IFERROR(VLOOKUP($D333,$F:$M,2,0),"")),IFERROR(VLOOKUP($E333,INSUMOS!$B:$E,2,0),""))</f>
        <v/>
      </c>
      <c r="H333" s="526" t="str">
        <f>IF($E333="",IFERROR(VLOOKUP($D333,SERVIÇOS!$C:$H,3,0),IFERROR(VLOOKUP($D333,$F:$M,3,0),"")),IFERROR(VLOOKUP($E333,INSUMOS!$B:$E,3,0),""))</f>
        <v/>
      </c>
      <c r="I333" s="527"/>
      <c r="J333" s="528" t="str">
        <f>IF($E333="",IFERROR(VLOOKUP($D333,SERVIÇOS!$C:$H,6,0),IFERROR(VLOOKUP($D333,$F:$M,8,0),"")),IFERROR(VLOOKUP($E333,INSUMOS!$B:$E,4,0),""))</f>
        <v/>
      </c>
      <c r="K333" s="528">
        <f>TRUNC(IF($E333="",IFERROR(VLOOKUP($D333,SERVIÇOS!$C:$H,4,0),IFERROR(VLOOKUP($D333,$F:$M,6,0),)),IFERROR(VLOOKUP($E333,INSUMOS!$B:$E,4,0),))*$I333,2)</f>
        <v>0</v>
      </c>
      <c r="L333" s="528">
        <f>TRUNC(IF($E333="",IFERROR(VLOOKUP($D333,SERVIÇOS!$C:$H,5,0),IFERROR(VLOOKUP($D333,$F:$M,7,0),)),0)*$I333,2)</f>
        <v>0</v>
      </c>
      <c r="M333" s="528">
        <f t="shared" si="9"/>
        <v>0</v>
      </c>
      <c r="N333" s="526"/>
    </row>
    <row r="334" spans="3:14">
      <c r="C334" s="526" t="str">
        <f t="shared" si="10"/>
        <v/>
      </c>
      <c r="D334" s="531"/>
      <c r="E334" s="531"/>
      <c r="F334" s="526"/>
      <c r="G334" s="532" t="str">
        <f>IF($E334="",IFERROR(VLOOKUP($D334,SERVIÇOS!$C:$H,2,0),IFERROR(VLOOKUP($D334,$F:$M,2,0),"")),IFERROR(VLOOKUP($E334,INSUMOS!$B:$E,2,0),""))</f>
        <v/>
      </c>
      <c r="H334" s="526" t="str">
        <f>IF($E334="",IFERROR(VLOOKUP($D334,SERVIÇOS!$C:$H,3,0),IFERROR(VLOOKUP($D334,$F:$M,3,0),"")),IFERROR(VLOOKUP($E334,INSUMOS!$B:$E,3,0),""))</f>
        <v/>
      </c>
      <c r="I334" s="527"/>
      <c r="J334" s="528" t="str">
        <f>IF($E334="",IFERROR(VLOOKUP($D334,SERVIÇOS!$C:$H,6,0),IFERROR(VLOOKUP($D334,$F:$M,8,0),"")),IFERROR(VLOOKUP($E334,INSUMOS!$B:$E,4,0),""))</f>
        <v/>
      </c>
      <c r="K334" s="528">
        <f>TRUNC(IF($E334="",IFERROR(VLOOKUP($D334,SERVIÇOS!$C:$H,4,0),IFERROR(VLOOKUP($D334,$F:$M,6,0),)),IFERROR(VLOOKUP($E334,INSUMOS!$B:$E,4,0),))*$I334,2)</f>
        <v>0</v>
      </c>
      <c r="L334" s="528">
        <f>TRUNC(IF($E334="",IFERROR(VLOOKUP($D334,SERVIÇOS!$C:$H,5,0),IFERROR(VLOOKUP($D334,$F:$M,7,0),)),0)*$I334,2)</f>
        <v>0</v>
      </c>
      <c r="M334" s="528">
        <f t="shared" ref="M334:M397" si="11">K334+L334</f>
        <v>0</v>
      </c>
      <c r="N334" s="526"/>
    </row>
    <row r="335" spans="3:14">
      <c r="C335" s="526" t="str">
        <f t="shared" si="10"/>
        <v/>
      </c>
      <c r="D335" s="531"/>
      <c r="E335" s="531"/>
      <c r="F335" s="526"/>
      <c r="G335" s="532" t="str">
        <f>IF($E335="",IFERROR(VLOOKUP($D335,SERVIÇOS!$C:$H,2,0),IFERROR(VLOOKUP($D335,$F:$M,2,0),"")),IFERROR(VLOOKUP($E335,INSUMOS!$B:$E,2,0),""))</f>
        <v/>
      </c>
      <c r="H335" s="526" t="str">
        <f>IF($E335="",IFERROR(VLOOKUP($D335,SERVIÇOS!$C:$H,3,0),IFERROR(VLOOKUP($D335,$F:$M,3,0),"")),IFERROR(VLOOKUP($E335,INSUMOS!$B:$E,3,0),""))</f>
        <v/>
      </c>
      <c r="I335" s="527"/>
      <c r="J335" s="528" t="str">
        <f>IF($E335="",IFERROR(VLOOKUP($D335,SERVIÇOS!$C:$H,6,0),IFERROR(VLOOKUP($D335,$F:$M,8,0),"")),IFERROR(VLOOKUP($E335,INSUMOS!$B:$E,4,0),""))</f>
        <v/>
      </c>
      <c r="K335" s="528">
        <f>TRUNC(IF($E335="",IFERROR(VLOOKUP($D335,SERVIÇOS!$C:$H,4,0),IFERROR(VLOOKUP($D335,$F:$M,6,0),)),IFERROR(VLOOKUP($E335,INSUMOS!$B:$E,4,0),))*$I335,2)</f>
        <v>0</v>
      </c>
      <c r="L335" s="528">
        <f>TRUNC(IF($E335="",IFERROR(VLOOKUP($D335,SERVIÇOS!$C:$H,5,0),IFERROR(VLOOKUP($D335,$F:$M,7,0),)),0)*$I335,2)</f>
        <v>0</v>
      </c>
      <c r="M335" s="528">
        <f t="shared" si="11"/>
        <v>0</v>
      </c>
      <c r="N335" s="526"/>
    </row>
    <row r="336" spans="3:14">
      <c r="C336" s="526" t="str">
        <f t="shared" si="10"/>
        <v/>
      </c>
      <c r="D336" s="531"/>
      <c r="E336" s="531"/>
      <c r="F336" s="526"/>
      <c r="G336" s="532" t="str">
        <f>IF($E336="",IFERROR(VLOOKUP($D336,SERVIÇOS!$C:$H,2,0),IFERROR(VLOOKUP($D336,$F:$M,2,0),"")),IFERROR(VLOOKUP($E336,INSUMOS!$B:$E,2,0),""))</f>
        <v/>
      </c>
      <c r="H336" s="526" t="str">
        <f>IF($E336="",IFERROR(VLOOKUP($D336,SERVIÇOS!$C:$H,3,0),IFERROR(VLOOKUP($D336,$F:$M,3,0),"")),IFERROR(VLOOKUP($E336,INSUMOS!$B:$E,3,0),""))</f>
        <v/>
      </c>
      <c r="I336" s="527"/>
      <c r="J336" s="528" t="str">
        <f>IF($E336="",IFERROR(VLOOKUP($D336,SERVIÇOS!$C:$H,6,0),IFERROR(VLOOKUP($D336,$F:$M,8,0),"")),IFERROR(VLOOKUP($E336,INSUMOS!$B:$E,4,0),""))</f>
        <v/>
      </c>
      <c r="K336" s="528">
        <f>TRUNC(IF($E336="",IFERROR(VLOOKUP($D336,SERVIÇOS!$C:$H,4,0),IFERROR(VLOOKUP($D336,$F:$M,6,0),)),IFERROR(VLOOKUP($E336,INSUMOS!$B:$E,4,0),))*$I336,2)</f>
        <v>0</v>
      </c>
      <c r="L336" s="528">
        <f>TRUNC(IF($E336="",IFERROR(VLOOKUP($D336,SERVIÇOS!$C:$H,5,0),IFERROR(VLOOKUP($D336,$F:$M,7,0),)),0)*$I336,2)</f>
        <v>0</v>
      </c>
      <c r="M336" s="528">
        <f t="shared" si="11"/>
        <v>0</v>
      </c>
      <c r="N336" s="526"/>
    </row>
    <row r="337" spans="3:14">
      <c r="C337" s="526" t="str">
        <f t="shared" si="10"/>
        <v/>
      </c>
      <c r="D337" s="531"/>
      <c r="E337" s="531"/>
      <c r="F337" s="526"/>
      <c r="G337" s="532" t="str">
        <f>IF($E337="",IFERROR(VLOOKUP($D337,SERVIÇOS!$C:$H,2,0),IFERROR(VLOOKUP($D337,$F:$M,2,0),"")),IFERROR(VLOOKUP($E337,INSUMOS!$B:$E,2,0),""))</f>
        <v/>
      </c>
      <c r="H337" s="526" t="str">
        <f>IF($E337="",IFERROR(VLOOKUP($D337,SERVIÇOS!$C:$H,3,0),IFERROR(VLOOKUP($D337,$F:$M,3,0),"")),IFERROR(VLOOKUP($E337,INSUMOS!$B:$E,3,0),""))</f>
        <v/>
      </c>
      <c r="I337" s="527"/>
      <c r="J337" s="528" t="str">
        <f>IF($E337="",IFERROR(VLOOKUP($D337,SERVIÇOS!$C:$H,6,0),IFERROR(VLOOKUP($D337,$F:$M,8,0),"")),IFERROR(VLOOKUP($E337,INSUMOS!$B:$E,4,0),""))</f>
        <v/>
      </c>
      <c r="K337" s="528">
        <f>TRUNC(IF($E337="",IFERROR(VLOOKUP($D337,SERVIÇOS!$C:$H,4,0),IFERROR(VLOOKUP($D337,$F:$M,6,0),)),IFERROR(VLOOKUP($E337,INSUMOS!$B:$E,4,0),))*$I337,2)</f>
        <v>0</v>
      </c>
      <c r="L337" s="528">
        <f>TRUNC(IF($E337="",IFERROR(VLOOKUP($D337,SERVIÇOS!$C:$H,5,0),IFERROR(VLOOKUP($D337,$F:$M,7,0),)),0)*$I337,2)</f>
        <v>0</v>
      </c>
      <c r="M337" s="528">
        <f t="shared" si="11"/>
        <v>0</v>
      </c>
      <c r="N337" s="526"/>
    </row>
    <row r="338" spans="3:14">
      <c r="C338" s="526" t="str">
        <f t="shared" si="10"/>
        <v/>
      </c>
      <c r="D338" s="531"/>
      <c r="E338" s="531"/>
      <c r="F338" s="526"/>
      <c r="G338" s="532" t="str">
        <f>IF($E338="",IFERROR(VLOOKUP($D338,SERVIÇOS!$C:$H,2,0),IFERROR(VLOOKUP($D338,$F:$M,2,0),"")),IFERROR(VLOOKUP($E338,INSUMOS!$B:$E,2,0),""))</f>
        <v/>
      </c>
      <c r="H338" s="526" t="str">
        <f>IF($E338="",IFERROR(VLOOKUP($D338,SERVIÇOS!$C:$H,3,0),IFERROR(VLOOKUP($D338,$F:$M,3,0),"")),IFERROR(VLOOKUP($E338,INSUMOS!$B:$E,3,0),""))</f>
        <v/>
      </c>
      <c r="I338" s="527"/>
      <c r="J338" s="528" t="str">
        <f>IF($E338="",IFERROR(VLOOKUP($D338,SERVIÇOS!$C:$H,6,0),IFERROR(VLOOKUP($D338,$F:$M,8,0),"")),IFERROR(VLOOKUP($E338,INSUMOS!$B:$E,4,0),""))</f>
        <v/>
      </c>
      <c r="K338" s="528">
        <f>TRUNC(IF($E338="",IFERROR(VLOOKUP($D338,SERVIÇOS!$C:$H,4,0),IFERROR(VLOOKUP($D338,$F:$M,6,0),)),IFERROR(VLOOKUP($E338,INSUMOS!$B:$E,4,0),))*$I338,2)</f>
        <v>0</v>
      </c>
      <c r="L338" s="528">
        <f>TRUNC(IF($E338="",IFERROR(VLOOKUP($D338,SERVIÇOS!$C:$H,5,0),IFERROR(VLOOKUP($D338,$F:$M,7,0),)),0)*$I338,2)</f>
        <v>0</v>
      </c>
      <c r="M338" s="528">
        <f t="shared" si="11"/>
        <v>0</v>
      </c>
      <c r="N338" s="526"/>
    </row>
    <row r="339" spans="3:14">
      <c r="C339" s="526" t="str">
        <f t="shared" si="10"/>
        <v/>
      </c>
      <c r="D339" s="531"/>
      <c r="E339" s="531"/>
      <c r="F339" s="526"/>
      <c r="G339" s="532" t="str">
        <f>IF($E339="",IFERROR(VLOOKUP($D339,SERVIÇOS!$C:$H,2,0),IFERROR(VLOOKUP($D339,$F:$M,2,0),"")),IFERROR(VLOOKUP($E339,INSUMOS!$B:$E,2,0),""))</f>
        <v/>
      </c>
      <c r="H339" s="526" t="str">
        <f>IF($E339="",IFERROR(VLOOKUP($D339,SERVIÇOS!$C:$H,3,0),IFERROR(VLOOKUP($D339,$F:$M,3,0),"")),IFERROR(VLOOKUP($E339,INSUMOS!$B:$E,3,0),""))</f>
        <v/>
      </c>
      <c r="I339" s="527"/>
      <c r="J339" s="528" t="str">
        <f>IF($E339="",IFERROR(VLOOKUP($D339,SERVIÇOS!$C:$H,6,0),IFERROR(VLOOKUP($D339,$F:$M,8,0),"")),IFERROR(VLOOKUP($E339,INSUMOS!$B:$E,4,0),""))</f>
        <v/>
      </c>
      <c r="K339" s="528">
        <f>TRUNC(IF($E339="",IFERROR(VLOOKUP($D339,SERVIÇOS!$C:$H,4,0),IFERROR(VLOOKUP($D339,$F:$M,6,0),)),IFERROR(VLOOKUP($E339,INSUMOS!$B:$E,4,0),))*$I339,2)</f>
        <v>0</v>
      </c>
      <c r="L339" s="528">
        <f>TRUNC(IF($E339="",IFERROR(VLOOKUP($D339,SERVIÇOS!$C:$H,5,0),IFERROR(VLOOKUP($D339,$F:$M,7,0),)),0)*$I339,2)</f>
        <v>0</v>
      </c>
      <c r="M339" s="528">
        <f t="shared" si="11"/>
        <v>0</v>
      </c>
      <c r="N339" s="526"/>
    </row>
    <row r="340" spans="3:14">
      <c r="C340" s="526" t="str">
        <f t="shared" si="10"/>
        <v/>
      </c>
      <c r="D340" s="531"/>
      <c r="E340" s="531"/>
      <c r="F340" s="526"/>
      <c r="G340" s="532" t="str">
        <f>IF($E340="",IFERROR(VLOOKUP($D340,SERVIÇOS!$C:$H,2,0),IFERROR(VLOOKUP($D340,$F:$M,2,0),"")),IFERROR(VLOOKUP($E340,INSUMOS!$B:$E,2,0),""))</f>
        <v/>
      </c>
      <c r="H340" s="526" t="str">
        <f>IF($E340="",IFERROR(VLOOKUP($D340,SERVIÇOS!$C:$H,3,0),IFERROR(VLOOKUP($D340,$F:$M,3,0),"")),IFERROR(VLOOKUP($E340,INSUMOS!$B:$E,3,0),""))</f>
        <v/>
      </c>
      <c r="I340" s="527"/>
      <c r="J340" s="528" t="str">
        <f>IF($E340="",IFERROR(VLOOKUP($D340,SERVIÇOS!$C:$H,6,0),IFERROR(VLOOKUP($D340,$F:$M,8,0),"")),IFERROR(VLOOKUP($E340,INSUMOS!$B:$E,4,0),""))</f>
        <v/>
      </c>
      <c r="K340" s="528">
        <f>TRUNC(IF($E340="",IFERROR(VLOOKUP($D340,SERVIÇOS!$C:$H,4,0),IFERROR(VLOOKUP($D340,$F:$M,6,0),)),IFERROR(VLOOKUP($E340,INSUMOS!$B:$E,4,0),))*$I340,2)</f>
        <v>0</v>
      </c>
      <c r="L340" s="528">
        <f>TRUNC(IF($E340="",IFERROR(VLOOKUP($D340,SERVIÇOS!$C:$H,5,0),IFERROR(VLOOKUP($D340,$F:$M,7,0),)),0)*$I340,2)</f>
        <v>0</v>
      </c>
      <c r="M340" s="528">
        <f t="shared" si="11"/>
        <v>0</v>
      </c>
      <c r="N340" s="526"/>
    </row>
    <row r="341" spans="3:14">
      <c r="C341" s="526" t="str">
        <f t="shared" si="10"/>
        <v/>
      </c>
      <c r="D341" s="531"/>
      <c r="E341" s="531"/>
      <c r="F341" s="526"/>
      <c r="G341" s="532" t="str">
        <f>IF($E341="",IFERROR(VLOOKUP($D341,SERVIÇOS!$C:$H,2,0),IFERROR(VLOOKUP($D341,$F:$M,2,0),"")),IFERROR(VLOOKUP($E341,INSUMOS!$B:$E,2,0),""))</f>
        <v/>
      </c>
      <c r="H341" s="526" t="str">
        <f>IF($E341="",IFERROR(VLOOKUP($D341,SERVIÇOS!$C:$H,3,0),IFERROR(VLOOKUP($D341,$F:$M,3,0),"")),IFERROR(VLOOKUP($E341,INSUMOS!$B:$E,3,0),""))</f>
        <v/>
      </c>
      <c r="I341" s="527"/>
      <c r="J341" s="528" t="str">
        <f>IF($E341="",IFERROR(VLOOKUP($D341,SERVIÇOS!$C:$H,6,0),IFERROR(VLOOKUP($D341,$F:$M,8,0),"")),IFERROR(VLOOKUP($E341,INSUMOS!$B:$E,4,0),""))</f>
        <v/>
      </c>
      <c r="K341" s="528">
        <f>TRUNC(IF($E341="",IFERROR(VLOOKUP($D341,SERVIÇOS!$C:$H,4,0),IFERROR(VLOOKUP($D341,$F:$M,6,0),)),IFERROR(VLOOKUP($E341,INSUMOS!$B:$E,4,0),))*$I341,2)</f>
        <v>0</v>
      </c>
      <c r="L341" s="528">
        <f>TRUNC(IF($E341="",IFERROR(VLOOKUP($D341,SERVIÇOS!$C:$H,5,0),IFERROR(VLOOKUP($D341,$F:$M,7,0),)),0)*$I341,2)</f>
        <v>0</v>
      </c>
      <c r="M341" s="528">
        <f t="shared" si="11"/>
        <v>0</v>
      </c>
      <c r="N341" s="526"/>
    </row>
    <row r="342" spans="3:14">
      <c r="C342" s="526" t="str">
        <f t="shared" si="10"/>
        <v/>
      </c>
      <c r="D342" s="531"/>
      <c r="E342" s="531"/>
      <c r="F342" s="526"/>
      <c r="G342" s="532" t="str">
        <f>IF($E342="",IFERROR(VLOOKUP($D342,SERVIÇOS!$C:$H,2,0),IFERROR(VLOOKUP($D342,$F:$M,2,0),"")),IFERROR(VLOOKUP($E342,INSUMOS!$B:$E,2,0),""))</f>
        <v/>
      </c>
      <c r="H342" s="526" t="str">
        <f>IF($E342="",IFERROR(VLOOKUP($D342,SERVIÇOS!$C:$H,3,0),IFERROR(VLOOKUP($D342,$F:$M,3,0),"")),IFERROR(VLOOKUP($E342,INSUMOS!$B:$E,3,0),""))</f>
        <v/>
      </c>
      <c r="I342" s="527"/>
      <c r="J342" s="528" t="str">
        <f>IF($E342="",IFERROR(VLOOKUP($D342,SERVIÇOS!$C:$H,6,0),IFERROR(VLOOKUP($D342,$F:$M,8,0),"")),IFERROR(VLOOKUP($E342,INSUMOS!$B:$E,4,0),""))</f>
        <v/>
      </c>
      <c r="K342" s="528">
        <f>TRUNC(IF($E342="",IFERROR(VLOOKUP($D342,SERVIÇOS!$C:$H,4,0),IFERROR(VLOOKUP($D342,$F:$M,6,0),)),IFERROR(VLOOKUP($E342,INSUMOS!$B:$E,4,0),))*$I342,2)</f>
        <v>0</v>
      </c>
      <c r="L342" s="528">
        <f>TRUNC(IF($E342="",IFERROR(VLOOKUP($D342,SERVIÇOS!$C:$H,5,0),IFERROR(VLOOKUP($D342,$F:$M,7,0),)),0)*$I342,2)</f>
        <v>0</v>
      </c>
      <c r="M342" s="528">
        <f t="shared" si="11"/>
        <v>0</v>
      </c>
      <c r="N342" s="526"/>
    </row>
    <row r="343" spans="3:14">
      <c r="C343" s="526" t="str">
        <f t="shared" si="10"/>
        <v/>
      </c>
      <c r="D343" s="531"/>
      <c r="E343" s="531"/>
      <c r="F343" s="526"/>
      <c r="G343" s="532" t="str">
        <f>IF($E343="",IFERROR(VLOOKUP($D343,SERVIÇOS!$C:$H,2,0),IFERROR(VLOOKUP($D343,$F:$M,2,0),"")),IFERROR(VLOOKUP($E343,INSUMOS!$B:$E,2,0),""))</f>
        <v/>
      </c>
      <c r="H343" s="526" t="str">
        <f>IF($E343="",IFERROR(VLOOKUP($D343,SERVIÇOS!$C:$H,3,0),IFERROR(VLOOKUP($D343,$F:$M,3,0),"")),IFERROR(VLOOKUP($E343,INSUMOS!$B:$E,3,0),""))</f>
        <v/>
      </c>
      <c r="I343" s="527"/>
      <c r="J343" s="528" t="str">
        <f>IF($E343="",IFERROR(VLOOKUP($D343,SERVIÇOS!$C:$H,6,0),IFERROR(VLOOKUP($D343,$F:$M,8,0),"")),IFERROR(VLOOKUP($E343,INSUMOS!$B:$E,4,0),""))</f>
        <v/>
      </c>
      <c r="K343" s="528">
        <f>TRUNC(IF($E343="",IFERROR(VLOOKUP($D343,SERVIÇOS!$C:$H,4,0),IFERROR(VLOOKUP($D343,$F:$M,6,0),)),IFERROR(VLOOKUP($E343,INSUMOS!$B:$E,4,0),))*$I343,2)</f>
        <v>0</v>
      </c>
      <c r="L343" s="528">
        <f>TRUNC(IF($E343="",IFERROR(VLOOKUP($D343,SERVIÇOS!$C:$H,5,0),IFERROR(VLOOKUP($D343,$F:$M,7,0),)),0)*$I343,2)</f>
        <v>0</v>
      </c>
      <c r="M343" s="528">
        <f t="shared" si="11"/>
        <v>0</v>
      </c>
      <c r="N343" s="526"/>
    </row>
    <row r="344" spans="3:14">
      <c r="C344" s="526" t="str">
        <f t="shared" si="10"/>
        <v/>
      </c>
      <c r="D344" s="531"/>
      <c r="E344" s="531"/>
      <c r="F344" s="526"/>
      <c r="G344" s="532" t="str">
        <f>IF($E344="",IFERROR(VLOOKUP($D344,SERVIÇOS!$C:$H,2,0),IFERROR(VLOOKUP($D344,$F:$M,2,0),"")),IFERROR(VLOOKUP($E344,INSUMOS!$B:$E,2,0),""))</f>
        <v/>
      </c>
      <c r="H344" s="526" t="str">
        <f>IF($E344="",IFERROR(VLOOKUP($D344,SERVIÇOS!$C:$H,3,0),IFERROR(VLOOKUP($D344,$F:$M,3,0),"")),IFERROR(VLOOKUP($E344,INSUMOS!$B:$E,3,0),""))</f>
        <v/>
      </c>
      <c r="I344" s="527"/>
      <c r="J344" s="528" t="str">
        <f>IF($E344="",IFERROR(VLOOKUP($D344,SERVIÇOS!$C:$H,6,0),IFERROR(VLOOKUP($D344,$F:$M,8,0),"")),IFERROR(VLOOKUP($E344,INSUMOS!$B:$E,4,0),""))</f>
        <v/>
      </c>
      <c r="K344" s="528">
        <f>TRUNC(IF($E344="",IFERROR(VLOOKUP($D344,SERVIÇOS!$C:$H,4,0),IFERROR(VLOOKUP($D344,$F:$M,6,0),)),IFERROR(VLOOKUP($E344,INSUMOS!$B:$E,4,0),))*$I344,2)</f>
        <v>0</v>
      </c>
      <c r="L344" s="528">
        <f>TRUNC(IF($E344="",IFERROR(VLOOKUP($D344,SERVIÇOS!$C:$H,5,0),IFERROR(VLOOKUP($D344,$F:$M,7,0),)),0)*$I344,2)</f>
        <v>0</v>
      </c>
      <c r="M344" s="528">
        <f t="shared" si="11"/>
        <v>0</v>
      </c>
      <c r="N344" s="526"/>
    </row>
    <row r="345" spans="3:14">
      <c r="C345" s="526" t="str">
        <f t="shared" si="10"/>
        <v/>
      </c>
      <c r="D345" s="531"/>
      <c r="E345" s="531"/>
      <c r="F345" s="526"/>
      <c r="G345" s="532" t="str">
        <f>IF($E345="",IFERROR(VLOOKUP($D345,SERVIÇOS!$C:$H,2,0),IFERROR(VLOOKUP($D345,$F:$M,2,0),"")),IFERROR(VLOOKUP($E345,INSUMOS!$B:$E,2,0),""))</f>
        <v/>
      </c>
      <c r="H345" s="526" t="str">
        <f>IF($E345="",IFERROR(VLOOKUP($D345,SERVIÇOS!$C:$H,3,0),IFERROR(VLOOKUP($D345,$F:$M,3,0),"")),IFERROR(VLOOKUP($E345,INSUMOS!$B:$E,3,0),""))</f>
        <v/>
      </c>
      <c r="I345" s="527"/>
      <c r="J345" s="528" t="str">
        <f>IF($E345="",IFERROR(VLOOKUP($D345,SERVIÇOS!$C:$H,6,0),IFERROR(VLOOKUP($D345,$F:$M,8,0),"")),IFERROR(VLOOKUP($E345,INSUMOS!$B:$E,4,0),""))</f>
        <v/>
      </c>
      <c r="K345" s="528">
        <f>TRUNC(IF($E345="",IFERROR(VLOOKUP($D345,SERVIÇOS!$C:$H,4,0),IFERROR(VLOOKUP($D345,$F:$M,6,0),)),IFERROR(VLOOKUP($E345,INSUMOS!$B:$E,4,0),))*$I345,2)</f>
        <v>0</v>
      </c>
      <c r="L345" s="528">
        <f>TRUNC(IF($E345="",IFERROR(VLOOKUP($D345,SERVIÇOS!$C:$H,5,0),IFERROR(VLOOKUP($D345,$F:$M,7,0),)),0)*$I345,2)</f>
        <v>0</v>
      </c>
      <c r="M345" s="528">
        <f t="shared" si="11"/>
        <v>0</v>
      </c>
      <c r="N345" s="526"/>
    </row>
    <row r="346" spans="3:14">
      <c r="C346" s="526" t="str">
        <f t="shared" si="10"/>
        <v/>
      </c>
      <c r="D346" s="531"/>
      <c r="E346" s="531"/>
      <c r="F346" s="526"/>
      <c r="G346" s="532" t="str">
        <f>IF($E346="",IFERROR(VLOOKUP($D346,SERVIÇOS!$C:$H,2,0),IFERROR(VLOOKUP($D346,$F:$M,2,0),"")),IFERROR(VLOOKUP($E346,INSUMOS!$B:$E,2,0),""))</f>
        <v/>
      </c>
      <c r="H346" s="526" t="str">
        <f>IF($E346="",IFERROR(VLOOKUP($D346,SERVIÇOS!$C:$H,3,0),IFERROR(VLOOKUP($D346,$F:$M,3,0),"")),IFERROR(VLOOKUP($E346,INSUMOS!$B:$E,3,0),""))</f>
        <v/>
      </c>
      <c r="I346" s="527"/>
      <c r="J346" s="528" t="str">
        <f>IF($E346="",IFERROR(VLOOKUP($D346,SERVIÇOS!$C:$H,6,0),IFERROR(VLOOKUP($D346,$F:$M,8,0),"")),IFERROR(VLOOKUP($E346,INSUMOS!$B:$E,4,0),""))</f>
        <v/>
      </c>
      <c r="K346" s="528">
        <f>TRUNC(IF($E346="",IFERROR(VLOOKUP($D346,SERVIÇOS!$C:$H,4,0),IFERROR(VLOOKUP($D346,$F:$M,6,0),)),IFERROR(VLOOKUP($E346,INSUMOS!$B:$E,4,0),))*$I346,2)</f>
        <v>0</v>
      </c>
      <c r="L346" s="528">
        <f>TRUNC(IF($E346="",IFERROR(VLOOKUP($D346,SERVIÇOS!$C:$H,5,0),IFERROR(VLOOKUP($D346,$F:$M,7,0),)),0)*$I346,2)</f>
        <v>0</v>
      </c>
      <c r="M346" s="528">
        <f t="shared" si="11"/>
        <v>0</v>
      </c>
      <c r="N346" s="526"/>
    </row>
    <row r="347" spans="3:14">
      <c r="C347" s="526" t="str">
        <f t="shared" si="10"/>
        <v/>
      </c>
      <c r="D347" s="531"/>
      <c r="E347" s="531"/>
      <c r="F347" s="526"/>
      <c r="G347" s="532" t="str">
        <f>IF($E347="",IFERROR(VLOOKUP($D347,SERVIÇOS!$C:$H,2,0),IFERROR(VLOOKUP($D347,$F:$M,2,0),"")),IFERROR(VLOOKUP($E347,INSUMOS!$B:$E,2,0),""))</f>
        <v/>
      </c>
      <c r="H347" s="526" t="str">
        <f>IF($E347="",IFERROR(VLOOKUP($D347,SERVIÇOS!$C:$H,3,0),IFERROR(VLOOKUP($D347,$F:$M,3,0),"")),IFERROR(VLOOKUP($E347,INSUMOS!$B:$E,3,0),""))</f>
        <v/>
      </c>
      <c r="I347" s="527"/>
      <c r="J347" s="528" t="str">
        <f>IF($E347="",IFERROR(VLOOKUP($D347,SERVIÇOS!$C:$H,6,0),IFERROR(VLOOKUP($D347,$F:$M,8,0),"")),IFERROR(VLOOKUP($E347,INSUMOS!$B:$E,4,0),""))</f>
        <v/>
      </c>
      <c r="K347" s="528">
        <f>TRUNC(IF($E347="",IFERROR(VLOOKUP($D347,SERVIÇOS!$C:$H,4,0),IFERROR(VLOOKUP($D347,$F:$M,6,0),)),IFERROR(VLOOKUP($E347,INSUMOS!$B:$E,4,0),))*$I347,2)</f>
        <v>0</v>
      </c>
      <c r="L347" s="528">
        <f>TRUNC(IF($E347="",IFERROR(VLOOKUP($D347,SERVIÇOS!$C:$H,5,0),IFERROR(VLOOKUP($D347,$F:$M,7,0),)),0)*$I347,2)</f>
        <v>0</v>
      </c>
      <c r="M347" s="528">
        <f t="shared" si="11"/>
        <v>0</v>
      </c>
      <c r="N347" s="526"/>
    </row>
    <row r="348" spans="3:14">
      <c r="C348" s="526" t="str">
        <f t="shared" si="10"/>
        <v/>
      </c>
      <c r="D348" s="531"/>
      <c r="E348" s="531"/>
      <c r="F348" s="526"/>
      <c r="G348" s="532" t="str">
        <f>IF($E348="",IFERROR(VLOOKUP($D348,SERVIÇOS!$C:$H,2,0),IFERROR(VLOOKUP($D348,$F:$M,2,0),"")),IFERROR(VLOOKUP($E348,INSUMOS!$B:$E,2,0),""))</f>
        <v/>
      </c>
      <c r="H348" s="526" t="str">
        <f>IF($E348="",IFERROR(VLOOKUP($D348,SERVIÇOS!$C:$H,3,0),IFERROR(VLOOKUP($D348,$F:$M,3,0),"")),IFERROR(VLOOKUP($E348,INSUMOS!$B:$E,3,0),""))</f>
        <v/>
      </c>
      <c r="I348" s="527"/>
      <c r="J348" s="528" t="str">
        <f>IF($E348="",IFERROR(VLOOKUP($D348,SERVIÇOS!$C:$H,6,0),IFERROR(VLOOKUP($D348,$F:$M,8,0),"")),IFERROR(VLOOKUP($E348,INSUMOS!$B:$E,4,0),""))</f>
        <v/>
      </c>
      <c r="K348" s="528">
        <f>TRUNC(IF($E348="",IFERROR(VLOOKUP($D348,SERVIÇOS!$C:$H,4,0),IFERROR(VLOOKUP($D348,$F:$M,6,0),)),IFERROR(VLOOKUP($E348,INSUMOS!$B:$E,4,0),))*$I348,2)</f>
        <v>0</v>
      </c>
      <c r="L348" s="528">
        <f>TRUNC(IF($E348="",IFERROR(VLOOKUP($D348,SERVIÇOS!$C:$H,5,0),IFERROR(VLOOKUP($D348,$F:$M,7,0),)),0)*$I348,2)</f>
        <v>0</v>
      </c>
      <c r="M348" s="528">
        <f t="shared" si="11"/>
        <v>0</v>
      </c>
      <c r="N348" s="526"/>
    </row>
    <row r="349" spans="3:14">
      <c r="C349" s="526" t="str">
        <f t="shared" si="10"/>
        <v/>
      </c>
      <c r="D349" s="531"/>
      <c r="E349" s="531"/>
      <c r="F349" s="526"/>
      <c r="G349" s="532" t="str">
        <f>IF($E349="",IFERROR(VLOOKUP($D349,SERVIÇOS!$C:$H,2,0),IFERROR(VLOOKUP($D349,$F:$M,2,0),"")),IFERROR(VLOOKUP($E349,INSUMOS!$B:$E,2,0),""))</f>
        <v/>
      </c>
      <c r="H349" s="526" t="str">
        <f>IF($E349="",IFERROR(VLOOKUP($D349,SERVIÇOS!$C:$H,3,0),IFERROR(VLOOKUP($D349,$F:$M,3,0),"")),IFERROR(VLOOKUP($E349,INSUMOS!$B:$E,3,0),""))</f>
        <v/>
      </c>
      <c r="I349" s="527"/>
      <c r="J349" s="528" t="str">
        <f>IF($E349="",IFERROR(VLOOKUP($D349,SERVIÇOS!$C:$H,6,0),IFERROR(VLOOKUP($D349,$F:$M,8,0),"")),IFERROR(VLOOKUP($E349,INSUMOS!$B:$E,4,0),""))</f>
        <v/>
      </c>
      <c r="K349" s="528">
        <f>TRUNC(IF($E349="",IFERROR(VLOOKUP($D349,SERVIÇOS!$C:$H,4,0),IFERROR(VLOOKUP($D349,$F:$M,6,0),)),IFERROR(VLOOKUP($E349,INSUMOS!$B:$E,4,0),))*$I349,2)</f>
        <v>0</v>
      </c>
      <c r="L349" s="528">
        <f>TRUNC(IF($E349="",IFERROR(VLOOKUP($D349,SERVIÇOS!$C:$H,5,0),IFERROR(VLOOKUP($D349,$F:$M,7,0),)),0)*$I349,2)</f>
        <v>0</v>
      </c>
      <c r="M349" s="528">
        <f t="shared" si="11"/>
        <v>0</v>
      </c>
      <c r="N349" s="526"/>
    </row>
    <row r="350" spans="3:14">
      <c r="C350" s="526" t="str">
        <f t="shared" si="10"/>
        <v/>
      </c>
      <c r="D350" s="531"/>
      <c r="E350" s="531"/>
      <c r="F350" s="526"/>
      <c r="G350" s="532" t="str">
        <f>IF($E350="",IFERROR(VLOOKUP($D350,SERVIÇOS!$C:$H,2,0),IFERROR(VLOOKUP($D350,$F:$M,2,0),"")),IFERROR(VLOOKUP($E350,INSUMOS!$B:$E,2,0),""))</f>
        <v/>
      </c>
      <c r="H350" s="526" t="str">
        <f>IF($E350="",IFERROR(VLOOKUP($D350,SERVIÇOS!$C:$H,3,0),IFERROR(VLOOKUP($D350,$F:$M,3,0),"")),IFERROR(VLOOKUP($E350,INSUMOS!$B:$E,3,0),""))</f>
        <v/>
      </c>
      <c r="I350" s="527"/>
      <c r="J350" s="528" t="str">
        <f>IF($E350="",IFERROR(VLOOKUP($D350,SERVIÇOS!$C:$H,6,0),IFERROR(VLOOKUP($D350,$F:$M,8,0),"")),IFERROR(VLOOKUP($E350,INSUMOS!$B:$E,4,0),""))</f>
        <v/>
      </c>
      <c r="K350" s="528">
        <f>TRUNC(IF($E350="",IFERROR(VLOOKUP($D350,SERVIÇOS!$C:$H,4,0),IFERROR(VLOOKUP($D350,$F:$M,6,0),)),IFERROR(VLOOKUP($E350,INSUMOS!$B:$E,4,0),))*$I350,2)</f>
        <v>0</v>
      </c>
      <c r="L350" s="528">
        <f>TRUNC(IF($E350="",IFERROR(VLOOKUP($D350,SERVIÇOS!$C:$H,5,0),IFERROR(VLOOKUP($D350,$F:$M,7,0),)),0)*$I350,2)</f>
        <v>0</v>
      </c>
      <c r="M350" s="528">
        <f t="shared" si="11"/>
        <v>0</v>
      </c>
      <c r="N350" s="526"/>
    </row>
    <row r="351" spans="3:14">
      <c r="C351" s="526" t="str">
        <f t="shared" si="10"/>
        <v/>
      </c>
      <c r="D351" s="531"/>
      <c r="E351" s="531"/>
      <c r="F351" s="526"/>
      <c r="G351" s="532" t="str">
        <f>IF($E351="",IFERROR(VLOOKUP($D351,SERVIÇOS!$C:$H,2,0),IFERROR(VLOOKUP($D351,$F:$M,2,0),"")),IFERROR(VLOOKUP($E351,INSUMOS!$B:$E,2,0),""))</f>
        <v/>
      </c>
      <c r="H351" s="526" t="str">
        <f>IF($E351="",IFERROR(VLOOKUP($D351,SERVIÇOS!$C:$H,3,0),IFERROR(VLOOKUP($D351,$F:$M,3,0),"")),IFERROR(VLOOKUP($E351,INSUMOS!$B:$E,3,0),""))</f>
        <v/>
      </c>
      <c r="I351" s="527"/>
      <c r="J351" s="528" t="str">
        <f>IF($E351="",IFERROR(VLOOKUP($D351,SERVIÇOS!$C:$H,6,0),IFERROR(VLOOKUP($D351,$F:$M,8,0),"")),IFERROR(VLOOKUP($E351,INSUMOS!$B:$E,4,0),""))</f>
        <v/>
      </c>
      <c r="K351" s="528">
        <f>TRUNC(IF($E351="",IFERROR(VLOOKUP($D351,SERVIÇOS!$C:$H,4,0),IFERROR(VLOOKUP($D351,$F:$M,6,0),)),IFERROR(VLOOKUP($E351,INSUMOS!$B:$E,4,0),))*$I351,2)</f>
        <v>0</v>
      </c>
      <c r="L351" s="528">
        <f>TRUNC(IF($E351="",IFERROR(VLOOKUP($D351,SERVIÇOS!$C:$H,5,0),IFERROR(VLOOKUP($D351,$F:$M,7,0),)),0)*$I351,2)</f>
        <v>0</v>
      </c>
      <c r="M351" s="528">
        <f t="shared" si="11"/>
        <v>0</v>
      </c>
      <c r="N351" s="526"/>
    </row>
    <row r="352" spans="3:14">
      <c r="C352" s="526" t="str">
        <f t="shared" si="10"/>
        <v/>
      </c>
      <c r="D352" s="531"/>
      <c r="E352" s="531"/>
      <c r="F352" s="526"/>
      <c r="G352" s="532" t="str">
        <f>IF($E352="",IFERROR(VLOOKUP($D352,SERVIÇOS!$C:$H,2,0),IFERROR(VLOOKUP($D352,$F:$M,2,0),"")),IFERROR(VLOOKUP($E352,INSUMOS!$B:$E,2,0),""))</f>
        <v/>
      </c>
      <c r="H352" s="526" t="str">
        <f>IF($E352="",IFERROR(VLOOKUP($D352,SERVIÇOS!$C:$H,3,0),IFERROR(VLOOKUP($D352,$F:$M,3,0),"")),IFERROR(VLOOKUP($E352,INSUMOS!$B:$E,3,0),""))</f>
        <v/>
      </c>
      <c r="I352" s="527"/>
      <c r="J352" s="528" t="str">
        <f>IF($E352="",IFERROR(VLOOKUP($D352,SERVIÇOS!$C:$H,6,0),IFERROR(VLOOKUP($D352,$F:$M,8,0),"")),IFERROR(VLOOKUP($E352,INSUMOS!$B:$E,4,0),""))</f>
        <v/>
      </c>
      <c r="K352" s="528">
        <f>TRUNC(IF($E352="",IFERROR(VLOOKUP($D352,SERVIÇOS!$C:$H,4,0),IFERROR(VLOOKUP($D352,$F:$M,6,0),)),IFERROR(VLOOKUP($E352,INSUMOS!$B:$E,4,0),))*$I352,2)</f>
        <v>0</v>
      </c>
      <c r="L352" s="528">
        <f>TRUNC(IF($E352="",IFERROR(VLOOKUP($D352,SERVIÇOS!$C:$H,5,0),IFERROR(VLOOKUP($D352,$F:$M,7,0),)),0)*$I352,2)</f>
        <v>0</v>
      </c>
      <c r="M352" s="528">
        <f t="shared" si="11"/>
        <v>0</v>
      </c>
      <c r="N352" s="526"/>
    </row>
    <row r="353" spans="3:14">
      <c r="C353" s="526" t="str">
        <f t="shared" si="10"/>
        <v/>
      </c>
      <c r="D353" s="531"/>
      <c r="E353" s="531"/>
      <c r="F353" s="526"/>
      <c r="G353" s="532" t="str">
        <f>IF($E353="",IFERROR(VLOOKUP($D353,SERVIÇOS!$C:$H,2,0),IFERROR(VLOOKUP($D353,$F:$M,2,0),"")),IFERROR(VLOOKUP($E353,INSUMOS!$B:$E,2,0),""))</f>
        <v/>
      </c>
      <c r="H353" s="526" t="str">
        <f>IF($E353="",IFERROR(VLOOKUP($D353,SERVIÇOS!$C:$H,3,0),IFERROR(VLOOKUP($D353,$F:$M,3,0),"")),IFERROR(VLOOKUP($E353,INSUMOS!$B:$E,3,0),""))</f>
        <v/>
      </c>
      <c r="I353" s="527"/>
      <c r="J353" s="528" t="str">
        <f>IF($E353="",IFERROR(VLOOKUP($D353,SERVIÇOS!$C:$H,6,0),IFERROR(VLOOKUP($D353,$F:$M,8,0),"")),IFERROR(VLOOKUP($E353,INSUMOS!$B:$E,4,0),""))</f>
        <v/>
      </c>
      <c r="K353" s="528">
        <f>TRUNC(IF($E353="",IFERROR(VLOOKUP($D353,SERVIÇOS!$C:$H,4,0),IFERROR(VLOOKUP($D353,$F:$M,6,0),)),IFERROR(VLOOKUP($E353,INSUMOS!$B:$E,4,0),))*$I353,2)</f>
        <v>0</v>
      </c>
      <c r="L353" s="528">
        <f>TRUNC(IF($E353="",IFERROR(VLOOKUP($D353,SERVIÇOS!$C:$H,5,0),IFERROR(VLOOKUP($D353,$F:$M,7,0),)),0)*$I353,2)</f>
        <v>0</v>
      </c>
      <c r="M353" s="528">
        <f t="shared" si="11"/>
        <v>0</v>
      </c>
      <c r="N353" s="526"/>
    </row>
    <row r="354" spans="3:14">
      <c r="C354" s="526" t="str">
        <f t="shared" si="10"/>
        <v/>
      </c>
      <c r="D354" s="531"/>
      <c r="E354" s="531"/>
      <c r="F354" s="526"/>
      <c r="G354" s="532" t="str">
        <f>IF($E354="",IFERROR(VLOOKUP($D354,SERVIÇOS!$C:$H,2,0),IFERROR(VLOOKUP($D354,$F:$M,2,0),"")),IFERROR(VLOOKUP($E354,INSUMOS!$B:$E,2,0),""))</f>
        <v/>
      </c>
      <c r="H354" s="526" t="str">
        <f>IF($E354="",IFERROR(VLOOKUP($D354,SERVIÇOS!$C:$H,3,0),IFERROR(VLOOKUP($D354,$F:$M,3,0),"")),IFERROR(VLOOKUP($E354,INSUMOS!$B:$E,3,0),""))</f>
        <v/>
      </c>
      <c r="I354" s="527"/>
      <c r="J354" s="528" t="str">
        <f>IF($E354="",IFERROR(VLOOKUP($D354,SERVIÇOS!$C:$H,6,0),IFERROR(VLOOKUP($D354,$F:$M,8,0),"")),IFERROR(VLOOKUP($E354,INSUMOS!$B:$E,4,0),""))</f>
        <v/>
      </c>
      <c r="K354" s="528">
        <f>TRUNC(IF($E354="",IFERROR(VLOOKUP($D354,SERVIÇOS!$C:$H,4,0),IFERROR(VLOOKUP($D354,$F:$M,6,0),)),IFERROR(VLOOKUP($E354,INSUMOS!$B:$E,4,0),))*$I354,2)</f>
        <v>0</v>
      </c>
      <c r="L354" s="528">
        <f>TRUNC(IF($E354="",IFERROR(VLOOKUP($D354,SERVIÇOS!$C:$H,5,0),IFERROR(VLOOKUP($D354,$F:$M,7,0),)),0)*$I354,2)</f>
        <v>0</v>
      </c>
      <c r="M354" s="528">
        <f t="shared" si="11"/>
        <v>0</v>
      </c>
      <c r="N354" s="526"/>
    </row>
    <row r="355" spans="3:14">
      <c r="C355" s="526" t="str">
        <f t="shared" si="10"/>
        <v/>
      </c>
      <c r="D355" s="531"/>
      <c r="E355" s="531"/>
      <c r="F355" s="526"/>
      <c r="G355" s="532" t="str">
        <f>IF($E355="",IFERROR(VLOOKUP($D355,SERVIÇOS!$C:$H,2,0),IFERROR(VLOOKUP($D355,$F:$M,2,0),"")),IFERROR(VLOOKUP($E355,INSUMOS!$B:$E,2,0),""))</f>
        <v/>
      </c>
      <c r="H355" s="526" t="str">
        <f>IF($E355="",IFERROR(VLOOKUP($D355,SERVIÇOS!$C:$H,3,0),IFERROR(VLOOKUP($D355,$F:$M,3,0),"")),IFERROR(VLOOKUP($E355,INSUMOS!$B:$E,3,0),""))</f>
        <v/>
      </c>
      <c r="I355" s="527"/>
      <c r="J355" s="528" t="str">
        <f>IF($E355="",IFERROR(VLOOKUP($D355,SERVIÇOS!$C:$H,6,0),IFERROR(VLOOKUP($D355,$F:$M,8,0),"")),IFERROR(VLOOKUP($E355,INSUMOS!$B:$E,4,0),""))</f>
        <v/>
      </c>
      <c r="K355" s="528">
        <f>TRUNC(IF($E355="",IFERROR(VLOOKUP($D355,SERVIÇOS!$C:$H,4,0),IFERROR(VLOOKUP($D355,$F:$M,6,0),)),IFERROR(VLOOKUP($E355,INSUMOS!$B:$E,4,0),))*$I355,2)</f>
        <v>0</v>
      </c>
      <c r="L355" s="528">
        <f>TRUNC(IF($E355="",IFERROR(VLOOKUP($D355,SERVIÇOS!$C:$H,5,0),IFERROR(VLOOKUP($D355,$F:$M,7,0),)),0)*$I355,2)</f>
        <v>0</v>
      </c>
      <c r="M355" s="528">
        <f t="shared" si="11"/>
        <v>0</v>
      </c>
      <c r="N355" s="526"/>
    </row>
    <row r="356" spans="3:14">
      <c r="C356" s="526" t="str">
        <f t="shared" si="10"/>
        <v/>
      </c>
      <c r="D356" s="531"/>
      <c r="E356" s="531"/>
      <c r="F356" s="526"/>
      <c r="G356" s="532" t="str">
        <f>IF($E356="",IFERROR(VLOOKUP($D356,SERVIÇOS!$C:$H,2,0),IFERROR(VLOOKUP($D356,$F:$M,2,0),"")),IFERROR(VLOOKUP($E356,INSUMOS!$B:$E,2,0),""))</f>
        <v/>
      </c>
      <c r="H356" s="526" t="str">
        <f>IF($E356="",IFERROR(VLOOKUP($D356,SERVIÇOS!$C:$H,3,0),IFERROR(VLOOKUP($D356,$F:$M,3,0),"")),IFERROR(VLOOKUP($E356,INSUMOS!$B:$E,3,0),""))</f>
        <v/>
      </c>
      <c r="I356" s="527"/>
      <c r="J356" s="528" t="str">
        <f>IF($E356="",IFERROR(VLOOKUP($D356,SERVIÇOS!$C:$H,6,0),IFERROR(VLOOKUP($D356,$F:$M,8,0),"")),IFERROR(VLOOKUP($E356,INSUMOS!$B:$E,4,0),""))</f>
        <v/>
      </c>
      <c r="K356" s="528">
        <f>TRUNC(IF($E356="",IFERROR(VLOOKUP($D356,SERVIÇOS!$C:$H,4,0),IFERROR(VLOOKUP($D356,$F:$M,6,0),)),IFERROR(VLOOKUP($E356,INSUMOS!$B:$E,4,0),))*$I356,2)</f>
        <v>0</v>
      </c>
      <c r="L356" s="528">
        <f>TRUNC(IF($E356="",IFERROR(VLOOKUP($D356,SERVIÇOS!$C:$H,5,0),IFERROR(VLOOKUP($D356,$F:$M,7,0),)),0)*$I356,2)</f>
        <v>0</v>
      </c>
      <c r="M356" s="528">
        <f t="shared" si="11"/>
        <v>0</v>
      </c>
      <c r="N356" s="526"/>
    </row>
    <row r="357" spans="3:14">
      <c r="C357" s="526" t="str">
        <f t="shared" si="10"/>
        <v/>
      </c>
      <c r="D357" s="531"/>
      <c r="E357" s="531"/>
      <c r="F357" s="526"/>
      <c r="G357" s="532" t="str">
        <f>IF($E357="",IFERROR(VLOOKUP($D357,SERVIÇOS!$C:$H,2,0),IFERROR(VLOOKUP($D357,$F:$M,2,0),"")),IFERROR(VLOOKUP($E357,INSUMOS!$B:$E,2,0),""))</f>
        <v/>
      </c>
      <c r="H357" s="526" t="str">
        <f>IF($E357="",IFERROR(VLOOKUP($D357,SERVIÇOS!$C:$H,3,0),IFERROR(VLOOKUP($D357,$F:$M,3,0),"")),IFERROR(VLOOKUP($E357,INSUMOS!$B:$E,3,0),""))</f>
        <v/>
      </c>
      <c r="I357" s="527"/>
      <c r="J357" s="528" t="str">
        <f>IF($E357="",IFERROR(VLOOKUP($D357,SERVIÇOS!$C:$H,6,0),IFERROR(VLOOKUP($D357,$F:$M,8,0),"")),IFERROR(VLOOKUP($E357,INSUMOS!$B:$E,4,0),""))</f>
        <v/>
      </c>
      <c r="K357" s="528">
        <f>TRUNC(IF($E357="",IFERROR(VLOOKUP($D357,SERVIÇOS!$C:$H,4,0),IFERROR(VLOOKUP($D357,$F:$M,6,0),)),IFERROR(VLOOKUP($E357,INSUMOS!$B:$E,4,0),))*$I357,2)</f>
        <v>0</v>
      </c>
      <c r="L357" s="528">
        <f>TRUNC(IF($E357="",IFERROR(VLOOKUP($D357,SERVIÇOS!$C:$H,5,0),IFERROR(VLOOKUP($D357,$F:$M,7,0),)),0)*$I357,2)</f>
        <v>0</v>
      </c>
      <c r="M357" s="528">
        <f t="shared" si="11"/>
        <v>0</v>
      </c>
      <c r="N357" s="526"/>
    </row>
    <row r="358" spans="3:14">
      <c r="C358" s="526" t="str">
        <f t="shared" si="10"/>
        <v/>
      </c>
      <c r="D358" s="531"/>
      <c r="E358" s="531"/>
      <c r="F358" s="526"/>
      <c r="G358" s="532" t="str">
        <f>IF($E358="",IFERROR(VLOOKUP($D358,SERVIÇOS!$C:$H,2,0),IFERROR(VLOOKUP($D358,$F:$M,2,0),"")),IFERROR(VLOOKUP($E358,INSUMOS!$B:$E,2,0),""))</f>
        <v/>
      </c>
      <c r="H358" s="526" t="str">
        <f>IF($E358="",IFERROR(VLOOKUP($D358,SERVIÇOS!$C:$H,3,0),IFERROR(VLOOKUP($D358,$F:$M,3,0),"")),IFERROR(VLOOKUP($E358,INSUMOS!$B:$E,3,0),""))</f>
        <v/>
      </c>
      <c r="I358" s="527"/>
      <c r="J358" s="528" t="str">
        <f>IF($E358="",IFERROR(VLOOKUP($D358,SERVIÇOS!$C:$H,6,0),IFERROR(VLOOKUP($D358,$F:$M,8,0),"")),IFERROR(VLOOKUP($E358,INSUMOS!$B:$E,4,0),""))</f>
        <v/>
      </c>
      <c r="K358" s="528">
        <f>TRUNC(IF($E358="",IFERROR(VLOOKUP($D358,SERVIÇOS!$C:$H,4,0),IFERROR(VLOOKUP($D358,$F:$M,6,0),)),IFERROR(VLOOKUP($E358,INSUMOS!$B:$E,4,0),))*$I358,2)</f>
        <v>0</v>
      </c>
      <c r="L358" s="528">
        <f>TRUNC(IF($E358="",IFERROR(VLOOKUP($D358,SERVIÇOS!$C:$H,5,0),IFERROR(VLOOKUP($D358,$F:$M,7,0),)),0)*$I358,2)</f>
        <v>0</v>
      </c>
      <c r="M358" s="528">
        <f t="shared" si="11"/>
        <v>0</v>
      </c>
      <c r="N358" s="526"/>
    </row>
    <row r="359" spans="3:14">
      <c r="C359" s="526" t="str">
        <f t="shared" si="10"/>
        <v/>
      </c>
      <c r="D359" s="531"/>
      <c r="E359" s="531"/>
      <c r="F359" s="526"/>
      <c r="G359" s="532" t="str">
        <f>IF($E359="",IFERROR(VLOOKUP($D359,SERVIÇOS!$C:$H,2,0),IFERROR(VLOOKUP($D359,$F:$M,2,0),"")),IFERROR(VLOOKUP($E359,INSUMOS!$B:$E,2,0),""))</f>
        <v/>
      </c>
      <c r="H359" s="526" t="str">
        <f>IF($E359="",IFERROR(VLOOKUP($D359,SERVIÇOS!$C:$H,3,0),IFERROR(VLOOKUP($D359,$F:$M,3,0),"")),IFERROR(VLOOKUP($E359,INSUMOS!$B:$E,3,0),""))</f>
        <v/>
      </c>
      <c r="I359" s="527"/>
      <c r="J359" s="528" t="str">
        <f>IF($E359="",IFERROR(VLOOKUP($D359,SERVIÇOS!$C:$H,6,0),IFERROR(VLOOKUP($D359,$F:$M,8,0),"")),IFERROR(VLOOKUP($E359,INSUMOS!$B:$E,4,0),""))</f>
        <v/>
      </c>
      <c r="K359" s="528">
        <f>TRUNC(IF($E359="",IFERROR(VLOOKUP($D359,SERVIÇOS!$C:$H,4,0),IFERROR(VLOOKUP($D359,$F:$M,6,0),)),IFERROR(VLOOKUP($E359,INSUMOS!$B:$E,4,0),))*$I359,2)</f>
        <v>0</v>
      </c>
      <c r="L359" s="528">
        <f>TRUNC(IF($E359="",IFERROR(VLOOKUP($D359,SERVIÇOS!$C:$H,5,0),IFERROR(VLOOKUP($D359,$F:$M,7,0),)),0)*$I359,2)</f>
        <v>0</v>
      </c>
      <c r="M359" s="528">
        <f t="shared" si="11"/>
        <v>0</v>
      </c>
      <c r="N359" s="526"/>
    </row>
    <row r="360" spans="3:14">
      <c r="C360" s="526" t="str">
        <f t="shared" si="10"/>
        <v/>
      </c>
      <c r="D360" s="531"/>
      <c r="E360" s="531"/>
      <c r="F360" s="526"/>
      <c r="G360" s="532" t="str">
        <f>IF($E360="",IFERROR(VLOOKUP($D360,SERVIÇOS!$C:$H,2,0),IFERROR(VLOOKUP($D360,$F:$M,2,0),"")),IFERROR(VLOOKUP($E360,INSUMOS!$B:$E,2,0),""))</f>
        <v/>
      </c>
      <c r="H360" s="526" t="str">
        <f>IF($E360="",IFERROR(VLOOKUP($D360,SERVIÇOS!$C:$H,3,0),IFERROR(VLOOKUP($D360,$F:$M,3,0),"")),IFERROR(VLOOKUP($E360,INSUMOS!$B:$E,3,0),""))</f>
        <v/>
      </c>
      <c r="I360" s="527"/>
      <c r="J360" s="528" t="str">
        <f>IF($E360="",IFERROR(VLOOKUP($D360,SERVIÇOS!$C:$H,6,0),IFERROR(VLOOKUP($D360,$F:$M,8,0),"")),IFERROR(VLOOKUP($E360,INSUMOS!$B:$E,4,0),""))</f>
        <v/>
      </c>
      <c r="K360" s="528">
        <f>TRUNC(IF($E360="",IFERROR(VLOOKUP($D360,SERVIÇOS!$C:$H,4,0),IFERROR(VLOOKUP($D360,$F:$M,6,0),)),IFERROR(VLOOKUP($E360,INSUMOS!$B:$E,4,0),))*$I360,2)</f>
        <v>0</v>
      </c>
      <c r="L360" s="528">
        <f>TRUNC(IF($E360="",IFERROR(VLOOKUP($D360,SERVIÇOS!$C:$H,5,0),IFERROR(VLOOKUP($D360,$F:$M,7,0),)),0)*$I360,2)</f>
        <v>0</v>
      </c>
      <c r="M360" s="528">
        <f t="shared" si="11"/>
        <v>0</v>
      </c>
      <c r="N360" s="526"/>
    </row>
    <row r="361" spans="3:14">
      <c r="C361" s="526" t="str">
        <f t="shared" si="10"/>
        <v/>
      </c>
      <c r="D361" s="531"/>
      <c r="E361" s="531"/>
      <c r="F361" s="526"/>
      <c r="G361" s="532" t="str">
        <f>IF($E361="",IFERROR(VLOOKUP($D361,SERVIÇOS!$C:$H,2,0),IFERROR(VLOOKUP($D361,$F:$M,2,0),"")),IFERROR(VLOOKUP($E361,INSUMOS!$B:$E,2,0),""))</f>
        <v/>
      </c>
      <c r="H361" s="526" t="str">
        <f>IF($E361="",IFERROR(VLOOKUP($D361,SERVIÇOS!$C:$H,3,0),IFERROR(VLOOKUP($D361,$F:$M,3,0),"")),IFERROR(VLOOKUP($E361,INSUMOS!$B:$E,3,0),""))</f>
        <v/>
      </c>
      <c r="I361" s="527"/>
      <c r="J361" s="528" t="str">
        <f>IF($E361="",IFERROR(VLOOKUP($D361,SERVIÇOS!$C:$H,6,0),IFERROR(VLOOKUP($D361,$F:$M,8,0),"")),IFERROR(VLOOKUP($E361,INSUMOS!$B:$E,4,0),""))</f>
        <v/>
      </c>
      <c r="K361" s="528">
        <f>TRUNC(IF($E361="",IFERROR(VLOOKUP($D361,SERVIÇOS!$C:$H,4,0),IFERROR(VLOOKUP($D361,$F:$M,6,0),)),IFERROR(VLOOKUP($E361,INSUMOS!$B:$E,4,0),))*$I361,2)</f>
        <v>0</v>
      </c>
      <c r="L361" s="528">
        <f>TRUNC(IF($E361="",IFERROR(VLOOKUP($D361,SERVIÇOS!$C:$H,5,0),IFERROR(VLOOKUP($D361,$F:$M,7,0),)),0)*$I361,2)</f>
        <v>0</v>
      </c>
      <c r="M361" s="528">
        <f t="shared" si="11"/>
        <v>0</v>
      </c>
      <c r="N361" s="526"/>
    </row>
    <row r="362" spans="3:14">
      <c r="C362" s="526" t="str">
        <f t="shared" si="10"/>
        <v/>
      </c>
      <c r="D362" s="531"/>
      <c r="E362" s="531"/>
      <c r="F362" s="526"/>
      <c r="G362" s="532" t="str">
        <f>IF($E362="",IFERROR(VLOOKUP($D362,SERVIÇOS!$C:$H,2,0),IFERROR(VLOOKUP($D362,$F:$M,2,0),"")),IFERROR(VLOOKUP($E362,INSUMOS!$B:$E,2,0),""))</f>
        <v/>
      </c>
      <c r="H362" s="526" t="str">
        <f>IF($E362="",IFERROR(VLOOKUP($D362,SERVIÇOS!$C:$H,3,0),IFERROR(VLOOKUP($D362,$F:$M,3,0),"")),IFERROR(VLOOKUP($E362,INSUMOS!$B:$E,3,0),""))</f>
        <v/>
      </c>
      <c r="I362" s="527"/>
      <c r="J362" s="528" t="str">
        <f>IF($E362="",IFERROR(VLOOKUP($D362,SERVIÇOS!$C:$H,6,0),IFERROR(VLOOKUP($D362,$F:$M,8,0),"")),IFERROR(VLOOKUP($E362,INSUMOS!$B:$E,4,0),""))</f>
        <v/>
      </c>
      <c r="K362" s="528">
        <f>TRUNC(IF($E362="",IFERROR(VLOOKUP($D362,SERVIÇOS!$C:$H,4,0),IFERROR(VLOOKUP($D362,$F:$M,6,0),)),IFERROR(VLOOKUP($E362,INSUMOS!$B:$E,4,0),))*$I362,2)</f>
        <v>0</v>
      </c>
      <c r="L362" s="528">
        <f>TRUNC(IF($E362="",IFERROR(VLOOKUP($D362,SERVIÇOS!$C:$H,5,0),IFERROR(VLOOKUP($D362,$F:$M,7,0),)),0)*$I362,2)</f>
        <v>0</v>
      </c>
      <c r="M362" s="528">
        <f t="shared" si="11"/>
        <v>0</v>
      </c>
      <c r="N362" s="526"/>
    </row>
    <row r="363" spans="3:14">
      <c r="C363" s="526" t="str">
        <f t="shared" si="10"/>
        <v/>
      </c>
      <c r="D363" s="531"/>
      <c r="E363" s="531"/>
      <c r="F363" s="526"/>
      <c r="G363" s="532" t="str">
        <f>IF($E363="",IFERROR(VLOOKUP($D363,SERVIÇOS!$C:$H,2,0),IFERROR(VLOOKUP($D363,$F:$M,2,0),"")),IFERROR(VLOOKUP($E363,INSUMOS!$B:$E,2,0),""))</f>
        <v/>
      </c>
      <c r="H363" s="526" t="str">
        <f>IF($E363="",IFERROR(VLOOKUP($D363,SERVIÇOS!$C:$H,3,0),IFERROR(VLOOKUP($D363,$F:$M,3,0),"")),IFERROR(VLOOKUP($E363,INSUMOS!$B:$E,3,0),""))</f>
        <v/>
      </c>
      <c r="I363" s="527"/>
      <c r="J363" s="528" t="str">
        <f>IF($E363="",IFERROR(VLOOKUP($D363,SERVIÇOS!$C:$H,6,0),IFERROR(VLOOKUP($D363,$F:$M,8,0),"")),IFERROR(VLOOKUP($E363,INSUMOS!$B:$E,4,0),""))</f>
        <v/>
      </c>
      <c r="K363" s="528">
        <f>TRUNC(IF($E363="",IFERROR(VLOOKUP($D363,SERVIÇOS!$C:$H,4,0),IFERROR(VLOOKUP($D363,$F:$M,6,0),)),IFERROR(VLOOKUP($E363,INSUMOS!$B:$E,4,0),))*$I363,2)</f>
        <v>0</v>
      </c>
      <c r="L363" s="528">
        <f>TRUNC(IF($E363="",IFERROR(VLOOKUP($D363,SERVIÇOS!$C:$H,5,0),IFERROR(VLOOKUP($D363,$F:$M,7,0),)),0)*$I363,2)</f>
        <v>0</v>
      </c>
      <c r="M363" s="528">
        <f t="shared" si="11"/>
        <v>0</v>
      </c>
      <c r="N363" s="526"/>
    </row>
    <row r="364" spans="3:14">
      <c r="C364" s="526" t="str">
        <f t="shared" si="10"/>
        <v/>
      </c>
      <c r="D364" s="531"/>
      <c r="E364" s="531"/>
      <c r="F364" s="526"/>
      <c r="G364" s="532" t="str">
        <f>IF($E364="",IFERROR(VLOOKUP($D364,SERVIÇOS!$C:$H,2,0),IFERROR(VLOOKUP($D364,$F:$M,2,0),"")),IFERROR(VLOOKUP($E364,INSUMOS!$B:$E,2,0),""))</f>
        <v/>
      </c>
      <c r="H364" s="526" t="str">
        <f>IF($E364="",IFERROR(VLOOKUP($D364,SERVIÇOS!$C:$H,3,0),IFERROR(VLOOKUP($D364,$F:$M,3,0),"")),IFERROR(VLOOKUP($E364,INSUMOS!$B:$E,3,0),""))</f>
        <v/>
      </c>
      <c r="I364" s="527"/>
      <c r="J364" s="528" t="str">
        <f>IF($E364="",IFERROR(VLOOKUP($D364,SERVIÇOS!$C:$H,6,0),IFERROR(VLOOKUP($D364,$F:$M,8,0),"")),IFERROR(VLOOKUP($E364,INSUMOS!$B:$E,4,0),""))</f>
        <v/>
      </c>
      <c r="K364" s="528">
        <f>TRUNC(IF($E364="",IFERROR(VLOOKUP($D364,SERVIÇOS!$C:$H,4,0),IFERROR(VLOOKUP($D364,$F:$M,6,0),)),IFERROR(VLOOKUP($E364,INSUMOS!$B:$E,4,0),))*$I364,2)</f>
        <v>0</v>
      </c>
      <c r="L364" s="528">
        <f>TRUNC(IF($E364="",IFERROR(VLOOKUP($D364,SERVIÇOS!$C:$H,5,0),IFERROR(VLOOKUP($D364,$F:$M,7,0),)),0)*$I364,2)</f>
        <v>0</v>
      </c>
      <c r="M364" s="528">
        <f t="shared" si="11"/>
        <v>0</v>
      </c>
      <c r="N364" s="526"/>
    </row>
    <row r="365" spans="3:14">
      <c r="C365" s="526" t="str">
        <f t="shared" si="10"/>
        <v/>
      </c>
      <c r="D365" s="531"/>
      <c r="E365" s="531"/>
      <c r="F365" s="526"/>
      <c r="G365" s="532" t="str">
        <f>IF($E365="",IFERROR(VLOOKUP($D365,SERVIÇOS!$C:$H,2,0),IFERROR(VLOOKUP($D365,$F:$M,2,0),"")),IFERROR(VLOOKUP($E365,INSUMOS!$B:$E,2,0),""))</f>
        <v/>
      </c>
      <c r="H365" s="526" t="str">
        <f>IF($E365="",IFERROR(VLOOKUP($D365,SERVIÇOS!$C:$H,3,0),IFERROR(VLOOKUP($D365,$F:$M,3,0),"")),IFERROR(VLOOKUP($E365,INSUMOS!$B:$E,3,0),""))</f>
        <v/>
      </c>
      <c r="I365" s="527"/>
      <c r="J365" s="528" t="str">
        <f>IF($E365="",IFERROR(VLOOKUP($D365,SERVIÇOS!$C:$H,6,0),IFERROR(VLOOKUP($D365,$F:$M,8,0),"")),IFERROR(VLOOKUP($E365,INSUMOS!$B:$E,4,0),""))</f>
        <v/>
      </c>
      <c r="K365" s="528">
        <f>TRUNC(IF($E365="",IFERROR(VLOOKUP($D365,SERVIÇOS!$C:$H,4,0),IFERROR(VLOOKUP($D365,$F:$M,6,0),)),IFERROR(VLOOKUP($E365,INSUMOS!$B:$E,4,0),))*$I365,2)</f>
        <v>0</v>
      </c>
      <c r="L365" s="528">
        <f>TRUNC(IF($E365="",IFERROR(VLOOKUP($D365,SERVIÇOS!$C:$H,5,0),IFERROR(VLOOKUP($D365,$F:$M,7,0),)),0)*$I365,2)</f>
        <v>0</v>
      </c>
      <c r="M365" s="528">
        <f t="shared" si="11"/>
        <v>0</v>
      </c>
      <c r="N365" s="526"/>
    </row>
    <row r="366" spans="3:14">
      <c r="C366" s="526" t="str">
        <f t="shared" si="10"/>
        <v/>
      </c>
      <c r="D366" s="531"/>
      <c r="E366" s="531"/>
      <c r="F366" s="526"/>
      <c r="G366" s="532" t="str">
        <f>IF($E366="",IFERROR(VLOOKUP($D366,SERVIÇOS!$C:$H,2,0),IFERROR(VLOOKUP($D366,$F:$M,2,0),"")),IFERROR(VLOOKUP($E366,INSUMOS!$B:$E,2,0),""))</f>
        <v/>
      </c>
      <c r="H366" s="526" t="str">
        <f>IF($E366="",IFERROR(VLOOKUP($D366,SERVIÇOS!$C:$H,3,0),IFERROR(VLOOKUP($D366,$F:$M,3,0),"")),IFERROR(VLOOKUP($E366,INSUMOS!$B:$E,3,0),""))</f>
        <v/>
      </c>
      <c r="I366" s="527"/>
      <c r="J366" s="528" t="str">
        <f>IF($E366="",IFERROR(VLOOKUP($D366,SERVIÇOS!$C:$H,6,0),IFERROR(VLOOKUP($D366,$F:$M,8,0),"")),IFERROR(VLOOKUP($E366,INSUMOS!$B:$E,4,0),""))</f>
        <v/>
      </c>
      <c r="K366" s="528">
        <f>TRUNC(IF($E366="",IFERROR(VLOOKUP($D366,SERVIÇOS!$C:$H,4,0),IFERROR(VLOOKUP($D366,$F:$M,6,0),)),IFERROR(VLOOKUP($E366,INSUMOS!$B:$E,4,0),))*$I366,2)</f>
        <v>0</v>
      </c>
      <c r="L366" s="528">
        <f>TRUNC(IF($E366="",IFERROR(VLOOKUP($D366,SERVIÇOS!$C:$H,5,0),IFERROR(VLOOKUP($D366,$F:$M,7,0),)),0)*$I366,2)</f>
        <v>0</v>
      </c>
      <c r="M366" s="528">
        <f t="shared" si="11"/>
        <v>0</v>
      </c>
      <c r="N366" s="526"/>
    </row>
    <row r="367" spans="3:14">
      <c r="C367" s="526" t="str">
        <f t="shared" si="10"/>
        <v/>
      </c>
      <c r="D367" s="531"/>
      <c r="E367" s="531"/>
      <c r="F367" s="526"/>
      <c r="G367" s="532" t="str">
        <f>IF($E367="",IFERROR(VLOOKUP($D367,SERVIÇOS!$C:$H,2,0),IFERROR(VLOOKUP($D367,$F:$M,2,0),"")),IFERROR(VLOOKUP($E367,INSUMOS!$B:$E,2,0),""))</f>
        <v/>
      </c>
      <c r="H367" s="526" t="str">
        <f>IF($E367="",IFERROR(VLOOKUP($D367,SERVIÇOS!$C:$H,3,0),IFERROR(VLOOKUP($D367,$F:$M,3,0),"")),IFERROR(VLOOKUP($E367,INSUMOS!$B:$E,3,0),""))</f>
        <v/>
      </c>
      <c r="I367" s="527"/>
      <c r="J367" s="528" t="str">
        <f>IF($E367="",IFERROR(VLOOKUP($D367,SERVIÇOS!$C:$H,6,0),IFERROR(VLOOKUP($D367,$F:$M,8,0),"")),IFERROR(VLOOKUP($E367,INSUMOS!$B:$E,4,0),""))</f>
        <v/>
      </c>
      <c r="K367" s="528">
        <f>TRUNC(IF($E367="",IFERROR(VLOOKUP($D367,SERVIÇOS!$C:$H,4,0),IFERROR(VLOOKUP($D367,$F:$M,6,0),)),IFERROR(VLOOKUP($E367,INSUMOS!$B:$E,4,0),))*$I367,2)</f>
        <v>0</v>
      </c>
      <c r="L367" s="528">
        <f>TRUNC(IF($E367="",IFERROR(VLOOKUP($D367,SERVIÇOS!$C:$H,5,0),IFERROR(VLOOKUP($D367,$F:$M,7,0),)),0)*$I367,2)</f>
        <v>0</v>
      </c>
      <c r="M367" s="528">
        <f t="shared" si="11"/>
        <v>0</v>
      </c>
      <c r="N367" s="526"/>
    </row>
    <row r="368" spans="3:14">
      <c r="C368" s="526" t="str">
        <f t="shared" si="10"/>
        <v/>
      </c>
      <c r="D368" s="531"/>
      <c r="E368" s="531"/>
      <c r="F368" s="526"/>
      <c r="G368" s="532" t="str">
        <f>IF($E368="",IFERROR(VLOOKUP($D368,SERVIÇOS!$C:$H,2,0),IFERROR(VLOOKUP($D368,$F:$M,2,0),"")),IFERROR(VLOOKUP($E368,INSUMOS!$B:$E,2,0),""))</f>
        <v/>
      </c>
      <c r="H368" s="526" t="str">
        <f>IF($E368="",IFERROR(VLOOKUP($D368,SERVIÇOS!$C:$H,3,0),IFERROR(VLOOKUP($D368,$F:$M,3,0),"")),IFERROR(VLOOKUP($E368,INSUMOS!$B:$E,3,0),""))</f>
        <v/>
      </c>
      <c r="I368" s="527"/>
      <c r="J368" s="528" t="str">
        <f>IF($E368="",IFERROR(VLOOKUP($D368,SERVIÇOS!$C:$H,6,0),IFERROR(VLOOKUP($D368,$F:$M,8,0),"")),IFERROR(VLOOKUP($E368,INSUMOS!$B:$E,4,0),""))</f>
        <v/>
      </c>
      <c r="K368" s="528">
        <f>TRUNC(IF($E368="",IFERROR(VLOOKUP($D368,SERVIÇOS!$C:$H,4,0),IFERROR(VLOOKUP($D368,$F:$M,6,0),)),IFERROR(VLOOKUP($E368,INSUMOS!$B:$E,4,0),))*$I368,2)</f>
        <v>0</v>
      </c>
      <c r="L368" s="528">
        <f>TRUNC(IF($E368="",IFERROR(VLOOKUP($D368,SERVIÇOS!$C:$H,5,0),IFERROR(VLOOKUP($D368,$F:$M,7,0),)),0)*$I368,2)</f>
        <v>0</v>
      </c>
      <c r="M368" s="528">
        <f t="shared" si="11"/>
        <v>0</v>
      </c>
      <c r="N368" s="526"/>
    </row>
    <row r="369" spans="3:14">
      <c r="C369" s="526" t="str">
        <f t="shared" si="10"/>
        <v/>
      </c>
      <c r="D369" s="531"/>
      <c r="E369" s="531"/>
      <c r="F369" s="526"/>
      <c r="G369" s="532" t="str">
        <f>IF($E369="",IFERROR(VLOOKUP($D369,SERVIÇOS!$C:$H,2,0),IFERROR(VLOOKUP($D369,$F:$M,2,0),"")),IFERROR(VLOOKUP($E369,INSUMOS!$B:$E,2,0),""))</f>
        <v/>
      </c>
      <c r="H369" s="526" t="str">
        <f>IF($E369="",IFERROR(VLOOKUP($D369,SERVIÇOS!$C:$H,3,0),IFERROR(VLOOKUP($D369,$F:$M,3,0),"")),IFERROR(VLOOKUP($E369,INSUMOS!$B:$E,3,0),""))</f>
        <v/>
      </c>
      <c r="I369" s="527"/>
      <c r="J369" s="528" t="str">
        <f>IF($E369="",IFERROR(VLOOKUP($D369,SERVIÇOS!$C:$H,6,0),IFERROR(VLOOKUP($D369,$F:$M,8,0),"")),IFERROR(VLOOKUP($E369,INSUMOS!$B:$E,4,0),""))</f>
        <v/>
      </c>
      <c r="K369" s="528">
        <f>TRUNC(IF($E369="",IFERROR(VLOOKUP($D369,SERVIÇOS!$C:$H,4,0),IFERROR(VLOOKUP($D369,$F:$M,6,0),)),IFERROR(VLOOKUP($E369,INSUMOS!$B:$E,4,0),))*$I369,2)</f>
        <v>0</v>
      </c>
      <c r="L369" s="528">
        <f>TRUNC(IF($E369="",IFERROR(VLOOKUP($D369,SERVIÇOS!$C:$H,5,0),IFERROR(VLOOKUP($D369,$F:$M,7,0),)),0)*$I369,2)</f>
        <v>0</v>
      </c>
      <c r="M369" s="528">
        <f t="shared" si="11"/>
        <v>0</v>
      </c>
      <c r="N369" s="526"/>
    </row>
    <row r="370" spans="3:14">
      <c r="C370" s="526" t="str">
        <f t="shared" si="10"/>
        <v/>
      </c>
      <c r="D370" s="531"/>
      <c r="E370" s="531"/>
      <c r="F370" s="526"/>
      <c r="G370" s="532" t="str">
        <f>IF($E370="",IFERROR(VLOOKUP($D370,SERVIÇOS!$C:$H,2,0),IFERROR(VLOOKUP($D370,$F:$M,2,0),"")),IFERROR(VLOOKUP($E370,INSUMOS!$B:$E,2,0),""))</f>
        <v/>
      </c>
      <c r="H370" s="526" t="str">
        <f>IF($E370="",IFERROR(VLOOKUP($D370,SERVIÇOS!$C:$H,3,0),IFERROR(VLOOKUP($D370,$F:$M,3,0),"")),IFERROR(VLOOKUP($E370,INSUMOS!$B:$E,3,0),""))</f>
        <v/>
      </c>
      <c r="I370" s="527"/>
      <c r="J370" s="528" t="str">
        <f>IF($E370="",IFERROR(VLOOKUP($D370,SERVIÇOS!$C:$H,6,0),IFERROR(VLOOKUP($D370,$F:$M,8,0),"")),IFERROR(VLOOKUP($E370,INSUMOS!$B:$E,4,0),""))</f>
        <v/>
      </c>
      <c r="K370" s="528">
        <f>TRUNC(IF($E370="",IFERROR(VLOOKUP($D370,SERVIÇOS!$C:$H,4,0),IFERROR(VLOOKUP($D370,$F:$M,6,0),)),IFERROR(VLOOKUP($E370,INSUMOS!$B:$E,4,0),))*$I370,2)</f>
        <v>0</v>
      </c>
      <c r="L370" s="528">
        <f>TRUNC(IF($E370="",IFERROR(VLOOKUP($D370,SERVIÇOS!$C:$H,5,0),IFERROR(VLOOKUP($D370,$F:$M,7,0),)),0)*$I370,2)</f>
        <v>0</v>
      </c>
      <c r="M370" s="528">
        <f t="shared" si="11"/>
        <v>0</v>
      </c>
      <c r="N370" s="526"/>
    </row>
    <row r="371" spans="3:14">
      <c r="C371" s="526" t="str">
        <f t="shared" si="10"/>
        <v/>
      </c>
      <c r="D371" s="531"/>
      <c r="E371" s="531"/>
      <c r="F371" s="526"/>
      <c r="G371" s="532" t="str">
        <f>IF($E371="",IFERROR(VLOOKUP($D371,SERVIÇOS!$C:$H,2,0),IFERROR(VLOOKUP($D371,$F:$M,2,0),"")),IFERROR(VLOOKUP($E371,INSUMOS!$B:$E,2,0),""))</f>
        <v/>
      </c>
      <c r="H371" s="526" t="str">
        <f>IF($E371="",IFERROR(VLOOKUP($D371,SERVIÇOS!$C:$H,3,0),IFERROR(VLOOKUP($D371,$F:$M,3,0),"")),IFERROR(VLOOKUP($E371,INSUMOS!$B:$E,3,0),""))</f>
        <v/>
      </c>
      <c r="I371" s="527"/>
      <c r="J371" s="528" t="str">
        <f>IF($E371="",IFERROR(VLOOKUP($D371,SERVIÇOS!$C:$H,6,0),IFERROR(VLOOKUP($D371,$F:$M,8,0),"")),IFERROR(VLOOKUP($E371,INSUMOS!$B:$E,4,0),""))</f>
        <v/>
      </c>
      <c r="K371" s="528">
        <f>TRUNC(IF($E371="",IFERROR(VLOOKUP($D371,SERVIÇOS!$C:$H,4,0),IFERROR(VLOOKUP($D371,$F:$M,6,0),)),IFERROR(VLOOKUP($E371,INSUMOS!$B:$E,4,0),))*$I371,2)</f>
        <v>0</v>
      </c>
      <c r="L371" s="528">
        <f>TRUNC(IF($E371="",IFERROR(VLOOKUP($D371,SERVIÇOS!$C:$H,5,0),IFERROR(VLOOKUP($D371,$F:$M,7,0),)),0)*$I371,2)</f>
        <v>0</v>
      </c>
      <c r="M371" s="528">
        <f t="shared" si="11"/>
        <v>0</v>
      </c>
      <c r="N371" s="526"/>
    </row>
    <row r="372" spans="3:14">
      <c r="C372" s="526" t="str">
        <f t="shared" si="10"/>
        <v/>
      </c>
      <c r="D372" s="531"/>
      <c r="E372" s="531"/>
      <c r="F372" s="526"/>
      <c r="G372" s="532" t="str">
        <f>IF($E372="",IFERROR(VLOOKUP($D372,SERVIÇOS!$C:$H,2,0),IFERROR(VLOOKUP($D372,$F:$M,2,0),"")),IFERROR(VLOOKUP($E372,INSUMOS!$B:$E,2,0),""))</f>
        <v/>
      </c>
      <c r="H372" s="526" t="str">
        <f>IF($E372="",IFERROR(VLOOKUP($D372,SERVIÇOS!$C:$H,3,0),IFERROR(VLOOKUP($D372,$F:$M,3,0),"")),IFERROR(VLOOKUP($E372,INSUMOS!$B:$E,3,0),""))</f>
        <v/>
      </c>
      <c r="I372" s="527"/>
      <c r="J372" s="528" t="str">
        <f>IF($E372="",IFERROR(VLOOKUP($D372,SERVIÇOS!$C:$H,6,0),IFERROR(VLOOKUP($D372,$F:$M,8,0),"")),IFERROR(VLOOKUP($E372,INSUMOS!$B:$E,4,0),""))</f>
        <v/>
      </c>
      <c r="K372" s="528">
        <f>TRUNC(IF($E372="",IFERROR(VLOOKUP($D372,SERVIÇOS!$C:$H,4,0),IFERROR(VLOOKUP($D372,$F:$M,6,0),)),IFERROR(VLOOKUP($E372,INSUMOS!$B:$E,4,0),))*$I372,2)</f>
        <v>0</v>
      </c>
      <c r="L372" s="528">
        <f>TRUNC(IF($E372="",IFERROR(VLOOKUP($D372,SERVIÇOS!$C:$H,5,0),IFERROR(VLOOKUP($D372,$F:$M,7,0),)),0)*$I372,2)</f>
        <v>0</v>
      </c>
      <c r="M372" s="528">
        <f t="shared" si="11"/>
        <v>0</v>
      </c>
      <c r="N372" s="526"/>
    </row>
    <row r="373" spans="3:14">
      <c r="C373" s="526" t="str">
        <f t="shared" si="10"/>
        <v/>
      </c>
      <c r="D373" s="531"/>
      <c r="E373" s="531"/>
      <c r="F373" s="526"/>
      <c r="G373" s="532" t="str">
        <f>IF($E373="",IFERROR(VLOOKUP($D373,SERVIÇOS!$C:$H,2,0),IFERROR(VLOOKUP($D373,$F:$M,2,0),"")),IFERROR(VLOOKUP($E373,INSUMOS!$B:$E,2,0),""))</f>
        <v/>
      </c>
      <c r="H373" s="526" t="str">
        <f>IF($E373="",IFERROR(VLOOKUP($D373,SERVIÇOS!$C:$H,3,0),IFERROR(VLOOKUP($D373,$F:$M,3,0),"")),IFERROR(VLOOKUP($E373,INSUMOS!$B:$E,3,0),""))</f>
        <v/>
      </c>
      <c r="I373" s="527"/>
      <c r="J373" s="528" t="str">
        <f>IF($E373="",IFERROR(VLOOKUP($D373,SERVIÇOS!$C:$H,6,0),IFERROR(VLOOKUP($D373,$F:$M,8,0),"")),IFERROR(VLOOKUP($E373,INSUMOS!$B:$E,4,0),""))</f>
        <v/>
      </c>
      <c r="K373" s="528">
        <f>TRUNC(IF($E373="",IFERROR(VLOOKUP($D373,SERVIÇOS!$C:$H,4,0),IFERROR(VLOOKUP($D373,$F:$M,6,0),)),IFERROR(VLOOKUP($E373,INSUMOS!$B:$E,4,0),))*$I373,2)</f>
        <v>0</v>
      </c>
      <c r="L373" s="528">
        <f>TRUNC(IF($E373="",IFERROR(VLOOKUP($D373,SERVIÇOS!$C:$H,5,0),IFERROR(VLOOKUP($D373,$F:$M,7,0),)),0)*$I373,2)</f>
        <v>0</v>
      </c>
      <c r="M373" s="528">
        <f t="shared" si="11"/>
        <v>0</v>
      </c>
      <c r="N373" s="526"/>
    </row>
    <row r="374" spans="3:14">
      <c r="C374" s="526" t="str">
        <f t="shared" si="10"/>
        <v/>
      </c>
      <c r="D374" s="531"/>
      <c r="E374" s="531"/>
      <c r="F374" s="526"/>
      <c r="G374" s="532" t="str">
        <f>IF($E374="",IFERROR(VLOOKUP($D374,SERVIÇOS!$C:$H,2,0),IFERROR(VLOOKUP($D374,$F:$M,2,0),"")),IFERROR(VLOOKUP($E374,INSUMOS!$B:$E,2,0),""))</f>
        <v/>
      </c>
      <c r="H374" s="526" t="str">
        <f>IF($E374="",IFERROR(VLOOKUP($D374,SERVIÇOS!$C:$H,3,0),IFERROR(VLOOKUP($D374,$F:$M,3,0),"")),IFERROR(VLOOKUP($E374,INSUMOS!$B:$E,3,0),""))</f>
        <v/>
      </c>
      <c r="I374" s="527"/>
      <c r="J374" s="528" t="str">
        <f>IF($E374="",IFERROR(VLOOKUP($D374,SERVIÇOS!$C:$H,6,0),IFERROR(VLOOKUP($D374,$F:$M,8,0),"")),IFERROR(VLOOKUP($E374,INSUMOS!$B:$E,4,0),""))</f>
        <v/>
      </c>
      <c r="K374" s="528">
        <f>TRUNC(IF($E374="",IFERROR(VLOOKUP($D374,SERVIÇOS!$C:$H,4,0),IFERROR(VLOOKUP($D374,$F:$M,6,0),)),IFERROR(VLOOKUP($E374,INSUMOS!$B:$E,4,0),))*$I374,2)</f>
        <v>0</v>
      </c>
      <c r="L374" s="528">
        <f>TRUNC(IF($E374="",IFERROR(VLOOKUP($D374,SERVIÇOS!$C:$H,5,0),IFERROR(VLOOKUP($D374,$F:$M,7,0),)),0)*$I374,2)</f>
        <v>0</v>
      </c>
      <c r="M374" s="528">
        <f t="shared" si="11"/>
        <v>0</v>
      </c>
      <c r="N374" s="526"/>
    </row>
    <row r="375" spans="3:14">
      <c r="C375" s="526" t="str">
        <f t="shared" si="10"/>
        <v/>
      </c>
      <c r="D375" s="531"/>
      <c r="E375" s="531"/>
      <c r="F375" s="526"/>
      <c r="G375" s="532" t="str">
        <f>IF($E375="",IFERROR(VLOOKUP($D375,SERVIÇOS!$C:$H,2,0),IFERROR(VLOOKUP($D375,$F:$M,2,0),"")),IFERROR(VLOOKUP($E375,INSUMOS!$B:$E,2,0),""))</f>
        <v/>
      </c>
      <c r="H375" s="526" t="str">
        <f>IF($E375="",IFERROR(VLOOKUP($D375,SERVIÇOS!$C:$H,3,0),IFERROR(VLOOKUP($D375,$F:$M,3,0),"")),IFERROR(VLOOKUP($E375,INSUMOS!$B:$E,3,0),""))</f>
        <v/>
      </c>
      <c r="I375" s="527"/>
      <c r="J375" s="528" t="str">
        <f>IF($E375="",IFERROR(VLOOKUP($D375,SERVIÇOS!$C:$H,6,0),IFERROR(VLOOKUP($D375,$F:$M,8,0),"")),IFERROR(VLOOKUP($E375,INSUMOS!$B:$E,4,0),""))</f>
        <v/>
      </c>
      <c r="K375" s="528">
        <f>TRUNC(IF($E375="",IFERROR(VLOOKUP($D375,SERVIÇOS!$C:$H,4,0),IFERROR(VLOOKUP($D375,$F:$M,6,0),)),IFERROR(VLOOKUP($E375,INSUMOS!$B:$E,4,0),))*$I375,2)</f>
        <v>0</v>
      </c>
      <c r="L375" s="528">
        <f>TRUNC(IF($E375="",IFERROR(VLOOKUP($D375,SERVIÇOS!$C:$H,5,0),IFERROR(VLOOKUP($D375,$F:$M,7,0),)),0)*$I375,2)</f>
        <v>0</v>
      </c>
      <c r="M375" s="528">
        <f t="shared" si="11"/>
        <v>0</v>
      </c>
      <c r="N375" s="526"/>
    </row>
    <row r="376" spans="3:14">
      <c r="C376" s="526" t="str">
        <f t="shared" si="10"/>
        <v/>
      </c>
      <c r="D376" s="531"/>
      <c r="E376" s="531"/>
      <c r="F376" s="526"/>
      <c r="G376" s="532" t="str">
        <f>IF($E376="",IFERROR(VLOOKUP($D376,SERVIÇOS!$C:$H,2,0),IFERROR(VLOOKUP($D376,$F:$M,2,0),"")),IFERROR(VLOOKUP($E376,INSUMOS!$B:$E,2,0),""))</f>
        <v/>
      </c>
      <c r="H376" s="526" t="str">
        <f>IF($E376="",IFERROR(VLOOKUP($D376,SERVIÇOS!$C:$H,3,0),IFERROR(VLOOKUP($D376,$F:$M,3,0),"")),IFERROR(VLOOKUP($E376,INSUMOS!$B:$E,3,0),""))</f>
        <v/>
      </c>
      <c r="I376" s="527"/>
      <c r="J376" s="528" t="str">
        <f>IF($E376="",IFERROR(VLOOKUP($D376,SERVIÇOS!$C:$H,6,0),IFERROR(VLOOKUP($D376,$F:$M,8,0),"")),IFERROR(VLOOKUP($E376,INSUMOS!$B:$E,4,0),""))</f>
        <v/>
      </c>
      <c r="K376" s="528">
        <f>TRUNC(IF($E376="",IFERROR(VLOOKUP($D376,SERVIÇOS!$C:$H,4,0),IFERROR(VLOOKUP($D376,$F:$M,6,0),)),IFERROR(VLOOKUP($E376,INSUMOS!$B:$E,4,0),))*$I376,2)</f>
        <v>0</v>
      </c>
      <c r="L376" s="528">
        <f>TRUNC(IF($E376="",IFERROR(VLOOKUP($D376,SERVIÇOS!$C:$H,5,0),IFERROR(VLOOKUP($D376,$F:$M,7,0),)),0)*$I376,2)</f>
        <v>0</v>
      </c>
      <c r="M376" s="528">
        <f t="shared" si="11"/>
        <v>0</v>
      </c>
      <c r="N376" s="526"/>
    </row>
    <row r="377" spans="3:14">
      <c r="C377" s="526" t="str">
        <f t="shared" si="10"/>
        <v/>
      </c>
      <c r="D377" s="531"/>
      <c r="E377" s="531"/>
      <c r="F377" s="526"/>
      <c r="G377" s="532" t="str">
        <f>IF($E377="",IFERROR(VLOOKUP($D377,SERVIÇOS!$C:$H,2,0),IFERROR(VLOOKUP($D377,$F:$M,2,0),"")),IFERROR(VLOOKUP($E377,INSUMOS!$B:$E,2,0),""))</f>
        <v/>
      </c>
      <c r="H377" s="526" t="str">
        <f>IF($E377="",IFERROR(VLOOKUP($D377,SERVIÇOS!$C:$H,3,0),IFERROR(VLOOKUP($D377,$F:$M,3,0),"")),IFERROR(VLOOKUP($E377,INSUMOS!$B:$E,3,0),""))</f>
        <v/>
      </c>
      <c r="I377" s="527"/>
      <c r="J377" s="528" t="str">
        <f>IF($E377="",IFERROR(VLOOKUP($D377,SERVIÇOS!$C:$H,6,0),IFERROR(VLOOKUP($D377,$F:$M,8,0),"")),IFERROR(VLOOKUP($E377,INSUMOS!$B:$E,4,0),""))</f>
        <v/>
      </c>
      <c r="K377" s="528">
        <f>TRUNC(IF($E377="",IFERROR(VLOOKUP($D377,SERVIÇOS!$C:$H,4,0),IFERROR(VLOOKUP($D377,$F:$M,6,0),)),IFERROR(VLOOKUP($E377,INSUMOS!$B:$E,4,0),))*$I377,2)</f>
        <v>0</v>
      </c>
      <c r="L377" s="528">
        <f>TRUNC(IF($E377="",IFERROR(VLOOKUP($D377,SERVIÇOS!$C:$H,5,0),IFERROR(VLOOKUP($D377,$F:$M,7,0),)),0)*$I377,2)</f>
        <v>0</v>
      </c>
      <c r="M377" s="528">
        <f t="shared" si="11"/>
        <v>0</v>
      </c>
      <c r="N377" s="526"/>
    </row>
    <row r="378" spans="3:14">
      <c r="C378" s="526" t="str">
        <f t="shared" si="10"/>
        <v/>
      </c>
      <c r="D378" s="531"/>
      <c r="E378" s="531"/>
      <c r="F378" s="526"/>
      <c r="G378" s="532" t="str">
        <f>IF($E378="",IFERROR(VLOOKUP($D378,SERVIÇOS!$C:$H,2,0),IFERROR(VLOOKUP($D378,$F:$M,2,0),"")),IFERROR(VLOOKUP($E378,INSUMOS!$B:$E,2,0),""))</f>
        <v/>
      </c>
      <c r="H378" s="526" t="str">
        <f>IF($E378="",IFERROR(VLOOKUP($D378,SERVIÇOS!$C:$H,3,0),IFERROR(VLOOKUP($D378,$F:$M,3,0),"")),IFERROR(VLOOKUP($E378,INSUMOS!$B:$E,3,0),""))</f>
        <v/>
      </c>
      <c r="I378" s="527"/>
      <c r="J378" s="528" t="str">
        <f>IF($E378="",IFERROR(VLOOKUP($D378,SERVIÇOS!$C:$H,6,0),IFERROR(VLOOKUP($D378,$F:$M,8,0),"")),IFERROR(VLOOKUP($E378,INSUMOS!$B:$E,4,0),""))</f>
        <v/>
      </c>
      <c r="K378" s="528">
        <f>TRUNC(IF($E378="",IFERROR(VLOOKUP($D378,SERVIÇOS!$C:$H,4,0),IFERROR(VLOOKUP($D378,$F:$M,6,0),)),IFERROR(VLOOKUP($E378,INSUMOS!$B:$E,4,0),))*$I378,2)</f>
        <v>0</v>
      </c>
      <c r="L378" s="528">
        <f>TRUNC(IF($E378="",IFERROR(VLOOKUP($D378,SERVIÇOS!$C:$H,5,0),IFERROR(VLOOKUP($D378,$F:$M,7,0),)),0)*$I378,2)</f>
        <v>0</v>
      </c>
      <c r="M378" s="528">
        <f t="shared" si="11"/>
        <v>0</v>
      </c>
      <c r="N378" s="526"/>
    </row>
    <row r="379" spans="3:14">
      <c r="C379" s="526" t="str">
        <f t="shared" si="10"/>
        <v/>
      </c>
      <c r="D379" s="531"/>
      <c r="E379" s="531"/>
      <c r="F379" s="526"/>
      <c r="G379" s="532" t="str">
        <f>IF($E379="",IFERROR(VLOOKUP($D379,SERVIÇOS!$C:$H,2,0),IFERROR(VLOOKUP($D379,$F:$M,2,0),"")),IFERROR(VLOOKUP($E379,INSUMOS!$B:$E,2,0),""))</f>
        <v/>
      </c>
      <c r="H379" s="526" t="str">
        <f>IF($E379="",IFERROR(VLOOKUP($D379,SERVIÇOS!$C:$H,3,0),IFERROR(VLOOKUP($D379,$F:$M,3,0),"")),IFERROR(VLOOKUP($E379,INSUMOS!$B:$E,3,0),""))</f>
        <v/>
      </c>
      <c r="I379" s="527"/>
      <c r="J379" s="528" t="str">
        <f>IF($E379="",IFERROR(VLOOKUP($D379,SERVIÇOS!$C:$H,6,0),IFERROR(VLOOKUP($D379,$F:$M,8,0),"")),IFERROR(VLOOKUP($E379,INSUMOS!$B:$E,4,0),""))</f>
        <v/>
      </c>
      <c r="K379" s="528">
        <f>TRUNC(IF($E379="",IFERROR(VLOOKUP($D379,SERVIÇOS!$C:$H,4,0),IFERROR(VLOOKUP($D379,$F:$M,6,0),)),IFERROR(VLOOKUP($E379,INSUMOS!$B:$E,4,0),))*$I379,2)</f>
        <v>0</v>
      </c>
      <c r="L379" s="528">
        <f>TRUNC(IF($E379="",IFERROR(VLOOKUP($D379,SERVIÇOS!$C:$H,5,0),IFERROR(VLOOKUP($D379,$F:$M,7,0),)),0)*$I379,2)</f>
        <v>0</v>
      </c>
      <c r="M379" s="528">
        <f t="shared" si="11"/>
        <v>0</v>
      </c>
      <c r="N379" s="526"/>
    </row>
    <row r="380" spans="3:14">
      <c r="C380" s="526" t="str">
        <f t="shared" si="10"/>
        <v/>
      </c>
      <c r="D380" s="531"/>
      <c r="E380" s="531"/>
      <c r="F380" s="526"/>
      <c r="G380" s="532" t="str">
        <f>IF($E380="",IFERROR(VLOOKUP($D380,SERVIÇOS!$C:$H,2,0),IFERROR(VLOOKUP($D380,$F:$M,2,0),"")),IFERROR(VLOOKUP($E380,INSUMOS!$B:$E,2,0),""))</f>
        <v/>
      </c>
      <c r="H380" s="526" t="str">
        <f>IF($E380="",IFERROR(VLOOKUP($D380,SERVIÇOS!$C:$H,3,0),IFERROR(VLOOKUP($D380,$F:$M,3,0),"")),IFERROR(VLOOKUP($E380,INSUMOS!$B:$E,3,0),""))</f>
        <v/>
      </c>
      <c r="I380" s="527"/>
      <c r="J380" s="528" t="str">
        <f>IF($E380="",IFERROR(VLOOKUP($D380,SERVIÇOS!$C:$H,6,0),IFERROR(VLOOKUP($D380,$F:$M,8,0),"")),IFERROR(VLOOKUP($E380,INSUMOS!$B:$E,4,0),""))</f>
        <v/>
      </c>
      <c r="K380" s="528">
        <f>TRUNC(IF($E380="",IFERROR(VLOOKUP($D380,SERVIÇOS!$C:$H,4,0),IFERROR(VLOOKUP($D380,$F:$M,6,0),)),IFERROR(VLOOKUP($E380,INSUMOS!$B:$E,4,0),))*$I380,2)</f>
        <v>0</v>
      </c>
      <c r="L380" s="528">
        <f>TRUNC(IF($E380="",IFERROR(VLOOKUP($D380,SERVIÇOS!$C:$H,5,0),IFERROR(VLOOKUP($D380,$F:$M,7,0),)),0)*$I380,2)</f>
        <v>0</v>
      </c>
      <c r="M380" s="528">
        <f t="shared" si="11"/>
        <v>0</v>
      </c>
      <c r="N380" s="526"/>
    </row>
    <row r="381" spans="3:14">
      <c r="C381" s="526" t="str">
        <f t="shared" si="10"/>
        <v/>
      </c>
      <c r="D381" s="531"/>
      <c r="E381" s="531"/>
      <c r="F381" s="526"/>
      <c r="G381" s="532" t="str">
        <f>IF($E381="",IFERROR(VLOOKUP($D381,SERVIÇOS!$C:$H,2,0),IFERROR(VLOOKUP($D381,$F:$M,2,0),"")),IFERROR(VLOOKUP($E381,INSUMOS!$B:$E,2,0),""))</f>
        <v/>
      </c>
      <c r="H381" s="526" t="str">
        <f>IF($E381="",IFERROR(VLOOKUP($D381,SERVIÇOS!$C:$H,3,0),IFERROR(VLOOKUP($D381,$F:$M,3,0),"")),IFERROR(VLOOKUP($E381,INSUMOS!$B:$E,3,0),""))</f>
        <v/>
      </c>
      <c r="I381" s="527"/>
      <c r="J381" s="528" t="str">
        <f>IF($E381="",IFERROR(VLOOKUP($D381,SERVIÇOS!$C:$H,6,0),IFERROR(VLOOKUP($D381,$F:$M,8,0),"")),IFERROR(VLOOKUP($E381,INSUMOS!$B:$E,4,0),""))</f>
        <v/>
      </c>
      <c r="K381" s="528">
        <f>TRUNC(IF($E381="",IFERROR(VLOOKUP($D381,SERVIÇOS!$C:$H,4,0),IFERROR(VLOOKUP($D381,$F:$M,6,0),)),IFERROR(VLOOKUP($E381,INSUMOS!$B:$E,4,0),))*$I381,2)</f>
        <v>0</v>
      </c>
      <c r="L381" s="528">
        <f>TRUNC(IF($E381="",IFERROR(VLOOKUP($D381,SERVIÇOS!$C:$H,5,0),IFERROR(VLOOKUP($D381,$F:$M,7,0),)),0)*$I381,2)</f>
        <v>0</v>
      </c>
      <c r="M381" s="528">
        <f t="shared" si="11"/>
        <v>0</v>
      </c>
      <c r="N381" s="526"/>
    </row>
    <row r="382" spans="3:14">
      <c r="C382" s="526" t="str">
        <f t="shared" si="10"/>
        <v/>
      </c>
      <c r="D382" s="531"/>
      <c r="E382" s="531"/>
      <c r="F382" s="526"/>
      <c r="G382" s="532" t="str">
        <f>IF($E382="",IFERROR(VLOOKUP($D382,SERVIÇOS!$C:$H,2,0),IFERROR(VLOOKUP($D382,$F:$M,2,0),"")),IFERROR(VLOOKUP($E382,INSUMOS!$B:$E,2,0),""))</f>
        <v/>
      </c>
      <c r="H382" s="526" t="str">
        <f>IF($E382="",IFERROR(VLOOKUP($D382,SERVIÇOS!$C:$H,3,0),IFERROR(VLOOKUP($D382,$F:$M,3,0),"")),IFERROR(VLOOKUP($E382,INSUMOS!$B:$E,3,0),""))</f>
        <v/>
      </c>
      <c r="I382" s="527"/>
      <c r="J382" s="528" t="str">
        <f>IF($E382="",IFERROR(VLOOKUP($D382,SERVIÇOS!$C:$H,6,0),IFERROR(VLOOKUP($D382,$F:$M,8,0),"")),IFERROR(VLOOKUP($E382,INSUMOS!$B:$E,4,0),""))</f>
        <v/>
      </c>
      <c r="K382" s="528">
        <f>TRUNC(IF($E382="",IFERROR(VLOOKUP($D382,SERVIÇOS!$C:$H,4,0),IFERROR(VLOOKUP($D382,$F:$M,6,0),)),IFERROR(VLOOKUP($E382,INSUMOS!$B:$E,4,0),))*$I382,2)</f>
        <v>0</v>
      </c>
      <c r="L382" s="528">
        <f>TRUNC(IF($E382="",IFERROR(VLOOKUP($D382,SERVIÇOS!$C:$H,5,0),IFERROR(VLOOKUP($D382,$F:$M,7,0),)),0)*$I382,2)</f>
        <v>0</v>
      </c>
      <c r="M382" s="528">
        <f t="shared" si="11"/>
        <v>0</v>
      </c>
      <c r="N382" s="526"/>
    </row>
    <row r="383" spans="3:14">
      <c r="C383" s="526" t="str">
        <f t="shared" si="10"/>
        <v/>
      </c>
      <c r="D383" s="531"/>
      <c r="E383" s="531"/>
      <c r="F383" s="526"/>
      <c r="G383" s="532" t="str">
        <f>IF($E383="",IFERROR(VLOOKUP($D383,SERVIÇOS!$C:$H,2,0),IFERROR(VLOOKUP($D383,$F:$M,2,0),"")),IFERROR(VLOOKUP($E383,INSUMOS!$B:$E,2,0),""))</f>
        <v/>
      </c>
      <c r="H383" s="526" t="str">
        <f>IF($E383="",IFERROR(VLOOKUP($D383,SERVIÇOS!$C:$H,3,0),IFERROR(VLOOKUP($D383,$F:$M,3,0),"")),IFERROR(VLOOKUP($E383,INSUMOS!$B:$E,3,0),""))</f>
        <v/>
      </c>
      <c r="I383" s="527"/>
      <c r="J383" s="528" t="str">
        <f>IF($E383="",IFERROR(VLOOKUP($D383,SERVIÇOS!$C:$H,6,0),IFERROR(VLOOKUP($D383,$F:$M,8,0),"")),IFERROR(VLOOKUP($E383,INSUMOS!$B:$E,4,0),""))</f>
        <v/>
      </c>
      <c r="K383" s="528">
        <f>TRUNC(IF($E383="",IFERROR(VLOOKUP($D383,SERVIÇOS!$C:$H,4,0),IFERROR(VLOOKUP($D383,$F:$M,6,0),)),IFERROR(VLOOKUP($E383,INSUMOS!$B:$E,4,0),))*$I383,2)</f>
        <v>0</v>
      </c>
      <c r="L383" s="528">
        <f>TRUNC(IF($E383="",IFERROR(VLOOKUP($D383,SERVIÇOS!$C:$H,5,0),IFERROR(VLOOKUP($D383,$F:$M,7,0),)),0)*$I383,2)</f>
        <v>0</v>
      </c>
      <c r="M383" s="528">
        <f t="shared" si="11"/>
        <v>0</v>
      </c>
      <c r="N383" s="526"/>
    </row>
    <row r="384" spans="3:14">
      <c r="C384" s="526" t="str">
        <f t="shared" si="10"/>
        <v/>
      </c>
      <c r="D384" s="531"/>
      <c r="E384" s="531"/>
      <c r="F384" s="526"/>
      <c r="G384" s="532" t="str">
        <f>IF($E384="",IFERROR(VLOOKUP($D384,SERVIÇOS!$C:$H,2,0),IFERROR(VLOOKUP($D384,$F:$M,2,0),"")),IFERROR(VLOOKUP($E384,INSUMOS!$B:$E,2,0),""))</f>
        <v/>
      </c>
      <c r="H384" s="526" t="str">
        <f>IF($E384="",IFERROR(VLOOKUP($D384,SERVIÇOS!$C:$H,3,0),IFERROR(VLOOKUP($D384,$F:$M,3,0),"")),IFERROR(VLOOKUP($E384,INSUMOS!$B:$E,3,0),""))</f>
        <v/>
      </c>
      <c r="I384" s="527"/>
      <c r="J384" s="528" t="str">
        <f>IF($E384="",IFERROR(VLOOKUP($D384,SERVIÇOS!$C:$H,6,0),IFERROR(VLOOKUP($D384,$F:$M,8,0),"")),IFERROR(VLOOKUP($E384,INSUMOS!$B:$E,4,0),""))</f>
        <v/>
      </c>
      <c r="K384" s="528">
        <f>TRUNC(IF($E384="",IFERROR(VLOOKUP($D384,SERVIÇOS!$C:$H,4,0),IFERROR(VLOOKUP($D384,$F:$M,6,0),)),IFERROR(VLOOKUP($E384,INSUMOS!$B:$E,4,0),))*$I384,2)</f>
        <v>0</v>
      </c>
      <c r="L384" s="528">
        <f>TRUNC(IF($E384="",IFERROR(VLOOKUP($D384,SERVIÇOS!$C:$H,5,0),IFERROR(VLOOKUP($D384,$F:$M,7,0),)),0)*$I384,2)</f>
        <v>0</v>
      </c>
      <c r="M384" s="528">
        <f t="shared" si="11"/>
        <v>0</v>
      </c>
      <c r="N384" s="526"/>
    </row>
    <row r="385" spans="3:14">
      <c r="C385" s="526" t="str">
        <f t="shared" si="10"/>
        <v/>
      </c>
      <c r="D385" s="531"/>
      <c r="E385" s="531"/>
      <c r="F385" s="526"/>
      <c r="G385" s="532" t="str">
        <f>IF($E385="",IFERROR(VLOOKUP($D385,SERVIÇOS!$C:$H,2,0),IFERROR(VLOOKUP($D385,$F:$M,2,0),"")),IFERROR(VLOOKUP($E385,INSUMOS!$B:$E,2,0),""))</f>
        <v/>
      </c>
      <c r="H385" s="526" t="str">
        <f>IF($E385="",IFERROR(VLOOKUP($D385,SERVIÇOS!$C:$H,3,0),IFERROR(VLOOKUP($D385,$F:$M,3,0),"")),IFERROR(VLOOKUP($E385,INSUMOS!$B:$E,3,0),""))</f>
        <v/>
      </c>
      <c r="I385" s="527"/>
      <c r="J385" s="528" t="str">
        <f>IF($E385="",IFERROR(VLOOKUP($D385,SERVIÇOS!$C:$H,6,0),IFERROR(VLOOKUP($D385,$F:$M,8,0),"")),IFERROR(VLOOKUP($E385,INSUMOS!$B:$E,4,0),""))</f>
        <v/>
      </c>
      <c r="K385" s="528">
        <f>TRUNC(IF($E385="",IFERROR(VLOOKUP($D385,SERVIÇOS!$C:$H,4,0),IFERROR(VLOOKUP($D385,$F:$M,6,0),)),IFERROR(VLOOKUP($E385,INSUMOS!$B:$E,4,0),))*$I385,2)</f>
        <v>0</v>
      </c>
      <c r="L385" s="528">
        <f>TRUNC(IF($E385="",IFERROR(VLOOKUP($D385,SERVIÇOS!$C:$H,5,0),IFERROR(VLOOKUP($D385,$F:$M,7,0),)),0)*$I385,2)</f>
        <v>0</v>
      </c>
      <c r="M385" s="528">
        <f t="shared" si="11"/>
        <v>0</v>
      </c>
      <c r="N385" s="526"/>
    </row>
    <row r="386" spans="3:14">
      <c r="C386" s="526" t="str">
        <f t="shared" si="10"/>
        <v/>
      </c>
      <c r="D386" s="531"/>
      <c r="E386" s="531"/>
      <c r="F386" s="526"/>
      <c r="G386" s="532" t="str">
        <f>IF($E386="",IFERROR(VLOOKUP($D386,SERVIÇOS!$C:$H,2,0),IFERROR(VLOOKUP($D386,$F:$M,2,0),"")),IFERROR(VLOOKUP($E386,INSUMOS!$B:$E,2,0),""))</f>
        <v/>
      </c>
      <c r="H386" s="526" t="str">
        <f>IF($E386="",IFERROR(VLOOKUP($D386,SERVIÇOS!$C:$H,3,0),IFERROR(VLOOKUP($D386,$F:$M,3,0),"")),IFERROR(VLOOKUP($E386,INSUMOS!$B:$E,3,0),""))</f>
        <v/>
      </c>
      <c r="I386" s="527"/>
      <c r="J386" s="528" t="str">
        <f>IF($E386="",IFERROR(VLOOKUP($D386,SERVIÇOS!$C:$H,6,0),IFERROR(VLOOKUP($D386,$F:$M,8,0),"")),IFERROR(VLOOKUP($E386,INSUMOS!$B:$E,4,0),""))</f>
        <v/>
      </c>
      <c r="K386" s="528">
        <f>TRUNC(IF($E386="",IFERROR(VLOOKUP($D386,SERVIÇOS!$C:$H,4,0),IFERROR(VLOOKUP($D386,$F:$M,6,0),)),IFERROR(VLOOKUP($E386,INSUMOS!$B:$E,4,0),))*$I386,2)</f>
        <v>0</v>
      </c>
      <c r="L386" s="528">
        <f>TRUNC(IF($E386="",IFERROR(VLOOKUP($D386,SERVIÇOS!$C:$H,5,0),IFERROR(VLOOKUP($D386,$F:$M,7,0),)),0)*$I386,2)</f>
        <v>0</v>
      </c>
      <c r="M386" s="528">
        <f t="shared" si="11"/>
        <v>0</v>
      </c>
      <c r="N386" s="526"/>
    </row>
    <row r="387" spans="3:14">
      <c r="C387" s="526" t="str">
        <f t="shared" si="10"/>
        <v/>
      </c>
      <c r="D387" s="531"/>
      <c r="E387" s="531"/>
      <c r="F387" s="526"/>
      <c r="G387" s="532" t="str">
        <f>IF($E387="",IFERROR(VLOOKUP($D387,SERVIÇOS!$C:$H,2,0),IFERROR(VLOOKUP($D387,$F:$M,2,0),"")),IFERROR(VLOOKUP($E387,INSUMOS!$B:$E,2,0),""))</f>
        <v/>
      </c>
      <c r="H387" s="526" t="str">
        <f>IF($E387="",IFERROR(VLOOKUP($D387,SERVIÇOS!$C:$H,3,0),IFERROR(VLOOKUP($D387,$F:$M,3,0),"")),IFERROR(VLOOKUP($E387,INSUMOS!$B:$E,3,0),""))</f>
        <v/>
      </c>
      <c r="I387" s="527"/>
      <c r="J387" s="528" t="str">
        <f>IF($E387="",IFERROR(VLOOKUP($D387,SERVIÇOS!$C:$H,6,0),IFERROR(VLOOKUP($D387,$F:$M,8,0),"")),IFERROR(VLOOKUP($E387,INSUMOS!$B:$E,4,0),""))</f>
        <v/>
      </c>
      <c r="K387" s="528">
        <f>TRUNC(IF($E387="",IFERROR(VLOOKUP($D387,SERVIÇOS!$C:$H,4,0),IFERROR(VLOOKUP($D387,$F:$M,6,0),)),IFERROR(VLOOKUP($E387,INSUMOS!$B:$E,4,0),))*$I387,2)</f>
        <v>0</v>
      </c>
      <c r="L387" s="528">
        <f>TRUNC(IF($E387="",IFERROR(VLOOKUP($D387,SERVIÇOS!$C:$H,5,0),IFERROR(VLOOKUP($D387,$F:$M,7,0),)),0)*$I387,2)</f>
        <v>0</v>
      </c>
      <c r="M387" s="528">
        <f t="shared" si="11"/>
        <v>0</v>
      </c>
      <c r="N387" s="526"/>
    </row>
    <row r="388" spans="3:14">
      <c r="C388" s="526" t="str">
        <f t="shared" si="10"/>
        <v/>
      </c>
      <c r="D388" s="531"/>
      <c r="E388" s="531"/>
      <c r="F388" s="526"/>
      <c r="G388" s="532" t="str">
        <f>IF($E388="",IFERROR(VLOOKUP($D388,SERVIÇOS!$C:$H,2,0),IFERROR(VLOOKUP($D388,$F:$M,2,0),"")),IFERROR(VLOOKUP($E388,INSUMOS!$B:$E,2,0),""))</f>
        <v/>
      </c>
      <c r="H388" s="526" t="str">
        <f>IF($E388="",IFERROR(VLOOKUP($D388,SERVIÇOS!$C:$H,3,0),IFERROR(VLOOKUP($D388,$F:$M,3,0),"")),IFERROR(VLOOKUP($E388,INSUMOS!$B:$E,3,0),""))</f>
        <v/>
      </c>
      <c r="I388" s="527"/>
      <c r="J388" s="528" t="str">
        <f>IF($E388="",IFERROR(VLOOKUP($D388,SERVIÇOS!$C:$H,6,0),IFERROR(VLOOKUP($D388,$F:$M,8,0),"")),IFERROR(VLOOKUP($E388,INSUMOS!$B:$E,4,0),""))</f>
        <v/>
      </c>
      <c r="K388" s="528">
        <f>TRUNC(IF($E388="",IFERROR(VLOOKUP($D388,SERVIÇOS!$C:$H,4,0),IFERROR(VLOOKUP($D388,$F:$M,6,0),)),IFERROR(VLOOKUP($E388,INSUMOS!$B:$E,4,0),))*$I388,2)</f>
        <v>0</v>
      </c>
      <c r="L388" s="528">
        <f>TRUNC(IF($E388="",IFERROR(VLOOKUP($D388,SERVIÇOS!$C:$H,5,0),IFERROR(VLOOKUP($D388,$F:$M,7,0),)),0)*$I388,2)</f>
        <v>0</v>
      </c>
      <c r="M388" s="528">
        <f t="shared" si="11"/>
        <v>0</v>
      </c>
      <c r="N388" s="526"/>
    </row>
    <row r="389" spans="3:14">
      <c r="C389" s="526" t="str">
        <f t="shared" si="10"/>
        <v/>
      </c>
      <c r="D389" s="531"/>
      <c r="E389" s="531"/>
      <c r="F389" s="526"/>
      <c r="G389" s="532" t="str">
        <f>IF($E389="",IFERROR(VLOOKUP($D389,SERVIÇOS!$C:$H,2,0),IFERROR(VLOOKUP($D389,$F:$M,2,0),"")),IFERROR(VLOOKUP($E389,INSUMOS!$B:$E,2,0),""))</f>
        <v/>
      </c>
      <c r="H389" s="526" t="str">
        <f>IF($E389="",IFERROR(VLOOKUP($D389,SERVIÇOS!$C:$H,3,0),IFERROR(VLOOKUP($D389,$F:$M,3,0),"")),IFERROR(VLOOKUP($E389,INSUMOS!$B:$E,3,0),""))</f>
        <v/>
      </c>
      <c r="I389" s="527"/>
      <c r="J389" s="528" t="str">
        <f>IF($E389="",IFERROR(VLOOKUP($D389,SERVIÇOS!$C:$H,6,0),IFERROR(VLOOKUP($D389,$F:$M,8,0),"")),IFERROR(VLOOKUP($E389,INSUMOS!$B:$E,4,0),""))</f>
        <v/>
      </c>
      <c r="K389" s="528">
        <f>TRUNC(IF($E389="",IFERROR(VLOOKUP($D389,SERVIÇOS!$C:$H,4,0),IFERROR(VLOOKUP($D389,$F:$M,6,0),)),IFERROR(VLOOKUP($E389,INSUMOS!$B:$E,4,0),))*$I389,2)</f>
        <v>0</v>
      </c>
      <c r="L389" s="528">
        <f>TRUNC(IF($E389="",IFERROR(VLOOKUP($D389,SERVIÇOS!$C:$H,5,0),IFERROR(VLOOKUP($D389,$F:$M,7,0),)),0)*$I389,2)</f>
        <v>0</v>
      </c>
      <c r="M389" s="528">
        <f t="shared" si="11"/>
        <v>0</v>
      </c>
      <c r="N389" s="526"/>
    </row>
    <row r="390" spans="3:14">
      <c r="C390" s="526" t="str">
        <f t="shared" si="10"/>
        <v/>
      </c>
      <c r="D390" s="531"/>
      <c r="E390" s="531"/>
      <c r="F390" s="526"/>
      <c r="G390" s="532" t="str">
        <f>IF($E390="",IFERROR(VLOOKUP($D390,SERVIÇOS!$C:$H,2,0),IFERROR(VLOOKUP($D390,$F:$M,2,0),"")),IFERROR(VLOOKUP($E390,INSUMOS!$B:$E,2,0),""))</f>
        <v/>
      </c>
      <c r="H390" s="526" t="str">
        <f>IF($E390="",IFERROR(VLOOKUP($D390,SERVIÇOS!$C:$H,3,0),IFERROR(VLOOKUP($D390,$F:$M,3,0),"")),IFERROR(VLOOKUP($E390,INSUMOS!$B:$E,3,0),""))</f>
        <v/>
      </c>
      <c r="I390" s="527"/>
      <c r="J390" s="528" t="str">
        <f>IF($E390="",IFERROR(VLOOKUP($D390,SERVIÇOS!$C:$H,6,0),IFERROR(VLOOKUP($D390,$F:$M,8,0),"")),IFERROR(VLOOKUP($E390,INSUMOS!$B:$E,4,0),""))</f>
        <v/>
      </c>
      <c r="K390" s="528">
        <f>TRUNC(IF($E390="",IFERROR(VLOOKUP($D390,SERVIÇOS!$C:$H,4,0),IFERROR(VLOOKUP($D390,$F:$M,6,0),)),IFERROR(VLOOKUP($E390,INSUMOS!$B:$E,4,0),))*$I390,2)</f>
        <v>0</v>
      </c>
      <c r="L390" s="528">
        <f>TRUNC(IF($E390="",IFERROR(VLOOKUP($D390,SERVIÇOS!$C:$H,5,0),IFERROR(VLOOKUP($D390,$F:$M,7,0),)),0)*$I390,2)</f>
        <v>0</v>
      </c>
      <c r="M390" s="528">
        <f t="shared" si="11"/>
        <v>0</v>
      </c>
      <c r="N390" s="526"/>
    </row>
    <row r="391" spans="3:14">
      <c r="C391" s="526" t="str">
        <f t="shared" si="10"/>
        <v/>
      </c>
      <c r="D391" s="531"/>
      <c r="E391" s="531"/>
      <c r="F391" s="526"/>
      <c r="G391" s="532" t="str">
        <f>IF($E391="",IFERROR(VLOOKUP($D391,SERVIÇOS!$C:$H,2,0),IFERROR(VLOOKUP($D391,$F:$M,2,0),"")),IFERROR(VLOOKUP($E391,INSUMOS!$B:$E,2,0),""))</f>
        <v/>
      </c>
      <c r="H391" s="526" t="str">
        <f>IF($E391="",IFERROR(VLOOKUP($D391,SERVIÇOS!$C:$H,3,0),IFERROR(VLOOKUP($D391,$F:$M,3,0),"")),IFERROR(VLOOKUP($E391,INSUMOS!$B:$E,3,0),""))</f>
        <v/>
      </c>
      <c r="I391" s="527"/>
      <c r="J391" s="528" t="str">
        <f>IF($E391="",IFERROR(VLOOKUP($D391,SERVIÇOS!$C:$H,6,0),IFERROR(VLOOKUP($D391,$F:$M,8,0),"")),IFERROR(VLOOKUP($E391,INSUMOS!$B:$E,4,0),""))</f>
        <v/>
      </c>
      <c r="K391" s="528">
        <f>TRUNC(IF($E391="",IFERROR(VLOOKUP($D391,SERVIÇOS!$C:$H,4,0),IFERROR(VLOOKUP($D391,$F:$M,6,0),)),IFERROR(VLOOKUP($E391,INSUMOS!$B:$E,4,0),))*$I391,2)</f>
        <v>0</v>
      </c>
      <c r="L391" s="528">
        <f>TRUNC(IF($E391="",IFERROR(VLOOKUP($D391,SERVIÇOS!$C:$H,5,0),IFERROR(VLOOKUP($D391,$F:$M,7,0),)),0)*$I391,2)</f>
        <v>0</v>
      </c>
      <c r="M391" s="528">
        <f t="shared" si="11"/>
        <v>0</v>
      </c>
      <c r="N391" s="526"/>
    </row>
    <row r="392" spans="3:14">
      <c r="C392" s="526" t="str">
        <f t="shared" si="10"/>
        <v/>
      </c>
      <c r="D392" s="531"/>
      <c r="E392" s="531"/>
      <c r="F392" s="526"/>
      <c r="G392" s="532" t="str">
        <f>IF($E392="",IFERROR(VLOOKUP($D392,SERVIÇOS!$C:$H,2,0),IFERROR(VLOOKUP($D392,$F:$M,2,0),"")),IFERROR(VLOOKUP($E392,INSUMOS!$B:$E,2,0),""))</f>
        <v/>
      </c>
      <c r="H392" s="526" t="str">
        <f>IF($E392="",IFERROR(VLOOKUP($D392,SERVIÇOS!$C:$H,3,0),IFERROR(VLOOKUP($D392,$F:$M,3,0),"")),IFERROR(VLOOKUP($E392,INSUMOS!$B:$E,3,0),""))</f>
        <v/>
      </c>
      <c r="I392" s="527"/>
      <c r="J392" s="528" t="str">
        <f>IF($E392="",IFERROR(VLOOKUP($D392,SERVIÇOS!$C:$H,6,0),IFERROR(VLOOKUP($D392,$F:$M,8,0),"")),IFERROR(VLOOKUP($E392,INSUMOS!$B:$E,4,0),""))</f>
        <v/>
      </c>
      <c r="K392" s="528">
        <f>TRUNC(IF($E392="",IFERROR(VLOOKUP($D392,SERVIÇOS!$C:$H,4,0),IFERROR(VLOOKUP($D392,$F:$M,6,0),)),IFERROR(VLOOKUP($E392,INSUMOS!$B:$E,4,0),))*$I392,2)</f>
        <v>0</v>
      </c>
      <c r="L392" s="528">
        <f>TRUNC(IF($E392="",IFERROR(VLOOKUP($D392,SERVIÇOS!$C:$H,5,0),IFERROR(VLOOKUP($D392,$F:$M,7,0),)),0)*$I392,2)</f>
        <v>0</v>
      </c>
      <c r="M392" s="528">
        <f t="shared" si="11"/>
        <v>0</v>
      </c>
      <c r="N392" s="526"/>
    </row>
    <row r="393" spans="3:14">
      <c r="C393" s="526" t="str">
        <f t="shared" si="10"/>
        <v/>
      </c>
      <c r="D393" s="531"/>
      <c r="E393" s="531"/>
      <c r="F393" s="526"/>
      <c r="G393" s="532" t="str">
        <f>IF($E393="",IFERROR(VLOOKUP($D393,SERVIÇOS!$C:$H,2,0),IFERROR(VLOOKUP($D393,$F:$M,2,0),"")),IFERROR(VLOOKUP($E393,INSUMOS!$B:$E,2,0),""))</f>
        <v/>
      </c>
      <c r="H393" s="526" t="str">
        <f>IF($E393="",IFERROR(VLOOKUP($D393,SERVIÇOS!$C:$H,3,0),IFERROR(VLOOKUP($D393,$F:$M,3,0),"")),IFERROR(VLOOKUP($E393,INSUMOS!$B:$E,3,0),""))</f>
        <v/>
      </c>
      <c r="I393" s="527"/>
      <c r="J393" s="528" t="str">
        <f>IF($E393="",IFERROR(VLOOKUP($D393,SERVIÇOS!$C:$H,6,0),IFERROR(VLOOKUP($D393,$F:$M,8,0),"")),IFERROR(VLOOKUP($E393,INSUMOS!$B:$E,4,0),""))</f>
        <v/>
      </c>
      <c r="K393" s="528">
        <f>TRUNC(IF($E393="",IFERROR(VLOOKUP($D393,SERVIÇOS!$C:$H,4,0),IFERROR(VLOOKUP($D393,$F:$M,6,0),)),IFERROR(VLOOKUP($E393,INSUMOS!$B:$E,4,0),))*$I393,2)</f>
        <v>0</v>
      </c>
      <c r="L393" s="528">
        <f>TRUNC(IF($E393="",IFERROR(VLOOKUP($D393,SERVIÇOS!$C:$H,5,0),IFERROR(VLOOKUP($D393,$F:$M,7,0),)),0)*$I393,2)</f>
        <v>0</v>
      </c>
      <c r="M393" s="528">
        <f t="shared" si="11"/>
        <v>0</v>
      </c>
      <c r="N393" s="526"/>
    </row>
    <row r="394" spans="3:14">
      <c r="C394" s="526" t="str">
        <f t="shared" si="10"/>
        <v/>
      </c>
      <c r="D394" s="531"/>
      <c r="E394" s="531"/>
      <c r="F394" s="526"/>
      <c r="G394" s="532" t="str">
        <f>IF($E394="",IFERROR(VLOOKUP($D394,SERVIÇOS!$C:$H,2,0),IFERROR(VLOOKUP($D394,$F:$M,2,0),"")),IFERROR(VLOOKUP($E394,INSUMOS!$B:$E,2,0),""))</f>
        <v/>
      </c>
      <c r="H394" s="526" t="str">
        <f>IF($E394="",IFERROR(VLOOKUP($D394,SERVIÇOS!$C:$H,3,0),IFERROR(VLOOKUP($D394,$F:$M,3,0),"")),IFERROR(VLOOKUP($E394,INSUMOS!$B:$E,3,0),""))</f>
        <v/>
      </c>
      <c r="I394" s="527"/>
      <c r="J394" s="528" t="str">
        <f>IF($E394="",IFERROR(VLOOKUP($D394,SERVIÇOS!$C:$H,6,0),IFERROR(VLOOKUP($D394,$F:$M,8,0),"")),IFERROR(VLOOKUP($E394,INSUMOS!$B:$E,4,0),""))</f>
        <v/>
      </c>
      <c r="K394" s="528">
        <f>TRUNC(IF($E394="",IFERROR(VLOOKUP($D394,SERVIÇOS!$C:$H,4,0),IFERROR(VLOOKUP($D394,$F:$M,6,0),)),IFERROR(VLOOKUP($E394,INSUMOS!$B:$E,4,0),))*$I394,2)</f>
        <v>0</v>
      </c>
      <c r="L394" s="528">
        <f>TRUNC(IF($E394="",IFERROR(VLOOKUP($D394,SERVIÇOS!$C:$H,5,0),IFERROR(VLOOKUP($D394,$F:$M,7,0),)),0)*$I394,2)</f>
        <v>0</v>
      </c>
      <c r="M394" s="528">
        <f t="shared" si="11"/>
        <v>0</v>
      </c>
      <c r="N394" s="526"/>
    </row>
    <row r="395" spans="3:14">
      <c r="C395" s="526" t="str">
        <f t="shared" si="10"/>
        <v/>
      </c>
      <c r="D395" s="531"/>
      <c r="E395" s="531"/>
      <c r="F395" s="526"/>
      <c r="G395" s="532" t="str">
        <f>IF($E395="",IFERROR(VLOOKUP($D395,SERVIÇOS!$C:$H,2,0),IFERROR(VLOOKUP($D395,$F:$M,2,0),"")),IFERROR(VLOOKUP($E395,INSUMOS!$B:$E,2,0),""))</f>
        <v/>
      </c>
      <c r="H395" s="526" t="str">
        <f>IF($E395="",IFERROR(VLOOKUP($D395,SERVIÇOS!$C:$H,3,0),IFERROR(VLOOKUP($D395,$F:$M,3,0),"")),IFERROR(VLOOKUP($E395,INSUMOS!$B:$E,3,0),""))</f>
        <v/>
      </c>
      <c r="I395" s="527"/>
      <c r="J395" s="528" t="str">
        <f>IF($E395="",IFERROR(VLOOKUP($D395,SERVIÇOS!$C:$H,6,0),IFERROR(VLOOKUP($D395,$F:$M,8,0),"")),IFERROR(VLOOKUP($E395,INSUMOS!$B:$E,4,0),""))</f>
        <v/>
      </c>
      <c r="K395" s="528">
        <f>TRUNC(IF($E395="",IFERROR(VLOOKUP($D395,SERVIÇOS!$C:$H,4,0),IFERROR(VLOOKUP($D395,$F:$M,6,0),)),IFERROR(VLOOKUP($E395,INSUMOS!$B:$E,4,0),))*$I395,2)</f>
        <v>0</v>
      </c>
      <c r="L395" s="528">
        <f>TRUNC(IF($E395="",IFERROR(VLOOKUP($D395,SERVIÇOS!$C:$H,5,0),IFERROR(VLOOKUP($D395,$F:$M,7,0),)),0)*$I395,2)</f>
        <v>0</v>
      </c>
      <c r="M395" s="528">
        <f t="shared" si="11"/>
        <v>0</v>
      </c>
      <c r="N395" s="526"/>
    </row>
    <row r="396" spans="3:14">
      <c r="C396" s="526" t="str">
        <f t="shared" si="10"/>
        <v/>
      </c>
      <c r="D396" s="531"/>
      <c r="E396" s="531"/>
      <c r="F396" s="526"/>
      <c r="G396" s="532" t="str">
        <f>IF($E396="",IFERROR(VLOOKUP($D396,SERVIÇOS!$C:$H,2,0),IFERROR(VLOOKUP($D396,$F:$M,2,0),"")),IFERROR(VLOOKUP($E396,INSUMOS!$B:$E,2,0),""))</f>
        <v/>
      </c>
      <c r="H396" s="526" t="str">
        <f>IF($E396="",IFERROR(VLOOKUP($D396,SERVIÇOS!$C:$H,3,0),IFERROR(VLOOKUP($D396,$F:$M,3,0),"")),IFERROR(VLOOKUP($E396,INSUMOS!$B:$E,3,0),""))</f>
        <v/>
      </c>
      <c r="I396" s="527"/>
      <c r="J396" s="528" t="str">
        <f>IF($E396="",IFERROR(VLOOKUP($D396,SERVIÇOS!$C:$H,6,0),IFERROR(VLOOKUP($D396,$F:$M,8,0),"")),IFERROR(VLOOKUP($E396,INSUMOS!$B:$E,4,0),""))</f>
        <v/>
      </c>
      <c r="K396" s="528">
        <f>TRUNC(IF($E396="",IFERROR(VLOOKUP($D396,SERVIÇOS!$C:$H,4,0),IFERROR(VLOOKUP($D396,$F:$M,6,0),)),IFERROR(VLOOKUP($E396,INSUMOS!$B:$E,4,0),))*$I396,2)</f>
        <v>0</v>
      </c>
      <c r="L396" s="528">
        <f>TRUNC(IF($E396="",IFERROR(VLOOKUP($D396,SERVIÇOS!$C:$H,5,0),IFERROR(VLOOKUP($D396,$F:$M,7,0),)),0)*$I396,2)</f>
        <v>0</v>
      </c>
      <c r="M396" s="528">
        <f t="shared" si="11"/>
        <v>0</v>
      </c>
      <c r="N396" s="526"/>
    </row>
    <row r="397" spans="3:14">
      <c r="C397" s="526" t="str">
        <f t="shared" ref="C397:C460" si="12">IF(D397&lt;&gt;"","C",IF(E397&lt;&gt;"","I",""))</f>
        <v/>
      </c>
      <c r="D397" s="531"/>
      <c r="E397" s="531"/>
      <c r="F397" s="526"/>
      <c r="G397" s="532" t="str">
        <f>IF($E397="",IFERROR(VLOOKUP($D397,SERVIÇOS!$C:$H,2,0),IFERROR(VLOOKUP($D397,$F:$M,2,0),"")),IFERROR(VLOOKUP($E397,INSUMOS!$B:$E,2,0),""))</f>
        <v/>
      </c>
      <c r="H397" s="526" t="str">
        <f>IF($E397="",IFERROR(VLOOKUP($D397,SERVIÇOS!$C:$H,3,0),IFERROR(VLOOKUP($D397,$F:$M,3,0),"")),IFERROR(VLOOKUP($E397,INSUMOS!$B:$E,3,0),""))</f>
        <v/>
      </c>
      <c r="I397" s="527"/>
      <c r="J397" s="528" t="str">
        <f>IF($E397="",IFERROR(VLOOKUP($D397,SERVIÇOS!$C:$H,6,0),IFERROR(VLOOKUP($D397,$F:$M,8,0),"")),IFERROR(VLOOKUP($E397,INSUMOS!$B:$E,4,0),""))</f>
        <v/>
      </c>
      <c r="K397" s="528">
        <f>TRUNC(IF($E397="",IFERROR(VLOOKUP($D397,SERVIÇOS!$C:$H,4,0),IFERROR(VLOOKUP($D397,$F:$M,6,0),)),IFERROR(VLOOKUP($E397,INSUMOS!$B:$E,4,0),))*$I397,2)</f>
        <v>0</v>
      </c>
      <c r="L397" s="528">
        <f>TRUNC(IF($E397="",IFERROR(VLOOKUP($D397,SERVIÇOS!$C:$H,5,0),IFERROR(VLOOKUP($D397,$F:$M,7,0),)),0)*$I397,2)</f>
        <v>0</v>
      </c>
      <c r="M397" s="528">
        <f t="shared" si="11"/>
        <v>0</v>
      </c>
      <c r="N397" s="526"/>
    </row>
    <row r="398" spans="3:14">
      <c r="C398" s="526" t="str">
        <f t="shared" si="12"/>
        <v/>
      </c>
      <c r="D398" s="531"/>
      <c r="E398" s="531"/>
      <c r="F398" s="526"/>
      <c r="G398" s="532" t="str">
        <f>IF($E398="",IFERROR(VLOOKUP($D398,SERVIÇOS!$C:$H,2,0),IFERROR(VLOOKUP($D398,$F:$M,2,0),"")),IFERROR(VLOOKUP($E398,INSUMOS!$B:$E,2,0),""))</f>
        <v/>
      </c>
      <c r="H398" s="526" t="str">
        <f>IF($E398="",IFERROR(VLOOKUP($D398,SERVIÇOS!$C:$H,3,0),IFERROR(VLOOKUP($D398,$F:$M,3,0),"")),IFERROR(VLOOKUP($E398,INSUMOS!$B:$E,3,0),""))</f>
        <v/>
      </c>
      <c r="I398" s="527"/>
      <c r="J398" s="528" t="str">
        <f>IF($E398="",IFERROR(VLOOKUP($D398,SERVIÇOS!$C:$H,6,0),IFERROR(VLOOKUP($D398,$F:$M,8,0),"")),IFERROR(VLOOKUP($E398,INSUMOS!$B:$E,4,0),""))</f>
        <v/>
      </c>
      <c r="K398" s="528">
        <f>TRUNC(IF($E398="",IFERROR(VLOOKUP($D398,SERVIÇOS!$C:$H,4,0),IFERROR(VLOOKUP($D398,$F:$M,6,0),)),IFERROR(VLOOKUP($E398,INSUMOS!$B:$E,4,0),))*$I398,2)</f>
        <v>0</v>
      </c>
      <c r="L398" s="528">
        <f>TRUNC(IF($E398="",IFERROR(VLOOKUP($D398,SERVIÇOS!$C:$H,5,0),IFERROR(VLOOKUP($D398,$F:$M,7,0),)),0)*$I398,2)</f>
        <v>0</v>
      </c>
      <c r="M398" s="528">
        <f t="shared" ref="M398:M461" si="13">K398+L398</f>
        <v>0</v>
      </c>
      <c r="N398" s="526"/>
    </row>
    <row r="399" spans="3:14">
      <c r="C399" s="526" t="str">
        <f t="shared" si="12"/>
        <v/>
      </c>
      <c r="D399" s="531"/>
      <c r="E399" s="531"/>
      <c r="F399" s="526"/>
      <c r="G399" s="532" t="str">
        <f>IF($E399="",IFERROR(VLOOKUP($D399,SERVIÇOS!$C:$H,2,0),IFERROR(VLOOKUP($D399,$F:$M,2,0),"")),IFERROR(VLOOKUP($E399,INSUMOS!$B:$E,2,0),""))</f>
        <v/>
      </c>
      <c r="H399" s="526" t="str">
        <f>IF($E399="",IFERROR(VLOOKUP($D399,SERVIÇOS!$C:$H,3,0),IFERROR(VLOOKUP($D399,$F:$M,3,0),"")),IFERROR(VLOOKUP($E399,INSUMOS!$B:$E,3,0),""))</f>
        <v/>
      </c>
      <c r="I399" s="527"/>
      <c r="J399" s="528" t="str">
        <f>IF($E399="",IFERROR(VLOOKUP($D399,SERVIÇOS!$C:$H,6,0),IFERROR(VLOOKUP($D399,$F:$M,8,0),"")),IFERROR(VLOOKUP($E399,INSUMOS!$B:$E,4,0),""))</f>
        <v/>
      </c>
      <c r="K399" s="528">
        <f>TRUNC(IF($E399="",IFERROR(VLOOKUP($D399,SERVIÇOS!$C:$H,4,0),IFERROR(VLOOKUP($D399,$F:$M,6,0),)),IFERROR(VLOOKUP($E399,INSUMOS!$B:$E,4,0),))*$I399,2)</f>
        <v>0</v>
      </c>
      <c r="L399" s="528">
        <f>TRUNC(IF($E399="",IFERROR(VLOOKUP($D399,SERVIÇOS!$C:$H,5,0),IFERROR(VLOOKUP($D399,$F:$M,7,0),)),0)*$I399,2)</f>
        <v>0</v>
      </c>
      <c r="M399" s="528">
        <f t="shared" si="13"/>
        <v>0</v>
      </c>
      <c r="N399" s="526"/>
    </row>
    <row r="400" spans="3:14">
      <c r="C400" s="526" t="str">
        <f t="shared" si="12"/>
        <v/>
      </c>
      <c r="D400" s="531"/>
      <c r="E400" s="531"/>
      <c r="F400" s="526"/>
      <c r="G400" s="532" t="str">
        <f>IF($E400="",IFERROR(VLOOKUP($D400,SERVIÇOS!$C:$H,2,0),IFERROR(VLOOKUP($D400,$F:$M,2,0),"")),IFERROR(VLOOKUP($E400,INSUMOS!$B:$E,2,0),""))</f>
        <v/>
      </c>
      <c r="H400" s="526" t="str">
        <f>IF($E400="",IFERROR(VLOOKUP($D400,SERVIÇOS!$C:$H,3,0),IFERROR(VLOOKUP($D400,$F:$M,3,0),"")),IFERROR(VLOOKUP($E400,INSUMOS!$B:$E,3,0),""))</f>
        <v/>
      </c>
      <c r="I400" s="527"/>
      <c r="J400" s="528" t="str">
        <f>IF($E400="",IFERROR(VLOOKUP($D400,SERVIÇOS!$C:$H,6,0),IFERROR(VLOOKUP($D400,$F:$M,8,0),"")),IFERROR(VLOOKUP($E400,INSUMOS!$B:$E,4,0),""))</f>
        <v/>
      </c>
      <c r="K400" s="528">
        <f>TRUNC(IF($E400="",IFERROR(VLOOKUP($D400,SERVIÇOS!$C:$H,4,0),IFERROR(VLOOKUP($D400,$F:$M,6,0),)),IFERROR(VLOOKUP($E400,INSUMOS!$B:$E,4,0),))*$I400,2)</f>
        <v>0</v>
      </c>
      <c r="L400" s="528">
        <f>TRUNC(IF($E400="",IFERROR(VLOOKUP($D400,SERVIÇOS!$C:$H,5,0),IFERROR(VLOOKUP($D400,$F:$M,7,0),)),0)*$I400,2)</f>
        <v>0</v>
      </c>
      <c r="M400" s="528">
        <f t="shared" si="13"/>
        <v>0</v>
      </c>
      <c r="N400" s="526"/>
    </row>
    <row r="401" spans="3:14">
      <c r="C401" s="526" t="str">
        <f t="shared" si="12"/>
        <v/>
      </c>
      <c r="D401" s="531"/>
      <c r="E401" s="531"/>
      <c r="F401" s="526"/>
      <c r="G401" s="532" t="str">
        <f>IF($E401="",IFERROR(VLOOKUP($D401,SERVIÇOS!$C:$H,2,0),IFERROR(VLOOKUP($D401,$F:$M,2,0),"")),IFERROR(VLOOKUP($E401,INSUMOS!$B:$E,2,0),""))</f>
        <v/>
      </c>
      <c r="H401" s="526" t="str">
        <f>IF($E401="",IFERROR(VLOOKUP($D401,SERVIÇOS!$C:$H,3,0),IFERROR(VLOOKUP($D401,$F:$M,3,0),"")),IFERROR(VLOOKUP($E401,INSUMOS!$B:$E,3,0),""))</f>
        <v/>
      </c>
      <c r="I401" s="527"/>
      <c r="J401" s="528" t="str">
        <f>IF($E401="",IFERROR(VLOOKUP($D401,SERVIÇOS!$C:$H,6,0),IFERROR(VLOOKUP($D401,$F:$M,8,0),"")),IFERROR(VLOOKUP($E401,INSUMOS!$B:$E,4,0),""))</f>
        <v/>
      </c>
      <c r="K401" s="528">
        <f>TRUNC(IF($E401="",IFERROR(VLOOKUP($D401,SERVIÇOS!$C:$H,4,0),IFERROR(VLOOKUP($D401,$F:$M,6,0),)),IFERROR(VLOOKUP($E401,INSUMOS!$B:$E,4,0),))*$I401,2)</f>
        <v>0</v>
      </c>
      <c r="L401" s="528">
        <f>TRUNC(IF($E401="",IFERROR(VLOOKUP($D401,SERVIÇOS!$C:$H,5,0),IFERROR(VLOOKUP($D401,$F:$M,7,0),)),0)*$I401,2)</f>
        <v>0</v>
      </c>
      <c r="M401" s="528">
        <f t="shared" si="13"/>
        <v>0</v>
      </c>
      <c r="N401" s="526"/>
    </row>
    <row r="402" spans="3:14">
      <c r="C402" s="526" t="str">
        <f t="shared" si="12"/>
        <v/>
      </c>
      <c r="D402" s="531"/>
      <c r="E402" s="531"/>
      <c r="F402" s="526"/>
      <c r="G402" s="532" t="str">
        <f>IF($E402="",IFERROR(VLOOKUP($D402,SERVIÇOS!$C:$H,2,0),IFERROR(VLOOKUP($D402,$F:$M,2,0),"")),IFERROR(VLOOKUP($E402,INSUMOS!$B:$E,2,0),""))</f>
        <v/>
      </c>
      <c r="H402" s="526" t="str">
        <f>IF($E402="",IFERROR(VLOOKUP($D402,SERVIÇOS!$C:$H,3,0),IFERROR(VLOOKUP($D402,$F:$M,3,0),"")),IFERROR(VLOOKUP($E402,INSUMOS!$B:$E,3,0),""))</f>
        <v/>
      </c>
      <c r="I402" s="527"/>
      <c r="J402" s="528" t="str">
        <f>IF($E402="",IFERROR(VLOOKUP($D402,SERVIÇOS!$C:$H,6,0),IFERROR(VLOOKUP($D402,$F:$M,8,0),"")),IFERROR(VLOOKUP($E402,INSUMOS!$B:$E,4,0),""))</f>
        <v/>
      </c>
      <c r="K402" s="528">
        <f>TRUNC(IF($E402="",IFERROR(VLOOKUP($D402,SERVIÇOS!$C:$H,4,0),IFERROR(VLOOKUP($D402,$F:$M,6,0),)),IFERROR(VLOOKUP($E402,INSUMOS!$B:$E,4,0),))*$I402,2)</f>
        <v>0</v>
      </c>
      <c r="L402" s="528">
        <f>TRUNC(IF($E402="",IFERROR(VLOOKUP($D402,SERVIÇOS!$C:$H,5,0),IFERROR(VLOOKUP($D402,$F:$M,7,0),)),0)*$I402,2)</f>
        <v>0</v>
      </c>
      <c r="M402" s="528">
        <f t="shared" si="13"/>
        <v>0</v>
      </c>
      <c r="N402" s="526"/>
    </row>
    <row r="403" spans="3:14">
      <c r="C403" s="526" t="str">
        <f t="shared" si="12"/>
        <v/>
      </c>
      <c r="D403" s="531"/>
      <c r="E403" s="531"/>
      <c r="F403" s="526"/>
      <c r="G403" s="532" t="str">
        <f>IF($E403="",IFERROR(VLOOKUP($D403,SERVIÇOS!$C:$H,2,0),IFERROR(VLOOKUP($D403,$F:$M,2,0),"")),IFERROR(VLOOKUP($E403,INSUMOS!$B:$E,2,0),""))</f>
        <v/>
      </c>
      <c r="H403" s="526" t="str">
        <f>IF($E403="",IFERROR(VLOOKUP($D403,SERVIÇOS!$C:$H,3,0),IFERROR(VLOOKUP($D403,$F:$M,3,0),"")),IFERROR(VLOOKUP($E403,INSUMOS!$B:$E,3,0),""))</f>
        <v/>
      </c>
      <c r="I403" s="527"/>
      <c r="J403" s="528" t="str">
        <f>IF($E403="",IFERROR(VLOOKUP($D403,SERVIÇOS!$C:$H,6,0),IFERROR(VLOOKUP($D403,$F:$M,8,0),"")),IFERROR(VLOOKUP($E403,INSUMOS!$B:$E,4,0),""))</f>
        <v/>
      </c>
      <c r="K403" s="528">
        <f>TRUNC(IF($E403="",IFERROR(VLOOKUP($D403,SERVIÇOS!$C:$H,4,0),IFERROR(VLOOKUP($D403,$F:$M,6,0),)),IFERROR(VLOOKUP($E403,INSUMOS!$B:$E,4,0),))*$I403,2)</f>
        <v>0</v>
      </c>
      <c r="L403" s="528">
        <f>TRUNC(IF($E403="",IFERROR(VLOOKUP($D403,SERVIÇOS!$C:$H,5,0),IFERROR(VLOOKUP($D403,$F:$M,7,0),)),0)*$I403,2)</f>
        <v>0</v>
      </c>
      <c r="M403" s="528">
        <f t="shared" si="13"/>
        <v>0</v>
      </c>
      <c r="N403" s="526"/>
    </row>
    <row r="404" spans="3:14">
      <c r="C404" s="526" t="str">
        <f t="shared" si="12"/>
        <v/>
      </c>
      <c r="D404" s="531"/>
      <c r="E404" s="531"/>
      <c r="F404" s="526"/>
      <c r="G404" s="532" t="str">
        <f>IF($E404="",IFERROR(VLOOKUP($D404,SERVIÇOS!$C:$H,2,0),IFERROR(VLOOKUP($D404,$F:$M,2,0),"")),IFERROR(VLOOKUP($E404,INSUMOS!$B:$E,2,0),""))</f>
        <v/>
      </c>
      <c r="H404" s="526" t="str">
        <f>IF($E404="",IFERROR(VLOOKUP($D404,SERVIÇOS!$C:$H,3,0),IFERROR(VLOOKUP($D404,$F:$M,3,0),"")),IFERROR(VLOOKUP($E404,INSUMOS!$B:$E,3,0),""))</f>
        <v/>
      </c>
      <c r="I404" s="527"/>
      <c r="J404" s="528" t="str">
        <f>IF($E404="",IFERROR(VLOOKUP($D404,SERVIÇOS!$C:$H,6,0),IFERROR(VLOOKUP($D404,$F:$M,8,0),"")),IFERROR(VLOOKUP($E404,INSUMOS!$B:$E,4,0),""))</f>
        <v/>
      </c>
      <c r="K404" s="528">
        <f>TRUNC(IF($E404="",IFERROR(VLOOKUP($D404,SERVIÇOS!$C:$H,4,0),IFERROR(VLOOKUP($D404,$F:$M,6,0),)),IFERROR(VLOOKUP($E404,INSUMOS!$B:$E,4,0),))*$I404,2)</f>
        <v>0</v>
      </c>
      <c r="L404" s="528">
        <f>TRUNC(IF($E404="",IFERROR(VLOOKUP($D404,SERVIÇOS!$C:$H,5,0),IFERROR(VLOOKUP($D404,$F:$M,7,0),)),0)*$I404,2)</f>
        <v>0</v>
      </c>
      <c r="M404" s="528">
        <f t="shared" si="13"/>
        <v>0</v>
      </c>
      <c r="N404" s="526"/>
    </row>
    <row r="405" spans="3:14">
      <c r="C405" s="526" t="str">
        <f t="shared" si="12"/>
        <v/>
      </c>
      <c r="D405" s="531"/>
      <c r="E405" s="531"/>
      <c r="F405" s="526"/>
      <c r="G405" s="532" t="str">
        <f>IF($E405="",IFERROR(VLOOKUP($D405,SERVIÇOS!$C:$H,2,0),IFERROR(VLOOKUP($D405,$F:$M,2,0),"")),IFERROR(VLOOKUP($E405,INSUMOS!$B:$E,2,0),""))</f>
        <v/>
      </c>
      <c r="H405" s="526" t="str">
        <f>IF($E405="",IFERROR(VLOOKUP($D405,SERVIÇOS!$C:$H,3,0),IFERROR(VLOOKUP($D405,$F:$M,3,0),"")),IFERROR(VLOOKUP($E405,INSUMOS!$B:$E,3,0),""))</f>
        <v/>
      </c>
      <c r="I405" s="527"/>
      <c r="J405" s="528" t="str">
        <f>IF($E405="",IFERROR(VLOOKUP($D405,SERVIÇOS!$C:$H,6,0),IFERROR(VLOOKUP($D405,$F:$M,8,0),"")),IFERROR(VLOOKUP($E405,INSUMOS!$B:$E,4,0),""))</f>
        <v/>
      </c>
      <c r="K405" s="528">
        <f>TRUNC(IF($E405="",IFERROR(VLOOKUP($D405,SERVIÇOS!$C:$H,4,0),IFERROR(VLOOKUP($D405,$F:$M,6,0),)),IFERROR(VLOOKUP($E405,INSUMOS!$B:$E,4,0),))*$I405,2)</f>
        <v>0</v>
      </c>
      <c r="L405" s="528">
        <f>TRUNC(IF($E405="",IFERROR(VLOOKUP($D405,SERVIÇOS!$C:$H,5,0),IFERROR(VLOOKUP($D405,$F:$M,7,0),)),0)*$I405,2)</f>
        <v>0</v>
      </c>
      <c r="M405" s="528">
        <f t="shared" si="13"/>
        <v>0</v>
      </c>
      <c r="N405" s="526"/>
    </row>
    <row r="406" spans="3:14">
      <c r="C406" s="526" t="str">
        <f t="shared" si="12"/>
        <v/>
      </c>
      <c r="D406" s="531"/>
      <c r="E406" s="531"/>
      <c r="F406" s="526"/>
      <c r="G406" s="532" t="str">
        <f>IF($E406="",IFERROR(VLOOKUP($D406,SERVIÇOS!$C:$H,2,0),IFERROR(VLOOKUP($D406,$F:$M,2,0),"")),IFERROR(VLOOKUP($E406,INSUMOS!$B:$E,2,0),""))</f>
        <v/>
      </c>
      <c r="H406" s="526" t="str">
        <f>IF($E406="",IFERROR(VLOOKUP($D406,SERVIÇOS!$C:$H,3,0),IFERROR(VLOOKUP($D406,$F:$M,3,0),"")),IFERROR(VLOOKUP($E406,INSUMOS!$B:$E,3,0),""))</f>
        <v/>
      </c>
      <c r="I406" s="527"/>
      <c r="J406" s="528" t="str">
        <f>IF($E406="",IFERROR(VLOOKUP($D406,SERVIÇOS!$C:$H,6,0),IFERROR(VLOOKUP($D406,$F:$M,8,0),"")),IFERROR(VLOOKUP($E406,INSUMOS!$B:$E,4,0),""))</f>
        <v/>
      </c>
      <c r="K406" s="528">
        <f>TRUNC(IF($E406="",IFERROR(VLOOKUP($D406,SERVIÇOS!$C:$H,4,0),IFERROR(VLOOKUP($D406,$F:$M,6,0),)),IFERROR(VLOOKUP($E406,INSUMOS!$B:$E,4,0),))*$I406,2)</f>
        <v>0</v>
      </c>
      <c r="L406" s="528">
        <f>TRUNC(IF($E406="",IFERROR(VLOOKUP($D406,SERVIÇOS!$C:$H,5,0),IFERROR(VLOOKUP($D406,$F:$M,7,0),)),0)*$I406,2)</f>
        <v>0</v>
      </c>
      <c r="M406" s="528">
        <f t="shared" si="13"/>
        <v>0</v>
      </c>
      <c r="N406" s="526"/>
    </row>
    <row r="407" spans="3:14">
      <c r="C407" s="526" t="str">
        <f t="shared" si="12"/>
        <v/>
      </c>
      <c r="D407" s="531"/>
      <c r="E407" s="531"/>
      <c r="F407" s="526"/>
      <c r="G407" s="532" t="str">
        <f>IF($E407="",IFERROR(VLOOKUP($D407,SERVIÇOS!$C:$H,2,0),IFERROR(VLOOKUP($D407,$F:$M,2,0),"")),IFERROR(VLOOKUP($E407,INSUMOS!$B:$E,2,0),""))</f>
        <v/>
      </c>
      <c r="H407" s="526" t="str">
        <f>IF($E407="",IFERROR(VLOOKUP($D407,SERVIÇOS!$C:$H,3,0),IFERROR(VLOOKUP($D407,$F:$M,3,0),"")),IFERROR(VLOOKUP($E407,INSUMOS!$B:$E,3,0),""))</f>
        <v/>
      </c>
      <c r="I407" s="527"/>
      <c r="J407" s="528" t="str">
        <f>IF($E407="",IFERROR(VLOOKUP($D407,SERVIÇOS!$C:$H,6,0),IFERROR(VLOOKUP($D407,$F:$M,8,0),"")),IFERROR(VLOOKUP($E407,INSUMOS!$B:$E,4,0),""))</f>
        <v/>
      </c>
      <c r="K407" s="528">
        <f>TRUNC(IF($E407="",IFERROR(VLOOKUP($D407,SERVIÇOS!$C:$H,4,0),IFERROR(VLOOKUP($D407,$F:$M,6,0),)),IFERROR(VLOOKUP($E407,INSUMOS!$B:$E,4,0),))*$I407,2)</f>
        <v>0</v>
      </c>
      <c r="L407" s="528">
        <f>TRUNC(IF($E407="",IFERROR(VLOOKUP($D407,SERVIÇOS!$C:$H,5,0),IFERROR(VLOOKUP($D407,$F:$M,7,0),)),0)*$I407,2)</f>
        <v>0</v>
      </c>
      <c r="M407" s="528">
        <f t="shared" si="13"/>
        <v>0</v>
      </c>
      <c r="N407" s="526"/>
    </row>
    <row r="408" spans="3:14">
      <c r="C408" s="526" t="str">
        <f t="shared" si="12"/>
        <v/>
      </c>
      <c r="D408" s="531"/>
      <c r="E408" s="531"/>
      <c r="F408" s="526"/>
      <c r="G408" s="532" t="str">
        <f>IF($E408="",IFERROR(VLOOKUP($D408,SERVIÇOS!$C:$H,2,0),IFERROR(VLOOKUP($D408,$F:$M,2,0),"")),IFERROR(VLOOKUP($E408,INSUMOS!$B:$E,2,0),""))</f>
        <v/>
      </c>
      <c r="H408" s="526" t="str">
        <f>IF($E408="",IFERROR(VLOOKUP($D408,SERVIÇOS!$C:$H,3,0),IFERROR(VLOOKUP($D408,$F:$M,3,0),"")),IFERROR(VLOOKUP($E408,INSUMOS!$B:$E,3,0),""))</f>
        <v/>
      </c>
      <c r="I408" s="527"/>
      <c r="J408" s="528" t="str">
        <f>IF($E408="",IFERROR(VLOOKUP($D408,SERVIÇOS!$C:$H,6,0),IFERROR(VLOOKUP($D408,$F:$M,8,0),"")),IFERROR(VLOOKUP($E408,INSUMOS!$B:$E,4,0),""))</f>
        <v/>
      </c>
      <c r="K408" s="528">
        <f>TRUNC(IF($E408="",IFERROR(VLOOKUP($D408,SERVIÇOS!$C:$H,4,0),IFERROR(VLOOKUP($D408,$F:$M,6,0),)),IFERROR(VLOOKUP($E408,INSUMOS!$B:$E,4,0),))*$I408,2)</f>
        <v>0</v>
      </c>
      <c r="L408" s="528">
        <f>TRUNC(IF($E408="",IFERROR(VLOOKUP($D408,SERVIÇOS!$C:$H,5,0),IFERROR(VLOOKUP($D408,$F:$M,7,0),)),0)*$I408,2)</f>
        <v>0</v>
      </c>
      <c r="M408" s="528">
        <f t="shared" si="13"/>
        <v>0</v>
      </c>
      <c r="N408" s="526"/>
    </row>
    <row r="409" spans="3:14">
      <c r="C409" s="526" t="str">
        <f t="shared" si="12"/>
        <v/>
      </c>
      <c r="D409" s="531"/>
      <c r="E409" s="531"/>
      <c r="F409" s="526"/>
      <c r="G409" s="532" t="str">
        <f>IF($E409="",IFERROR(VLOOKUP($D409,SERVIÇOS!$C:$H,2,0),IFERROR(VLOOKUP($D409,$F:$M,2,0),"")),IFERROR(VLOOKUP($E409,INSUMOS!$B:$E,2,0),""))</f>
        <v/>
      </c>
      <c r="H409" s="526" t="str">
        <f>IF($E409="",IFERROR(VLOOKUP($D409,SERVIÇOS!$C:$H,3,0),IFERROR(VLOOKUP($D409,$F:$M,3,0),"")),IFERROR(VLOOKUP($E409,INSUMOS!$B:$E,3,0),""))</f>
        <v/>
      </c>
      <c r="I409" s="527"/>
      <c r="J409" s="528" t="str">
        <f>IF($E409="",IFERROR(VLOOKUP($D409,SERVIÇOS!$C:$H,6,0),IFERROR(VLOOKUP($D409,$F:$M,8,0),"")),IFERROR(VLOOKUP($E409,INSUMOS!$B:$E,4,0),""))</f>
        <v/>
      </c>
      <c r="K409" s="528">
        <f>TRUNC(IF($E409="",IFERROR(VLOOKUP($D409,SERVIÇOS!$C:$H,4,0),IFERROR(VLOOKUP($D409,$F:$M,6,0),)),IFERROR(VLOOKUP($E409,INSUMOS!$B:$E,4,0),))*$I409,2)</f>
        <v>0</v>
      </c>
      <c r="L409" s="528">
        <f>TRUNC(IF($E409="",IFERROR(VLOOKUP($D409,SERVIÇOS!$C:$H,5,0),IFERROR(VLOOKUP($D409,$F:$M,7,0),)),0)*$I409,2)</f>
        <v>0</v>
      </c>
      <c r="M409" s="528">
        <f t="shared" si="13"/>
        <v>0</v>
      </c>
      <c r="N409" s="526"/>
    </row>
    <row r="410" spans="3:14">
      <c r="C410" s="526" t="str">
        <f t="shared" si="12"/>
        <v/>
      </c>
      <c r="D410" s="531"/>
      <c r="E410" s="531"/>
      <c r="F410" s="526"/>
      <c r="G410" s="532" t="str">
        <f>IF($E410="",IFERROR(VLOOKUP($D410,SERVIÇOS!$C:$H,2,0),IFERROR(VLOOKUP($D410,$F:$M,2,0),"")),IFERROR(VLOOKUP($E410,INSUMOS!$B:$E,2,0),""))</f>
        <v/>
      </c>
      <c r="H410" s="526" t="str">
        <f>IF($E410="",IFERROR(VLOOKUP($D410,SERVIÇOS!$C:$H,3,0),IFERROR(VLOOKUP($D410,$F:$M,3,0),"")),IFERROR(VLOOKUP($E410,INSUMOS!$B:$E,3,0),""))</f>
        <v/>
      </c>
      <c r="I410" s="527"/>
      <c r="J410" s="528" t="str">
        <f>IF($E410="",IFERROR(VLOOKUP($D410,SERVIÇOS!$C:$H,6,0),IFERROR(VLOOKUP($D410,$F:$M,8,0),"")),IFERROR(VLOOKUP($E410,INSUMOS!$B:$E,4,0),""))</f>
        <v/>
      </c>
      <c r="K410" s="528">
        <f>TRUNC(IF($E410="",IFERROR(VLOOKUP($D410,SERVIÇOS!$C:$H,4,0),IFERROR(VLOOKUP($D410,$F:$M,6,0),)),IFERROR(VLOOKUP($E410,INSUMOS!$B:$E,4,0),))*$I410,2)</f>
        <v>0</v>
      </c>
      <c r="L410" s="528">
        <f>TRUNC(IF($E410="",IFERROR(VLOOKUP($D410,SERVIÇOS!$C:$H,5,0),IFERROR(VLOOKUP($D410,$F:$M,7,0),)),0)*$I410,2)</f>
        <v>0</v>
      </c>
      <c r="M410" s="528">
        <f t="shared" si="13"/>
        <v>0</v>
      </c>
      <c r="N410" s="526"/>
    </row>
    <row r="411" spans="3:14">
      <c r="C411" s="526" t="str">
        <f t="shared" si="12"/>
        <v/>
      </c>
      <c r="D411" s="531"/>
      <c r="E411" s="531"/>
      <c r="F411" s="526"/>
      <c r="G411" s="532" t="str">
        <f>IF($E411="",IFERROR(VLOOKUP($D411,SERVIÇOS!$C:$H,2,0),IFERROR(VLOOKUP($D411,$F:$M,2,0),"")),IFERROR(VLOOKUP($E411,INSUMOS!$B:$E,2,0),""))</f>
        <v/>
      </c>
      <c r="H411" s="526" t="str">
        <f>IF($E411="",IFERROR(VLOOKUP($D411,SERVIÇOS!$C:$H,3,0),IFERROR(VLOOKUP($D411,$F:$M,3,0),"")),IFERROR(VLOOKUP($E411,INSUMOS!$B:$E,3,0),""))</f>
        <v/>
      </c>
      <c r="I411" s="527"/>
      <c r="J411" s="528" t="str">
        <f>IF($E411="",IFERROR(VLOOKUP($D411,SERVIÇOS!$C:$H,6,0),IFERROR(VLOOKUP($D411,$F:$M,8,0),"")),IFERROR(VLOOKUP($E411,INSUMOS!$B:$E,4,0),""))</f>
        <v/>
      </c>
      <c r="K411" s="528">
        <f>TRUNC(IF($E411="",IFERROR(VLOOKUP($D411,SERVIÇOS!$C:$H,4,0),IFERROR(VLOOKUP($D411,$F:$M,6,0),)),IFERROR(VLOOKUP($E411,INSUMOS!$B:$E,4,0),))*$I411,2)</f>
        <v>0</v>
      </c>
      <c r="L411" s="528">
        <f>TRUNC(IF($E411="",IFERROR(VLOOKUP($D411,SERVIÇOS!$C:$H,5,0),IFERROR(VLOOKUP($D411,$F:$M,7,0),)),0)*$I411,2)</f>
        <v>0</v>
      </c>
      <c r="M411" s="528">
        <f t="shared" si="13"/>
        <v>0</v>
      </c>
      <c r="N411" s="526"/>
    </row>
    <row r="412" spans="3:14">
      <c r="C412" s="526" t="str">
        <f t="shared" si="12"/>
        <v/>
      </c>
      <c r="D412" s="531"/>
      <c r="E412" s="531"/>
      <c r="F412" s="526"/>
      <c r="G412" s="532" t="str">
        <f>IF($E412="",IFERROR(VLOOKUP($D412,SERVIÇOS!$C:$H,2,0),IFERROR(VLOOKUP($D412,$F:$M,2,0),"")),IFERROR(VLOOKUP($E412,INSUMOS!$B:$E,2,0),""))</f>
        <v/>
      </c>
      <c r="H412" s="526" t="str">
        <f>IF($E412="",IFERROR(VLOOKUP($D412,SERVIÇOS!$C:$H,3,0),IFERROR(VLOOKUP($D412,$F:$M,3,0),"")),IFERROR(VLOOKUP($E412,INSUMOS!$B:$E,3,0),""))</f>
        <v/>
      </c>
      <c r="I412" s="527"/>
      <c r="J412" s="528" t="str">
        <f>IF($E412="",IFERROR(VLOOKUP($D412,SERVIÇOS!$C:$H,6,0),IFERROR(VLOOKUP($D412,$F:$M,8,0),"")),IFERROR(VLOOKUP($E412,INSUMOS!$B:$E,4,0),""))</f>
        <v/>
      </c>
      <c r="K412" s="528">
        <f>TRUNC(IF($E412="",IFERROR(VLOOKUP($D412,SERVIÇOS!$C:$H,4,0),IFERROR(VLOOKUP($D412,$F:$M,6,0),)),IFERROR(VLOOKUP($E412,INSUMOS!$B:$E,4,0),))*$I412,2)</f>
        <v>0</v>
      </c>
      <c r="L412" s="528">
        <f>TRUNC(IF($E412="",IFERROR(VLOOKUP($D412,SERVIÇOS!$C:$H,5,0),IFERROR(VLOOKUP($D412,$F:$M,7,0),)),0)*$I412,2)</f>
        <v>0</v>
      </c>
      <c r="M412" s="528">
        <f t="shared" si="13"/>
        <v>0</v>
      </c>
      <c r="N412" s="526"/>
    </row>
    <row r="413" spans="3:14">
      <c r="C413" s="526" t="str">
        <f t="shared" si="12"/>
        <v/>
      </c>
      <c r="D413" s="531"/>
      <c r="E413" s="531"/>
      <c r="F413" s="526"/>
      <c r="G413" s="532" t="str">
        <f>IF($E413="",IFERROR(VLOOKUP($D413,SERVIÇOS!$C:$H,2,0),IFERROR(VLOOKUP($D413,$F:$M,2,0),"")),IFERROR(VLOOKUP($E413,INSUMOS!$B:$E,2,0),""))</f>
        <v/>
      </c>
      <c r="H413" s="526" t="str">
        <f>IF($E413="",IFERROR(VLOOKUP($D413,SERVIÇOS!$C:$H,3,0),IFERROR(VLOOKUP($D413,$F:$M,3,0),"")),IFERROR(VLOOKUP($E413,INSUMOS!$B:$E,3,0),""))</f>
        <v/>
      </c>
      <c r="I413" s="527"/>
      <c r="J413" s="528" t="str">
        <f>IF($E413="",IFERROR(VLOOKUP($D413,SERVIÇOS!$C:$H,6,0),IFERROR(VLOOKUP($D413,$F:$M,8,0),"")),IFERROR(VLOOKUP($E413,INSUMOS!$B:$E,4,0),""))</f>
        <v/>
      </c>
      <c r="K413" s="528">
        <f>TRUNC(IF($E413="",IFERROR(VLOOKUP($D413,SERVIÇOS!$C:$H,4,0),IFERROR(VLOOKUP($D413,$F:$M,6,0),)),IFERROR(VLOOKUP($E413,INSUMOS!$B:$E,4,0),))*$I413,2)</f>
        <v>0</v>
      </c>
      <c r="L413" s="528">
        <f>TRUNC(IF($E413="",IFERROR(VLOOKUP($D413,SERVIÇOS!$C:$H,5,0),IFERROR(VLOOKUP($D413,$F:$M,7,0),)),0)*$I413,2)</f>
        <v>0</v>
      </c>
      <c r="M413" s="528">
        <f t="shared" si="13"/>
        <v>0</v>
      </c>
      <c r="N413" s="526"/>
    </row>
    <row r="414" spans="3:14">
      <c r="C414" s="526" t="str">
        <f t="shared" si="12"/>
        <v/>
      </c>
      <c r="D414" s="531"/>
      <c r="E414" s="531"/>
      <c r="F414" s="526"/>
      <c r="G414" s="532" t="str">
        <f>IF($E414="",IFERROR(VLOOKUP($D414,SERVIÇOS!$C:$H,2,0),IFERROR(VLOOKUP($D414,$F:$M,2,0),"")),IFERROR(VLOOKUP($E414,INSUMOS!$B:$E,2,0),""))</f>
        <v/>
      </c>
      <c r="H414" s="526" t="str">
        <f>IF($E414="",IFERROR(VLOOKUP($D414,SERVIÇOS!$C:$H,3,0),IFERROR(VLOOKUP($D414,$F:$M,3,0),"")),IFERROR(VLOOKUP($E414,INSUMOS!$B:$E,3,0),""))</f>
        <v/>
      </c>
      <c r="I414" s="527"/>
      <c r="J414" s="528" t="str">
        <f>IF($E414="",IFERROR(VLOOKUP($D414,SERVIÇOS!$C:$H,6,0),IFERROR(VLOOKUP($D414,$F:$M,8,0),"")),IFERROR(VLOOKUP($E414,INSUMOS!$B:$E,4,0),""))</f>
        <v/>
      </c>
      <c r="K414" s="528">
        <f>TRUNC(IF($E414="",IFERROR(VLOOKUP($D414,SERVIÇOS!$C:$H,4,0),IFERROR(VLOOKUP($D414,$F:$M,6,0),)),IFERROR(VLOOKUP($E414,INSUMOS!$B:$E,4,0),))*$I414,2)</f>
        <v>0</v>
      </c>
      <c r="L414" s="528">
        <f>TRUNC(IF($E414="",IFERROR(VLOOKUP($D414,SERVIÇOS!$C:$H,5,0),IFERROR(VLOOKUP($D414,$F:$M,7,0),)),0)*$I414,2)</f>
        <v>0</v>
      </c>
      <c r="M414" s="528">
        <f t="shared" si="13"/>
        <v>0</v>
      </c>
      <c r="N414" s="526"/>
    </row>
    <row r="415" spans="3:14">
      <c r="C415" s="526" t="str">
        <f t="shared" si="12"/>
        <v/>
      </c>
      <c r="D415" s="531"/>
      <c r="E415" s="531"/>
      <c r="F415" s="526"/>
      <c r="G415" s="532" t="str">
        <f>IF($E415="",IFERROR(VLOOKUP($D415,SERVIÇOS!$C:$H,2,0),IFERROR(VLOOKUP($D415,$F:$M,2,0),"")),IFERROR(VLOOKUP($E415,INSUMOS!$B:$E,2,0),""))</f>
        <v/>
      </c>
      <c r="H415" s="526" t="str">
        <f>IF($E415="",IFERROR(VLOOKUP($D415,SERVIÇOS!$C:$H,3,0),IFERROR(VLOOKUP($D415,$F:$M,3,0),"")),IFERROR(VLOOKUP($E415,INSUMOS!$B:$E,3,0),""))</f>
        <v/>
      </c>
      <c r="I415" s="527"/>
      <c r="J415" s="528" t="str">
        <f>IF($E415="",IFERROR(VLOOKUP($D415,SERVIÇOS!$C:$H,6,0),IFERROR(VLOOKUP($D415,$F:$M,8,0),"")),IFERROR(VLOOKUP($E415,INSUMOS!$B:$E,4,0),""))</f>
        <v/>
      </c>
      <c r="K415" s="528">
        <f>TRUNC(IF($E415="",IFERROR(VLOOKUP($D415,SERVIÇOS!$C:$H,4,0),IFERROR(VLOOKUP($D415,$F:$M,6,0),)),IFERROR(VLOOKUP($E415,INSUMOS!$B:$E,4,0),))*$I415,2)</f>
        <v>0</v>
      </c>
      <c r="L415" s="528">
        <f>TRUNC(IF($E415="",IFERROR(VLOOKUP($D415,SERVIÇOS!$C:$H,5,0),IFERROR(VLOOKUP($D415,$F:$M,7,0),)),0)*$I415,2)</f>
        <v>0</v>
      </c>
      <c r="M415" s="528">
        <f t="shared" si="13"/>
        <v>0</v>
      </c>
      <c r="N415" s="526"/>
    </row>
    <row r="416" spans="3:14">
      <c r="C416" s="526" t="str">
        <f t="shared" si="12"/>
        <v/>
      </c>
      <c r="D416" s="531"/>
      <c r="E416" s="531"/>
      <c r="F416" s="526"/>
      <c r="G416" s="532" t="str">
        <f>IF($E416="",IFERROR(VLOOKUP($D416,SERVIÇOS!$C:$H,2,0),IFERROR(VLOOKUP($D416,$F:$M,2,0),"")),IFERROR(VLOOKUP($E416,INSUMOS!$B:$E,2,0),""))</f>
        <v/>
      </c>
      <c r="H416" s="526" t="str">
        <f>IF($E416="",IFERROR(VLOOKUP($D416,SERVIÇOS!$C:$H,3,0),IFERROR(VLOOKUP($D416,$F:$M,3,0),"")),IFERROR(VLOOKUP($E416,INSUMOS!$B:$E,3,0),""))</f>
        <v/>
      </c>
      <c r="I416" s="527"/>
      <c r="J416" s="528" t="str">
        <f>IF($E416="",IFERROR(VLOOKUP($D416,SERVIÇOS!$C:$H,6,0),IFERROR(VLOOKUP($D416,$F:$M,8,0),"")),IFERROR(VLOOKUP($E416,INSUMOS!$B:$E,4,0),""))</f>
        <v/>
      </c>
      <c r="K416" s="528">
        <f>TRUNC(IF($E416="",IFERROR(VLOOKUP($D416,SERVIÇOS!$C:$H,4,0),IFERROR(VLOOKUP($D416,$F:$M,6,0),)),IFERROR(VLOOKUP($E416,INSUMOS!$B:$E,4,0),))*$I416,2)</f>
        <v>0</v>
      </c>
      <c r="L416" s="528">
        <f>TRUNC(IF($E416="",IFERROR(VLOOKUP($D416,SERVIÇOS!$C:$H,5,0),IFERROR(VLOOKUP($D416,$F:$M,7,0),)),0)*$I416,2)</f>
        <v>0</v>
      </c>
      <c r="M416" s="528">
        <f t="shared" si="13"/>
        <v>0</v>
      </c>
      <c r="N416" s="526"/>
    </row>
    <row r="417" spans="3:14">
      <c r="C417" s="526" t="str">
        <f t="shared" si="12"/>
        <v/>
      </c>
      <c r="D417" s="531"/>
      <c r="E417" s="531"/>
      <c r="F417" s="526"/>
      <c r="G417" s="532" t="str">
        <f>IF($E417="",IFERROR(VLOOKUP($D417,SERVIÇOS!$C:$H,2,0),IFERROR(VLOOKUP($D417,$F:$M,2,0),"")),IFERROR(VLOOKUP($E417,INSUMOS!$B:$E,2,0),""))</f>
        <v/>
      </c>
      <c r="H417" s="526" t="str">
        <f>IF($E417="",IFERROR(VLOOKUP($D417,SERVIÇOS!$C:$H,3,0),IFERROR(VLOOKUP($D417,$F:$M,3,0),"")),IFERROR(VLOOKUP($E417,INSUMOS!$B:$E,3,0),""))</f>
        <v/>
      </c>
      <c r="I417" s="527"/>
      <c r="J417" s="528" t="str">
        <f>IF($E417="",IFERROR(VLOOKUP($D417,SERVIÇOS!$C:$H,6,0),IFERROR(VLOOKUP($D417,$F:$M,8,0),"")),IFERROR(VLOOKUP($E417,INSUMOS!$B:$E,4,0),""))</f>
        <v/>
      </c>
      <c r="K417" s="528">
        <f>TRUNC(IF($E417="",IFERROR(VLOOKUP($D417,SERVIÇOS!$C:$H,4,0),IFERROR(VLOOKUP($D417,$F:$M,6,0),)),IFERROR(VLOOKUP($E417,INSUMOS!$B:$E,4,0),))*$I417,2)</f>
        <v>0</v>
      </c>
      <c r="L417" s="528">
        <f>TRUNC(IF($E417="",IFERROR(VLOOKUP($D417,SERVIÇOS!$C:$H,5,0),IFERROR(VLOOKUP($D417,$F:$M,7,0),)),0)*$I417,2)</f>
        <v>0</v>
      </c>
      <c r="M417" s="528">
        <f t="shared" si="13"/>
        <v>0</v>
      </c>
      <c r="N417" s="526"/>
    </row>
    <row r="418" spans="3:14">
      <c r="C418" s="526" t="str">
        <f t="shared" si="12"/>
        <v/>
      </c>
      <c r="D418" s="531"/>
      <c r="E418" s="531"/>
      <c r="F418" s="526"/>
      <c r="G418" s="532" t="str">
        <f>IF($E418="",IFERROR(VLOOKUP($D418,SERVIÇOS!$C:$H,2,0),IFERROR(VLOOKUP($D418,$F:$M,2,0),"")),IFERROR(VLOOKUP($E418,INSUMOS!$B:$E,2,0),""))</f>
        <v/>
      </c>
      <c r="H418" s="526" t="str">
        <f>IF($E418="",IFERROR(VLOOKUP($D418,SERVIÇOS!$C:$H,3,0),IFERROR(VLOOKUP($D418,$F:$M,3,0),"")),IFERROR(VLOOKUP($E418,INSUMOS!$B:$E,3,0),""))</f>
        <v/>
      </c>
      <c r="I418" s="527"/>
      <c r="J418" s="528" t="str">
        <f>IF($E418="",IFERROR(VLOOKUP($D418,SERVIÇOS!$C:$H,6,0),IFERROR(VLOOKUP($D418,$F:$M,8,0),"")),IFERROR(VLOOKUP($E418,INSUMOS!$B:$E,4,0),""))</f>
        <v/>
      </c>
      <c r="K418" s="528">
        <f>TRUNC(IF($E418="",IFERROR(VLOOKUP($D418,SERVIÇOS!$C:$H,4,0),IFERROR(VLOOKUP($D418,$F:$M,6,0),)),IFERROR(VLOOKUP($E418,INSUMOS!$B:$E,4,0),))*$I418,2)</f>
        <v>0</v>
      </c>
      <c r="L418" s="528">
        <f>TRUNC(IF($E418="",IFERROR(VLOOKUP($D418,SERVIÇOS!$C:$H,5,0),IFERROR(VLOOKUP($D418,$F:$M,7,0),)),0)*$I418,2)</f>
        <v>0</v>
      </c>
      <c r="M418" s="528">
        <f t="shared" si="13"/>
        <v>0</v>
      </c>
      <c r="N418" s="526"/>
    </row>
    <row r="419" spans="3:14">
      <c r="C419" s="526" t="str">
        <f t="shared" si="12"/>
        <v/>
      </c>
      <c r="D419" s="531"/>
      <c r="E419" s="531"/>
      <c r="F419" s="526"/>
      <c r="G419" s="532" t="str">
        <f>IF($E419="",IFERROR(VLOOKUP($D419,SERVIÇOS!$C:$H,2,0),IFERROR(VLOOKUP($D419,$F:$M,2,0),"")),IFERROR(VLOOKUP($E419,INSUMOS!$B:$E,2,0),""))</f>
        <v/>
      </c>
      <c r="H419" s="526" t="str">
        <f>IF($E419="",IFERROR(VLOOKUP($D419,SERVIÇOS!$C:$H,3,0),IFERROR(VLOOKUP($D419,$F:$M,3,0),"")),IFERROR(VLOOKUP($E419,INSUMOS!$B:$E,3,0),""))</f>
        <v/>
      </c>
      <c r="I419" s="527"/>
      <c r="J419" s="528" t="str">
        <f>IF($E419="",IFERROR(VLOOKUP($D419,SERVIÇOS!$C:$H,6,0),IFERROR(VLOOKUP($D419,$F:$M,8,0),"")),IFERROR(VLOOKUP($E419,INSUMOS!$B:$E,4,0),""))</f>
        <v/>
      </c>
      <c r="K419" s="528">
        <f>TRUNC(IF($E419="",IFERROR(VLOOKUP($D419,SERVIÇOS!$C:$H,4,0),IFERROR(VLOOKUP($D419,$F:$M,6,0),)),IFERROR(VLOOKUP($E419,INSUMOS!$B:$E,4,0),))*$I419,2)</f>
        <v>0</v>
      </c>
      <c r="L419" s="528">
        <f>TRUNC(IF($E419="",IFERROR(VLOOKUP($D419,SERVIÇOS!$C:$H,5,0),IFERROR(VLOOKUP($D419,$F:$M,7,0),)),0)*$I419,2)</f>
        <v>0</v>
      </c>
      <c r="M419" s="528">
        <f t="shared" si="13"/>
        <v>0</v>
      </c>
      <c r="N419" s="526"/>
    </row>
    <row r="420" spans="3:14">
      <c r="C420" s="526" t="str">
        <f t="shared" si="12"/>
        <v/>
      </c>
      <c r="D420" s="531"/>
      <c r="E420" s="531"/>
      <c r="F420" s="526"/>
      <c r="G420" s="532" t="str">
        <f>IF($E420="",IFERROR(VLOOKUP($D420,SERVIÇOS!$C:$H,2,0),IFERROR(VLOOKUP($D420,$F:$M,2,0),"")),IFERROR(VLOOKUP($E420,INSUMOS!$B:$E,2,0),""))</f>
        <v/>
      </c>
      <c r="H420" s="526" t="str">
        <f>IF($E420="",IFERROR(VLOOKUP($D420,SERVIÇOS!$C:$H,3,0),IFERROR(VLOOKUP($D420,$F:$M,3,0),"")),IFERROR(VLOOKUP($E420,INSUMOS!$B:$E,3,0),""))</f>
        <v/>
      </c>
      <c r="I420" s="527"/>
      <c r="J420" s="528" t="str">
        <f>IF($E420="",IFERROR(VLOOKUP($D420,SERVIÇOS!$C:$H,6,0),IFERROR(VLOOKUP($D420,$F:$M,8,0),"")),IFERROR(VLOOKUP($E420,INSUMOS!$B:$E,4,0),""))</f>
        <v/>
      </c>
      <c r="K420" s="528">
        <f>TRUNC(IF($E420="",IFERROR(VLOOKUP($D420,SERVIÇOS!$C:$H,4,0),IFERROR(VLOOKUP($D420,$F:$M,6,0),)),IFERROR(VLOOKUP($E420,INSUMOS!$B:$E,4,0),))*$I420,2)</f>
        <v>0</v>
      </c>
      <c r="L420" s="528">
        <f>TRUNC(IF($E420="",IFERROR(VLOOKUP($D420,SERVIÇOS!$C:$H,5,0),IFERROR(VLOOKUP($D420,$F:$M,7,0),)),0)*$I420,2)</f>
        <v>0</v>
      </c>
      <c r="M420" s="528">
        <f t="shared" si="13"/>
        <v>0</v>
      </c>
      <c r="N420" s="526"/>
    </row>
    <row r="421" spans="3:14">
      <c r="C421" s="526" t="str">
        <f t="shared" si="12"/>
        <v/>
      </c>
      <c r="D421" s="531"/>
      <c r="E421" s="531"/>
      <c r="F421" s="526"/>
      <c r="G421" s="532" t="str">
        <f>IF($E421="",IFERROR(VLOOKUP($D421,SERVIÇOS!$C:$H,2,0),IFERROR(VLOOKUP($D421,$F:$M,2,0),"")),IFERROR(VLOOKUP($E421,INSUMOS!$B:$E,2,0),""))</f>
        <v/>
      </c>
      <c r="H421" s="526" t="str">
        <f>IF($E421="",IFERROR(VLOOKUP($D421,SERVIÇOS!$C:$H,3,0),IFERROR(VLOOKUP($D421,$F:$M,3,0),"")),IFERROR(VLOOKUP($E421,INSUMOS!$B:$E,3,0),""))</f>
        <v/>
      </c>
      <c r="I421" s="527"/>
      <c r="J421" s="528" t="str">
        <f>IF($E421="",IFERROR(VLOOKUP($D421,SERVIÇOS!$C:$H,6,0),IFERROR(VLOOKUP($D421,$F:$M,8,0),"")),IFERROR(VLOOKUP($E421,INSUMOS!$B:$E,4,0),""))</f>
        <v/>
      </c>
      <c r="K421" s="528">
        <f>TRUNC(IF($E421="",IFERROR(VLOOKUP($D421,SERVIÇOS!$C:$H,4,0),IFERROR(VLOOKUP($D421,$F:$M,6,0),)),IFERROR(VLOOKUP($E421,INSUMOS!$B:$E,4,0),))*$I421,2)</f>
        <v>0</v>
      </c>
      <c r="L421" s="528">
        <f>TRUNC(IF($E421="",IFERROR(VLOOKUP($D421,SERVIÇOS!$C:$H,5,0),IFERROR(VLOOKUP($D421,$F:$M,7,0),)),0)*$I421,2)</f>
        <v>0</v>
      </c>
      <c r="M421" s="528">
        <f t="shared" si="13"/>
        <v>0</v>
      </c>
      <c r="N421" s="526"/>
    </row>
    <row r="422" spans="3:14">
      <c r="C422" s="526" t="str">
        <f t="shared" si="12"/>
        <v/>
      </c>
      <c r="D422" s="531"/>
      <c r="E422" s="531"/>
      <c r="F422" s="526"/>
      <c r="G422" s="532" t="str">
        <f>IF($E422="",IFERROR(VLOOKUP($D422,SERVIÇOS!$C:$H,2,0),IFERROR(VLOOKUP($D422,$F:$M,2,0),"")),IFERROR(VLOOKUP($E422,INSUMOS!$B:$E,2,0),""))</f>
        <v/>
      </c>
      <c r="H422" s="526" t="str">
        <f>IF($E422="",IFERROR(VLOOKUP($D422,SERVIÇOS!$C:$H,3,0),IFERROR(VLOOKUP($D422,$F:$M,3,0),"")),IFERROR(VLOOKUP($E422,INSUMOS!$B:$E,3,0),""))</f>
        <v/>
      </c>
      <c r="I422" s="527"/>
      <c r="J422" s="528" t="str">
        <f>IF($E422="",IFERROR(VLOOKUP($D422,SERVIÇOS!$C:$H,6,0),IFERROR(VLOOKUP($D422,$F:$M,8,0),"")),IFERROR(VLOOKUP($E422,INSUMOS!$B:$E,4,0),""))</f>
        <v/>
      </c>
      <c r="K422" s="528">
        <f>TRUNC(IF($E422="",IFERROR(VLOOKUP($D422,SERVIÇOS!$C:$H,4,0),IFERROR(VLOOKUP($D422,$F:$M,6,0),)),IFERROR(VLOOKUP($E422,INSUMOS!$B:$E,4,0),))*$I422,2)</f>
        <v>0</v>
      </c>
      <c r="L422" s="528">
        <f>TRUNC(IF($E422="",IFERROR(VLOOKUP($D422,SERVIÇOS!$C:$H,5,0),IFERROR(VLOOKUP($D422,$F:$M,7,0),)),0)*$I422,2)</f>
        <v>0</v>
      </c>
      <c r="M422" s="528">
        <f t="shared" si="13"/>
        <v>0</v>
      </c>
      <c r="N422" s="526"/>
    </row>
    <row r="423" spans="3:14">
      <c r="C423" s="526" t="str">
        <f t="shared" si="12"/>
        <v/>
      </c>
      <c r="D423" s="531"/>
      <c r="E423" s="531"/>
      <c r="F423" s="526"/>
      <c r="G423" s="532" t="str">
        <f>IF($E423="",IFERROR(VLOOKUP($D423,SERVIÇOS!$C:$H,2,0),IFERROR(VLOOKUP($D423,$F:$M,2,0),"")),IFERROR(VLOOKUP($E423,INSUMOS!$B:$E,2,0),""))</f>
        <v/>
      </c>
      <c r="H423" s="526" t="str">
        <f>IF($E423="",IFERROR(VLOOKUP($D423,SERVIÇOS!$C:$H,3,0),IFERROR(VLOOKUP($D423,$F:$M,3,0),"")),IFERROR(VLOOKUP($E423,INSUMOS!$B:$E,3,0),""))</f>
        <v/>
      </c>
      <c r="I423" s="527"/>
      <c r="J423" s="528" t="str">
        <f>IF($E423="",IFERROR(VLOOKUP($D423,SERVIÇOS!$C:$H,6,0),IFERROR(VLOOKUP($D423,$F:$M,8,0),"")),IFERROR(VLOOKUP($E423,INSUMOS!$B:$E,4,0),""))</f>
        <v/>
      </c>
      <c r="K423" s="528">
        <f>TRUNC(IF($E423="",IFERROR(VLOOKUP($D423,SERVIÇOS!$C:$H,4,0),IFERROR(VLOOKUP($D423,$F:$M,6,0),)),IFERROR(VLOOKUP($E423,INSUMOS!$B:$E,4,0),))*$I423,2)</f>
        <v>0</v>
      </c>
      <c r="L423" s="528">
        <f>TRUNC(IF($E423="",IFERROR(VLOOKUP($D423,SERVIÇOS!$C:$H,5,0),IFERROR(VLOOKUP($D423,$F:$M,7,0),)),0)*$I423,2)</f>
        <v>0</v>
      </c>
      <c r="M423" s="528">
        <f t="shared" si="13"/>
        <v>0</v>
      </c>
      <c r="N423" s="526"/>
    </row>
    <row r="424" spans="3:14">
      <c r="C424" s="526" t="str">
        <f t="shared" si="12"/>
        <v/>
      </c>
      <c r="D424" s="531"/>
      <c r="E424" s="531"/>
      <c r="F424" s="526"/>
      <c r="G424" s="532" t="str">
        <f>IF($E424="",IFERROR(VLOOKUP($D424,SERVIÇOS!$C:$H,2,0),IFERROR(VLOOKUP($D424,$F:$M,2,0),"")),IFERROR(VLOOKUP($E424,INSUMOS!$B:$E,2,0),""))</f>
        <v/>
      </c>
      <c r="H424" s="526" t="str">
        <f>IF($E424="",IFERROR(VLOOKUP($D424,SERVIÇOS!$C:$H,3,0),IFERROR(VLOOKUP($D424,$F:$M,3,0),"")),IFERROR(VLOOKUP($E424,INSUMOS!$B:$E,3,0),""))</f>
        <v/>
      </c>
      <c r="I424" s="527"/>
      <c r="J424" s="528" t="str">
        <f>IF($E424="",IFERROR(VLOOKUP($D424,SERVIÇOS!$C:$H,6,0),IFERROR(VLOOKUP($D424,$F:$M,8,0),"")),IFERROR(VLOOKUP($E424,INSUMOS!$B:$E,4,0),""))</f>
        <v/>
      </c>
      <c r="K424" s="528">
        <f>TRUNC(IF($E424="",IFERROR(VLOOKUP($D424,SERVIÇOS!$C:$H,4,0),IFERROR(VLOOKUP($D424,$F:$M,6,0),)),IFERROR(VLOOKUP($E424,INSUMOS!$B:$E,4,0),))*$I424,2)</f>
        <v>0</v>
      </c>
      <c r="L424" s="528">
        <f>TRUNC(IF($E424="",IFERROR(VLOOKUP($D424,SERVIÇOS!$C:$H,5,0),IFERROR(VLOOKUP($D424,$F:$M,7,0),)),0)*$I424,2)</f>
        <v>0</v>
      </c>
      <c r="M424" s="528">
        <f t="shared" si="13"/>
        <v>0</v>
      </c>
      <c r="N424" s="526"/>
    </row>
    <row r="425" spans="3:14">
      <c r="C425" s="526" t="str">
        <f t="shared" si="12"/>
        <v/>
      </c>
      <c r="D425" s="531"/>
      <c r="E425" s="531"/>
      <c r="F425" s="526"/>
      <c r="G425" s="532" t="str">
        <f>IF($E425="",IFERROR(VLOOKUP($D425,SERVIÇOS!$C:$H,2,0),IFERROR(VLOOKUP($D425,$F:$M,2,0),"")),IFERROR(VLOOKUP($E425,INSUMOS!$B:$E,2,0),""))</f>
        <v/>
      </c>
      <c r="H425" s="526" t="str">
        <f>IF($E425="",IFERROR(VLOOKUP($D425,SERVIÇOS!$C:$H,3,0),IFERROR(VLOOKUP($D425,$F:$M,3,0),"")),IFERROR(VLOOKUP($E425,INSUMOS!$B:$E,3,0),""))</f>
        <v/>
      </c>
      <c r="I425" s="527"/>
      <c r="J425" s="528" t="str">
        <f>IF($E425="",IFERROR(VLOOKUP($D425,SERVIÇOS!$C:$H,6,0),IFERROR(VLOOKUP($D425,$F:$M,8,0),"")),IFERROR(VLOOKUP($E425,INSUMOS!$B:$E,4,0),""))</f>
        <v/>
      </c>
      <c r="K425" s="528">
        <f>TRUNC(IF($E425="",IFERROR(VLOOKUP($D425,SERVIÇOS!$C:$H,4,0),IFERROR(VLOOKUP($D425,$F:$M,6,0),)),IFERROR(VLOOKUP($E425,INSUMOS!$B:$E,4,0),))*$I425,2)</f>
        <v>0</v>
      </c>
      <c r="L425" s="528">
        <f>TRUNC(IF($E425="",IFERROR(VLOOKUP($D425,SERVIÇOS!$C:$H,5,0),IFERROR(VLOOKUP($D425,$F:$M,7,0),)),0)*$I425,2)</f>
        <v>0</v>
      </c>
      <c r="M425" s="528">
        <f t="shared" si="13"/>
        <v>0</v>
      </c>
      <c r="N425" s="526"/>
    </row>
    <row r="426" spans="3:14">
      <c r="C426" s="526" t="str">
        <f t="shared" si="12"/>
        <v/>
      </c>
      <c r="D426" s="531"/>
      <c r="E426" s="531"/>
      <c r="F426" s="526"/>
      <c r="G426" s="532" t="str">
        <f>IF($E426="",IFERROR(VLOOKUP($D426,SERVIÇOS!$C:$H,2,0),IFERROR(VLOOKUP($D426,$F:$M,2,0),"")),IFERROR(VLOOKUP($E426,INSUMOS!$B:$E,2,0),""))</f>
        <v/>
      </c>
      <c r="H426" s="526" t="str">
        <f>IF($E426="",IFERROR(VLOOKUP($D426,SERVIÇOS!$C:$H,3,0),IFERROR(VLOOKUP($D426,$F:$M,3,0),"")),IFERROR(VLOOKUP($E426,INSUMOS!$B:$E,3,0),""))</f>
        <v/>
      </c>
      <c r="I426" s="527"/>
      <c r="J426" s="528" t="str">
        <f>IF($E426="",IFERROR(VLOOKUP($D426,SERVIÇOS!$C:$H,6,0),IFERROR(VLOOKUP($D426,$F:$M,8,0),"")),IFERROR(VLOOKUP($E426,INSUMOS!$B:$E,4,0),""))</f>
        <v/>
      </c>
      <c r="K426" s="528">
        <f>TRUNC(IF($E426="",IFERROR(VLOOKUP($D426,SERVIÇOS!$C:$H,4,0),IFERROR(VLOOKUP($D426,$F:$M,6,0),)),IFERROR(VLOOKUP($E426,INSUMOS!$B:$E,4,0),))*$I426,2)</f>
        <v>0</v>
      </c>
      <c r="L426" s="528">
        <f>TRUNC(IF($E426="",IFERROR(VLOOKUP($D426,SERVIÇOS!$C:$H,5,0),IFERROR(VLOOKUP($D426,$F:$M,7,0),)),0)*$I426,2)</f>
        <v>0</v>
      </c>
      <c r="M426" s="528">
        <f t="shared" si="13"/>
        <v>0</v>
      </c>
      <c r="N426" s="526"/>
    </row>
    <row r="427" spans="3:14">
      <c r="C427" s="526" t="str">
        <f t="shared" si="12"/>
        <v/>
      </c>
      <c r="D427" s="531"/>
      <c r="E427" s="531"/>
      <c r="F427" s="526"/>
      <c r="G427" s="532" t="str">
        <f>IF($E427="",IFERROR(VLOOKUP($D427,SERVIÇOS!$C:$H,2,0),IFERROR(VLOOKUP($D427,$F:$M,2,0),"")),IFERROR(VLOOKUP($E427,INSUMOS!$B:$E,2,0),""))</f>
        <v/>
      </c>
      <c r="H427" s="526" t="str">
        <f>IF($E427="",IFERROR(VLOOKUP($D427,SERVIÇOS!$C:$H,3,0),IFERROR(VLOOKUP($D427,$F:$M,3,0),"")),IFERROR(VLOOKUP($E427,INSUMOS!$B:$E,3,0),""))</f>
        <v/>
      </c>
      <c r="I427" s="527"/>
      <c r="J427" s="528" t="str">
        <f>IF($E427="",IFERROR(VLOOKUP($D427,SERVIÇOS!$C:$H,6,0),IFERROR(VLOOKUP($D427,$F:$M,8,0),"")),IFERROR(VLOOKUP($E427,INSUMOS!$B:$E,4,0),""))</f>
        <v/>
      </c>
      <c r="K427" s="528">
        <f>TRUNC(IF($E427="",IFERROR(VLOOKUP($D427,SERVIÇOS!$C:$H,4,0),IFERROR(VLOOKUP($D427,$F:$M,6,0),)),IFERROR(VLOOKUP($E427,INSUMOS!$B:$E,4,0),))*$I427,2)</f>
        <v>0</v>
      </c>
      <c r="L427" s="528">
        <f>TRUNC(IF($E427="",IFERROR(VLOOKUP($D427,SERVIÇOS!$C:$H,5,0),IFERROR(VLOOKUP($D427,$F:$M,7,0),)),0)*$I427,2)</f>
        <v>0</v>
      </c>
      <c r="M427" s="528">
        <f t="shared" si="13"/>
        <v>0</v>
      </c>
      <c r="N427" s="526"/>
    </row>
    <row r="428" spans="3:14">
      <c r="C428" s="526" t="str">
        <f t="shared" si="12"/>
        <v/>
      </c>
      <c r="D428" s="531"/>
      <c r="E428" s="531"/>
      <c r="F428" s="526"/>
      <c r="G428" s="532" t="str">
        <f>IF($E428="",IFERROR(VLOOKUP($D428,SERVIÇOS!$C:$H,2,0),IFERROR(VLOOKUP($D428,$F:$M,2,0),"")),IFERROR(VLOOKUP($E428,INSUMOS!$B:$E,2,0),""))</f>
        <v/>
      </c>
      <c r="H428" s="526" t="str">
        <f>IF($E428="",IFERROR(VLOOKUP($D428,SERVIÇOS!$C:$H,3,0),IFERROR(VLOOKUP($D428,$F:$M,3,0),"")),IFERROR(VLOOKUP($E428,INSUMOS!$B:$E,3,0),""))</f>
        <v/>
      </c>
      <c r="I428" s="527"/>
      <c r="J428" s="528" t="str">
        <f>IF($E428="",IFERROR(VLOOKUP($D428,SERVIÇOS!$C:$H,6,0),IFERROR(VLOOKUP($D428,$F:$M,8,0),"")),IFERROR(VLOOKUP($E428,INSUMOS!$B:$E,4,0),""))</f>
        <v/>
      </c>
      <c r="K428" s="528">
        <f>TRUNC(IF($E428="",IFERROR(VLOOKUP($D428,SERVIÇOS!$C:$H,4,0),IFERROR(VLOOKUP($D428,$F:$M,6,0),)),IFERROR(VLOOKUP($E428,INSUMOS!$B:$E,4,0),))*$I428,2)</f>
        <v>0</v>
      </c>
      <c r="L428" s="528">
        <f>TRUNC(IF($E428="",IFERROR(VLOOKUP($D428,SERVIÇOS!$C:$H,5,0),IFERROR(VLOOKUP($D428,$F:$M,7,0),)),0)*$I428,2)</f>
        <v>0</v>
      </c>
      <c r="M428" s="528">
        <f t="shared" si="13"/>
        <v>0</v>
      </c>
      <c r="N428" s="526"/>
    </row>
    <row r="429" spans="3:14">
      <c r="C429" s="526" t="str">
        <f t="shared" si="12"/>
        <v/>
      </c>
      <c r="D429" s="531"/>
      <c r="E429" s="531"/>
      <c r="F429" s="526"/>
      <c r="G429" s="532" t="str">
        <f>IF($E429="",IFERROR(VLOOKUP($D429,SERVIÇOS!$C:$H,2,0),IFERROR(VLOOKUP($D429,$F:$M,2,0),"")),IFERROR(VLOOKUP($E429,INSUMOS!$B:$E,2,0),""))</f>
        <v/>
      </c>
      <c r="H429" s="526" t="str">
        <f>IF($E429="",IFERROR(VLOOKUP($D429,SERVIÇOS!$C:$H,3,0),IFERROR(VLOOKUP($D429,$F:$M,3,0),"")),IFERROR(VLOOKUP($E429,INSUMOS!$B:$E,3,0),""))</f>
        <v/>
      </c>
      <c r="I429" s="527"/>
      <c r="J429" s="528" t="str">
        <f>IF($E429="",IFERROR(VLOOKUP($D429,SERVIÇOS!$C:$H,6,0),IFERROR(VLOOKUP($D429,$F:$M,8,0),"")),IFERROR(VLOOKUP($E429,INSUMOS!$B:$E,4,0),""))</f>
        <v/>
      </c>
      <c r="K429" s="528">
        <f>TRUNC(IF($E429="",IFERROR(VLOOKUP($D429,SERVIÇOS!$C:$H,4,0),IFERROR(VLOOKUP($D429,$F:$M,6,0),)),IFERROR(VLOOKUP($E429,INSUMOS!$B:$E,4,0),))*$I429,2)</f>
        <v>0</v>
      </c>
      <c r="L429" s="528">
        <f>TRUNC(IF($E429="",IFERROR(VLOOKUP($D429,SERVIÇOS!$C:$H,5,0),IFERROR(VLOOKUP($D429,$F:$M,7,0),)),0)*$I429,2)</f>
        <v>0</v>
      </c>
      <c r="M429" s="528">
        <f t="shared" si="13"/>
        <v>0</v>
      </c>
      <c r="N429" s="526"/>
    </row>
    <row r="430" spans="3:14">
      <c r="C430" s="526" t="str">
        <f t="shared" si="12"/>
        <v/>
      </c>
      <c r="D430" s="531"/>
      <c r="E430" s="531"/>
      <c r="F430" s="526"/>
      <c r="G430" s="532" t="str">
        <f>IF($E430="",IFERROR(VLOOKUP($D430,SERVIÇOS!$C:$H,2,0),IFERROR(VLOOKUP($D430,$F:$M,2,0),"")),IFERROR(VLOOKUP($E430,INSUMOS!$B:$E,2,0),""))</f>
        <v/>
      </c>
      <c r="H430" s="526" t="str">
        <f>IF($E430="",IFERROR(VLOOKUP($D430,SERVIÇOS!$C:$H,3,0),IFERROR(VLOOKUP($D430,$F:$M,3,0),"")),IFERROR(VLOOKUP($E430,INSUMOS!$B:$E,3,0),""))</f>
        <v/>
      </c>
      <c r="I430" s="527"/>
      <c r="J430" s="528" t="str">
        <f>IF($E430="",IFERROR(VLOOKUP($D430,SERVIÇOS!$C:$H,6,0),IFERROR(VLOOKUP($D430,$F:$M,8,0),"")),IFERROR(VLOOKUP($E430,INSUMOS!$B:$E,4,0),""))</f>
        <v/>
      </c>
      <c r="K430" s="528">
        <f>TRUNC(IF($E430="",IFERROR(VLOOKUP($D430,SERVIÇOS!$C:$H,4,0),IFERROR(VLOOKUP($D430,$F:$M,6,0),)),IFERROR(VLOOKUP($E430,INSUMOS!$B:$E,4,0),))*$I430,2)</f>
        <v>0</v>
      </c>
      <c r="L430" s="528">
        <f>TRUNC(IF($E430="",IFERROR(VLOOKUP($D430,SERVIÇOS!$C:$H,5,0),IFERROR(VLOOKUP($D430,$F:$M,7,0),)),0)*$I430,2)</f>
        <v>0</v>
      </c>
      <c r="M430" s="528">
        <f t="shared" si="13"/>
        <v>0</v>
      </c>
      <c r="N430" s="526"/>
    </row>
    <row r="431" spans="3:14">
      <c r="C431" s="526" t="str">
        <f t="shared" si="12"/>
        <v/>
      </c>
      <c r="D431" s="531"/>
      <c r="E431" s="531"/>
      <c r="F431" s="526"/>
      <c r="G431" s="532" t="str">
        <f>IF($E431="",IFERROR(VLOOKUP($D431,SERVIÇOS!$C:$H,2,0),IFERROR(VLOOKUP($D431,$F:$M,2,0),"")),IFERROR(VLOOKUP($E431,INSUMOS!$B:$E,2,0),""))</f>
        <v/>
      </c>
      <c r="H431" s="526" t="str">
        <f>IF($E431="",IFERROR(VLOOKUP($D431,SERVIÇOS!$C:$H,3,0),IFERROR(VLOOKUP($D431,$F:$M,3,0),"")),IFERROR(VLOOKUP($E431,INSUMOS!$B:$E,3,0),""))</f>
        <v/>
      </c>
      <c r="I431" s="527"/>
      <c r="J431" s="528" t="str">
        <f>IF($E431="",IFERROR(VLOOKUP($D431,SERVIÇOS!$C:$H,6,0),IFERROR(VLOOKUP($D431,$F:$M,8,0),"")),IFERROR(VLOOKUP($E431,INSUMOS!$B:$E,4,0),""))</f>
        <v/>
      </c>
      <c r="K431" s="528">
        <f>TRUNC(IF($E431="",IFERROR(VLOOKUP($D431,SERVIÇOS!$C:$H,4,0),IFERROR(VLOOKUP($D431,$F:$M,6,0),)),IFERROR(VLOOKUP($E431,INSUMOS!$B:$E,4,0),))*$I431,2)</f>
        <v>0</v>
      </c>
      <c r="L431" s="528">
        <f>TRUNC(IF($E431="",IFERROR(VLOOKUP($D431,SERVIÇOS!$C:$H,5,0),IFERROR(VLOOKUP($D431,$F:$M,7,0),)),0)*$I431,2)</f>
        <v>0</v>
      </c>
      <c r="M431" s="528">
        <f t="shared" si="13"/>
        <v>0</v>
      </c>
      <c r="N431" s="526"/>
    </row>
    <row r="432" spans="3:14">
      <c r="C432" s="526" t="str">
        <f t="shared" si="12"/>
        <v/>
      </c>
      <c r="D432" s="531"/>
      <c r="E432" s="531"/>
      <c r="F432" s="526"/>
      <c r="G432" s="532" t="str">
        <f>IF($E432="",IFERROR(VLOOKUP($D432,SERVIÇOS!$C:$H,2,0),IFERROR(VLOOKUP($D432,$F:$M,2,0),"")),IFERROR(VLOOKUP($E432,INSUMOS!$B:$E,2,0),""))</f>
        <v/>
      </c>
      <c r="H432" s="526" t="str">
        <f>IF($E432="",IFERROR(VLOOKUP($D432,SERVIÇOS!$C:$H,3,0),IFERROR(VLOOKUP($D432,$F:$M,3,0),"")),IFERROR(VLOOKUP($E432,INSUMOS!$B:$E,3,0),""))</f>
        <v/>
      </c>
      <c r="I432" s="527"/>
      <c r="J432" s="528" t="str">
        <f>IF($E432="",IFERROR(VLOOKUP($D432,SERVIÇOS!$C:$H,6,0),IFERROR(VLOOKUP($D432,$F:$M,8,0),"")),IFERROR(VLOOKUP($E432,INSUMOS!$B:$E,4,0),""))</f>
        <v/>
      </c>
      <c r="K432" s="528">
        <f>TRUNC(IF($E432="",IFERROR(VLOOKUP($D432,SERVIÇOS!$C:$H,4,0),IFERROR(VLOOKUP($D432,$F:$M,6,0),)),IFERROR(VLOOKUP($E432,INSUMOS!$B:$E,4,0),))*$I432,2)</f>
        <v>0</v>
      </c>
      <c r="L432" s="528">
        <f>TRUNC(IF($E432="",IFERROR(VLOOKUP($D432,SERVIÇOS!$C:$H,5,0),IFERROR(VLOOKUP($D432,$F:$M,7,0),)),0)*$I432,2)</f>
        <v>0</v>
      </c>
      <c r="M432" s="528">
        <f t="shared" si="13"/>
        <v>0</v>
      </c>
      <c r="N432" s="526"/>
    </row>
    <row r="433" spans="3:14">
      <c r="C433" s="526" t="str">
        <f t="shared" si="12"/>
        <v/>
      </c>
      <c r="D433" s="531"/>
      <c r="E433" s="531"/>
      <c r="F433" s="526"/>
      <c r="G433" s="532" t="str">
        <f>IF($E433="",IFERROR(VLOOKUP($D433,SERVIÇOS!$C:$H,2,0),IFERROR(VLOOKUP($D433,$F:$M,2,0),"")),IFERROR(VLOOKUP($E433,INSUMOS!$B:$E,2,0),""))</f>
        <v/>
      </c>
      <c r="H433" s="526" t="str">
        <f>IF($E433="",IFERROR(VLOOKUP($D433,SERVIÇOS!$C:$H,3,0),IFERROR(VLOOKUP($D433,$F:$M,3,0),"")),IFERROR(VLOOKUP($E433,INSUMOS!$B:$E,3,0),""))</f>
        <v/>
      </c>
      <c r="I433" s="527"/>
      <c r="J433" s="528" t="str">
        <f>IF($E433="",IFERROR(VLOOKUP($D433,SERVIÇOS!$C:$H,6,0),IFERROR(VLOOKUP($D433,$F:$M,8,0),"")),IFERROR(VLOOKUP($E433,INSUMOS!$B:$E,4,0),""))</f>
        <v/>
      </c>
      <c r="K433" s="528">
        <f>TRUNC(IF($E433="",IFERROR(VLOOKUP($D433,SERVIÇOS!$C:$H,4,0),IFERROR(VLOOKUP($D433,$F:$M,6,0),)),IFERROR(VLOOKUP($E433,INSUMOS!$B:$E,4,0),))*$I433,2)</f>
        <v>0</v>
      </c>
      <c r="L433" s="528">
        <f>TRUNC(IF($E433="",IFERROR(VLOOKUP($D433,SERVIÇOS!$C:$H,5,0),IFERROR(VLOOKUP($D433,$F:$M,7,0),)),0)*$I433,2)</f>
        <v>0</v>
      </c>
      <c r="M433" s="528">
        <f t="shared" si="13"/>
        <v>0</v>
      </c>
      <c r="N433" s="526"/>
    </row>
    <row r="434" spans="3:14">
      <c r="C434" s="526" t="str">
        <f t="shared" si="12"/>
        <v/>
      </c>
      <c r="D434" s="531"/>
      <c r="E434" s="531"/>
      <c r="F434" s="526"/>
      <c r="G434" s="532" t="str">
        <f>IF($E434="",IFERROR(VLOOKUP($D434,SERVIÇOS!$C:$H,2,0),IFERROR(VLOOKUP($D434,$F:$M,2,0),"")),IFERROR(VLOOKUP($E434,INSUMOS!$B:$E,2,0),""))</f>
        <v/>
      </c>
      <c r="H434" s="526" t="str">
        <f>IF($E434="",IFERROR(VLOOKUP($D434,SERVIÇOS!$C:$H,3,0),IFERROR(VLOOKUP($D434,$F:$M,3,0),"")),IFERROR(VLOOKUP($E434,INSUMOS!$B:$E,3,0),""))</f>
        <v/>
      </c>
      <c r="I434" s="527"/>
      <c r="J434" s="528" t="str">
        <f>IF($E434="",IFERROR(VLOOKUP($D434,SERVIÇOS!$C:$H,6,0),IFERROR(VLOOKUP($D434,$F:$M,8,0),"")),IFERROR(VLOOKUP($E434,INSUMOS!$B:$E,4,0),""))</f>
        <v/>
      </c>
      <c r="K434" s="528">
        <f>TRUNC(IF($E434="",IFERROR(VLOOKUP($D434,SERVIÇOS!$C:$H,4,0),IFERROR(VLOOKUP($D434,$F:$M,6,0),)),IFERROR(VLOOKUP($E434,INSUMOS!$B:$E,4,0),))*$I434,2)</f>
        <v>0</v>
      </c>
      <c r="L434" s="528">
        <f>TRUNC(IF($E434="",IFERROR(VLOOKUP($D434,SERVIÇOS!$C:$H,5,0),IFERROR(VLOOKUP($D434,$F:$M,7,0),)),0)*$I434,2)</f>
        <v>0</v>
      </c>
      <c r="M434" s="528">
        <f t="shared" si="13"/>
        <v>0</v>
      </c>
      <c r="N434" s="526"/>
    </row>
    <row r="435" spans="3:14">
      <c r="C435" s="526" t="str">
        <f t="shared" si="12"/>
        <v/>
      </c>
      <c r="D435" s="531"/>
      <c r="E435" s="531"/>
      <c r="F435" s="526"/>
      <c r="G435" s="532" t="str">
        <f>IF($E435="",IFERROR(VLOOKUP($D435,SERVIÇOS!$C:$H,2,0),IFERROR(VLOOKUP($D435,$F:$M,2,0),"")),IFERROR(VLOOKUP($E435,INSUMOS!$B:$E,2,0),""))</f>
        <v/>
      </c>
      <c r="H435" s="526" t="str">
        <f>IF($E435="",IFERROR(VLOOKUP($D435,SERVIÇOS!$C:$H,3,0),IFERROR(VLOOKUP($D435,$F:$M,3,0),"")),IFERROR(VLOOKUP($E435,INSUMOS!$B:$E,3,0),""))</f>
        <v/>
      </c>
      <c r="I435" s="527"/>
      <c r="J435" s="528" t="str">
        <f>IF($E435="",IFERROR(VLOOKUP($D435,SERVIÇOS!$C:$H,6,0),IFERROR(VLOOKUP($D435,$F:$M,8,0),"")),IFERROR(VLOOKUP($E435,INSUMOS!$B:$E,4,0),""))</f>
        <v/>
      </c>
      <c r="K435" s="528">
        <f>TRUNC(IF($E435="",IFERROR(VLOOKUP($D435,SERVIÇOS!$C:$H,4,0),IFERROR(VLOOKUP($D435,$F:$M,6,0),)),IFERROR(VLOOKUP($E435,INSUMOS!$B:$E,4,0),))*$I435,2)</f>
        <v>0</v>
      </c>
      <c r="L435" s="528">
        <f>TRUNC(IF($E435="",IFERROR(VLOOKUP($D435,SERVIÇOS!$C:$H,5,0),IFERROR(VLOOKUP($D435,$F:$M,7,0),)),0)*$I435,2)</f>
        <v>0</v>
      </c>
      <c r="M435" s="528">
        <f t="shared" si="13"/>
        <v>0</v>
      </c>
      <c r="N435" s="526"/>
    </row>
    <row r="436" spans="3:14">
      <c r="C436" s="526" t="str">
        <f t="shared" si="12"/>
        <v/>
      </c>
      <c r="D436" s="531"/>
      <c r="E436" s="531"/>
      <c r="F436" s="526"/>
      <c r="G436" s="532" t="str">
        <f>IF($E436="",IFERROR(VLOOKUP($D436,SERVIÇOS!$C:$H,2,0),IFERROR(VLOOKUP($D436,$F:$M,2,0),"")),IFERROR(VLOOKUP($E436,INSUMOS!$B:$E,2,0),""))</f>
        <v/>
      </c>
      <c r="H436" s="526" t="str">
        <f>IF($E436="",IFERROR(VLOOKUP($D436,SERVIÇOS!$C:$H,3,0),IFERROR(VLOOKUP($D436,$F:$M,3,0),"")),IFERROR(VLOOKUP($E436,INSUMOS!$B:$E,3,0),""))</f>
        <v/>
      </c>
      <c r="I436" s="527"/>
      <c r="J436" s="528" t="str">
        <f>IF($E436="",IFERROR(VLOOKUP($D436,SERVIÇOS!$C:$H,6,0),IFERROR(VLOOKUP($D436,$F:$M,8,0),"")),IFERROR(VLOOKUP($E436,INSUMOS!$B:$E,4,0),""))</f>
        <v/>
      </c>
      <c r="K436" s="528">
        <f>TRUNC(IF($E436="",IFERROR(VLOOKUP($D436,SERVIÇOS!$C:$H,4,0),IFERROR(VLOOKUP($D436,$F:$M,6,0),)),IFERROR(VLOOKUP($E436,INSUMOS!$B:$E,4,0),))*$I436,2)</f>
        <v>0</v>
      </c>
      <c r="L436" s="528">
        <f>TRUNC(IF($E436="",IFERROR(VLOOKUP($D436,SERVIÇOS!$C:$H,5,0),IFERROR(VLOOKUP($D436,$F:$M,7,0),)),0)*$I436,2)</f>
        <v>0</v>
      </c>
      <c r="M436" s="528">
        <f t="shared" si="13"/>
        <v>0</v>
      </c>
      <c r="N436" s="526"/>
    </row>
    <row r="437" spans="3:14">
      <c r="C437" s="526" t="str">
        <f t="shared" si="12"/>
        <v/>
      </c>
      <c r="D437" s="531"/>
      <c r="E437" s="531"/>
      <c r="F437" s="526"/>
      <c r="G437" s="532" t="str">
        <f>IF($E437="",IFERROR(VLOOKUP($D437,SERVIÇOS!$C:$H,2,0),IFERROR(VLOOKUP($D437,$F:$M,2,0),"")),IFERROR(VLOOKUP($E437,INSUMOS!$B:$E,2,0),""))</f>
        <v/>
      </c>
      <c r="H437" s="526" t="str">
        <f>IF($E437="",IFERROR(VLOOKUP($D437,SERVIÇOS!$C:$H,3,0),IFERROR(VLOOKUP($D437,$F:$M,3,0),"")),IFERROR(VLOOKUP($E437,INSUMOS!$B:$E,3,0),""))</f>
        <v/>
      </c>
      <c r="I437" s="527"/>
      <c r="J437" s="528" t="str">
        <f>IF($E437="",IFERROR(VLOOKUP($D437,SERVIÇOS!$C:$H,6,0),IFERROR(VLOOKUP($D437,$F:$M,8,0),"")),IFERROR(VLOOKUP($E437,INSUMOS!$B:$E,4,0),""))</f>
        <v/>
      </c>
      <c r="K437" s="528">
        <f>TRUNC(IF($E437="",IFERROR(VLOOKUP($D437,SERVIÇOS!$C:$H,4,0),IFERROR(VLOOKUP($D437,$F:$M,6,0),)),IFERROR(VLOOKUP($E437,INSUMOS!$B:$E,4,0),))*$I437,2)</f>
        <v>0</v>
      </c>
      <c r="L437" s="528">
        <f>TRUNC(IF($E437="",IFERROR(VLOOKUP($D437,SERVIÇOS!$C:$H,5,0),IFERROR(VLOOKUP($D437,$F:$M,7,0),)),0)*$I437,2)</f>
        <v>0</v>
      </c>
      <c r="M437" s="528">
        <f t="shared" si="13"/>
        <v>0</v>
      </c>
      <c r="N437" s="526"/>
    </row>
    <row r="438" spans="3:14">
      <c r="C438" s="526" t="str">
        <f t="shared" si="12"/>
        <v/>
      </c>
      <c r="D438" s="531"/>
      <c r="E438" s="531"/>
      <c r="F438" s="526"/>
      <c r="G438" s="532" t="str">
        <f>IF($E438="",IFERROR(VLOOKUP($D438,SERVIÇOS!$C:$H,2,0),IFERROR(VLOOKUP($D438,$F:$M,2,0),"")),IFERROR(VLOOKUP($E438,INSUMOS!$B:$E,2,0),""))</f>
        <v/>
      </c>
      <c r="H438" s="526" t="str">
        <f>IF($E438="",IFERROR(VLOOKUP($D438,SERVIÇOS!$C:$H,3,0),IFERROR(VLOOKUP($D438,$F:$M,3,0),"")),IFERROR(VLOOKUP($E438,INSUMOS!$B:$E,3,0),""))</f>
        <v/>
      </c>
      <c r="I438" s="527"/>
      <c r="J438" s="528" t="str">
        <f>IF($E438="",IFERROR(VLOOKUP($D438,SERVIÇOS!$C:$H,6,0),IFERROR(VLOOKUP($D438,$F:$M,8,0),"")),IFERROR(VLOOKUP($E438,INSUMOS!$B:$E,4,0),""))</f>
        <v/>
      </c>
      <c r="K438" s="528">
        <f>TRUNC(IF($E438="",IFERROR(VLOOKUP($D438,SERVIÇOS!$C:$H,4,0),IFERROR(VLOOKUP($D438,$F:$M,6,0),)),IFERROR(VLOOKUP($E438,INSUMOS!$B:$E,4,0),))*$I438,2)</f>
        <v>0</v>
      </c>
      <c r="L438" s="528">
        <f>TRUNC(IF($E438="",IFERROR(VLOOKUP($D438,SERVIÇOS!$C:$H,5,0),IFERROR(VLOOKUP($D438,$F:$M,7,0),)),0)*$I438,2)</f>
        <v>0</v>
      </c>
      <c r="M438" s="528">
        <f t="shared" si="13"/>
        <v>0</v>
      </c>
      <c r="N438" s="526"/>
    </row>
    <row r="439" spans="3:14">
      <c r="C439" s="526" t="str">
        <f t="shared" si="12"/>
        <v/>
      </c>
      <c r="D439" s="531"/>
      <c r="E439" s="531"/>
      <c r="F439" s="526"/>
      <c r="G439" s="532" t="str">
        <f>IF($E439="",IFERROR(VLOOKUP($D439,SERVIÇOS!$C:$H,2,0),IFERROR(VLOOKUP($D439,$F:$M,2,0),"")),IFERROR(VLOOKUP($E439,INSUMOS!$B:$E,2,0),""))</f>
        <v/>
      </c>
      <c r="H439" s="526" t="str">
        <f>IF($E439="",IFERROR(VLOOKUP($D439,SERVIÇOS!$C:$H,3,0),IFERROR(VLOOKUP($D439,$F:$M,3,0),"")),IFERROR(VLOOKUP($E439,INSUMOS!$B:$E,3,0),""))</f>
        <v/>
      </c>
      <c r="I439" s="527"/>
      <c r="J439" s="528" t="str">
        <f>IF($E439="",IFERROR(VLOOKUP($D439,SERVIÇOS!$C:$H,6,0),IFERROR(VLOOKUP($D439,$F:$M,8,0),"")),IFERROR(VLOOKUP($E439,INSUMOS!$B:$E,4,0),""))</f>
        <v/>
      </c>
      <c r="K439" s="528">
        <f>TRUNC(IF($E439="",IFERROR(VLOOKUP($D439,SERVIÇOS!$C:$H,4,0),IFERROR(VLOOKUP($D439,$F:$M,6,0),)),IFERROR(VLOOKUP($E439,INSUMOS!$B:$E,4,0),))*$I439,2)</f>
        <v>0</v>
      </c>
      <c r="L439" s="528">
        <f>TRUNC(IF($E439="",IFERROR(VLOOKUP($D439,SERVIÇOS!$C:$H,5,0),IFERROR(VLOOKUP($D439,$F:$M,7,0),)),0)*$I439,2)</f>
        <v>0</v>
      </c>
      <c r="M439" s="528">
        <f t="shared" si="13"/>
        <v>0</v>
      </c>
      <c r="N439" s="526"/>
    </row>
    <row r="440" spans="3:14">
      <c r="C440" s="526" t="str">
        <f t="shared" si="12"/>
        <v/>
      </c>
      <c r="D440" s="531"/>
      <c r="E440" s="531"/>
      <c r="F440" s="526"/>
      <c r="G440" s="532" t="str">
        <f>IF($E440="",IFERROR(VLOOKUP($D440,SERVIÇOS!$C:$H,2,0),IFERROR(VLOOKUP($D440,$F:$M,2,0),"")),IFERROR(VLOOKUP($E440,INSUMOS!$B:$E,2,0),""))</f>
        <v/>
      </c>
      <c r="H440" s="526" t="str">
        <f>IF($E440="",IFERROR(VLOOKUP($D440,SERVIÇOS!$C:$H,3,0),IFERROR(VLOOKUP($D440,$F:$M,3,0),"")),IFERROR(VLOOKUP($E440,INSUMOS!$B:$E,3,0),""))</f>
        <v/>
      </c>
      <c r="I440" s="527"/>
      <c r="J440" s="528" t="str">
        <f>IF($E440="",IFERROR(VLOOKUP($D440,SERVIÇOS!$C:$H,6,0),IFERROR(VLOOKUP($D440,$F:$M,8,0),"")),IFERROR(VLOOKUP($E440,INSUMOS!$B:$E,4,0),""))</f>
        <v/>
      </c>
      <c r="K440" s="528">
        <f>TRUNC(IF($E440="",IFERROR(VLOOKUP($D440,SERVIÇOS!$C:$H,4,0),IFERROR(VLOOKUP($D440,$F:$M,6,0),)),IFERROR(VLOOKUP($E440,INSUMOS!$B:$E,4,0),))*$I440,2)</f>
        <v>0</v>
      </c>
      <c r="L440" s="528">
        <f>TRUNC(IF($E440="",IFERROR(VLOOKUP($D440,SERVIÇOS!$C:$H,5,0),IFERROR(VLOOKUP($D440,$F:$M,7,0),)),0)*$I440,2)</f>
        <v>0</v>
      </c>
      <c r="M440" s="528">
        <f t="shared" si="13"/>
        <v>0</v>
      </c>
      <c r="N440" s="526"/>
    </row>
    <row r="441" spans="3:14">
      <c r="C441" s="526" t="str">
        <f t="shared" si="12"/>
        <v/>
      </c>
      <c r="D441" s="531"/>
      <c r="E441" s="531"/>
      <c r="F441" s="526"/>
      <c r="G441" s="532" t="str">
        <f>IF($E441="",IFERROR(VLOOKUP($D441,SERVIÇOS!$C:$H,2,0),IFERROR(VLOOKUP($D441,$F:$M,2,0),"")),IFERROR(VLOOKUP($E441,INSUMOS!$B:$E,2,0),""))</f>
        <v/>
      </c>
      <c r="H441" s="526" t="str">
        <f>IF($E441="",IFERROR(VLOOKUP($D441,SERVIÇOS!$C:$H,3,0),IFERROR(VLOOKUP($D441,$F:$M,3,0),"")),IFERROR(VLOOKUP($E441,INSUMOS!$B:$E,3,0),""))</f>
        <v/>
      </c>
      <c r="I441" s="527"/>
      <c r="J441" s="528" t="str">
        <f>IF($E441="",IFERROR(VLOOKUP($D441,SERVIÇOS!$C:$H,6,0),IFERROR(VLOOKUP($D441,$F:$M,8,0),"")),IFERROR(VLOOKUP($E441,INSUMOS!$B:$E,4,0),""))</f>
        <v/>
      </c>
      <c r="K441" s="528">
        <f>TRUNC(IF($E441="",IFERROR(VLOOKUP($D441,SERVIÇOS!$C:$H,4,0),IFERROR(VLOOKUP($D441,$F:$M,6,0),)),IFERROR(VLOOKUP($E441,INSUMOS!$B:$E,4,0),))*$I441,2)</f>
        <v>0</v>
      </c>
      <c r="L441" s="528">
        <f>TRUNC(IF($E441="",IFERROR(VLOOKUP($D441,SERVIÇOS!$C:$H,5,0),IFERROR(VLOOKUP($D441,$F:$M,7,0),)),0)*$I441,2)</f>
        <v>0</v>
      </c>
      <c r="M441" s="528">
        <f t="shared" si="13"/>
        <v>0</v>
      </c>
      <c r="N441" s="526"/>
    </row>
    <row r="442" spans="3:14">
      <c r="C442" s="526" t="str">
        <f t="shared" si="12"/>
        <v/>
      </c>
      <c r="D442" s="531"/>
      <c r="E442" s="531"/>
      <c r="F442" s="526"/>
      <c r="G442" s="532" t="str">
        <f>IF($E442="",IFERROR(VLOOKUP($D442,SERVIÇOS!$C:$H,2,0),IFERROR(VLOOKUP($D442,$F:$M,2,0),"")),IFERROR(VLOOKUP($E442,INSUMOS!$B:$E,2,0),""))</f>
        <v/>
      </c>
      <c r="H442" s="526" t="str">
        <f>IF($E442="",IFERROR(VLOOKUP($D442,SERVIÇOS!$C:$H,3,0),IFERROR(VLOOKUP($D442,$F:$M,3,0),"")),IFERROR(VLOOKUP($E442,INSUMOS!$B:$E,3,0),""))</f>
        <v/>
      </c>
      <c r="I442" s="527"/>
      <c r="J442" s="528" t="str">
        <f>IF($E442="",IFERROR(VLOOKUP($D442,SERVIÇOS!$C:$H,6,0),IFERROR(VLOOKUP($D442,$F:$M,8,0),"")),IFERROR(VLOOKUP($E442,INSUMOS!$B:$E,4,0),""))</f>
        <v/>
      </c>
      <c r="K442" s="528">
        <f>TRUNC(IF($E442="",IFERROR(VLOOKUP($D442,SERVIÇOS!$C:$H,4,0),IFERROR(VLOOKUP($D442,$F:$M,6,0),)),IFERROR(VLOOKUP($E442,INSUMOS!$B:$E,4,0),))*$I442,2)</f>
        <v>0</v>
      </c>
      <c r="L442" s="528">
        <f>TRUNC(IF($E442="",IFERROR(VLOOKUP($D442,SERVIÇOS!$C:$H,5,0),IFERROR(VLOOKUP($D442,$F:$M,7,0),)),0)*$I442,2)</f>
        <v>0</v>
      </c>
      <c r="M442" s="528">
        <f t="shared" si="13"/>
        <v>0</v>
      </c>
      <c r="N442" s="526"/>
    </row>
    <row r="443" spans="3:14">
      <c r="C443" s="526" t="str">
        <f t="shared" si="12"/>
        <v/>
      </c>
      <c r="D443" s="531"/>
      <c r="E443" s="531"/>
      <c r="F443" s="526"/>
      <c r="G443" s="532" t="str">
        <f>IF($E443="",IFERROR(VLOOKUP($D443,SERVIÇOS!$C:$H,2,0),IFERROR(VLOOKUP($D443,$F:$M,2,0),"")),IFERROR(VLOOKUP($E443,INSUMOS!$B:$E,2,0),""))</f>
        <v/>
      </c>
      <c r="H443" s="526" t="str">
        <f>IF($E443="",IFERROR(VLOOKUP($D443,SERVIÇOS!$C:$H,3,0),IFERROR(VLOOKUP($D443,$F:$M,3,0),"")),IFERROR(VLOOKUP($E443,INSUMOS!$B:$E,3,0),""))</f>
        <v/>
      </c>
      <c r="I443" s="527"/>
      <c r="J443" s="528" t="str">
        <f>IF($E443="",IFERROR(VLOOKUP($D443,SERVIÇOS!$C:$H,6,0),IFERROR(VLOOKUP($D443,$F:$M,8,0),"")),IFERROR(VLOOKUP($E443,INSUMOS!$B:$E,4,0),""))</f>
        <v/>
      </c>
      <c r="K443" s="528">
        <f>TRUNC(IF($E443="",IFERROR(VLOOKUP($D443,SERVIÇOS!$C:$H,4,0),IFERROR(VLOOKUP($D443,$F:$M,6,0),)),IFERROR(VLOOKUP($E443,INSUMOS!$B:$E,4,0),))*$I443,2)</f>
        <v>0</v>
      </c>
      <c r="L443" s="528">
        <f>TRUNC(IF($E443="",IFERROR(VLOOKUP($D443,SERVIÇOS!$C:$H,5,0),IFERROR(VLOOKUP($D443,$F:$M,7,0),)),0)*$I443,2)</f>
        <v>0</v>
      </c>
      <c r="M443" s="528">
        <f t="shared" si="13"/>
        <v>0</v>
      </c>
      <c r="N443" s="526"/>
    </row>
    <row r="444" spans="3:14">
      <c r="C444" s="526" t="str">
        <f t="shared" si="12"/>
        <v/>
      </c>
      <c r="D444" s="531"/>
      <c r="E444" s="531"/>
      <c r="F444" s="526"/>
      <c r="G444" s="532" t="str">
        <f>IF($E444="",IFERROR(VLOOKUP($D444,SERVIÇOS!$C:$H,2,0),IFERROR(VLOOKUP($D444,$F:$M,2,0),"")),IFERROR(VLOOKUP($E444,INSUMOS!$B:$E,2,0),""))</f>
        <v/>
      </c>
      <c r="H444" s="526" t="str">
        <f>IF($E444="",IFERROR(VLOOKUP($D444,SERVIÇOS!$C:$H,3,0),IFERROR(VLOOKUP($D444,$F:$M,3,0),"")),IFERROR(VLOOKUP($E444,INSUMOS!$B:$E,3,0),""))</f>
        <v/>
      </c>
      <c r="I444" s="527"/>
      <c r="J444" s="528" t="str">
        <f>IF($E444="",IFERROR(VLOOKUP($D444,SERVIÇOS!$C:$H,6,0),IFERROR(VLOOKUP($D444,$F:$M,8,0),"")),IFERROR(VLOOKUP($E444,INSUMOS!$B:$E,4,0),""))</f>
        <v/>
      </c>
      <c r="K444" s="528">
        <f>TRUNC(IF($E444="",IFERROR(VLOOKUP($D444,SERVIÇOS!$C:$H,4,0),IFERROR(VLOOKUP($D444,$F:$M,6,0),)),IFERROR(VLOOKUP($E444,INSUMOS!$B:$E,4,0),))*$I444,2)</f>
        <v>0</v>
      </c>
      <c r="L444" s="528">
        <f>TRUNC(IF($E444="",IFERROR(VLOOKUP($D444,SERVIÇOS!$C:$H,5,0),IFERROR(VLOOKUP($D444,$F:$M,7,0),)),0)*$I444,2)</f>
        <v>0</v>
      </c>
      <c r="M444" s="528">
        <f t="shared" si="13"/>
        <v>0</v>
      </c>
      <c r="N444" s="526"/>
    </row>
    <row r="445" spans="3:14">
      <c r="C445" s="526" t="str">
        <f t="shared" si="12"/>
        <v/>
      </c>
      <c r="D445" s="531"/>
      <c r="E445" s="531"/>
      <c r="F445" s="526"/>
      <c r="G445" s="532" t="str">
        <f>IF($E445="",IFERROR(VLOOKUP($D445,SERVIÇOS!$C:$H,2,0),IFERROR(VLOOKUP($D445,$F:$M,2,0),"")),IFERROR(VLOOKUP($E445,INSUMOS!$B:$E,2,0),""))</f>
        <v/>
      </c>
      <c r="H445" s="526" t="str">
        <f>IF($E445="",IFERROR(VLOOKUP($D445,SERVIÇOS!$C:$H,3,0),IFERROR(VLOOKUP($D445,$F:$M,3,0),"")),IFERROR(VLOOKUP($E445,INSUMOS!$B:$E,3,0),""))</f>
        <v/>
      </c>
      <c r="I445" s="527"/>
      <c r="J445" s="528" t="str">
        <f>IF($E445="",IFERROR(VLOOKUP($D445,SERVIÇOS!$C:$H,6,0),IFERROR(VLOOKUP($D445,$F:$M,8,0),"")),IFERROR(VLOOKUP($E445,INSUMOS!$B:$E,4,0),""))</f>
        <v/>
      </c>
      <c r="K445" s="528">
        <f>TRUNC(IF($E445="",IFERROR(VLOOKUP($D445,SERVIÇOS!$C:$H,4,0),IFERROR(VLOOKUP($D445,$F:$M,6,0),)),IFERROR(VLOOKUP($E445,INSUMOS!$B:$E,4,0),))*$I445,2)</f>
        <v>0</v>
      </c>
      <c r="L445" s="528">
        <f>TRUNC(IF($E445="",IFERROR(VLOOKUP($D445,SERVIÇOS!$C:$H,5,0),IFERROR(VLOOKUP($D445,$F:$M,7,0),)),0)*$I445,2)</f>
        <v>0</v>
      </c>
      <c r="M445" s="528">
        <f t="shared" si="13"/>
        <v>0</v>
      </c>
      <c r="N445" s="526"/>
    </row>
    <row r="446" spans="3:14">
      <c r="C446" s="526" t="str">
        <f t="shared" si="12"/>
        <v/>
      </c>
      <c r="D446" s="531"/>
      <c r="E446" s="531"/>
      <c r="F446" s="526"/>
      <c r="G446" s="532" t="str">
        <f>IF($E446="",IFERROR(VLOOKUP($D446,SERVIÇOS!$C:$H,2,0),IFERROR(VLOOKUP($D446,$F:$M,2,0),"")),IFERROR(VLOOKUP($E446,INSUMOS!$B:$E,2,0),""))</f>
        <v/>
      </c>
      <c r="H446" s="526" t="str">
        <f>IF($E446="",IFERROR(VLOOKUP($D446,SERVIÇOS!$C:$H,3,0),IFERROR(VLOOKUP($D446,$F:$M,3,0),"")),IFERROR(VLOOKUP($E446,INSUMOS!$B:$E,3,0),""))</f>
        <v/>
      </c>
      <c r="I446" s="527"/>
      <c r="J446" s="528" t="str">
        <f>IF($E446="",IFERROR(VLOOKUP($D446,SERVIÇOS!$C:$H,6,0),IFERROR(VLOOKUP($D446,$F:$M,8,0),"")),IFERROR(VLOOKUP($E446,INSUMOS!$B:$E,4,0),""))</f>
        <v/>
      </c>
      <c r="K446" s="528">
        <f>TRUNC(IF($E446="",IFERROR(VLOOKUP($D446,SERVIÇOS!$C:$H,4,0),IFERROR(VLOOKUP($D446,$F:$M,6,0),)),IFERROR(VLOOKUP($E446,INSUMOS!$B:$E,4,0),))*$I446,2)</f>
        <v>0</v>
      </c>
      <c r="L446" s="528">
        <f>TRUNC(IF($E446="",IFERROR(VLOOKUP($D446,SERVIÇOS!$C:$H,5,0),IFERROR(VLOOKUP($D446,$F:$M,7,0),)),0)*$I446,2)</f>
        <v>0</v>
      </c>
      <c r="M446" s="528">
        <f t="shared" si="13"/>
        <v>0</v>
      </c>
      <c r="N446" s="526"/>
    </row>
    <row r="447" spans="3:14">
      <c r="C447" s="526" t="str">
        <f t="shared" si="12"/>
        <v/>
      </c>
      <c r="D447" s="531"/>
      <c r="E447" s="531"/>
      <c r="F447" s="526"/>
      <c r="G447" s="532" t="str">
        <f>IF($E447="",IFERROR(VLOOKUP($D447,SERVIÇOS!$C:$H,2,0),IFERROR(VLOOKUP($D447,$F:$M,2,0),"")),IFERROR(VLOOKUP($E447,INSUMOS!$B:$E,2,0),""))</f>
        <v/>
      </c>
      <c r="H447" s="526" t="str">
        <f>IF($E447="",IFERROR(VLOOKUP($D447,SERVIÇOS!$C:$H,3,0),IFERROR(VLOOKUP($D447,$F:$M,3,0),"")),IFERROR(VLOOKUP($E447,INSUMOS!$B:$E,3,0),""))</f>
        <v/>
      </c>
      <c r="I447" s="527"/>
      <c r="J447" s="528" t="str">
        <f>IF($E447="",IFERROR(VLOOKUP($D447,SERVIÇOS!$C:$H,6,0),IFERROR(VLOOKUP($D447,$F:$M,8,0),"")),IFERROR(VLOOKUP($E447,INSUMOS!$B:$E,4,0),""))</f>
        <v/>
      </c>
      <c r="K447" s="528">
        <f>TRUNC(IF($E447="",IFERROR(VLOOKUP($D447,SERVIÇOS!$C:$H,4,0),IFERROR(VLOOKUP($D447,$F:$M,6,0),)),IFERROR(VLOOKUP($E447,INSUMOS!$B:$E,4,0),))*$I447,2)</f>
        <v>0</v>
      </c>
      <c r="L447" s="528">
        <f>TRUNC(IF($E447="",IFERROR(VLOOKUP($D447,SERVIÇOS!$C:$H,5,0),IFERROR(VLOOKUP($D447,$F:$M,7,0),)),0)*$I447,2)</f>
        <v>0</v>
      </c>
      <c r="M447" s="528">
        <f t="shared" si="13"/>
        <v>0</v>
      </c>
      <c r="N447" s="526"/>
    </row>
    <row r="448" spans="3:14">
      <c r="C448" s="526" t="str">
        <f t="shared" si="12"/>
        <v/>
      </c>
      <c r="D448" s="531"/>
      <c r="E448" s="531"/>
      <c r="F448" s="526"/>
      <c r="G448" s="532" t="str">
        <f>IF($E448="",IFERROR(VLOOKUP($D448,SERVIÇOS!$C:$H,2,0),IFERROR(VLOOKUP($D448,$F:$M,2,0),"")),IFERROR(VLOOKUP($E448,INSUMOS!$B:$E,2,0),""))</f>
        <v/>
      </c>
      <c r="H448" s="526" t="str">
        <f>IF($E448="",IFERROR(VLOOKUP($D448,SERVIÇOS!$C:$H,3,0),IFERROR(VLOOKUP($D448,$F:$M,3,0),"")),IFERROR(VLOOKUP($E448,INSUMOS!$B:$E,3,0),""))</f>
        <v/>
      </c>
      <c r="I448" s="527"/>
      <c r="J448" s="528" t="str">
        <f>IF($E448="",IFERROR(VLOOKUP($D448,SERVIÇOS!$C:$H,6,0),IFERROR(VLOOKUP($D448,$F:$M,8,0),"")),IFERROR(VLOOKUP($E448,INSUMOS!$B:$E,4,0),""))</f>
        <v/>
      </c>
      <c r="K448" s="528">
        <f>TRUNC(IF($E448="",IFERROR(VLOOKUP($D448,SERVIÇOS!$C:$H,4,0),IFERROR(VLOOKUP($D448,$F:$M,6,0),)),IFERROR(VLOOKUP($E448,INSUMOS!$B:$E,4,0),))*$I448,2)</f>
        <v>0</v>
      </c>
      <c r="L448" s="528">
        <f>TRUNC(IF($E448="",IFERROR(VLOOKUP($D448,SERVIÇOS!$C:$H,5,0),IFERROR(VLOOKUP($D448,$F:$M,7,0),)),0)*$I448,2)</f>
        <v>0</v>
      </c>
      <c r="M448" s="528">
        <f t="shared" si="13"/>
        <v>0</v>
      </c>
      <c r="N448" s="526"/>
    </row>
    <row r="449" spans="3:14">
      <c r="C449" s="526" t="str">
        <f t="shared" si="12"/>
        <v/>
      </c>
      <c r="D449" s="531"/>
      <c r="E449" s="531"/>
      <c r="F449" s="526"/>
      <c r="G449" s="532" t="str">
        <f>IF($E449="",IFERROR(VLOOKUP($D449,SERVIÇOS!$C:$H,2,0),IFERROR(VLOOKUP($D449,$F:$M,2,0),"")),IFERROR(VLOOKUP($E449,INSUMOS!$B:$E,2,0),""))</f>
        <v/>
      </c>
      <c r="H449" s="526" t="str">
        <f>IF($E449="",IFERROR(VLOOKUP($D449,SERVIÇOS!$C:$H,3,0),IFERROR(VLOOKUP($D449,$F:$M,3,0),"")),IFERROR(VLOOKUP($E449,INSUMOS!$B:$E,3,0),""))</f>
        <v/>
      </c>
      <c r="I449" s="527"/>
      <c r="J449" s="528" t="str">
        <f>IF($E449="",IFERROR(VLOOKUP($D449,SERVIÇOS!$C:$H,6,0),IFERROR(VLOOKUP($D449,$F:$M,8,0),"")),IFERROR(VLOOKUP($E449,INSUMOS!$B:$E,4,0),""))</f>
        <v/>
      </c>
      <c r="K449" s="528">
        <f>TRUNC(IF($E449="",IFERROR(VLOOKUP($D449,SERVIÇOS!$C:$H,4,0),IFERROR(VLOOKUP($D449,$F:$M,6,0),)),IFERROR(VLOOKUP($E449,INSUMOS!$B:$E,4,0),))*$I449,2)</f>
        <v>0</v>
      </c>
      <c r="L449" s="528">
        <f>TRUNC(IF($E449="",IFERROR(VLOOKUP($D449,SERVIÇOS!$C:$H,5,0),IFERROR(VLOOKUP($D449,$F:$M,7,0),)),0)*$I449,2)</f>
        <v>0</v>
      </c>
      <c r="M449" s="528">
        <f t="shared" si="13"/>
        <v>0</v>
      </c>
      <c r="N449" s="526"/>
    </row>
    <row r="450" spans="3:14">
      <c r="C450" s="526" t="str">
        <f t="shared" si="12"/>
        <v/>
      </c>
      <c r="D450" s="531"/>
      <c r="E450" s="531"/>
      <c r="F450" s="526"/>
      <c r="G450" s="532" t="str">
        <f>IF($E450="",IFERROR(VLOOKUP($D450,SERVIÇOS!$C:$H,2,0),IFERROR(VLOOKUP($D450,$F:$M,2,0),"")),IFERROR(VLOOKUP($E450,INSUMOS!$B:$E,2,0),""))</f>
        <v/>
      </c>
      <c r="H450" s="526" t="str">
        <f>IF($E450="",IFERROR(VLOOKUP($D450,SERVIÇOS!$C:$H,3,0),IFERROR(VLOOKUP($D450,$F:$M,3,0),"")),IFERROR(VLOOKUP($E450,INSUMOS!$B:$E,3,0),""))</f>
        <v/>
      </c>
      <c r="I450" s="527"/>
      <c r="J450" s="528" t="str">
        <f>IF($E450="",IFERROR(VLOOKUP($D450,SERVIÇOS!$C:$H,6,0),IFERROR(VLOOKUP($D450,$F:$M,8,0),"")),IFERROR(VLOOKUP($E450,INSUMOS!$B:$E,4,0),""))</f>
        <v/>
      </c>
      <c r="K450" s="528">
        <f>TRUNC(IF($E450="",IFERROR(VLOOKUP($D450,SERVIÇOS!$C:$H,4,0),IFERROR(VLOOKUP($D450,$F:$M,6,0),)),IFERROR(VLOOKUP($E450,INSUMOS!$B:$E,4,0),))*$I450,2)</f>
        <v>0</v>
      </c>
      <c r="L450" s="528">
        <f>TRUNC(IF($E450="",IFERROR(VLOOKUP($D450,SERVIÇOS!$C:$H,5,0),IFERROR(VLOOKUP($D450,$F:$M,7,0),)),0)*$I450,2)</f>
        <v>0</v>
      </c>
      <c r="M450" s="528">
        <f t="shared" si="13"/>
        <v>0</v>
      </c>
      <c r="N450" s="526"/>
    </row>
    <row r="451" spans="3:14">
      <c r="C451" s="526" t="str">
        <f t="shared" si="12"/>
        <v/>
      </c>
      <c r="D451" s="531"/>
      <c r="E451" s="531"/>
      <c r="F451" s="526"/>
      <c r="G451" s="532" t="str">
        <f>IF($E451="",IFERROR(VLOOKUP($D451,SERVIÇOS!$C:$H,2,0),IFERROR(VLOOKUP($D451,$F:$M,2,0),"")),IFERROR(VLOOKUP($E451,INSUMOS!$B:$E,2,0),""))</f>
        <v/>
      </c>
      <c r="H451" s="526" t="str">
        <f>IF($E451="",IFERROR(VLOOKUP($D451,SERVIÇOS!$C:$H,3,0),IFERROR(VLOOKUP($D451,$F:$M,3,0),"")),IFERROR(VLOOKUP($E451,INSUMOS!$B:$E,3,0),""))</f>
        <v/>
      </c>
      <c r="I451" s="527"/>
      <c r="J451" s="528" t="str">
        <f>IF($E451="",IFERROR(VLOOKUP($D451,SERVIÇOS!$C:$H,6,0),IFERROR(VLOOKUP($D451,$F:$M,8,0),"")),IFERROR(VLOOKUP($E451,INSUMOS!$B:$E,4,0),""))</f>
        <v/>
      </c>
      <c r="K451" s="528">
        <f>TRUNC(IF($E451="",IFERROR(VLOOKUP($D451,SERVIÇOS!$C:$H,4,0),IFERROR(VLOOKUP($D451,$F:$M,6,0),)),IFERROR(VLOOKUP($E451,INSUMOS!$B:$E,4,0),))*$I451,2)</f>
        <v>0</v>
      </c>
      <c r="L451" s="528">
        <f>TRUNC(IF($E451="",IFERROR(VLOOKUP($D451,SERVIÇOS!$C:$H,5,0),IFERROR(VLOOKUP($D451,$F:$M,7,0),)),0)*$I451,2)</f>
        <v>0</v>
      </c>
      <c r="M451" s="528">
        <f t="shared" si="13"/>
        <v>0</v>
      </c>
      <c r="N451" s="526"/>
    </row>
    <row r="452" spans="3:14">
      <c r="C452" s="526" t="str">
        <f t="shared" si="12"/>
        <v/>
      </c>
      <c r="D452" s="531"/>
      <c r="E452" s="531"/>
      <c r="F452" s="526"/>
      <c r="G452" s="532" t="str">
        <f>IF($E452="",IFERROR(VLOOKUP($D452,SERVIÇOS!$C:$H,2,0),IFERROR(VLOOKUP($D452,$F:$M,2,0),"")),IFERROR(VLOOKUP($E452,INSUMOS!$B:$E,2,0),""))</f>
        <v/>
      </c>
      <c r="H452" s="526" t="str">
        <f>IF($E452="",IFERROR(VLOOKUP($D452,SERVIÇOS!$C:$H,3,0),IFERROR(VLOOKUP($D452,$F:$M,3,0),"")),IFERROR(VLOOKUP($E452,INSUMOS!$B:$E,3,0),""))</f>
        <v/>
      </c>
      <c r="I452" s="527"/>
      <c r="J452" s="528" t="str">
        <f>IF($E452="",IFERROR(VLOOKUP($D452,SERVIÇOS!$C:$H,6,0),IFERROR(VLOOKUP($D452,$F:$M,8,0),"")),IFERROR(VLOOKUP($E452,INSUMOS!$B:$E,4,0),""))</f>
        <v/>
      </c>
      <c r="K452" s="528">
        <f>TRUNC(IF($E452="",IFERROR(VLOOKUP($D452,SERVIÇOS!$C:$H,4,0),IFERROR(VLOOKUP($D452,$F:$M,6,0),)),IFERROR(VLOOKUP($E452,INSUMOS!$B:$E,4,0),))*$I452,2)</f>
        <v>0</v>
      </c>
      <c r="L452" s="528">
        <f>TRUNC(IF($E452="",IFERROR(VLOOKUP($D452,SERVIÇOS!$C:$H,5,0),IFERROR(VLOOKUP($D452,$F:$M,7,0),)),0)*$I452,2)</f>
        <v>0</v>
      </c>
      <c r="M452" s="528">
        <f t="shared" si="13"/>
        <v>0</v>
      </c>
      <c r="N452" s="526"/>
    </row>
    <row r="453" spans="3:14">
      <c r="C453" s="526" t="str">
        <f t="shared" si="12"/>
        <v/>
      </c>
      <c r="D453" s="531"/>
      <c r="E453" s="531"/>
      <c r="F453" s="526"/>
      <c r="G453" s="532" t="str">
        <f>IF($E453="",IFERROR(VLOOKUP($D453,SERVIÇOS!$C:$H,2,0),IFERROR(VLOOKUP($D453,$F:$M,2,0),"")),IFERROR(VLOOKUP($E453,INSUMOS!$B:$E,2,0),""))</f>
        <v/>
      </c>
      <c r="H453" s="526" t="str">
        <f>IF($E453="",IFERROR(VLOOKUP($D453,SERVIÇOS!$C:$H,3,0),IFERROR(VLOOKUP($D453,$F:$M,3,0),"")),IFERROR(VLOOKUP($E453,INSUMOS!$B:$E,3,0),""))</f>
        <v/>
      </c>
      <c r="I453" s="527"/>
      <c r="J453" s="528" t="str">
        <f>IF($E453="",IFERROR(VLOOKUP($D453,SERVIÇOS!$C:$H,6,0),IFERROR(VLOOKUP($D453,$F:$M,8,0),"")),IFERROR(VLOOKUP($E453,INSUMOS!$B:$E,4,0),""))</f>
        <v/>
      </c>
      <c r="K453" s="528">
        <f>TRUNC(IF($E453="",IFERROR(VLOOKUP($D453,SERVIÇOS!$C:$H,4,0),IFERROR(VLOOKUP($D453,$F:$M,6,0),)),IFERROR(VLOOKUP($E453,INSUMOS!$B:$E,4,0),))*$I453,2)</f>
        <v>0</v>
      </c>
      <c r="L453" s="528">
        <f>TRUNC(IF($E453="",IFERROR(VLOOKUP($D453,SERVIÇOS!$C:$H,5,0),IFERROR(VLOOKUP($D453,$F:$M,7,0),)),0)*$I453,2)</f>
        <v>0</v>
      </c>
      <c r="M453" s="528">
        <f t="shared" si="13"/>
        <v>0</v>
      </c>
      <c r="N453" s="526"/>
    </row>
    <row r="454" spans="3:14">
      <c r="C454" s="526" t="str">
        <f t="shared" si="12"/>
        <v/>
      </c>
      <c r="D454" s="531"/>
      <c r="E454" s="531"/>
      <c r="F454" s="526"/>
      <c r="G454" s="532" t="str">
        <f>IF($E454="",IFERROR(VLOOKUP($D454,SERVIÇOS!$C:$H,2,0),IFERROR(VLOOKUP($D454,$F:$M,2,0),"")),IFERROR(VLOOKUP($E454,INSUMOS!$B:$E,2,0),""))</f>
        <v/>
      </c>
      <c r="H454" s="526" t="str">
        <f>IF($E454="",IFERROR(VLOOKUP($D454,SERVIÇOS!$C:$H,3,0),IFERROR(VLOOKUP($D454,$F:$M,3,0),"")),IFERROR(VLOOKUP($E454,INSUMOS!$B:$E,3,0),""))</f>
        <v/>
      </c>
      <c r="I454" s="527"/>
      <c r="J454" s="528" t="str">
        <f>IF($E454="",IFERROR(VLOOKUP($D454,SERVIÇOS!$C:$H,6,0),IFERROR(VLOOKUP($D454,$F:$M,8,0),"")),IFERROR(VLOOKUP($E454,INSUMOS!$B:$E,4,0),""))</f>
        <v/>
      </c>
      <c r="K454" s="528">
        <f>TRUNC(IF($E454="",IFERROR(VLOOKUP($D454,SERVIÇOS!$C:$H,4,0),IFERROR(VLOOKUP($D454,$F:$M,6,0),)),IFERROR(VLOOKUP($E454,INSUMOS!$B:$E,4,0),))*$I454,2)</f>
        <v>0</v>
      </c>
      <c r="L454" s="528">
        <f>TRUNC(IF($E454="",IFERROR(VLOOKUP($D454,SERVIÇOS!$C:$H,5,0),IFERROR(VLOOKUP($D454,$F:$M,7,0),)),0)*$I454,2)</f>
        <v>0</v>
      </c>
      <c r="M454" s="528">
        <f t="shared" si="13"/>
        <v>0</v>
      </c>
      <c r="N454" s="526"/>
    </row>
    <row r="455" spans="3:14">
      <c r="C455" s="526" t="str">
        <f t="shared" si="12"/>
        <v/>
      </c>
      <c r="D455" s="531"/>
      <c r="E455" s="531"/>
      <c r="F455" s="526"/>
      <c r="G455" s="532" t="str">
        <f>IF($E455="",IFERROR(VLOOKUP($D455,SERVIÇOS!$C:$H,2,0),IFERROR(VLOOKUP($D455,$F:$M,2,0),"")),IFERROR(VLOOKUP($E455,INSUMOS!$B:$E,2,0),""))</f>
        <v/>
      </c>
      <c r="H455" s="526" t="str">
        <f>IF($E455="",IFERROR(VLOOKUP($D455,SERVIÇOS!$C:$H,3,0),IFERROR(VLOOKUP($D455,$F:$M,3,0),"")),IFERROR(VLOOKUP($E455,INSUMOS!$B:$E,3,0),""))</f>
        <v/>
      </c>
      <c r="I455" s="527"/>
      <c r="J455" s="528" t="str">
        <f>IF($E455="",IFERROR(VLOOKUP($D455,SERVIÇOS!$C:$H,6,0),IFERROR(VLOOKUP($D455,$F:$M,8,0),"")),IFERROR(VLOOKUP($E455,INSUMOS!$B:$E,4,0),""))</f>
        <v/>
      </c>
      <c r="K455" s="528">
        <f>TRUNC(IF($E455="",IFERROR(VLOOKUP($D455,SERVIÇOS!$C:$H,4,0),IFERROR(VLOOKUP($D455,$F:$M,6,0),)),IFERROR(VLOOKUP($E455,INSUMOS!$B:$E,4,0),))*$I455,2)</f>
        <v>0</v>
      </c>
      <c r="L455" s="528">
        <f>TRUNC(IF($E455="",IFERROR(VLOOKUP($D455,SERVIÇOS!$C:$H,5,0),IFERROR(VLOOKUP($D455,$F:$M,7,0),)),0)*$I455,2)</f>
        <v>0</v>
      </c>
      <c r="M455" s="528">
        <f t="shared" si="13"/>
        <v>0</v>
      </c>
      <c r="N455" s="526"/>
    </row>
    <row r="456" spans="3:14">
      <c r="C456" s="526" t="str">
        <f t="shared" si="12"/>
        <v/>
      </c>
      <c r="D456" s="531"/>
      <c r="E456" s="531"/>
      <c r="F456" s="526"/>
      <c r="G456" s="532" t="str">
        <f>IF($E456="",IFERROR(VLOOKUP($D456,SERVIÇOS!$C:$H,2,0),IFERROR(VLOOKUP($D456,$F:$M,2,0),"")),IFERROR(VLOOKUP($E456,INSUMOS!$B:$E,2,0),""))</f>
        <v/>
      </c>
      <c r="H456" s="526" t="str">
        <f>IF($E456="",IFERROR(VLOOKUP($D456,SERVIÇOS!$C:$H,3,0),IFERROR(VLOOKUP($D456,$F:$M,3,0),"")),IFERROR(VLOOKUP($E456,INSUMOS!$B:$E,3,0),""))</f>
        <v/>
      </c>
      <c r="I456" s="527"/>
      <c r="J456" s="528" t="str">
        <f>IF($E456="",IFERROR(VLOOKUP($D456,SERVIÇOS!$C:$H,6,0),IFERROR(VLOOKUP($D456,$F:$M,8,0),"")),IFERROR(VLOOKUP($E456,INSUMOS!$B:$E,4,0),""))</f>
        <v/>
      </c>
      <c r="K456" s="528">
        <f>TRUNC(IF($E456="",IFERROR(VLOOKUP($D456,SERVIÇOS!$C:$H,4,0),IFERROR(VLOOKUP($D456,$F:$M,6,0),)),IFERROR(VLOOKUP($E456,INSUMOS!$B:$E,4,0),))*$I456,2)</f>
        <v>0</v>
      </c>
      <c r="L456" s="528">
        <f>TRUNC(IF($E456="",IFERROR(VLOOKUP($D456,SERVIÇOS!$C:$H,5,0),IFERROR(VLOOKUP($D456,$F:$M,7,0),)),0)*$I456,2)</f>
        <v>0</v>
      </c>
      <c r="M456" s="528">
        <f t="shared" si="13"/>
        <v>0</v>
      </c>
      <c r="N456" s="526"/>
    </row>
    <row r="457" spans="3:14">
      <c r="C457" s="526" t="str">
        <f t="shared" si="12"/>
        <v/>
      </c>
      <c r="D457" s="531"/>
      <c r="E457" s="531"/>
      <c r="F457" s="526"/>
      <c r="G457" s="532" t="str">
        <f>IF($E457="",IFERROR(VLOOKUP($D457,SERVIÇOS!$C:$H,2,0),IFERROR(VLOOKUP($D457,$F:$M,2,0),"")),IFERROR(VLOOKUP($E457,INSUMOS!$B:$E,2,0),""))</f>
        <v/>
      </c>
      <c r="H457" s="526" t="str">
        <f>IF($E457="",IFERROR(VLOOKUP($D457,SERVIÇOS!$C:$H,3,0),IFERROR(VLOOKUP($D457,$F:$M,3,0),"")),IFERROR(VLOOKUP($E457,INSUMOS!$B:$E,3,0),""))</f>
        <v/>
      </c>
      <c r="I457" s="527"/>
      <c r="J457" s="528" t="str">
        <f>IF($E457="",IFERROR(VLOOKUP($D457,SERVIÇOS!$C:$H,6,0),IFERROR(VLOOKUP($D457,$F:$M,8,0),"")),IFERROR(VLOOKUP($E457,INSUMOS!$B:$E,4,0),""))</f>
        <v/>
      </c>
      <c r="K457" s="528">
        <f>TRUNC(IF($E457="",IFERROR(VLOOKUP($D457,SERVIÇOS!$C:$H,4,0),IFERROR(VLOOKUP($D457,$F:$M,6,0),)),IFERROR(VLOOKUP($E457,INSUMOS!$B:$E,4,0),))*$I457,2)</f>
        <v>0</v>
      </c>
      <c r="L457" s="528">
        <f>TRUNC(IF($E457="",IFERROR(VLOOKUP($D457,SERVIÇOS!$C:$H,5,0),IFERROR(VLOOKUP($D457,$F:$M,7,0),)),0)*$I457,2)</f>
        <v>0</v>
      </c>
      <c r="M457" s="528">
        <f t="shared" si="13"/>
        <v>0</v>
      </c>
      <c r="N457" s="526"/>
    </row>
    <row r="458" spans="3:14">
      <c r="C458" s="526" t="str">
        <f t="shared" si="12"/>
        <v/>
      </c>
      <c r="D458" s="531"/>
      <c r="E458" s="531"/>
      <c r="F458" s="526"/>
      <c r="G458" s="532" t="str">
        <f>IF($E458="",IFERROR(VLOOKUP($D458,SERVIÇOS!$C:$H,2,0),IFERROR(VLOOKUP($D458,$F:$M,2,0),"")),IFERROR(VLOOKUP($E458,INSUMOS!$B:$E,2,0),""))</f>
        <v/>
      </c>
      <c r="H458" s="526" t="str">
        <f>IF($E458="",IFERROR(VLOOKUP($D458,SERVIÇOS!$C:$H,3,0),IFERROR(VLOOKUP($D458,$F:$M,3,0),"")),IFERROR(VLOOKUP($E458,INSUMOS!$B:$E,3,0),""))</f>
        <v/>
      </c>
      <c r="I458" s="527"/>
      <c r="J458" s="528" t="str">
        <f>IF($E458="",IFERROR(VLOOKUP($D458,SERVIÇOS!$C:$H,6,0),IFERROR(VLOOKUP($D458,$F:$M,8,0),"")),IFERROR(VLOOKUP($E458,INSUMOS!$B:$E,4,0),""))</f>
        <v/>
      </c>
      <c r="K458" s="528">
        <f>TRUNC(IF($E458="",IFERROR(VLOOKUP($D458,SERVIÇOS!$C:$H,4,0),IFERROR(VLOOKUP($D458,$F:$M,6,0),)),IFERROR(VLOOKUP($E458,INSUMOS!$B:$E,4,0),))*$I458,2)</f>
        <v>0</v>
      </c>
      <c r="L458" s="528">
        <f>TRUNC(IF($E458="",IFERROR(VLOOKUP($D458,SERVIÇOS!$C:$H,5,0),IFERROR(VLOOKUP($D458,$F:$M,7,0),)),0)*$I458,2)</f>
        <v>0</v>
      </c>
      <c r="M458" s="528">
        <f t="shared" si="13"/>
        <v>0</v>
      </c>
      <c r="N458" s="526"/>
    </row>
    <row r="459" spans="3:14">
      <c r="C459" s="526" t="str">
        <f t="shared" si="12"/>
        <v/>
      </c>
      <c r="D459" s="531"/>
      <c r="E459" s="531"/>
      <c r="F459" s="526"/>
      <c r="G459" s="532" t="str">
        <f>IF($E459="",IFERROR(VLOOKUP($D459,SERVIÇOS!$C:$H,2,0),IFERROR(VLOOKUP($D459,$F:$M,2,0),"")),IFERROR(VLOOKUP($E459,INSUMOS!$B:$E,2,0),""))</f>
        <v/>
      </c>
      <c r="H459" s="526" t="str">
        <f>IF($E459="",IFERROR(VLOOKUP($D459,SERVIÇOS!$C:$H,3,0),IFERROR(VLOOKUP($D459,$F:$M,3,0),"")),IFERROR(VLOOKUP($E459,INSUMOS!$B:$E,3,0),""))</f>
        <v/>
      </c>
      <c r="I459" s="527"/>
      <c r="J459" s="528" t="str">
        <f>IF($E459="",IFERROR(VLOOKUP($D459,SERVIÇOS!$C:$H,6,0),IFERROR(VLOOKUP($D459,$F:$M,8,0),"")),IFERROR(VLOOKUP($E459,INSUMOS!$B:$E,4,0),""))</f>
        <v/>
      </c>
      <c r="K459" s="528">
        <f>TRUNC(IF($E459="",IFERROR(VLOOKUP($D459,SERVIÇOS!$C:$H,4,0),IFERROR(VLOOKUP($D459,$F:$M,6,0),)),IFERROR(VLOOKUP($E459,INSUMOS!$B:$E,4,0),))*$I459,2)</f>
        <v>0</v>
      </c>
      <c r="L459" s="528">
        <f>TRUNC(IF($E459="",IFERROR(VLOOKUP($D459,SERVIÇOS!$C:$H,5,0),IFERROR(VLOOKUP($D459,$F:$M,7,0),)),0)*$I459,2)</f>
        <v>0</v>
      </c>
      <c r="M459" s="528">
        <f t="shared" si="13"/>
        <v>0</v>
      </c>
      <c r="N459" s="526"/>
    </row>
    <row r="460" spans="3:14">
      <c r="C460" s="526" t="str">
        <f t="shared" si="12"/>
        <v/>
      </c>
      <c r="D460" s="531"/>
      <c r="E460" s="531"/>
      <c r="F460" s="526"/>
      <c r="G460" s="532" t="str">
        <f>IF($E460="",IFERROR(VLOOKUP($D460,SERVIÇOS!$C:$H,2,0),IFERROR(VLOOKUP($D460,$F:$M,2,0),"")),IFERROR(VLOOKUP($E460,INSUMOS!$B:$E,2,0),""))</f>
        <v/>
      </c>
      <c r="H460" s="526" t="str">
        <f>IF($E460="",IFERROR(VLOOKUP($D460,SERVIÇOS!$C:$H,3,0),IFERROR(VLOOKUP($D460,$F:$M,3,0),"")),IFERROR(VLOOKUP($E460,INSUMOS!$B:$E,3,0),""))</f>
        <v/>
      </c>
      <c r="I460" s="527"/>
      <c r="J460" s="528" t="str">
        <f>IF($E460="",IFERROR(VLOOKUP($D460,SERVIÇOS!$C:$H,6,0),IFERROR(VLOOKUP($D460,$F:$M,8,0),"")),IFERROR(VLOOKUP($E460,INSUMOS!$B:$E,4,0),""))</f>
        <v/>
      </c>
      <c r="K460" s="528">
        <f>TRUNC(IF($E460="",IFERROR(VLOOKUP($D460,SERVIÇOS!$C:$H,4,0),IFERROR(VLOOKUP($D460,$F:$M,6,0),)),IFERROR(VLOOKUP($E460,INSUMOS!$B:$E,4,0),))*$I460,2)</f>
        <v>0</v>
      </c>
      <c r="L460" s="528">
        <f>TRUNC(IF($E460="",IFERROR(VLOOKUP($D460,SERVIÇOS!$C:$H,5,0),IFERROR(VLOOKUP($D460,$F:$M,7,0),)),0)*$I460,2)</f>
        <v>0</v>
      </c>
      <c r="M460" s="528">
        <f t="shared" si="13"/>
        <v>0</v>
      </c>
      <c r="N460" s="526"/>
    </row>
    <row r="461" spans="3:14">
      <c r="C461" s="526" t="str">
        <f t="shared" ref="C461:C481" si="14">IF(D461&lt;&gt;"","C",IF(E461&lt;&gt;"","I",""))</f>
        <v/>
      </c>
      <c r="D461" s="531"/>
      <c r="E461" s="531"/>
      <c r="F461" s="526"/>
      <c r="G461" s="532" t="str">
        <f>IF($E461="",IFERROR(VLOOKUP($D461,SERVIÇOS!$C:$H,2,0),IFERROR(VLOOKUP($D461,$F:$M,2,0),"")),IFERROR(VLOOKUP($E461,INSUMOS!$B:$E,2,0),""))</f>
        <v/>
      </c>
      <c r="H461" s="526" t="str">
        <f>IF($E461="",IFERROR(VLOOKUP($D461,SERVIÇOS!$C:$H,3,0),IFERROR(VLOOKUP($D461,$F:$M,3,0),"")),IFERROR(VLOOKUP($E461,INSUMOS!$B:$E,3,0),""))</f>
        <v/>
      </c>
      <c r="I461" s="527"/>
      <c r="J461" s="528" t="str">
        <f>IF($E461="",IFERROR(VLOOKUP($D461,SERVIÇOS!$C:$H,6,0),IFERROR(VLOOKUP($D461,$F:$M,8,0),"")),IFERROR(VLOOKUP($E461,INSUMOS!$B:$E,4,0),""))</f>
        <v/>
      </c>
      <c r="K461" s="528">
        <f>TRUNC(IF($E461="",IFERROR(VLOOKUP($D461,SERVIÇOS!$C:$H,4,0),IFERROR(VLOOKUP($D461,$F:$M,6,0),)),IFERROR(VLOOKUP($E461,INSUMOS!$B:$E,4,0),))*$I461,2)</f>
        <v>0</v>
      </c>
      <c r="L461" s="528">
        <f>TRUNC(IF($E461="",IFERROR(VLOOKUP($D461,SERVIÇOS!$C:$H,5,0),IFERROR(VLOOKUP($D461,$F:$M,7,0),)),0)*$I461,2)</f>
        <v>0</v>
      </c>
      <c r="M461" s="528">
        <f t="shared" si="13"/>
        <v>0</v>
      </c>
      <c r="N461" s="526"/>
    </row>
    <row r="462" spans="3:14">
      <c r="C462" s="526" t="str">
        <f t="shared" si="14"/>
        <v/>
      </c>
      <c r="D462" s="531"/>
      <c r="E462" s="531"/>
      <c r="F462" s="526"/>
      <c r="G462" s="532" t="str">
        <f>IF($E462="",IFERROR(VLOOKUP($D462,SERVIÇOS!$C:$H,2,0),IFERROR(VLOOKUP($D462,$F:$M,2,0),"")),IFERROR(VLOOKUP($E462,INSUMOS!$B:$E,2,0),""))</f>
        <v/>
      </c>
      <c r="H462" s="526" t="str">
        <f>IF($E462="",IFERROR(VLOOKUP($D462,SERVIÇOS!$C:$H,3,0),IFERROR(VLOOKUP($D462,$F:$M,3,0),"")),IFERROR(VLOOKUP($E462,INSUMOS!$B:$E,3,0),""))</f>
        <v/>
      </c>
      <c r="I462" s="527"/>
      <c r="J462" s="528" t="str">
        <f>IF($E462="",IFERROR(VLOOKUP($D462,SERVIÇOS!$C:$H,6,0),IFERROR(VLOOKUP($D462,$F:$M,8,0),"")),IFERROR(VLOOKUP($E462,INSUMOS!$B:$E,4,0),""))</f>
        <v/>
      </c>
      <c r="K462" s="528">
        <f>TRUNC(IF($E462="",IFERROR(VLOOKUP($D462,SERVIÇOS!$C:$H,4,0),IFERROR(VLOOKUP($D462,$F:$M,6,0),)),IFERROR(VLOOKUP($E462,INSUMOS!$B:$E,4,0),))*$I462,2)</f>
        <v>0</v>
      </c>
      <c r="L462" s="528">
        <f>TRUNC(IF($E462="",IFERROR(VLOOKUP($D462,SERVIÇOS!$C:$H,5,0),IFERROR(VLOOKUP($D462,$F:$M,7,0),)),0)*$I462,2)</f>
        <v>0</v>
      </c>
      <c r="M462" s="528">
        <f t="shared" ref="M462:M481" si="15">K462+L462</f>
        <v>0</v>
      </c>
      <c r="N462" s="526"/>
    </row>
    <row r="463" spans="3:14">
      <c r="C463" s="526" t="str">
        <f t="shared" si="14"/>
        <v/>
      </c>
      <c r="D463" s="531"/>
      <c r="E463" s="531"/>
      <c r="F463" s="526"/>
      <c r="G463" s="532" t="str">
        <f>IF($E463="",IFERROR(VLOOKUP($D463,SERVIÇOS!$C:$H,2,0),IFERROR(VLOOKUP($D463,$F:$M,2,0),"")),IFERROR(VLOOKUP($E463,INSUMOS!$B:$E,2,0),""))</f>
        <v/>
      </c>
      <c r="H463" s="526" t="str">
        <f>IF($E463="",IFERROR(VLOOKUP($D463,SERVIÇOS!$C:$H,3,0),IFERROR(VLOOKUP($D463,$F:$M,3,0),"")),IFERROR(VLOOKUP($E463,INSUMOS!$B:$E,3,0),""))</f>
        <v/>
      </c>
      <c r="I463" s="527"/>
      <c r="J463" s="528" t="str">
        <f>IF($E463="",IFERROR(VLOOKUP($D463,SERVIÇOS!$C:$H,6,0),IFERROR(VLOOKUP($D463,$F:$M,8,0),"")),IFERROR(VLOOKUP($E463,INSUMOS!$B:$E,4,0),""))</f>
        <v/>
      </c>
      <c r="K463" s="528">
        <f>TRUNC(IF($E463="",IFERROR(VLOOKUP($D463,SERVIÇOS!$C:$H,4,0),IFERROR(VLOOKUP($D463,$F:$M,6,0),)),IFERROR(VLOOKUP($E463,INSUMOS!$B:$E,4,0),))*$I463,2)</f>
        <v>0</v>
      </c>
      <c r="L463" s="528">
        <f>TRUNC(IF($E463="",IFERROR(VLOOKUP($D463,SERVIÇOS!$C:$H,5,0),IFERROR(VLOOKUP($D463,$F:$M,7,0),)),0)*$I463,2)</f>
        <v>0</v>
      </c>
      <c r="M463" s="528">
        <f t="shared" si="15"/>
        <v>0</v>
      </c>
      <c r="N463" s="526"/>
    </row>
    <row r="464" spans="3:14">
      <c r="C464" s="526" t="str">
        <f t="shared" si="14"/>
        <v/>
      </c>
      <c r="D464" s="531"/>
      <c r="E464" s="531"/>
      <c r="F464" s="526"/>
      <c r="G464" s="532" t="str">
        <f>IF($E464="",IFERROR(VLOOKUP($D464,SERVIÇOS!$C:$H,2,0),IFERROR(VLOOKUP($D464,$F:$M,2,0),"")),IFERROR(VLOOKUP($E464,INSUMOS!$B:$E,2,0),""))</f>
        <v/>
      </c>
      <c r="H464" s="526" t="str">
        <f>IF($E464="",IFERROR(VLOOKUP($D464,SERVIÇOS!$C:$H,3,0),IFERROR(VLOOKUP($D464,$F:$M,3,0),"")),IFERROR(VLOOKUP($E464,INSUMOS!$B:$E,3,0),""))</f>
        <v/>
      </c>
      <c r="I464" s="527"/>
      <c r="J464" s="528" t="str">
        <f>IF($E464="",IFERROR(VLOOKUP($D464,SERVIÇOS!$C:$H,6,0),IFERROR(VLOOKUP($D464,$F:$M,8,0),"")),IFERROR(VLOOKUP($E464,INSUMOS!$B:$E,4,0),""))</f>
        <v/>
      </c>
      <c r="K464" s="528">
        <f>TRUNC(IF($E464="",IFERROR(VLOOKUP($D464,SERVIÇOS!$C:$H,4,0),IFERROR(VLOOKUP($D464,$F:$M,6,0),)),IFERROR(VLOOKUP($E464,INSUMOS!$B:$E,4,0),))*$I464,2)</f>
        <v>0</v>
      </c>
      <c r="L464" s="528">
        <f>TRUNC(IF($E464="",IFERROR(VLOOKUP($D464,SERVIÇOS!$C:$H,5,0),IFERROR(VLOOKUP($D464,$F:$M,7,0),)),0)*$I464,2)</f>
        <v>0</v>
      </c>
      <c r="M464" s="528">
        <f t="shared" si="15"/>
        <v>0</v>
      </c>
      <c r="N464" s="526"/>
    </row>
    <row r="465" spans="3:14">
      <c r="C465" s="526" t="str">
        <f t="shared" si="14"/>
        <v/>
      </c>
      <c r="D465" s="531"/>
      <c r="E465" s="531"/>
      <c r="F465" s="526"/>
      <c r="G465" s="532" t="str">
        <f>IF($E465="",IFERROR(VLOOKUP($D465,SERVIÇOS!$C:$H,2,0),IFERROR(VLOOKUP($D465,$F:$M,2,0),"")),IFERROR(VLOOKUP($E465,INSUMOS!$B:$E,2,0),""))</f>
        <v/>
      </c>
      <c r="H465" s="526" t="str">
        <f>IF($E465="",IFERROR(VLOOKUP($D465,SERVIÇOS!$C:$H,3,0),IFERROR(VLOOKUP($D465,$F:$M,3,0),"")),IFERROR(VLOOKUP($E465,INSUMOS!$B:$E,3,0),""))</f>
        <v/>
      </c>
      <c r="I465" s="527"/>
      <c r="J465" s="528" t="str">
        <f>IF($E465="",IFERROR(VLOOKUP($D465,SERVIÇOS!$C:$H,6,0),IFERROR(VLOOKUP($D465,$F:$M,8,0),"")),IFERROR(VLOOKUP($E465,INSUMOS!$B:$E,4,0),""))</f>
        <v/>
      </c>
      <c r="K465" s="528">
        <f>TRUNC(IF($E465="",IFERROR(VLOOKUP($D465,SERVIÇOS!$C:$H,4,0),IFERROR(VLOOKUP($D465,$F:$M,6,0),)),IFERROR(VLOOKUP($E465,INSUMOS!$B:$E,4,0),))*$I465,2)</f>
        <v>0</v>
      </c>
      <c r="L465" s="528">
        <f>TRUNC(IF($E465="",IFERROR(VLOOKUP($D465,SERVIÇOS!$C:$H,5,0),IFERROR(VLOOKUP($D465,$F:$M,7,0),)),0)*$I465,2)</f>
        <v>0</v>
      </c>
      <c r="M465" s="528">
        <f t="shared" si="15"/>
        <v>0</v>
      </c>
      <c r="N465" s="526"/>
    </row>
    <row r="466" spans="3:14">
      <c r="C466" s="526" t="str">
        <f t="shared" si="14"/>
        <v/>
      </c>
      <c r="D466" s="531"/>
      <c r="E466" s="531"/>
      <c r="F466" s="526"/>
      <c r="G466" s="532" t="str">
        <f>IF($E466="",IFERROR(VLOOKUP($D466,SERVIÇOS!$C:$H,2,0),IFERROR(VLOOKUP($D466,$F:$M,2,0),"")),IFERROR(VLOOKUP($E466,INSUMOS!$B:$E,2,0),""))</f>
        <v/>
      </c>
      <c r="H466" s="526" t="str">
        <f>IF($E466="",IFERROR(VLOOKUP($D466,SERVIÇOS!$C:$H,3,0),IFERROR(VLOOKUP($D466,$F:$M,3,0),"")),IFERROR(VLOOKUP($E466,INSUMOS!$B:$E,3,0),""))</f>
        <v/>
      </c>
      <c r="I466" s="527"/>
      <c r="J466" s="528" t="str">
        <f>IF($E466="",IFERROR(VLOOKUP($D466,SERVIÇOS!$C:$H,6,0),IFERROR(VLOOKUP($D466,$F:$M,8,0),"")),IFERROR(VLOOKUP($E466,INSUMOS!$B:$E,4,0),""))</f>
        <v/>
      </c>
      <c r="K466" s="528">
        <f>TRUNC(IF($E466="",IFERROR(VLOOKUP($D466,SERVIÇOS!$C:$H,4,0),IFERROR(VLOOKUP($D466,$F:$M,6,0),)),IFERROR(VLOOKUP($E466,INSUMOS!$B:$E,4,0),))*$I466,2)</f>
        <v>0</v>
      </c>
      <c r="L466" s="528">
        <f>TRUNC(IF($E466="",IFERROR(VLOOKUP($D466,SERVIÇOS!$C:$H,5,0),IFERROR(VLOOKUP($D466,$F:$M,7,0),)),0)*$I466,2)</f>
        <v>0</v>
      </c>
      <c r="M466" s="528">
        <f t="shared" si="15"/>
        <v>0</v>
      </c>
      <c r="N466" s="526"/>
    </row>
    <row r="467" spans="3:14">
      <c r="C467" s="526" t="str">
        <f t="shared" si="14"/>
        <v/>
      </c>
      <c r="D467" s="531"/>
      <c r="E467" s="531"/>
      <c r="F467" s="526"/>
      <c r="G467" s="532" t="str">
        <f>IF($E467="",IFERROR(VLOOKUP($D467,SERVIÇOS!$C:$H,2,0),IFERROR(VLOOKUP($D467,$F:$M,2,0),"")),IFERROR(VLOOKUP($E467,INSUMOS!$B:$E,2,0),""))</f>
        <v/>
      </c>
      <c r="H467" s="526" t="str">
        <f>IF($E467="",IFERROR(VLOOKUP($D467,SERVIÇOS!$C:$H,3,0),IFERROR(VLOOKUP($D467,$F:$M,3,0),"")),IFERROR(VLOOKUP($E467,INSUMOS!$B:$E,3,0),""))</f>
        <v/>
      </c>
      <c r="I467" s="527"/>
      <c r="J467" s="528" t="str">
        <f>IF($E467="",IFERROR(VLOOKUP($D467,SERVIÇOS!$C:$H,6,0),IFERROR(VLOOKUP($D467,$F:$M,8,0),"")),IFERROR(VLOOKUP($E467,INSUMOS!$B:$E,4,0),""))</f>
        <v/>
      </c>
      <c r="K467" s="528">
        <f>TRUNC(IF($E467="",IFERROR(VLOOKUP($D467,SERVIÇOS!$C:$H,4,0),IFERROR(VLOOKUP($D467,$F:$M,6,0),)),IFERROR(VLOOKUP($E467,INSUMOS!$B:$E,4,0),))*$I467,2)</f>
        <v>0</v>
      </c>
      <c r="L467" s="528">
        <f>TRUNC(IF($E467="",IFERROR(VLOOKUP($D467,SERVIÇOS!$C:$H,5,0),IFERROR(VLOOKUP($D467,$F:$M,7,0),)),0)*$I467,2)</f>
        <v>0</v>
      </c>
      <c r="M467" s="528">
        <f t="shared" si="15"/>
        <v>0</v>
      </c>
      <c r="N467" s="526"/>
    </row>
    <row r="468" spans="3:14">
      <c r="C468" s="526" t="str">
        <f t="shared" si="14"/>
        <v/>
      </c>
      <c r="D468" s="531"/>
      <c r="E468" s="531"/>
      <c r="F468" s="526"/>
      <c r="G468" s="532" t="str">
        <f>IF($E468="",IFERROR(VLOOKUP($D468,SERVIÇOS!$C:$H,2,0),IFERROR(VLOOKUP($D468,$F:$M,2,0),"")),IFERROR(VLOOKUP($E468,INSUMOS!$B:$E,2,0),""))</f>
        <v/>
      </c>
      <c r="H468" s="526" t="str">
        <f>IF($E468="",IFERROR(VLOOKUP($D468,SERVIÇOS!$C:$H,3,0),IFERROR(VLOOKUP($D468,$F:$M,3,0),"")),IFERROR(VLOOKUP($E468,INSUMOS!$B:$E,3,0),""))</f>
        <v/>
      </c>
      <c r="I468" s="527"/>
      <c r="J468" s="528" t="str">
        <f>IF($E468="",IFERROR(VLOOKUP($D468,SERVIÇOS!$C:$H,6,0),IFERROR(VLOOKUP($D468,$F:$M,8,0),"")),IFERROR(VLOOKUP($E468,INSUMOS!$B:$E,4,0),""))</f>
        <v/>
      </c>
      <c r="K468" s="528">
        <f>TRUNC(IF($E468="",IFERROR(VLOOKUP($D468,SERVIÇOS!$C:$H,4,0),IFERROR(VLOOKUP($D468,$F:$M,6,0),)),IFERROR(VLOOKUP($E468,INSUMOS!$B:$E,4,0),))*$I468,2)</f>
        <v>0</v>
      </c>
      <c r="L468" s="528">
        <f>TRUNC(IF($E468="",IFERROR(VLOOKUP($D468,SERVIÇOS!$C:$H,5,0),IFERROR(VLOOKUP($D468,$F:$M,7,0),)),0)*$I468,2)</f>
        <v>0</v>
      </c>
      <c r="M468" s="528">
        <f t="shared" si="15"/>
        <v>0</v>
      </c>
      <c r="N468" s="526"/>
    </row>
    <row r="469" spans="3:14">
      <c r="C469" s="526" t="str">
        <f t="shared" si="14"/>
        <v/>
      </c>
      <c r="D469" s="531"/>
      <c r="E469" s="531"/>
      <c r="F469" s="526"/>
      <c r="G469" s="532" t="str">
        <f>IF($E469="",IFERROR(VLOOKUP($D469,SERVIÇOS!$C:$H,2,0),IFERROR(VLOOKUP($D469,$F:$M,2,0),"")),IFERROR(VLOOKUP($E469,INSUMOS!$B:$E,2,0),""))</f>
        <v/>
      </c>
      <c r="H469" s="526" t="str">
        <f>IF($E469="",IFERROR(VLOOKUP($D469,SERVIÇOS!$C:$H,3,0),IFERROR(VLOOKUP($D469,$F:$M,3,0),"")),IFERROR(VLOOKUP($E469,INSUMOS!$B:$E,3,0),""))</f>
        <v/>
      </c>
      <c r="I469" s="527"/>
      <c r="J469" s="528" t="str">
        <f>IF($E469="",IFERROR(VLOOKUP($D469,SERVIÇOS!$C:$H,6,0),IFERROR(VLOOKUP($D469,$F:$M,8,0),"")),IFERROR(VLOOKUP($E469,INSUMOS!$B:$E,4,0),""))</f>
        <v/>
      </c>
      <c r="K469" s="528">
        <f>TRUNC(IF($E469="",IFERROR(VLOOKUP($D469,SERVIÇOS!$C:$H,4,0),IFERROR(VLOOKUP($D469,$F:$M,6,0),)),IFERROR(VLOOKUP($E469,INSUMOS!$B:$E,4,0),))*$I469,2)</f>
        <v>0</v>
      </c>
      <c r="L469" s="528">
        <f>TRUNC(IF($E469="",IFERROR(VLOOKUP($D469,SERVIÇOS!$C:$H,5,0),IFERROR(VLOOKUP($D469,$F:$M,7,0),)),0)*$I469,2)</f>
        <v>0</v>
      </c>
      <c r="M469" s="528">
        <f t="shared" si="15"/>
        <v>0</v>
      </c>
      <c r="N469" s="526"/>
    </row>
    <row r="470" spans="3:14">
      <c r="C470" s="526" t="str">
        <f t="shared" si="14"/>
        <v/>
      </c>
      <c r="D470" s="531"/>
      <c r="E470" s="531"/>
      <c r="F470" s="526"/>
      <c r="G470" s="532" t="str">
        <f>IF($E470="",IFERROR(VLOOKUP($D470,SERVIÇOS!$C:$H,2,0),IFERROR(VLOOKUP($D470,$F:$M,2,0),"")),IFERROR(VLOOKUP($E470,INSUMOS!$B:$E,2,0),""))</f>
        <v/>
      </c>
      <c r="H470" s="526" t="str">
        <f>IF($E470="",IFERROR(VLOOKUP($D470,SERVIÇOS!$C:$H,3,0),IFERROR(VLOOKUP($D470,$F:$M,3,0),"")),IFERROR(VLOOKUP($E470,INSUMOS!$B:$E,3,0),""))</f>
        <v/>
      </c>
      <c r="I470" s="527"/>
      <c r="J470" s="528" t="str">
        <f>IF($E470="",IFERROR(VLOOKUP($D470,SERVIÇOS!$C:$H,6,0),IFERROR(VLOOKUP($D470,$F:$M,8,0),"")),IFERROR(VLOOKUP($E470,INSUMOS!$B:$E,4,0),""))</f>
        <v/>
      </c>
      <c r="K470" s="528">
        <f>TRUNC(IF($E470="",IFERROR(VLOOKUP($D470,SERVIÇOS!$C:$H,4,0),IFERROR(VLOOKUP($D470,$F:$M,6,0),)),IFERROR(VLOOKUP($E470,INSUMOS!$B:$E,4,0),))*$I470,2)</f>
        <v>0</v>
      </c>
      <c r="L470" s="528">
        <f>TRUNC(IF($E470="",IFERROR(VLOOKUP($D470,SERVIÇOS!$C:$H,5,0),IFERROR(VLOOKUP($D470,$F:$M,7,0),)),0)*$I470,2)</f>
        <v>0</v>
      </c>
      <c r="M470" s="528">
        <f t="shared" si="15"/>
        <v>0</v>
      </c>
      <c r="N470" s="526"/>
    </row>
    <row r="471" spans="3:14">
      <c r="C471" s="526" t="str">
        <f t="shared" si="14"/>
        <v/>
      </c>
      <c r="D471" s="531"/>
      <c r="E471" s="531"/>
      <c r="F471" s="526"/>
      <c r="G471" s="532" t="str">
        <f>IF($E471="",IFERROR(VLOOKUP($D471,SERVIÇOS!$C:$H,2,0),IFERROR(VLOOKUP($D471,$F:$M,2,0),"")),IFERROR(VLOOKUP($E471,INSUMOS!$B:$E,2,0),""))</f>
        <v/>
      </c>
      <c r="H471" s="526" t="str">
        <f>IF($E471="",IFERROR(VLOOKUP($D471,SERVIÇOS!$C:$H,3,0),IFERROR(VLOOKUP($D471,$F:$M,3,0),"")),IFERROR(VLOOKUP($E471,INSUMOS!$B:$E,3,0),""))</f>
        <v/>
      </c>
      <c r="I471" s="527"/>
      <c r="J471" s="528" t="str">
        <f>IF($E471="",IFERROR(VLOOKUP($D471,SERVIÇOS!$C:$H,6,0),IFERROR(VLOOKUP($D471,$F:$M,8,0),"")),IFERROR(VLOOKUP($E471,INSUMOS!$B:$E,4,0),""))</f>
        <v/>
      </c>
      <c r="K471" s="528">
        <f>TRUNC(IF($E471="",IFERROR(VLOOKUP($D471,SERVIÇOS!$C:$H,4,0),IFERROR(VLOOKUP($D471,$F:$M,6,0),)),IFERROR(VLOOKUP($E471,INSUMOS!$B:$E,4,0),))*$I471,2)</f>
        <v>0</v>
      </c>
      <c r="L471" s="528">
        <f>TRUNC(IF($E471="",IFERROR(VLOOKUP($D471,SERVIÇOS!$C:$H,5,0),IFERROR(VLOOKUP($D471,$F:$M,7,0),)),0)*$I471,2)</f>
        <v>0</v>
      </c>
      <c r="M471" s="528">
        <f t="shared" si="15"/>
        <v>0</v>
      </c>
      <c r="N471" s="526"/>
    </row>
    <row r="472" spans="3:14">
      <c r="C472" s="526" t="str">
        <f t="shared" si="14"/>
        <v/>
      </c>
      <c r="D472" s="531"/>
      <c r="E472" s="531"/>
      <c r="F472" s="526"/>
      <c r="G472" s="532" t="str">
        <f>IF($E472="",IFERROR(VLOOKUP($D472,SERVIÇOS!$C:$H,2,0),IFERROR(VLOOKUP($D472,$F:$M,2,0),"")),IFERROR(VLOOKUP($E472,INSUMOS!$B:$E,2,0),""))</f>
        <v/>
      </c>
      <c r="H472" s="526" t="str">
        <f>IF($E472="",IFERROR(VLOOKUP($D472,SERVIÇOS!$C:$H,3,0),IFERROR(VLOOKUP($D472,$F:$M,3,0),"")),IFERROR(VLOOKUP($E472,INSUMOS!$B:$E,3,0),""))</f>
        <v/>
      </c>
      <c r="I472" s="527"/>
      <c r="J472" s="528" t="str">
        <f>IF($E472="",IFERROR(VLOOKUP($D472,SERVIÇOS!$C:$H,6,0),IFERROR(VLOOKUP($D472,$F:$M,8,0),"")),IFERROR(VLOOKUP($E472,INSUMOS!$B:$E,4,0),""))</f>
        <v/>
      </c>
      <c r="K472" s="528">
        <f>TRUNC(IF($E472="",IFERROR(VLOOKUP($D472,SERVIÇOS!$C:$H,4,0),IFERROR(VLOOKUP($D472,$F:$M,6,0),)),IFERROR(VLOOKUP($E472,INSUMOS!$B:$E,4,0),))*$I472,2)</f>
        <v>0</v>
      </c>
      <c r="L472" s="528">
        <f>TRUNC(IF($E472="",IFERROR(VLOOKUP($D472,SERVIÇOS!$C:$H,5,0),IFERROR(VLOOKUP($D472,$F:$M,7,0),)),0)*$I472,2)</f>
        <v>0</v>
      </c>
      <c r="M472" s="528">
        <f t="shared" si="15"/>
        <v>0</v>
      </c>
      <c r="N472" s="526"/>
    </row>
    <row r="473" spans="3:14">
      <c r="C473" s="526" t="str">
        <f t="shared" si="14"/>
        <v/>
      </c>
      <c r="D473" s="531"/>
      <c r="E473" s="531"/>
      <c r="F473" s="526"/>
      <c r="G473" s="532" t="str">
        <f>IF($E473="",IFERROR(VLOOKUP($D473,SERVIÇOS!$C:$H,2,0),IFERROR(VLOOKUP($D473,$F:$M,2,0),"")),IFERROR(VLOOKUP($E473,INSUMOS!$B:$E,2,0),""))</f>
        <v/>
      </c>
      <c r="H473" s="526" t="str">
        <f>IF($E473="",IFERROR(VLOOKUP($D473,SERVIÇOS!$C:$H,3,0),IFERROR(VLOOKUP($D473,$F:$M,3,0),"")),IFERROR(VLOOKUP($E473,INSUMOS!$B:$E,3,0),""))</f>
        <v/>
      </c>
      <c r="I473" s="527"/>
      <c r="J473" s="528" t="str">
        <f>IF($E473="",IFERROR(VLOOKUP($D473,SERVIÇOS!$C:$H,6,0),IFERROR(VLOOKUP($D473,$F:$M,8,0),"")),IFERROR(VLOOKUP($E473,INSUMOS!$B:$E,4,0),""))</f>
        <v/>
      </c>
      <c r="K473" s="528">
        <f>TRUNC(IF($E473="",IFERROR(VLOOKUP($D473,SERVIÇOS!$C:$H,4,0),IFERROR(VLOOKUP($D473,$F:$M,6,0),)),IFERROR(VLOOKUP($E473,INSUMOS!$B:$E,4,0),))*$I473,2)</f>
        <v>0</v>
      </c>
      <c r="L473" s="528">
        <f>TRUNC(IF($E473="",IFERROR(VLOOKUP($D473,SERVIÇOS!$C:$H,5,0),IFERROR(VLOOKUP($D473,$F:$M,7,0),)),0)*$I473,2)</f>
        <v>0</v>
      </c>
      <c r="M473" s="528">
        <f t="shared" si="15"/>
        <v>0</v>
      </c>
      <c r="N473" s="526"/>
    </row>
    <row r="474" spans="3:14">
      <c r="C474" s="526" t="str">
        <f t="shared" si="14"/>
        <v/>
      </c>
      <c r="D474" s="531"/>
      <c r="E474" s="531"/>
      <c r="F474" s="526"/>
      <c r="G474" s="532" t="str">
        <f>IF($E474="",IFERROR(VLOOKUP($D474,SERVIÇOS!$C:$H,2,0),IFERROR(VLOOKUP($D474,$F:$M,2,0),"")),IFERROR(VLOOKUP($E474,INSUMOS!$B:$E,2,0),""))</f>
        <v/>
      </c>
      <c r="H474" s="526" t="str">
        <f>IF($E474="",IFERROR(VLOOKUP($D474,SERVIÇOS!$C:$H,3,0),IFERROR(VLOOKUP($D474,$F:$M,3,0),"")),IFERROR(VLOOKUP($E474,INSUMOS!$B:$E,3,0),""))</f>
        <v/>
      </c>
      <c r="I474" s="527"/>
      <c r="J474" s="528" t="str">
        <f>IF($E474="",IFERROR(VLOOKUP($D474,SERVIÇOS!$C:$H,6,0),IFERROR(VLOOKUP($D474,$F:$M,8,0),"")),IFERROR(VLOOKUP($E474,INSUMOS!$B:$E,4,0),""))</f>
        <v/>
      </c>
      <c r="K474" s="528">
        <f>TRUNC(IF($E474="",IFERROR(VLOOKUP($D474,SERVIÇOS!$C:$H,4,0),IFERROR(VLOOKUP($D474,$F:$M,6,0),)),IFERROR(VLOOKUP($E474,INSUMOS!$B:$E,4,0),))*$I474,2)</f>
        <v>0</v>
      </c>
      <c r="L474" s="528">
        <f>TRUNC(IF($E474="",IFERROR(VLOOKUP($D474,SERVIÇOS!$C:$H,5,0),IFERROR(VLOOKUP($D474,$F:$M,7,0),)),0)*$I474,2)</f>
        <v>0</v>
      </c>
      <c r="M474" s="528">
        <f t="shared" si="15"/>
        <v>0</v>
      </c>
      <c r="N474" s="526"/>
    </row>
    <row r="475" spans="3:14">
      <c r="C475" s="526" t="str">
        <f t="shared" si="14"/>
        <v/>
      </c>
      <c r="D475" s="531"/>
      <c r="E475" s="531"/>
      <c r="F475" s="526"/>
      <c r="G475" s="532" t="str">
        <f>IF($E475="",IFERROR(VLOOKUP($D475,SERVIÇOS!$C:$H,2,0),IFERROR(VLOOKUP($D475,$F:$M,2,0),"")),IFERROR(VLOOKUP($E475,INSUMOS!$B:$E,2,0),""))</f>
        <v/>
      </c>
      <c r="H475" s="526" t="str">
        <f>IF($E475="",IFERROR(VLOOKUP($D475,SERVIÇOS!$C:$H,3,0),IFERROR(VLOOKUP($D475,$F:$M,3,0),"")),IFERROR(VLOOKUP($E475,INSUMOS!$B:$E,3,0),""))</f>
        <v/>
      </c>
      <c r="I475" s="527"/>
      <c r="J475" s="528" t="str">
        <f>IF($E475="",IFERROR(VLOOKUP($D475,SERVIÇOS!$C:$H,6,0),IFERROR(VLOOKUP($D475,$F:$M,8,0),"")),IFERROR(VLOOKUP($E475,INSUMOS!$B:$E,4,0),""))</f>
        <v/>
      </c>
      <c r="K475" s="528">
        <f>TRUNC(IF($E475="",IFERROR(VLOOKUP($D475,SERVIÇOS!$C:$H,4,0),IFERROR(VLOOKUP($D475,$F:$M,6,0),)),IFERROR(VLOOKUP($E475,INSUMOS!$B:$E,4,0),))*$I475,2)</f>
        <v>0</v>
      </c>
      <c r="L475" s="528">
        <f>TRUNC(IF($E475="",IFERROR(VLOOKUP($D475,SERVIÇOS!$C:$H,5,0),IFERROR(VLOOKUP($D475,$F:$M,7,0),)),0)*$I475,2)</f>
        <v>0</v>
      </c>
      <c r="M475" s="528">
        <f t="shared" si="15"/>
        <v>0</v>
      </c>
      <c r="N475" s="526"/>
    </row>
    <row r="476" spans="3:14">
      <c r="C476" s="526" t="str">
        <f t="shared" si="14"/>
        <v/>
      </c>
      <c r="D476" s="531"/>
      <c r="E476" s="531"/>
      <c r="F476" s="526"/>
      <c r="G476" s="532" t="str">
        <f>IF($E476="",IFERROR(VLOOKUP($D476,SERVIÇOS!$C:$H,2,0),IFERROR(VLOOKUP($D476,$F:$M,2,0),"")),IFERROR(VLOOKUP($E476,INSUMOS!$B:$E,2,0),""))</f>
        <v/>
      </c>
      <c r="H476" s="526" t="str">
        <f>IF($E476="",IFERROR(VLOOKUP($D476,SERVIÇOS!$C:$H,3,0),IFERROR(VLOOKUP($D476,$F:$M,3,0),"")),IFERROR(VLOOKUP($E476,INSUMOS!$B:$E,3,0),""))</f>
        <v/>
      </c>
      <c r="I476" s="527"/>
      <c r="J476" s="528" t="str">
        <f>IF($E476="",IFERROR(VLOOKUP($D476,SERVIÇOS!$C:$H,6,0),IFERROR(VLOOKUP($D476,$F:$M,8,0),"")),IFERROR(VLOOKUP($E476,INSUMOS!$B:$E,4,0),""))</f>
        <v/>
      </c>
      <c r="K476" s="528">
        <f>TRUNC(IF($E476="",IFERROR(VLOOKUP($D476,SERVIÇOS!$C:$H,4,0),IFERROR(VLOOKUP($D476,$F:$M,6,0),)),IFERROR(VLOOKUP($E476,INSUMOS!$B:$E,4,0),))*$I476,2)</f>
        <v>0</v>
      </c>
      <c r="L476" s="528">
        <f>TRUNC(IF($E476="",IFERROR(VLOOKUP($D476,SERVIÇOS!$C:$H,5,0),IFERROR(VLOOKUP($D476,$F:$M,7,0),)),0)*$I476,2)</f>
        <v>0</v>
      </c>
      <c r="M476" s="528">
        <f t="shared" si="15"/>
        <v>0</v>
      </c>
      <c r="N476" s="526"/>
    </row>
    <row r="477" spans="3:14">
      <c r="C477" s="526" t="str">
        <f t="shared" si="14"/>
        <v/>
      </c>
      <c r="D477" s="531"/>
      <c r="E477" s="531"/>
      <c r="F477" s="526"/>
      <c r="G477" s="532" t="str">
        <f>IF($E477="",IFERROR(VLOOKUP($D477,SERVIÇOS!$C:$H,2,0),IFERROR(VLOOKUP($D477,$F:$M,2,0),"")),IFERROR(VLOOKUP($E477,INSUMOS!$B:$E,2,0),""))</f>
        <v/>
      </c>
      <c r="H477" s="526" t="str">
        <f>IF($E477="",IFERROR(VLOOKUP($D477,SERVIÇOS!$C:$H,3,0),IFERROR(VLOOKUP($D477,$F:$M,3,0),"")),IFERROR(VLOOKUP($E477,INSUMOS!$B:$E,3,0),""))</f>
        <v/>
      </c>
      <c r="I477" s="527"/>
      <c r="J477" s="528" t="str">
        <f>IF($E477="",IFERROR(VLOOKUP($D477,SERVIÇOS!$C:$H,6,0),IFERROR(VLOOKUP($D477,$F:$M,8,0),"")),IFERROR(VLOOKUP($E477,INSUMOS!$B:$E,4,0),""))</f>
        <v/>
      </c>
      <c r="K477" s="528">
        <f>TRUNC(IF($E477="",IFERROR(VLOOKUP($D477,SERVIÇOS!$C:$H,4,0),IFERROR(VLOOKUP($D477,$F:$M,6,0),)),IFERROR(VLOOKUP($E477,INSUMOS!$B:$E,4,0),))*$I477,2)</f>
        <v>0</v>
      </c>
      <c r="L477" s="528">
        <f>TRUNC(IF($E477="",IFERROR(VLOOKUP($D477,SERVIÇOS!$C:$H,5,0),IFERROR(VLOOKUP($D477,$F:$M,7,0),)),0)*$I477,2)</f>
        <v>0</v>
      </c>
      <c r="M477" s="528">
        <f t="shared" si="15"/>
        <v>0</v>
      </c>
      <c r="N477" s="526"/>
    </row>
    <row r="478" spans="3:14">
      <c r="C478" s="526" t="str">
        <f t="shared" si="14"/>
        <v/>
      </c>
      <c r="D478" s="531"/>
      <c r="E478" s="531"/>
      <c r="F478" s="526"/>
      <c r="G478" s="532" t="str">
        <f>IF($E478="",IFERROR(VLOOKUP($D478,SERVIÇOS!$C:$H,2,0),IFERROR(VLOOKUP($D478,$F:$M,2,0),"")),IFERROR(VLOOKUP($E478,INSUMOS!$B:$E,2,0),""))</f>
        <v/>
      </c>
      <c r="H478" s="526" t="str">
        <f>IF($E478="",IFERROR(VLOOKUP($D478,SERVIÇOS!$C:$H,3,0),IFERROR(VLOOKUP($D478,$F:$M,3,0),"")),IFERROR(VLOOKUP($E478,INSUMOS!$B:$E,3,0),""))</f>
        <v/>
      </c>
      <c r="I478" s="527"/>
      <c r="J478" s="528" t="str">
        <f>IF($E478="",IFERROR(VLOOKUP($D478,SERVIÇOS!$C:$H,6,0),IFERROR(VLOOKUP($D478,$F:$M,8,0),"")),IFERROR(VLOOKUP($E478,INSUMOS!$B:$E,4,0),""))</f>
        <v/>
      </c>
      <c r="K478" s="528">
        <f>TRUNC(IF($E478="",IFERROR(VLOOKUP($D478,SERVIÇOS!$C:$H,4,0),IFERROR(VLOOKUP($D478,$F:$M,6,0),)),IFERROR(VLOOKUP($E478,INSUMOS!$B:$E,4,0),))*$I478,2)</f>
        <v>0</v>
      </c>
      <c r="L478" s="528">
        <f>TRUNC(IF($E478="",IFERROR(VLOOKUP($D478,SERVIÇOS!$C:$H,5,0),IFERROR(VLOOKUP($D478,$F:$M,7,0),)),0)*$I478,2)</f>
        <v>0</v>
      </c>
      <c r="M478" s="528">
        <f t="shared" si="15"/>
        <v>0</v>
      </c>
      <c r="N478" s="526"/>
    </row>
    <row r="479" spans="3:14">
      <c r="C479" s="526" t="str">
        <f t="shared" si="14"/>
        <v/>
      </c>
      <c r="D479" s="531"/>
      <c r="E479" s="531"/>
      <c r="F479" s="526"/>
      <c r="G479" s="532" t="str">
        <f>IF($E479="",IFERROR(VLOOKUP($D479,SERVIÇOS!$C:$H,2,0),IFERROR(VLOOKUP($D479,$F:$M,2,0),"")),IFERROR(VLOOKUP($E479,INSUMOS!$B:$E,2,0),""))</f>
        <v/>
      </c>
      <c r="H479" s="526" t="str">
        <f>IF($E479="",IFERROR(VLOOKUP($D479,SERVIÇOS!$C:$H,3,0),IFERROR(VLOOKUP($D479,$F:$M,3,0),"")),IFERROR(VLOOKUP($E479,INSUMOS!$B:$E,3,0),""))</f>
        <v/>
      </c>
      <c r="I479" s="527"/>
      <c r="J479" s="528" t="str">
        <f>IF($E479="",IFERROR(VLOOKUP($D479,SERVIÇOS!$C:$H,6,0),IFERROR(VLOOKUP($D479,$F:$M,8,0),"")),IFERROR(VLOOKUP($E479,INSUMOS!$B:$E,4,0),""))</f>
        <v/>
      </c>
      <c r="K479" s="528">
        <f>TRUNC(IF($E479="",IFERROR(VLOOKUP($D479,SERVIÇOS!$C:$H,4,0),IFERROR(VLOOKUP($D479,$F:$M,6,0),)),IFERROR(VLOOKUP($E479,INSUMOS!$B:$E,4,0),))*$I479,2)</f>
        <v>0</v>
      </c>
      <c r="L479" s="528">
        <f>TRUNC(IF($E479="",IFERROR(VLOOKUP($D479,SERVIÇOS!$C:$H,5,0),IFERROR(VLOOKUP($D479,$F:$M,7,0),)),0)*$I479,2)</f>
        <v>0</v>
      </c>
      <c r="M479" s="528">
        <f t="shared" si="15"/>
        <v>0</v>
      </c>
      <c r="N479" s="526"/>
    </row>
    <row r="480" spans="3:14">
      <c r="C480" s="526" t="str">
        <f t="shared" si="14"/>
        <v/>
      </c>
      <c r="D480" s="531"/>
      <c r="E480" s="531"/>
      <c r="F480" s="526"/>
      <c r="G480" s="532" t="str">
        <f>IF($E480="",IFERROR(VLOOKUP($D480,SERVIÇOS!$C:$H,2,0),IFERROR(VLOOKUP($D480,$F:$M,2,0),"")),IFERROR(VLOOKUP($E480,INSUMOS!$B:$E,2,0),""))</f>
        <v/>
      </c>
      <c r="H480" s="526" t="str">
        <f>IF($E480="",IFERROR(VLOOKUP($D480,SERVIÇOS!$C:$H,3,0),IFERROR(VLOOKUP($D480,$F:$M,3,0),"")),IFERROR(VLOOKUP($E480,INSUMOS!$B:$E,3,0),""))</f>
        <v/>
      </c>
      <c r="I480" s="527"/>
      <c r="J480" s="528" t="str">
        <f>IF($E480="",IFERROR(VLOOKUP($D480,SERVIÇOS!$C:$H,6,0),IFERROR(VLOOKUP($D480,$F:$M,8,0),"")),IFERROR(VLOOKUP($E480,INSUMOS!$B:$E,4,0),""))</f>
        <v/>
      </c>
      <c r="K480" s="528">
        <f>TRUNC(IF($E480="",IFERROR(VLOOKUP($D480,SERVIÇOS!$C:$H,4,0),IFERROR(VLOOKUP($D480,$F:$M,6,0),)),IFERROR(VLOOKUP($E480,INSUMOS!$B:$E,4,0),))*$I480,2)</f>
        <v>0</v>
      </c>
      <c r="L480" s="528">
        <f>TRUNC(IF($E480="",IFERROR(VLOOKUP($D480,SERVIÇOS!$C:$H,5,0),IFERROR(VLOOKUP($D480,$F:$M,7,0),)),0)*$I480,2)</f>
        <v>0</v>
      </c>
      <c r="M480" s="528">
        <f t="shared" si="15"/>
        <v>0</v>
      </c>
      <c r="N480" s="526"/>
    </row>
    <row r="481" spans="3:14">
      <c r="C481" s="526" t="str">
        <f t="shared" si="14"/>
        <v/>
      </c>
      <c r="D481" s="531"/>
      <c r="E481" s="531"/>
      <c r="F481" s="526"/>
      <c r="G481" s="532" t="str">
        <f>IF($E481="",IFERROR(VLOOKUP($D481,SERVIÇOS!$C:$H,2,0),IFERROR(VLOOKUP($D481,$F:$M,2,0),"")),IFERROR(VLOOKUP($E481,INSUMOS!$B:$E,2,0),""))</f>
        <v/>
      </c>
      <c r="H481" s="526" t="str">
        <f>IF($E481="",IFERROR(VLOOKUP($D481,SERVIÇOS!$C:$H,3,0),IFERROR(VLOOKUP($D481,$F:$M,3,0),"")),IFERROR(VLOOKUP($E481,INSUMOS!$B:$E,3,0),""))</f>
        <v/>
      </c>
      <c r="I481" s="527"/>
      <c r="J481" s="528" t="str">
        <f>IF($E481="",IFERROR(VLOOKUP($D481,SERVIÇOS!$C:$H,6,0),IFERROR(VLOOKUP($D481,$F:$M,8,0),"")),IFERROR(VLOOKUP($E481,INSUMOS!$B:$E,4,0),""))</f>
        <v/>
      </c>
      <c r="K481" s="528">
        <f>TRUNC(IF($E481="",IFERROR(VLOOKUP($D481,SERVIÇOS!$C:$H,4,0),IFERROR(VLOOKUP($D481,$F:$M,6,0),)),IFERROR(VLOOKUP($E481,INSUMOS!$B:$E,4,0),))*$I481,2)</f>
        <v>0</v>
      </c>
      <c r="L481" s="528">
        <f>TRUNC(IF($E481="",IFERROR(VLOOKUP($D481,SERVIÇOS!$C:$H,5,0),IFERROR(VLOOKUP($D481,$F:$M,7,0),)),0)*$I481,2)</f>
        <v>0</v>
      </c>
      <c r="M481" s="528">
        <f t="shared" si="15"/>
        <v>0</v>
      </c>
      <c r="N481" s="526"/>
    </row>
  </sheetData>
  <autoFilter ref="C10:N481" xr:uid="{00000000-0009-0000-0000-00000E000000}"/>
  <mergeCells count="9">
    <mergeCell ref="N8:N9"/>
    <mergeCell ref="C7:N7"/>
    <mergeCell ref="C8:C9"/>
    <mergeCell ref="D8:E8"/>
    <mergeCell ref="F8:F9"/>
    <mergeCell ref="G8:G9"/>
    <mergeCell ref="H8:H9"/>
    <mergeCell ref="I8:I9"/>
    <mergeCell ref="J8:J9"/>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8">
    <pageSetUpPr fitToPage="1"/>
  </sheetPr>
  <dimension ref="A1:K51"/>
  <sheetViews>
    <sheetView view="pageBreakPreview" zoomScaleNormal="100" workbookViewId="0">
      <selection activeCell="J24" sqref="J24"/>
    </sheetView>
  </sheetViews>
  <sheetFormatPr defaultRowHeight="15"/>
  <cols>
    <col min="6" max="6" width="18" customWidth="1"/>
    <col min="8" max="8" width="12" customWidth="1"/>
  </cols>
  <sheetData>
    <row r="1" spans="1:10" s="2" customFormat="1" ht="61.5" customHeight="1">
      <c r="A1" s="1157"/>
      <c r="B1" s="1158"/>
      <c r="C1" s="1158"/>
      <c r="D1" s="1158"/>
      <c r="E1" s="1158"/>
      <c r="F1" s="1158"/>
      <c r="G1" s="1158"/>
      <c r="H1" s="1159"/>
      <c r="I1" s="4"/>
      <c r="J1" s="1"/>
    </row>
    <row r="2" spans="1:10" s="2" customFormat="1" ht="15" customHeight="1">
      <c r="A2" s="1160" t="s">
        <v>503</v>
      </c>
      <c r="B2" s="1161"/>
      <c r="C2" s="1161"/>
      <c r="D2" s="1161"/>
      <c r="E2" s="1161"/>
      <c r="F2" s="1161"/>
      <c r="G2" s="1161"/>
      <c r="H2" s="1162"/>
      <c r="I2" s="4"/>
      <c r="J2" s="1"/>
    </row>
    <row r="3" spans="1:10" s="2" customFormat="1" ht="15" customHeight="1">
      <c r="A3" s="14"/>
      <c r="B3" s="15"/>
      <c r="C3" s="15"/>
      <c r="D3" s="15"/>
      <c r="E3" s="15"/>
      <c r="F3" s="15"/>
      <c r="G3" s="15"/>
      <c r="H3" s="16"/>
      <c r="I3" s="4"/>
      <c r="J3" s="1"/>
    </row>
    <row r="4" spans="1:10" s="2" customFormat="1" ht="15" customHeight="1">
      <c r="A4" s="17" t="s">
        <v>2227</v>
      </c>
      <c r="B4" s="15"/>
      <c r="C4" s="15"/>
      <c r="D4" s="15"/>
      <c r="E4" s="15"/>
      <c r="F4" s="15"/>
      <c r="G4" s="15"/>
      <c r="H4" s="18" t="s">
        <v>2228</v>
      </c>
      <c r="I4" s="4"/>
      <c r="J4" s="1"/>
    </row>
    <row r="5" spans="1:10" s="2" customFormat="1" ht="15" customHeight="1" thickBot="1">
      <c r="A5" s="19"/>
      <c r="B5" s="1"/>
      <c r="C5" s="20"/>
      <c r="D5" s="3"/>
      <c r="E5" s="3"/>
      <c r="F5" s="3"/>
      <c r="G5" s="21"/>
      <c r="H5" s="22"/>
      <c r="I5" s="4"/>
      <c r="J5" s="1"/>
    </row>
    <row r="6" spans="1:10" ht="15.75" thickBot="1">
      <c r="A6" s="1163" t="s">
        <v>499</v>
      </c>
      <c r="B6" s="1164"/>
      <c r="C6" s="1164"/>
      <c r="D6" s="1164"/>
      <c r="E6" s="1164"/>
      <c r="F6" s="1164"/>
      <c r="G6" s="1164"/>
      <c r="H6" s="1165"/>
    </row>
    <row r="7" spans="1:10" ht="8.1" customHeight="1" thickBot="1">
      <c r="A7" s="23"/>
      <c r="B7" s="5"/>
      <c r="C7" s="5"/>
      <c r="D7" s="5"/>
      <c r="E7" s="5"/>
      <c r="F7" s="5"/>
      <c r="G7" s="5"/>
      <c r="H7" s="24"/>
    </row>
    <row r="8" spans="1:10" s="6" customFormat="1" ht="24.75" customHeight="1" thickBot="1">
      <c r="A8" s="10" t="s">
        <v>504</v>
      </c>
      <c r="B8" s="1166" t="s">
        <v>791</v>
      </c>
      <c r="C8" s="1167"/>
      <c r="D8" s="1167"/>
      <c r="E8" s="1167"/>
      <c r="F8" s="1168"/>
      <c r="G8" s="11" t="s">
        <v>505</v>
      </c>
      <c r="H8" s="11" t="s">
        <v>506</v>
      </c>
    </row>
    <row r="9" spans="1:10" ht="8.1" customHeight="1" thickBot="1">
      <c r="A9" s="23"/>
      <c r="B9" s="5"/>
      <c r="C9" s="5"/>
      <c r="D9" s="5"/>
      <c r="E9" s="5"/>
      <c r="F9" s="5"/>
      <c r="G9" s="5"/>
      <c r="H9" s="24"/>
    </row>
    <row r="10" spans="1:10" ht="15.75" thickBot="1">
      <c r="A10" s="1154" t="s">
        <v>500</v>
      </c>
      <c r="B10" s="1155"/>
      <c r="C10" s="1155"/>
      <c r="D10" s="1155"/>
      <c r="E10" s="1155"/>
      <c r="F10" s="1155"/>
      <c r="G10" s="1155"/>
      <c r="H10" s="1156"/>
    </row>
    <row r="11" spans="1:10" ht="15.75" thickBot="1">
      <c r="A11" s="12" t="s">
        <v>507</v>
      </c>
      <c r="B11" s="1151" t="s">
        <v>516</v>
      </c>
      <c r="C11" s="1152"/>
      <c r="D11" s="1152"/>
      <c r="E11" s="1152"/>
      <c r="F11" s="1153"/>
      <c r="G11" s="13">
        <v>0</v>
      </c>
      <c r="H11" s="13">
        <v>0</v>
      </c>
    </row>
    <row r="12" spans="1:10" ht="15.75" thickBot="1">
      <c r="A12" s="12" t="s">
        <v>508</v>
      </c>
      <c r="B12" s="1134" t="s">
        <v>517</v>
      </c>
      <c r="C12" s="1134"/>
      <c r="D12" s="1134"/>
      <c r="E12" s="1134"/>
      <c r="F12" s="1134"/>
      <c r="G12" s="13">
        <v>1.5</v>
      </c>
      <c r="H12" s="13">
        <v>1.5</v>
      </c>
    </row>
    <row r="13" spans="1:10" ht="15.75" thickBot="1">
      <c r="A13" s="12" t="s">
        <v>509</v>
      </c>
      <c r="B13" s="1134" t="s">
        <v>518</v>
      </c>
      <c r="C13" s="1134"/>
      <c r="D13" s="1134"/>
      <c r="E13" s="1134"/>
      <c r="F13" s="1134"/>
      <c r="G13" s="13">
        <v>1</v>
      </c>
      <c r="H13" s="13">
        <v>1</v>
      </c>
    </row>
    <row r="14" spans="1:10" ht="15.75" thickBot="1">
      <c r="A14" s="12" t="s">
        <v>510</v>
      </c>
      <c r="B14" s="1134" t="s">
        <v>519</v>
      </c>
      <c r="C14" s="1134"/>
      <c r="D14" s="1134"/>
      <c r="E14" s="1134"/>
      <c r="F14" s="1134"/>
      <c r="G14" s="13">
        <v>0.2</v>
      </c>
      <c r="H14" s="13">
        <v>0.2</v>
      </c>
    </row>
    <row r="15" spans="1:10" ht="15.75" thickBot="1">
      <c r="A15" s="12" t="s">
        <v>511</v>
      </c>
      <c r="B15" s="1134" t="s">
        <v>520</v>
      </c>
      <c r="C15" s="1134"/>
      <c r="D15" s="1134"/>
      <c r="E15" s="1134"/>
      <c r="F15" s="1134"/>
      <c r="G15" s="13">
        <v>0.6</v>
      </c>
      <c r="H15" s="13">
        <v>0.6</v>
      </c>
    </row>
    <row r="16" spans="1:10" ht="15.75" thickBot="1">
      <c r="A16" s="12" t="s">
        <v>512</v>
      </c>
      <c r="B16" s="1134" t="s">
        <v>521</v>
      </c>
      <c r="C16" s="1134"/>
      <c r="D16" s="1134"/>
      <c r="E16" s="1134"/>
      <c r="F16" s="1134"/>
      <c r="G16" s="13">
        <v>2.5</v>
      </c>
      <c r="H16" s="13">
        <v>2.5</v>
      </c>
    </row>
    <row r="17" spans="1:11" ht="15.75" thickBot="1">
      <c r="A17" s="12" t="s">
        <v>513</v>
      </c>
      <c r="B17" s="1134" t="s">
        <v>522</v>
      </c>
      <c r="C17" s="1134"/>
      <c r="D17" s="1134"/>
      <c r="E17" s="1134"/>
      <c r="F17" s="1134"/>
      <c r="G17" s="13">
        <v>3</v>
      </c>
      <c r="H17" s="13">
        <v>3</v>
      </c>
    </row>
    <row r="18" spans="1:11" ht="15.75" thickBot="1">
      <c r="A18" s="12" t="s">
        <v>514</v>
      </c>
      <c r="B18" s="1134" t="s">
        <v>523</v>
      </c>
      <c r="C18" s="1134"/>
      <c r="D18" s="1134"/>
      <c r="E18" s="1134"/>
      <c r="F18" s="1134"/>
      <c r="G18" s="13">
        <v>8</v>
      </c>
      <c r="H18" s="13">
        <v>8</v>
      </c>
    </row>
    <row r="19" spans="1:11" ht="15.75" thickBot="1">
      <c r="A19" s="12" t="s">
        <v>515</v>
      </c>
      <c r="B19" s="1151" t="s">
        <v>524</v>
      </c>
      <c r="C19" s="1152"/>
      <c r="D19" s="1152"/>
      <c r="E19" s="1152"/>
      <c r="F19" s="1153"/>
      <c r="G19" s="13">
        <v>1</v>
      </c>
      <c r="H19" s="13">
        <v>1</v>
      </c>
      <c r="J19" s="8"/>
      <c r="K19" s="8"/>
    </row>
    <row r="20" spans="1:11" s="9" customFormat="1" ht="15.75" thickBot="1">
      <c r="A20" s="32" t="s">
        <v>525</v>
      </c>
      <c r="B20" s="1148" t="s">
        <v>526</v>
      </c>
      <c r="C20" s="1149"/>
      <c r="D20" s="1149"/>
      <c r="E20" s="1149"/>
      <c r="F20" s="1150"/>
      <c r="G20" s="33">
        <v>17.8</v>
      </c>
      <c r="H20" s="33">
        <v>17.8</v>
      </c>
      <c r="J20" s="34"/>
      <c r="K20" s="34"/>
    </row>
    <row r="21" spans="1:11" ht="8.1" customHeight="1" thickBot="1">
      <c r="A21" s="25"/>
      <c r="B21" s="26"/>
      <c r="C21" s="26"/>
      <c r="D21" s="26"/>
      <c r="E21" s="26"/>
      <c r="F21" s="26"/>
      <c r="G21" s="26"/>
      <c r="H21" s="27"/>
    </row>
    <row r="22" spans="1:11" ht="15.75" thickBot="1">
      <c r="A22" s="1154" t="s">
        <v>501</v>
      </c>
      <c r="B22" s="1155"/>
      <c r="C22" s="1155"/>
      <c r="D22" s="1155"/>
      <c r="E22" s="1155"/>
      <c r="F22" s="1155"/>
      <c r="G22" s="1155"/>
      <c r="H22" s="1156"/>
    </row>
    <row r="23" spans="1:11" ht="15.75" thickBot="1">
      <c r="A23" s="12" t="s">
        <v>527</v>
      </c>
      <c r="B23" s="1151" t="s">
        <v>538</v>
      </c>
      <c r="C23" s="1152"/>
      <c r="D23" s="1152"/>
      <c r="E23" s="1152"/>
      <c r="F23" s="1153"/>
      <c r="G23" s="13">
        <v>17.89</v>
      </c>
      <c r="H23" s="13" t="s">
        <v>792</v>
      </c>
      <c r="J23" s="8"/>
      <c r="K23" s="8"/>
    </row>
    <row r="24" spans="1:11" ht="15.75" thickBot="1">
      <c r="A24" s="12" t="s">
        <v>528</v>
      </c>
      <c r="B24" s="1134" t="s">
        <v>539</v>
      </c>
      <c r="C24" s="1134"/>
      <c r="D24" s="1134"/>
      <c r="E24" s="1134"/>
      <c r="F24" s="1134"/>
      <c r="G24" s="13">
        <v>3.96</v>
      </c>
      <c r="H24" s="13" t="s">
        <v>792</v>
      </c>
    </row>
    <row r="25" spans="1:11" ht="15.75" thickBot="1">
      <c r="A25" s="12" t="s">
        <v>529</v>
      </c>
      <c r="B25" s="1134" t="s">
        <v>873</v>
      </c>
      <c r="C25" s="1134"/>
      <c r="D25" s="1134"/>
      <c r="E25" s="1134"/>
      <c r="F25" s="1134"/>
      <c r="G25" s="13">
        <v>0.91</v>
      </c>
      <c r="H25" s="13">
        <v>0.69</v>
      </c>
    </row>
    <row r="26" spans="1:11" ht="15.75" thickBot="1">
      <c r="A26" s="12" t="s">
        <v>530</v>
      </c>
      <c r="B26" s="1134" t="s">
        <v>874</v>
      </c>
      <c r="C26" s="1134"/>
      <c r="D26" s="1134"/>
      <c r="E26" s="1134"/>
      <c r="F26" s="1134"/>
      <c r="G26" s="13">
        <v>10.9</v>
      </c>
      <c r="H26" s="13">
        <v>8.33</v>
      </c>
    </row>
    <row r="27" spans="1:11" ht="15.75" thickBot="1">
      <c r="A27" s="12" t="s">
        <v>531</v>
      </c>
      <c r="B27" s="1134" t="s">
        <v>875</v>
      </c>
      <c r="C27" s="1134"/>
      <c r="D27" s="1134"/>
      <c r="E27" s="1134"/>
      <c r="F27" s="1134"/>
      <c r="G27" s="13">
        <v>0.08</v>
      </c>
      <c r="H27" s="13">
        <v>0.06</v>
      </c>
    </row>
    <row r="28" spans="1:11" ht="15.75" thickBot="1">
      <c r="A28" s="12" t="s">
        <v>532</v>
      </c>
      <c r="B28" s="1134" t="s">
        <v>876</v>
      </c>
      <c r="C28" s="1134"/>
      <c r="D28" s="1134"/>
      <c r="E28" s="1134"/>
      <c r="F28" s="1134"/>
      <c r="G28" s="13">
        <v>0.73</v>
      </c>
      <c r="H28" s="13">
        <v>0.56000000000000005</v>
      </c>
    </row>
    <row r="29" spans="1:11" ht="15.75" thickBot="1">
      <c r="A29" s="12" t="s">
        <v>533</v>
      </c>
      <c r="B29" s="1134" t="s">
        <v>877</v>
      </c>
      <c r="C29" s="1134"/>
      <c r="D29" s="1134"/>
      <c r="E29" s="1134"/>
      <c r="F29" s="1134"/>
      <c r="G29" s="13">
        <v>1.51</v>
      </c>
      <c r="H29" s="13" t="s">
        <v>792</v>
      </c>
    </row>
    <row r="30" spans="1:11" ht="15.75" thickBot="1">
      <c r="A30" s="12" t="s">
        <v>534</v>
      </c>
      <c r="B30" s="1134" t="s">
        <v>878</v>
      </c>
      <c r="C30" s="1134"/>
      <c r="D30" s="1134"/>
      <c r="E30" s="1134"/>
      <c r="F30" s="1134"/>
      <c r="G30" s="13">
        <v>0.12</v>
      </c>
      <c r="H30" s="13">
        <v>0.09</v>
      </c>
    </row>
    <row r="31" spans="1:11" ht="15.75" thickBot="1">
      <c r="A31" s="12" t="s">
        <v>535</v>
      </c>
      <c r="B31" s="1151" t="s">
        <v>879</v>
      </c>
      <c r="C31" s="1152"/>
      <c r="D31" s="1152"/>
      <c r="E31" s="1152"/>
      <c r="F31" s="1153"/>
      <c r="G31" s="13">
        <v>9.92</v>
      </c>
      <c r="H31" s="13">
        <v>7.58</v>
      </c>
    </row>
    <row r="32" spans="1:11" ht="15.75" thickBot="1">
      <c r="A32" s="12" t="s">
        <v>536</v>
      </c>
      <c r="B32" s="1151" t="s">
        <v>880</v>
      </c>
      <c r="C32" s="1152"/>
      <c r="D32" s="1152"/>
      <c r="E32" s="1152"/>
      <c r="F32" s="1153"/>
      <c r="G32" s="13">
        <v>0.03</v>
      </c>
      <c r="H32" s="13">
        <v>0.02</v>
      </c>
    </row>
    <row r="33" spans="1:11" s="9" customFormat="1" ht="15.75" thickBot="1">
      <c r="A33" s="32" t="s">
        <v>537</v>
      </c>
      <c r="B33" s="1148" t="s">
        <v>900</v>
      </c>
      <c r="C33" s="1149"/>
      <c r="D33" s="1149"/>
      <c r="E33" s="1149"/>
      <c r="F33" s="1150"/>
      <c r="G33" s="33">
        <v>46.05</v>
      </c>
      <c r="H33" s="33">
        <v>17.329999999999998</v>
      </c>
    </row>
    <row r="34" spans="1:11" ht="8.1" customHeight="1" thickBot="1">
      <c r="A34" s="25"/>
      <c r="B34" s="26"/>
      <c r="C34" s="26"/>
      <c r="D34" s="26"/>
      <c r="E34" s="26"/>
      <c r="F34" s="26"/>
      <c r="G34" s="26"/>
      <c r="H34" s="27"/>
    </row>
    <row r="35" spans="1:11" ht="15.75" thickBot="1">
      <c r="A35" s="1154" t="s">
        <v>502</v>
      </c>
      <c r="B35" s="1155"/>
      <c r="C35" s="1155"/>
      <c r="D35" s="1155"/>
      <c r="E35" s="1155"/>
      <c r="F35" s="1155"/>
      <c r="G35" s="1155"/>
      <c r="H35" s="1156"/>
      <c r="J35" s="8"/>
      <c r="K35" s="8"/>
    </row>
    <row r="36" spans="1:11" ht="15.75" thickBot="1">
      <c r="A36" s="12" t="s">
        <v>881</v>
      </c>
      <c r="B36" s="1151" t="s">
        <v>887</v>
      </c>
      <c r="C36" s="1152"/>
      <c r="D36" s="1152"/>
      <c r="E36" s="1152"/>
      <c r="F36" s="1153"/>
      <c r="G36" s="13">
        <v>6.11</v>
      </c>
      <c r="H36" s="13">
        <v>4.68</v>
      </c>
    </row>
    <row r="37" spans="1:11" ht="15.75" thickBot="1">
      <c r="A37" s="12" t="s">
        <v>882</v>
      </c>
      <c r="B37" s="1134" t="s">
        <v>888</v>
      </c>
      <c r="C37" s="1134"/>
      <c r="D37" s="1134"/>
      <c r="E37" s="1134"/>
      <c r="F37" s="1134"/>
      <c r="G37" s="13">
        <v>0.14000000000000001</v>
      </c>
      <c r="H37" s="13">
        <v>0.11</v>
      </c>
    </row>
    <row r="38" spans="1:11" ht="15.75" thickBot="1">
      <c r="A38" s="12" t="s">
        <v>883</v>
      </c>
      <c r="B38" s="1134" t="s">
        <v>889</v>
      </c>
      <c r="C38" s="1134"/>
      <c r="D38" s="1134"/>
      <c r="E38" s="1134"/>
      <c r="F38" s="1134"/>
      <c r="G38" s="13">
        <v>4.12</v>
      </c>
      <c r="H38" s="13">
        <v>3.15</v>
      </c>
    </row>
    <row r="39" spans="1:11" ht="15.75" thickBot="1">
      <c r="A39" s="12" t="s">
        <v>884</v>
      </c>
      <c r="B39" s="1134" t="s">
        <v>890</v>
      </c>
      <c r="C39" s="1134"/>
      <c r="D39" s="1134"/>
      <c r="E39" s="1134"/>
      <c r="F39" s="1134"/>
      <c r="G39" s="13">
        <v>4.8899999999999997</v>
      </c>
      <c r="H39" s="13">
        <v>3.74</v>
      </c>
    </row>
    <row r="40" spans="1:11" ht="15.75" thickBot="1">
      <c r="A40" s="12" t="s">
        <v>885</v>
      </c>
      <c r="B40" s="1151" t="s">
        <v>891</v>
      </c>
      <c r="C40" s="1152"/>
      <c r="D40" s="1152"/>
      <c r="E40" s="1152"/>
      <c r="F40" s="1153"/>
      <c r="G40" s="13">
        <v>0.51</v>
      </c>
      <c r="H40" s="13">
        <v>0.39</v>
      </c>
    </row>
    <row r="41" spans="1:11" s="9" customFormat="1" ht="15.75" thickBot="1">
      <c r="A41" s="32" t="s">
        <v>886</v>
      </c>
      <c r="B41" s="1148" t="s">
        <v>901</v>
      </c>
      <c r="C41" s="1149"/>
      <c r="D41" s="1149"/>
      <c r="E41" s="1149"/>
      <c r="F41" s="1150"/>
      <c r="G41" s="33">
        <v>15.77</v>
      </c>
      <c r="H41" s="33">
        <v>12.07</v>
      </c>
    </row>
    <row r="42" spans="1:11" ht="8.1" customHeight="1" thickBot="1">
      <c r="A42" s="25"/>
      <c r="B42" s="26"/>
      <c r="C42" s="26"/>
      <c r="D42" s="26"/>
      <c r="E42" s="26"/>
      <c r="F42" s="26"/>
      <c r="G42" s="26"/>
      <c r="H42" s="27"/>
    </row>
    <row r="43" spans="1:11" ht="15.75" thickBot="1">
      <c r="A43" s="1154" t="s">
        <v>892</v>
      </c>
      <c r="B43" s="1155"/>
      <c r="C43" s="1155"/>
      <c r="D43" s="1155"/>
      <c r="E43" s="1155"/>
      <c r="F43" s="1155"/>
      <c r="G43" s="1155"/>
      <c r="H43" s="1156"/>
    </row>
    <row r="44" spans="1:11" ht="15.75" thickBot="1">
      <c r="A44" s="12" t="s">
        <v>893</v>
      </c>
      <c r="B44" s="1133" t="s">
        <v>895</v>
      </c>
      <c r="C44" s="1134"/>
      <c r="D44" s="1134"/>
      <c r="E44" s="1134"/>
      <c r="F44" s="1135"/>
      <c r="G44" s="13">
        <v>8.1999999999999993</v>
      </c>
      <c r="H44" s="13">
        <v>3.08</v>
      </c>
      <c r="J44" s="8"/>
      <c r="K44" s="8"/>
    </row>
    <row r="45" spans="1:11">
      <c r="A45" s="1141" t="s">
        <v>894</v>
      </c>
      <c r="B45" s="1133" t="s">
        <v>896</v>
      </c>
      <c r="C45" s="1134"/>
      <c r="D45" s="1134"/>
      <c r="E45" s="1134"/>
      <c r="F45" s="1135"/>
      <c r="G45" s="1143">
        <v>0.51</v>
      </c>
      <c r="H45" s="1143">
        <v>0.39</v>
      </c>
    </row>
    <row r="46" spans="1:11" ht="15.75" thickBot="1">
      <c r="A46" s="1142"/>
      <c r="B46" s="1145" t="s">
        <v>897</v>
      </c>
      <c r="C46" s="1146"/>
      <c r="D46" s="1146"/>
      <c r="E46" s="1146"/>
      <c r="F46" s="1147"/>
      <c r="G46" s="1144"/>
      <c r="H46" s="1144"/>
    </row>
    <row r="47" spans="1:11" s="9" customFormat="1" ht="15.75" thickBot="1">
      <c r="A47" s="32" t="s">
        <v>898</v>
      </c>
      <c r="B47" s="1148" t="s">
        <v>899</v>
      </c>
      <c r="C47" s="1149"/>
      <c r="D47" s="1149"/>
      <c r="E47" s="1149"/>
      <c r="F47" s="1150"/>
      <c r="G47" s="33">
        <v>8.7100000000000009</v>
      </c>
      <c r="H47" s="33">
        <v>3.47</v>
      </c>
    </row>
    <row r="48" spans="1:11" ht="8.1" customHeight="1" thickBot="1">
      <c r="A48" s="25"/>
      <c r="B48" s="26"/>
      <c r="C48" s="26"/>
      <c r="D48" s="26"/>
      <c r="E48" s="26"/>
      <c r="F48" s="26"/>
      <c r="G48" s="26"/>
      <c r="H48" s="27"/>
    </row>
    <row r="49" spans="1:8" ht="16.5" thickBot="1">
      <c r="A49" s="1136" t="s">
        <v>540</v>
      </c>
      <c r="B49" s="1137"/>
      <c r="C49" s="1137"/>
      <c r="D49" s="1137"/>
      <c r="E49" s="1137"/>
      <c r="F49" s="1137"/>
      <c r="G49" s="7">
        <v>88.33</v>
      </c>
      <c r="H49" s="7">
        <v>50.67</v>
      </c>
    </row>
    <row r="50" spans="1:8">
      <c r="A50" s="28"/>
      <c r="H50" s="29"/>
    </row>
    <row r="51" spans="1:8" ht="15.75" thickBot="1">
      <c r="A51" s="1138" t="s">
        <v>793</v>
      </c>
      <c r="B51" s="1139"/>
      <c r="C51" s="1139"/>
      <c r="D51" s="1139"/>
      <c r="E51" s="1139"/>
      <c r="F51" s="1139"/>
      <c r="G51" s="1139"/>
      <c r="H51" s="1140"/>
    </row>
  </sheetData>
  <mergeCells count="44">
    <mergeCell ref="A1:H1"/>
    <mergeCell ref="A2:H2"/>
    <mergeCell ref="A6:H6"/>
    <mergeCell ref="B8:F8"/>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B25:F25"/>
    <mergeCell ref="B26:F26"/>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3:H43"/>
    <mergeCell ref="B44:F44"/>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4" filterMode="1">
    <tabColor rgb="FFFF0000"/>
  </sheetPr>
  <dimension ref="A1:AJ7423"/>
  <sheetViews>
    <sheetView zoomScaleNormal="100" workbookViewId="0">
      <pane ySplit="4" topLeftCell="A2508" activePane="bottomLeft" state="frozen"/>
      <selection activeCell="E4735" sqref="E4735"/>
      <selection pane="bottomLeft" activeCell="C2508" sqref="C2508"/>
    </sheetView>
  </sheetViews>
  <sheetFormatPr defaultColWidth="9.140625" defaultRowHeight="12.75"/>
  <cols>
    <col min="1" max="1" width="6.7109375" style="448" customWidth="1"/>
    <col min="2" max="2" width="38.28515625" style="451" customWidth="1"/>
    <col min="3" max="3" width="13.140625" style="451" customWidth="1"/>
    <col min="4" max="4" width="61.140625" style="451" customWidth="1"/>
    <col min="5" max="5" width="9" style="451" bestFit="1" customWidth="1"/>
    <col min="6" max="7" width="13.7109375" style="449" customWidth="1"/>
    <col min="8" max="8" width="13.7109375" style="451" bestFit="1" customWidth="1"/>
    <col min="9" max="9" width="9.140625" style="449"/>
    <col min="10" max="10" width="9.5703125" style="449" bestFit="1" customWidth="1"/>
    <col min="11" max="11" width="11.5703125" style="449" bestFit="1" customWidth="1"/>
    <col min="12" max="13" width="9.140625" style="449"/>
    <col min="14" max="14" width="9.5703125" style="449" bestFit="1" customWidth="1"/>
    <col min="15" max="15" width="9.140625" style="449"/>
    <col min="16" max="16" width="13.140625" style="449" bestFit="1" customWidth="1"/>
    <col min="17" max="17" width="7" style="449" bestFit="1" customWidth="1"/>
    <col min="18" max="18" width="12.7109375" style="449" bestFit="1" customWidth="1"/>
    <col min="19" max="20" width="9.140625" style="449"/>
    <col min="21" max="36" width="9.140625" style="846"/>
    <col min="37" max="16384" width="9.140625" style="816"/>
  </cols>
  <sheetData>
    <row r="1" spans="1:36" s="846" customFormat="1" ht="15.75">
      <c r="A1" s="448"/>
      <c r="B1" s="448"/>
      <c r="C1" s="448"/>
      <c r="D1" s="982" t="s">
        <v>544</v>
      </c>
      <c r="E1" s="448"/>
      <c r="F1" s="449"/>
      <c r="G1" s="449"/>
      <c r="H1" s="448"/>
      <c r="I1" s="449"/>
      <c r="J1" s="449"/>
      <c r="K1" s="449"/>
      <c r="L1" s="449"/>
      <c r="M1" s="449"/>
      <c r="N1" s="449"/>
      <c r="O1" s="449"/>
      <c r="P1" s="449"/>
      <c r="Q1" s="449"/>
      <c r="R1" s="449"/>
      <c r="S1" s="449"/>
      <c r="T1" s="449"/>
    </row>
    <row r="2" spans="1:36" s="846" customFormat="1" ht="15.75">
      <c r="A2" s="448"/>
      <c r="B2" s="448"/>
      <c r="C2" s="448"/>
      <c r="D2" s="982" t="s">
        <v>9330</v>
      </c>
      <c r="E2" s="448"/>
      <c r="F2" s="449"/>
      <c r="G2" s="449"/>
      <c r="H2" s="448"/>
      <c r="I2" s="449"/>
      <c r="J2" s="449"/>
      <c r="K2" s="449"/>
      <c r="L2" s="449"/>
      <c r="M2" s="449"/>
      <c r="N2" s="449"/>
      <c r="O2" s="449"/>
      <c r="P2" s="449"/>
      <c r="Q2" s="449"/>
      <c r="R2" s="449"/>
      <c r="S2" s="449"/>
      <c r="T2" s="449"/>
    </row>
    <row r="3" spans="1:36" s="846" customFormat="1">
      <c r="A3" s="448"/>
      <c r="B3" s="448"/>
      <c r="C3" s="448"/>
      <c r="D3" s="450"/>
      <c r="E3" s="448"/>
      <c r="F3" s="449"/>
      <c r="G3" s="449"/>
      <c r="H3" s="448"/>
      <c r="I3" s="449"/>
      <c r="J3" s="449"/>
      <c r="K3" s="449"/>
      <c r="L3" s="449"/>
      <c r="M3" s="449"/>
      <c r="N3" s="449"/>
      <c r="O3" s="449"/>
      <c r="P3" s="449"/>
      <c r="Q3" s="449"/>
      <c r="R3" s="449"/>
      <c r="S3" s="449"/>
      <c r="T3" s="449"/>
    </row>
    <row r="4" spans="1:36" s="770" customFormat="1" ht="30">
      <c r="A4" s="827"/>
      <c r="B4" s="983" t="s">
        <v>5338</v>
      </c>
      <c r="C4" s="983" t="s">
        <v>2664</v>
      </c>
      <c r="D4" s="983" t="s">
        <v>2241</v>
      </c>
      <c r="E4" s="983" t="s">
        <v>2240</v>
      </c>
      <c r="F4" s="983" t="s">
        <v>5339</v>
      </c>
      <c r="G4" s="983" t="s">
        <v>2873</v>
      </c>
      <c r="H4" s="983" t="s">
        <v>2235</v>
      </c>
      <c r="I4" s="969"/>
      <c r="J4" s="969"/>
      <c r="K4" s="969"/>
      <c r="L4" s="969"/>
      <c r="M4" s="969"/>
      <c r="N4" s="969"/>
      <c r="O4" s="969"/>
      <c r="P4" s="969"/>
      <c r="Q4" s="969"/>
      <c r="R4" s="969"/>
      <c r="S4" s="969"/>
      <c r="T4" s="969"/>
      <c r="U4" s="969"/>
      <c r="V4" s="969"/>
      <c r="W4" s="969"/>
      <c r="X4" s="969"/>
      <c r="Y4" s="969"/>
      <c r="Z4" s="969"/>
      <c r="AA4" s="969"/>
      <c r="AB4" s="969"/>
      <c r="AC4" s="969"/>
      <c r="AD4" s="969"/>
      <c r="AE4" s="969"/>
      <c r="AF4" s="969"/>
      <c r="AG4" s="969"/>
      <c r="AH4" s="969"/>
      <c r="AI4" s="969"/>
      <c r="AJ4" s="969"/>
    </row>
    <row r="5" spans="1:36" ht="38.25" hidden="1">
      <c r="B5" s="828" t="s">
        <v>6608</v>
      </c>
      <c r="C5" s="828">
        <v>97141</v>
      </c>
      <c r="D5" s="630" t="s">
        <v>2710</v>
      </c>
      <c r="E5" s="630" t="s">
        <v>648</v>
      </c>
      <c r="F5" s="829">
        <v>4.25</v>
      </c>
      <c r="G5" s="830">
        <v>5.05</v>
      </c>
      <c r="H5" s="831">
        <v>9.3000000000000007</v>
      </c>
      <c r="I5" s="846"/>
      <c r="J5" s="846"/>
      <c r="K5" s="846"/>
      <c r="L5" s="846"/>
      <c r="M5" s="846"/>
      <c r="N5" s="846"/>
      <c r="O5" s="846"/>
      <c r="P5" s="846"/>
      <c r="Q5" s="846"/>
      <c r="R5" s="846"/>
      <c r="S5" s="846"/>
      <c r="T5" s="846"/>
    </row>
    <row r="6" spans="1:36" ht="38.25" hidden="1">
      <c r="B6" s="828" t="s">
        <v>6608</v>
      </c>
      <c r="C6" s="828">
        <v>97142</v>
      </c>
      <c r="D6" s="630" t="s">
        <v>2711</v>
      </c>
      <c r="E6" s="630" t="s">
        <v>648</v>
      </c>
      <c r="F6" s="829">
        <v>4.68</v>
      </c>
      <c r="G6" s="830">
        <v>5.69</v>
      </c>
      <c r="H6" s="831">
        <v>10.37</v>
      </c>
      <c r="I6" s="846"/>
      <c r="J6" s="846"/>
      <c r="K6" s="846"/>
      <c r="L6" s="846"/>
      <c r="M6" s="846"/>
      <c r="N6" s="846"/>
      <c r="O6" s="846"/>
      <c r="P6" s="846"/>
      <c r="Q6" s="846"/>
      <c r="R6" s="846"/>
      <c r="S6" s="846"/>
      <c r="T6" s="846"/>
    </row>
    <row r="7" spans="1:36" ht="38.25" hidden="1">
      <c r="B7" s="828" t="s">
        <v>6608</v>
      </c>
      <c r="C7" s="828">
        <v>97143</v>
      </c>
      <c r="D7" s="630" t="s">
        <v>2712</v>
      </c>
      <c r="E7" s="630" t="s">
        <v>648</v>
      </c>
      <c r="F7" s="829">
        <v>5.7100000000000009</v>
      </c>
      <c r="G7" s="830">
        <v>7.33</v>
      </c>
      <c r="H7" s="831">
        <v>13.04</v>
      </c>
      <c r="I7" s="846"/>
      <c r="J7" s="846"/>
      <c r="K7" s="846"/>
      <c r="L7" s="846"/>
      <c r="M7" s="846"/>
      <c r="N7" s="846"/>
      <c r="O7" s="846"/>
      <c r="P7" s="846"/>
      <c r="Q7" s="846"/>
      <c r="R7" s="846"/>
      <c r="S7" s="846"/>
      <c r="T7" s="846"/>
    </row>
    <row r="8" spans="1:36" ht="38.25" hidden="1">
      <c r="B8" s="828" t="s">
        <v>6608</v>
      </c>
      <c r="C8" s="828">
        <v>97144</v>
      </c>
      <c r="D8" s="630" t="s">
        <v>2713</v>
      </c>
      <c r="E8" s="630" t="s">
        <v>648</v>
      </c>
      <c r="F8" s="829">
        <v>6.74</v>
      </c>
      <c r="G8" s="830">
        <v>8.9499999999999993</v>
      </c>
      <c r="H8" s="831">
        <v>15.69</v>
      </c>
      <c r="I8" s="846"/>
      <c r="J8" s="846"/>
      <c r="K8" s="846"/>
      <c r="L8" s="846"/>
      <c r="M8" s="846"/>
      <c r="N8" s="846"/>
      <c r="O8" s="846"/>
      <c r="P8" s="846"/>
      <c r="Q8" s="846"/>
      <c r="R8" s="846"/>
      <c r="S8" s="846"/>
      <c r="T8" s="846"/>
    </row>
    <row r="9" spans="1:36" ht="38.25" hidden="1">
      <c r="B9" s="828" t="s">
        <v>6608</v>
      </c>
      <c r="C9" s="828">
        <v>97145</v>
      </c>
      <c r="D9" s="630" t="s">
        <v>2714</v>
      </c>
      <c r="E9" s="630" t="s">
        <v>648</v>
      </c>
      <c r="F9" s="829">
        <v>7.77</v>
      </c>
      <c r="G9" s="830">
        <v>10.6</v>
      </c>
      <c r="H9" s="831">
        <v>18.37</v>
      </c>
      <c r="I9" s="846"/>
      <c r="J9" s="846"/>
      <c r="K9" s="846"/>
      <c r="L9" s="846"/>
      <c r="M9" s="846"/>
      <c r="N9" s="846"/>
      <c r="O9" s="846"/>
      <c r="P9" s="846"/>
      <c r="Q9" s="846"/>
      <c r="R9" s="846"/>
      <c r="S9" s="846"/>
      <c r="T9" s="846"/>
    </row>
    <row r="10" spans="1:36" ht="38.25" hidden="1">
      <c r="B10" s="828" t="s">
        <v>6608</v>
      </c>
      <c r="C10" s="828">
        <v>97146</v>
      </c>
      <c r="D10" s="630" t="s">
        <v>2715</v>
      </c>
      <c r="E10" s="630" t="s">
        <v>648</v>
      </c>
      <c r="F10" s="829">
        <v>8.82</v>
      </c>
      <c r="G10" s="830">
        <v>12.23</v>
      </c>
      <c r="H10" s="831">
        <v>21.05</v>
      </c>
      <c r="I10" s="846"/>
      <c r="J10" s="846"/>
      <c r="K10" s="846"/>
      <c r="L10" s="846"/>
      <c r="M10" s="846"/>
      <c r="N10" s="846"/>
      <c r="O10" s="846"/>
      <c r="P10" s="846"/>
      <c r="Q10" s="846"/>
      <c r="R10" s="846"/>
      <c r="S10" s="846"/>
      <c r="T10" s="846"/>
    </row>
    <row r="11" spans="1:36" ht="38.25" hidden="1">
      <c r="B11" s="828" t="s">
        <v>6608</v>
      </c>
      <c r="C11" s="828">
        <v>97147</v>
      </c>
      <c r="D11" s="630" t="s">
        <v>2716</v>
      </c>
      <c r="E11" s="630" t="s">
        <v>648</v>
      </c>
      <c r="F11" s="829">
        <v>9.870000000000001</v>
      </c>
      <c r="G11" s="830">
        <v>13.87</v>
      </c>
      <c r="H11" s="831">
        <v>23.74</v>
      </c>
      <c r="I11" s="846"/>
      <c r="J11" s="846"/>
      <c r="K11" s="846"/>
      <c r="L11" s="846"/>
      <c r="M11" s="846"/>
      <c r="N11" s="846"/>
      <c r="O11" s="846"/>
      <c r="P11" s="846"/>
      <c r="Q11" s="846"/>
      <c r="R11" s="846"/>
      <c r="S11" s="846"/>
      <c r="T11" s="846"/>
    </row>
    <row r="12" spans="1:36" ht="38.25" hidden="1">
      <c r="B12" s="828" t="s">
        <v>6608</v>
      </c>
      <c r="C12" s="828">
        <v>97148</v>
      </c>
      <c r="D12" s="630" t="s">
        <v>2717</v>
      </c>
      <c r="E12" s="630" t="s">
        <v>648</v>
      </c>
      <c r="F12" s="829">
        <v>10.9</v>
      </c>
      <c r="G12" s="830">
        <v>15.51</v>
      </c>
      <c r="H12" s="831">
        <v>26.41</v>
      </c>
      <c r="I12" s="846"/>
      <c r="J12" s="846"/>
      <c r="K12" s="846"/>
      <c r="L12" s="846"/>
      <c r="M12" s="846"/>
      <c r="N12" s="846"/>
      <c r="O12" s="846"/>
      <c r="P12" s="846"/>
      <c r="Q12" s="846"/>
      <c r="R12" s="846"/>
      <c r="S12" s="846"/>
      <c r="T12" s="846"/>
    </row>
    <row r="13" spans="1:36" ht="38.25" hidden="1">
      <c r="B13" s="828" t="s">
        <v>6608</v>
      </c>
      <c r="C13" s="828">
        <v>97149</v>
      </c>
      <c r="D13" s="630" t="s">
        <v>2718</v>
      </c>
      <c r="E13" s="630" t="s">
        <v>648</v>
      </c>
      <c r="F13" s="829">
        <v>12.01</v>
      </c>
      <c r="G13" s="830">
        <v>17.12</v>
      </c>
      <c r="H13" s="831">
        <v>29.13</v>
      </c>
      <c r="I13" s="846"/>
      <c r="J13" s="846"/>
      <c r="K13" s="846"/>
      <c r="L13" s="846"/>
      <c r="M13" s="846"/>
      <c r="N13" s="846"/>
      <c r="O13" s="846"/>
      <c r="P13" s="846"/>
      <c r="Q13" s="846"/>
      <c r="R13" s="846"/>
      <c r="S13" s="846"/>
      <c r="T13" s="846"/>
    </row>
    <row r="14" spans="1:36" ht="38.25" hidden="1">
      <c r="B14" s="828" t="s">
        <v>6608</v>
      </c>
      <c r="C14" s="828">
        <v>97150</v>
      </c>
      <c r="D14" s="630" t="s">
        <v>2719</v>
      </c>
      <c r="E14" s="630" t="s">
        <v>648</v>
      </c>
      <c r="F14" s="829">
        <v>18.060000000000002</v>
      </c>
      <c r="G14" s="830">
        <v>18.739999999999998</v>
      </c>
      <c r="H14" s="831">
        <v>36.799999999999997</v>
      </c>
      <c r="I14" s="846"/>
      <c r="J14" s="846"/>
      <c r="K14" s="846"/>
      <c r="L14" s="846"/>
      <c r="M14" s="846"/>
      <c r="N14" s="846"/>
      <c r="O14" s="846"/>
      <c r="P14" s="846"/>
      <c r="Q14" s="846"/>
      <c r="R14" s="846"/>
      <c r="S14" s="846"/>
      <c r="T14" s="846"/>
    </row>
    <row r="15" spans="1:36" ht="38.25" hidden="1">
      <c r="B15" s="828" t="s">
        <v>6608</v>
      </c>
      <c r="C15" s="828">
        <v>97151</v>
      </c>
      <c r="D15" s="630" t="s">
        <v>2720</v>
      </c>
      <c r="E15" s="630" t="s">
        <v>648</v>
      </c>
      <c r="F15" s="829">
        <v>20.9</v>
      </c>
      <c r="G15" s="830">
        <v>22.02</v>
      </c>
      <c r="H15" s="831">
        <v>42.92</v>
      </c>
      <c r="I15" s="846"/>
      <c r="J15" s="846"/>
      <c r="K15" s="846"/>
      <c r="L15" s="846"/>
      <c r="M15" s="846"/>
      <c r="N15" s="846"/>
      <c r="O15" s="846"/>
      <c r="P15" s="846"/>
      <c r="Q15" s="846"/>
      <c r="R15" s="846"/>
      <c r="S15" s="846"/>
      <c r="T15" s="846"/>
    </row>
    <row r="16" spans="1:36" ht="38.25" hidden="1">
      <c r="B16" s="828" t="s">
        <v>6608</v>
      </c>
      <c r="C16" s="828">
        <v>97152</v>
      </c>
      <c r="D16" s="630" t="s">
        <v>2721</v>
      </c>
      <c r="E16" s="630" t="s">
        <v>648</v>
      </c>
      <c r="F16" s="829">
        <v>23.48</v>
      </c>
      <c r="G16" s="830">
        <v>25.27</v>
      </c>
      <c r="H16" s="831">
        <v>48.75</v>
      </c>
      <c r="I16" s="846"/>
      <c r="J16" s="846"/>
      <c r="K16" s="846"/>
      <c r="L16" s="846"/>
      <c r="M16" s="846"/>
      <c r="N16" s="846"/>
      <c r="O16" s="846"/>
      <c r="P16" s="846"/>
      <c r="Q16" s="846"/>
      <c r="R16" s="846"/>
      <c r="S16" s="846"/>
      <c r="T16" s="846"/>
    </row>
    <row r="17" spans="2:20" ht="38.25" hidden="1">
      <c r="B17" s="828" t="s">
        <v>6608</v>
      </c>
      <c r="C17" s="828">
        <v>97153</v>
      </c>
      <c r="D17" s="630" t="s">
        <v>2722</v>
      </c>
      <c r="E17" s="630" t="s">
        <v>648</v>
      </c>
      <c r="F17" s="829">
        <v>26.25</v>
      </c>
      <c r="G17" s="830">
        <v>28.53</v>
      </c>
      <c r="H17" s="831">
        <v>54.78</v>
      </c>
      <c r="I17" s="846"/>
      <c r="J17" s="846"/>
      <c r="K17" s="846"/>
      <c r="L17" s="846"/>
      <c r="M17" s="846"/>
      <c r="N17" s="846"/>
      <c r="O17" s="846"/>
      <c r="P17" s="846"/>
      <c r="Q17" s="846"/>
      <c r="R17" s="846"/>
      <c r="S17" s="846"/>
      <c r="T17" s="846"/>
    </row>
    <row r="18" spans="2:20" ht="38.25" hidden="1">
      <c r="B18" s="828" t="s">
        <v>6608</v>
      </c>
      <c r="C18" s="828">
        <v>97154</v>
      </c>
      <c r="D18" s="630" t="s">
        <v>2723</v>
      </c>
      <c r="E18" s="630" t="s">
        <v>648</v>
      </c>
      <c r="F18" s="829">
        <v>28.990000000000002</v>
      </c>
      <c r="G18" s="830">
        <v>31.82</v>
      </c>
      <c r="H18" s="831">
        <v>60.81</v>
      </c>
      <c r="I18" s="846"/>
      <c r="J18" s="846"/>
      <c r="K18" s="846"/>
      <c r="L18" s="846"/>
      <c r="M18" s="846"/>
      <c r="N18" s="846"/>
      <c r="O18" s="846"/>
      <c r="P18" s="846"/>
      <c r="Q18" s="846"/>
      <c r="R18" s="846"/>
      <c r="S18" s="846"/>
      <c r="T18" s="846"/>
    </row>
    <row r="19" spans="2:20" ht="38.25" hidden="1">
      <c r="B19" s="828" t="s">
        <v>6608</v>
      </c>
      <c r="C19" s="828">
        <v>97155</v>
      </c>
      <c r="D19" s="630" t="s">
        <v>2724</v>
      </c>
      <c r="E19" s="630" t="s">
        <v>648</v>
      </c>
      <c r="F19" s="829">
        <v>31.8</v>
      </c>
      <c r="G19" s="830">
        <v>35.06</v>
      </c>
      <c r="H19" s="831">
        <v>66.86</v>
      </c>
      <c r="I19" s="846"/>
      <c r="J19" s="846"/>
      <c r="K19" s="846"/>
      <c r="L19" s="846"/>
      <c r="M19" s="846"/>
      <c r="N19" s="846"/>
      <c r="O19" s="846"/>
      <c r="P19" s="846"/>
      <c r="Q19" s="846"/>
      <c r="R19" s="846"/>
      <c r="S19" s="846"/>
      <c r="T19" s="846"/>
    </row>
    <row r="20" spans="2:20" ht="38.25" hidden="1">
      <c r="B20" s="828" t="s">
        <v>6608</v>
      </c>
      <c r="C20" s="828">
        <v>97156</v>
      </c>
      <c r="D20" s="630" t="s">
        <v>2725</v>
      </c>
      <c r="E20" s="630" t="s">
        <v>648</v>
      </c>
      <c r="F20" s="829">
        <v>37.83</v>
      </c>
      <c r="G20" s="830">
        <v>41.61</v>
      </c>
      <c r="H20" s="831">
        <v>79.44</v>
      </c>
      <c r="I20" s="846"/>
      <c r="J20" s="846"/>
      <c r="K20" s="846"/>
      <c r="L20" s="846"/>
      <c r="M20" s="846"/>
      <c r="N20" s="846"/>
      <c r="O20" s="846"/>
      <c r="P20" s="846"/>
      <c r="Q20" s="846"/>
      <c r="R20" s="846"/>
      <c r="S20" s="846"/>
      <c r="T20" s="846"/>
    </row>
    <row r="21" spans="2:20" ht="38.25" hidden="1">
      <c r="B21" s="828" t="s">
        <v>6608</v>
      </c>
      <c r="C21" s="828">
        <v>97157</v>
      </c>
      <c r="D21" s="630" t="s">
        <v>2726</v>
      </c>
      <c r="E21" s="630" t="s">
        <v>648</v>
      </c>
      <c r="F21" s="829">
        <v>2.76</v>
      </c>
      <c r="G21" s="830">
        <v>2.92</v>
      </c>
      <c r="H21" s="831">
        <v>5.68</v>
      </c>
      <c r="I21" s="846"/>
      <c r="J21" s="846"/>
      <c r="K21" s="846"/>
      <c r="L21" s="846"/>
      <c r="M21" s="846"/>
      <c r="N21" s="846"/>
      <c r="O21" s="846"/>
      <c r="P21" s="846"/>
      <c r="Q21" s="846"/>
      <c r="R21" s="846"/>
      <c r="S21" s="846"/>
      <c r="T21" s="846"/>
    </row>
    <row r="22" spans="2:20" ht="38.25" hidden="1">
      <c r="B22" s="828" t="s">
        <v>6608</v>
      </c>
      <c r="C22" s="828">
        <v>97158</v>
      </c>
      <c r="D22" s="630" t="s">
        <v>2727</v>
      </c>
      <c r="E22" s="630" t="s">
        <v>648</v>
      </c>
      <c r="F22" s="829">
        <v>3.06</v>
      </c>
      <c r="G22" s="830">
        <v>3.29</v>
      </c>
      <c r="H22" s="831">
        <v>6.35</v>
      </c>
      <c r="I22" s="846"/>
      <c r="J22" s="846"/>
      <c r="K22" s="846"/>
      <c r="L22" s="846"/>
      <c r="M22" s="846"/>
      <c r="N22" s="846"/>
      <c r="O22" s="846"/>
      <c r="P22" s="846"/>
      <c r="Q22" s="846"/>
      <c r="R22" s="846"/>
      <c r="S22" s="846"/>
      <c r="T22" s="846"/>
    </row>
    <row r="23" spans="2:20" ht="38.25" hidden="1">
      <c r="B23" s="828" t="s">
        <v>6608</v>
      </c>
      <c r="C23" s="828">
        <v>97159</v>
      </c>
      <c r="D23" s="630" t="s">
        <v>2728</v>
      </c>
      <c r="E23" s="630" t="s">
        <v>648</v>
      </c>
      <c r="F23" s="829">
        <v>3.7</v>
      </c>
      <c r="G23" s="830">
        <v>4.28</v>
      </c>
      <c r="H23" s="831">
        <v>7.98</v>
      </c>
      <c r="I23" s="846"/>
      <c r="J23" s="846"/>
      <c r="K23" s="846"/>
      <c r="L23" s="846"/>
      <c r="M23" s="846"/>
      <c r="N23" s="846"/>
      <c r="O23" s="846"/>
      <c r="P23" s="846"/>
      <c r="Q23" s="846"/>
      <c r="R23" s="846"/>
      <c r="S23" s="846"/>
      <c r="T23" s="846"/>
    </row>
    <row r="24" spans="2:20" ht="38.25" hidden="1">
      <c r="B24" s="828" t="s">
        <v>6608</v>
      </c>
      <c r="C24" s="828">
        <v>97160</v>
      </c>
      <c r="D24" s="630" t="s">
        <v>2729</v>
      </c>
      <c r="E24" s="630" t="s">
        <v>648</v>
      </c>
      <c r="F24" s="829">
        <v>4.37</v>
      </c>
      <c r="G24" s="830">
        <v>5.23</v>
      </c>
      <c r="H24" s="831">
        <v>9.6</v>
      </c>
      <c r="I24" s="846"/>
      <c r="J24" s="846"/>
      <c r="K24" s="846"/>
      <c r="L24" s="846"/>
      <c r="M24" s="846"/>
      <c r="N24" s="846"/>
      <c r="O24" s="846"/>
      <c r="P24" s="846"/>
      <c r="Q24" s="846"/>
      <c r="R24" s="846"/>
      <c r="S24" s="846"/>
      <c r="T24" s="846"/>
    </row>
    <row r="25" spans="2:20" ht="38.25" hidden="1">
      <c r="B25" s="828" t="s">
        <v>6608</v>
      </c>
      <c r="C25" s="828">
        <v>97161</v>
      </c>
      <c r="D25" s="630" t="s">
        <v>2730</v>
      </c>
      <c r="E25" s="630" t="s">
        <v>648</v>
      </c>
      <c r="F25" s="829">
        <v>5.09</v>
      </c>
      <c r="G25" s="830">
        <v>6.19</v>
      </c>
      <c r="H25" s="831">
        <v>11.28</v>
      </c>
      <c r="I25" s="846"/>
      <c r="J25" s="846"/>
      <c r="K25" s="846"/>
      <c r="L25" s="846"/>
      <c r="M25" s="846"/>
      <c r="N25" s="846"/>
      <c r="O25" s="846"/>
      <c r="P25" s="846"/>
      <c r="Q25" s="846"/>
      <c r="R25" s="846"/>
      <c r="S25" s="846"/>
      <c r="T25" s="846"/>
    </row>
    <row r="26" spans="2:20" ht="38.25" hidden="1">
      <c r="B26" s="828" t="s">
        <v>6608</v>
      </c>
      <c r="C26" s="828">
        <v>97162</v>
      </c>
      <c r="D26" s="630" t="s">
        <v>2731</v>
      </c>
      <c r="E26" s="630" t="s">
        <v>648</v>
      </c>
      <c r="F26" s="829">
        <v>5.76</v>
      </c>
      <c r="G26" s="830">
        <v>7.15</v>
      </c>
      <c r="H26" s="831">
        <v>12.91</v>
      </c>
      <c r="I26" s="846"/>
      <c r="J26" s="846"/>
      <c r="K26" s="846"/>
      <c r="L26" s="846"/>
      <c r="M26" s="846"/>
      <c r="N26" s="846"/>
      <c r="O26" s="846"/>
      <c r="P26" s="846"/>
      <c r="Q26" s="846"/>
      <c r="R26" s="846"/>
      <c r="S26" s="846"/>
      <c r="T26" s="846"/>
    </row>
    <row r="27" spans="2:20" ht="38.25" hidden="1">
      <c r="B27" s="828" t="s">
        <v>6608</v>
      </c>
      <c r="C27" s="828">
        <v>97163</v>
      </c>
      <c r="D27" s="630" t="s">
        <v>2732</v>
      </c>
      <c r="E27" s="630" t="s">
        <v>648</v>
      </c>
      <c r="F27" s="829">
        <v>6.4600000000000009</v>
      </c>
      <c r="G27" s="830">
        <v>8.11</v>
      </c>
      <c r="H27" s="831">
        <v>14.57</v>
      </c>
      <c r="I27" s="846"/>
      <c r="J27" s="846"/>
      <c r="K27" s="846"/>
      <c r="L27" s="846"/>
      <c r="M27" s="846"/>
      <c r="N27" s="846"/>
      <c r="O27" s="846"/>
      <c r="P27" s="846"/>
      <c r="Q27" s="846"/>
      <c r="R27" s="846"/>
      <c r="S27" s="846"/>
      <c r="T27" s="846"/>
    </row>
    <row r="28" spans="2:20" ht="38.25" hidden="1">
      <c r="B28" s="828" t="s">
        <v>6608</v>
      </c>
      <c r="C28" s="828">
        <v>97164</v>
      </c>
      <c r="D28" s="630" t="s">
        <v>2733</v>
      </c>
      <c r="E28" s="630" t="s">
        <v>648</v>
      </c>
      <c r="F28" s="829">
        <v>7.1400000000000006</v>
      </c>
      <c r="G28" s="830">
        <v>9.1</v>
      </c>
      <c r="H28" s="831">
        <v>16.239999999999998</v>
      </c>
      <c r="I28" s="846"/>
      <c r="J28" s="846"/>
      <c r="K28" s="846"/>
      <c r="L28" s="846"/>
      <c r="M28" s="846"/>
      <c r="N28" s="846"/>
      <c r="O28" s="846"/>
      <c r="P28" s="846"/>
      <c r="Q28" s="846"/>
      <c r="R28" s="846"/>
      <c r="S28" s="846"/>
      <c r="T28" s="846"/>
    </row>
    <row r="29" spans="2:20" ht="38.25" hidden="1">
      <c r="B29" s="828" t="s">
        <v>6608</v>
      </c>
      <c r="C29" s="828">
        <v>97165</v>
      </c>
      <c r="D29" s="630" t="s">
        <v>2734</v>
      </c>
      <c r="E29" s="630" t="s">
        <v>648</v>
      </c>
      <c r="F29" s="829">
        <v>7.87</v>
      </c>
      <c r="G29" s="830">
        <v>10.050000000000001</v>
      </c>
      <c r="H29" s="831">
        <v>17.920000000000002</v>
      </c>
      <c r="I29" s="846"/>
      <c r="J29" s="846"/>
      <c r="K29" s="846"/>
      <c r="L29" s="846"/>
      <c r="M29" s="846"/>
      <c r="N29" s="846"/>
      <c r="O29" s="846"/>
      <c r="P29" s="846"/>
      <c r="Q29" s="846"/>
      <c r="R29" s="846"/>
      <c r="S29" s="846"/>
      <c r="T29" s="846"/>
    </row>
    <row r="30" spans="2:20" ht="38.25" hidden="1">
      <c r="B30" s="828" t="s">
        <v>6608</v>
      </c>
      <c r="C30" s="828">
        <v>97166</v>
      </c>
      <c r="D30" s="630" t="s">
        <v>2735</v>
      </c>
      <c r="E30" s="630" t="s">
        <v>648</v>
      </c>
      <c r="F30" s="829">
        <v>11.65</v>
      </c>
      <c r="G30" s="830">
        <v>10.99</v>
      </c>
      <c r="H30" s="831">
        <v>22.64</v>
      </c>
      <c r="I30" s="846"/>
      <c r="J30" s="846"/>
      <c r="K30" s="846"/>
      <c r="L30" s="846"/>
      <c r="M30" s="846"/>
      <c r="N30" s="846"/>
      <c r="O30" s="846"/>
      <c r="P30" s="846"/>
      <c r="Q30" s="846"/>
      <c r="R30" s="846"/>
      <c r="S30" s="846"/>
      <c r="T30" s="846"/>
    </row>
    <row r="31" spans="2:20" ht="38.25" hidden="1">
      <c r="B31" s="828" t="s">
        <v>6608</v>
      </c>
      <c r="C31" s="828">
        <v>97167</v>
      </c>
      <c r="D31" s="630" t="s">
        <v>2736</v>
      </c>
      <c r="E31" s="630" t="s">
        <v>648</v>
      </c>
      <c r="F31" s="829">
        <v>13.52</v>
      </c>
      <c r="G31" s="830">
        <v>12.92</v>
      </c>
      <c r="H31" s="831">
        <v>26.44</v>
      </c>
      <c r="I31" s="846"/>
      <c r="J31" s="846"/>
      <c r="K31" s="846"/>
      <c r="L31" s="846"/>
      <c r="M31" s="846"/>
      <c r="N31" s="846"/>
      <c r="O31" s="846"/>
      <c r="P31" s="846"/>
      <c r="Q31" s="846"/>
      <c r="R31" s="846"/>
      <c r="S31" s="846"/>
      <c r="T31" s="846"/>
    </row>
    <row r="32" spans="2:20" ht="38.25" hidden="1">
      <c r="B32" s="828" t="s">
        <v>6608</v>
      </c>
      <c r="C32" s="828">
        <v>97168</v>
      </c>
      <c r="D32" s="630" t="s">
        <v>2737</v>
      </c>
      <c r="E32" s="630" t="s">
        <v>648</v>
      </c>
      <c r="F32" s="829">
        <v>15.08</v>
      </c>
      <c r="G32" s="830">
        <v>14.87</v>
      </c>
      <c r="H32" s="831">
        <v>29.95</v>
      </c>
      <c r="I32" s="846"/>
      <c r="J32" s="846"/>
      <c r="K32" s="846"/>
      <c r="L32" s="846"/>
      <c r="M32" s="846"/>
      <c r="N32" s="846"/>
      <c r="O32" s="846"/>
      <c r="P32" s="846"/>
      <c r="Q32" s="846"/>
      <c r="R32" s="846"/>
      <c r="S32" s="846"/>
      <c r="T32" s="846"/>
    </row>
    <row r="33" spans="2:20" ht="38.25" hidden="1">
      <c r="B33" s="828" t="s">
        <v>6608</v>
      </c>
      <c r="C33" s="828">
        <v>97169</v>
      </c>
      <c r="D33" s="630" t="s">
        <v>2738</v>
      </c>
      <c r="E33" s="630" t="s">
        <v>648</v>
      </c>
      <c r="F33" s="829">
        <v>16.880000000000003</v>
      </c>
      <c r="G33" s="830">
        <v>16.760000000000002</v>
      </c>
      <c r="H33" s="831">
        <v>33.64</v>
      </c>
      <c r="I33" s="846"/>
      <c r="J33" s="846"/>
      <c r="K33" s="846"/>
      <c r="L33" s="846"/>
      <c r="M33" s="846"/>
      <c r="N33" s="846"/>
      <c r="O33" s="846"/>
      <c r="P33" s="846"/>
      <c r="Q33" s="846"/>
      <c r="R33" s="846"/>
      <c r="S33" s="846"/>
      <c r="T33" s="846"/>
    </row>
    <row r="34" spans="2:20" ht="38.25" hidden="1">
      <c r="B34" s="828" t="s">
        <v>6608</v>
      </c>
      <c r="C34" s="828">
        <v>97170</v>
      </c>
      <c r="D34" s="630" t="s">
        <v>2739</v>
      </c>
      <c r="E34" s="630" t="s">
        <v>648</v>
      </c>
      <c r="F34" s="829">
        <v>18.64</v>
      </c>
      <c r="G34" s="830">
        <v>18.72</v>
      </c>
      <c r="H34" s="831">
        <v>37.36</v>
      </c>
      <c r="I34" s="846"/>
      <c r="J34" s="846"/>
      <c r="K34" s="846"/>
      <c r="L34" s="846"/>
      <c r="M34" s="846"/>
      <c r="N34" s="846"/>
      <c r="O34" s="846"/>
      <c r="P34" s="846"/>
      <c r="Q34" s="846"/>
      <c r="R34" s="846"/>
      <c r="S34" s="846"/>
      <c r="T34" s="846"/>
    </row>
    <row r="35" spans="2:20" ht="38.25" hidden="1">
      <c r="B35" s="828" t="s">
        <v>6608</v>
      </c>
      <c r="C35" s="828">
        <v>97171</v>
      </c>
      <c r="D35" s="630" t="s">
        <v>2740</v>
      </c>
      <c r="E35" s="630" t="s">
        <v>648</v>
      </c>
      <c r="F35" s="829">
        <v>20.479999999999997</v>
      </c>
      <c r="G35" s="830">
        <v>20.61</v>
      </c>
      <c r="H35" s="831">
        <v>41.09</v>
      </c>
      <c r="I35" s="846"/>
      <c r="J35" s="846"/>
      <c r="K35" s="846"/>
      <c r="L35" s="846"/>
      <c r="M35" s="846"/>
      <c r="N35" s="846"/>
      <c r="O35" s="846"/>
      <c r="P35" s="846"/>
      <c r="Q35" s="846"/>
      <c r="R35" s="846"/>
      <c r="S35" s="846"/>
      <c r="T35" s="846"/>
    </row>
    <row r="36" spans="2:20" ht="38.25" hidden="1">
      <c r="B36" s="828" t="s">
        <v>6608</v>
      </c>
      <c r="C36" s="828">
        <v>97172</v>
      </c>
      <c r="D36" s="630" t="s">
        <v>2741</v>
      </c>
      <c r="E36" s="630" t="s">
        <v>648</v>
      </c>
      <c r="F36" s="829">
        <v>24.53</v>
      </c>
      <c r="G36" s="830">
        <v>24.48</v>
      </c>
      <c r="H36" s="831">
        <v>49.01</v>
      </c>
      <c r="I36" s="846"/>
      <c r="J36" s="846"/>
      <c r="K36" s="846"/>
      <c r="L36" s="846"/>
      <c r="M36" s="846"/>
      <c r="N36" s="846"/>
      <c r="O36" s="846"/>
      <c r="P36" s="846"/>
      <c r="Q36" s="846"/>
      <c r="R36" s="846"/>
      <c r="S36" s="846"/>
      <c r="T36" s="846"/>
    </row>
    <row r="37" spans="2:20" ht="38.25" hidden="1">
      <c r="B37" s="828" t="s">
        <v>6609</v>
      </c>
      <c r="C37" s="828">
        <v>97173</v>
      </c>
      <c r="D37" s="630" t="s">
        <v>2742</v>
      </c>
      <c r="E37" s="630" t="s">
        <v>648</v>
      </c>
      <c r="F37" s="829">
        <v>24.490000000000002</v>
      </c>
      <c r="G37" s="830">
        <v>19.23</v>
      </c>
      <c r="H37" s="831">
        <v>43.72</v>
      </c>
      <c r="I37" s="846"/>
      <c r="J37" s="846"/>
      <c r="K37" s="846"/>
      <c r="L37" s="846"/>
      <c r="M37" s="846"/>
      <c r="N37" s="846"/>
      <c r="O37" s="846"/>
      <c r="P37" s="846"/>
      <c r="Q37" s="846"/>
      <c r="R37" s="846"/>
      <c r="S37" s="846"/>
      <c r="T37" s="846"/>
    </row>
    <row r="38" spans="2:20" ht="38.25" hidden="1">
      <c r="B38" s="828" t="s">
        <v>6609</v>
      </c>
      <c r="C38" s="828">
        <v>97174</v>
      </c>
      <c r="D38" s="630" t="s">
        <v>2743</v>
      </c>
      <c r="E38" s="630" t="s">
        <v>648</v>
      </c>
      <c r="F38" s="829">
        <v>28.47</v>
      </c>
      <c r="G38" s="830">
        <v>22.13</v>
      </c>
      <c r="H38" s="831">
        <v>50.6</v>
      </c>
      <c r="I38" s="846"/>
      <c r="J38" s="846"/>
      <c r="K38" s="846"/>
      <c r="L38" s="846"/>
      <c r="M38" s="846"/>
      <c r="N38" s="846"/>
      <c r="O38" s="846"/>
      <c r="P38" s="846"/>
      <c r="Q38" s="846"/>
      <c r="R38" s="846"/>
      <c r="S38" s="846"/>
      <c r="T38" s="846"/>
    </row>
    <row r="39" spans="2:20" ht="38.25" hidden="1">
      <c r="B39" s="828" t="s">
        <v>6609</v>
      </c>
      <c r="C39" s="828">
        <v>97175</v>
      </c>
      <c r="D39" s="630" t="s">
        <v>2744</v>
      </c>
      <c r="E39" s="630" t="s">
        <v>648</v>
      </c>
      <c r="F39" s="829">
        <v>32.49</v>
      </c>
      <c r="G39" s="830">
        <v>25.03</v>
      </c>
      <c r="H39" s="831">
        <v>57.52</v>
      </c>
      <c r="I39" s="846"/>
      <c r="J39" s="846"/>
      <c r="K39" s="846"/>
      <c r="L39" s="846"/>
      <c r="M39" s="846"/>
      <c r="N39" s="846"/>
      <c r="O39" s="846"/>
      <c r="P39" s="846"/>
      <c r="Q39" s="846"/>
      <c r="R39" s="846"/>
      <c r="S39" s="846"/>
      <c r="T39" s="846"/>
    </row>
    <row r="40" spans="2:20" ht="38.25" hidden="1">
      <c r="B40" s="828" t="s">
        <v>6609</v>
      </c>
      <c r="C40" s="828">
        <v>97176</v>
      </c>
      <c r="D40" s="630" t="s">
        <v>2745</v>
      </c>
      <c r="E40" s="630" t="s">
        <v>648</v>
      </c>
      <c r="F40" s="829">
        <v>36.479999999999997</v>
      </c>
      <c r="G40" s="830">
        <v>27.93</v>
      </c>
      <c r="H40" s="831">
        <v>64.41</v>
      </c>
      <c r="I40" s="846"/>
      <c r="J40" s="846"/>
      <c r="K40" s="846"/>
      <c r="L40" s="846"/>
      <c r="M40" s="846"/>
      <c r="N40" s="846"/>
      <c r="O40" s="846"/>
      <c r="P40" s="846"/>
      <c r="Q40" s="846"/>
      <c r="R40" s="846"/>
      <c r="S40" s="846"/>
      <c r="T40" s="846"/>
    </row>
    <row r="41" spans="2:20" ht="38.25" hidden="1">
      <c r="B41" s="828" t="s">
        <v>6609</v>
      </c>
      <c r="C41" s="828">
        <v>97177</v>
      </c>
      <c r="D41" s="630" t="s">
        <v>2746</v>
      </c>
      <c r="E41" s="630" t="s">
        <v>648</v>
      </c>
      <c r="F41" s="829">
        <v>44.45</v>
      </c>
      <c r="G41" s="830">
        <v>33.74</v>
      </c>
      <c r="H41" s="831">
        <v>78.19</v>
      </c>
      <c r="I41" s="846"/>
      <c r="J41" s="846"/>
      <c r="K41" s="846"/>
      <c r="L41" s="846"/>
      <c r="M41" s="846"/>
      <c r="N41" s="846"/>
      <c r="O41" s="846"/>
      <c r="P41" s="846"/>
      <c r="Q41" s="846"/>
      <c r="R41" s="846"/>
      <c r="S41" s="846"/>
      <c r="T41" s="846"/>
    </row>
    <row r="42" spans="2:20" ht="38.25" hidden="1">
      <c r="B42" s="828" t="s">
        <v>6609</v>
      </c>
      <c r="C42" s="828">
        <v>97178</v>
      </c>
      <c r="D42" s="630" t="s">
        <v>2747</v>
      </c>
      <c r="E42" s="630" t="s">
        <v>648</v>
      </c>
      <c r="F42" s="829">
        <v>52.480000000000004</v>
      </c>
      <c r="G42" s="830">
        <v>39.51</v>
      </c>
      <c r="H42" s="831">
        <v>91.99</v>
      </c>
      <c r="I42" s="846"/>
      <c r="J42" s="846"/>
      <c r="K42" s="846"/>
      <c r="L42" s="846"/>
      <c r="M42" s="846"/>
      <c r="N42" s="846"/>
      <c r="O42" s="846"/>
      <c r="P42" s="846"/>
      <c r="Q42" s="846"/>
      <c r="R42" s="846"/>
      <c r="S42" s="846"/>
      <c r="T42" s="846"/>
    </row>
    <row r="43" spans="2:20" ht="51" hidden="1">
      <c r="B43" s="828" t="s">
        <v>6609</v>
      </c>
      <c r="C43" s="828">
        <v>97179</v>
      </c>
      <c r="D43" s="630" t="s">
        <v>2748</v>
      </c>
      <c r="E43" s="630" t="s">
        <v>648</v>
      </c>
      <c r="F43" s="829">
        <v>60.47</v>
      </c>
      <c r="G43" s="830">
        <v>45.32</v>
      </c>
      <c r="H43" s="831">
        <v>105.79</v>
      </c>
      <c r="I43" s="846"/>
      <c r="J43" s="846"/>
      <c r="K43" s="846"/>
      <c r="L43" s="846"/>
      <c r="M43" s="846"/>
      <c r="N43" s="846"/>
      <c r="O43" s="846"/>
      <c r="P43" s="846"/>
      <c r="Q43" s="846"/>
      <c r="R43" s="846"/>
      <c r="S43" s="846"/>
      <c r="T43" s="846"/>
    </row>
    <row r="44" spans="2:20" ht="38.25" hidden="1">
      <c r="B44" s="828" t="s">
        <v>6609</v>
      </c>
      <c r="C44" s="828">
        <v>97180</v>
      </c>
      <c r="D44" s="630" t="s">
        <v>2749</v>
      </c>
      <c r="E44" s="630" t="s">
        <v>648</v>
      </c>
      <c r="F44" s="829">
        <v>68.44</v>
      </c>
      <c r="G44" s="830">
        <v>51.13</v>
      </c>
      <c r="H44" s="831">
        <v>119.57</v>
      </c>
      <c r="I44" s="846"/>
      <c r="J44" s="846"/>
      <c r="K44" s="846"/>
      <c r="L44" s="846"/>
      <c r="M44" s="846"/>
      <c r="N44" s="846"/>
      <c r="O44" s="846"/>
      <c r="P44" s="846"/>
      <c r="Q44" s="846"/>
      <c r="R44" s="846"/>
      <c r="S44" s="846"/>
      <c r="T44" s="846"/>
    </row>
    <row r="45" spans="2:20" ht="38.25" hidden="1">
      <c r="B45" s="828" t="s">
        <v>6609</v>
      </c>
      <c r="C45" s="828">
        <v>97181</v>
      </c>
      <c r="D45" s="630" t="s">
        <v>2750</v>
      </c>
      <c r="E45" s="630" t="s">
        <v>648</v>
      </c>
      <c r="F45" s="829">
        <v>81.539999999999992</v>
      </c>
      <c r="G45" s="830">
        <v>56.93</v>
      </c>
      <c r="H45" s="831">
        <v>138.47</v>
      </c>
      <c r="I45" s="846"/>
      <c r="J45" s="846"/>
      <c r="K45" s="846"/>
      <c r="L45" s="846"/>
      <c r="M45" s="846"/>
      <c r="N45" s="846"/>
      <c r="O45" s="846"/>
      <c r="P45" s="846"/>
      <c r="Q45" s="846"/>
      <c r="R45" s="846"/>
      <c r="S45" s="846"/>
      <c r="T45" s="846"/>
    </row>
    <row r="46" spans="2:20" ht="38.25" hidden="1">
      <c r="B46" s="828" t="s">
        <v>6609</v>
      </c>
      <c r="C46" s="828">
        <v>97182</v>
      </c>
      <c r="D46" s="630" t="s">
        <v>2751</v>
      </c>
      <c r="E46" s="630" t="s">
        <v>648</v>
      </c>
      <c r="F46" s="829">
        <v>90.09</v>
      </c>
      <c r="G46" s="830">
        <v>62.71</v>
      </c>
      <c r="H46" s="831">
        <v>152.80000000000001</v>
      </c>
      <c r="I46" s="846"/>
      <c r="J46" s="846"/>
      <c r="K46" s="846"/>
      <c r="L46" s="846"/>
      <c r="M46" s="846"/>
      <c r="N46" s="846"/>
      <c r="O46" s="846"/>
      <c r="P46" s="846"/>
      <c r="Q46" s="846"/>
      <c r="R46" s="846"/>
      <c r="S46" s="846"/>
      <c r="T46" s="846"/>
    </row>
    <row r="47" spans="2:20" ht="38.25" hidden="1">
      <c r="B47" s="828" t="s">
        <v>6609</v>
      </c>
      <c r="C47" s="828">
        <v>97183</v>
      </c>
      <c r="D47" s="630" t="s">
        <v>2752</v>
      </c>
      <c r="E47" s="630" t="s">
        <v>648</v>
      </c>
      <c r="F47" s="829">
        <v>20.059999999999999</v>
      </c>
      <c r="G47" s="830">
        <v>16.04</v>
      </c>
      <c r="H47" s="831">
        <v>36.1</v>
      </c>
      <c r="I47" s="846"/>
      <c r="J47" s="846"/>
      <c r="K47" s="846"/>
      <c r="L47" s="846"/>
      <c r="M47" s="846"/>
      <c r="N47" s="846"/>
      <c r="O47" s="846"/>
      <c r="P47" s="846"/>
      <c r="Q47" s="846"/>
      <c r="R47" s="846"/>
      <c r="S47" s="846"/>
      <c r="T47" s="846"/>
    </row>
    <row r="48" spans="2:20" ht="38.25" hidden="1">
      <c r="B48" s="828" t="s">
        <v>6609</v>
      </c>
      <c r="C48" s="828">
        <v>97184</v>
      </c>
      <c r="D48" s="630" t="s">
        <v>2753</v>
      </c>
      <c r="E48" s="630" t="s">
        <v>648</v>
      </c>
      <c r="F48" s="829">
        <v>23.349999999999998</v>
      </c>
      <c r="G48" s="830">
        <v>18.53</v>
      </c>
      <c r="H48" s="831">
        <v>41.88</v>
      </c>
      <c r="I48" s="846"/>
      <c r="J48" s="846"/>
      <c r="K48" s="846"/>
      <c r="L48" s="846"/>
      <c r="M48" s="846"/>
      <c r="N48" s="846"/>
      <c r="O48" s="846"/>
      <c r="P48" s="846"/>
      <c r="Q48" s="846"/>
      <c r="R48" s="846"/>
      <c r="S48" s="846"/>
      <c r="T48" s="846"/>
    </row>
    <row r="49" spans="2:20" ht="38.25" hidden="1">
      <c r="B49" s="828" t="s">
        <v>6609</v>
      </c>
      <c r="C49" s="828">
        <v>97185</v>
      </c>
      <c r="D49" s="630" t="s">
        <v>2754</v>
      </c>
      <c r="E49" s="630" t="s">
        <v>648</v>
      </c>
      <c r="F49" s="829">
        <v>26.650000000000002</v>
      </c>
      <c r="G49" s="830">
        <v>21.01</v>
      </c>
      <c r="H49" s="831">
        <v>47.66</v>
      </c>
      <c r="I49" s="846"/>
      <c r="J49" s="846"/>
      <c r="K49" s="846"/>
      <c r="L49" s="846"/>
      <c r="M49" s="846"/>
      <c r="N49" s="846"/>
      <c r="O49" s="846"/>
      <c r="P49" s="846"/>
      <c r="Q49" s="846"/>
      <c r="R49" s="846"/>
      <c r="S49" s="846"/>
      <c r="T49" s="846"/>
    </row>
    <row r="50" spans="2:20" ht="38.25" hidden="1">
      <c r="B50" s="828" t="s">
        <v>6609</v>
      </c>
      <c r="C50" s="828">
        <v>97186</v>
      </c>
      <c r="D50" s="630" t="s">
        <v>2755</v>
      </c>
      <c r="E50" s="630" t="s">
        <v>648</v>
      </c>
      <c r="F50" s="829">
        <v>29.919999999999998</v>
      </c>
      <c r="G50" s="830">
        <v>23.53</v>
      </c>
      <c r="H50" s="831">
        <v>53.45</v>
      </c>
      <c r="I50" s="846"/>
      <c r="J50" s="846"/>
      <c r="K50" s="846"/>
      <c r="L50" s="846"/>
      <c r="M50" s="846"/>
      <c r="N50" s="846"/>
      <c r="O50" s="846"/>
      <c r="P50" s="846"/>
      <c r="Q50" s="846"/>
      <c r="R50" s="846"/>
      <c r="S50" s="846"/>
      <c r="T50" s="846"/>
    </row>
    <row r="51" spans="2:20" ht="51" hidden="1">
      <c r="B51" s="828" t="s">
        <v>6609</v>
      </c>
      <c r="C51" s="828">
        <v>97187</v>
      </c>
      <c r="D51" s="630" t="s">
        <v>2999</v>
      </c>
      <c r="E51" s="630" t="s">
        <v>648</v>
      </c>
      <c r="F51" s="829">
        <v>36.520000000000003</v>
      </c>
      <c r="G51" s="830">
        <v>28.49</v>
      </c>
      <c r="H51" s="831">
        <v>65.010000000000005</v>
      </c>
      <c r="I51" s="846"/>
      <c r="J51" s="846"/>
      <c r="K51" s="846"/>
      <c r="L51" s="846"/>
      <c r="M51" s="846"/>
      <c r="N51" s="846"/>
      <c r="O51" s="846"/>
      <c r="P51" s="846"/>
      <c r="Q51" s="846"/>
      <c r="R51" s="846"/>
      <c r="S51" s="846"/>
      <c r="T51" s="846"/>
    </row>
    <row r="52" spans="2:20" ht="51" hidden="1">
      <c r="B52" s="828" t="s">
        <v>6609</v>
      </c>
      <c r="C52" s="828">
        <v>97188</v>
      </c>
      <c r="D52" s="630" t="s">
        <v>2756</v>
      </c>
      <c r="E52" s="630" t="s">
        <v>648</v>
      </c>
      <c r="F52" s="829">
        <v>43.14</v>
      </c>
      <c r="G52" s="830">
        <v>33.43</v>
      </c>
      <c r="H52" s="831">
        <v>76.569999999999993</v>
      </c>
      <c r="I52" s="846"/>
      <c r="J52" s="846"/>
      <c r="K52" s="846"/>
      <c r="L52" s="846"/>
      <c r="M52" s="846"/>
      <c r="N52" s="846"/>
      <c r="O52" s="846"/>
      <c r="P52" s="846"/>
      <c r="Q52" s="846"/>
      <c r="R52" s="846"/>
      <c r="S52" s="846"/>
      <c r="T52" s="846"/>
    </row>
    <row r="53" spans="2:20" ht="51" hidden="1">
      <c r="B53" s="828" t="s">
        <v>6609</v>
      </c>
      <c r="C53" s="828">
        <v>97189</v>
      </c>
      <c r="D53" s="630" t="s">
        <v>2757</v>
      </c>
      <c r="E53" s="630" t="s">
        <v>648</v>
      </c>
      <c r="F53" s="829">
        <v>49.71</v>
      </c>
      <c r="G53" s="830">
        <v>38.43</v>
      </c>
      <c r="H53" s="831">
        <v>88.14</v>
      </c>
      <c r="I53" s="846"/>
      <c r="J53" s="846"/>
      <c r="K53" s="846"/>
      <c r="L53" s="846"/>
      <c r="M53" s="846"/>
      <c r="N53" s="846"/>
      <c r="O53" s="846"/>
      <c r="P53" s="846"/>
      <c r="Q53" s="846"/>
      <c r="R53" s="846"/>
      <c r="S53" s="846"/>
      <c r="T53" s="846"/>
    </row>
    <row r="54" spans="2:20" ht="51" hidden="1">
      <c r="B54" s="828" t="s">
        <v>6609</v>
      </c>
      <c r="C54" s="828">
        <v>97190</v>
      </c>
      <c r="D54" s="630" t="s">
        <v>2758</v>
      </c>
      <c r="E54" s="630" t="s">
        <v>648</v>
      </c>
      <c r="F54" s="829">
        <v>56.29</v>
      </c>
      <c r="G54" s="830">
        <v>43.41</v>
      </c>
      <c r="H54" s="831">
        <v>99.7</v>
      </c>
      <c r="I54" s="846"/>
      <c r="J54" s="846"/>
      <c r="K54" s="846"/>
      <c r="L54" s="846"/>
      <c r="M54" s="846"/>
      <c r="N54" s="846"/>
      <c r="O54" s="846"/>
      <c r="P54" s="846"/>
      <c r="Q54" s="846"/>
      <c r="R54" s="846"/>
      <c r="S54" s="846"/>
      <c r="T54" s="846"/>
    </row>
    <row r="55" spans="2:20" ht="51" hidden="1">
      <c r="B55" s="828" t="s">
        <v>6609</v>
      </c>
      <c r="C55" s="828">
        <v>97191</v>
      </c>
      <c r="D55" s="630" t="s">
        <v>2759</v>
      </c>
      <c r="E55" s="630" t="s">
        <v>648</v>
      </c>
      <c r="F55" s="829">
        <v>66.760000000000005</v>
      </c>
      <c r="G55" s="830">
        <v>48.34</v>
      </c>
      <c r="H55" s="831">
        <v>115.1</v>
      </c>
      <c r="I55" s="846"/>
      <c r="J55" s="846"/>
      <c r="K55" s="846"/>
      <c r="L55" s="846"/>
      <c r="M55" s="846"/>
      <c r="N55" s="846"/>
      <c r="O55" s="846"/>
      <c r="P55" s="846"/>
      <c r="Q55" s="846"/>
      <c r="R55" s="846"/>
      <c r="S55" s="846"/>
      <c r="T55" s="846"/>
    </row>
    <row r="56" spans="2:20" ht="51" hidden="1">
      <c r="B56" s="828" t="s">
        <v>6609</v>
      </c>
      <c r="C56" s="828">
        <v>97192</v>
      </c>
      <c r="D56" s="630" t="s">
        <v>2760</v>
      </c>
      <c r="E56" s="630" t="s">
        <v>648</v>
      </c>
      <c r="F56" s="829">
        <v>73.75</v>
      </c>
      <c r="G56" s="830">
        <v>53.32</v>
      </c>
      <c r="H56" s="831">
        <v>127.07</v>
      </c>
      <c r="I56" s="846"/>
      <c r="J56" s="846"/>
      <c r="K56" s="846"/>
      <c r="L56" s="846"/>
      <c r="M56" s="846"/>
      <c r="N56" s="846"/>
      <c r="O56" s="846"/>
      <c r="P56" s="846"/>
      <c r="Q56" s="846"/>
      <c r="R56" s="846"/>
      <c r="S56" s="846"/>
      <c r="T56" s="846"/>
    </row>
    <row r="57" spans="2:20" ht="25.5" hidden="1">
      <c r="B57" s="828" t="s">
        <v>6554</v>
      </c>
      <c r="C57" s="828">
        <v>90694</v>
      </c>
      <c r="D57" s="630" t="s">
        <v>5431</v>
      </c>
      <c r="E57" s="630" t="s">
        <v>648</v>
      </c>
      <c r="F57" s="829">
        <v>32.5</v>
      </c>
      <c r="G57" s="830">
        <v>2.95</v>
      </c>
      <c r="H57" s="831">
        <v>35.450000000000003</v>
      </c>
      <c r="I57" s="846"/>
      <c r="J57" s="846"/>
      <c r="K57" s="846"/>
      <c r="L57" s="846"/>
      <c r="M57" s="846"/>
      <c r="N57" s="846"/>
      <c r="O57" s="846"/>
      <c r="P57" s="846"/>
      <c r="Q57" s="846"/>
      <c r="R57" s="846"/>
      <c r="S57" s="846"/>
      <c r="T57" s="846"/>
    </row>
    <row r="58" spans="2:20" ht="25.5" hidden="1">
      <c r="B58" s="828" t="s">
        <v>6554</v>
      </c>
      <c r="C58" s="828">
        <v>90695</v>
      </c>
      <c r="D58" s="630" t="s">
        <v>5432</v>
      </c>
      <c r="E58" s="630" t="s">
        <v>648</v>
      </c>
      <c r="F58" s="829">
        <v>68.97</v>
      </c>
      <c r="G58" s="830">
        <v>3.49</v>
      </c>
      <c r="H58" s="831">
        <v>72.459999999999994</v>
      </c>
      <c r="I58" s="846"/>
      <c r="J58" s="846"/>
      <c r="K58" s="846"/>
      <c r="L58" s="846"/>
      <c r="M58" s="846"/>
      <c r="N58" s="846"/>
      <c r="O58" s="846"/>
      <c r="P58" s="846"/>
      <c r="Q58" s="846"/>
      <c r="R58" s="846"/>
      <c r="S58" s="846"/>
      <c r="T58" s="846"/>
    </row>
    <row r="59" spans="2:20" ht="25.5" hidden="1">
      <c r="B59" s="828" t="s">
        <v>6554</v>
      </c>
      <c r="C59" s="828">
        <v>90696</v>
      </c>
      <c r="D59" s="630" t="s">
        <v>5433</v>
      </c>
      <c r="E59" s="630" t="s">
        <v>648</v>
      </c>
      <c r="F59" s="829">
        <v>103</v>
      </c>
      <c r="G59" s="830">
        <v>4.04</v>
      </c>
      <c r="H59" s="831">
        <v>107.04</v>
      </c>
      <c r="I59" s="846"/>
      <c r="J59" s="846"/>
      <c r="K59" s="846"/>
      <c r="L59" s="846"/>
      <c r="M59" s="846"/>
      <c r="N59" s="846"/>
      <c r="O59" s="846"/>
      <c r="P59" s="846"/>
      <c r="Q59" s="846"/>
      <c r="R59" s="846"/>
      <c r="S59" s="846"/>
      <c r="T59" s="846"/>
    </row>
    <row r="60" spans="2:20" ht="25.5" hidden="1">
      <c r="B60" s="828" t="s">
        <v>6554</v>
      </c>
      <c r="C60" s="828">
        <v>90697</v>
      </c>
      <c r="D60" s="630" t="s">
        <v>5434</v>
      </c>
      <c r="E60" s="630" t="s">
        <v>648</v>
      </c>
      <c r="F60" s="829">
        <v>174.7</v>
      </c>
      <c r="G60" s="830">
        <v>4.59</v>
      </c>
      <c r="H60" s="831">
        <v>179.29</v>
      </c>
      <c r="I60" s="846"/>
      <c r="J60" s="846"/>
      <c r="K60" s="846"/>
      <c r="L60" s="846"/>
      <c r="M60" s="846"/>
      <c r="N60" s="846"/>
      <c r="O60" s="846"/>
      <c r="P60" s="846"/>
      <c r="Q60" s="846"/>
      <c r="R60" s="846"/>
      <c r="S60" s="846"/>
      <c r="T60" s="846"/>
    </row>
    <row r="61" spans="2:20" ht="25.5" hidden="1">
      <c r="B61" s="828" t="s">
        <v>6554</v>
      </c>
      <c r="C61" s="828">
        <v>90698</v>
      </c>
      <c r="D61" s="630" t="s">
        <v>5435</v>
      </c>
      <c r="E61" s="630" t="s">
        <v>648</v>
      </c>
      <c r="F61" s="829">
        <v>281.20999999999998</v>
      </c>
      <c r="G61" s="830">
        <v>5.14</v>
      </c>
      <c r="H61" s="831">
        <v>286.35000000000002</v>
      </c>
      <c r="I61" s="846"/>
      <c r="J61" s="846"/>
      <c r="K61" s="846"/>
      <c r="L61" s="846"/>
      <c r="M61" s="846"/>
      <c r="N61" s="846"/>
      <c r="O61" s="846"/>
      <c r="P61" s="846"/>
      <c r="Q61" s="846"/>
      <c r="R61" s="846"/>
      <c r="S61" s="846"/>
      <c r="T61" s="846"/>
    </row>
    <row r="62" spans="2:20" ht="25.5" hidden="1">
      <c r="B62" s="828" t="s">
        <v>6554</v>
      </c>
      <c r="C62" s="828">
        <v>90699</v>
      </c>
      <c r="D62" s="630" t="s">
        <v>5436</v>
      </c>
      <c r="E62" s="630" t="s">
        <v>648</v>
      </c>
      <c r="F62" s="829">
        <v>348.03</v>
      </c>
      <c r="G62" s="830">
        <v>5.68</v>
      </c>
      <c r="H62" s="831">
        <v>353.71</v>
      </c>
      <c r="I62" s="846"/>
      <c r="J62" s="846"/>
      <c r="K62" s="846"/>
      <c r="L62" s="846"/>
      <c r="M62" s="846"/>
      <c r="N62" s="846"/>
      <c r="O62" s="846"/>
      <c r="P62" s="846"/>
      <c r="Q62" s="846"/>
      <c r="R62" s="846"/>
      <c r="S62" s="846"/>
      <c r="T62" s="846"/>
    </row>
    <row r="63" spans="2:20" ht="25.5" hidden="1">
      <c r="B63" s="828" t="s">
        <v>6554</v>
      </c>
      <c r="C63" s="828">
        <v>90700</v>
      </c>
      <c r="D63" s="630" t="s">
        <v>5437</v>
      </c>
      <c r="E63" s="630" t="s">
        <v>648</v>
      </c>
      <c r="F63" s="829">
        <v>453.90000000000003</v>
      </c>
      <c r="G63" s="830">
        <v>4.53</v>
      </c>
      <c r="H63" s="831">
        <v>458.43</v>
      </c>
      <c r="I63" s="846"/>
      <c r="J63" s="846"/>
      <c r="K63" s="846"/>
      <c r="L63" s="846"/>
      <c r="M63" s="846"/>
      <c r="N63" s="846"/>
      <c r="O63" s="846"/>
      <c r="P63" s="846"/>
      <c r="Q63" s="846"/>
      <c r="R63" s="846"/>
      <c r="S63" s="846"/>
      <c r="T63" s="846"/>
    </row>
    <row r="64" spans="2:20" ht="38.25" hidden="1">
      <c r="B64" s="828" t="s">
        <v>6554</v>
      </c>
      <c r="C64" s="828">
        <v>90701</v>
      </c>
      <c r="D64" s="630" t="s">
        <v>5438</v>
      </c>
      <c r="E64" s="630" t="s">
        <v>648</v>
      </c>
      <c r="F64" s="829">
        <v>55.51</v>
      </c>
      <c r="G64" s="830">
        <v>3.89</v>
      </c>
      <c r="H64" s="831">
        <v>59.4</v>
      </c>
      <c r="I64" s="846"/>
      <c r="J64" s="846"/>
      <c r="K64" s="846"/>
      <c r="L64" s="846"/>
      <c r="M64" s="846"/>
      <c r="N64" s="846"/>
      <c r="O64" s="846"/>
      <c r="P64" s="846"/>
      <c r="Q64" s="846"/>
      <c r="R64" s="846"/>
      <c r="S64" s="846"/>
      <c r="T64" s="846"/>
    </row>
    <row r="65" spans="2:20" ht="38.25" hidden="1">
      <c r="B65" s="828" t="s">
        <v>6554</v>
      </c>
      <c r="C65" s="828">
        <v>90702</v>
      </c>
      <c r="D65" s="630" t="s">
        <v>5439</v>
      </c>
      <c r="E65" s="630" t="s">
        <v>648</v>
      </c>
      <c r="F65" s="829">
        <v>89.81</v>
      </c>
      <c r="G65" s="830">
        <v>4.4400000000000004</v>
      </c>
      <c r="H65" s="831">
        <v>94.25</v>
      </c>
      <c r="I65" s="846"/>
      <c r="J65" s="846"/>
      <c r="K65" s="846"/>
      <c r="L65" s="846"/>
      <c r="M65" s="846"/>
      <c r="N65" s="846"/>
      <c r="O65" s="846"/>
      <c r="P65" s="846"/>
      <c r="Q65" s="846"/>
      <c r="R65" s="846"/>
      <c r="S65" s="846"/>
      <c r="T65" s="846"/>
    </row>
    <row r="66" spans="2:20" ht="38.25" hidden="1">
      <c r="B66" s="828" t="s">
        <v>6554</v>
      </c>
      <c r="C66" s="828">
        <v>90703</v>
      </c>
      <c r="D66" s="630" t="s">
        <v>5440</v>
      </c>
      <c r="E66" s="630" t="s">
        <v>648</v>
      </c>
      <c r="F66" s="829">
        <v>149.68</v>
      </c>
      <c r="G66" s="830">
        <v>4.99</v>
      </c>
      <c r="H66" s="831">
        <v>154.66999999999999</v>
      </c>
      <c r="I66" s="846"/>
      <c r="J66" s="846"/>
      <c r="K66" s="846"/>
      <c r="L66" s="846"/>
      <c r="M66" s="846"/>
      <c r="N66" s="846"/>
      <c r="O66" s="846"/>
      <c r="P66" s="846"/>
      <c r="Q66" s="846"/>
      <c r="R66" s="846"/>
      <c r="S66" s="846"/>
      <c r="T66" s="846"/>
    </row>
    <row r="67" spans="2:20" ht="38.25" hidden="1">
      <c r="B67" s="828" t="s">
        <v>6554</v>
      </c>
      <c r="C67" s="828">
        <v>90704</v>
      </c>
      <c r="D67" s="630" t="s">
        <v>5441</v>
      </c>
      <c r="E67" s="630" t="s">
        <v>648</v>
      </c>
      <c r="F67" s="829">
        <v>213.01</v>
      </c>
      <c r="G67" s="830">
        <v>5.54</v>
      </c>
      <c r="H67" s="831">
        <v>218.55</v>
      </c>
      <c r="I67" s="846"/>
      <c r="J67" s="846"/>
      <c r="K67" s="846"/>
      <c r="L67" s="846"/>
      <c r="M67" s="846"/>
      <c r="N67" s="846"/>
      <c r="O67" s="846"/>
      <c r="P67" s="846"/>
      <c r="Q67" s="846"/>
      <c r="R67" s="846"/>
      <c r="S67" s="846"/>
      <c r="T67" s="846"/>
    </row>
    <row r="68" spans="2:20" ht="38.25" hidden="1">
      <c r="B68" s="828" t="s">
        <v>6554</v>
      </c>
      <c r="C68" s="828">
        <v>90705</v>
      </c>
      <c r="D68" s="630" t="s">
        <v>5442</v>
      </c>
      <c r="E68" s="630" t="s">
        <v>648</v>
      </c>
      <c r="F68" s="829">
        <v>290.76</v>
      </c>
      <c r="G68" s="830">
        <v>6.09</v>
      </c>
      <c r="H68" s="831">
        <v>296.85000000000002</v>
      </c>
      <c r="I68" s="846"/>
      <c r="J68" s="846"/>
      <c r="K68" s="846"/>
      <c r="L68" s="846"/>
      <c r="M68" s="846"/>
      <c r="N68" s="846"/>
      <c r="O68" s="846"/>
      <c r="P68" s="846"/>
      <c r="Q68" s="846"/>
      <c r="R68" s="846"/>
      <c r="S68" s="846"/>
      <c r="T68" s="846"/>
    </row>
    <row r="69" spans="2:20" ht="38.25" hidden="1">
      <c r="B69" s="828" t="s">
        <v>6554</v>
      </c>
      <c r="C69" s="828">
        <v>90706</v>
      </c>
      <c r="D69" s="630" t="s">
        <v>5443</v>
      </c>
      <c r="E69" s="630" t="s">
        <v>648</v>
      </c>
      <c r="F69" s="829">
        <v>343.34999999999997</v>
      </c>
      <c r="G69" s="830">
        <v>5.0599999999999996</v>
      </c>
      <c r="H69" s="831">
        <v>348.41</v>
      </c>
      <c r="I69" s="846"/>
      <c r="J69" s="846"/>
      <c r="K69" s="846"/>
      <c r="L69" s="846"/>
      <c r="M69" s="846"/>
      <c r="N69" s="846"/>
      <c r="O69" s="846"/>
      <c r="P69" s="846"/>
      <c r="Q69" s="846"/>
      <c r="R69" s="846"/>
      <c r="S69" s="846"/>
      <c r="T69" s="846"/>
    </row>
    <row r="70" spans="2:20" ht="38.25" hidden="1">
      <c r="B70" s="828" t="s">
        <v>6554</v>
      </c>
      <c r="C70" s="828">
        <v>90708</v>
      </c>
      <c r="D70" s="630" t="s">
        <v>5444</v>
      </c>
      <c r="E70" s="630" t="s">
        <v>648</v>
      </c>
      <c r="F70" s="829">
        <v>652.98</v>
      </c>
      <c r="G70" s="830">
        <v>6.76</v>
      </c>
      <c r="H70" s="831">
        <v>659.74</v>
      </c>
      <c r="I70" s="846"/>
      <c r="J70" s="846"/>
      <c r="K70" s="846"/>
      <c r="L70" s="846"/>
      <c r="M70" s="846"/>
      <c r="N70" s="846"/>
      <c r="O70" s="846"/>
      <c r="P70" s="846"/>
      <c r="Q70" s="846"/>
      <c r="R70" s="846"/>
      <c r="S70" s="846"/>
      <c r="T70" s="846"/>
    </row>
    <row r="71" spans="2:20" ht="25.5" hidden="1">
      <c r="B71" s="828" t="s">
        <v>6554</v>
      </c>
      <c r="C71" s="828">
        <v>90724</v>
      </c>
      <c r="D71" s="630" t="s">
        <v>5445</v>
      </c>
      <c r="E71" s="630" t="s">
        <v>646</v>
      </c>
      <c r="F71" s="829">
        <v>6.93</v>
      </c>
      <c r="G71" s="830">
        <v>20.350000000000001</v>
      </c>
      <c r="H71" s="831">
        <v>27.28</v>
      </c>
      <c r="I71" s="846"/>
      <c r="J71" s="846"/>
      <c r="K71" s="846"/>
      <c r="L71" s="846"/>
      <c r="M71" s="846"/>
      <c r="N71" s="846"/>
      <c r="O71" s="846"/>
      <c r="P71" s="846"/>
      <c r="Q71" s="846"/>
      <c r="R71" s="846"/>
      <c r="S71" s="846"/>
      <c r="T71" s="846"/>
    </row>
    <row r="72" spans="2:20" ht="25.5" hidden="1">
      <c r="B72" s="828" t="s">
        <v>6554</v>
      </c>
      <c r="C72" s="828">
        <v>90725</v>
      </c>
      <c r="D72" s="630" t="s">
        <v>5446</v>
      </c>
      <c r="E72" s="630" t="s">
        <v>646</v>
      </c>
      <c r="F72" s="829">
        <v>8.61</v>
      </c>
      <c r="G72" s="830">
        <v>24.94</v>
      </c>
      <c r="H72" s="831">
        <v>33.549999999999997</v>
      </c>
      <c r="I72" s="846"/>
      <c r="J72" s="846"/>
      <c r="K72" s="846"/>
      <c r="L72" s="846"/>
      <c r="M72" s="846"/>
      <c r="N72" s="846"/>
      <c r="O72" s="846"/>
      <c r="P72" s="846"/>
      <c r="Q72" s="846"/>
      <c r="R72" s="846"/>
      <c r="S72" s="846"/>
      <c r="T72" s="846"/>
    </row>
    <row r="73" spans="2:20" ht="25.5" hidden="1">
      <c r="B73" s="828" t="s">
        <v>6554</v>
      </c>
      <c r="C73" s="828">
        <v>90726</v>
      </c>
      <c r="D73" s="630" t="s">
        <v>5447</v>
      </c>
      <c r="E73" s="630" t="s">
        <v>646</v>
      </c>
      <c r="F73" s="829">
        <v>10.36</v>
      </c>
      <c r="G73" s="830">
        <v>29.5</v>
      </c>
      <c r="H73" s="831">
        <v>39.86</v>
      </c>
      <c r="I73" s="846"/>
      <c r="J73" s="846"/>
      <c r="K73" s="846"/>
      <c r="L73" s="846"/>
      <c r="M73" s="846"/>
      <c r="N73" s="846"/>
      <c r="O73" s="846"/>
      <c r="P73" s="846"/>
      <c r="Q73" s="846"/>
      <c r="R73" s="846"/>
      <c r="S73" s="846"/>
      <c r="T73" s="846"/>
    </row>
    <row r="74" spans="2:20" ht="25.5" hidden="1">
      <c r="B74" s="828" t="s">
        <v>6554</v>
      </c>
      <c r="C74" s="828">
        <v>90727</v>
      </c>
      <c r="D74" s="630" t="s">
        <v>5448</v>
      </c>
      <c r="E74" s="630" t="s">
        <v>646</v>
      </c>
      <c r="F74" s="829">
        <v>12.05</v>
      </c>
      <c r="G74" s="830">
        <v>34.07</v>
      </c>
      <c r="H74" s="831">
        <v>46.12</v>
      </c>
      <c r="I74" s="846"/>
      <c r="J74" s="846"/>
      <c r="K74" s="846"/>
      <c r="L74" s="846"/>
      <c r="M74" s="846"/>
      <c r="N74" s="846"/>
      <c r="O74" s="846"/>
      <c r="P74" s="846"/>
      <c r="Q74" s="846"/>
      <c r="R74" s="846"/>
      <c r="S74" s="846"/>
      <c r="T74" s="846"/>
    </row>
    <row r="75" spans="2:20" ht="25.5" hidden="1">
      <c r="B75" s="828" t="s">
        <v>6554</v>
      </c>
      <c r="C75" s="828">
        <v>90728</v>
      </c>
      <c r="D75" s="630" t="s">
        <v>5449</v>
      </c>
      <c r="E75" s="630" t="s">
        <v>646</v>
      </c>
      <c r="F75" s="829">
        <v>13.75</v>
      </c>
      <c r="G75" s="830">
        <v>38.619999999999997</v>
      </c>
      <c r="H75" s="831">
        <v>52.37</v>
      </c>
      <c r="I75" s="846"/>
      <c r="J75" s="846"/>
      <c r="K75" s="846"/>
      <c r="L75" s="846"/>
      <c r="M75" s="846"/>
      <c r="N75" s="846"/>
      <c r="O75" s="846"/>
      <c r="P75" s="846"/>
      <c r="Q75" s="846"/>
      <c r="R75" s="846"/>
      <c r="S75" s="846"/>
      <c r="T75" s="846"/>
    </row>
    <row r="76" spans="2:20" ht="25.5" hidden="1">
      <c r="B76" s="828" t="s">
        <v>6554</v>
      </c>
      <c r="C76" s="828">
        <v>90729</v>
      </c>
      <c r="D76" s="630" t="s">
        <v>5450</v>
      </c>
      <c r="E76" s="630" t="s">
        <v>646</v>
      </c>
      <c r="F76" s="829">
        <v>15.46</v>
      </c>
      <c r="G76" s="830">
        <v>43.16</v>
      </c>
      <c r="H76" s="831">
        <v>58.62</v>
      </c>
      <c r="I76" s="846"/>
      <c r="J76" s="846"/>
      <c r="K76" s="846"/>
      <c r="L76" s="846"/>
      <c r="M76" s="846"/>
      <c r="N76" s="846"/>
      <c r="O76" s="846"/>
      <c r="P76" s="846"/>
      <c r="Q76" s="846"/>
      <c r="R76" s="846"/>
      <c r="S76" s="846"/>
      <c r="T76" s="846"/>
    </row>
    <row r="77" spans="2:20" ht="25.5" hidden="1">
      <c r="B77" s="828" t="s">
        <v>6554</v>
      </c>
      <c r="C77" s="828">
        <v>90730</v>
      </c>
      <c r="D77" s="630" t="s">
        <v>5451</v>
      </c>
      <c r="E77" s="630" t="s">
        <v>646</v>
      </c>
      <c r="F77" s="829">
        <v>17.16</v>
      </c>
      <c r="G77" s="830">
        <v>47.72</v>
      </c>
      <c r="H77" s="831">
        <v>64.88</v>
      </c>
      <c r="I77" s="846"/>
      <c r="J77" s="846"/>
      <c r="K77" s="846"/>
      <c r="L77" s="846"/>
      <c r="M77" s="846"/>
      <c r="N77" s="846"/>
      <c r="O77" s="846"/>
      <c r="P77" s="846"/>
      <c r="Q77" s="846"/>
      <c r="R77" s="846"/>
      <c r="S77" s="846"/>
      <c r="T77" s="846"/>
    </row>
    <row r="78" spans="2:20" ht="25.5" hidden="1">
      <c r="B78" s="828" t="s">
        <v>6554</v>
      </c>
      <c r="C78" s="828">
        <v>90731</v>
      </c>
      <c r="D78" s="630" t="s">
        <v>5452</v>
      </c>
      <c r="E78" s="630" t="s">
        <v>646</v>
      </c>
      <c r="F78" s="829">
        <v>18.829999999999998</v>
      </c>
      <c r="G78" s="830">
        <v>52.31</v>
      </c>
      <c r="H78" s="831">
        <v>71.14</v>
      </c>
      <c r="I78" s="846"/>
      <c r="J78" s="846"/>
      <c r="K78" s="846"/>
      <c r="L78" s="846"/>
      <c r="M78" s="846"/>
      <c r="N78" s="846"/>
      <c r="O78" s="846"/>
      <c r="P78" s="846"/>
      <c r="Q78" s="846"/>
      <c r="R78" s="846"/>
      <c r="S78" s="846"/>
      <c r="T78" s="846"/>
    </row>
    <row r="79" spans="2:20" ht="25.5" hidden="1">
      <c r="B79" s="828" t="s">
        <v>6554</v>
      </c>
      <c r="C79" s="828">
        <v>90732</v>
      </c>
      <c r="D79" s="630" t="s">
        <v>5453</v>
      </c>
      <c r="E79" s="630" t="s">
        <v>646</v>
      </c>
      <c r="F79" s="829">
        <v>23.91</v>
      </c>
      <c r="G79" s="830">
        <v>66</v>
      </c>
      <c r="H79" s="831">
        <v>89.91</v>
      </c>
      <c r="I79" s="846"/>
      <c r="J79" s="846"/>
      <c r="K79" s="846"/>
      <c r="L79" s="846"/>
      <c r="M79" s="846"/>
      <c r="N79" s="846"/>
      <c r="O79" s="846"/>
      <c r="P79" s="846"/>
      <c r="Q79" s="846"/>
      <c r="R79" s="846"/>
      <c r="S79" s="846"/>
      <c r="T79" s="846"/>
    </row>
    <row r="80" spans="2:20" ht="38.25" hidden="1">
      <c r="B80" s="828" t="s">
        <v>6554</v>
      </c>
      <c r="C80" s="828">
        <v>90733</v>
      </c>
      <c r="D80" s="630" t="s">
        <v>5454</v>
      </c>
      <c r="E80" s="630" t="s">
        <v>648</v>
      </c>
      <c r="F80" s="829">
        <v>0.86</v>
      </c>
      <c r="G80" s="830">
        <v>3.01</v>
      </c>
      <c r="H80" s="831">
        <v>3.87</v>
      </c>
      <c r="I80" s="846"/>
      <c r="J80" s="846"/>
      <c r="K80" s="846"/>
      <c r="L80" s="846"/>
      <c r="M80" s="846"/>
      <c r="N80" s="846"/>
      <c r="O80" s="846"/>
      <c r="P80" s="846"/>
      <c r="Q80" s="846"/>
      <c r="R80" s="846"/>
      <c r="S80" s="846"/>
      <c r="T80" s="846"/>
    </row>
    <row r="81" spans="2:20" ht="38.25" hidden="1">
      <c r="B81" s="828" t="s">
        <v>6554</v>
      </c>
      <c r="C81" s="828">
        <v>90734</v>
      </c>
      <c r="D81" s="630" t="s">
        <v>5455</v>
      </c>
      <c r="E81" s="630" t="s">
        <v>648</v>
      </c>
      <c r="F81" s="829">
        <v>1.03</v>
      </c>
      <c r="G81" s="830">
        <v>3.55</v>
      </c>
      <c r="H81" s="831">
        <v>4.58</v>
      </c>
      <c r="I81" s="846"/>
      <c r="J81" s="846"/>
      <c r="K81" s="846"/>
      <c r="L81" s="846"/>
      <c r="M81" s="846"/>
      <c r="N81" s="846"/>
      <c r="O81" s="846"/>
      <c r="P81" s="846"/>
      <c r="Q81" s="846"/>
      <c r="R81" s="846"/>
      <c r="S81" s="846"/>
      <c r="T81" s="846"/>
    </row>
    <row r="82" spans="2:20" ht="38.25" hidden="1">
      <c r="B82" s="828" t="s">
        <v>6554</v>
      </c>
      <c r="C82" s="828">
        <v>90735</v>
      </c>
      <c r="D82" s="630" t="s">
        <v>5456</v>
      </c>
      <c r="E82" s="630" t="s">
        <v>648</v>
      </c>
      <c r="F82" s="829">
        <v>1.19</v>
      </c>
      <c r="G82" s="830">
        <v>4.1100000000000003</v>
      </c>
      <c r="H82" s="831">
        <v>5.3</v>
      </c>
      <c r="I82" s="846"/>
      <c r="J82" s="846"/>
      <c r="K82" s="846"/>
      <c r="L82" s="846"/>
      <c r="M82" s="846"/>
      <c r="N82" s="846"/>
      <c r="O82" s="846"/>
      <c r="P82" s="846"/>
      <c r="Q82" s="846"/>
      <c r="R82" s="846"/>
      <c r="S82" s="846"/>
      <c r="T82" s="846"/>
    </row>
    <row r="83" spans="2:20" ht="38.25" hidden="1">
      <c r="B83" s="828" t="s">
        <v>6554</v>
      </c>
      <c r="C83" s="828">
        <v>90736</v>
      </c>
      <c r="D83" s="630" t="s">
        <v>5457</v>
      </c>
      <c r="E83" s="630" t="s">
        <v>648</v>
      </c>
      <c r="F83" s="829">
        <v>1.36</v>
      </c>
      <c r="G83" s="830">
        <v>4.6500000000000004</v>
      </c>
      <c r="H83" s="831">
        <v>6.01</v>
      </c>
      <c r="I83" s="846"/>
      <c r="J83" s="846"/>
      <c r="K83" s="846"/>
      <c r="L83" s="846"/>
      <c r="M83" s="846"/>
      <c r="N83" s="846"/>
      <c r="O83" s="846"/>
      <c r="P83" s="846"/>
      <c r="Q83" s="846"/>
      <c r="R83" s="846"/>
      <c r="S83" s="846"/>
      <c r="T83" s="846"/>
    </row>
    <row r="84" spans="2:20" ht="38.25" hidden="1">
      <c r="B84" s="828" t="s">
        <v>6554</v>
      </c>
      <c r="C84" s="828">
        <v>90737</v>
      </c>
      <c r="D84" s="630" t="s">
        <v>5458</v>
      </c>
      <c r="E84" s="630" t="s">
        <v>648</v>
      </c>
      <c r="F84" s="829">
        <v>1.52</v>
      </c>
      <c r="G84" s="830">
        <v>5.21</v>
      </c>
      <c r="H84" s="831">
        <v>6.73</v>
      </c>
      <c r="I84" s="846"/>
      <c r="J84" s="846"/>
      <c r="K84" s="846"/>
      <c r="L84" s="846"/>
      <c r="M84" s="846"/>
      <c r="N84" s="846"/>
      <c r="O84" s="846"/>
      <c r="P84" s="846"/>
      <c r="Q84" s="846"/>
      <c r="R84" s="846"/>
      <c r="S84" s="846"/>
      <c r="T84" s="846"/>
    </row>
    <row r="85" spans="2:20" ht="38.25" hidden="1">
      <c r="B85" s="828" t="s">
        <v>6554</v>
      </c>
      <c r="C85" s="828">
        <v>90738</v>
      </c>
      <c r="D85" s="630" t="s">
        <v>5459</v>
      </c>
      <c r="E85" s="630" t="s">
        <v>648</v>
      </c>
      <c r="F85" s="829">
        <v>1.7</v>
      </c>
      <c r="G85" s="830">
        <v>5.75</v>
      </c>
      <c r="H85" s="831">
        <v>7.45</v>
      </c>
      <c r="I85" s="846"/>
      <c r="J85" s="846"/>
      <c r="K85" s="846"/>
      <c r="L85" s="846"/>
      <c r="M85" s="846"/>
      <c r="N85" s="846"/>
      <c r="O85" s="846"/>
      <c r="P85" s="846"/>
      <c r="Q85" s="846"/>
      <c r="R85" s="846"/>
      <c r="S85" s="846"/>
      <c r="T85" s="846"/>
    </row>
    <row r="86" spans="2:20" ht="38.25" hidden="1">
      <c r="B86" s="828" t="s">
        <v>6554</v>
      </c>
      <c r="C86" s="828">
        <v>90739</v>
      </c>
      <c r="D86" s="630" t="s">
        <v>5460</v>
      </c>
      <c r="E86" s="630" t="s">
        <v>648</v>
      </c>
      <c r="F86" s="829">
        <v>5.4700000000000006</v>
      </c>
      <c r="G86" s="830">
        <v>4.5999999999999996</v>
      </c>
      <c r="H86" s="831">
        <v>10.07</v>
      </c>
      <c r="I86" s="846"/>
      <c r="J86" s="846"/>
      <c r="K86" s="846"/>
      <c r="L86" s="846"/>
      <c r="M86" s="846"/>
      <c r="N86" s="846"/>
      <c r="O86" s="846"/>
      <c r="P86" s="846"/>
      <c r="Q86" s="846"/>
      <c r="R86" s="846"/>
      <c r="S86" s="846"/>
      <c r="T86" s="846"/>
    </row>
    <row r="87" spans="2:20" ht="38.25" hidden="1">
      <c r="B87" s="828" t="s">
        <v>6554</v>
      </c>
      <c r="C87" s="828">
        <v>90740</v>
      </c>
      <c r="D87" s="630" t="s">
        <v>5461</v>
      </c>
      <c r="E87" s="630" t="s">
        <v>648</v>
      </c>
      <c r="F87" s="829">
        <v>1.1599999999999999</v>
      </c>
      <c r="G87" s="830">
        <v>3.95</v>
      </c>
      <c r="H87" s="831">
        <v>5.1100000000000003</v>
      </c>
      <c r="I87" s="846"/>
      <c r="J87" s="846"/>
      <c r="K87" s="846"/>
      <c r="L87" s="846"/>
      <c r="M87" s="846"/>
      <c r="N87" s="846"/>
      <c r="O87" s="846"/>
      <c r="P87" s="846"/>
      <c r="Q87" s="846"/>
      <c r="R87" s="846"/>
      <c r="S87" s="846"/>
      <c r="T87" s="846"/>
    </row>
    <row r="88" spans="2:20" ht="38.25" hidden="1">
      <c r="B88" s="828" t="s">
        <v>6554</v>
      </c>
      <c r="C88" s="828">
        <v>90741</v>
      </c>
      <c r="D88" s="630" t="s">
        <v>5462</v>
      </c>
      <c r="E88" s="630" t="s">
        <v>648</v>
      </c>
      <c r="F88" s="829">
        <v>1.34</v>
      </c>
      <c r="G88" s="830">
        <v>4.4800000000000004</v>
      </c>
      <c r="H88" s="831">
        <v>5.82</v>
      </c>
      <c r="I88" s="846"/>
      <c r="J88" s="846"/>
      <c r="K88" s="846"/>
      <c r="L88" s="846"/>
      <c r="M88" s="846"/>
      <c r="N88" s="846"/>
      <c r="O88" s="846"/>
      <c r="P88" s="846"/>
      <c r="Q88" s="846"/>
      <c r="R88" s="846"/>
      <c r="S88" s="846"/>
      <c r="T88" s="846"/>
    </row>
    <row r="89" spans="2:20" ht="38.25" hidden="1">
      <c r="B89" s="828" t="s">
        <v>6554</v>
      </c>
      <c r="C89" s="828">
        <v>90742</v>
      </c>
      <c r="D89" s="630" t="s">
        <v>5463</v>
      </c>
      <c r="E89" s="630" t="s">
        <v>648</v>
      </c>
      <c r="F89" s="829">
        <v>1.49</v>
      </c>
      <c r="G89" s="830">
        <v>5.05</v>
      </c>
      <c r="H89" s="831">
        <v>6.54</v>
      </c>
      <c r="I89" s="846"/>
      <c r="J89" s="846"/>
      <c r="K89" s="846"/>
      <c r="L89" s="846"/>
      <c r="M89" s="846"/>
      <c r="N89" s="846"/>
      <c r="O89" s="846"/>
      <c r="P89" s="846"/>
      <c r="Q89" s="846"/>
      <c r="R89" s="846"/>
      <c r="S89" s="846"/>
      <c r="T89" s="846"/>
    </row>
    <row r="90" spans="2:20" ht="38.25" hidden="1">
      <c r="B90" s="828" t="s">
        <v>6554</v>
      </c>
      <c r="C90" s="828">
        <v>90743</v>
      </c>
      <c r="D90" s="630" t="s">
        <v>5464</v>
      </c>
      <c r="E90" s="630" t="s">
        <v>648</v>
      </c>
      <c r="F90" s="829">
        <v>1.66</v>
      </c>
      <c r="G90" s="830">
        <v>5.59</v>
      </c>
      <c r="H90" s="831">
        <v>7.25</v>
      </c>
      <c r="I90" s="846"/>
      <c r="J90" s="846"/>
      <c r="K90" s="846"/>
      <c r="L90" s="846"/>
      <c r="M90" s="846"/>
      <c r="N90" s="846"/>
      <c r="O90" s="846"/>
      <c r="P90" s="846"/>
      <c r="Q90" s="846"/>
      <c r="R90" s="846"/>
      <c r="S90" s="846"/>
      <c r="T90" s="846"/>
    </row>
    <row r="91" spans="2:20" ht="38.25" hidden="1">
      <c r="B91" s="828" t="s">
        <v>6554</v>
      </c>
      <c r="C91" s="828">
        <v>90744</v>
      </c>
      <c r="D91" s="630" t="s">
        <v>5465</v>
      </c>
      <c r="E91" s="630" t="s">
        <v>648</v>
      </c>
      <c r="F91" s="829">
        <v>1.81</v>
      </c>
      <c r="G91" s="830">
        <v>6.16</v>
      </c>
      <c r="H91" s="831">
        <v>7.97</v>
      </c>
      <c r="I91" s="846"/>
      <c r="J91" s="846"/>
      <c r="K91" s="846"/>
      <c r="L91" s="846"/>
      <c r="M91" s="846"/>
      <c r="N91" s="846"/>
      <c r="O91" s="846"/>
      <c r="P91" s="846"/>
      <c r="Q91" s="846"/>
      <c r="R91" s="846"/>
      <c r="S91" s="846"/>
      <c r="T91" s="846"/>
    </row>
    <row r="92" spans="2:20" ht="38.25" hidden="1">
      <c r="B92" s="828" t="s">
        <v>6554</v>
      </c>
      <c r="C92" s="828">
        <v>90745</v>
      </c>
      <c r="D92" s="630" t="s">
        <v>5466</v>
      </c>
      <c r="E92" s="630" t="s">
        <v>648</v>
      </c>
      <c r="F92" s="829">
        <v>6.12</v>
      </c>
      <c r="G92" s="830">
        <v>5.14</v>
      </c>
      <c r="H92" s="831">
        <v>11.26</v>
      </c>
      <c r="I92" s="846"/>
      <c r="J92" s="846"/>
      <c r="K92" s="846"/>
      <c r="L92" s="846"/>
      <c r="M92" s="846"/>
      <c r="N92" s="846"/>
      <c r="O92" s="846"/>
      <c r="P92" s="846"/>
      <c r="Q92" s="846"/>
      <c r="R92" s="846"/>
      <c r="S92" s="846"/>
      <c r="T92" s="846"/>
    </row>
    <row r="93" spans="2:20" ht="38.25" hidden="1">
      <c r="B93" s="828" t="s">
        <v>6554</v>
      </c>
      <c r="C93" s="828">
        <v>90746</v>
      </c>
      <c r="D93" s="630" t="s">
        <v>5467</v>
      </c>
      <c r="E93" s="630" t="s">
        <v>648</v>
      </c>
      <c r="F93" s="829">
        <v>0.94</v>
      </c>
      <c r="G93" s="830">
        <v>3.24</v>
      </c>
      <c r="H93" s="831">
        <v>4.18</v>
      </c>
      <c r="I93" s="846"/>
      <c r="J93" s="846"/>
      <c r="K93" s="846"/>
      <c r="L93" s="846"/>
      <c r="M93" s="846"/>
      <c r="N93" s="846"/>
      <c r="O93" s="846"/>
      <c r="P93" s="846"/>
      <c r="Q93" s="846"/>
      <c r="R93" s="846"/>
      <c r="S93" s="846"/>
      <c r="T93" s="846"/>
    </row>
    <row r="94" spans="2:20" ht="38.25" hidden="1">
      <c r="B94" s="828" t="s">
        <v>6554</v>
      </c>
      <c r="C94" s="828">
        <v>90747</v>
      </c>
      <c r="D94" s="630" t="s">
        <v>5468</v>
      </c>
      <c r="E94" s="630" t="s">
        <v>648</v>
      </c>
      <c r="F94" s="829">
        <v>11.99</v>
      </c>
      <c r="G94" s="830">
        <v>6.84</v>
      </c>
      <c r="H94" s="831">
        <v>18.829999999999998</v>
      </c>
      <c r="I94" s="846"/>
      <c r="J94" s="846"/>
      <c r="K94" s="846"/>
      <c r="L94" s="846"/>
      <c r="M94" s="846"/>
      <c r="N94" s="846"/>
      <c r="O94" s="846"/>
      <c r="P94" s="846"/>
      <c r="Q94" s="846"/>
      <c r="R94" s="846"/>
      <c r="S94" s="846"/>
      <c r="T94" s="846"/>
    </row>
    <row r="95" spans="2:20" ht="38.25" hidden="1">
      <c r="B95" s="828" t="s">
        <v>6554</v>
      </c>
      <c r="C95" s="828">
        <v>94869</v>
      </c>
      <c r="D95" s="630" t="s">
        <v>5513</v>
      </c>
      <c r="E95" s="630" t="s">
        <v>648</v>
      </c>
      <c r="F95" s="829">
        <v>115.22</v>
      </c>
      <c r="G95" s="830">
        <v>0.76</v>
      </c>
      <c r="H95" s="831">
        <v>115.98</v>
      </c>
      <c r="I95" s="846"/>
      <c r="J95" s="846"/>
      <c r="K95" s="846"/>
      <c r="L95" s="846"/>
      <c r="M95" s="846"/>
      <c r="N95" s="846"/>
      <c r="O95" s="846"/>
      <c r="P95" s="846"/>
      <c r="Q95" s="846"/>
      <c r="R95" s="846"/>
      <c r="S95" s="846"/>
      <c r="T95" s="846"/>
    </row>
    <row r="96" spans="2:20" ht="38.25" hidden="1">
      <c r="B96" s="828" t="s">
        <v>6554</v>
      </c>
      <c r="C96" s="828">
        <v>94870</v>
      </c>
      <c r="D96" s="630" t="s">
        <v>5514</v>
      </c>
      <c r="E96" s="630" t="s">
        <v>648</v>
      </c>
      <c r="F96" s="829">
        <v>1.37</v>
      </c>
      <c r="G96" s="830">
        <v>0.78</v>
      </c>
      <c r="H96" s="831">
        <v>2.15</v>
      </c>
      <c r="I96" s="846"/>
      <c r="J96" s="846"/>
      <c r="K96" s="846"/>
      <c r="L96" s="846"/>
      <c r="M96" s="846"/>
      <c r="N96" s="846"/>
      <c r="O96" s="846"/>
      <c r="P96" s="846"/>
      <c r="Q96" s="846"/>
      <c r="R96" s="846"/>
      <c r="S96" s="846"/>
      <c r="T96" s="846"/>
    </row>
    <row r="97" spans="2:20" ht="38.25" hidden="1">
      <c r="B97" s="828" t="s">
        <v>6554</v>
      </c>
      <c r="C97" s="828">
        <v>94871</v>
      </c>
      <c r="D97" s="630" t="s">
        <v>5515</v>
      </c>
      <c r="E97" s="630" t="s">
        <v>648</v>
      </c>
      <c r="F97" s="829">
        <v>180.01</v>
      </c>
      <c r="G97" s="830">
        <v>1.35</v>
      </c>
      <c r="H97" s="831">
        <v>181.36</v>
      </c>
      <c r="I97" s="846"/>
      <c r="J97" s="846"/>
      <c r="K97" s="846"/>
      <c r="L97" s="846"/>
      <c r="M97" s="846"/>
      <c r="N97" s="846"/>
      <c r="O97" s="846"/>
      <c r="P97" s="846"/>
      <c r="Q97" s="846"/>
      <c r="R97" s="846"/>
      <c r="S97" s="846"/>
      <c r="T97" s="846"/>
    </row>
    <row r="98" spans="2:20" ht="38.25" hidden="1">
      <c r="B98" s="828" t="s">
        <v>6554</v>
      </c>
      <c r="C98" s="828">
        <v>94872</v>
      </c>
      <c r="D98" s="630" t="s">
        <v>5516</v>
      </c>
      <c r="E98" s="630" t="s">
        <v>648</v>
      </c>
      <c r="F98" s="829">
        <v>1.65</v>
      </c>
      <c r="G98" s="830">
        <v>1.38</v>
      </c>
      <c r="H98" s="831">
        <v>3.03</v>
      </c>
      <c r="I98" s="846"/>
      <c r="J98" s="846"/>
      <c r="K98" s="846"/>
      <c r="L98" s="846"/>
      <c r="M98" s="846"/>
      <c r="N98" s="846"/>
      <c r="O98" s="846"/>
      <c r="P98" s="846"/>
      <c r="Q98" s="846"/>
      <c r="R98" s="846"/>
      <c r="S98" s="846"/>
      <c r="T98" s="846"/>
    </row>
    <row r="99" spans="2:20" ht="38.25" hidden="1">
      <c r="B99" s="828" t="s">
        <v>6554</v>
      </c>
      <c r="C99" s="828">
        <v>94875</v>
      </c>
      <c r="D99" s="630" t="s">
        <v>5517</v>
      </c>
      <c r="E99" s="630" t="s">
        <v>648</v>
      </c>
      <c r="F99" s="829">
        <v>1060.45</v>
      </c>
      <c r="G99" s="830">
        <v>10.26</v>
      </c>
      <c r="H99" s="832">
        <v>1070.71</v>
      </c>
      <c r="I99" s="846"/>
      <c r="J99" s="846"/>
      <c r="K99" s="846"/>
      <c r="L99" s="846"/>
      <c r="M99" s="846"/>
      <c r="N99" s="846"/>
      <c r="O99" s="846"/>
      <c r="P99" s="846"/>
      <c r="Q99" s="846"/>
      <c r="R99" s="846"/>
      <c r="S99" s="846"/>
      <c r="T99" s="846"/>
    </row>
    <row r="100" spans="2:20" ht="38.25" hidden="1">
      <c r="B100" s="828" t="s">
        <v>6554</v>
      </c>
      <c r="C100" s="828">
        <v>94876</v>
      </c>
      <c r="D100" s="630" t="s">
        <v>5518</v>
      </c>
      <c r="E100" s="630" t="s">
        <v>648</v>
      </c>
      <c r="F100" s="829">
        <v>21.3</v>
      </c>
      <c r="G100" s="830">
        <v>10.31</v>
      </c>
      <c r="H100" s="831">
        <v>31.61</v>
      </c>
      <c r="I100" s="846"/>
      <c r="J100" s="846"/>
      <c r="K100" s="846"/>
      <c r="L100" s="846"/>
      <c r="M100" s="846"/>
      <c r="N100" s="846"/>
      <c r="O100" s="846"/>
      <c r="P100" s="846"/>
      <c r="Q100" s="846"/>
      <c r="R100" s="846"/>
      <c r="S100" s="846"/>
      <c r="T100" s="846"/>
    </row>
    <row r="101" spans="2:20" ht="38.25" hidden="1">
      <c r="B101" s="828" t="s">
        <v>6554</v>
      </c>
      <c r="C101" s="828">
        <v>94878</v>
      </c>
      <c r="D101" s="630" t="s">
        <v>5519</v>
      </c>
      <c r="E101" s="630" t="s">
        <v>648</v>
      </c>
      <c r="F101" s="829">
        <v>24.439999999999998</v>
      </c>
      <c r="G101" s="830">
        <v>12.11</v>
      </c>
      <c r="H101" s="831">
        <v>36.549999999999997</v>
      </c>
      <c r="I101" s="846"/>
      <c r="J101" s="846"/>
      <c r="K101" s="846"/>
      <c r="L101" s="846"/>
      <c r="M101" s="846"/>
      <c r="N101" s="846"/>
      <c r="O101" s="846"/>
      <c r="P101" s="846"/>
      <c r="Q101" s="846"/>
      <c r="R101" s="846"/>
      <c r="S101" s="846"/>
      <c r="T101" s="846"/>
    </row>
    <row r="102" spans="2:20" ht="38.25" hidden="1">
      <c r="B102" s="828" t="s">
        <v>6554</v>
      </c>
      <c r="C102" s="828">
        <v>94879</v>
      </c>
      <c r="D102" s="630" t="s">
        <v>5520</v>
      </c>
      <c r="E102" s="630" t="s">
        <v>648</v>
      </c>
      <c r="F102" s="829">
        <v>1633.1000000000001</v>
      </c>
      <c r="G102" s="830">
        <v>14.79</v>
      </c>
      <c r="H102" s="832">
        <v>1647.89</v>
      </c>
      <c r="I102" s="846"/>
      <c r="J102" s="846"/>
      <c r="K102" s="846"/>
      <c r="L102" s="846"/>
      <c r="M102" s="846"/>
      <c r="N102" s="846"/>
      <c r="O102" s="846"/>
      <c r="P102" s="846"/>
      <c r="Q102" s="846"/>
      <c r="R102" s="846"/>
      <c r="S102" s="846"/>
      <c r="T102" s="846"/>
    </row>
    <row r="103" spans="2:20" ht="38.25" hidden="1">
      <c r="B103" s="828" t="s">
        <v>6554</v>
      </c>
      <c r="C103" s="828">
        <v>94880</v>
      </c>
      <c r="D103" s="630" t="s">
        <v>5521</v>
      </c>
      <c r="E103" s="630" t="s">
        <v>648</v>
      </c>
      <c r="F103" s="829">
        <v>32.340000000000003</v>
      </c>
      <c r="G103" s="830">
        <v>14.84</v>
      </c>
      <c r="H103" s="831">
        <v>47.18</v>
      </c>
      <c r="I103" s="846"/>
      <c r="J103" s="846"/>
      <c r="K103" s="846"/>
      <c r="L103" s="846"/>
      <c r="M103" s="846"/>
      <c r="N103" s="846"/>
      <c r="O103" s="846"/>
      <c r="P103" s="846"/>
      <c r="Q103" s="846"/>
      <c r="R103" s="846"/>
      <c r="S103" s="846"/>
      <c r="T103" s="846"/>
    </row>
    <row r="104" spans="2:20" ht="38.25" hidden="1">
      <c r="B104" s="828" t="s">
        <v>6554</v>
      </c>
      <c r="C104" s="828">
        <v>94881</v>
      </c>
      <c r="D104" s="630" t="s">
        <v>5522</v>
      </c>
      <c r="E104" s="630" t="s">
        <v>648</v>
      </c>
      <c r="F104" s="829">
        <v>2249.56</v>
      </c>
      <c r="G104" s="830">
        <v>17.52</v>
      </c>
      <c r="H104" s="832">
        <v>2267.08</v>
      </c>
      <c r="I104" s="846"/>
      <c r="J104" s="846"/>
      <c r="K104" s="846"/>
      <c r="L104" s="846"/>
      <c r="M104" s="846"/>
      <c r="N104" s="846"/>
      <c r="O104" s="846"/>
      <c r="P104" s="846"/>
      <c r="Q104" s="846"/>
      <c r="R104" s="846"/>
      <c r="S104" s="846"/>
      <c r="T104" s="846"/>
    </row>
    <row r="105" spans="2:20" ht="38.25" hidden="1">
      <c r="B105" s="828" t="s">
        <v>6554</v>
      </c>
      <c r="C105" s="828">
        <v>94882</v>
      </c>
      <c r="D105" s="630" t="s">
        <v>5523</v>
      </c>
      <c r="E105" s="630" t="s">
        <v>648</v>
      </c>
      <c r="F105" s="829">
        <v>37.25</v>
      </c>
      <c r="G105" s="830">
        <v>17.55</v>
      </c>
      <c r="H105" s="831">
        <v>54.8</v>
      </c>
      <c r="I105" s="846"/>
      <c r="J105" s="846"/>
      <c r="K105" s="846"/>
      <c r="L105" s="846"/>
      <c r="M105" s="846"/>
      <c r="N105" s="846"/>
      <c r="O105" s="846"/>
      <c r="P105" s="846"/>
      <c r="Q105" s="846"/>
      <c r="R105" s="846"/>
      <c r="S105" s="846"/>
      <c r="T105" s="846"/>
    </row>
    <row r="106" spans="2:20" ht="38.25" hidden="1">
      <c r="B106" s="828" t="s">
        <v>6554</v>
      </c>
      <c r="C106" s="828">
        <v>94884</v>
      </c>
      <c r="D106" s="630" t="s">
        <v>5524</v>
      </c>
      <c r="E106" s="630" t="s">
        <v>648</v>
      </c>
      <c r="F106" s="829">
        <v>47.1</v>
      </c>
      <c r="G106" s="830">
        <v>23.17</v>
      </c>
      <c r="H106" s="831">
        <v>70.27</v>
      </c>
      <c r="I106" s="846"/>
      <c r="J106" s="846"/>
      <c r="K106" s="846"/>
      <c r="L106" s="846"/>
      <c r="M106" s="846"/>
      <c r="N106" s="846"/>
      <c r="O106" s="846"/>
      <c r="P106" s="846"/>
      <c r="Q106" s="846"/>
      <c r="R106" s="846"/>
      <c r="S106" s="846"/>
      <c r="T106" s="846"/>
    </row>
    <row r="107" spans="2:20" ht="38.25" hidden="1">
      <c r="B107" s="828" t="s">
        <v>6554</v>
      </c>
      <c r="C107" s="828">
        <v>97121</v>
      </c>
      <c r="D107" s="630" t="s">
        <v>2761</v>
      </c>
      <c r="E107" s="630" t="s">
        <v>648</v>
      </c>
      <c r="F107" s="829">
        <v>0.59</v>
      </c>
      <c r="G107" s="830">
        <v>1.72</v>
      </c>
      <c r="H107" s="831">
        <v>2.31</v>
      </c>
      <c r="I107" s="846"/>
      <c r="J107" s="846"/>
      <c r="K107" s="846"/>
      <c r="L107" s="846"/>
      <c r="M107" s="846"/>
      <c r="N107" s="846"/>
      <c r="O107" s="846"/>
      <c r="P107" s="846"/>
      <c r="Q107" s="846"/>
      <c r="R107" s="846"/>
      <c r="S107" s="846"/>
      <c r="T107" s="846"/>
    </row>
    <row r="108" spans="2:20" ht="38.25" hidden="1">
      <c r="B108" s="828" t="s">
        <v>6554</v>
      </c>
      <c r="C108" s="828">
        <v>97122</v>
      </c>
      <c r="D108" s="630" t="s">
        <v>2762</v>
      </c>
      <c r="E108" s="630" t="s">
        <v>648</v>
      </c>
      <c r="F108" s="829">
        <v>0.88</v>
      </c>
      <c r="G108" s="830">
        <v>2.3199999999999998</v>
      </c>
      <c r="H108" s="831">
        <v>3.2</v>
      </c>
      <c r="I108" s="846"/>
      <c r="J108" s="846"/>
      <c r="K108" s="846"/>
      <c r="L108" s="846"/>
      <c r="M108" s="846"/>
      <c r="N108" s="846"/>
      <c r="O108" s="846"/>
      <c r="P108" s="846"/>
      <c r="Q108" s="846"/>
      <c r="R108" s="846"/>
      <c r="S108" s="846"/>
      <c r="T108" s="846"/>
    </row>
    <row r="109" spans="2:20" ht="38.25" hidden="1">
      <c r="B109" s="828" t="s">
        <v>6554</v>
      </c>
      <c r="C109" s="828">
        <v>97123</v>
      </c>
      <c r="D109" s="630" t="s">
        <v>2763</v>
      </c>
      <c r="E109" s="630" t="s">
        <v>648</v>
      </c>
      <c r="F109" s="829">
        <v>1.1200000000000001</v>
      </c>
      <c r="G109" s="830">
        <v>2.94</v>
      </c>
      <c r="H109" s="831">
        <v>4.0599999999999996</v>
      </c>
      <c r="I109" s="846"/>
      <c r="J109" s="846"/>
      <c r="K109" s="846"/>
      <c r="L109" s="846"/>
      <c r="M109" s="846"/>
      <c r="N109" s="846"/>
      <c r="O109" s="846"/>
      <c r="P109" s="846"/>
      <c r="Q109" s="846"/>
      <c r="R109" s="846"/>
      <c r="S109" s="846"/>
      <c r="T109" s="846"/>
    </row>
    <row r="110" spans="2:20" ht="38.25" hidden="1">
      <c r="B110" s="828" t="s">
        <v>6554</v>
      </c>
      <c r="C110" s="828">
        <v>97124</v>
      </c>
      <c r="D110" s="630" t="s">
        <v>2764</v>
      </c>
      <c r="E110" s="630" t="s">
        <v>648</v>
      </c>
      <c r="F110" s="829">
        <v>0.3</v>
      </c>
      <c r="G110" s="830">
        <v>0.71</v>
      </c>
      <c r="H110" s="831">
        <v>1.01</v>
      </c>
      <c r="I110" s="846"/>
      <c r="J110" s="846"/>
      <c r="K110" s="846"/>
      <c r="L110" s="846"/>
      <c r="M110" s="846"/>
      <c r="N110" s="846"/>
      <c r="O110" s="846"/>
      <c r="P110" s="846"/>
      <c r="Q110" s="846"/>
      <c r="R110" s="846"/>
      <c r="S110" s="846"/>
      <c r="T110" s="846"/>
    </row>
    <row r="111" spans="2:20" ht="38.25" hidden="1">
      <c r="B111" s="828" t="s">
        <v>6554</v>
      </c>
      <c r="C111" s="828">
        <v>97125</v>
      </c>
      <c r="D111" s="630" t="s">
        <v>2765</v>
      </c>
      <c r="E111" s="630" t="s">
        <v>648</v>
      </c>
      <c r="F111" s="829">
        <v>0.46</v>
      </c>
      <c r="G111" s="830">
        <v>0.99</v>
      </c>
      <c r="H111" s="831">
        <v>1.45</v>
      </c>
      <c r="I111" s="846"/>
      <c r="J111" s="846"/>
      <c r="K111" s="846"/>
      <c r="L111" s="846"/>
      <c r="M111" s="846"/>
      <c r="N111" s="846"/>
      <c r="O111" s="846"/>
      <c r="P111" s="846"/>
      <c r="Q111" s="846"/>
      <c r="R111" s="846"/>
      <c r="S111" s="846"/>
      <c r="T111" s="846"/>
    </row>
    <row r="112" spans="2:20" ht="38.25" hidden="1">
      <c r="B112" s="828" t="s">
        <v>6554</v>
      </c>
      <c r="C112" s="828">
        <v>97126</v>
      </c>
      <c r="D112" s="630" t="s">
        <v>2766</v>
      </c>
      <c r="E112" s="630" t="s">
        <v>648</v>
      </c>
      <c r="F112" s="829">
        <v>0.63</v>
      </c>
      <c r="G112" s="830">
        <v>1.21</v>
      </c>
      <c r="H112" s="831">
        <v>1.84</v>
      </c>
      <c r="I112" s="846"/>
      <c r="J112" s="846"/>
      <c r="K112" s="846"/>
      <c r="L112" s="846"/>
      <c r="M112" s="846"/>
      <c r="N112" s="846"/>
      <c r="O112" s="846"/>
      <c r="P112" s="846"/>
      <c r="Q112" s="846"/>
      <c r="R112" s="846"/>
      <c r="S112" s="846"/>
      <c r="T112" s="846"/>
    </row>
    <row r="113" spans="2:20" ht="38.25" hidden="1">
      <c r="B113" s="828" t="s">
        <v>6554</v>
      </c>
      <c r="C113" s="828">
        <v>102264</v>
      </c>
      <c r="D113" s="630" t="s">
        <v>6103</v>
      </c>
      <c r="E113" s="630" t="s">
        <v>648</v>
      </c>
      <c r="F113" s="829">
        <v>22.52</v>
      </c>
      <c r="G113" s="830">
        <v>2.95</v>
      </c>
      <c r="H113" s="831">
        <v>25.47</v>
      </c>
      <c r="I113" s="846"/>
      <c r="J113" s="846"/>
      <c r="K113" s="846"/>
      <c r="L113" s="846"/>
      <c r="M113" s="846"/>
      <c r="N113" s="846"/>
      <c r="O113" s="846"/>
      <c r="P113" s="846"/>
      <c r="Q113" s="846"/>
      <c r="R113" s="846"/>
      <c r="S113" s="846"/>
      <c r="T113" s="846"/>
    </row>
    <row r="114" spans="2:20" ht="25.5" hidden="1">
      <c r="B114" s="828" t="s">
        <v>6554</v>
      </c>
      <c r="C114" s="828">
        <v>102265</v>
      </c>
      <c r="D114" s="630" t="s">
        <v>6104</v>
      </c>
      <c r="E114" s="630" t="s">
        <v>646</v>
      </c>
      <c r="F114" s="829">
        <v>30.71</v>
      </c>
      <c r="G114" s="830">
        <v>84.22</v>
      </c>
      <c r="H114" s="831">
        <v>114.93</v>
      </c>
      <c r="I114" s="846"/>
      <c r="J114" s="846"/>
      <c r="K114" s="846"/>
      <c r="L114" s="846"/>
      <c r="M114" s="846"/>
      <c r="N114" s="846"/>
      <c r="O114" s="846"/>
      <c r="P114" s="846"/>
      <c r="Q114" s="846"/>
      <c r="R114" s="846"/>
      <c r="S114" s="846"/>
      <c r="T114" s="846"/>
    </row>
    <row r="115" spans="2:20" ht="25.5" hidden="1">
      <c r="B115" s="828" t="s">
        <v>6554</v>
      </c>
      <c r="C115" s="828">
        <v>102266</v>
      </c>
      <c r="D115" s="630" t="s">
        <v>6105</v>
      </c>
      <c r="E115" s="630" t="s">
        <v>646</v>
      </c>
      <c r="F115" s="829">
        <v>34.090000000000003</v>
      </c>
      <c r="G115" s="830">
        <v>93.35</v>
      </c>
      <c r="H115" s="831">
        <v>127.44</v>
      </c>
      <c r="I115" s="846"/>
      <c r="J115" s="846"/>
      <c r="K115" s="846"/>
      <c r="L115" s="846"/>
      <c r="M115" s="846"/>
      <c r="N115" s="846"/>
      <c r="O115" s="846"/>
      <c r="P115" s="846"/>
      <c r="Q115" s="846"/>
      <c r="R115" s="846"/>
      <c r="S115" s="846"/>
      <c r="T115" s="846"/>
    </row>
    <row r="116" spans="2:20" ht="25.5" hidden="1">
      <c r="B116" s="828" t="s">
        <v>6554</v>
      </c>
      <c r="C116" s="828">
        <v>102267</v>
      </c>
      <c r="D116" s="630" t="s">
        <v>6106</v>
      </c>
      <c r="E116" s="630" t="s">
        <v>646</v>
      </c>
      <c r="F116" s="829">
        <v>39.21</v>
      </c>
      <c r="G116" s="830">
        <v>107.05</v>
      </c>
      <c r="H116" s="831">
        <v>146.26</v>
      </c>
      <c r="I116" s="846"/>
      <c r="J116" s="846"/>
      <c r="K116" s="846"/>
      <c r="L116" s="846"/>
      <c r="M116" s="846"/>
      <c r="N116" s="846"/>
      <c r="O116" s="846"/>
      <c r="P116" s="846"/>
      <c r="Q116" s="846"/>
      <c r="R116" s="846"/>
      <c r="S116" s="846"/>
      <c r="T116" s="846"/>
    </row>
    <row r="117" spans="2:20" ht="25.5" hidden="1">
      <c r="B117" s="828" t="s">
        <v>6554</v>
      </c>
      <c r="C117" s="828">
        <v>102268</v>
      </c>
      <c r="D117" s="630" t="s">
        <v>6107</v>
      </c>
      <c r="E117" s="630" t="s">
        <v>646</v>
      </c>
      <c r="F117" s="829">
        <v>44.29</v>
      </c>
      <c r="G117" s="830">
        <v>120.75</v>
      </c>
      <c r="H117" s="831">
        <v>165.04</v>
      </c>
      <c r="I117" s="846"/>
      <c r="J117" s="846"/>
      <c r="K117" s="846"/>
      <c r="L117" s="846"/>
      <c r="M117" s="846"/>
      <c r="N117" s="846"/>
      <c r="O117" s="846"/>
      <c r="P117" s="846"/>
      <c r="Q117" s="846"/>
      <c r="R117" s="846"/>
      <c r="S117" s="846"/>
      <c r="T117" s="846"/>
    </row>
    <row r="118" spans="2:20" ht="25.5" hidden="1">
      <c r="B118" s="828" t="s">
        <v>6554</v>
      </c>
      <c r="C118" s="828">
        <v>102269</v>
      </c>
      <c r="D118" s="630" t="s">
        <v>6108</v>
      </c>
      <c r="E118" s="630" t="s">
        <v>646</v>
      </c>
      <c r="F118" s="829">
        <v>54.48</v>
      </c>
      <c r="G118" s="830">
        <v>148.09</v>
      </c>
      <c r="H118" s="831">
        <v>202.57</v>
      </c>
      <c r="I118" s="846"/>
      <c r="J118" s="846"/>
      <c r="K118" s="846"/>
      <c r="L118" s="846"/>
      <c r="M118" s="846"/>
      <c r="N118" s="846"/>
      <c r="O118" s="846"/>
      <c r="P118" s="846"/>
      <c r="Q118" s="846"/>
      <c r="R118" s="846"/>
      <c r="S118" s="846"/>
      <c r="T118" s="846"/>
    </row>
    <row r="119" spans="2:20" ht="38.25" hidden="1">
      <c r="B119" s="828" t="s">
        <v>6570</v>
      </c>
      <c r="C119" s="828">
        <v>92833</v>
      </c>
      <c r="D119" s="630" t="s">
        <v>1512</v>
      </c>
      <c r="E119" s="630" t="s">
        <v>648</v>
      </c>
      <c r="F119" s="829">
        <v>140.5</v>
      </c>
      <c r="G119" s="830">
        <v>4.43</v>
      </c>
      <c r="H119" s="831">
        <v>144.93</v>
      </c>
      <c r="I119" s="846"/>
      <c r="J119" s="846"/>
      <c r="K119" s="846"/>
      <c r="L119" s="846"/>
      <c r="M119" s="846"/>
      <c r="N119" s="846"/>
      <c r="O119" s="846"/>
      <c r="P119" s="846"/>
      <c r="Q119" s="846"/>
      <c r="R119" s="846"/>
      <c r="S119" s="846"/>
      <c r="T119" s="846"/>
    </row>
    <row r="120" spans="2:20" ht="51" hidden="1">
      <c r="B120" s="828" t="s">
        <v>6570</v>
      </c>
      <c r="C120" s="828">
        <v>92834</v>
      </c>
      <c r="D120" s="630" t="s">
        <v>1142</v>
      </c>
      <c r="E120" s="630" t="s">
        <v>648</v>
      </c>
      <c r="F120" s="829">
        <v>5.6099999999999994</v>
      </c>
      <c r="G120" s="830">
        <v>4.5</v>
      </c>
      <c r="H120" s="831">
        <v>10.11</v>
      </c>
      <c r="I120" s="846"/>
      <c r="J120" s="846"/>
      <c r="K120" s="846"/>
      <c r="L120" s="846"/>
      <c r="M120" s="846"/>
      <c r="N120" s="846"/>
      <c r="O120" s="846"/>
      <c r="P120" s="846"/>
      <c r="Q120" s="846"/>
      <c r="R120" s="846"/>
      <c r="S120" s="846"/>
      <c r="T120" s="846"/>
    </row>
    <row r="121" spans="2:20" ht="38.25" hidden="1">
      <c r="B121" s="828" t="s">
        <v>6570</v>
      </c>
      <c r="C121" s="828">
        <v>92835</v>
      </c>
      <c r="D121" s="630" t="s">
        <v>1513</v>
      </c>
      <c r="E121" s="630" t="s">
        <v>648</v>
      </c>
      <c r="F121" s="829">
        <v>147.19</v>
      </c>
      <c r="G121" s="830">
        <v>5.66</v>
      </c>
      <c r="H121" s="831">
        <v>152.85</v>
      </c>
      <c r="I121" s="846"/>
      <c r="J121" s="846"/>
      <c r="K121" s="846"/>
      <c r="L121" s="846"/>
      <c r="M121" s="846"/>
      <c r="N121" s="846"/>
      <c r="O121" s="846"/>
      <c r="P121" s="846"/>
      <c r="Q121" s="846"/>
      <c r="R121" s="846"/>
      <c r="S121" s="846"/>
      <c r="T121" s="846"/>
    </row>
    <row r="122" spans="2:20" ht="51" hidden="1">
      <c r="B122" s="828" t="s">
        <v>6570</v>
      </c>
      <c r="C122" s="828">
        <v>92836</v>
      </c>
      <c r="D122" s="630" t="s">
        <v>1143</v>
      </c>
      <c r="E122" s="630" t="s">
        <v>648</v>
      </c>
      <c r="F122" s="829">
        <v>7.18</v>
      </c>
      <c r="G122" s="830">
        <v>5.73</v>
      </c>
      <c r="H122" s="831">
        <v>12.91</v>
      </c>
      <c r="I122" s="846"/>
      <c r="J122" s="846"/>
      <c r="K122" s="846"/>
      <c r="L122" s="846"/>
      <c r="M122" s="846"/>
      <c r="N122" s="846"/>
      <c r="O122" s="846"/>
      <c r="P122" s="846"/>
      <c r="Q122" s="846"/>
      <c r="R122" s="846"/>
      <c r="S122" s="846"/>
      <c r="T122" s="846"/>
    </row>
    <row r="123" spans="2:20" ht="38.25" hidden="1">
      <c r="B123" s="828" t="s">
        <v>6570</v>
      </c>
      <c r="C123" s="828">
        <v>92837</v>
      </c>
      <c r="D123" s="630" t="s">
        <v>1514</v>
      </c>
      <c r="E123" s="630" t="s">
        <v>648</v>
      </c>
      <c r="F123" s="829">
        <v>259.77</v>
      </c>
      <c r="G123" s="830">
        <v>6.84</v>
      </c>
      <c r="H123" s="831">
        <v>266.61</v>
      </c>
      <c r="I123" s="846"/>
      <c r="J123" s="846"/>
      <c r="K123" s="846"/>
      <c r="L123" s="846"/>
      <c r="M123" s="846"/>
      <c r="N123" s="846"/>
      <c r="O123" s="846"/>
      <c r="P123" s="846"/>
      <c r="Q123" s="846"/>
      <c r="R123" s="846"/>
      <c r="S123" s="846"/>
      <c r="T123" s="846"/>
    </row>
    <row r="124" spans="2:20" ht="51" hidden="1">
      <c r="B124" s="828" t="s">
        <v>6570</v>
      </c>
      <c r="C124" s="828">
        <v>92838</v>
      </c>
      <c r="D124" s="630" t="s">
        <v>1144</v>
      </c>
      <c r="E124" s="630" t="s">
        <v>648</v>
      </c>
      <c r="F124" s="829">
        <v>8.58</v>
      </c>
      <c r="G124" s="830">
        <v>6.92</v>
      </c>
      <c r="H124" s="831">
        <v>15.5</v>
      </c>
      <c r="I124" s="846"/>
      <c r="J124" s="846"/>
      <c r="K124" s="846"/>
      <c r="L124" s="846"/>
      <c r="M124" s="846"/>
      <c r="N124" s="846"/>
      <c r="O124" s="846"/>
      <c r="P124" s="846"/>
      <c r="Q124" s="846"/>
      <c r="R124" s="846"/>
      <c r="S124" s="846"/>
      <c r="T124" s="846"/>
    </row>
    <row r="125" spans="2:20" ht="38.25" hidden="1">
      <c r="B125" s="828" t="s">
        <v>6570</v>
      </c>
      <c r="C125" s="828">
        <v>92839</v>
      </c>
      <c r="D125" s="630" t="s">
        <v>1515</v>
      </c>
      <c r="E125" s="630" t="s">
        <v>648</v>
      </c>
      <c r="F125" s="829">
        <v>317.83</v>
      </c>
      <c r="G125" s="830">
        <v>8.07</v>
      </c>
      <c r="H125" s="831">
        <v>325.89999999999998</v>
      </c>
      <c r="I125" s="846"/>
      <c r="J125" s="846"/>
      <c r="K125" s="846"/>
      <c r="L125" s="846"/>
      <c r="M125" s="846"/>
      <c r="N125" s="846"/>
      <c r="O125" s="846"/>
      <c r="P125" s="846"/>
      <c r="Q125" s="846"/>
      <c r="R125" s="846"/>
      <c r="S125" s="846"/>
      <c r="T125" s="846"/>
    </row>
    <row r="126" spans="2:20" ht="51" hidden="1">
      <c r="B126" s="828" t="s">
        <v>6570</v>
      </c>
      <c r="C126" s="828">
        <v>92840</v>
      </c>
      <c r="D126" s="630" t="s">
        <v>1145</v>
      </c>
      <c r="E126" s="630" t="s">
        <v>648</v>
      </c>
      <c r="F126" s="829">
        <v>10.210000000000001</v>
      </c>
      <c r="G126" s="830">
        <v>8.16</v>
      </c>
      <c r="H126" s="831">
        <v>18.37</v>
      </c>
      <c r="I126" s="846"/>
      <c r="J126" s="846"/>
      <c r="K126" s="846"/>
      <c r="L126" s="846"/>
      <c r="M126" s="846"/>
      <c r="N126" s="846"/>
      <c r="O126" s="846"/>
      <c r="P126" s="846"/>
      <c r="Q126" s="846"/>
      <c r="R126" s="846"/>
      <c r="S126" s="846"/>
      <c r="T126" s="846"/>
    </row>
    <row r="127" spans="2:20" ht="38.25" hidden="1">
      <c r="B127" s="828" t="s">
        <v>6570</v>
      </c>
      <c r="C127" s="828">
        <v>92841</v>
      </c>
      <c r="D127" s="630" t="s">
        <v>1516</v>
      </c>
      <c r="E127" s="630" t="s">
        <v>648</v>
      </c>
      <c r="F127" s="829">
        <v>414.33000000000004</v>
      </c>
      <c r="G127" s="830">
        <v>9.2799999999999994</v>
      </c>
      <c r="H127" s="831">
        <v>423.61</v>
      </c>
      <c r="I127" s="846"/>
      <c r="J127" s="846"/>
      <c r="K127" s="846"/>
      <c r="L127" s="846"/>
      <c r="M127" s="846"/>
      <c r="N127" s="846"/>
      <c r="O127" s="846"/>
      <c r="P127" s="846"/>
      <c r="Q127" s="846"/>
      <c r="R127" s="846"/>
      <c r="S127" s="846"/>
      <c r="T127" s="846"/>
    </row>
    <row r="128" spans="2:20" ht="51" hidden="1">
      <c r="B128" s="828" t="s">
        <v>6570</v>
      </c>
      <c r="C128" s="828">
        <v>92842</v>
      </c>
      <c r="D128" s="630" t="s">
        <v>1146</v>
      </c>
      <c r="E128" s="630" t="s">
        <v>648</v>
      </c>
      <c r="F128" s="829">
        <v>11.59</v>
      </c>
      <c r="G128" s="830">
        <v>9.36</v>
      </c>
      <c r="H128" s="831">
        <v>20.95</v>
      </c>
      <c r="I128" s="846"/>
      <c r="J128" s="846"/>
      <c r="K128" s="846"/>
      <c r="L128" s="846"/>
      <c r="M128" s="846"/>
      <c r="N128" s="846"/>
      <c r="O128" s="846"/>
      <c r="P128" s="846"/>
      <c r="Q128" s="846"/>
      <c r="R128" s="846"/>
      <c r="S128" s="846"/>
      <c r="T128" s="846"/>
    </row>
    <row r="129" spans="2:20" ht="38.25" hidden="1">
      <c r="B129" s="828" t="s">
        <v>6570</v>
      </c>
      <c r="C129" s="828">
        <v>92843</v>
      </c>
      <c r="D129" s="630" t="s">
        <v>3736</v>
      </c>
      <c r="E129" s="630" t="s">
        <v>648</v>
      </c>
      <c r="F129" s="829">
        <v>429.7</v>
      </c>
      <c r="G129" s="830">
        <v>10.49</v>
      </c>
      <c r="H129" s="831">
        <v>440.19</v>
      </c>
      <c r="I129" s="846"/>
      <c r="J129" s="846"/>
      <c r="K129" s="846"/>
      <c r="L129" s="846"/>
      <c r="M129" s="846"/>
      <c r="N129" s="846"/>
      <c r="O129" s="846"/>
      <c r="P129" s="846"/>
      <c r="Q129" s="846"/>
      <c r="R129" s="846"/>
      <c r="S129" s="846"/>
      <c r="T129" s="846"/>
    </row>
    <row r="130" spans="2:20" ht="51" hidden="1">
      <c r="B130" s="828" t="s">
        <v>6570</v>
      </c>
      <c r="C130" s="828">
        <v>92844</v>
      </c>
      <c r="D130" s="630" t="s">
        <v>1147</v>
      </c>
      <c r="E130" s="630" t="s">
        <v>648</v>
      </c>
      <c r="F130" s="829">
        <v>13.26</v>
      </c>
      <c r="G130" s="830">
        <v>10.57</v>
      </c>
      <c r="H130" s="831">
        <v>23.83</v>
      </c>
      <c r="I130" s="846"/>
      <c r="J130" s="846"/>
      <c r="K130" s="846"/>
      <c r="L130" s="846"/>
      <c r="M130" s="846"/>
      <c r="N130" s="846"/>
      <c r="O130" s="846"/>
      <c r="P130" s="846"/>
      <c r="Q130" s="846"/>
      <c r="R130" s="846"/>
      <c r="S130" s="846"/>
      <c r="T130" s="846"/>
    </row>
    <row r="131" spans="2:20" ht="38.25" hidden="1">
      <c r="B131" s="828" t="s">
        <v>6570</v>
      </c>
      <c r="C131" s="828">
        <v>92845</v>
      </c>
      <c r="D131" s="630" t="s">
        <v>3737</v>
      </c>
      <c r="E131" s="630" t="s">
        <v>648</v>
      </c>
      <c r="F131" s="829">
        <v>636.01</v>
      </c>
      <c r="G131" s="830">
        <v>11.68</v>
      </c>
      <c r="H131" s="831">
        <v>647.69000000000005</v>
      </c>
      <c r="I131" s="846"/>
      <c r="J131" s="846"/>
      <c r="K131" s="846"/>
      <c r="L131" s="846"/>
      <c r="M131" s="846"/>
      <c r="N131" s="846"/>
      <c r="O131" s="846"/>
      <c r="P131" s="846"/>
      <c r="Q131" s="846"/>
      <c r="R131" s="846"/>
      <c r="S131" s="846"/>
      <c r="T131" s="846"/>
    </row>
    <row r="132" spans="2:20" ht="51" hidden="1">
      <c r="B132" s="828" t="s">
        <v>6570</v>
      </c>
      <c r="C132" s="828">
        <v>92846</v>
      </c>
      <c r="D132" s="630" t="s">
        <v>1148</v>
      </c>
      <c r="E132" s="630" t="s">
        <v>648</v>
      </c>
      <c r="F132" s="829">
        <v>14.650000000000002</v>
      </c>
      <c r="G132" s="830">
        <v>11.76</v>
      </c>
      <c r="H132" s="831">
        <v>26.41</v>
      </c>
      <c r="I132" s="846"/>
      <c r="J132" s="846"/>
      <c r="K132" s="846"/>
      <c r="L132" s="846"/>
      <c r="M132" s="846"/>
      <c r="N132" s="846"/>
      <c r="O132" s="846"/>
      <c r="P132" s="846"/>
      <c r="Q132" s="846"/>
      <c r="R132" s="846"/>
      <c r="S132" s="846"/>
      <c r="T132" s="846"/>
    </row>
    <row r="133" spans="2:20" ht="51" hidden="1">
      <c r="B133" s="828" t="s">
        <v>6570</v>
      </c>
      <c r="C133" s="828">
        <v>92847</v>
      </c>
      <c r="D133" s="630" t="s">
        <v>1517</v>
      </c>
      <c r="E133" s="630" t="s">
        <v>648</v>
      </c>
      <c r="F133" s="829">
        <v>654.37</v>
      </c>
      <c r="G133" s="830">
        <v>12.91</v>
      </c>
      <c r="H133" s="831">
        <v>667.28</v>
      </c>
      <c r="I133" s="846"/>
      <c r="J133" s="846"/>
      <c r="K133" s="846"/>
      <c r="L133" s="846"/>
      <c r="M133" s="846"/>
      <c r="N133" s="846"/>
      <c r="O133" s="846"/>
      <c r="P133" s="846"/>
      <c r="Q133" s="846"/>
      <c r="R133" s="846"/>
      <c r="S133" s="846"/>
      <c r="T133" s="846"/>
    </row>
    <row r="134" spans="2:20" ht="51" hidden="1">
      <c r="B134" s="828" t="s">
        <v>6570</v>
      </c>
      <c r="C134" s="828">
        <v>92848</v>
      </c>
      <c r="D134" s="630" t="s">
        <v>1149</v>
      </c>
      <c r="E134" s="630" t="s">
        <v>648</v>
      </c>
      <c r="F134" s="829">
        <v>16.309999999999999</v>
      </c>
      <c r="G134" s="830">
        <v>12.99</v>
      </c>
      <c r="H134" s="831">
        <v>29.3</v>
      </c>
      <c r="I134" s="846"/>
      <c r="J134" s="846"/>
      <c r="K134" s="846"/>
      <c r="L134" s="846"/>
      <c r="M134" s="846"/>
      <c r="N134" s="846"/>
      <c r="O134" s="846"/>
      <c r="P134" s="846"/>
      <c r="Q134" s="846"/>
      <c r="R134" s="846"/>
      <c r="S134" s="846"/>
      <c r="T134" s="846"/>
    </row>
    <row r="135" spans="2:20" ht="38.25" hidden="1">
      <c r="B135" s="828" t="s">
        <v>6570</v>
      </c>
      <c r="C135" s="828">
        <v>92849</v>
      </c>
      <c r="D135" s="630" t="s">
        <v>1518</v>
      </c>
      <c r="E135" s="630" t="s">
        <v>648</v>
      </c>
      <c r="F135" s="829">
        <v>145.54</v>
      </c>
      <c r="G135" s="830">
        <v>8.41</v>
      </c>
      <c r="H135" s="831">
        <v>153.94999999999999</v>
      </c>
      <c r="I135" s="846"/>
      <c r="J135" s="846"/>
      <c r="K135" s="846"/>
      <c r="L135" s="846"/>
      <c r="M135" s="846"/>
      <c r="N135" s="846"/>
      <c r="O135" s="846"/>
      <c r="P135" s="846"/>
      <c r="Q135" s="846"/>
      <c r="R135" s="846"/>
      <c r="S135" s="846"/>
      <c r="T135" s="846"/>
    </row>
    <row r="136" spans="2:20" ht="51" hidden="1">
      <c r="B136" s="828" t="s">
        <v>6570</v>
      </c>
      <c r="C136" s="828">
        <v>92850</v>
      </c>
      <c r="D136" s="630" t="s">
        <v>1150</v>
      </c>
      <c r="E136" s="630" t="s">
        <v>648</v>
      </c>
      <c r="F136" s="829">
        <v>10.64</v>
      </c>
      <c r="G136" s="830">
        <v>8.49</v>
      </c>
      <c r="H136" s="831">
        <v>19.13</v>
      </c>
      <c r="I136" s="846"/>
      <c r="J136" s="846"/>
      <c r="K136" s="846"/>
      <c r="L136" s="846"/>
      <c r="M136" s="846"/>
      <c r="N136" s="846"/>
      <c r="O136" s="846"/>
      <c r="P136" s="846"/>
      <c r="Q136" s="846"/>
      <c r="R136" s="846"/>
      <c r="S136" s="846"/>
      <c r="T136" s="846"/>
    </row>
    <row r="137" spans="2:20" ht="38.25" hidden="1">
      <c r="B137" s="828" t="s">
        <v>6570</v>
      </c>
      <c r="C137" s="828">
        <v>92851</v>
      </c>
      <c r="D137" s="630" t="s">
        <v>1402</v>
      </c>
      <c r="E137" s="630" t="s">
        <v>648</v>
      </c>
      <c r="F137" s="829">
        <v>153.39000000000001</v>
      </c>
      <c r="G137" s="830">
        <v>10.69</v>
      </c>
      <c r="H137" s="831">
        <v>164.08</v>
      </c>
      <c r="I137" s="846"/>
      <c r="J137" s="846"/>
      <c r="K137" s="846"/>
      <c r="L137" s="846"/>
      <c r="M137" s="846"/>
      <c r="N137" s="846"/>
      <c r="O137" s="846"/>
      <c r="P137" s="846"/>
      <c r="Q137" s="846"/>
      <c r="R137" s="846"/>
      <c r="S137" s="846"/>
      <c r="T137" s="846"/>
    </row>
    <row r="138" spans="2:20" ht="51" hidden="1">
      <c r="B138" s="828" t="s">
        <v>6570</v>
      </c>
      <c r="C138" s="828">
        <v>92852</v>
      </c>
      <c r="D138" s="630" t="s">
        <v>1258</v>
      </c>
      <c r="E138" s="630" t="s">
        <v>648</v>
      </c>
      <c r="F138" s="829">
        <v>13.38</v>
      </c>
      <c r="G138" s="830">
        <v>10.76</v>
      </c>
      <c r="H138" s="831">
        <v>24.14</v>
      </c>
      <c r="I138" s="846"/>
      <c r="J138" s="846"/>
      <c r="K138" s="846"/>
      <c r="L138" s="846"/>
      <c r="M138" s="846"/>
      <c r="N138" s="846"/>
      <c r="O138" s="846"/>
      <c r="P138" s="846"/>
      <c r="Q138" s="846"/>
      <c r="R138" s="846"/>
      <c r="S138" s="846"/>
      <c r="T138" s="846"/>
    </row>
    <row r="139" spans="2:20" ht="38.25" hidden="1">
      <c r="B139" s="828" t="s">
        <v>6570</v>
      </c>
      <c r="C139" s="828">
        <v>92853</v>
      </c>
      <c r="D139" s="630" t="s">
        <v>1403</v>
      </c>
      <c r="E139" s="630" t="s">
        <v>648</v>
      </c>
      <c r="F139" s="829">
        <v>267.51</v>
      </c>
      <c r="G139" s="830">
        <v>13</v>
      </c>
      <c r="H139" s="831">
        <v>280.51</v>
      </c>
      <c r="I139" s="846"/>
      <c r="J139" s="846"/>
      <c r="K139" s="846"/>
      <c r="L139" s="846"/>
      <c r="M139" s="846"/>
      <c r="N139" s="846"/>
      <c r="O139" s="846"/>
      <c r="P139" s="846"/>
      <c r="Q139" s="846"/>
      <c r="R139" s="846"/>
      <c r="S139" s="846"/>
      <c r="T139" s="846"/>
    </row>
    <row r="140" spans="2:20" ht="51" hidden="1">
      <c r="B140" s="828" t="s">
        <v>6570</v>
      </c>
      <c r="C140" s="828">
        <v>92854</v>
      </c>
      <c r="D140" s="630" t="s">
        <v>1259</v>
      </c>
      <c r="E140" s="630" t="s">
        <v>648</v>
      </c>
      <c r="F140" s="829">
        <v>16.34</v>
      </c>
      <c r="G140" s="830">
        <v>13.06</v>
      </c>
      <c r="H140" s="831">
        <v>29.4</v>
      </c>
      <c r="I140" s="846"/>
      <c r="J140" s="846"/>
      <c r="K140" s="846"/>
      <c r="L140" s="846"/>
      <c r="M140" s="846"/>
      <c r="N140" s="846"/>
      <c r="O140" s="846"/>
      <c r="P140" s="846"/>
      <c r="Q140" s="846"/>
      <c r="R140" s="846"/>
      <c r="S140" s="846"/>
      <c r="T140" s="846"/>
    </row>
    <row r="141" spans="2:20" ht="38.25" hidden="1">
      <c r="B141" s="828" t="s">
        <v>6570</v>
      </c>
      <c r="C141" s="828">
        <v>92855</v>
      </c>
      <c r="D141" s="630" t="s">
        <v>1404</v>
      </c>
      <c r="E141" s="630" t="s">
        <v>648</v>
      </c>
      <c r="F141" s="829">
        <v>326.88</v>
      </c>
      <c r="G141" s="830">
        <v>15.31</v>
      </c>
      <c r="H141" s="831">
        <v>342.19</v>
      </c>
      <c r="I141" s="846"/>
      <c r="J141" s="846"/>
      <c r="K141" s="846"/>
      <c r="L141" s="846"/>
      <c r="M141" s="846"/>
      <c r="N141" s="846"/>
      <c r="O141" s="846"/>
      <c r="P141" s="846"/>
      <c r="Q141" s="846"/>
      <c r="R141" s="846"/>
      <c r="S141" s="846"/>
      <c r="T141" s="846"/>
    </row>
    <row r="142" spans="2:20" ht="51" hidden="1">
      <c r="B142" s="828" t="s">
        <v>6570</v>
      </c>
      <c r="C142" s="828">
        <v>92856</v>
      </c>
      <c r="D142" s="630" t="s">
        <v>1260</v>
      </c>
      <c r="E142" s="630" t="s">
        <v>648</v>
      </c>
      <c r="F142" s="829">
        <v>19.28</v>
      </c>
      <c r="G142" s="830">
        <v>15.38</v>
      </c>
      <c r="H142" s="831">
        <v>34.659999999999997</v>
      </c>
      <c r="I142" s="846"/>
      <c r="J142" s="846"/>
      <c r="K142" s="846"/>
      <c r="L142" s="846"/>
      <c r="M142" s="846"/>
      <c r="N142" s="846"/>
      <c r="O142" s="846"/>
      <c r="P142" s="846"/>
      <c r="Q142" s="846"/>
      <c r="R142" s="846"/>
      <c r="S142" s="846"/>
      <c r="T142" s="846"/>
    </row>
    <row r="143" spans="2:20" ht="38.25" hidden="1">
      <c r="B143" s="828" t="s">
        <v>6570</v>
      </c>
      <c r="C143" s="828">
        <v>92857</v>
      </c>
      <c r="D143" s="630" t="s">
        <v>1405</v>
      </c>
      <c r="E143" s="630" t="s">
        <v>648</v>
      </c>
      <c r="F143" s="829">
        <v>424.73</v>
      </c>
      <c r="G143" s="830">
        <v>17.579999999999998</v>
      </c>
      <c r="H143" s="831">
        <v>442.31</v>
      </c>
      <c r="I143" s="846"/>
      <c r="J143" s="846"/>
      <c r="K143" s="846"/>
      <c r="L143" s="846"/>
      <c r="M143" s="846"/>
      <c r="N143" s="846"/>
      <c r="O143" s="846"/>
      <c r="P143" s="846"/>
      <c r="Q143" s="846"/>
      <c r="R143" s="846"/>
      <c r="S143" s="846"/>
      <c r="T143" s="846"/>
    </row>
    <row r="144" spans="2:20" ht="51" hidden="1">
      <c r="B144" s="828" t="s">
        <v>6570</v>
      </c>
      <c r="C144" s="828">
        <v>92858</v>
      </c>
      <c r="D144" s="630" t="s">
        <v>1261</v>
      </c>
      <c r="E144" s="630" t="s">
        <v>648</v>
      </c>
      <c r="F144" s="829">
        <v>21.990000000000002</v>
      </c>
      <c r="G144" s="830">
        <v>17.66</v>
      </c>
      <c r="H144" s="831">
        <v>39.65</v>
      </c>
      <c r="I144" s="846"/>
      <c r="J144" s="846"/>
      <c r="K144" s="846"/>
      <c r="L144" s="846"/>
      <c r="M144" s="846"/>
      <c r="N144" s="846"/>
      <c r="O144" s="846"/>
      <c r="P144" s="846"/>
      <c r="Q144" s="846"/>
      <c r="R144" s="846"/>
      <c r="S144" s="846"/>
      <c r="T144" s="846"/>
    </row>
    <row r="145" spans="2:20" ht="38.25" hidden="1">
      <c r="B145" s="828" t="s">
        <v>6570</v>
      </c>
      <c r="C145" s="828">
        <v>92859</v>
      </c>
      <c r="D145" s="630" t="s">
        <v>3738</v>
      </c>
      <c r="E145" s="630" t="s">
        <v>648</v>
      </c>
      <c r="F145" s="829">
        <v>441.46</v>
      </c>
      <c r="G145" s="830">
        <v>19.93</v>
      </c>
      <c r="H145" s="831">
        <v>461.39</v>
      </c>
      <c r="I145" s="846"/>
      <c r="J145" s="846"/>
      <c r="K145" s="846"/>
      <c r="L145" s="846"/>
      <c r="M145" s="846"/>
      <c r="N145" s="846"/>
      <c r="O145" s="846"/>
      <c r="P145" s="846"/>
      <c r="Q145" s="846"/>
      <c r="R145" s="846"/>
      <c r="S145" s="846"/>
      <c r="T145" s="846"/>
    </row>
    <row r="146" spans="2:20" ht="51" hidden="1">
      <c r="B146" s="828" t="s">
        <v>6570</v>
      </c>
      <c r="C146" s="828">
        <v>92860</v>
      </c>
      <c r="D146" s="630" t="s">
        <v>1262</v>
      </c>
      <c r="E146" s="630" t="s">
        <v>648</v>
      </c>
      <c r="F146" s="829">
        <v>25.02</v>
      </c>
      <c r="G146" s="830">
        <v>20.010000000000002</v>
      </c>
      <c r="H146" s="831">
        <v>45.03</v>
      </c>
      <c r="I146" s="846"/>
      <c r="J146" s="846"/>
      <c r="K146" s="846"/>
      <c r="L146" s="846"/>
      <c r="M146" s="846"/>
      <c r="N146" s="846"/>
      <c r="O146" s="846"/>
      <c r="P146" s="846"/>
      <c r="Q146" s="846"/>
      <c r="R146" s="846"/>
      <c r="S146" s="846"/>
      <c r="T146" s="846"/>
    </row>
    <row r="147" spans="2:20" ht="38.25" hidden="1">
      <c r="B147" s="828" t="s">
        <v>6570</v>
      </c>
      <c r="C147" s="828">
        <v>92861</v>
      </c>
      <c r="D147" s="630" t="s">
        <v>3739</v>
      </c>
      <c r="E147" s="630" t="s">
        <v>648</v>
      </c>
      <c r="F147" s="829">
        <v>649.31999999999994</v>
      </c>
      <c r="G147" s="830">
        <v>22.21</v>
      </c>
      <c r="H147" s="831">
        <v>671.53</v>
      </c>
      <c r="I147" s="846"/>
      <c r="J147" s="846"/>
      <c r="K147" s="846"/>
      <c r="L147" s="846"/>
      <c r="M147" s="846"/>
      <c r="N147" s="846"/>
      <c r="O147" s="846"/>
      <c r="P147" s="846"/>
      <c r="Q147" s="846"/>
      <c r="R147" s="846"/>
      <c r="S147" s="846"/>
      <c r="T147" s="846"/>
    </row>
    <row r="148" spans="2:20" ht="51" hidden="1">
      <c r="B148" s="828" t="s">
        <v>6570</v>
      </c>
      <c r="C148" s="828">
        <v>92862</v>
      </c>
      <c r="D148" s="630" t="s">
        <v>1263</v>
      </c>
      <c r="E148" s="630" t="s">
        <v>648</v>
      </c>
      <c r="F148" s="829">
        <v>27.96</v>
      </c>
      <c r="G148" s="830">
        <v>22.29</v>
      </c>
      <c r="H148" s="831">
        <v>50.25</v>
      </c>
      <c r="I148" s="846"/>
      <c r="J148" s="846"/>
      <c r="K148" s="846"/>
      <c r="L148" s="846"/>
      <c r="M148" s="846"/>
      <c r="N148" s="846"/>
      <c r="O148" s="846"/>
      <c r="P148" s="846"/>
      <c r="Q148" s="846"/>
      <c r="R148" s="846"/>
      <c r="S148" s="846"/>
      <c r="T148" s="846"/>
    </row>
    <row r="149" spans="2:20" ht="38.25" hidden="1">
      <c r="B149" s="828" t="s">
        <v>6570</v>
      </c>
      <c r="C149" s="828">
        <v>92863</v>
      </c>
      <c r="D149" s="630" t="s">
        <v>1406</v>
      </c>
      <c r="E149" s="630" t="s">
        <v>648</v>
      </c>
      <c r="F149" s="829">
        <v>668.97</v>
      </c>
      <c r="G149" s="830">
        <v>24.53</v>
      </c>
      <c r="H149" s="831">
        <v>693.5</v>
      </c>
      <c r="I149" s="846"/>
      <c r="J149" s="846"/>
      <c r="K149" s="846"/>
      <c r="L149" s="846"/>
      <c r="M149" s="846"/>
      <c r="N149" s="846"/>
      <c r="O149" s="846"/>
      <c r="P149" s="846"/>
      <c r="Q149" s="846"/>
      <c r="R149" s="846"/>
      <c r="S149" s="846"/>
      <c r="T149" s="846"/>
    </row>
    <row r="150" spans="2:20" ht="51" hidden="1">
      <c r="B150" s="828" t="s">
        <v>6570</v>
      </c>
      <c r="C150" s="828">
        <v>92864</v>
      </c>
      <c r="D150" s="630" t="s">
        <v>1264</v>
      </c>
      <c r="E150" s="630" t="s">
        <v>648</v>
      </c>
      <c r="F150" s="829">
        <v>30.909999999999997</v>
      </c>
      <c r="G150" s="830">
        <v>24.61</v>
      </c>
      <c r="H150" s="831">
        <v>55.52</v>
      </c>
      <c r="I150" s="846"/>
      <c r="J150" s="846"/>
      <c r="K150" s="846"/>
      <c r="L150" s="846"/>
      <c r="M150" s="846"/>
      <c r="N150" s="846"/>
      <c r="O150" s="846"/>
      <c r="P150" s="846"/>
      <c r="Q150" s="846"/>
      <c r="R150" s="846"/>
      <c r="S150" s="846"/>
      <c r="T150" s="846"/>
    </row>
    <row r="151" spans="2:20" ht="38.25" hidden="1">
      <c r="B151" s="828" t="s">
        <v>6564</v>
      </c>
      <c r="C151" s="828">
        <v>92210</v>
      </c>
      <c r="D151" s="630" t="s">
        <v>1407</v>
      </c>
      <c r="E151" s="630" t="s">
        <v>648</v>
      </c>
      <c r="F151" s="829">
        <v>111.5</v>
      </c>
      <c r="G151" s="830">
        <v>25.5</v>
      </c>
      <c r="H151" s="831">
        <v>137</v>
      </c>
      <c r="I151" s="846"/>
      <c r="J151" s="846"/>
      <c r="K151" s="846"/>
      <c r="L151" s="846"/>
      <c r="M151" s="846"/>
      <c r="N151" s="846"/>
      <c r="O151" s="846"/>
      <c r="P151" s="846"/>
      <c r="Q151" s="846"/>
      <c r="R151" s="846"/>
      <c r="S151" s="846"/>
      <c r="T151" s="846"/>
    </row>
    <row r="152" spans="2:20" ht="38.25" hidden="1">
      <c r="B152" s="828" t="s">
        <v>6564</v>
      </c>
      <c r="C152" s="828">
        <v>92211</v>
      </c>
      <c r="D152" s="630" t="s">
        <v>1408</v>
      </c>
      <c r="E152" s="630" t="s">
        <v>648</v>
      </c>
      <c r="F152" s="829">
        <v>133.97999999999999</v>
      </c>
      <c r="G152" s="830">
        <v>30.99</v>
      </c>
      <c r="H152" s="831">
        <v>164.97</v>
      </c>
      <c r="I152" s="846"/>
      <c r="J152" s="846"/>
      <c r="K152" s="846"/>
      <c r="L152" s="846"/>
      <c r="M152" s="846"/>
      <c r="N152" s="846"/>
      <c r="O152" s="846"/>
      <c r="P152" s="846"/>
      <c r="Q152" s="846"/>
      <c r="R152" s="846"/>
      <c r="S152" s="846"/>
      <c r="T152" s="846"/>
    </row>
    <row r="153" spans="2:20" ht="38.25" hidden="1">
      <c r="B153" s="828" t="s">
        <v>6564</v>
      </c>
      <c r="C153" s="828">
        <v>92212</v>
      </c>
      <c r="D153" s="630" t="s">
        <v>1409</v>
      </c>
      <c r="E153" s="630" t="s">
        <v>648</v>
      </c>
      <c r="F153" s="829">
        <v>200.01000000000002</v>
      </c>
      <c r="G153" s="830">
        <v>36.65</v>
      </c>
      <c r="H153" s="831">
        <v>236.66</v>
      </c>
      <c r="I153" s="846"/>
      <c r="J153" s="846"/>
      <c r="K153" s="846"/>
      <c r="L153" s="846"/>
      <c r="M153" s="846"/>
      <c r="N153" s="846"/>
      <c r="O153" s="846"/>
      <c r="P153" s="846"/>
      <c r="Q153" s="846"/>
      <c r="R153" s="846"/>
      <c r="S153" s="846"/>
      <c r="T153" s="846"/>
    </row>
    <row r="154" spans="2:20" ht="38.25" hidden="1">
      <c r="B154" s="828" t="s">
        <v>6564</v>
      </c>
      <c r="C154" s="828">
        <v>92213</v>
      </c>
      <c r="D154" s="630" t="s">
        <v>1410</v>
      </c>
      <c r="E154" s="630" t="s">
        <v>648</v>
      </c>
      <c r="F154" s="829">
        <v>262.89999999999998</v>
      </c>
      <c r="G154" s="830">
        <v>42.29</v>
      </c>
      <c r="H154" s="831">
        <v>305.19</v>
      </c>
      <c r="I154" s="846"/>
      <c r="J154" s="846"/>
      <c r="K154" s="846"/>
      <c r="L154" s="846"/>
      <c r="M154" s="846"/>
      <c r="N154" s="846"/>
      <c r="O154" s="846"/>
      <c r="P154" s="846"/>
      <c r="Q154" s="846"/>
      <c r="R154" s="846"/>
      <c r="S154" s="846"/>
      <c r="T154" s="846"/>
    </row>
    <row r="155" spans="2:20" ht="38.25" hidden="1">
      <c r="B155" s="828" t="s">
        <v>6564</v>
      </c>
      <c r="C155" s="828">
        <v>92214</v>
      </c>
      <c r="D155" s="630" t="s">
        <v>1411</v>
      </c>
      <c r="E155" s="630" t="s">
        <v>648</v>
      </c>
      <c r="F155" s="829">
        <v>317.91000000000003</v>
      </c>
      <c r="G155" s="830">
        <v>48.38</v>
      </c>
      <c r="H155" s="831">
        <v>366.29</v>
      </c>
      <c r="I155" s="846"/>
      <c r="J155" s="846"/>
      <c r="K155" s="846"/>
      <c r="L155" s="846"/>
      <c r="M155" s="846"/>
      <c r="N155" s="846"/>
      <c r="O155" s="846"/>
      <c r="P155" s="846"/>
      <c r="Q155" s="846"/>
      <c r="R155" s="846"/>
      <c r="S155" s="846"/>
      <c r="T155" s="846"/>
    </row>
    <row r="156" spans="2:20" ht="38.25" hidden="1">
      <c r="B156" s="828" t="s">
        <v>6564</v>
      </c>
      <c r="C156" s="828">
        <v>92215</v>
      </c>
      <c r="D156" s="630" t="s">
        <v>1412</v>
      </c>
      <c r="E156" s="630" t="s">
        <v>648</v>
      </c>
      <c r="F156" s="829">
        <v>365.32000000000005</v>
      </c>
      <c r="G156" s="830">
        <v>54.65</v>
      </c>
      <c r="H156" s="831">
        <v>419.97</v>
      </c>
      <c r="I156" s="846"/>
      <c r="J156" s="846"/>
      <c r="K156" s="846"/>
      <c r="L156" s="846"/>
      <c r="M156" s="846"/>
      <c r="N156" s="846"/>
      <c r="O156" s="846"/>
      <c r="P156" s="846"/>
      <c r="Q156" s="846"/>
      <c r="R156" s="846"/>
      <c r="S156" s="846"/>
      <c r="T156" s="846"/>
    </row>
    <row r="157" spans="2:20" ht="38.25" hidden="1">
      <c r="B157" s="828" t="s">
        <v>6564</v>
      </c>
      <c r="C157" s="828">
        <v>92216</v>
      </c>
      <c r="D157" s="630" t="s">
        <v>1413</v>
      </c>
      <c r="E157" s="630" t="s">
        <v>648</v>
      </c>
      <c r="F157" s="829">
        <v>382.28999999999996</v>
      </c>
      <c r="G157" s="830">
        <v>61.42</v>
      </c>
      <c r="H157" s="831">
        <v>443.71</v>
      </c>
      <c r="I157" s="846"/>
      <c r="J157" s="846"/>
      <c r="K157" s="846"/>
      <c r="L157" s="846"/>
      <c r="M157" s="846"/>
      <c r="N157" s="846"/>
      <c r="O157" s="846"/>
      <c r="P157" s="846"/>
      <c r="Q157" s="846"/>
      <c r="R157" s="846"/>
      <c r="S157" s="846"/>
      <c r="T157" s="846"/>
    </row>
    <row r="158" spans="2:20" ht="38.25" hidden="1">
      <c r="B158" s="828" t="s">
        <v>6564</v>
      </c>
      <c r="C158" s="828">
        <v>92219</v>
      </c>
      <c r="D158" s="630" t="s">
        <v>1414</v>
      </c>
      <c r="E158" s="630" t="s">
        <v>648</v>
      </c>
      <c r="F158" s="829">
        <v>117.7</v>
      </c>
      <c r="G158" s="830">
        <v>30.54</v>
      </c>
      <c r="H158" s="831">
        <v>148.24</v>
      </c>
      <c r="I158" s="846"/>
      <c r="J158" s="846"/>
      <c r="K158" s="846"/>
      <c r="L158" s="846"/>
      <c r="M158" s="846"/>
      <c r="N158" s="846"/>
      <c r="O158" s="846"/>
      <c r="P158" s="846"/>
      <c r="Q158" s="846"/>
      <c r="R158" s="846"/>
      <c r="S158" s="846"/>
      <c r="T158" s="846"/>
    </row>
    <row r="159" spans="2:20" ht="38.25" hidden="1">
      <c r="B159" s="828" t="s">
        <v>6564</v>
      </c>
      <c r="C159" s="828">
        <v>92220</v>
      </c>
      <c r="D159" s="630" t="s">
        <v>1415</v>
      </c>
      <c r="E159" s="630" t="s">
        <v>648</v>
      </c>
      <c r="F159" s="829">
        <v>141.72999999999999</v>
      </c>
      <c r="G159" s="830">
        <v>37.15</v>
      </c>
      <c r="H159" s="831">
        <v>178.88</v>
      </c>
      <c r="I159" s="846"/>
      <c r="J159" s="846"/>
      <c r="K159" s="846"/>
      <c r="L159" s="846"/>
      <c r="M159" s="846"/>
      <c r="N159" s="846"/>
      <c r="O159" s="846"/>
      <c r="P159" s="846"/>
      <c r="Q159" s="846"/>
      <c r="R159" s="846"/>
      <c r="S159" s="846"/>
      <c r="T159" s="846"/>
    </row>
    <row r="160" spans="2:20" ht="38.25" hidden="1">
      <c r="B160" s="828" t="s">
        <v>6564</v>
      </c>
      <c r="C160" s="828">
        <v>92221</v>
      </c>
      <c r="D160" s="630" t="s">
        <v>1416</v>
      </c>
      <c r="E160" s="630" t="s">
        <v>648</v>
      </c>
      <c r="F160" s="829">
        <v>209.07</v>
      </c>
      <c r="G160" s="830">
        <v>43.89</v>
      </c>
      <c r="H160" s="831">
        <v>252.96</v>
      </c>
      <c r="I160" s="846"/>
      <c r="J160" s="846"/>
      <c r="K160" s="846"/>
      <c r="L160" s="846"/>
      <c r="M160" s="846"/>
      <c r="N160" s="846"/>
      <c r="O160" s="846"/>
      <c r="P160" s="846"/>
      <c r="Q160" s="846"/>
      <c r="R160" s="846"/>
      <c r="S160" s="846"/>
      <c r="T160" s="846"/>
    </row>
    <row r="161" spans="2:20" ht="38.25" hidden="1">
      <c r="B161" s="828" t="s">
        <v>6564</v>
      </c>
      <c r="C161" s="828">
        <v>92222</v>
      </c>
      <c r="D161" s="630" t="s">
        <v>1417</v>
      </c>
      <c r="E161" s="630" t="s">
        <v>648</v>
      </c>
      <c r="F161" s="829">
        <v>273.51</v>
      </c>
      <c r="G161" s="830">
        <v>50.63</v>
      </c>
      <c r="H161" s="831">
        <v>324.14</v>
      </c>
      <c r="I161" s="846"/>
      <c r="J161" s="846"/>
      <c r="K161" s="846"/>
      <c r="L161" s="846"/>
      <c r="M161" s="846"/>
      <c r="N161" s="846"/>
      <c r="O161" s="846"/>
      <c r="P161" s="846"/>
      <c r="Q161" s="846"/>
      <c r="R161" s="846"/>
      <c r="S161" s="846"/>
      <c r="T161" s="846"/>
    </row>
    <row r="162" spans="2:20" ht="38.25" hidden="1">
      <c r="B162" s="828" t="s">
        <v>6564</v>
      </c>
      <c r="C162" s="828">
        <v>92223</v>
      </c>
      <c r="D162" s="630" t="s">
        <v>1418</v>
      </c>
      <c r="E162" s="630" t="s">
        <v>648</v>
      </c>
      <c r="F162" s="829">
        <v>329.66</v>
      </c>
      <c r="G162" s="830">
        <v>57.81</v>
      </c>
      <c r="H162" s="831">
        <v>387.47</v>
      </c>
      <c r="I162" s="846"/>
      <c r="J162" s="846"/>
      <c r="K162" s="846"/>
      <c r="L162" s="846"/>
      <c r="M162" s="846"/>
      <c r="N162" s="846"/>
      <c r="O162" s="846"/>
      <c r="P162" s="846"/>
      <c r="Q162" s="846"/>
      <c r="R162" s="846"/>
      <c r="S162" s="846"/>
      <c r="T162" s="846"/>
    </row>
    <row r="163" spans="2:20" ht="38.25" hidden="1">
      <c r="B163" s="828" t="s">
        <v>6564</v>
      </c>
      <c r="C163" s="828">
        <v>92224</v>
      </c>
      <c r="D163" s="630" t="s">
        <v>1527</v>
      </c>
      <c r="E163" s="630" t="s">
        <v>648</v>
      </c>
      <c r="F163" s="829">
        <v>378.36</v>
      </c>
      <c r="G163" s="830">
        <v>65.14</v>
      </c>
      <c r="H163" s="831">
        <v>443.5</v>
      </c>
      <c r="I163" s="846"/>
      <c r="J163" s="846"/>
      <c r="K163" s="846"/>
      <c r="L163" s="846"/>
      <c r="M163" s="846"/>
      <c r="N163" s="846"/>
      <c r="O163" s="846"/>
      <c r="P163" s="846"/>
      <c r="Q163" s="846"/>
      <c r="R163" s="846"/>
      <c r="S163" s="846"/>
      <c r="T163" s="846"/>
    </row>
    <row r="164" spans="2:20" ht="38.25" hidden="1">
      <c r="B164" s="828" t="s">
        <v>6564</v>
      </c>
      <c r="C164" s="828">
        <v>92226</v>
      </c>
      <c r="D164" s="630" t="s">
        <v>1528</v>
      </c>
      <c r="E164" s="630" t="s">
        <v>648</v>
      </c>
      <c r="F164" s="829">
        <v>396.98</v>
      </c>
      <c r="G164" s="830">
        <v>73.069999999999993</v>
      </c>
      <c r="H164" s="831">
        <v>470.05</v>
      </c>
      <c r="I164" s="846"/>
      <c r="J164" s="846"/>
      <c r="K164" s="846"/>
      <c r="L164" s="846"/>
      <c r="M164" s="846"/>
      <c r="N164" s="846"/>
      <c r="O164" s="846"/>
      <c r="P164" s="846"/>
      <c r="Q164" s="846"/>
      <c r="R164" s="846"/>
      <c r="S164" s="846"/>
      <c r="T164" s="846"/>
    </row>
    <row r="165" spans="2:20" ht="51" hidden="1">
      <c r="B165" s="828" t="s">
        <v>6564</v>
      </c>
      <c r="C165" s="828">
        <v>92808</v>
      </c>
      <c r="D165" s="630" t="s">
        <v>1265</v>
      </c>
      <c r="E165" s="630" t="s">
        <v>648</v>
      </c>
      <c r="F165" s="829">
        <v>25.38</v>
      </c>
      <c r="G165" s="830">
        <v>20.07</v>
      </c>
      <c r="H165" s="831">
        <v>45.45</v>
      </c>
      <c r="I165" s="846"/>
      <c r="J165" s="846"/>
      <c r="K165" s="846"/>
      <c r="L165" s="846"/>
      <c r="M165" s="846"/>
      <c r="N165" s="846"/>
      <c r="O165" s="846"/>
      <c r="P165" s="846"/>
      <c r="Q165" s="846"/>
      <c r="R165" s="846"/>
      <c r="S165" s="846"/>
      <c r="T165" s="846"/>
    </row>
    <row r="166" spans="2:20" ht="51" hidden="1">
      <c r="B166" s="828" t="s">
        <v>6564</v>
      </c>
      <c r="C166" s="828">
        <v>92809</v>
      </c>
      <c r="D166" s="630" t="s">
        <v>1266</v>
      </c>
      <c r="E166" s="630" t="s">
        <v>648</v>
      </c>
      <c r="F166" s="829">
        <v>32.659999999999997</v>
      </c>
      <c r="G166" s="830">
        <v>25.57</v>
      </c>
      <c r="H166" s="831">
        <v>58.23</v>
      </c>
      <c r="I166" s="846"/>
      <c r="J166" s="846"/>
      <c r="K166" s="846"/>
      <c r="L166" s="846"/>
      <c r="M166" s="846"/>
      <c r="N166" s="846"/>
      <c r="O166" s="846"/>
      <c r="P166" s="846"/>
      <c r="Q166" s="846"/>
      <c r="R166" s="846"/>
      <c r="S166" s="846"/>
      <c r="T166" s="846"/>
    </row>
    <row r="167" spans="2:20" ht="51" hidden="1">
      <c r="B167" s="828" t="s">
        <v>6564</v>
      </c>
      <c r="C167" s="828">
        <v>92810</v>
      </c>
      <c r="D167" s="630" t="s">
        <v>1267</v>
      </c>
      <c r="E167" s="630" t="s">
        <v>648</v>
      </c>
      <c r="F167" s="829">
        <v>39.760000000000005</v>
      </c>
      <c r="G167" s="830">
        <v>31.06</v>
      </c>
      <c r="H167" s="831">
        <v>70.819999999999993</v>
      </c>
      <c r="I167" s="846"/>
      <c r="J167" s="846"/>
      <c r="K167" s="846"/>
      <c r="L167" s="846"/>
      <c r="M167" s="846"/>
      <c r="N167" s="846"/>
      <c r="O167" s="846"/>
      <c r="P167" s="846"/>
      <c r="Q167" s="846"/>
      <c r="R167" s="846"/>
      <c r="S167" s="846"/>
      <c r="T167" s="846"/>
    </row>
    <row r="168" spans="2:20" ht="51" hidden="1">
      <c r="B168" s="828" t="s">
        <v>6564</v>
      </c>
      <c r="C168" s="828">
        <v>92811</v>
      </c>
      <c r="D168" s="630" t="s">
        <v>1268</v>
      </c>
      <c r="E168" s="630" t="s">
        <v>648</v>
      </c>
      <c r="F168" s="829">
        <v>47.480000000000004</v>
      </c>
      <c r="G168" s="830">
        <v>36.74</v>
      </c>
      <c r="H168" s="831">
        <v>84.22</v>
      </c>
      <c r="I168" s="846"/>
      <c r="J168" s="846"/>
      <c r="K168" s="846"/>
      <c r="L168" s="846"/>
      <c r="M168" s="846"/>
      <c r="N168" s="846"/>
      <c r="O168" s="846"/>
      <c r="P168" s="846"/>
      <c r="Q168" s="846"/>
      <c r="R168" s="846"/>
      <c r="S168" s="846"/>
      <c r="T168" s="846"/>
    </row>
    <row r="169" spans="2:20" ht="51" hidden="1">
      <c r="B169" s="828" t="s">
        <v>6564</v>
      </c>
      <c r="C169" s="828">
        <v>92812</v>
      </c>
      <c r="D169" s="630" t="s">
        <v>1269</v>
      </c>
      <c r="E169" s="630" t="s">
        <v>648</v>
      </c>
      <c r="F169" s="829">
        <v>55.05</v>
      </c>
      <c r="G169" s="830">
        <v>42.37</v>
      </c>
      <c r="H169" s="831">
        <v>97.42</v>
      </c>
      <c r="I169" s="846"/>
      <c r="J169" s="846"/>
      <c r="K169" s="846"/>
      <c r="L169" s="846"/>
      <c r="M169" s="846"/>
      <c r="N169" s="846"/>
      <c r="O169" s="846"/>
      <c r="P169" s="846"/>
      <c r="Q169" s="846"/>
      <c r="R169" s="846"/>
      <c r="S169" s="846"/>
      <c r="T169" s="846"/>
    </row>
    <row r="170" spans="2:20" ht="51" hidden="1">
      <c r="B170" s="828" t="s">
        <v>6564</v>
      </c>
      <c r="C170" s="828">
        <v>92813</v>
      </c>
      <c r="D170" s="630" t="s">
        <v>1270</v>
      </c>
      <c r="E170" s="630" t="s">
        <v>648</v>
      </c>
      <c r="F170" s="829">
        <v>64.19</v>
      </c>
      <c r="G170" s="830">
        <v>48.47</v>
      </c>
      <c r="H170" s="831">
        <v>112.66</v>
      </c>
      <c r="I170" s="846"/>
      <c r="J170" s="846"/>
      <c r="K170" s="846"/>
      <c r="L170" s="846"/>
      <c r="M170" s="846"/>
      <c r="N170" s="846"/>
      <c r="O170" s="846"/>
      <c r="P170" s="846"/>
      <c r="Q170" s="846"/>
      <c r="R170" s="846"/>
      <c r="S170" s="846"/>
      <c r="T170" s="846"/>
    </row>
    <row r="171" spans="2:20" ht="51" hidden="1">
      <c r="B171" s="828" t="s">
        <v>6564</v>
      </c>
      <c r="C171" s="828">
        <v>92814</v>
      </c>
      <c r="D171" s="630" t="s">
        <v>1271</v>
      </c>
      <c r="E171" s="630" t="s">
        <v>648</v>
      </c>
      <c r="F171" s="829">
        <v>73.819999999999993</v>
      </c>
      <c r="G171" s="830">
        <v>54.73</v>
      </c>
      <c r="H171" s="831">
        <v>128.55000000000001</v>
      </c>
      <c r="I171" s="846"/>
      <c r="J171" s="846"/>
      <c r="K171" s="846"/>
      <c r="L171" s="846"/>
      <c r="M171" s="846"/>
      <c r="N171" s="846"/>
      <c r="O171" s="846"/>
      <c r="P171" s="846"/>
      <c r="Q171" s="846"/>
      <c r="R171" s="846"/>
      <c r="S171" s="846"/>
      <c r="T171" s="846"/>
    </row>
    <row r="172" spans="2:20" ht="51" hidden="1">
      <c r="B172" s="828" t="s">
        <v>6564</v>
      </c>
      <c r="C172" s="828">
        <v>92815</v>
      </c>
      <c r="D172" s="630" t="s">
        <v>1272</v>
      </c>
      <c r="E172" s="630" t="s">
        <v>648</v>
      </c>
      <c r="F172" s="829">
        <v>85.039999999999992</v>
      </c>
      <c r="G172" s="830">
        <v>61.49</v>
      </c>
      <c r="H172" s="831">
        <v>146.53</v>
      </c>
      <c r="I172" s="846"/>
      <c r="J172" s="846"/>
      <c r="K172" s="846"/>
      <c r="L172" s="846"/>
      <c r="M172" s="846"/>
      <c r="N172" s="846"/>
      <c r="O172" s="846"/>
      <c r="P172" s="846"/>
      <c r="Q172" s="846"/>
      <c r="R172" s="846"/>
      <c r="S172" s="846"/>
      <c r="T172" s="846"/>
    </row>
    <row r="173" spans="2:20" ht="38.25" hidden="1">
      <c r="B173" s="828" t="s">
        <v>6564</v>
      </c>
      <c r="C173" s="828">
        <v>92816</v>
      </c>
      <c r="D173" s="630" t="s">
        <v>1529</v>
      </c>
      <c r="E173" s="630" t="s">
        <v>648</v>
      </c>
      <c r="F173" s="829">
        <v>550.37</v>
      </c>
      <c r="G173" s="830">
        <v>76.87</v>
      </c>
      <c r="H173" s="831">
        <v>627.24</v>
      </c>
      <c r="I173" s="846"/>
      <c r="J173" s="846"/>
      <c r="K173" s="846"/>
      <c r="L173" s="846"/>
      <c r="M173" s="846"/>
      <c r="N173" s="846"/>
      <c r="O173" s="846"/>
      <c r="P173" s="846"/>
      <c r="Q173" s="846"/>
      <c r="R173" s="846"/>
      <c r="S173" s="846"/>
      <c r="T173" s="846"/>
    </row>
    <row r="174" spans="2:20" ht="51" hidden="1">
      <c r="B174" s="828" t="s">
        <v>6564</v>
      </c>
      <c r="C174" s="828">
        <v>92817</v>
      </c>
      <c r="D174" s="630" t="s">
        <v>1273</v>
      </c>
      <c r="E174" s="630" t="s">
        <v>648</v>
      </c>
      <c r="F174" s="829">
        <v>106.43</v>
      </c>
      <c r="G174" s="830">
        <v>76.95</v>
      </c>
      <c r="H174" s="831">
        <v>183.38</v>
      </c>
      <c r="I174" s="846"/>
      <c r="J174" s="846"/>
      <c r="K174" s="846"/>
      <c r="L174" s="846"/>
      <c r="M174" s="846"/>
      <c r="N174" s="846"/>
      <c r="O174" s="846"/>
      <c r="P174" s="846"/>
      <c r="Q174" s="846"/>
      <c r="R174" s="846"/>
      <c r="S174" s="846"/>
      <c r="T174" s="846"/>
    </row>
    <row r="175" spans="2:20" ht="38.25" hidden="1">
      <c r="B175" s="828" t="s">
        <v>6564</v>
      </c>
      <c r="C175" s="828">
        <v>92818</v>
      </c>
      <c r="D175" s="630" t="s">
        <v>1530</v>
      </c>
      <c r="E175" s="630" t="s">
        <v>648</v>
      </c>
      <c r="F175" s="829">
        <v>786.4</v>
      </c>
      <c r="G175" s="830">
        <v>103.47</v>
      </c>
      <c r="H175" s="831">
        <v>889.87</v>
      </c>
      <c r="I175" s="846"/>
      <c r="J175" s="846"/>
      <c r="K175" s="846"/>
      <c r="L175" s="846"/>
      <c r="M175" s="846"/>
      <c r="N175" s="846"/>
      <c r="O175" s="846"/>
      <c r="P175" s="846"/>
      <c r="Q175" s="846"/>
      <c r="R175" s="846"/>
      <c r="S175" s="846"/>
      <c r="T175" s="846"/>
    </row>
    <row r="176" spans="2:20" ht="51" hidden="1">
      <c r="B176" s="828" t="s">
        <v>6564</v>
      </c>
      <c r="C176" s="828">
        <v>92819</v>
      </c>
      <c r="D176" s="630" t="s">
        <v>1274</v>
      </c>
      <c r="E176" s="630" t="s">
        <v>648</v>
      </c>
      <c r="F176" s="829">
        <v>143.26</v>
      </c>
      <c r="G176" s="830">
        <v>103.56</v>
      </c>
      <c r="H176" s="831">
        <v>246.82</v>
      </c>
      <c r="I176" s="846"/>
      <c r="J176" s="846"/>
      <c r="K176" s="846"/>
      <c r="L176" s="846"/>
      <c r="M176" s="846"/>
      <c r="N176" s="846"/>
      <c r="O176" s="846"/>
      <c r="P176" s="846"/>
      <c r="Q176" s="846"/>
      <c r="R176" s="846"/>
      <c r="S176" s="846"/>
      <c r="T176" s="846"/>
    </row>
    <row r="177" spans="2:20" ht="51" hidden="1">
      <c r="B177" s="828" t="s">
        <v>6564</v>
      </c>
      <c r="C177" s="828">
        <v>92820</v>
      </c>
      <c r="D177" s="630" t="s">
        <v>1275</v>
      </c>
      <c r="E177" s="630" t="s">
        <v>648</v>
      </c>
      <c r="F177" s="829">
        <v>30.21</v>
      </c>
      <c r="G177" s="830">
        <v>24.02</v>
      </c>
      <c r="H177" s="831">
        <v>54.23</v>
      </c>
      <c r="I177" s="846"/>
      <c r="J177" s="846"/>
      <c r="K177" s="846"/>
      <c r="L177" s="846"/>
      <c r="M177" s="846"/>
      <c r="N177" s="846"/>
      <c r="O177" s="846"/>
      <c r="P177" s="846"/>
      <c r="Q177" s="846"/>
      <c r="R177" s="846"/>
      <c r="S177" s="846"/>
      <c r="T177" s="846"/>
    </row>
    <row r="178" spans="2:20" ht="51" hidden="1">
      <c r="B178" s="828" t="s">
        <v>6564</v>
      </c>
      <c r="C178" s="828">
        <v>92821</v>
      </c>
      <c r="D178" s="630" t="s">
        <v>1151</v>
      </c>
      <c r="E178" s="630" t="s">
        <v>648</v>
      </c>
      <c r="F178" s="829">
        <v>38.86</v>
      </c>
      <c r="G178" s="830">
        <v>30.61</v>
      </c>
      <c r="H178" s="831">
        <v>69.47</v>
      </c>
      <c r="I178" s="846"/>
      <c r="J178" s="846"/>
      <c r="K178" s="846"/>
      <c r="L178" s="846"/>
      <c r="M178" s="846"/>
      <c r="N178" s="846"/>
      <c r="O178" s="846"/>
      <c r="P178" s="846"/>
      <c r="Q178" s="846"/>
      <c r="R178" s="846"/>
      <c r="S178" s="846"/>
      <c r="T178" s="846"/>
    </row>
    <row r="179" spans="2:20" ht="51" hidden="1">
      <c r="B179" s="828" t="s">
        <v>6564</v>
      </c>
      <c r="C179" s="828">
        <v>92822</v>
      </c>
      <c r="D179" s="630" t="s">
        <v>1152</v>
      </c>
      <c r="E179" s="630" t="s">
        <v>648</v>
      </c>
      <c r="F179" s="829">
        <v>47.519999999999996</v>
      </c>
      <c r="G179" s="830">
        <v>37.21</v>
      </c>
      <c r="H179" s="831">
        <v>84.73</v>
      </c>
      <c r="I179" s="846"/>
      <c r="J179" s="846"/>
      <c r="K179" s="846"/>
      <c r="L179" s="846"/>
      <c r="M179" s="846"/>
      <c r="N179" s="846"/>
      <c r="O179" s="846"/>
      <c r="P179" s="846"/>
      <c r="Q179" s="846"/>
      <c r="R179" s="846"/>
      <c r="S179" s="846"/>
      <c r="T179" s="846"/>
    </row>
    <row r="180" spans="2:20" ht="51" hidden="1">
      <c r="B180" s="828" t="s">
        <v>6564</v>
      </c>
      <c r="C180" s="828">
        <v>92824</v>
      </c>
      <c r="D180" s="630" t="s">
        <v>1153</v>
      </c>
      <c r="E180" s="630" t="s">
        <v>648</v>
      </c>
      <c r="F180" s="829">
        <v>56.56</v>
      </c>
      <c r="G180" s="830">
        <v>43.96</v>
      </c>
      <c r="H180" s="831">
        <v>100.52</v>
      </c>
      <c r="I180" s="846"/>
      <c r="J180" s="846"/>
      <c r="K180" s="846"/>
      <c r="L180" s="846"/>
      <c r="M180" s="846"/>
      <c r="N180" s="846"/>
      <c r="O180" s="846"/>
      <c r="P180" s="846"/>
      <c r="Q180" s="846"/>
      <c r="R180" s="846"/>
      <c r="S180" s="846"/>
      <c r="T180" s="846"/>
    </row>
    <row r="181" spans="2:20" ht="51" hidden="1">
      <c r="B181" s="828" t="s">
        <v>6564</v>
      </c>
      <c r="C181" s="828">
        <v>92825</v>
      </c>
      <c r="D181" s="630" t="s">
        <v>1154</v>
      </c>
      <c r="E181" s="630" t="s">
        <v>648</v>
      </c>
      <c r="F181" s="829">
        <v>65.66</v>
      </c>
      <c r="G181" s="830">
        <v>50.71</v>
      </c>
      <c r="H181" s="831">
        <v>116.37</v>
      </c>
      <c r="I181" s="846"/>
      <c r="J181" s="846"/>
      <c r="K181" s="846"/>
      <c r="L181" s="846"/>
      <c r="M181" s="846"/>
      <c r="N181" s="846"/>
      <c r="O181" s="846"/>
      <c r="P181" s="846"/>
      <c r="Q181" s="846"/>
      <c r="R181" s="846"/>
      <c r="S181" s="846"/>
      <c r="T181" s="846"/>
    </row>
    <row r="182" spans="2:20" ht="51" hidden="1">
      <c r="B182" s="828" t="s">
        <v>6564</v>
      </c>
      <c r="C182" s="828">
        <v>92826</v>
      </c>
      <c r="D182" s="630" t="s">
        <v>1155</v>
      </c>
      <c r="E182" s="630" t="s">
        <v>648</v>
      </c>
      <c r="F182" s="829">
        <v>75.949999999999989</v>
      </c>
      <c r="G182" s="830">
        <v>57.89</v>
      </c>
      <c r="H182" s="831">
        <v>133.84</v>
      </c>
      <c r="I182" s="846"/>
      <c r="J182" s="846"/>
      <c r="K182" s="846"/>
      <c r="L182" s="846"/>
      <c r="M182" s="846"/>
      <c r="N182" s="846"/>
      <c r="O182" s="846"/>
      <c r="P182" s="846"/>
      <c r="Q182" s="846"/>
      <c r="R182" s="846"/>
      <c r="S182" s="846"/>
      <c r="T182" s="846"/>
    </row>
    <row r="183" spans="2:20" ht="51" hidden="1">
      <c r="B183" s="828" t="s">
        <v>6564</v>
      </c>
      <c r="C183" s="828">
        <v>92827</v>
      </c>
      <c r="D183" s="630" t="s">
        <v>1156</v>
      </c>
      <c r="E183" s="630" t="s">
        <v>648</v>
      </c>
      <c r="F183" s="829">
        <v>86.86</v>
      </c>
      <c r="G183" s="830">
        <v>65.22</v>
      </c>
      <c r="H183" s="831">
        <v>152.08000000000001</v>
      </c>
      <c r="I183" s="846"/>
      <c r="J183" s="846"/>
      <c r="K183" s="846"/>
      <c r="L183" s="846"/>
      <c r="M183" s="846"/>
      <c r="N183" s="846"/>
      <c r="O183" s="846"/>
      <c r="P183" s="846"/>
      <c r="Q183" s="846"/>
      <c r="R183" s="846"/>
      <c r="S183" s="846"/>
      <c r="T183" s="846"/>
    </row>
    <row r="184" spans="2:20" ht="51" hidden="1">
      <c r="B184" s="828" t="s">
        <v>6564</v>
      </c>
      <c r="C184" s="828">
        <v>92828</v>
      </c>
      <c r="D184" s="630" t="s">
        <v>1157</v>
      </c>
      <c r="E184" s="630" t="s">
        <v>648</v>
      </c>
      <c r="F184" s="829">
        <v>99.72999999999999</v>
      </c>
      <c r="G184" s="830">
        <v>73.14</v>
      </c>
      <c r="H184" s="831">
        <v>172.87</v>
      </c>
      <c r="I184" s="846"/>
      <c r="J184" s="846"/>
      <c r="K184" s="846"/>
      <c r="L184" s="846"/>
      <c r="M184" s="846"/>
      <c r="N184" s="846"/>
      <c r="O184" s="846"/>
      <c r="P184" s="846"/>
      <c r="Q184" s="846"/>
      <c r="R184" s="846"/>
      <c r="S184" s="846"/>
      <c r="T184" s="846"/>
    </row>
    <row r="185" spans="2:20" ht="38.25" hidden="1">
      <c r="B185" s="828" t="s">
        <v>6564</v>
      </c>
      <c r="C185" s="828">
        <v>92829</v>
      </c>
      <c r="D185" s="630" t="s">
        <v>1531</v>
      </c>
      <c r="E185" s="630" t="s">
        <v>648</v>
      </c>
      <c r="F185" s="829">
        <v>567.66000000000008</v>
      </c>
      <c r="G185" s="830">
        <v>90.65</v>
      </c>
      <c r="H185" s="831">
        <v>658.31</v>
      </c>
      <c r="I185" s="846"/>
      <c r="J185" s="846"/>
      <c r="K185" s="846"/>
      <c r="L185" s="846"/>
      <c r="M185" s="846"/>
      <c r="N185" s="846"/>
      <c r="O185" s="846"/>
      <c r="P185" s="846"/>
      <c r="Q185" s="846"/>
      <c r="R185" s="846"/>
      <c r="S185" s="846"/>
      <c r="T185" s="846"/>
    </row>
    <row r="186" spans="2:20" ht="51" hidden="1">
      <c r="B186" s="828" t="s">
        <v>6564</v>
      </c>
      <c r="C186" s="828">
        <v>92830</v>
      </c>
      <c r="D186" s="630" t="s">
        <v>1158</v>
      </c>
      <c r="E186" s="630" t="s">
        <v>648</v>
      </c>
      <c r="F186" s="829">
        <v>123.72999999999999</v>
      </c>
      <c r="G186" s="830">
        <v>90.72</v>
      </c>
      <c r="H186" s="831">
        <v>214.45</v>
      </c>
      <c r="I186" s="846"/>
      <c r="J186" s="846"/>
      <c r="K186" s="846"/>
      <c r="L186" s="846"/>
      <c r="M186" s="846"/>
      <c r="N186" s="846"/>
      <c r="O186" s="846"/>
      <c r="P186" s="846"/>
      <c r="Q186" s="846"/>
      <c r="R186" s="846"/>
      <c r="S186" s="846"/>
      <c r="T186" s="846"/>
    </row>
    <row r="187" spans="2:20" ht="38.25" hidden="1">
      <c r="B187" s="828" t="s">
        <v>6564</v>
      </c>
      <c r="C187" s="828">
        <v>92831</v>
      </c>
      <c r="D187" s="630" t="s">
        <v>1532</v>
      </c>
      <c r="E187" s="630" t="s">
        <v>648</v>
      </c>
      <c r="F187" s="829">
        <v>807.59999999999991</v>
      </c>
      <c r="G187" s="830">
        <v>120.51</v>
      </c>
      <c r="H187" s="831">
        <v>928.11</v>
      </c>
      <c r="I187" s="846"/>
      <c r="J187" s="846"/>
      <c r="K187" s="846"/>
      <c r="L187" s="846"/>
      <c r="M187" s="846"/>
      <c r="N187" s="846"/>
      <c r="O187" s="846"/>
      <c r="P187" s="846"/>
      <c r="Q187" s="846"/>
      <c r="R187" s="846"/>
      <c r="S187" s="846"/>
      <c r="T187" s="846"/>
    </row>
    <row r="188" spans="2:20" ht="51" hidden="1">
      <c r="B188" s="828" t="s">
        <v>6564</v>
      </c>
      <c r="C188" s="828">
        <v>92832</v>
      </c>
      <c r="D188" s="630" t="s">
        <v>1159</v>
      </c>
      <c r="E188" s="630" t="s">
        <v>648</v>
      </c>
      <c r="F188" s="829">
        <v>164.47</v>
      </c>
      <c r="G188" s="830">
        <v>120.59</v>
      </c>
      <c r="H188" s="831">
        <v>285.06</v>
      </c>
      <c r="I188" s="846"/>
      <c r="J188" s="846"/>
      <c r="K188" s="846"/>
      <c r="L188" s="846"/>
      <c r="M188" s="846"/>
      <c r="N188" s="846"/>
      <c r="O188" s="846"/>
      <c r="P188" s="846"/>
      <c r="Q188" s="846"/>
      <c r="R188" s="846"/>
      <c r="S188" s="846"/>
      <c r="T188" s="846"/>
    </row>
    <row r="189" spans="2:20" ht="38.25" hidden="1">
      <c r="B189" s="828" t="s">
        <v>6564</v>
      </c>
      <c r="C189" s="828">
        <v>95565</v>
      </c>
      <c r="D189" s="630" t="s">
        <v>1505</v>
      </c>
      <c r="E189" s="630" t="s">
        <v>648</v>
      </c>
      <c r="F189" s="829">
        <v>95.26</v>
      </c>
      <c r="G189" s="830">
        <v>20</v>
      </c>
      <c r="H189" s="831">
        <v>115.26</v>
      </c>
      <c r="I189" s="846"/>
      <c r="J189" s="846"/>
      <c r="K189" s="846"/>
      <c r="L189" s="846"/>
      <c r="M189" s="846"/>
      <c r="N189" s="846"/>
      <c r="O189" s="846"/>
      <c r="P189" s="846"/>
      <c r="Q189" s="846"/>
      <c r="R189" s="846"/>
      <c r="S189" s="846"/>
      <c r="T189" s="846"/>
    </row>
    <row r="190" spans="2:20" ht="38.25" hidden="1">
      <c r="B190" s="828" t="s">
        <v>6564</v>
      </c>
      <c r="C190" s="828">
        <v>95566</v>
      </c>
      <c r="D190" s="630" t="s">
        <v>1506</v>
      </c>
      <c r="E190" s="630" t="s">
        <v>648</v>
      </c>
      <c r="F190" s="829">
        <v>100.09</v>
      </c>
      <c r="G190" s="830">
        <v>23.95</v>
      </c>
      <c r="H190" s="831">
        <v>124.04</v>
      </c>
      <c r="I190" s="846"/>
      <c r="J190" s="846"/>
      <c r="K190" s="846"/>
      <c r="L190" s="846"/>
      <c r="M190" s="846"/>
      <c r="N190" s="846"/>
      <c r="O190" s="846"/>
      <c r="P190" s="846"/>
      <c r="Q190" s="846"/>
      <c r="R190" s="846"/>
      <c r="S190" s="846"/>
      <c r="T190" s="846"/>
    </row>
    <row r="191" spans="2:20" ht="38.25" hidden="1">
      <c r="B191" s="828" t="s">
        <v>6564</v>
      </c>
      <c r="C191" s="828">
        <v>95567</v>
      </c>
      <c r="D191" s="630" t="s">
        <v>1504</v>
      </c>
      <c r="E191" s="630" t="s">
        <v>648</v>
      </c>
      <c r="F191" s="829">
        <v>54.78</v>
      </c>
      <c r="G191" s="830">
        <v>20.02</v>
      </c>
      <c r="H191" s="831">
        <v>74.8</v>
      </c>
      <c r="I191" s="846"/>
      <c r="J191" s="846"/>
      <c r="K191" s="846"/>
      <c r="L191" s="846"/>
      <c r="M191" s="846"/>
      <c r="N191" s="846"/>
      <c r="O191" s="846"/>
      <c r="P191" s="846"/>
      <c r="Q191" s="846"/>
      <c r="R191" s="846"/>
      <c r="S191" s="846"/>
      <c r="T191" s="846"/>
    </row>
    <row r="192" spans="2:20" ht="38.25" hidden="1">
      <c r="B192" s="828" t="s">
        <v>6564</v>
      </c>
      <c r="C192" s="828">
        <v>95568</v>
      </c>
      <c r="D192" s="630" t="s">
        <v>1507</v>
      </c>
      <c r="E192" s="630" t="s">
        <v>648</v>
      </c>
      <c r="F192" s="829">
        <v>67.400000000000006</v>
      </c>
      <c r="G192" s="830">
        <v>25.52</v>
      </c>
      <c r="H192" s="831">
        <v>92.92</v>
      </c>
      <c r="I192" s="846"/>
      <c r="J192" s="846"/>
      <c r="K192" s="846"/>
      <c r="L192" s="846"/>
      <c r="M192" s="846"/>
      <c r="N192" s="846"/>
      <c r="O192" s="846"/>
      <c r="P192" s="846"/>
      <c r="Q192" s="846"/>
      <c r="R192" s="846"/>
      <c r="S192" s="846"/>
      <c r="T192" s="846"/>
    </row>
    <row r="193" spans="2:20" ht="38.25" hidden="1">
      <c r="B193" s="828" t="s">
        <v>6564</v>
      </c>
      <c r="C193" s="828">
        <v>95569</v>
      </c>
      <c r="D193" s="630" t="s">
        <v>1508</v>
      </c>
      <c r="E193" s="630" t="s">
        <v>648</v>
      </c>
      <c r="F193" s="829">
        <v>91.43</v>
      </c>
      <c r="G193" s="830">
        <v>31.01</v>
      </c>
      <c r="H193" s="831">
        <v>122.44</v>
      </c>
      <c r="I193" s="846"/>
      <c r="J193" s="846"/>
      <c r="K193" s="846"/>
      <c r="L193" s="846"/>
      <c r="M193" s="846"/>
      <c r="N193" s="846"/>
      <c r="O193" s="846"/>
      <c r="P193" s="846"/>
      <c r="Q193" s="846"/>
      <c r="R193" s="846"/>
      <c r="S193" s="846"/>
      <c r="T193" s="846"/>
    </row>
    <row r="194" spans="2:20" ht="38.25" hidden="1">
      <c r="B194" s="828" t="s">
        <v>6564</v>
      </c>
      <c r="C194" s="828">
        <v>95570</v>
      </c>
      <c r="D194" s="630" t="s">
        <v>1509</v>
      </c>
      <c r="E194" s="630" t="s">
        <v>648</v>
      </c>
      <c r="F194" s="829">
        <v>59.61</v>
      </c>
      <c r="G194" s="830">
        <v>23.97</v>
      </c>
      <c r="H194" s="831">
        <v>83.58</v>
      </c>
      <c r="I194" s="846"/>
      <c r="J194" s="846"/>
      <c r="K194" s="846"/>
      <c r="L194" s="846"/>
      <c r="M194" s="846"/>
      <c r="N194" s="846"/>
      <c r="O194" s="846"/>
      <c r="P194" s="846"/>
      <c r="Q194" s="846"/>
      <c r="R194" s="846"/>
      <c r="S194" s="846"/>
      <c r="T194" s="846"/>
    </row>
    <row r="195" spans="2:20" ht="38.25" hidden="1">
      <c r="B195" s="828" t="s">
        <v>6564</v>
      </c>
      <c r="C195" s="828">
        <v>95571</v>
      </c>
      <c r="D195" s="630" t="s">
        <v>1510</v>
      </c>
      <c r="E195" s="630" t="s">
        <v>648</v>
      </c>
      <c r="F195" s="829">
        <v>73.599999999999994</v>
      </c>
      <c r="G195" s="830">
        <v>30.56</v>
      </c>
      <c r="H195" s="831">
        <v>104.16</v>
      </c>
      <c r="I195" s="846"/>
      <c r="J195" s="846"/>
      <c r="K195" s="846"/>
      <c r="L195" s="846"/>
      <c r="M195" s="846"/>
      <c r="N195" s="846"/>
      <c r="O195" s="846"/>
      <c r="P195" s="846"/>
      <c r="Q195" s="846"/>
      <c r="R195" s="846"/>
      <c r="S195" s="846"/>
      <c r="T195" s="846"/>
    </row>
    <row r="196" spans="2:20" ht="38.25" hidden="1">
      <c r="B196" s="828" t="s">
        <v>6564</v>
      </c>
      <c r="C196" s="828">
        <v>95572</v>
      </c>
      <c r="D196" s="630" t="s">
        <v>1511</v>
      </c>
      <c r="E196" s="630" t="s">
        <v>648</v>
      </c>
      <c r="F196" s="829">
        <v>99.19</v>
      </c>
      <c r="G196" s="830">
        <v>37.159999999999997</v>
      </c>
      <c r="H196" s="831">
        <v>136.35</v>
      </c>
      <c r="I196" s="846"/>
      <c r="J196" s="846"/>
      <c r="K196" s="846"/>
      <c r="L196" s="846"/>
      <c r="M196" s="846"/>
      <c r="N196" s="846"/>
      <c r="O196" s="846"/>
      <c r="P196" s="846"/>
      <c r="Q196" s="846"/>
      <c r="R196" s="846"/>
      <c r="S196" s="846"/>
      <c r="T196" s="846"/>
    </row>
    <row r="197" spans="2:20" ht="38.25" hidden="1">
      <c r="B197" s="828" t="s">
        <v>6607</v>
      </c>
      <c r="C197" s="828">
        <v>97127</v>
      </c>
      <c r="D197" s="630" t="s">
        <v>2767</v>
      </c>
      <c r="E197" s="630" t="s">
        <v>648</v>
      </c>
      <c r="F197" s="829">
        <v>1.67</v>
      </c>
      <c r="G197" s="830">
        <v>4.17</v>
      </c>
      <c r="H197" s="831">
        <v>5.84</v>
      </c>
      <c r="I197" s="846"/>
      <c r="J197" s="846"/>
      <c r="K197" s="846"/>
      <c r="L197" s="846"/>
      <c r="M197" s="846"/>
      <c r="N197" s="846"/>
      <c r="O197" s="846"/>
      <c r="P197" s="846"/>
      <c r="Q197" s="846"/>
      <c r="R197" s="846"/>
      <c r="S197" s="846"/>
      <c r="T197" s="846"/>
    </row>
    <row r="198" spans="2:20" ht="38.25" hidden="1">
      <c r="B198" s="828" t="s">
        <v>6607</v>
      </c>
      <c r="C198" s="828">
        <v>97128</v>
      </c>
      <c r="D198" s="630" t="s">
        <v>2768</v>
      </c>
      <c r="E198" s="630" t="s">
        <v>648</v>
      </c>
      <c r="F198" s="829">
        <v>4.8499999999999996</v>
      </c>
      <c r="G198" s="830">
        <v>6.64</v>
      </c>
      <c r="H198" s="831">
        <v>11.49</v>
      </c>
      <c r="I198" s="846"/>
      <c r="J198" s="846"/>
      <c r="K198" s="846"/>
      <c r="L198" s="846"/>
      <c r="M198" s="846"/>
      <c r="N198" s="846"/>
      <c r="O198" s="846"/>
      <c r="P198" s="846"/>
      <c r="Q198" s="846"/>
      <c r="R198" s="846"/>
      <c r="S198" s="846"/>
      <c r="T198" s="846"/>
    </row>
    <row r="199" spans="2:20" ht="38.25" hidden="1">
      <c r="B199" s="828" t="s">
        <v>6607</v>
      </c>
      <c r="C199" s="828">
        <v>97129</v>
      </c>
      <c r="D199" s="630" t="s">
        <v>2769</v>
      </c>
      <c r="E199" s="630" t="s">
        <v>648</v>
      </c>
      <c r="F199" s="829">
        <v>5.99</v>
      </c>
      <c r="G199" s="830">
        <v>8.14</v>
      </c>
      <c r="H199" s="831">
        <v>14.13</v>
      </c>
      <c r="I199" s="846"/>
      <c r="J199" s="846"/>
      <c r="K199" s="846"/>
      <c r="L199" s="846"/>
      <c r="M199" s="846"/>
      <c r="N199" s="846"/>
      <c r="O199" s="846"/>
      <c r="P199" s="846"/>
      <c r="Q199" s="846"/>
      <c r="R199" s="846"/>
      <c r="S199" s="846"/>
      <c r="T199" s="846"/>
    </row>
    <row r="200" spans="2:20" ht="38.25" hidden="1">
      <c r="B200" s="828" t="s">
        <v>6607</v>
      </c>
      <c r="C200" s="828">
        <v>97130</v>
      </c>
      <c r="D200" s="630" t="s">
        <v>2770</v>
      </c>
      <c r="E200" s="630" t="s">
        <v>648</v>
      </c>
      <c r="F200" s="829">
        <v>7.12</v>
      </c>
      <c r="G200" s="830">
        <v>9.66</v>
      </c>
      <c r="H200" s="831">
        <v>16.78</v>
      </c>
      <c r="I200" s="846"/>
      <c r="J200" s="846"/>
      <c r="K200" s="846"/>
      <c r="L200" s="846"/>
      <c r="M200" s="846"/>
      <c r="N200" s="846"/>
      <c r="O200" s="846"/>
      <c r="P200" s="846"/>
      <c r="Q200" s="846"/>
      <c r="R200" s="846"/>
      <c r="S200" s="846"/>
      <c r="T200" s="846"/>
    </row>
    <row r="201" spans="2:20" ht="38.25" hidden="1">
      <c r="B201" s="828" t="s">
        <v>6607</v>
      </c>
      <c r="C201" s="828">
        <v>97131</v>
      </c>
      <c r="D201" s="630" t="s">
        <v>2771</v>
      </c>
      <c r="E201" s="630" t="s">
        <v>648</v>
      </c>
      <c r="F201" s="829">
        <v>8.26</v>
      </c>
      <c r="G201" s="830">
        <v>11.15</v>
      </c>
      <c r="H201" s="831">
        <v>19.41</v>
      </c>
      <c r="I201" s="846"/>
      <c r="J201" s="846"/>
      <c r="K201" s="846"/>
      <c r="L201" s="846"/>
      <c r="M201" s="846"/>
      <c r="N201" s="846"/>
      <c r="O201" s="846"/>
      <c r="P201" s="846"/>
      <c r="Q201" s="846"/>
      <c r="R201" s="846"/>
      <c r="S201" s="846"/>
      <c r="T201" s="846"/>
    </row>
    <row r="202" spans="2:20" ht="38.25" hidden="1">
      <c r="B202" s="828" t="s">
        <v>6607</v>
      </c>
      <c r="C202" s="828">
        <v>97132</v>
      </c>
      <c r="D202" s="630" t="s">
        <v>2772</v>
      </c>
      <c r="E202" s="630" t="s">
        <v>648</v>
      </c>
      <c r="F202" s="829">
        <v>9.379999999999999</v>
      </c>
      <c r="G202" s="830">
        <v>12.65</v>
      </c>
      <c r="H202" s="831">
        <v>22.03</v>
      </c>
      <c r="I202" s="846"/>
      <c r="J202" s="846"/>
      <c r="K202" s="846"/>
      <c r="L202" s="846"/>
      <c r="M202" s="846"/>
      <c r="N202" s="846"/>
      <c r="O202" s="846"/>
      <c r="P202" s="846"/>
      <c r="Q202" s="846"/>
      <c r="R202" s="846"/>
      <c r="S202" s="846"/>
      <c r="T202" s="846"/>
    </row>
    <row r="203" spans="2:20" ht="38.25" hidden="1">
      <c r="B203" s="828" t="s">
        <v>6607</v>
      </c>
      <c r="C203" s="828">
        <v>97133</v>
      </c>
      <c r="D203" s="630" t="s">
        <v>2773</v>
      </c>
      <c r="E203" s="630" t="s">
        <v>648</v>
      </c>
      <c r="F203" s="829">
        <v>11.63</v>
      </c>
      <c r="G203" s="830">
        <v>15.7</v>
      </c>
      <c r="H203" s="831">
        <v>27.33</v>
      </c>
      <c r="I203" s="846"/>
      <c r="J203" s="846"/>
      <c r="K203" s="846"/>
      <c r="L203" s="846"/>
      <c r="M203" s="846"/>
      <c r="N203" s="846"/>
      <c r="O203" s="846"/>
      <c r="P203" s="846"/>
      <c r="Q203" s="846"/>
      <c r="R203" s="846"/>
      <c r="S203" s="846"/>
      <c r="T203" s="846"/>
    </row>
    <row r="204" spans="2:20" ht="51" hidden="1">
      <c r="B204" s="828" t="s">
        <v>6607</v>
      </c>
      <c r="C204" s="828">
        <v>97134</v>
      </c>
      <c r="D204" s="630" t="s">
        <v>2774</v>
      </c>
      <c r="E204" s="630" t="s">
        <v>648</v>
      </c>
      <c r="F204" s="829">
        <v>0.93</v>
      </c>
      <c r="G204" s="830">
        <v>1.74</v>
      </c>
      <c r="H204" s="831">
        <v>2.67</v>
      </c>
      <c r="I204" s="846"/>
      <c r="J204" s="846"/>
      <c r="K204" s="846"/>
      <c r="L204" s="846"/>
      <c r="M204" s="846"/>
      <c r="N204" s="846"/>
      <c r="O204" s="846"/>
      <c r="P204" s="846"/>
      <c r="Q204" s="846"/>
      <c r="R204" s="846"/>
      <c r="S204" s="846"/>
      <c r="T204" s="846"/>
    </row>
    <row r="205" spans="2:20" ht="51" hidden="1">
      <c r="B205" s="828" t="s">
        <v>6607</v>
      </c>
      <c r="C205" s="828">
        <v>97135</v>
      </c>
      <c r="D205" s="630" t="s">
        <v>2775</v>
      </c>
      <c r="E205" s="630" t="s">
        <v>648</v>
      </c>
      <c r="F205" s="829">
        <v>2.99</v>
      </c>
      <c r="G205" s="830">
        <v>2.86</v>
      </c>
      <c r="H205" s="831">
        <v>5.85</v>
      </c>
      <c r="I205" s="846"/>
      <c r="J205" s="846"/>
      <c r="K205" s="846"/>
      <c r="L205" s="846"/>
      <c r="M205" s="846"/>
      <c r="N205" s="846"/>
      <c r="O205" s="846"/>
      <c r="P205" s="846"/>
      <c r="Q205" s="846"/>
      <c r="R205" s="846"/>
      <c r="S205" s="846"/>
      <c r="T205" s="846"/>
    </row>
    <row r="206" spans="2:20" ht="51" hidden="1">
      <c r="B206" s="828" t="s">
        <v>6607</v>
      </c>
      <c r="C206" s="828">
        <v>97136</v>
      </c>
      <c r="D206" s="630" t="s">
        <v>2776</v>
      </c>
      <c r="E206" s="630" t="s">
        <v>648</v>
      </c>
      <c r="F206" s="829">
        <v>3.65</v>
      </c>
      <c r="G206" s="830">
        <v>3.53</v>
      </c>
      <c r="H206" s="831">
        <v>7.18</v>
      </c>
      <c r="I206" s="846"/>
      <c r="J206" s="846"/>
      <c r="K206" s="846"/>
      <c r="L206" s="846"/>
      <c r="M206" s="846"/>
      <c r="N206" s="846"/>
      <c r="O206" s="846"/>
      <c r="P206" s="846"/>
      <c r="Q206" s="846"/>
      <c r="R206" s="846"/>
      <c r="S206" s="846"/>
      <c r="T206" s="846"/>
    </row>
    <row r="207" spans="2:20" ht="51" hidden="1">
      <c r="B207" s="828" t="s">
        <v>6607</v>
      </c>
      <c r="C207" s="828">
        <v>97137</v>
      </c>
      <c r="D207" s="630" t="s">
        <v>2777</v>
      </c>
      <c r="E207" s="630" t="s">
        <v>648</v>
      </c>
      <c r="F207" s="829">
        <v>4.38</v>
      </c>
      <c r="G207" s="830">
        <v>4.17</v>
      </c>
      <c r="H207" s="831">
        <v>8.5500000000000007</v>
      </c>
      <c r="I207" s="846"/>
      <c r="J207" s="846"/>
      <c r="K207" s="846"/>
      <c r="L207" s="846"/>
      <c r="M207" s="846"/>
      <c r="N207" s="846"/>
      <c r="O207" s="846"/>
      <c r="P207" s="846"/>
      <c r="Q207" s="846"/>
      <c r="R207" s="846"/>
      <c r="S207" s="846"/>
      <c r="T207" s="846"/>
    </row>
    <row r="208" spans="2:20" ht="51" hidden="1">
      <c r="B208" s="828" t="s">
        <v>6607</v>
      </c>
      <c r="C208" s="828">
        <v>97138</v>
      </c>
      <c r="D208" s="630" t="s">
        <v>2778</v>
      </c>
      <c r="E208" s="630" t="s">
        <v>648</v>
      </c>
      <c r="F208" s="829">
        <v>5.08</v>
      </c>
      <c r="G208" s="830">
        <v>4.8099999999999996</v>
      </c>
      <c r="H208" s="831">
        <v>9.89</v>
      </c>
      <c r="I208" s="846"/>
      <c r="J208" s="846"/>
      <c r="K208" s="846"/>
      <c r="L208" s="846"/>
      <c r="M208" s="846"/>
      <c r="N208" s="846"/>
      <c r="O208" s="846"/>
      <c r="P208" s="846"/>
      <c r="Q208" s="846"/>
      <c r="R208" s="846"/>
      <c r="S208" s="846"/>
      <c r="T208" s="846"/>
    </row>
    <row r="209" spans="2:20" ht="51" hidden="1">
      <c r="B209" s="828" t="s">
        <v>6607</v>
      </c>
      <c r="C209" s="828">
        <v>97139</v>
      </c>
      <c r="D209" s="630" t="s">
        <v>2779</v>
      </c>
      <c r="E209" s="630" t="s">
        <v>648</v>
      </c>
      <c r="F209" s="829">
        <v>5.76</v>
      </c>
      <c r="G209" s="830">
        <v>5.46</v>
      </c>
      <c r="H209" s="831">
        <v>11.22</v>
      </c>
      <c r="I209" s="846"/>
      <c r="J209" s="846"/>
      <c r="K209" s="846"/>
      <c r="L209" s="846"/>
      <c r="M209" s="846"/>
      <c r="N209" s="846"/>
      <c r="O209" s="846"/>
      <c r="P209" s="846"/>
      <c r="Q209" s="846"/>
      <c r="R209" s="846"/>
      <c r="S209" s="846"/>
      <c r="T209" s="846"/>
    </row>
    <row r="210" spans="2:20" ht="51" hidden="1">
      <c r="B210" s="828" t="s">
        <v>6607</v>
      </c>
      <c r="C210" s="828">
        <v>97140</v>
      </c>
      <c r="D210" s="630" t="s">
        <v>2780</v>
      </c>
      <c r="E210" s="630" t="s">
        <v>648</v>
      </c>
      <c r="F210" s="829">
        <v>7.1400000000000006</v>
      </c>
      <c r="G210" s="830">
        <v>6.78</v>
      </c>
      <c r="H210" s="831">
        <v>13.92</v>
      </c>
      <c r="I210" s="846"/>
      <c r="J210" s="846"/>
      <c r="K210" s="846"/>
      <c r="L210" s="846"/>
      <c r="M210" s="846"/>
      <c r="N210" s="846"/>
      <c r="O210" s="846"/>
      <c r="P210" s="846"/>
      <c r="Q210" s="846"/>
      <c r="R210" s="846"/>
      <c r="S210" s="846"/>
      <c r="T210" s="846"/>
    </row>
    <row r="211" spans="2:20" ht="25.5" hidden="1">
      <c r="B211" s="828" t="s">
        <v>6608</v>
      </c>
      <c r="C211" s="828">
        <v>103089</v>
      </c>
      <c r="D211" s="630" t="s">
        <v>6424</v>
      </c>
      <c r="E211" s="630" t="s">
        <v>648</v>
      </c>
      <c r="F211" s="829">
        <v>7</v>
      </c>
      <c r="G211" s="830">
        <v>4.97</v>
      </c>
      <c r="H211" s="831">
        <v>11.97</v>
      </c>
      <c r="I211" s="846"/>
      <c r="J211" s="846"/>
      <c r="K211" s="846"/>
      <c r="L211" s="846"/>
      <c r="M211" s="846"/>
      <c r="N211" s="846"/>
      <c r="O211" s="846"/>
      <c r="P211" s="846"/>
      <c r="Q211" s="846"/>
      <c r="R211" s="846"/>
      <c r="S211" s="846"/>
      <c r="T211" s="846"/>
    </row>
    <row r="212" spans="2:20" ht="25.5" hidden="1">
      <c r="B212" s="828" t="s">
        <v>6608</v>
      </c>
      <c r="C212" s="828">
        <v>103090</v>
      </c>
      <c r="D212" s="630" t="s">
        <v>6425</v>
      </c>
      <c r="E212" s="630" t="s">
        <v>648</v>
      </c>
      <c r="F212" s="829">
        <v>8.27</v>
      </c>
      <c r="G212" s="830">
        <v>6.03</v>
      </c>
      <c r="H212" s="831">
        <v>14.3</v>
      </c>
      <c r="I212" s="846"/>
      <c r="J212" s="846"/>
      <c r="K212" s="846"/>
      <c r="L212" s="846"/>
      <c r="M212" s="846"/>
      <c r="N212" s="846"/>
      <c r="O212" s="846"/>
      <c r="P212" s="846"/>
      <c r="Q212" s="846"/>
      <c r="R212" s="846"/>
      <c r="S212" s="846"/>
      <c r="T212" s="846"/>
    </row>
    <row r="213" spans="2:20" ht="25.5" hidden="1">
      <c r="B213" s="828" t="s">
        <v>6608</v>
      </c>
      <c r="C213" s="828">
        <v>103091</v>
      </c>
      <c r="D213" s="630" t="s">
        <v>6426</v>
      </c>
      <c r="E213" s="630" t="s">
        <v>648</v>
      </c>
      <c r="F213" s="829">
        <v>11.49</v>
      </c>
      <c r="G213" s="830">
        <v>8.67</v>
      </c>
      <c r="H213" s="831">
        <v>20.16</v>
      </c>
      <c r="I213" s="846"/>
      <c r="J213" s="846"/>
      <c r="K213" s="846"/>
      <c r="L213" s="846"/>
      <c r="M213" s="846"/>
      <c r="N213" s="846"/>
      <c r="O213" s="846"/>
      <c r="P213" s="846"/>
      <c r="Q213" s="846"/>
      <c r="R213" s="846"/>
      <c r="S213" s="846"/>
      <c r="T213" s="846"/>
    </row>
    <row r="214" spans="2:20" ht="25.5" hidden="1">
      <c r="B214" s="828" t="s">
        <v>6608</v>
      </c>
      <c r="C214" s="828">
        <v>103092</v>
      </c>
      <c r="D214" s="630" t="s">
        <v>6427</v>
      </c>
      <c r="E214" s="630" t="s">
        <v>648</v>
      </c>
      <c r="F214" s="829">
        <v>14.68</v>
      </c>
      <c r="G214" s="830">
        <v>11.33</v>
      </c>
      <c r="H214" s="831">
        <v>26.01</v>
      </c>
      <c r="I214" s="846"/>
      <c r="J214" s="846"/>
      <c r="K214" s="846"/>
      <c r="L214" s="846"/>
      <c r="M214" s="846"/>
      <c r="N214" s="846"/>
      <c r="O214" s="846"/>
      <c r="P214" s="846"/>
      <c r="Q214" s="846"/>
      <c r="R214" s="846"/>
      <c r="S214" s="846"/>
      <c r="T214" s="846"/>
    </row>
    <row r="215" spans="2:20" ht="25.5" hidden="1">
      <c r="B215" s="828" t="s">
        <v>6608</v>
      </c>
      <c r="C215" s="828">
        <v>103093</v>
      </c>
      <c r="D215" s="630" t="s">
        <v>6428</v>
      </c>
      <c r="E215" s="630" t="s">
        <v>648</v>
      </c>
      <c r="F215" s="829">
        <v>22.44</v>
      </c>
      <c r="G215" s="830">
        <v>17.34</v>
      </c>
      <c r="H215" s="831">
        <v>39.78</v>
      </c>
      <c r="I215" s="846"/>
      <c r="J215" s="846"/>
      <c r="K215" s="846"/>
      <c r="L215" s="846"/>
      <c r="M215" s="846"/>
      <c r="N215" s="846"/>
      <c r="O215" s="846"/>
      <c r="P215" s="846"/>
      <c r="Q215" s="846"/>
      <c r="R215" s="846"/>
      <c r="S215" s="846"/>
      <c r="T215" s="846"/>
    </row>
    <row r="216" spans="2:20" ht="25.5" hidden="1">
      <c r="B216" s="828" t="s">
        <v>6608</v>
      </c>
      <c r="C216" s="828">
        <v>103094</v>
      </c>
      <c r="D216" s="630" t="s">
        <v>6429</v>
      </c>
      <c r="E216" s="630" t="s">
        <v>648</v>
      </c>
      <c r="F216" s="829">
        <v>25.700000000000003</v>
      </c>
      <c r="G216" s="830">
        <v>19.97</v>
      </c>
      <c r="H216" s="831">
        <v>45.67</v>
      </c>
      <c r="I216" s="846"/>
      <c r="J216" s="846"/>
      <c r="K216" s="846"/>
      <c r="L216" s="846"/>
      <c r="M216" s="846"/>
      <c r="N216" s="846"/>
      <c r="O216" s="846"/>
      <c r="P216" s="846"/>
      <c r="Q216" s="846"/>
      <c r="R216" s="846"/>
      <c r="S216" s="846"/>
      <c r="T216" s="846"/>
    </row>
    <row r="217" spans="2:20" ht="25.5" hidden="1">
      <c r="B217" s="828" t="s">
        <v>6608</v>
      </c>
      <c r="C217" s="828">
        <v>103095</v>
      </c>
      <c r="D217" s="630" t="s">
        <v>6430</v>
      </c>
      <c r="E217" s="630" t="s">
        <v>648</v>
      </c>
      <c r="F217" s="829">
        <v>33.450000000000003</v>
      </c>
      <c r="G217" s="830">
        <v>25.96</v>
      </c>
      <c r="H217" s="831">
        <v>59.41</v>
      </c>
      <c r="I217" s="846"/>
      <c r="J217" s="846"/>
      <c r="K217" s="846"/>
      <c r="L217" s="846"/>
      <c r="M217" s="846"/>
      <c r="N217" s="846"/>
      <c r="O217" s="846"/>
      <c r="P217" s="846"/>
      <c r="Q217" s="846"/>
      <c r="R217" s="846"/>
      <c r="S217" s="846"/>
      <c r="T217" s="846"/>
    </row>
    <row r="218" spans="2:20" ht="25.5" hidden="1">
      <c r="B218" s="828" t="s">
        <v>6608</v>
      </c>
      <c r="C218" s="828">
        <v>103096</v>
      </c>
      <c r="D218" s="630" t="s">
        <v>6431</v>
      </c>
      <c r="E218" s="630" t="s">
        <v>648</v>
      </c>
      <c r="F218" s="829">
        <v>36.69</v>
      </c>
      <c r="G218" s="830">
        <v>28.61</v>
      </c>
      <c r="H218" s="831">
        <v>65.3</v>
      </c>
      <c r="I218" s="846"/>
      <c r="J218" s="846"/>
      <c r="K218" s="846"/>
      <c r="L218" s="846"/>
      <c r="M218" s="846"/>
      <c r="N218" s="846"/>
      <c r="O218" s="846"/>
      <c r="P218" s="846"/>
      <c r="Q218" s="846"/>
      <c r="R218" s="846"/>
      <c r="S218" s="846"/>
      <c r="T218" s="846"/>
    </row>
    <row r="219" spans="2:20" ht="25.5" hidden="1">
      <c r="B219" s="828" t="s">
        <v>6608</v>
      </c>
      <c r="C219" s="828">
        <v>103097</v>
      </c>
      <c r="D219" s="630" t="s">
        <v>6432</v>
      </c>
      <c r="E219" s="630" t="s">
        <v>648</v>
      </c>
      <c r="F219" s="829">
        <v>44.43</v>
      </c>
      <c r="G219" s="830">
        <v>34.619999999999997</v>
      </c>
      <c r="H219" s="831">
        <v>79.05</v>
      </c>
      <c r="I219" s="846"/>
      <c r="J219" s="846"/>
      <c r="K219" s="846"/>
      <c r="L219" s="846"/>
      <c r="M219" s="846"/>
      <c r="N219" s="846"/>
      <c r="O219" s="846"/>
      <c r="P219" s="846"/>
      <c r="Q219" s="846"/>
      <c r="R219" s="846"/>
      <c r="S219" s="846"/>
      <c r="T219" s="846"/>
    </row>
    <row r="220" spans="2:20" ht="25.5" hidden="1">
      <c r="B220" s="828" t="s">
        <v>6608</v>
      </c>
      <c r="C220" s="828">
        <v>103098</v>
      </c>
      <c r="D220" s="630" t="s">
        <v>6433</v>
      </c>
      <c r="E220" s="630" t="s">
        <v>648</v>
      </c>
      <c r="F220" s="829">
        <v>47.66</v>
      </c>
      <c r="G220" s="830">
        <v>37.270000000000003</v>
      </c>
      <c r="H220" s="831">
        <v>84.93</v>
      </c>
      <c r="I220" s="846"/>
      <c r="J220" s="846"/>
      <c r="K220" s="846"/>
      <c r="L220" s="846"/>
      <c r="M220" s="846"/>
      <c r="N220" s="846"/>
      <c r="O220" s="846"/>
      <c r="P220" s="846"/>
      <c r="Q220" s="846"/>
      <c r="R220" s="846"/>
      <c r="S220" s="846"/>
      <c r="T220" s="846"/>
    </row>
    <row r="221" spans="2:20" ht="25.5" hidden="1">
      <c r="B221" s="828" t="s">
        <v>6608</v>
      </c>
      <c r="C221" s="828">
        <v>103099</v>
      </c>
      <c r="D221" s="630" t="s">
        <v>6434</v>
      </c>
      <c r="E221" s="630" t="s">
        <v>648</v>
      </c>
      <c r="F221" s="829">
        <v>54.089999999999996</v>
      </c>
      <c r="G221" s="830">
        <v>42.55</v>
      </c>
      <c r="H221" s="831">
        <v>96.64</v>
      </c>
      <c r="I221" s="846"/>
      <c r="J221" s="846"/>
      <c r="K221" s="846"/>
      <c r="L221" s="846"/>
      <c r="M221" s="846"/>
      <c r="N221" s="846"/>
      <c r="O221" s="846"/>
      <c r="P221" s="846"/>
      <c r="Q221" s="846"/>
      <c r="R221" s="846"/>
      <c r="S221" s="846"/>
      <c r="T221" s="846"/>
    </row>
    <row r="222" spans="2:20" ht="25.5" hidden="1">
      <c r="B222" s="828" t="s">
        <v>6608</v>
      </c>
      <c r="C222" s="828">
        <v>103100</v>
      </c>
      <c r="D222" s="630" t="s">
        <v>6435</v>
      </c>
      <c r="E222" s="630" t="s">
        <v>648</v>
      </c>
      <c r="F222" s="829">
        <v>57.52</v>
      </c>
      <c r="G222" s="830">
        <v>45.65</v>
      </c>
      <c r="H222" s="831">
        <v>103.17</v>
      </c>
      <c r="I222" s="846"/>
      <c r="J222" s="846"/>
      <c r="K222" s="846"/>
      <c r="L222" s="846"/>
      <c r="M222" s="846"/>
      <c r="N222" s="846"/>
      <c r="O222" s="846"/>
      <c r="P222" s="846"/>
      <c r="Q222" s="846"/>
      <c r="R222" s="846"/>
      <c r="S222" s="846"/>
      <c r="T222" s="846"/>
    </row>
    <row r="223" spans="2:20" ht="25.5" hidden="1">
      <c r="B223" s="828" t="s">
        <v>6608</v>
      </c>
      <c r="C223" s="828">
        <v>103101</v>
      </c>
      <c r="D223" s="630" t="s">
        <v>6436</v>
      </c>
      <c r="E223" s="630" t="s">
        <v>648</v>
      </c>
      <c r="F223" s="829">
        <v>63.26</v>
      </c>
      <c r="G223" s="830">
        <v>50.4</v>
      </c>
      <c r="H223" s="831">
        <v>113.66</v>
      </c>
      <c r="I223" s="846"/>
      <c r="J223" s="846"/>
      <c r="K223" s="846"/>
      <c r="L223" s="846"/>
      <c r="M223" s="846"/>
      <c r="N223" s="846"/>
      <c r="O223" s="846"/>
      <c r="P223" s="846"/>
      <c r="Q223" s="846"/>
      <c r="R223" s="846"/>
      <c r="S223" s="846"/>
      <c r="T223" s="846"/>
    </row>
    <row r="224" spans="2:20" ht="25.5" hidden="1">
      <c r="B224" s="828" t="s">
        <v>6608</v>
      </c>
      <c r="C224" s="828">
        <v>103102</v>
      </c>
      <c r="D224" s="630" t="s">
        <v>6437</v>
      </c>
      <c r="E224" s="630" t="s">
        <v>648</v>
      </c>
      <c r="F224" s="829">
        <v>72.86</v>
      </c>
      <c r="G224" s="830">
        <v>58.04</v>
      </c>
      <c r="H224" s="831">
        <v>130.9</v>
      </c>
      <c r="I224" s="846"/>
      <c r="J224" s="846"/>
      <c r="K224" s="846"/>
      <c r="L224" s="846"/>
      <c r="M224" s="846"/>
      <c r="N224" s="846"/>
      <c r="O224" s="846"/>
      <c r="P224" s="846"/>
      <c r="Q224" s="846"/>
      <c r="R224" s="846"/>
      <c r="S224" s="846"/>
      <c r="T224" s="846"/>
    </row>
    <row r="225" spans="2:20" ht="25.5" hidden="1">
      <c r="B225" s="828" t="s">
        <v>6608</v>
      </c>
      <c r="C225" s="828">
        <v>103103</v>
      </c>
      <c r="D225" s="630" t="s">
        <v>6438</v>
      </c>
      <c r="E225" s="630" t="s">
        <v>648</v>
      </c>
      <c r="F225" s="829">
        <v>78.59</v>
      </c>
      <c r="G225" s="830">
        <v>62.79</v>
      </c>
      <c r="H225" s="831">
        <v>141.38</v>
      </c>
      <c r="I225" s="846"/>
      <c r="J225" s="846"/>
      <c r="K225" s="846"/>
      <c r="L225" s="846"/>
      <c r="M225" s="846"/>
      <c r="N225" s="846"/>
      <c r="O225" s="846"/>
      <c r="P225" s="846"/>
      <c r="Q225" s="846"/>
      <c r="R225" s="846"/>
      <c r="S225" s="846"/>
      <c r="T225" s="846"/>
    </row>
    <row r="226" spans="2:20" ht="25.5" hidden="1">
      <c r="B226" s="828" t="s">
        <v>6608</v>
      </c>
      <c r="C226" s="828">
        <v>103104</v>
      </c>
      <c r="D226" s="630" t="s">
        <v>6439</v>
      </c>
      <c r="E226" s="630" t="s">
        <v>648</v>
      </c>
      <c r="F226" s="829">
        <v>93.89</v>
      </c>
      <c r="G226" s="830">
        <v>75.209999999999994</v>
      </c>
      <c r="H226" s="831">
        <v>169.1</v>
      </c>
      <c r="I226" s="846"/>
      <c r="J226" s="846"/>
      <c r="K226" s="846"/>
      <c r="L226" s="846"/>
      <c r="M226" s="846"/>
      <c r="N226" s="846"/>
      <c r="O226" s="846"/>
      <c r="P226" s="846"/>
      <c r="Q226" s="846"/>
      <c r="R226" s="846"/>
      <c r="S226" s="846"/>
      <c r="T226" s="846"/>
    </row>
    <row r="227" spans="2:20" ht="38.25" hidden="1">
      <c r="B227" s="828" t="s">
        <v>6608</v>
      </c>
      <c r="C227" s="828">
        <v>103105</v>
      </c>
      <c r="D227" s="630" t="s">
        <v>6440</v>
      </c>
      <c r="E227" s="630" t="s">
        <v>646</v>
      </c>
      <c r="F227" s="829">
        <v>33.04</v>
      </c>
      <c r="G227" s="830">
        <v>16.5</v>
      </c>
      <c r="H227" s="831">
        <v>49.54</v>
      </c>
      <c r="I227" s="846"/>
      <c r="J227" s="846"/>
      <c r="K227" s="846"/>
      <c r="L227" s="846"/>
      <c r="M227" s="846"/>
      <c r="N227" s="846"/>
      <c r="O227" s="846"/>
      <c r="P227" s="846"/>
      <c r="Q227" s="846"/>
      <c r="R227" s="846"/>
      <c r="S227" s="846"/>
      <c r="T227" s="846"/>
    </row>
    <row r="228" spans="2:20" ht="38.25" hidden="1">
      <c r="B228" s="828" t="s">
        <v>6608</v>
      </c>
      <c r="C228" s="828">
        <v>103106</v>
      </c>
      <c r="D228" s="630" t="s">
        <v>6441</v>
      </c>
      <c r="E228" s="630" t="s">
        <v>646</v>
      </c>
      <c r="F228" s="829">
        <v>38.67</v>
      </c>
      <c r="G228" s="830">
        <v>20.65</v>
      </c>
      <c r="H228" s="831">
        <v>59.32</v>
      </c>
      <c r="I228" s="846"/>
      <c r="J228" s="846"/>
      <c r="K228" s="846"/>
      <c r="L228" s="846"/>
      <c r="M228" s="846"/>
      <c r="N228" s="846"/>
      <c r="O228" s="846"/>
      <c r="P228" s="846"/>
      <c r="Q228" s="846"/>
      <c r="R228" s="846"/>
      <c r="S228" s="846"/>
      <c r="T228" s="846"/>
    </row>
    <row r="229" spans="2:20" ht="38.25" hidden="1">
      <c r="B229" s="828" t="s">
        <v>6608</v>
      </c>
      <c r="C229" s="828">
        <v>103107</v>
      </c>
      <c r="D229" s="630" t="s">
        <v>6442</v>
      </c>
      <c r="E229" s="630" t="s">
        <v>646</v>
      </c>
      <c r="F229" s="829">
        <v>52.709999999999994</v>
      </c>
      <c r="G229" s="830">
        <v>31</v>
      </c>
      <c r="H229" s="831">
        <v>83.71</v>
      </c>
      <c r="I229" s="846"/>
      <c r="J229" s="846"/>
      <c r="K229" s="846"/>
      <c r="L229" s="846"/>
      <c r="M229" s="846"/>
      <c r="N229" s="846"/>
      <c r="O229" s="846"/>
      <c r="P229" s="846"/>
      <c r="Q229" s="846"/>
      <c r="R229" s="846"/>
      <c r="S229" s="846"/>
      <c r="T229" s="846"/>
    </row>
    <row r="230" spans="2:20" ht="38.25" hidden="1">
      <c r="B230" s="828" t="s">
        <v>6608</v>
      </c>
      <c r="C230" s="828">
        <v>103108</v>
      </c>
      <c r="D230" s="630" t="s">
        <v>6443</v>
      </c>
      <c r="E230" s="630" t="s">
        <v>646</v>
      </c>
      <c r="F230" s="829">
        <v>66.75</v>
      </c>
      <c r="G230" s="830">
        <v>41.36</v>
      </c>
      <c r="H230" s="831">
        <v>108.11</v>
      </c>
      <c r="I230" s="846"/>
      <c r="J230" s="846"/>
      <c r="K230" s="846"/>
      <c r="L230" s="846"/>
      <c r="M230" s="846"/>
      <c r="N230" s="846"/>
      <c r="O230" s="846"/>
      <c r="P230" s="846"/>
      <c r="Q230" s="846"/>
      <c r="R230" s="846"/>
      <c r="S230" s="846"/>
      <c r="T230" s="846"/>
    </row>
    <row r="231" spans="2:20" ht="38.25" hidden="1">
      <c r="B231" s="828" t="s">
        <v>6608</v>
      </c>
      <c r="C231" s="828">
        <v>103109</v>
      </c>
      <c r="D231" s="630" t="s">
        <v>6444</v>
      </c>
      <c r="E231" s="630" t="s">
        <v>646</v>
      </c>
      <c r="F231" s="829">
        <v>107.13</v>
      </c>
      <c r="G231" s="830">
        <v>71.22</v>
      </c>
      <c r="H231" s="831">
        <v>178.35</v>
      </c>
      <c r="I231" s="846"/>
      <c r="J231" s="846"/>
      <c r="K231" s="846"/>
      <c r="L231" s="846"/>
      <c r="M231" s="846"/>
      <c r="N231" s="846"/>
      <c r="O231" s="846"/>
      <c r="P231" s="846"/>
      <c r="Q231" s="846"/>
      <c r="R231" s="846"/>
      <c r="S231" s="846"/>
      <c r="T231" s="846"/>
    </row>
    <row r="232" spans="2:20" ht="38.25" hidden="1">
      <c r="B232" s="828" t="s">
        <v>6608</v>
      </c>
      <c r="C232" s="828">
        <v>103110</v>
      </c>
      <c r="D232" s="630" t="s">
        <v>6445</v>
      </c>
      <c r="E232" s="630" t="s">
        <v>646</v>
      </c>
      <c r="F232" s="829">
        <v>121.19</v>
      </c>
      <c r="G232" s="830">
        <v>81.56</v>
      </c>
      <c r="H232" s="831">
        <v>202.75</v>
      </c>
      <c r="I232" s="846"/>
      <c r="J232" s="846"/>
      <c r="K232" s="846"/>
      <c r="L232" s="846"/>
      <c r="M232" s="846"/>
      <c r="N232" s="846"/>
      <c r="O232" s="846"/>
      <c r="P232" s="846"/>
      <c r="Q232" s="846"/>
      <c r="R232" s="846"/>
      <c r="S232" s="846"/>
      <c r="T232" s="846"/>
    </row>
    <row r="233" spans="2:20" ht="38.25" hidden="1">
      <c r="B233" s="828" t="s">
        <v>6608</v>
      </c>
      <c r="C233" s="828">
        <v>103111</v>
      </c>
      <c r="D233" s="630" t="s">
        <v>6446</v>
      </c>
      <c r="E233" s="630" t="s">
        <v>646</v>
      </c>
      <c r="F233" s="829">
        <v>161.6</v>
      </c>
      <c r="G233" s="830">
        <v>111.38</v>
      </c>
      <c r="H233" s="831">
        <v>272.98</v>
      </c>
      <c r="I233" s="846"/>
      <c r="J233" s="846"/>
      <c r="K233" s="846"/>
      <c r="L233" s="846"/>
      <c r="M233" s="846"/>
      <c r="N233" s="846"/>
      <c r="O233" s="846"/>
      <c r="P233" s="846"/>
      <c r="Q233" s="846"/>
      <c r="R233" s="846"/>
      <c r="S233" s="846"/>
      <c r="T233" s="846"/>
    </row>
    <row r="234" spans="2:20" ht="38.25" hidden="1">
      <c r="B234" s="828" t="s">
        <v>6608</v>
      </c>
      <c r="C234" s="828">
        <v>103112</v>
      </c>
      <c r="D234" s="630" t="s">
        <v>6447</v>
      </c>
      <c r="E234" s="630" t="s">
        <v>646</v>
      </c>
      <c r="F234" s="829">
        <v>175.66</v>
      </c>
      <c r="G234" s="830">
        <v>121.72</v>
      </c>
      <c r="H234" s="831">
        <v>297.38</v>
      </c>
      <c r="I234" s="846"/>
      <c r="J234" s="846"/>
      <c r="K234" s="846"/>
      <c r="L234" s="846"/>
      <c r="M234" s="846"/>
      <c r="N234" s="846"/>
      <c r="O234" s="846"/>
      <c r="P234" s="846"/>
      <c r="Q234" s="846"/>
      <c r="R234" s="846"/>
      <c r="S234" s="846"/>
      <c r="T234" s="846"/>
    </row>
    <row r="235" spans="2:20" ht="38.25" hidden="1">
      <c r="B235" s="828" t="s">
        <v>6608</v>
      </c>
      <c r="C235" s="828">
        <v>103113</v>
      </c>
      <c r="D235" s="630" t="s">
        <v>6448</v>
      </c>
      <c r="E235" s="630" t="s">
        <v>646</v>
      </c>
      <c r="F235" s="829">
        <v>216.05</v>
      </c>
      <c r="G235" s="830">
        <v>151.56</v>
      </c>
      <c r="H235" s="831">
        <v>367.61</v>
      </c>
      <c r="I235" s="846"/>
      <c r="J235" s="846"/>
      <c r="K235" s="846"/>
      <c r="L235" s="846"/>
      <c r="M235" s="846"/>
      <c r="N235" s="846"/>
      <c r="O235" s="846"/>
      <c r="P235" s="846"/>
      <c r="Q235" s="846"/>
      <c r="R235" s="846"/>
      <c r="S235" s="846"/>
      <c r="T235" s="846"/>
    </row>
    <row r="236" spans="2:20" ht="38.25" hidden="1">
      <c r="B236" s="828" t="s">
        <v>6608</v>
      </c>
      <c r="C236" s="828">
        <v>103114</v>
      </c>
      <c r="D236" s="630" t="s">
        <v>6449</v>
      </c>
      <c r="E236" s="630" t="s">
        <v>646</v>
      </c>
      <c r="F236" s="829">
        <v>230.09</v>
      </c>
      <c r="G236" s="830">
        <v>161.93</v>
      </c>
      <c r="H236" s="831">
        <v>392.02</v>
      </c>
      <c r="I236" s="846"/>
      <c r="J236" s="846"/>
      <c r="K236" s="846"/>
      <c r="L236" s="846"/>
      <c r="M236" s="846"/>
      <c r="N236" s="846"/>
      <c r="O236" s="846"/>
      <c r="P236" s="846"/>
      <c r="Q236" s="846"/>
      <c r="R236" s="846"/>
      <c r="S236" s="846"/>
      <c r="T236" s="846"/>
    </row>
    <row r="237" spans="2:20" ht="38.25" hidden="1">
      <c r="B237" s="828" t="s">
        <v>6608</v>
      </c>
      <c r="C237" s="828">
        <v>103115</v>
      </c>
      <c r="D237" s="630" t="s">
        <v>6450</v>
      </c>
      <c r="E237" s="630" t="s">
        <v>646</v>
      </c>
      <c r="F237" s="829">
        <v>258.15999999999997</v>
      </c>
      <c r="G237" s="830">
        <v>182.65</v>
      </c>
      <c r="H237" s="831">
        <v>440.81</v>
      </c>
      <c r="I237" s="846"/>
      <c r="J237" s="846"/>
      <c r="K237" s="846"/>
      <c r="L237" s="846"/>
      <c r="M237" s="846"/>
      <c r="N237" s="846"/>
      <c r="O237" s="846"/>
      <c r="P237" s="846"/>
      <c r="Q237" s="846"/>
      <c r="R237" s="846"/>
      <c r="S237" s="846"/>
      <c r="T237" s="846"/>
    </row>
    <row r="238" spans="2:20" ht="38.25" hidden="1">
      <c r="B238" s="828" t="s">
        <v>6608</v>
      </c>
      <c r="C238" s="828">
        <v>103116</v>
      </c>
      <c r="D238" s="630" t="s">
        <v>6451</v>
      </c>
      <c r="E238" s="630" t="s">
        <v>646</v>
      </c>
      <c r="F238" s="829">
        <v>312.66000000000003</v>
      </c>
      <c r="G238" s="830">
        <v>222.79</v>
      </c>
      <c r="H238" s="831">
        <v>535.45000000000005</v>
      </c>
      <c r="I238" s="846"/>
      <c r="J238" s="846"/>
      <c r="K238" s="846"/>
      <c r="L238" s="846"/>
      <c r="M238" s="846"/>
      <c r="N238" s="846"/>
      <c r="O238" s="846"/>
      <c r="P238" s="846"/>
      <c r="Q238" s="846"/>
      <c r="R238" s="846"/>
      <c r="S238" s="846"/>
      <c r="T238" s="846"/>
    </row>
    <row r="239" spans="2:20" ht="38.25" hidden="1">
      <c r="B239" s="828" t="s">
        <v>6608</v>
      </c>
      <c r="C239" s="828">
        <v>103117</v>
      </c>
      <c r="D239" s="630" t="s">
        <v>6452</v>
      </c>
      <c r="E239" s="630" t="s">
        <v>646</v>
      </c>
      <c r="F239" s="829">
        <v>340.75</v>
      </c>
      <c r="G239" s="830">
        <v>243.52</v>
      </c>
      <c r="H239" s="831">
        <v>584.27</v>
      </c>
      <c r="I239" s="846"/>
      <c r="J239" s="846"/>
      <c r="K239" s="846"/>
      <c r="L239" s="846"/>
      <c r="M239" s="846"/>
      <c r="N239" s="846"/>
      <c r="O239" s="846"/>
      <c r="P239" s="846"/>
      <c r="Q239" s="846"/>
      <c r="R239" s="846"/>
      <c r="S239" s="846"/>
      <c r="T239" s="846"/>
    </row>
    <row r="240" spans="2:20" ht="38.25" hidden="1">
      <c r="B240" s="828" t="s">
        <v>6608</v>
      </c>
      <c r="C240" s="828">
        <v>103118</v>
      </c>
      <c r="D240" s="630" t="s">
        <v>6453</v>
      </c>
      <c r="E240" s="630" t="s">
        <v>646</v>
      </c>
      <c r="F240" s="829">
        <v>395.18000000000006</v>
      </c>
      <c r="G240" s="830">
        <v>283.70999999999998</v>
      </c>
      <c r="H240" s="831">
        <v>678.89</v>
      </c>
      <c r="I240" s="846"/>
      <c r="J240" s="846"/>
      <c r="K240" s="846"/>
      <c r="L240" s="846"/>
      <c r="M240" s="846"/>
      <c r="N240" s="846"/>
      <c r="O240" s="846"/>
      <c r="P240" s="846"/>
      <c r="Q240" s="846"/>
      <c r="R240" s="846"/>
      <c r="S240" s="846"/>
      <c r="T240" s="846"/>
    </row>
    <row r="241" spans="2:20" ht="38.25" hidden="1">
      <c r="B241" s="828" t="s">
        <v>6608</v>
      </c>
      <c r="C241" s="828">
        <v>103119</v>
      </c>
      <c r="D241" s="630" t="s">
        <v>6454</v>
      </c>
      <c r="E241" s="630" t="s">
        <v>646</v>
      </c>
      <c r="F241" s="829">
        <v>423.28000000000003</v>
      </c>
      <c r="G241" s="830">
        <v>304.39999999999998</v>
      </c>
      <c r="H241" s="831">
        <v>727.68</v>
      </c>
      <c r="I241" s="846"/>
      <c r="J241" s="846"/>
      <c r="K241" s="846"/>
      <c r="L241" s="846"/>
      <c r="M241" s="846"/>
      <c r="N241" s="846"/>
      <c r="O241" s="846"/>
      <c r="P241" s="846"/>
      <c r="Q241" s="846"/>
      <c r="R241" s="846"/>
      <c r="S241" s="846"/>
      <c r="T241" s="846"/>
    </row>
    <row r="242" spans="2:20" ht="38.25" hidden="1">
      <c r="B242" s="828" t="s">
        <v>6608</v>
      </c>
      <c r="C242" s="828">
        <v>103120</v>
      </c>
      <c r="D242" s="630" t="s">
        <v>6455</v>
      </c>
      <c r="E242" s="630" t="s">
        <v>646</v>
      </c>
      <c r="F242" s="829">
        <v>505.81999999999994</v>
      </c>
      <c r="G242" s="830">
        <v>365.3</v>
      </c>
      <c r="H242" s="831">
        <v>871.12</v>
      </c>
      <c r="I242" s="846"/>
      <c r="J242" s="846"/>
      <c r="K242" s="846"/>
      <c r="L242" s="846"/>
      <c r="M242" s="846"/>
      <c r="N242" s="846"/>
      <c r="O242" s="846"/>
      <c r="P242" s="846"/>
      <c r="Q242" s="846"/>
      <c r="R242" s="846"/>
      <c r="S242" s="846"/>
      <c r="T242" s="846"/>
    </row>
    <row r="243" spans="2:20" ht="38.25" hidden="1">
      <c r="B243" s="828" t="s">
        <v>6608</v>
      </c>
      <c r="C243" s="828">
        <v>103121</v>
      </c>
      <c r="D243" s="630" t="s">
        <v>6456</v>
      </c>
      <c r="E243" s="630" t="s">
        <v>646</v>
      </c>
      <c r="F243" s="829">
        <v>42.14</v>
      </c>
      <c r="G243" s="830">
        <v>23.21</v>
      </c>
      <c r="H243" s="831">
        <v>65.349999999999994</v>
      </c>
      <c r="I243" s="846"/>
      <c r="J243" s="846"/>
      <c r="K243" s="846"/>
      <c r="L243" s="846"/>
      <c r="M243" s="846"/>
      <c r="N243" s="846"/>
      <c r="O243" s="846"/>
      <c r="P243" s="846"/>
      <c r="Q243" s="846"/>
      <c r="R243" s="846"/>
      <c r="S243" s="846"/>
      <c r="T243" s="846"/>
    </row>
    <row r="244" spans="2:20" ht="38.25" hidden="1">
      <c r="B244" s="828" t="s">
        <v>6608</v>
      </c>
      <c r="C244" s="828">
        <v>103122</v>
      </c>
      <c r="D244" s="630" t="s">
        <v>6457</v>
      </c>
      <c r="E244" s="630" t="s">
        <v>646</v>
      </c>
      <c r="F244" s="829">
        <v>50.58</v>
      </c>
      <c r="G244" s="830">
        <v>29.4</v>
      </c>
      <c r="H244" s="831">
        <v>79.98</v>
      </c>
      <c r="I244" s="846"/>
      <c r="J244" s="846"/>
      <c r="K244" s="846"/>
      <c r="L244" s="846"/>
      <c r="M244" s="846"/>
      <c r="N244" s="846"/>
      <c r="O244" s="846"/>
      <c r="P244" s="846"/>
      <c r="Q244" s="846"/>
      <c r="R244" s="846"/>
      <c r="S244" s="846"/>
      <c r="T244" s="846"/>
    </row>
    <row r="245" spans="2:20" ht="38.25" hidden="1">
      <c r="B245" s="828" t="s">
        <v>6608</v>
      </c>
      <c r="C245" s="828">
        <v>103123</v>
      </c>
      <c r="D245" s="630" t="s">
        <v>6458</v>
      </c>
      <c r="E245" s="630" t="s">
        <v>646</v>
      </c>
      <c r="F245" s="829">
        <v>71.63</v>
      </c>
      <c r="G245" s="830">
        <v>44.96</v>
      </c>
      <c r="H245" s="831">
        <v>116.59</v>
      </c>
      <c r="I245" s="846"/>
      <c r="J245" s="846"/>
      <c r="K245" s="846"/>
      <c r="L245" s="846"/>
      <c r="M245" s="846"/>
      <c r="N245" s="846"/>
      <c r="O245" s="846"/>
      <c r="P245" s="846"/>
      <c r="Q245" s="846"/>
      <c r="R245" s="846"/>
      <c r="S245" s="846"/>
      <c r="T245" s="846"/>
    </row>
    <row r="246" spans="2:20" ht="38.25" hidden="1">
      <c r="B246" s="828" t="s">
        <v>6608</v>
      </c>
      <c r="C246" s="828">
        <v>103124</v>
      </c>
      <c r="D246" s="630" t="s">
        <v>6459</v>
      </c>
      <c r="E246" s="630" t="s">
        <v>646</v>
      </c>
      <c r="F246" s="829">
        <v>92.67</v>
      </c>
      <c r="G246" s="830">
        <v>60.5</v>
      </c>
      <c r="H246" s="831">
        <v>153.16999999999999</v>
      </c>
      <c r="I246" s="846"/>
      <c r="J246" s="846"/>
      <c r="K246" s="846"/>
      <c r="L246" s="846"/>
      <c r="M246" s="846"/>
      <c r="N246" s="846"/>
      <c r="O246" s="846"/>
      <c r="P246" s="846"/>
      <c r="Q246" s="846"/>
      <c r="R246" s="846"/>
      <c r="S246" s="846"/>
      <c r="T246" s="846"/>
    </row>
    <row r="247" spans="2:20" ht="38.25" hidden="1">
      <c r="B247" s="828" t="s">
        <v>6608</v>
      </c>
      <c r="C247" s="828">
        <v>103125</v>
      </c>
      <c r="D247" s="630" t="s">
        <v>6460</v>
      </c>
      <c r="E247" s="630" t="s">
        <v>646</v>
      </c>
      <c r="F247" s="829">
        <v>153.31</v>
      </c>
      <c r="G247" s="830">
        <v>105.25</v>
      </c>
      <c r="H247" s="831">
        <v>258.56</v>
      </c>
      <c r="I247" s="846"/>
      <c r="J247" s="846"/>
      <c r="K247" s="846"/>
      <c r="L247" s="846"/>
      <c r="M247" s="846"/>
      <c r="N247" s="846"/>
      <c r="O247" s="846"/>
      <c r="P247" s="846"/>
      <c r="Q247" s="846"/>
      <c r="R247" s="846"/>
      <c r="S247" s="846"/>
      <c r="T247" s="846"/>
    </row>
    <row r="248" spans="2:20" ht="38.25" hidden="1">
      <c r="B248" s="828" t="s">
        <v>6608</v>
      </c>
      <c r="C248" s="828">
        <v>103126</v>
      </c>
      <c r="D248" s="630" t="s">
        <v>6461</v>
      </c>
      <c r="E248" s="630" t="s">
        <v>646</v>
      </c>
      <c r="F248" s="829">
        <v>174.36</v>
      </c>
      <c r="G248" s="830">
        <v>120.78</v>
      </c>
      <c r="H248" s="831">
        <v>295.14</v>
      </c>
      <c r="I248" s="846"/>
      <c r="J248" s="846"/>
      <c r="K248" s="846"/>
      <c r="L248" s="846"/>
      <c r="M248" s="846"/>
      <c r="N248" s="846"/>
      <c r="O248" s="846"/>
      <c r="P248" s="846"/>
      <c r="Q248" s="846"/>
      <c r="R248" s="846"/>
      <c r="S248" s="846"/>
      <c r="T248" s="846"/>
    </row>
    <row r="249" spans="2:20" ht="38.25" hidden="1">
      <c r="B249" s="828" t="s">
        <v>6608</v>
      </c>
      <c r="C249" s="828">
        <v>103127</v>
      </c>
      <c r="D249" s="630" t="s">
        <v>6462</v>
      </c>
      <c r="E249" s="630" t="s">
        <v>646</v>
      </c>
      <c r="F249" s="829">
        <v>235.01</v>
      </c>
      <c r="G249" s="830">
        <v>165.51</v>
      </c>
      <c r="H249" s="831">
        <v>400.52</v>
      </c>
      <c r="I249" s="846"/>
      <c r="J249" s="846"/>
      <c r="K249" s="846"/>
      <c r="L249" s="846"/>
      <c r="M249" s="846"/>
      <c r="N249" s="846"/>
      <c r="O249" s="846"/>
      <c r="P249" s="846"/>
      <c r="Q249" s="846"/>
      <c r="R249" s="846"/>
      <c r="S249" s="846"/>
      <c r="T249" s="846"/>
    </row>
    <row r="250" spans="2:20" ht="38.25" hidden="1">
      <c r="B250" s="828" t="s">
        <v>6608</v>
      </c>
      <c r="C250" s="828">
        <v>103128</v>
      </c>
      <c r="D250" s="630" t="s">
        <v>6463</v>
      </c>
      <c r="E250" s="630" t="s">
        <v>646</v>
      </c>
      <c r="F250" s="829">
        <v>256.03999999999996</v>
      </c>
      <c r="G250" s="830">
        <v>181.07</v>
      </c>
      <c r="H250" s="831">
        <v>437.11</v>
      </c>
      <c r="I250" s="846"/>
      <c r="J250" s="846"/>
      <c r="K250" s="846"/>
      <c r="L250" s="846"/>
      <c r="M250" s="846"/>
      <c r="N250" s="846"/>
      <c r="O250" s="846"/>
      <c r="P250" s="846"/>
      <c r="Q250" s="846"/>
      <c r="R250" s="846"/>
      <c r="S250" s="846"/>
      <c r="T250" s="846"/>
    </row>
    <row r="251" spans="2:20" ht="38.25" hidden="1">
      <c r="B251" s="828" t="s">
        <v>6608</v>
      </c>
      <c r="C251" s="828">
        <v>103129</v>
      </c>
      <c r="D251" s="630" t="s">
        <v>6464</v>
      </c>
      <c r="E251" s="630" t="s">
        <v>646</v>
      </c>
      <c r="F251" s="829">
        <v>316.68</v>
      </c>
      <c r="G251" s="830">
        <v>225.79</v>
      </c>
      <c r="H251" s="831">
        <v>542.47</v>
      </c>
      <c r="I251" s="846"/>
      <c r="J251" s="846"/>
      <c r="K251" s="846"/>
      <c r="L251" s="846"/>
      <c r="M251" s="846"/>
      <c r="N251" s="846"/>
      <c r="O251" s="846"/>
      <c r="P251" s="846"/>
      <c r="Q251" s="846"/>
      <c r="R251" s="846"/>
      <c r="S251" s="846"/>
      <c r="T251" s="846"/>
    </row>
    <row r="252" spans="2:20" ht="38.25" hidden="1">
      <c r="B252" s="828" t="s">
        <v>6608</v>
      </c>
      <c r="C252" s="828">
        <v>103130</v>
      </c>
      <c r="D252" s="630" t="s">
        <v>6465</v>
      </c>
      <c r="E252" s="630" t="s">
        <v>646</v>
      </c>
      <c r="F252" s="829">
        <v>337.74</v>
      </c>
      <c r="G252" s="830">
        <v>241.32</v>
      </c>
      <c r="H252" s="831">
        <v>579.05999999999995</v>
      </c>
      <c r="I252" s="846"/>
      <c r="J252" s="846"/>
      <c r="K252" s="846"/>
      <c r="L252" s="846"/>
      <c r="M252" s="846"/>
      <c r="N252" s="846"/>
      <c r="O252" s="846"/>
      <c r="P252" s="846"/>
      <c r="Q252" s="846"/>
      <c r="R252" s="846"/>
      <c r="S252" s="846"/>
      <c r="T252" s="846"/>
    </row>
    <row r="253" spans="2:20" ht="38.25" hidden="1">
      <c r="B253" s="828" t="s">
        <v>6608</v>
      </c>
      <c r="C253" s="828">
        <v>103131</v>
      </c>
      <c r="D253" s="630" t="s">
        <v>6466</v>
      </c>
      <c r="E253" s="630" t="s">
        <v>646</v>
      </c>
      <c r="F253" s="829">
        <v>379.86</v>
      </c>
      <c r="G253" s="830">
        <v>272.39</v>
      </c>
      <c r="H253" s="831">
        <v>652.25</v>
      </c>
      <c r="I253" s="846"/>
      <c r="J253" s="846"/>
      <c r="K253" s="846"/>
      <c r="L253" s="846"/>
      <c r="M253" s="846"/>
      <c r="N253" s="846"/>
      <c r="O253" s="846"/>
      <c r="P253" s="846"/>
      <c r="Q253" s="846"/>
      <c r="R253" s="846"/>
      <c r="S253" s="846"/>
      <c r="T253" s="846"/>
    </row>
    <row r="254" spans="2:20" ht="38.25" hidden="1">
      <c r="B254" s="833" t="s">
        <v>6608</v>
      </c>
      <c r="C254" s="828">
        <v>103132</v>
      </c>
      <c r="D254" s="630" t="s">
        <v>6467</v>
      </c>
      <c r="E254" s="630" t="s">
        <v>646</v>
      </c>
      <c r="F254" s="829">
        <v>461.55</v>
      </c>
      <c r="G254" s="830">
        <v>332.65</v>
      </c>
      <c r="H254" s="831">
        <v>794.2</v>
      </c>
      <c r="I254" s="846"/>
      <c r="J254" s="846"/>
      <c r="K254" s="846"/>
      <c r="L254" s="846"/>
      <c r="M254" s="846"/>
      <c r="N254" s="846"/>
      <c r="O254" s="846"/>
      <c r="P254" s="846"/>
      <c r="Q254" s="846"/>
      <c r="R254" s="846"/>
      <c r="S254" s="846"/>
      <c r="T254" s="846"/>
    </row>
    <row r="255" spans="2:20" ht="38.25" hidden="1">
      <c r="B255" s="833" t="s">
        <v>6608</v>
      </c>
      <c r="C255" s="828">
        <v>103133</v>
      </c>
      <c r="D255" s="630" t="s">
        <v>6468</v>
      </c>
      <c r="E255" s="630" t="s">
        <v>646</v>
      </c>
      <c r="F255" s="829">
        <v>503.69</v>
      </c>
      <c r="G255" s="830">
        <v>363.71</v>
      </c>
      <c r="H255" s="831">
        <v>867.4</v>
      </c>
      <c r="I255" s="846"/>
      <c r="J255" s="846"/>
      <c r="K255" s="846"/>
      <c r="L255" s="846"/>
      <c r="M255" s="846"/>
      <c r="N255" s="846"/>
      <c r="O255" s="846"/>
      <c r="P255" s="846"/>
      <c r="Q255" s="846"/>
      <c r="R255" s="846"/>
      <c r="S255" s="846"/>
      <c r="T255" s="846"/>
    </row>
    <row r="256" spans="2:20" ht="38.25" hidden="1">
      <c r="B256" s="833" t="s">
        <v>6608</v>
      </c>
      <c r="C256" s="828">
        <v>103134</v>
      </c>
      <c r="D256" s="630" t="s">
        <v>6469</v>
      </c>
      <c r="E256" s="630" t="s">
        <v>646</v>
      </c>
      <c r="F256" s="829">
        <v>585.35</v>
      </c>
      <c r="G256" s="830">
        <v>424.01</v>
      </c>
      <c r="H256" s="831">
        <v>1009.36</v>
      </c>
      <c r="I256" s="846"/>
      <c r="J256" s="846"/>
      <c r="K256" s="846"/>
      <c r="L256" s="846"/>
      <c r="M256" s="846"/>
      <c r="N256" s="846"/>
      <c r="O256" s="846"/>
      <c r="P256" s="846"/>
      <c r="Q256" s="846"/>
      <c r="R256" s="846"/>
      <c r="S256" s="846"/>
      <c r="T256" s="846"/>
    </row>
    <row r="257" spans="2:20" ht="38.25" hidden="1">
      <c r="B257" s="833" t="s">
        <v>6608</v>
      </c>
      <c r="C257" s="828">
        <v>103135</v>
      </c>
      <c r="D257" s="630" t="s">
        <v>6470</v>
      </c>
      <c r="E257" s="630" t="s">
        <v>646</v>
      </c>
      <c r="F257" s="829">
        <v>627.49</v>
      </c>
      <c r="G257" s="830">
        <v>455.05</v>
      </c>
      <c r="H257" s="831">
        <v>1082.54</v>
      </c>
      <c r="I257" s="846"/>
      <c r="J257" s="846"/>
      <c r="K257" s="846"/>
      <c r="L257" s="846"/>
      <c r="M257" s="846"/>
      <c r="N257" s="846"/>
      <c r="O257" s="846"/>
      <c r="P257" s="846"/>
      <c r="Q257" s="846"/>
      <c r="R257" s="846"/>
      <c r="S257" s="846"/>
      <c r="T257" s="846"/>
    </row>
    <row r="258" spans="2:20" ht="38.25" hidden="1">
      <c r="B258" s="833" t="s">
        <v>6608</v>
      </c>
      <c r="C258" s="828">
        <v>103136</v>
      </c>
      <c r="D258" s="630" t="s">
        <v>6471</v>
      </c>
      <c r="E258" s="630" t="s">
        <v>646</v>
      </c>
      <c r="F258" s="829">
        <v>751.31999999999994</v>
      </c>
      <c r="G258" s="830">
        <v>546.38</v>
      </c>
      <c r="H258" s="832">
        <v>1297.7</v>
      </c>
      <c r="I258" s="846"/>
      <c r="J258" s="846"/>
      <c r="K258" s="846"/>
      <c r="L258" s="846"/>
      <c r="M258" s="846"/>
      <c r="N258" s="846"/>
      <c r="O258" s="846"/>
      <c r="P258" s="846"/>
      <c r="Q258" s="846"/>
      <c r="R258" s="846"/>
      <c r="S258" s="846"/>
      <c r="T258" s="846"/>
    </row>
    <row r="259" spans="2:20" ht="38.25" hidden="1">
      <c r="B259" s="833" t="s">
        <v>6608</v>
      </c>
      <c r="C259" s="828">
        <v>103137</v>
      </c>
      <c r="D259" s="630" t="s">
        <v>6472</v>
      </c>
      <c r="E259" s="630" t="s">
        <v>646</v>
      </c>
      <c r="F259" s="829">
        <v>24</v>
      </c>
      <c r="G259" s="830">
        <v>9.77</v>
      </c>
      <c r="H259" s="831">
        <v>33.770000000000003</v>
      </c>
      <c r="I259" s="846"/>
      <c r="J259" s="846"/>
      <c r="K259" s="846"/>
      <c r="L259" s="846"/>
      <c r="M259" s="846"/>
      <c r="N259" s="846"/>
      <c r="O259" s="846"/>
      <c r="P259" s="846"/>
      <c r="Q259" s="846"/>
      <c r="R259" s="846"/>
      <c r="S259" s="846"/>
      <c r="T259" s="846"/>
    </row>
    <row r="260" spans="2:20" ht="38.25" hidden="1">
      <c r="B260" s="833" t="s">
        <v>6608</v>
      </c>
      <c r="C260" s="828">
        <v>103138</v>
      </c>
      <c r="D260" s="630" t="s">
        <v>6473</v>
      </c>
      <c r="E260" s="630" t="s">
        <v>646</v>
      </c>
      <c r="F260" s="829">
        <v>26.79</v>
      </c>
      <c r="G260" s="830">
        <v>11.86</v>
      </c>
      <c r="H260" s="831">
        <v>38.65</v>
      </c>
      <c r="I260" s="846"/>
      <c r="J260" s="846"/>
      <c r="K260" s="846"/>
      <c r="L260" s="846"/>
      <c r="M260" s="846"/>
      <c r="N260" s="846"/>
      <c r="O260" s="846"/>
      <c r="P260" s="846"/>
      <c r="Q260" s="846"/>
      <c r="R260" s="846"/>
      <c r="S260" s="846"/>
      <c r="T260" s="846"/>
    </row>
    <row r="261" spans="2:20" ht="38.25" hidden="1">
      <c r="B261" s="833" t="s">
        <v>6608</v>
      </c>
      <c r="C261" s="828">
        <v>103139</v>
      </c>
      <c r="D261" s="630" t="s">
        <v>6474</v>
      </c>
      <c r="E261" s="630" t="s">
        <v>646</v>
      </c>
      <c r="F261" s="829">
        <v>33.81</v>
      </c>
      <c r="G261" s="830">
        <v>17.05</v>
      </c>
      <c r="H261" s="831">
        <v>50.86</v>
      </c>
      <c r="I261" s="846"/>
      <c r="J261" s="846"/>
      <c r="K261" s="846"/>
      <c r="L261" s="846"/>
      <c r="M261" s="846"/>
      <c r="N261" s="846"/>
      <c r="O261" s="846"/>
      <c r="P261" s="846"/>
      <c r="Q261" s="846"/>
      <c r="R261" s="846"/>
      <c r="S261" s="846"/>
      <c r="T261" s="846"/>
    </row>
    <row r="262" spans="2:20" ht="38.25" hidden="1">
      <c r="B262" s="833" t="s">
        <v>6608</v>
      </c>
      <c r="C262" s="828">
        <v>103140</v>
      </c>
      <c r="D262" s="630" t="s">
        <v>6475</v>
      </c>
      <c r="E262" s="630" t="s">
        <v>646</v>
      </c>
      <c r="F262" s="829">
        <v>40.799999999999997</v>
      </c>
      <c r="G262" s="830">
        <v>22.23</v>
      </c>
      <c r="H262" s="831">
        <v>63.03</v>
      </c>
      <c r="I262" s="846"/>
      <c r="J262" s="846"/>
      <c r="K262" s="846"/>
      <c r="L262" s="846"/>
      <c r="M262" s="846"/>
      <c r="N262" s="846"/>
      <c r="O262" s="846"/>
      <c r="P262" s="846"/>
      <c r="Q262" s="846"/>
      <c r="R262" s="846"/>
      <c r="S262" s="846"/>
      <c r="T262" s="846"/>
    </row>
    <row r="263" spans="2:20" ht="38.25" hidden="1">
      <c r="B263" s="833" t="s">
        <v>6608</v>
      </c>
      <c r="C263" s="828">
        <v>103141</v>
      </c>
      <c r="D263" s="630" t="s">
        <v>6476</v>
      </c>
      <c r="E263" s="630" t="s">
        <v>646</v>
      </c>
      <c r="F263" s="829">
        <v>61.02</v>
      </c>
      <c r="G263" s="830">
        <v>37.159999999999997</v>
      </c>
      <c r="H263" s="831">
        <v>98.18</v>
      </c>
      <c r="I263" s="846"/>
      <c r="J263" s="846"/>
      <c r="K263" s="846"/>
      <c r="L263" s="846"/>
      <c r="M263" s="846"/>
      <c r="N263" s="846"/>
      <c r="O263" s="846"/>
      <c r="P263" s="846"/>
      <c r="Q263" s="846"/>
      <c r="R263" s="846"/>
      <c r="S263" s="846"/>
      <c r="T263" s="846"/>
    </row>
    <row r="264" spans="2:20" ht="38.25" hidden="1">
      <c r="B264" s="833" t="s">
        <v>6608</v>
      </c>
      <c r="C264" s="828">
        <v>103142</v>
      </c>
      <c r="D264" s="630" t="s">
        <v>6477</v>
      </c>
      <c r="E264" s="630" t="s">
        <v>646</v>
      </c>
      <c r="F264" s="829">
        <v>68.039999999999992</v>
      </c>
      <c r="G264" s="830">
        <v>42.32</v>
      </c>
      <c r="H264" s="831">
        <v>110.36</v>
      </c>
      <c r="I264" s="846"/>
      <c r="J264" s="846"/>
      <c r="K264" s="846"/>
      <c r="L264" s="846"/>
      <c r="M264" s="846"/>
      <c r="N264" s="846"/>
      <c r="O264" s="846"/>
      <c r="P264" s="846"/>
      <c r="Q264" s="846"/>
      <c r="R264" s="846"/>
      <c r="S264" s="846"/>
      <c r="T264" s="846"/>
    </row>
    <row r="265" spans="2:20" ht="38.25" hidden="1">
      <c r="B265" s="833" t="s">
        <v>6608</v>
      </c>
      <c r="C265" s="828">
        <v>103143</v>
      </c>
      <c r="D265" s="630" t="s">
        <v>6478</v>
      </c>
      <c r="E265" s="630" t="s">
        <v>646</v>
      </c>
      <c r="F265" s="829">
        <v>88.26</v>
      </c>
      <c r="G265" s="830">
        <v>57.22</v>
      </c>
      <c r="H265" s="831">
        <v>145.47999999999999</v>
      </c>
      <c r="I265" s="846"/>
      <c r="J265" s="846"/>
      <c r="K265" s="846"/>
      <c r="L265" s="846"/>
      <c r="M265" s="846"/>
      <c r="N265" s="846"/>
      <c r="O265" s="846"/>
      <c r="P265" s="846"/>
      <c r="Q265" s="846"/>
      <c r="R265" s="846"/>
      <c r="S265" s="846"/>
      <c r="T265" s="846"/>
    </row>
    <row r="266" spans="2:20" ht="38.25" hidden="1">
      <c r="B266" s="833" t="s">
        <v>6608</v>
      </c>
      <c r="C266" s="828">
        <v>103144</v>
      </c>
      <c r="D266" s="630" t="s">
        <v>6479</v>
      </c>
      <c r="E266" s="630" t="s">
        <v>646</v>
      </c>
      <c r="F266" s="829">
        <v>95.259999999999991</v>
      </c>
      <c r="G266" s="830">
        <v>62.41</v>
      </c>
      <c r="H266" s="831">
        <v>157.66999999999999</v>
      </c>
      <c r="I266" s="846"/>
      <c r="J266" s="846"/>
      <c r="K266" s="846"/>
      <c r="L266" s="846"/>
      <c r="M266" s="846"/>
      <c r="N266" s="846"/>
      <c r="O266" s="846"/>
      <c r="P266" s="846"/>
      <c r="Q266" s="846"/>
      <c r="R266" s="846"/>
      <c r="S266" s="846"/>
      <c r="T266" s="846"/>
    </row>
    <row r="267" spans="2:20" ht="38.25" hidden="1">
      <c r="B267" s="833" t="s">
        <v>6608</v>
      </c>
      <c r="C267" s="828">
        <v>103145</v>
      </c>
      <c r="D267" s="630" t="s">
        <v>6480</v>
      </c>
      <c r="E267" s="630" t="s">
        <v>646</v>
      </c>
      <c r="F267" s="829">
        <v>115.48</v>
      </c>
      <c r="G267" s="830">
        <v>77.34</v>
      </c>
      <c r="H267" s="831">
        <v>192.82</v>
      </c>
      <c r="I267" s="846"/>
      <c r="J267" s="846"/>
      <c r="K267" s="846"/>
      <c r="L267" s="846"/>
      <c r="M267" s="846"/>
      <c r="N267" s="846"/>
      <c r="O267" s="846"/>
      <c r="P267" s="846"/>
      <c r="Q267" s="846"/>
      <c r="R267" s="846"/>
      <c r="S267" s="846"/>
      <c r="T267" s="846"/>
    </row>
    <row r="268" spans="2:20" ht="38.25" hidden="1">
      <c r="B268" s="833" t="s">
        <v>6608</v>
      </c>
      <c r="C268" s="828">
        <v>103146</v>
      </c>
      <c r="D268" s="630" t="s">
        <v>6481</v>
      </c>
      <c r="E268" s="630" t="s">
        <v>646</v>
      </c>
      <c r="F268" s="829">
        <v>122.48</v>
      </c>
      <c r="G268" s="830">
        <v>82.51</v>
      </c>
      <c r="H268" s="831">
        <v>204.99</v>
      </c>
      <c r="I268" s="846"/>
      <c r="J268" s="846"/>
      <c r="K268" s="846"/>
      <c r="L268" s="846"/>
      <c r="M268" s="846"/>
      <c r="N268" s="846"/>
      <c r="O268" s="846"/>
      <c r="P268" s="846"/>
      <c r="Q268" s="846"/>
      <c r="R268" s="846"/>
      <c r="S268" s="846"/>
      <c r="T268" s="846"/>
    </row>
    <row r="269" spans="2:20" ht="38.25" hidden="1">
      <c r="B269" s="833" t="s">
        <v>6608</v>
      </c>
      <c r="C269" s="828">
        <v>103147</v>
      </c>
      <c r="D269" s="630" t="s">
        <v>6482</v>
      </c>
      <c r="E269" s="630" t="s">
        <v>646</v>
      </c>
      <c r="F269" s="829">
        <v>136.53</v>
      </c>
      <c r="G269" s="830">
        <v>92.88</v>
      </c>
      <c r="H269" s="831">
        <v>229.41</v>
      </c>
      <c r="I269" s="846"/>
      <c r="J269" s="846"/>
      <c r="K269" s="846"/>
      <c r="L269" s="846"/>
      <c r="M269" s="846"/>
      <c r="N269" s="846"/>
      <c r="O269" s="846"/>
      <c r="P269" s="846"/>
      <c r="Q269" s="846"/>
      <c r="R269" s="846"/>
      <c r="S269" s="846"/>
      <c r="T269" s="846"/>
    </row>
    <row r="270" spans="2:20" ht="38.25" hidden="1">
      <c r="B270" s="833" t="s">
        <v>6608</v>
      </c>
      <c r="C270" s="828">
        <v>103148</v>
      </c>
      <c r="D270" s="630" t="s">
        <v>6483</v>
      </c>
      <c r="E270" s="630" t="s">
        <v>646</v>
      </c>
      <c r="F270" s="829">
        <v>163.76</v>
      </c>
      <c r="G270" s="830">
        <v>112.95</v>
      </c>
      <c r="H270" s="831">
        <v>276.70999999999998</v>
      </c>
      <c r="I270" s="846"/>
      <c r="J270" s="846"/>
      <c r="K270" s="846"/>
      <c r="L270" s="846"/>
      <c r="M270" s="846"/>
      <c r="N270" s="846"/>
      <c r="O270" s="846"/>
      <c r="P270" s="846"/>
      <c r="Q270" s="846"/>
      <c r="R270" s="846"/>
      <c r="S270" s="846"/>
      <c r="T270" s="846"/>
    </row>
    <row r="271" spans="2:20" ht="38.25" hidden="1">
      <c r="B271" s="833" t="s">
        <v>6608</v>
      </c>
      <c r="C271" s="828">
        <v>103149</v>
      </c>
      <c r="D271" s="630" t="s">
        <v>6484</v>
      </c>
      <c r="E271" s="630" t="s">
        <v>646</v>
      </c>
      <c r="F271" s="829">
        <v>177.78</v>
      </c>
      <c r="G271" s="830">
        <v>123.34</v>
      </c>
      <c r="H271" s="831">
        <v>301.12</v>
      </c>
      <c r="I271" s="846"/>
      <c r="J271" s="846"/>
      <c r="K271" s="846"/>
      <c r="L271" s="846"/>
      <c r="M271" s="846"/>
      <c r="N271" s="846"/>
      <c r="O271" s="846"/>
      <c r="P271" s="846"/>
      <c r="Q271" s="846"/>
      <c r="R271" s="846"/>
      <c r="S271" s="846"/>
      <c r="T271" s="846"/>
    </row>
    <row r="272" spans="2:20" ht="38.25" hidden="1">
      <c r="B272" s="833" t="s">
        <v>6608</v>
      </c>
      <c r="C272" s="828">
        <v>103150</v>
      </c>
      <c r="D272" s="630" t="s">
        <v>6485</v>
      </c>
      <c r="E272" s="630" t="s">
        <v>646</v>
      </c>
      <c r="F272" s="829">
        <v>204.98000000000002</v>
      </c>
      <c r="G272" s="830">
        <v>143.38999999999999</v>
      </c>
      <c r="H272" s="831">
        <v>348.37</v>
      </c>
      <c r="I272" s="846"/>
      <c r="J272" s="846"/>
      <c r="K272" s="846"/>
      <c r="L272" s="846"/>
      <c r="M272" s="846"/>
      <c r="N272" s="846"/>
      <c r="O272" s="846"/>
      <c r="P272" s="846"/>
      <c r="Q272" s="846"/>
      <c r="R272" s="846"/>
      <c r="S272" s="846"/>
      <c r="T272" s="846"/>
    </row>
    <row r="273" spans="2:20" ht="38.25" hidden="1">
      <c r="B273" s="833" t="s">
        <v>6608</v>
      </c>
      <c r="C273" s="612">
        <v>103151</v>
      </c>
      <c r="D273" s="630" t="s">
        <v>6486</v>
      </c>
      <c r="E273" s="630" t="s">
        <v>646</v>
      </c>
      <c r="F273" s="829">
        <v>219.07</v>
      </c>
      <c r="G273" s="830">
        <v>153.76</v>
      </c>
      <c r="H273" s="831">
        <v>372.83</v>
      </c>
      <c r="I273" s="846"/>
      <c r="J273" s="846"/>
      <c r="K273" s="846"/>
      <c r="L273" s="846"/>
      <c r="M273" s="846"/>
      <c r="N273" s="846"/>
      <c r="O273" s="846"/>
      <c r="P273" s="846"/>
      <c r="Q273" s="846"/>
      <c r="R273" s="846"/>
      <c r="S273" s="846"/>
      <c r="T273" s="846"/>
    </row>
    <row r="274" spans="2:20" ht="38.25" hidden="1">
      <c r="B274" s="833" t="s">
        <v>6608</v>
      </c>
      <c r="C274" s="612">
        <v>103152</v>
      </c>
      <c r="D274" s="630" t="s">
        <v>6487</v>
      </c>
      <c r="E274" s="630" t="s">
        <v>646</v>
      </c>
      <c r="F274" s="829">
        <v>260.33000000000004</v>
      </c>
      <c r="G274" s="830">
        <v>184.22</v>
      </c>
      <c r="H274" s="831">
        <v>444.55</v>
      </c>
      <c r="I274" s="846"/>
      <c r="J274" s="846"/>
      <c r="K274" s="846"/>
      <c r="L274" s="846"/>
      <c r="M274" s="846"/>
      <c r="N274" s="846"/>
      <c r="O274" s="846"/>
      <c r="P274" s="846"/>
      <c r="Q274" s="846"/>
      <c r="R274" s="846"/>
      <c r="S274" s="846"/>
      <c r="T274" s="846"/>
    </row>
    <row r="275" spans="2:20" ht="38.25" hidden="1">
      <c r="B275" s="833" t="s">
        <v>6997</v>
      </c>
      <c r="C275" s="612">
        <v>103372</v>
      </c>
      <c r="D275" s="630" t="s">
        <v>6998</v>
      </c>
      <c r="E275" s="630" t="s">
        <v>648</v>
      </c>
      <c r="F275" s="829">
        <v>5.78</v>
      </c>
      <c r="G275" s="830">
        <v>0.18</v>
      </c>
      <c r="H275" s="831">
        <v>5.96</v>
      </c>
      <c r="I275" s="846"/>
      <c r="J275" s="846"/>
      <c r="K275" s="846"/>
      <c r="L275" s="846"/>
      <c r="M275" s="846"/>
      <c r="N275" s="846"/>
      <c r="O275" s="846"/>
      <c r="P275" s="846"/>
      <c r="Q275" s="846"/>
      <c r="R275" s="846"/>
      <c r="S275" s="846"/>
      <c r="T275" s="846"/>
    </row>
    <row r="276" spans="2:20" ht="38.25" hidden="1">
      <c r="B276" s="833" t="s">
        <v>6997</v>
      </c>
      <c r="C276" s="612">
        <v>103373</v>
      </c>
      <c r="D276" s="630" t="s">
        <v>6999</v>
      </c>
      <c r="E276" s="630" t="s">
        <v>648</v>
      </c>
      <c r="F276" s="829">
        <v>11.38</v>
      </c>
      <c r="G276" s="830">
        <v>0.28999999999999998</v>
      </c>
      <c r="H276" s="831">
        <v>11.67</v>
      </c>
      <c r="I276" s="846"/>
      <c r="J276" s="846"/>
      <c r="K276" s="846"/>
      <c r="L276" s="846"/>
      <c r="M276" s="846"/>
      <c r="N276" s="846"/>
      <c r="O276" s="846"/>
      <c r="P276" s="846"/>
      <c r="Q276" s="846"/>
      <c r="R276" s="846"/>
      <c r="S276" s="846"/>
      <c r="T276" s="846"/>
    </row>
    <row r="277" spans="2:20" ht="38.25" hidden="1">
      <c r="B277" s="833" t="s">
        <v>6997</v>
      </c>
      <c r="C277" s="828">
        <v>103376</v>
      </c>
      <c r="D277" s="630" t="s">
        <v>7000</v>
      </c>
      <c r="E277" s="630" t="s">
        <v>648</v>
      </c>
      <c r="F277" s="829">
        <v>137.87</v>
      </c>
      <c r="G277" s="830">
        <v>1.03</v>
      </c>
      <c r="H277" s="831">
        <v>138.9</v>
      </c>
      <c r="I277" s="846"/>
      <c r="J277" s="846"/>
      <c r="K277" s="846"/>
      <c r="L277" s="846"/>
      <c r="M277" s="846"/>
      <c r="N277" s="846"/>
      <c r="O277" s="846"/>
      <c r="P277" s="846"/>
      <c r="Q277" s="846"/>
      <c r="R277" s="846"/>
      <c r="S277" s="846"/>
      <c r="T277" s="846"/>
    </row>
    <row r="278" spans="2:20" ht="38.25" hidden="1">
      <c r="B278" s="833" t="s">
        <v>6997</v>
      </c>
      <c r="C278" s="828">
        <v>103377</v>
      </c>
      <c r="D278" s="630" t="s">
        <v>7001</v>
      </c>
      <c r="E278" s="630" t="s">
        <v>648</v>
      </c>
      <c r="F278" s="829">
        <v>295.7</v>
      </c>
      <c r="G278" s="830">
        <v>1.51</v>
      </c>
      <c r="H278" s="832">
        <v>297.20999999999998</v>
      </c>
      <c r="I278" s="846"/>
      <c r="J278" s="846"/>
      <c r="K278" s="846"/>
      <c r="L278" s="846"/>
      <c r="M278" s="846"/>
      <c r="N278" s="846"/>
      <c r="O278" s="846"/>
      <c r="P278" s="846"/>
      <c r="Q278" s="846"/>
      <c r="R278" s="846"/>
      <c r="S278" s="846"/>
      <c r="T278" s="846"/>
    </row>
    <row r="279" spans="2:20" ht="38.25" hidden="1">
      <c r="B279" s="833" t="s">
        <v>6997</v>
      </c>
      <c r="C279" s="828">
        <v>103379</v>
      </c>
      <c r="D279" s="630" t="s">
        <v>7002</v>
      </c>
      <c r="E279" s="630" t="s">
        <v>648</v>
      </c>
      <c r="F279" s="829">
        <v>460.79</v>
      </c>
      <c r="G279" s="830">
        <v>1.89</v>
      </c>
      <c r="H279" s="831">
        <v>462.68</v>
      </c>
      <c r="I279" s="846"/>
      <c r="J279" s="846"/>
      <c r="K279" s="846"/>
      <c r="L279" s="846"/>
      <c r="M279" s="846"/>
      <c r="N279" s="846"/>
      <c r="O279" s="846"/>
      <c r="P279" s="846"/>
      <c r="Q279" s="846"/>
      <c r="R279" s="846"/>
      <c r="S279" s="846"/>
      <c r="T279" s="846"/>
    </row>
    <row r="280" spans="2:20" ht="38.25" hidden="1">
      <c r="B280" s="833" t="s">
        <v>6997</v>
      </c>
      <c r="C280" s="828">
        <v>103383</v>
      </c>
      <c r="D280" s="630" t="s">
        <v>7003</v>
      </c>
      <c r="E280" s="630" t="s">
        <v>648</v>
      </c>
      <c r="F280" s="829">
        <v>1131.8900000000001</v>
      </c>
      <c r="G280" s="830">
        <v>1.67</v>
      </c>
      <c r="H280" s="832">
        <v>1133.56</v>
      </c>
      <c r="I280" s="846"/>
      <c r="J280" s="846"/>
      <c r="K280" s="846"/>
      <c r="L280" s="846"/>
      <c r="M280" s="846"/>
      <c r="N280" s="846"/>
      <c r="O280" s="846"/>
      <c r="P280" s="846"/>
      <c r="Q280" s="846"/>
      <c r="R280" s="846"/>
      <c r="S280" s="846"/>
      <c r="T280" s="846"/>
    </row>
    <row r="281" spans="2:20" ht="38.25" hidden="1">
      <c r="B281" s="833" t="s">
        <v>6997</v>
      </c>
      <c r="C281" s="828">
        <v>103385</v>
      </c>
      <c r="D281" s="630" t="s">
        <v>7004</v>
      </c>
      <c r="E281" s="630" t="s">
        <v>648</v>
      </c>
      <c r="F281" s="829">
        <v>1824.3999999999999</v>
      </c>
      <c r="G281" s="830">
        <v>3.22</v>
      </c>
      <c r="H281" s="832">
        <v>1827.62</v>
      </c>
      <c r="I281" s="846"/>
      <c r="J281" s="846"/>
      <c r="K281" s="846"/>
      <c r="L281" s="846"/>
      <c r="M281" s="846"/>
      <c r="N281" s="846"/>
      <c r="O281" s="846"/>
      <c r="P281" s="846"/>
      <c r="Q281" s="846"/>
      <c r="R281" s="846"/>
      <c r="S281" s="846"/>
      <c r="T281" s="846"/>
    </row>
    <row r="282" spans="2:20" ht="38.25" hidden="1">
      <c r="B282" s="828" t="s">
        <v>6997</v>
      </c>
      <c r="C282" s="828">
        <v>103387</v>
      </c>
      <c r="D282" s="630" t="s">
        <v>7005</v>
      </c>
      <c r="E282" s="630" t="s">
        <v>648</v>
      </c>
      <c r="F282" s="829">
        <v>3201.2999999999997</v>
      </c>
      <c r="G282" s="830">
        <v>5.0599999999999996</v>
      </c>
      <c r="H282" s="832">
        <v>3206.36</v>
      </c>
      <c r="I282" s="846"/>
      <c r="J282" s="846"/>
      <c r="K282" s="846"/>
      <c r="L282" s="846"/>
      <c r="M282" s="846"/>
      <c r="N282" s="846"/>
      <c r="O282" s="846"/>
      <c r="P282" s="846"/>
      <c r="Q282" s="846"/>
      <c r="R282" s="846"/>
      <c r="S282" s="846"/>
      <c r="T282" s="846"/>
    </row>
    <row r="283" spans="2:20" ht="38.25" hidden="1">
      <c r="B283" s="828" t="s">
        <v>6997</v>
      </c>
      <c r="C283" s="828">
        <v>103389</v>
      </c>
      <c r="D283" s="630" t="s">
        <v>7006</v>
      </c>
      <c r="E283" s="630" t="s">
        <v>648</v>
      </c>
      <c r="F283" s="829">
        <v>4760.95</v>
      </c>
      <c r="G283" s="830">
        <v>7.47</v>
      </c>
      <c r="H283" s="832">
        <v>4768.42</v>
      </c>
      <c r="I283" s="846"/>
      <c r="J283" s="846"/>
      <c r="K283" s="846"/>
      <c r="L283" s="846"/>
      <c r="M283" s="846"/>
      <c r="N283" s="846"/>
      <c r="O283" s="846"/>
      <c r="P283" s="846"/>
      <c r="Q283" s="846"/>
      <c r="R283" s="846"/>
      <c r="S283" s="846"/>
      <c r="T283" s="846"/>
    </row>
    <row r="284" spans="2:20" ht="38.25" hidden="1">
      <c r="B284" s="828" t="s">
        <v>6997</v>
      </c>
      <c r="C284" s="828">
        <v>103391</v>
      </c>
      <c r="D284" s="630" t="s">
        <v>7007</v>
      </c>
      <c r="E284" s="630" t="s">
        <v>648</v>
      </c>
      <c r="F284" s="829">
        <v>3129.51</v>
      </c>
      <c r="G284" s="830">
        <v>10.58</v>
      </c>
      <c r="H284" s="832">
        <v>3140.09</v>
      </c>
      <c r="I284" s="846"/>
      <c r="J284" s="846"/>
      <c r="K284" s="846"/>
      <c r="L284" s="846"/>
      <c r="M284" s="846"/>
      <c r="N284" s="846"/>
      <c r="O284" s="846"/>
      <c r="P284" s="846"/>
      <c r="Q284" s="846"/>
      <c r="R284" s="846"/>
      <c r="S284" s="846"/>
      <c r="T284" s="846"/>
    </row>
    <row r="285" spans="2:20" ht="38.25" hidden="1">
      <c r="B285" s="828" t="s">
        <v>6997</v>
      </c>
      <c r="C285" s="828">
        <v>103392</v>
      </c>
      <c r="D285" s="630" t="s">
        <v>7008</v>
      </c>
      <c r="E285" s="630" t="s">
        <v>648</v>
      </c>
      <c r="F285" s="829">
        <v>5121.0199999999995</v>
      </c>
      <c r="G285" s="830">
        <v>12.43</v>
      </c>
      <c r="H285" s="832">
        <v>5133.45</v>
      </c>
      <c r="I285" s="846"/>
      <c r="J285" s="846"/>
      <c r="K285" s="846"/>
      <c r="L285" s="846"/>
      <c r="M285" s="846"/>
      <c r="N285" s="846"/>
      <c r="O285" s="846"/>
      <c r="P285" s="846"/>
      <c r="Q285" s="846"/>
      <c r="R285" s="846"/>
      <c r="S285" s="846"/>
      <c r="T285" s="846"/>
    </row>
    <row r="286" spans="2:20" ht="38.25" hidden="1">
      <c r="B286" s="828" t="s">
        <v>6997</v>
      </c>
      <c r="C286" s="828">
        <v>103393</v>
      </c>
      <c r="D286" s="630" t="s">
        <v>7009</v>
      </c>
      <c r="E286" s="630" t="s">
        <v>648</v>
      </c>
      <c r="F286" s="829">
        <v>5647.61</v>
      </c>
      <c r="G286" s="830">
        <v>14.24</v>
      </c>
      <c r="H286" s="832">
        <v>5661.85</v>
      </c>
      <c r="I286" s="846"/>
      <c r="J286" s="846"/>
      <c r="K286" s="846"/>
      <c r="L286" s="846"/>
      <c r="M286" s="846"/>
      <c r="N286" s="846"/>
      <c r="O286" s="846"/>
      <c r="P286" s="846"/>
      <c r="Q286" s="846"/>
      <c r="R286" s="846"/>
      <c r="S286" s="846"/>
      <c r="T286" s="846"/>
    </row>
    <row r="287" spans="2:20" ht="38.25" hidden="1">
      <c r="B287" s="828" t="s">
        <v>6997</v>
      </c>
      <c r="C287" s="828">
        <v>103394</v>
      </c>
      <c r="D287" s="630" t="s">
        <v>7010</v>
      </c>
      <c r="E287" s="630" t="s">
        <v>648</v>
      </c>
      <c r="F287" s="829">
        <v>4176.87</v>
      </c>
      <c r="G287" s="830">
        <v>17.920000000000002</v>
      </c>
      <c r="H287" s="832">
        <v>4194.79</v>
      </c>
      <c r="I287" s="846"/>
      <c r="J287" s="846"/>
      <c r="K287" s="846"/>
      <c r="L287" s="846"/>
      <c r="M287" s="846"/>
      <c r="N287" s="846"/>
      <c r="O287" s="846"/>
      <c r="P287" s="846"/>
      <c r="Q287" s="846"/>
      <c r="R287" s="846"/>
      <c r="S287" s="846"/>
      <c r="T287" s="846"/>
    </row>
    <row r="288" spans="2:20" ht="38.25" hidden="1">
      <c r="B288" s="828" t="s">
        <v>6997</v>
      </c>
      <c r="C288" s="828">
        <v>103395</v>
      </c>
      <c r="D288" s="630" t="s">
        <v>7011</v>
      </c>
      <c r="E288" s="630" t="s">
        <v>648</v>
      </c>
      <c r="F288" s="829">
        <v>2063.63</v>
      </c>
      <c r="G288" s="830">
        <v>21.61</v>
      </c>
      <c r="H288" s="832">
        <v>2085.2399999999998</v>
      </c>
      <c r="I288" s="846"/>
      <c r="J288" s="846"/>
      <c r="K288" s="846"/>
      <c r="L288" s="846"/>
      <c r="M288" s="846"/>
      <c r="N288" s="846"/>
      <c r="O288" s="846"/>
      <c r="P288" s="846"/>
      <c r="Q288" s="846"/>
      <c r="R288" s="846"/>
      <c r="S288" s="846"/>
      <c r="T288" s="846"/>
    </row>
    <row r="289" spans="2:20" ht="38.25" hidden="1">
      <c r="B289" s="828" t="s">
        <v>6997</v>
      </c>
      <c r="C289" s="828">
        <v>103396</v>
      </c>
      <c r="D289" s="630" t="s">
        <v>7012</v>
      </c>
      <c r="E289" s="630" t="s">
        <v>648</v>
      </c>
      <c r="F289" s="829">
        <v>1383.08</v>
      </c>
      <c r="G289" s="830">
        <v>25.27</v>
      </c>
      <c r="H289" s="832">
        <v>1408.35</v>
      </c>
      <c r="I289" s="846"/>
      <c r="J289" s="846"/>
      <c r="K289" s="846"/>
      <c r="L289" s="846"/>
      <c r="M289" s="846"/>
      <c r="N289" s="846"/>
      <c r="O289" s="846"/>
      <c r="P289" s="846"/>
      <c r="Q289" s="846"/>
      <c r="R289" s="846"/>
      <c r="S289" s="846"/>
      <c r="T289" s="846"/>
    </row>
    <row r="290" spans="2:20" ht="38.25" hidden="1">
      <c r="B290" s="828" t="s">
        <v>6997</v>
      </c>
      <c r="C290" s="828">
        <v>103397</v>
      </c>
      <c r="D290" s="630" t="s">
        <v>7013</v>
      </c>
      <c r="E290" s="630" t="s">
        <v>646</v>
      </c>
      <c r="F290" s="829">
        <v>1.02</v>
      </c>
      <c r="G290" s="830">
        <v>3.31</v>
      </c>
      <c r="H290" s="831">
        <v>4.33</v>
      </c>
      <c r="I290" s="846"/>
      <c r="J290" s="846"/>
      <c r="K290" s="846"/>
      <c r="L290" s="846"/>
      <c r="M290" s="846"/>
      <c r="N290" s="846"/>
      <c r="O290" s="846"/>
      <c r="P290" s="846"/>
      <c r="Q290" s="846"/>
      <c r="R290" s="846"/>
      <c r="S290" s="846"/>
      <c r="T290" s="846"/>
    </row>
    <row r="291" spans="2:20" ht="38.25" hidden="1">
      <c r="B291" s="828" t="s">
        <v>6997</v>
      </c>
      <c r="C291" s="828">
        <v>103398</v>
      </c>
      <c r="D291" s="630" t="s">
        <v>7014</v>
      </c>
      <c r="E291" s="630" t="s">
        <v>646</v>
      </c>
      <c r="F291" s="829">
        <v>1.69</v>
      </c>
      <c r="G291" s="830">
        <v>5.25</v>
      </c>
      <c r="H291" s="831">
        <v>6.94</v>
      </c>
      <c r="I291" s="846"/>
      <c r="J291" s="846"/>
      <c r="K291" s="846"/>
      <c r="L291" s="846"/>
      <c r="M291" s="846"/>
      <c r="N291" s="846"/>
      <c r="O291" s="846"/>
      <c r="P291" s="846"/>
      <c r="Q291" s="846"/>
      <c r="R291" s="846"/>
      <c r="S291" s="846"/>
      <c r="T291" s="846"/>
    </row>
    <row r="292" spans="2:20" ht="38.25" hidden="1">
      <c r="B292" s="828" t="s">
        <v>6997</v>
      </c>
      <c r="C292" s="828">
        <v>103399</v>
      </c>
      <c r="D292" s="630" t="s">
        <v>7015</v>
      </c>
      <c r="E292" s="630" t="s">
        <v>646</v>
      </c>
      <c r="F292" s="829">
        <v>3.35</v>
      </c>
      <c r="G292" s="830">
        <v>10.32</v>
      </c>
      <c r="H292" s="831">
        <v>13.67</v>
      </c>
      <c r="I292" s="846"/>
      <c r="J292" s="846"/>
      <c r="K292" s="846"/>
      <c r="L292" s="846"/>
      <c r="M292" s="846"/>
      <c r="N292" s="846"/>
      <c r="O292" s="846"/>
      <c r="P292" s="846"/>
      <c r="Q292" s="846"/>
      <c r="R292" s="846"/>
      <c r="S292" s="846"/>
      <c r="T292" s="846"/>
    </row>
    <row r="293" spans="2:20" ht="38.25" hidden="1">
      <c r="B293" s="828" t="s">
        <v>6997</v>
      </c>
      <c r="C293" s="828">
        <v>103400</v>
      </c>
      <c r="D293" s="630" t="s">
        <v>7016</v>
      </c>
      <c r="E293" s="630" t="s">
        <v>646</v>
      </c>
      <c r="F293" s="829">
        <v>4.8</v>
      </c>
      <c r="G293" s="830">
        <v>14.73</v>
      </c>
      <c r="H293" s="831">
        <v>19.53</v>
      </c>
      <c r="I293" s="846"/>
      <c r="J293" s="846"/>
      <c r="K293" s="846"/>
      <c r="L293" s="846"/>
      <c r="M293" s="846"/>
      <c r="N293" s="846"/>
      <c r="O293" s="846"/>
      <c r="P293" s="846"/>
      <c r="Q293" s="846"/>
      <c r="R293" s="846"/>
      <c r="S293" s="846"/>
      <c r="T293" s="846"/>
    </row>
    <row r="294" spans="2:20" ht="38.25" hidden="1">
      <c r="B294" s="828" t="s">
        <v>6997</v>
      </c>
      <c r="C294" s="828">
        <v>103401</v>
      </c>
      <c r="D294" s="630" t="s">
        <v>7017</v>
      </c>
      <c r="E294" s="630" t="s">
        <v>646</v>
      </c>
      <c r="F294" s="829">
        <v>5.86</v>
      </c>
      <c r="G294" s="830">
        <v>18.010000000000002</v>
      </c>
      <c r="H294" s="831">
        <v>23.87</v>
      </c>
      <c r="I294" s="846"/>
      <c r="J294" s="846"/>
      <c r="K294" s="846"/>
      <c r="L294" s="846"/>
      <c r="M294" s="846"/>
      <c r="N294" s="846"/>
      <c r="O294" s="846"/>
      <c r="P294" s="846"/>
      <c r="Q294" s="846"/>
      <c r="R294" s="846"/>
      <c r="S294" s="846"/>
      <c r="T294" s="846"/>
    </row>
    <row r="295" spans="2:20" ht="38.25" hidden="1">
      <c r="B295" s="828" t="s">
        <v>6997</v>
      </c>
      <c r="C295" s="828">
        <v>103402</v>
      </c>
      <c r="D295" s="630" t="s">
        <v>7018</v>
      </c>
      <c r="E295" s="630" t="s">
        <v>646</v>
      </c>
      <c r="F295" s="829">
        <v>8.5500000000000007</v>
      </c>
      <c r="G295" s="830">
        <v>26.19</v>
      </c>
      <c r="H295" s="831">
        <v>34.74</v>
      </c>
      <c r="I295" s="846"/>
      <c r="J295" s="846"/>
      <c r="K295" s="846"/>
      <c r="L295" s="846"/>
      <c r="M295" s="846"/>
      <c r="N295" s="846"/>
      <c r="O295" s="846"/>
      <c r="P295" s="846"/>
      <c r="Q295" s="846"/>
      <c r="R295" s="846"/>
      <c r="S295" s="846"/>
      <c r="T295" s="846"/>
    </row>
    <row r="296" spans="2:20" ht="38.25" hidden="1">
      <c r="B296" s="828" t="s">
        <v>6997</v>
      </c>
      <c r="C296" s="828">
        <v>103403</v>
      </c>
      <c r="D296" s="630" t="s">
        <v>7019</v>
      </c>
      <c r="E296" s="630" t="s">
        <v>646</v>
      </c>
      <c r="F296" s="829">
        <v>9.64</v>
      </c>
      <c r="G296" s="830">
        <v>29.44</v>
      </c>
      <c r="H296" s="831">
        <v>39.08</v>
      </c>
      <c r="I296" s="846"/>
      <c r="J296" s="846"/>
      <c r="K296" s="846"/>
      <c r="L296" s="846"/>
      <c r="M296" s="846"/>
      <c r="N296" s="846"/>
      <c r="O296" s="846"/>
      <c r="P296" s="846"/>
      <c r="Q296" s="846"/>
      <c r="R296" s="846"/>
      <c r="S296" s="846"/>
      <c r="T296" s="846"/>
    </row>
    <row r="297" spans="2:20" ht="38.25" hidden="1">
      <c r="B297" s="828" t="s">
        <v>6997</v>
      </c>
      <c r="C297" s="828">
        <v>103404</v>
      </c>
      <c r="D297" s="630" t="s">
        <v>7020</v>
      </c>
      <c r="E297" s="630" t="s">
        <v>646</v>
      </c>
      <c r="F297" s="829">
        <v>10.69</v>
      </c>
      <c r="G297" s="830">
        <v>32.729999999999997</v>
      </c>
      <c r="H297" s="831">
        <v>43.42</v>
      </c>
      <c r="I297" s="846"/>
      <c r="J297" s="846"/>
      <c r="K297" s="846"/>
      <c r="L297" s="846"/>
      <c r="M297" s="846"/>
      <c r="N297" s="846"/>
      <c r="O297" s="846"/>
      <c r="P297" s="846"/>
      <c r="Q297" s="846"/>
      <c r="R297" s="846"/>
      <c r="S297" s="846"/>
      <c r="T297" s="846"/>
    </row>
    <row r="298" spans="2:20" ht="38.25" hidden="1">
      <c r="B298" s="828" t="s">
        <v>6997</v>
      </c>
      <c r="C298" s="828">
        <v>103405</v>
      </c>
      <c r="D298" s="630" t="s">
        <v>7021</v>
      </c>
      <c r="E298" s="630" t="s">
        <v>646</v>
      </c>
      <c r="F298" s="829">
        <v>12.04</v>
      </c>
      <c r="G298" s="830">
        <v>36.81</v>
      </c>
      <c r="H298" s="831">
        <v>48.85</v>
      </c>
      <c r="I298" s="846"/>
      <c r="J298" s="846"/>
      <c r="K298" s="846"/>
      <c r="L298" s="846"/>
      <c r="M298" s="846"/>
      <c r="N298" s="846"/>
      <c r="O298" s="846"/>
      <c r="P298" s="846"/>
      <c r="Q298" s="846"/>
      <c r="R298" s="846"/>
      <c r="S298" s="846"/>
      <c r="T298" s="846"/>
    </row>
    <row r="299" spans="2:20" ht="38.25" hidden="1">
      <c r="B299" s="828" t="s">
        <v>6997</v>
      </c>
      <c r="C299" s="828">
        <v>103406</v>
      </c>
      <c r="D299" s="630" t="s">
        <v>7022</v>
      </c>
      <c r="E299" s="630" t="s">
        <v>646</v>
      </c>
      <c r="F299" s="829">
        <v>13.38</v>
      </c>
      <c r="G299" s="830">
        <v>40.9</v>
      </c>
      <c r="H299" s="831">
        <v>54.28</v>
      </c>
      <c r="I299" s="846"/>
      <c r="J299" s="846"/>
      <c r="K299" s="846"/>
      <c r="L299" s="846"/>
      <c r="M299" s="846"/>
      <c r="N299" s="846"/>
      <c r="O299" s="846"/>
      <c r="P299" s="846"/>
      <c r="Q299" s="846"/>
      <c r="R299" s="846"/>
      <c r="S299" s="846"/>
      <c r="T299" s="846"/>
    </row>
    <row r="300" spans="2:20" ht="38.25" hidden="1">
      <c r="B300" s="828" t="s">
        <v>6997</v>
      </c>
      <c r="C300" s="828">
        <v>103407</v>
      </c>
      <c r="D300" s="630" t="s">
        <v>7023</v>
      </c>
      <c r="E300" s="630" t="s">
        <v>646</v>
      </c>
      <c r="F300" s="829">
        <v>14.99</v>
      </c>
      <c r="G300" s="830">
        <v>45.8</v>
      </c>
      <c r="H300" s="831">
        <v>60.79</v>
      </c>
      <c r="I300" s="846"/>
      <c r="J300" s="846"/>
      <c r="K300" s="846"/>
      <c r="L300" s="846"/>
      <c r="M300" s="846"/>
      <c r="N300" s="846"/>
      <c r="O300" s="846"/>
      <c r="P300" s="846"/>
      <c r="Q300" s="846"/>
      <c r="R300" s="846"/>
      <c r="S300" s="846"/>
      <c r="T300" s="846"/>
    </row>
    <row r="301" spans="2:20" ht="38.25" hidden="1">
      <c r="B301" s="828" t="s">
        <v>6997</v>
      </c>
      <c r="C301" s="828">
        <v>103408</v>
      </c>
      <c r="D301" s="630" t="s">
        <v>7024</v>
      </c>
      <c r="E301" s="630" t="s">
        <v>646</v>
      </c>
      <c r="F301" s="829">
        <v>16.89</v>
      </c>
      <c r="G301" s="830">
        <v>51.51</v>
      </c>
      <c r="H301" s="831">
        <v>68.400000000000006</v>
      </c>
      <c r="I301" s="846"/>
      <c r="J301" s="846"/>
      <c r="K301" s="846"/>
      <c r="L301" s="846"/>
      <c r="M301" s="846"/>
      <c r="N301" s="846"/>
      <c r="O301" s="846"/>
      <c r="P301" s="846"/>
      <c r="Q301" s="846"/>
      <c r="R301" s="846"/>
      <c r="S301" s="846"/>
      <c r="T301" s="846"/>
    </row>
    <row r="302" spans="2:20" ht="38.25" hidden="1">
      <c r="B302" s="828" t="s">
        <v>6997</v>
      </c>
      <c r="C302" s="828">
        <v>103409</v>
      </c>
      <c r="D302" s="630" t="s">
        <v>7025</v>
      </c>
      <c r="E302" s="630" t="s">
        <v>646</v>
      </c>
      <c r="F302" s="829">
        <v>19.05</v>
      </c>
      <c r="G302" s="830">
        <v>58.02</v>
      </c>
      <c r="H302" s="831">
        <v>77.069999999999993</v>
      </c>
      <c r="I302" s="846"/>
      <c r="J302" s="846"/>
      <c r="K302" s="846"/>
      <c r="L302" s="846"/>
      <c r="M302" s="846"/>
      <c r="N302" s="846"/>
      <c r="O302" s="846"/>
      <c r="P302" s="846"/>
      <c r="Q302" s="846"/>
      <c r="R302" s="846"/>
      <c r="S302" s="846"/>
      <c r="T302" s="846"/>
    </row>
    <row r="303" spans="2:20" ht="38.25" hidden="1">
      <c r="B303" s="828" t="s">
        <v>6997</v>
      </c>
      <c r="C303" s="828">
        <v>103410</v>
      </c>
      <c r="D303" s="630" t="s">
        <v>7026</v>
      </c>
      <c r="E303" s="630" t="s">
        <v>646</v>
      </c>
      <c r="F303" s="829">
        <v>21.45</v>
      </c>
      <c r="G303" s="830">
        <v>65.400000000000006</v>
      </c>
      <c r="H303" s="831">
        <v>86.85</v>
      </c>
      <c r="I303" s="846"/>
      <c r="J303" s="846"/>
      <c r="K303" s="846"/>
      <c r="L303" s="846"/>
      <c r="M303" s="846"/>
      <c r="N303" s="846"/>
      <c r="O303" s="846"/>
      <c r="P303" s="846"/>
      <c r="Q303" s="846"/>
      <c r="R303" s="846"/>
      <c r="S303" s="846"/>
      <c r="T303" s="846"/>
    </row>
    <row r="304" spans="2:20" ht="38.25" hidden="1">
      <c r="B304" s="828" t="s">
        <v>6997</v>
      </c>
      <c r="C304" s="828">
        <v>103411</v>
      </c>
      <c r="D304" s="630" t="s">
        <v>7027</v>
      </c>
      <c r="E304" s="630" t="s">
        <v>646</v>
      </c>
      <c r="F304" s="829">
        <v>2.09</v>
      </c>
      <c r="G304" s="830">
        <v>6.59</v>
      </c>
      <c r="H304" s="831">
        <v>8.68</v>
      </c>
      <c r="I304" s="846"/>
      <c r="J304" s="846"/>
      <c r="K304" s="846"/>
      <c r="L304" s="846"/>
      <c r="M304" s="846"/>
      <c r="N304" s="846"/>
      <c r="O304" s="846"/>
      <c r="P304" s="846"/>
      <c r="Q304" s="846"/>
      <c r="R304" s="846"/>
      <c r="S304" s="846"/>
      <c r="T304" s="846"/>
    </row>
    <row r="305" spans="2:20" ht="38.25" hidden="1">
      <c r="B305" s="828" t="s">
        <v>6997</v>
      </c>
      <c r="C305" s="828">
        <v>103412</v>
      </c>
      <c r="D305" s="630" t="s">
        <v>7028</v>
      </c>
      <c r="E305" s="630" t="s">
        <v>646</v>
      </c>
      <c r="F305" s="829">
        <v>3.4</v>
      </c>
      <c r="G305" s="830">
        <v>10.49</v>
      </c>
      <c r="H305" s="831">
        <v>13.89</v>
      </c>
      <c r="I305" s="846"/>
      <c r="J305" s="846"/>
      <c r="K305" s="846"/>
      <c r="L305" s="846"/>
      <c r="M305" s="846"/>
      <c r="N305" s="846"/>
      <c r="O305" s="846"/>
      <c r="P305" s="846"/>
      <c r="Q305" s="846"/>
      <c r="R305" s="846"/>
      <c r="S305" s="846"/>
      <c r="T305" s="846"/>
    </row>
    <row r="306" spans="2:20" ht="38.25" hidden="1">
      <c r="B306" s="828" t="s">
        <v>6997</v>
      </c>
      <c r="C306" s="828">
        <v>103413</v>
      </c>
      <c r="D306" s="630" t="s">
        <v>7029</v>
      </c>
      <c r="E306" s="630" t="s">
        <v>646</v>
      </c>
      <c r="F306" s="829">
        <v>6.73</v>
      </c>
      <c r="G306" s="830">
        <v>20.62</v>
      </c>
      <c r="H306" s="831">
        <v>27.35</v>
      </c>
      <c r="I306" s="846"/>
      <c r="J306" s="846"/>
      <c r="K306" s="846"/>
      <c r="L306" s="846"/>
      <c r="M306" s="846"/>
      <c r="N306" s="846"/>
      <c r="O306" s="846"/>
      <c r="P306" s="846"/>
      <c r="Q306" s="846"/>
      <c r="R306" s="846"/>
      <c r="S306" s="846"/>
      <c r="T306" s="846"/>
    </row>
    <row r="307" spans="2:20" ht="38.25" hidden="1">
      <c r="B307" s="828" t="s">
        <v>6997</v>
      </c>
      <c r="C307" s="828">
        <v>103414</v>
      </c>
      <c r="D307" s="630" t="s">
        <v>7030</v>
      </c>
      <c r="E307" s="630" t="s">
        <v>646</v>
      </c>
      <c r="F307" s="829">
        <v>9.64</v>
      </c>
      <c r="G307" s="830">
        <v>29.44</v>
      </c>
      <c r="H307" s="831">
        <v>39.08</v>
      </c>
      <c r="I307" s="846"/>
      <c r="J307" s="846"/>
      <c r="K307" s="846"/>
      <c r="L307" s="846"/>
      <c r="M307" s="846"/>
      <c r="N307" s="846"/>
      <c r="O307" s="846"/>
      <c r="P307" s="846"/>
      <c r="Q307" s="846"/>
      <c r="R307" s="846"/>
      <c r="S307" s="846"/>
      <c r="T307" s="846"/>
    </row>
    <row r="308" spans="2:20" ht="38.25" hidden="1">
      <c r="B308" s="828" t="s">
        <v>6997</v>
      </c>
      <c r="C308" s="828">
        <v>103415</v>
      </c>
      <c r="D308" s="630" t="s">
        <v>7031</v>
      </c>
      <c r="E308" s="630" t="s">
        <v>646</v>
      </c>
      <c r="F308" s="829">
        <v>11.77</v>
      </c>
      <c r="G308" s="830">
        <v>35.99</v>
      </c>
      <c r="H308" s="831">
        <v>47.76</v>
      </c>
      <c r="I308" s="846"/>
      <c r="J308" s="846"/>
      <c r="K308" s="846"/>
      <c r="L308" s="846"/>
      <c r="M308" s="846"/>
      <c r="N308" s="846"/>
      <c r="O308" s="846"/>
      <c r="P308" s="846"/>
      <c r="Q308" s="846"/>
      <c r="R308" s="846"/>
      <c r="S308" s="846"/>
      <c r="T308" s="846"/>
    </row>
    <row r="309" spans="2:20" ht="38.25" hidden="1">
      <c r="B309" s="828" t="s">
        <v>6997</v>
      </c>
      <c r="C309" s="828">
        <v>103416</v>
      </c>
      <c r="D309" s="630" t="s">
        <v>7032</v>
      </c>
      <c r="E309" s="630" t="s">
        <v>646</v>
      </c>
      <c r="F309" s="829">
        <v>17.149999999999999</v>
      </c>
      <c r="G309" s="830">
        <v>52.33</v>
      </c>
      <c r="H309" s="831">
        <v>69.48</v>
      </c>
      <c r="I309" s="846"/>
      <c r="J309" s="846"/>
      <c r="K309" s="846"/>
      <c r="L309" s="846"/>
      <c r="M309" s="846"/>
      <c r="N309" s="846"/>
      <c r="O309" s="846"/>
      <c r="P309" s="846"/>
      <c r="Q309" s="846"/>
      <c r="R309" s="846"/>
      <c r="S309" s="846"/>
      <c r="T309" s="846"/>
    </row>
    <row r="310" spans="2:20" ht="38.25" hidden="1">
      <c r="B310" s="828" t="s">
        <v>6997</v>
      </c>
      <c r="C310" s="828">
        <v>103417</v>
      </c>
      <c r="D310" s="630" t="s">
        <v>7033</v>
      </c>
      <c r="E310" s="630" t="s">
        <v>646</v>
      </c>
      <c r="F310" s="829">
        <v>19.309999999999999</v>
      </c>
      <c r="G310" s="830">
        <v>58.86</v>
      </c>
      <c r="H310" s="831">
        <v>78.17</v>
      </c>
      <c r="I310" s="846"/>
      <c r="J310" s="846"/>
      <c r="K310" s="846"/>
      <c r="L310" s="846"/>
      <c r="M310" s="846"/>
      <c r="N310" s="846"/>
      <c r="O310" s="846"/>
      <c r="P310" s="846"/>
      <c r="Q310" s="846"/>
      <c r="R310" s="846"/>
      <c r="S310" s="846"/>
      <c r="T310" s="846"/>
    </row>
    <row r="311" spans="2:20" ht="38.25" hidden="1">
      <c r="B311" s="828" t="s">
        <v>6997</v>
      </c>
      <c r="C311" s="828">
        <v>103418</v>
      </c>
      <c r="D311" s="630" t="s">
        <v>7034</v>
      </c>
      <c r="E311" s="630" t="s">
        <v>646</v>
      </c>
      <c r="F311" s="829">
        <v>21.45</v>
      </c>
      <c r="G311" s="830">
        <v>65.400000000000006</v>
      </c>
      <c r="H311" s="831">
        <v>86.85</v>
      </c>
      <c r="I311" s="846"/>
      <c r="J311" s="846"/>
      <c r="K311" s="846"/>
      <c r="L311" s="846"/>
      <c r="M311" s="846"/>
      <c r="N311" s="846"/>
      <c r="O311" s="846"/>
      <c r="P311" s="846"/>
      <c r="Q311" s="846"/>
      <c r="R311" s="846"/>
      <c r="S311" s="846"/>
      <c r="T311" s="846"/>
    </row>
    <row r="312" spans="2:20" ht="38.25" hidden="1">
      <c r="B312" s="828" t="s">
        <v>6997</v>
      </c>
      <c r="C312" s="828">
        <v>103419</v>
      </c>
      <c r="D312" s="630" t="s">
        <v>7035</v>
      </c>
      <c r="E312" s="630" t="s">
        <v>646</v>
      </c>
      <c r="F312" s="829">
        <v>24.14</v>
      </c>
      <c r="G312" s="830">
        <v>73.569999999999993</v>
      </c>
      <c r="H312" s="831">
        <v>97.71</v>
      </c>
      <c r="I312" s="846"/>
      <c r="J312" s="846"/>
      <c r="K312" s="846"/>
      <c r="L312" s="846"/>
      <c r="M312" s="846"/>
      <c r="N312" s="846"/>
      <c r="O312" s="846"/>
      <c r="P312" s="846"/>
      <c r="Q312" s="846"/>
      <c r="R312" s="846"/>
      <c r="S312" s="846"/>
      <c r="T312" s="846"/>
    </row>
    <row r="313" spans="2:20" ht="38.25" hidden="1">
      <c r="B313" s="828" t="s">
        <v>6997</v>
      </c>
      <c r="C313" s="828">
        <v>103420</v>
      </c>
      <c r="D313" s="630" t="s">
        <v>7036</v>
      </c>
      <c r="E313" s="630" t="s">
        <v>646</v>
      </c>
      <c r="F313" s="829">
        <v>26.82</v>
      </c>
      <c r="G313" s="830">
        <v>81.739999999999995</v>
      </c>
      <c r="H313" s="831">
        <v>108.56</v>
      </c>
      <c r="I313" s="846"/>
      <c r="J313" s="846"/>
      <c r="K313" s="846"/>
      <c r="L313" s="846"/>
      <c r="M313" s="846"/>
      <c r="N313" s="846"/>
      <c r="O313" s="846"/>
      <c r="P313" s="846"/>
      <c r="Q313" s="846"/>
      <c r="R313" s="846"/>
      <c r="S313" s="846"/>
      <c r="T313" s="846"/>
    </row>
    <row r="314" spans="2:20" ht="38.25" hidden="1">
      <c r="B314" s="828" t="s">
        <v>6997</v>
      </c>
      <c r="C314" s="828">
        <v>103421</v>
      </c>
      <c r="D314" s="630" t="s">
        <v>7037</v>
      </c>
      <c r="E314" s="630" t="s">
        <v>646</v>
      </c>
      <c r="F314" s="829">
        <v>30.04</v>
      </c>
      <c r="G314" s="830">
        <v>91.56</v>
      </c>
      <c r="H314" s="831">
        <v>121.6</v>
      </c>
      <c r="I314" s="846"/>
      <c r="J314" s="846"/>
      <c r="K314" s="846"/>
      <c r="L314" s="846"/>
      <c r="M314" s="846"/>
      <c r="N314" s="846"/>
      <c r="O314" s="846"/>
      <c r="P314" s="846"/>
      <c r="Q314" s="846"/>
      <c r="R314" s="846"/>
      <c r="S314" s="846"/>
      <c r="T314" s="846"/>
    </row>
    <row r="315" spans="2:20" ht="38.25" hidden="1">
      <c r="B315" s="828" t="s">
        <v>6997</v>
      </c>
      <c r="C315" s="828">
        <v>103422</v>
      </c>
      <c r="D315" s="630" t="s">
        <v>7038</v>
      </c>
      <c r="E315" s="630" t="s">
        <v>646</v>
      </c>
      <c r="F315" s="829">
        <v>33.82</v>
      </c>
      <c r="G315" s="830">
        <v>102.97</v>
      </c>
      <c r="H315" s="831">
        <v>136.79</v>
      </c>
      <c r="I315" s="846"/>
      <c r="J315" s="846"/>
      <c r="K315" s="846"/>
      <c r="L315" s="846"/>
      <c r="M315" s="846"/>
      <c r="N315" s="846"/>
      <c r="O315" s="846"/>
      <c r="P315" s="846"/>
      <c r="Q315" s="846"/>
      <c r="R315" s="846"/>
      <c r="S315" s="846"/>
      <c r="T315" s="846"/>
    </row>
    <row r="316" spans="2:20" ht="38.25" hidden="1">
      <c r="B316" s="828" t="s">
        <v>6997</v>
      </c>
      <c r="C316" s="828">
        <v>103423</v>
      </c>
      <c r="D316" s="630" t="s">
        <v>7039</v>
      </c>
      <c r="E316" s="630" t="s">
        <v>646</v>
      </c>
      <c r="F316" s="829">
        <v>38.130000000000003</v>
      </c>
      <c r="G316" s="830">
        <v>116.04</v>
      </c>
      <c r="H316" s="831">
        <v>154.16999999999999</v>
      </c>
      <c r="I316" s="846"/>
      <c r="J316" s="846"/>
      <c r="K316" s="846"/>
      <c r="L316" s="846"/>
      <c r="M316" s="846"/>
      <c r="N316" s="846"/>
      <c r="O316" s="846"/>
      <c r="P316" s="846"/>
      <c r="Q316" s="846"/>
      <c r="R316" s="846"/>
      <c r="S316" s="846"/>
      <c r="T316" s="846"/>
    </row>
    <row r="317" spans="2:20" ht="38.25" hidden="1">
      <c r="B317" s="828" t="s">
        <v>6997</v>
      </c>
      <c r="C317" s="828">
        <v>103424</v>
      </c>
      <c r="D317" s="630" t="s">
        <v>7040</v>
      </c>
      <c r="E317" s="630" t="s">
        <v>646</v>
      </c>
      <c r="F317" s="829">
        <v>42.95</v>
      </c>
      <c r="G317" s="830">
        <v>130.76</v>
      </c>
      <c r="H317" s="831">
        <v>173.71</v>
      </c>
      <c r="I317" s="846"/>
      <c r="J317" s="846"/>
      <c r="K317" s="846"/>
      <c r="L317" s="846"/>
      <c r="M317" s="846"/>
      <c r="N317" s="846"/>
      <c r="O317" s="846"/>
      <c r="P317" s="846"/>
      <c r="Q317" s="846"/>
      <c r="R317" s="846"/>
      <c r="S317" s="846"/>
      <c r="T317" s="846"/>
    </row>
    <row r="318" spans="2:20" ht="38.25" hidden="1">
      <c r="B318" s="828" t="s">
        <v>6997</v>
      </c>
      <c r="C318" s="828">
        <v>103425</v>
      </c>
      <c r="D318" s="630" t="s">
        <v>7041</v>
      </c>
      <c r="E318" s="630" t="s">
        <v>646</v>
      </c>
      <c r="F318" s="829">
        <v>14.01</v>
      </c>
      <c r="G318" s="830">
        <v>3.26</v>
      </c>
      <c r="H318" s="831">
        <v>17.27</v>
      </c>
      <c r="I318" s="846"/>
      <c r="J318" s="846"/>
      <c r="K318" s="846"/>
      <c r="L318" s="846"/>
      <c r="M318" s="846"/>
      <c r="N318" s="846"/>
      <c r="O318" s="846"/>
      <c r="P318" s="846"/>
      <c r="Q318" s="846"/>
      <c r="R318" s="846"/>
      <c r="S318" s="846"/>
      <c r="T318" s="846"/>
    </row>
    <row r="319" spans="2:20" ht="38.25" hidden="1">
      <c r="B319" s="612" t="s">
        <v>6997</v>
      </c>
      <c r="C319" s="612">
        <v>103426</v>
      </c>
      <c r="D319" s="630" t="s">
        <v>7042</v>
      </c>
      <c r="E319" s="630" t="s">
        <v>646</v>
      </c>
      <c r="F319" s="834">
        <v>15.67</v>
      </c>
      <c r="G319" s="835">
        <v>5.22</v>
      </c>
      <c r="H319" s="831">
        <v>20.89</v>
      </c>
      <c r="I319" s="846"/>
      <c r="J319" s="846"/>
      <c r="K319" s="846"/>
      <c r="L319" s="846"/>
      <c r="M319" s="846"/>
      <c r="N319" s="846"/>
      <c r="O319" s="846"/>
      <c r="P319" s="846"/>
      <c r="Q319" s="846"/>
      <c r="R319" s="846"/>
      <c r="S319" s="846"/>
      <c r="T319" s="846"/>
    </row>
    <row r="320" spans="2:20" ht="38.25" hidden="1">
      <c r="B320" s="612" t="s">
        <v>6997</v>
      </c>
      <c r="C320" s="612">
        <v>103427</v>
      </c>
      <c r="D320" s="630" t="s">
        <v>7043</v>
      </c>
      <c r="E320" s="630" t="s">
        <v>646</v>
      </c>
      <c r="F320" s="834">
        <v>31.55</v>
      </c>
      <c r="G320" s="835">
        <v>10.28</v>
      </c>
      <c r="H320" s="831">
        <v>41.83</v>
      </c>
      <c r="I320" s="846"/>
      <c r="J320" s="846"/>
      <c r="K320" s="846"/>
      <c r="L320" s="846"/>
      <c r="M320" s="846"/>
      <c r="N320" s="846"/>
      <c r="O320" s="846"/>
      <c r="P320" s="846"/>
      <c r="Q320" s="846"/>
      <c r="R320" s="846"/>
      <c r="S320" s="846"/>
      <c r="T320" s="846"/>
    </row>
    <row r="321" spans="2:20" ht="38.25" hidden="1">
      <c r="B321" s="828" t="s">
        <v>6997</v>
      </c>
      <c r="C321" s="828">
        <v>103428</v>
      </c>
      <c r="D321" s="630" t="s">
        <v>7044</v>
      </c>
      <c r="E321" s="630" t="s">
        <v>646</v>
      </c>
      <c r="F321" s="829">
        <v>242.26</v>
      </c>
      <c r="G321" s="830">
        <v>32.659999999999997</v>
      </c>
      <c r="H321" s="831">
        <v>274.92</v>
      </c>
      <c r="I321" s="846"/>
      <c r="J321" s="846"/>
      <c r="K321" s="846"/>
      <c r="L321" s="846"/>
      <c r="M321" s="846"/>
      <c r="N321" s="846"/>
      <c r="O321" s="846"/>
      <c r="P321" s="846"/>
      <c r="Q321" s="846"/>
      <c r="R321" s="846"/>
      <c r="S321" s="846"/>
      <c r="T321" s="846"/>
    </row>
    <row r="322" spans="2:20" ht="38.25" hidden="1">
      <c r="B322" s="828" t="s">
        <v>6997</v>
      </c>
      <c r="C322" s="828">
        <v>103429</v>
      </c>
      <c r="D322" s="630" t="s">
        <v>7045</v>
      </c>
      <c r="E322" s="630" t="s">
        <v>646</v>
      </c>
      <c r="F322" s="829">
        <v>2948.94</v>
      </c>
      <c r="G322" s="830">
        <v>65.34</v>
      </c>
      <c r="H322" s="832">
        <v>3014.28</v>
      </c>
      <c r="I322" s="846"/>
      <c r="J322" s="846"/>
      <c r="K322" s="846"/>
      <c r="L322" s="846"/>
      <c r="M322" s="846"/>
      <c r="N322" s="846"/>
      <c r="O322" s="846"/>
      <c r="P322" s="846"/>
      <c r="Q322" s="846"/>
      <c r="R322" s="846"/>
      <c r="S322" s="846"/>
      <c r="T322" s="846"/>
    </row>
    <row r="323" spans="2:20" ht="38.25" hidden="1">
      <c r="B323" s="828" t="s">
        <v>6997</v>
      </c>
      <c r="C323" s="828">
        <v>103430</v>
      </c>
      <c r="D323" s="630" t="s">
        <v>7046</v>
      </c>
      <c r="E323" s="630" t="s">
        <v>646</v>
      </c>
      <c r="F323" s="829">
        <v>31.7</v>
      </c>
      <c r="G323" s="830">
        <v>5.21</v>
      </c>
      <c r="H323" s="831">
        <v>36.909999999999997</v>
      </c>
      <c r="I323" s="846"/>
      <c r="J323" s="846"/>
      <c r="K323" s="846"/>
      <c r="L323" s="846"/>
      <c r="M323" s="846"/>
      <c r="N323" s="846"/>
      <c r="O323" s="846"/>
      <c r="P323" s="846"/>
      <c r="Q323" s="846"/>
      <c r="R323" s="846"/>
      <c r="S323" s="846"/>
      <c r="T323" s="846"/>
    </row>
    <row r="324" spans="2:20" ht="38.25" hidden="1">
      <c r="B324" s="828" t="s">
        <v>6997</v>
      </c>
      <c r="C324" s="828">
        <v>103431</v>
      </c>
      <c r="D324" s="630" t="s">
        <v>7047</v>
      </c>
      <c r="E324" s="630" t="s">
        <v>646</v>
      </c>
      <c r="F324" s="829">
        <v>54.55</v>
      </c>
      <c r="G324" s="830">
        <v>10.27</v>
      </c>
      <c r="H324" s="831">
        <v>64.819999999999993</v>
      </c>
      <c r="I324" s="846"/>
      <c r="J324" s="846"/>
      <c r="K324" s="846"/>
      <c r="L324" s="846"/>
      <c r="M324" s="846"/>
      <c r="N324" s="846"/>
      <c r="O324" s="846"/>
      <c r="P324" s="846"/>
      <c r="Q324" s="846"/>
      <c r="R324" s="846"/>
      <c r="S324" s="846"/>
      <c r="T324" s="846"/>
    </row>
    <row r="325" spans="2:20" ht="38.25" hidden="1">
      <c r="B325" s="828" t="s">
        <v>6997</v>
      </c>
      <c r="C325" s="828">
        <v>103432</v>
      </c>
      <c r="D325" s="630" t="s">
        <v>7048</v>
      </c>
      <c r="E325" s="630" t="s">
        <v>646</v>
      </c>
      <c r="F325" s="829">
        <v>1678</v>
      </c>
      <c r="G325" s="830">
        <v>32.659999999999997</v>
      </c>
      <c r="H325" s="832">
        <v>1710.66</v>
      </c>
      <c r="I325" s="846"/>
      <c r="J325" s="846"/>
      <c r="K325" s="846"/>
      <c r="L325" s="846"/>
      <c r="M325" s="846"/>
      <c r="N325" s="846"/>
      <c r="O325" s="846"/>
      <c r="P325" s="846"/>
      <c r="Q325" s="846"/>
      <c r="R325" s="846"/>
      <c r="S325" s="846"/>
      <c r="T325" s="846"/>
    </row>
    <row r="326" spans="2:20" ht="38.25" hidden="1">
      <c r="B326" s="828" t="s">
        <v>6997</v>
      </c>
      <c r="C326" s="828">
        <v>103433</v>
      </c>
      <c r="D326" s="630" t="s">
        <v>7049</v>
      </c>
      <c r="E326" s="630" t="s">
        <v>646</v>
      </c>
      <c r="F326" s="829">
        <v>33.04</v>
      </c>
      <c r="G326" s="830">
        <v>3.25</v>
      </c>
      <c r="H326" s="831">
        <v>36.29</v>
      </c>
      <c r="I326" s="846"/>
      <c r="J326" s="846"/>
      <c r="K326" s="846"/>
      <c r="L326" s="846"/>
      <c r="M326" s="846"/>
      <c r="N326" s="846"/>
      <c r="O326" s="846"/>
      <c r="P326" s="846"/>
      <c r="Q326" s="846"/>
      <c r="R326" s="846"/>
      <c r="S326" s="846"/>
      <c r="T326" s="846"/>
    </row>
    <row r="327" spans="2:20" ht="38.25" hidden="1">
      <c r="B327" s="828" t="s">
        <v>6997</v>
      </c>
      <c r="C327" s="828">
        <v>103434</v>
      </c>
      <c r="D327" s="630" t="s">
        <v>7050</v>
      </c>
      <c r="E327" s="630" t="s">
        <v>646</v>
      </c>
      <c r="F327" s="829">
        <v>45.08</v>
      </c>
      <c r="G327" s="830">
        <v>5.21</v>
      </c>
      <c r="H327" s="831">
        <v>50.29</v>
      </c>
      <c r="I327" s="846"/>
      <c r="J327" s="846"/>
      <c r="K327" s="846"/>
      <c r="L327" s="846"/>
      <c r="M327" s="846"/>
      <c r="N327" s="846"/>
      <c r="O327" s="846"/>
      <c r="P327" s="846"/>
      <c r="Q327" s="846"/>
      <c r="R327" s="846"/>
      <c r="S327" s="846"/>
      <c r="T327" s="846"/>
    </row>
    <row r="328" spans="2:20" ht="38.25" hidden="1">
      <c r="B328" s="828" t="s">
        <v>6997</v>
      </c>
      <c r="C328" s="828">
        <v>103435</v>
      </c>
      <c r="D328" s="630" t="s">
        <v>7051</v>
      </c>
      <c r="E328" s="630" t="s">
        <v>646</v>
      </c>
      <c r="F328" s="829">
        <v>83.36</v>
      </c>
      <c r="G328" s="830">
        <v>10.27</v>
      </c>
      <c r="H328" s="831">
        <v>93.63</v>
      </c>
      <c r="I328" s="846"/>
      <c r="J328" s="846"/>
      <c r="K328" s="846"/>
      <c r="L328" s="846"/>
      <c r="M328" s="846"/>
      <c r="N328" s="846"/>
      <c r="O328" s="846"/>
      <c r="P328" s="846"/>
      <c r="Q328" s="846"/>
      <c r="R328" s="846"/>
      <c r="S328" s="846"/>
      <c r="T328" s="846"/>
    </row>
    <row r="329" spans="2:20" ht="38.25" hidden="1">
      <c r="B329" s="828" t="s">
        <v>6997</v>
      </c>
      <c r="C329" s="828">
        <v>103436</v>
      </c>
      <c r="D329" s="630" t="s">
        <v>7052</v>
      </c>
      <c r="E329" s="630" t="s">
        <v>646</v>
      </c>
      <c r="F329" s="829">
        <v>2388.4699999999998</v>
      </c>
      <c r="G329" s="830">
        <v>32.659999999999997</v>
      </c>
      <c r="H329" s="832">
        <v>2421.13</v>
      </c>
      <c r="I329" s="846"/>
      <c r="J329" s="846"/>
      <c r="K329" s="846"/>
      <c r="L329" s="846"/>
      <c r="M329" s="846"/>
      <c r="N329" s="846"/>
      <c r="O329" s="846"/>
      <c r="P329" s="846"/>
      <c r="Q329" s="846"/>
      <c r="R329" s="846"/>
      <c r="S329" s="846"/>
      <c r="T329" s="846"/>
    </row>
    <row r="330" spans="2:20" ht="38.25" hidden="1">
      <c r="B330" s="828" t="s">
        <v>6997</v>
      </c>
      <c r="C330" s="828">
        <v>103437</v>
      </c>
      <c r="D330" s="630" t="s">
        <v>7053</v>
      </c>
      <c r="E330" s="630" t="s">
        <v>646</v>
      </c>
      <c r="F330" s="829">
        <v>173.61</v>
      </c>
      <c r="G330" s="830">
        <v>20.57</v>
      </c>
      <c r="H330" s="831">
        <v>194.18</v>
      </c>
      <c r="I330" s="846"/>
      <c r="J330" s="846"/>
      <c r="K330" s="846"/>
      <c r="L330" s="846"/>
      <c r="M330" s="846"/>
      <c r="N330" s="846"/>
      <c r="O330" s="846"/>
      <c r="P330" s="846"/>
      <c r="Q330" s="846"/>
      <c r="R330" s="846"/>
      <c r="S330" s="846"/>
      <c r="T330" s="846"/>
    </row>
    <row r="331" spans="2:20" ht="38.25" hidden="1">
      <c r="B331" s="828" t="s">
        <v>6997</v>
      </c>
      <c r="C331" s="828">
        <v>103438</v>
      </c>
      <c r="D331" s="630" t="s">
        <v>7054</v>
      </c>
      <c r="E331" s="630" t="s">
        <v>646</v>
      </c>
      <c r="F331" s="829">
        <v>173.61</v>
      </c>
      <c r="G331" s="830">
        <v>20.57</v>
      </c>
      <c r="H331" s="831">
        <v>194.18</v>
      </c>
      <c r="I331" s="846"/>
      <c r="J331" s="846"/>
      <c r="K331" s="846"/>
      <c r="L331" s="846"/>
      <c r="M331" s="846"/>
      <c r="N331" s="846"/>
      <c r="O331" s="846"/>
      <c r="P331" s="846"/>
      <c r="Q331" s="846"/>
      <c r="R331" s="846"/>
      <c r="S331" s="846"/>
      <c r="T331" s="846"/>
    </row>
    <row r="332" spans="2:20" ht="38.25" hidden="1">
      <c r="B332" s="828" t="s">
        <v>6997</v>
      </c>
      <c r="C332" s="828">
        <v>103439</v>
      </c>
      <c r="D332" s="630" t="s">
        <v>7055</v>
      </c>
      <c r="E332" s="630" t="s">
        <v>646</v>
      </c>
      <c r="F332" s="829">
        <v>207.71</v>
      </c>
      <c r="G332" s="830">
        <v>20.57</v>
      </c>
      <c r="H332" s="831">
        <v>228.28</v>
      </c>
      <c r="I332" s="846"/>
      <c r="J332" s="846"/>
      <c r="K332" s="846"/>
      <c r="L332" s="846"/>
      <c r="M332" s="846"/>
      <c r="N332" s="846"/>
      <c r="O332" s="846"/>
      <c r="P332" s="846"/>
      <c r="Q332" s="846"/>
      <c r="R332" s="846"/>
      <c r="S332" s="846"/>
      <c r="T332" s="846"/>
    </row>
    <row r="333" spans="2:20" ht="38.25" hidden="1">
      <c r="B333" s="828" t="s">
        <v>6997</v>
      </c>
      <c r="C333" s="828">
        <v>103440</v>
      </c>
      <c r="D333" s="630" t="s">
        <v>7056</v>
      </c>
      <c r="E333" s="630" t="s">
        <v>646</v>
      </c>
      <c r="F333" s="829">
        <v>374.69</v>
      </c>
      <c r="G333" s="830">
        <v>65.349999999999994</v>
      </c>
      <c r="H333" s="831">
        <v>440.04</v>
      </c>
      <c r="I333" s="846"/>
      <c r="J333" s="846"/>
      <c r="K333" s="846"/>
      <c r="L333" s="846"/>
      <c r="M333" s="846"/>
      <c r="N333" s="846"/>
      <c r="O333" s="846"/>
      <c r="P333" s="846"/>
      <c r="Q333" s="846"/>
      <c r="R333" s="846"/>
      <c r="S333" s="846"/>
      <c r="T333" s="846"/>
    </row>
    <row r="334" spans="2:20" ht="38.25" hidden="1">
      <c r="B334" s="828" t="s">
        <v>6997</v>
      </c>
      <c r="C334" s="828">
        <v>103441</v>
      </c>
      <c r="D334" s="630" t="s">
        <v>7057</v>
      </c>
      <c r="E334" s="630" t="s">
        <v>646</v>
      </c>
      <c r="F334" s="829">
        <v>380.22</v>
      </c>
      <c r="G334" s="830">
        <v>65.349999999999994</v>
      </c>
      <c r="H334" s="831">
        <v>445.57</v>
      </c>
      <c r="I334" s="846"/>
      <c r="J334" s="846"/>
      <c r="K334" s="846"/>
      <c r="L334" s="846"/>
      <c r="M334" s="846"/>
      <c r="N334" s="846"/>
      <c r="O334" s="846"/>
      <c r="P334" s="846"/>
      <c r="Q334" s="846"/>
      <c r="R334" s="846"/>
      <c r="S334" s="846"/>
      <c r="T334" s="846"/>
    </row>
    <row r="335" spans="2:20" ht="38.25" hidden="1">
      <c r="B335" s="828" t="s">
        <v>6997</v>
      </c>
      <c r="C335" s="828">
        <v>103442</v>
      </c>
      <c r="D335" s="630" t="s">
        <v>7058</v>
      </c>
      <c r="E335" s="630" t="s">
        <v>646</v>
      </c>
      <c r="F335" s="829">
        <v>513.54999999999995</v>
      </c>
      <c r="G335" s="830">
        <v>65.34</v>
      </c>
      <c r="H335" s="831">
        <v>578.89</v>
      </c>
      <c r="I335" s="846"/>
      <c r="J335" s="846"/>
      <c r="K335" s="846"/>
      <c r="L335" s="846"/>
      <c r="M335" s="846"/>
      <c r="N335" s="846"/>
      <c r="O335" s="846"/>
      <c r="P335" s="846"/>
      <c r="Q335" s="846"/>
      <c r="R335" s="846"/>
      <c r="S335" s="846"/>
      <c r="T335" s="846"/>
    </row>
    <row r="336" spans="2:20" ht="25.5" hidden="1">
      <c r="B336" s="828" t="s">
        <v>6573</v>
      </c>
      <c r="C336" s="828">
        <v>93206</v>
      </c>
      <c r="D336" s="630" t="s">
        <v>938</v>
      </c>
      <c r="E336" s="630" t="s">
        <v>649</v>
      </c>
      <c r="F336" s="829">
        <v>799.86999999999989</v>
      </c>
      <c r="G336" s="830">
        <v>415.97</v>
      </c>
      <c r="H336" s="832">
        <v>1215.8399999999999</v>
      </c>
      <c r="I336" s="846"/>
      <c r="J336" s="846"/>
      <c r="K336" s="846"/>
      <c r="L336" s="846"/>
      <c r="M336" s="846"/>
      <c r="N336" s="846"/>
      <c r="O336" s="846"/>
      <c r="P336" s="846"/>
      <c r="Q336" s="846"/>
      <c r="R336" s="846"/>
      <c r="S336" s="846"/>
      <c r="T336" s="846"/>
    </row>
    <row r="337" spans="2:20" ht="25.5" hidden="1">
      <c r="B337" s="612" t="s">
        <v>6573</v>
      </c>
      <c r="C337" s="612">
        <v>93207</v>
      </c>
      <c r="D337" s="630" t="s">
        <v>939</v>
      </c>
      <c r="E337" s="630" t="s">
        <v>649</v>
      </c>
      <c r="F337" s="834">
        <v>998.24</v>
      </c>
      <c r="G337" s="835">
        <v>244.23</v>
      </c>
      <c r="H337" s="832">
        <v>1242.47</v>
      </c>
      <c r="I337" s="846"/>
      <c r="J337" s="846"/>
      <c r="K337" s="846"/>
      <c r="L337" s="846"/>
      <c r="M337" s="846"/>
      <c r="N337" s="846"/>
      <c r="O337" s="846"/>
      <c r="P337" s="846"/>
      <c r="Q337" s="846"/>
      <c r="R337" s="846"/>
      <c r="S337" s="846"/>
      <c r="T337" s="846"/>
    </row>
    <row r="338" spans="2:20" ht="25.5" hidden="1">
      <c r="B338" s="828" t="s">
        <v>6573</v>
      </c>
      <c r="C338" s="828">
        <v>93208</v>
      </c>
      <c r="D338" s="630" t="s">
        <v>940</v>
      </c>
      <c r="E338" s="630" t="s">
        <v>649</v>
      </c>
      <c r="F338" s="829">
        <v>875.08999999999992</v>
      </c>
      <c r="G338" s="830">
        <v>177.2</v>
      </c>
      <c r="H338" s="832">
        <v>1052.29</v>
      </c>
      <c r="I338" s="846"/>
      <c r="J338" s="846"/>
      <c r="K338" s="846"/>
      <c r="L338" s="846"/>
      <c r="M338" s="846"/>
      <c r="N338" s="846"/>
      <c r="O338" s="846"/>
      <c r="P338" s="846"/>
      <c r="Q338" s="846"/>
      <c r="R338" s="846"/>
      <c r="S338" s="846"/>
      <c r="T338" s="846"/>
    </row>
    <row r="339" spans="2:20" ht="25.5" hidden="1">
      <c r="B339" s="828" t="s">
        <v>6573</v>
      </c>
      <c r="C339" s="828">
        <v>93209</v>
      </c>
      <c r="D339" s="630" t="s">
        <v>941</v>
      </c>
      <c r="E339" s="630" t="s">
        <v>649</v>
      </c>
      <c r="F339" s="829">
        <v>733.84</v>
      </c>
      <c r="G339" s="830">
        <v>312.77</v>
      </c>
      <c r="H339" s="832">
        <v>1046.6099999999999</v>
      </c>
      <c r="I339" s="846"/>
      <c r="J339" s="846"/>
      <c r="K339" s="846"/>
      <c r="L339" s="846"/>
      <c r="M339" s="846"/>
      <c r="N339" s="846"/>
      <c r="O339" s="846"/>
      <c r="P339" s="846"/>
      <c r="Q339" s="846"/>
      <c r="R339" s="846"/>
      <c r="S339" s="846"/>
      <c r="T339" s="846"/>
    </row>
    <row r="340" spans="2:20" ht="25.5" hidden="1">
      <c r="B340" s="828" t="s">
        <v>6573</v>
      </c>
      <c r="C340" s="828">
        <v>93210</v>
      </c>
      <c r="D340" s="630" t="s">
        <v>942</v>
      </c>
      <c r="E340" s="630" t="s">
        <v>649</v>
      </c>
      <c r="F340" s="829">
        <v>510.05000000000007</v>
      </c>
      <c r="G340" s="830">
        <v>151.78</v>
      </c>
      <c r="H340" s="831">
        <v>661.83</v>
      </c>
      <c r="I340" s="846"/>
      <c r="J340" s="846"/>
      <c r="K340" s="846"/>
      <c r="L340" s="846"/>
      <c r="M340" s="846"/>
      <c r="N340" s="846"/>
      <c r="O340" s="846"/>
      <c r="P340" s="846"/>
      <c r="Q340" s="846"/>
      <c r="R340" s="846"/>
      <c r="S340" s="846"/>
      <c r="T340" s="846"/>
    </row>
    <row r="341" spans="2:20" ht="25.5" hidden="1">
      <c r="B341" s="828" t="s">
        <v>6573</v>
      </c>
      <c r="C341" s="828">
        <v>93211</v>
      </c>
      <c r="D341" s="630" t="s">
        <v>943</v>
      </c>
      <c r="E341" s="630" t="s">
        <v>649</v>
      </c>
      <c r="F341" s="829">
        <v>457.02000000000004</v>
      </c>
      <c r="G341" s="830">
        <v>186.9</v>
      </c>
      <c r="H341" s="831">
        <v>643.91999999999996</v>
      </c>
      <c r="I341" s="846"/>
      <c r="J341" s="846"/>
      <c r="K341" s="846"/>
      <c r="L341" s="846"/>
      <c r="M341" s="846"/>
      <c r="N341" s="846"/>
      <c r="O341" s="846"/>
      <c r="P341" s="846"/>
      <c r="Q341" s="846"/>
      <c r="R341" s="846"/>
      <c r="S341" s="846"/>
      <c r="T341" s="846"/>
    </row>
    <row r="342" spans="2:20" ht="25.5" hidden="1">
      <c r="B342" s="828" t="s">
        <v>6573</v>
      </c>
      <c r="C342" s="828">
        <v>93212</v>
      </c>
      <c r="D342" s="630" t="s">
        <v>944</v>
      </c>
      <c r="E342" s="630" t="s">
        <v>649</v>
      </c>
      <c r="F342" s="829">
        <v>866.75</v>
      </c>
      <c r="G342" s="830">
        <v>250.18</v>
      </c>
      <c r="H342" s="832">
        <v>1116.93</v>
      </c>
      <c r="I342" s="846"/>
      <c r="J342" s="846"/>
      <c r="K342" s="846"/>
      <c r="L342" s="846"/>
      <c r="M342" s="846"/>
      <c r="N342" s="846"/>
      <c r="O342" s="846"/>
      <c r="P342" s="846"/>
      <c r="Q342" s="846"/>
      <c r="R342" s="846"/>
      <c r="S342" s="846"/>
      <c r="T342" s="846"/>
    </row>
    <row r="343" spans="2:20" ht="25.5" hidden="1">
      <c r="B343" s="828" t="s">
        <v>6573</v>
      </c>
      <c r="C343" s="828">
        <v>93213</v>
      </c>
      <c r="D343" s="630" t="s">
        <v>945</v>
      </c>
      <c r="E343" s="630" t="s">
        <v>649</v>
      </c>
      <c r="F343" s="829">
        <v>754.68999999999994</v>
      </c>
      <c r="G343" s="830">
        <v>336.7</v>
      </c>
      <c r="H343" s="832">
        <v>1091.3900000000001</v>
      </c>
      <c r="I343" s="846"/>
      <c r="J343" s="846"/>
      <c r="K343" s="846"/>
      <c r="L343" s="846"/>
      <c r="M343" s="846"/>
      <c r="N343" s="846"/>
      <c r="O343" s="846"/>
      <c r="P343" s="846"/>
      <c r="Q343" s="846"/>
      <c r="R343" s="846"/>
      <c r="S343" s="846"/>
      <c r="T343" s="846"/>
    </row>
    <row r="344" spans="2:20" ht="25.5" hidden="1">
      <c r="B344" s="828" t="s">
        <v>6573</v>
      </c>
      <c r="C344" s="828">
        <v>93214</v>
      </c>
      <c r="D344" s="630" t="s">
        <v>946</v>
      </c>
      <c r="E344" s="630" t="s">
        <v>646</v>
      </c>
      <c r="F344" s="829">
        <v>6862.64</v>
      </c>
      <c r="G344" s="830">
        <v>401.26</v>
      </c>
      <c r="H344" s="832">
        <v>7263.9</v>
      </c>
      <c r="I344" s="846"/>
      <c r="J344" s="846"/>
      <c r="K344" s="846"/>
      <c r="L344" s="846"/>
      <c r="M344" s="846"/>
      <c r="N344" s="846"/>
      <c r="O344" s="846"/>
      <c r="P344" s="846"/>
      <c r="Q344" s="846"/>
      <c r="R344" s="846"/>
      <c r="S344" s="846"/>
      <c r="T344" s="846"/>
    </row>
    <row r="345" spans="2:20" ht="25.5" hidden="1">
      <c r="B345" s="828" t="s">
        <v>6573</v>
      </c>
      <c r="C345" s="828">
        <v>93243</v>
      </c>
      <c r="D345" s="630" t="s">
        <v>2781</v>
      </c>
      <c r="E345" s="630" t="s">
        <v>646</v>
      </c>
      <c r="F345" s="829">
        <v>10562.69</v>
      </c>
      <c r="G345" s="830">
        <v>529.16</v>
      </c>
      <c r="H345" s="832">
        <v>11091.85</v>
      </c>
      <c r="I345" s="846"/>
      <c r="J345" s="846"/>
      <c r="K345" s="846"/>
      <c r="L345" s="846"/>
      <c r="M345" s="846"/>
      <c r="N345" s="846"/>
      <c r="O345" s="846"/>
      <c r="P345" s="846"/>
      <c r="Q345" s="846"/>
      <c r="R345" s="846"/>
      <c r="S345" s="846"/>
      <c r="T345" s="846"/>
    </row>
    <row r="346" spans="2:20" ht="25.5" hidden="1">
      <c r="B346" s="828" t="s">
        <v>6573</v>
      </c>
      <c r="C346" s="828">
        <v>93582</v>
      </c>
      <c r="D346" s="630" t="s">
        <v>841</v>
      </c>
      <c r="E346" s="630" t="s">
        <v>649</v>
      </c>
      <c r="F346" s="829">
        <v>250.45</v>
      </c>
      <c r="G346" s="830">
        <v>60.87</v>
      </c>
      <c r="H346" s="831">
        <v>311.32</v>
      </c>
      <c r="I346" s="846"/>
      <c r="J346" s="846"/>
      <c r="K346" s="846"/>
      <c r="L346" s="846"/>
      <c r="M346" s="846"/>
      <c r="N346" s="846"/>
      <c r="O346" s="846"/>
      <c r="P346" s="846"/>
      <c r="Q346" s="846"/>
      <c r="R346" s="846"/>
      <c r="S346" s="846"/>
      <c r="T346" s="846"/>
    </row>
    <row r="347" spans="2:20" ht="38.25" hidden="1">
      <c r="B347" s="828" t="s">
        <v>6573</v>
      </c>
      <c r="C347" s="828">
        <v>93583</v>
      </c>
      <c r="D347" s="630" t="s">
        <v>842</v>
      </c>
      <c r="E347" s="630" t="s">
        <v>649</v>
      </c>
      <c r="F347" s="829">
        <v>395.9</v>
      </c>
      <c r="G347" s="830">
        <v>100.87</v>
      </c>
      <c r="H347" s="831">
        <v>496.77</v>
      </c>
      <c r="I347" s="846"/>
      <c r="J347" s="846"/>
      <c r="K347" s="846"/>
      <c r="L347" s="846"/>
      <c r="M347" s="846"/>
      <c r="N347" s="846"/>
      <c r="O347" s="846"/>
      <c r="P347" s="846"/>
      <c r="Q347" s="846"/>
      <c r="R347" s="846"/>
      <c r="S347" s="846"/>
      <c r="T347" s="846"/>
    </row>
    <row r="348" spans="2:20" ht="25.5" hidden="1">
      <c r="B348" s="828" t="s">
        <v>6573</v>
      </c>
      <c r="C348" s="828">
        <v>93584</v>
      </c>
      <c r="D348" s="630" t="s">
        <v>843</v>
      </c>
      <c r="E348" s="630" t="s">
        <v>649</v>
      </c>
      <c r="F348" s="829">
        <v>867.46</v>
      </c>
      <c r="G348" s="830">
        <v>193.23</v>
      </c>
      <c r="H348" s="832">
        <v>1060.69</v>
      </c>
      <c r="I348" s="846"/>
      <c r="J348" s="846"/>
      <c r="K348" s="846"/>
      <c r="L348" s="846"/>
      <c r="M348" s="846"/>
      <c r="N348" s="846"/>
      <c r="O348" s="846"/>
      <c r="P348" s="846"/>
      <c r="Q348" s="846"/>
      <c r="R348" s="846"/>
      <c r="S348" s="846"/>
      <c r="T348" s="846"/>
    </row>
    <row r="349" spans="2:20" ht="25.5" hidden="1">
      <c r="B349" s="828" t="s">
        <v>6573</v>
      </c>
      <c r="C349" s="828">
        <v>93585</v>
      </c>
      <c r="D349" s="630" t="s">
        <v>622</v>
      </c>
      <c r="E349" s="630" t="s">
        <v>649</v>
      </c>
      <c r="F349" s="829">
        <v>1081.1399999999999</v>
      </c>
      <c r="G349" s="830">
        <v>227.4</v>
      </c>
      <c r="H349" s="832">
        <v>1308.54</v>
      </c>
      <c r="I349" s="846"/>
      <c r="J349" s="846"/>
      <c r="K349" s="846"/>
      <c r="L349" s="846"/>
      <c r="M349" s="846"/>
      <c r="N349" s="846"/>
      <c r="O349" s="846"/>
      <c r="P349" s="846"/>
      <c r="Q349" s="846"/>
      <c r="R349" s="846"/>
      <c r="S349" s="846"/>
      <c r="T349" s="846"/>
    </row>
    <row r="350" spans="2:20" ht="38.25" hidden="1">
      <c r="B350" s="828" t="s">
        <v>6573</v>
      </c>
      <c r="C350" s="828">
        <v>98441</v>
      </c>
      <c r="D350" s="630" t="s">
        <v>2880</v>
      </c>
      <c r="E350" s="630" t="s">
        <v>649</v>
      </c>
      <c r="F350" s="829">
        <v>148.15</v>
      </c>
      <c r="G350" s="830">
        <v>24.06</v>
      </c>
      <c r="H350" s="831">
        <v>172.21</v>
      </c>
      <c r="I350" s="846"/>
      <c r="J350" s="846"/>
      <c r="K350" s="846"/>
      <c r="L350" s="846"/>
      <c r="M350" s="846"/>
      <c r="N350" s="846"/>
      <c r="O350" s="846"/>
      <c r="P350" s="846"/>
      <c r="Q350" s="846"/>
      <c r="R350" s="846"/>
      <c r="S350" s="846"/>
      <c r="T350" s="846"/>
    </row>
    <row r="351" spans="2:20" ht="38.25" hidden="1">
      <c r="B351" s="828" t="s">
        <v>6573</v>
      </c>
      <c r="C351" s="828">
        <v>98442</v>
      </c>
      <c r="D351" s="630" t="s">
        <v>2881</v>
      </c>
      <c r="E351" s="630" t="s">
        <v>649</v>
      </c>
      <c r="F351" s="829">
        <v>149</v>
      </c>
      <c r="G351" s="830">
        <v>27</v>
      </c>
      <c r="H351" s="831">
        <v>176</v>
      </c>
      <c r="I351" s="846"/>
      <c r="J351" s="846"/>
      <c r="K351" s="846"/>
      <c r="L351" s="846"/>
      <c r="M351" s="846"/>
      <c r="N351" s="846"/>
      <c r="O351" s="846"/>
      <c r="P351" s="846"/>
      <c r="Q351" s="846"/>
      <c r="R351" s="846"/>
      <c r="S351" s="846"/>
      <c r="T351" s="846"/>
    </row>
    <row r="352" spans="2:20" ht="38.25" hidden="1">
      <c r="B352" s="828" t="s">
        <v>6573</v>
      </c>
      <c r="C352" s="828">
        <v>98443</v>
      </c>
      <c r="D352" s="630" t="s">
        <v>2882</v>
      </c>
      <c r="E352" s="630" t="s">
        <v>649</v>
      </c>
      <c r="F352" s="829">
        <v>136.79</v>
      </c>
      <c r="G352" s="830">
        <v>12.94</v>
      </c>
      <c r="H352" s="831">
        <v>149.72999999999999</v>
      </c>
      <c r="I352" s="846"/>
      <c r="J352" s="846"/>
      <c r="K352" s="846"/>
      <c r="L352" s="846"/>
      <c r="M352" s="846"/>
      <c r="N352" s="846"/>
      <c r="O352" s="846"/>
      <c r="P352" s="846"/>
      <c r="Q352" s="846"/>
      <c r="R352" s="846"/>
      <c r="S352" s="846"/>
      <c r="T352" s="846"/>
    </row>
    <row r="353" spans="2:20" ht="38.25" hidden="1">
      <c r="B353" s="828" t="s">
        <v>6573</v>
      </c>
      <c r="C353" s="828">
        <v>98444</v>
      </c>
      <c r="D353" s="630" t="s">
        <v>2883</v>
      </c>
      <c r="E353" s="630" t="s">
        <v>649</v>
      </c>
      <c r="F353" s="829">
        <v>137.38</v>
      </c>
      <c r="G353" s="830">
        <v>15.05</v>
      </c>
      <c r="H353" s="831">
        <v>152.43</v>
      </c>
      <c r="I353" s="846"/>
      <c r="J353" s="846"/>
      <c r="K353" s="846"/>
      <c r="L353" s="846"/>
      <c r="M353" s="846"/>
      <c r="N353" s="846"/>
      <c r="O353" s="846"/>
      <c r="P353" s="846"/>
      <c r="Q353" s="846"/>
      <c r="R353" s="846"/>
      <c r="S353" s="846"/>
      <c r="T353" s="846"/>
    </row>
    <row r="354" spans="2:20" ht="38.25" hidden="1">
      <c r="B354" s="828" t="s">
        <v>6573</v>
      </c>
      <c r="C354" s="828">
        <v>98445</v>
      </c>
      <c r="D354" s="630" t="s">
        <v>2884</v>
      </c>
      <c r="E354" s="630" t="s">
        <v>649</v>
      </c>
      <c r="F354" s="829">
        <v>175.42999999999998</v>
      </c>
      <c r="G354" s="830">
        <v>34.950000000000003</v>
      </c>
      <c r="H354" s="831">
        <v>210.38</v>
      </c>
      <c r="I354" s="846"/>
      <c r="J354" s="846"/>
      <c r="K354" s="846"/>
      <c r="L354" s="846"/>
      <c r="M354" s="846"/>
      <c r="N354" s="846"/>
      <c r="O354" s="846"/>
      <c r="P354" s="846"/>
      <c r="Q354" s="846"/>
      <c r="R354" s="846"/>
      <c r="S354" s="846"/>
      <c r="T354" s="846"/>
    </row>
    <row r="355" spans="2:20" ht="38.25" hidden="1">
      <c r="B355" s="828" t="s">
        <v>6573</v>
      </c>
      <c r="C355" s="828">
        <v>98446</v>
      </c>
      <c r="D355" s="630" t="s">
        <v>2885</v>
      </c>
      <c r="E355" s="630" t="s">
        <v>649</v>
      </c>
      <c r="F355" s="829">
        <v>216.16</v>
      </c>
      <c r="G355" s="830">
        <v>57.28</v>
      </c>
      <c r="H355" s="831">
        <v>273.44</v>
      </c>
      <c r="I355" s="846"/>
      <c r="J355" s="846"/>
      <c r="K355" s="846"/>
      <c r="L355" s="846"/>
      <c r="M355" s="846"/>
      <c r="N355" s="846"/>
      <c r="O355" s="846"/>
      <c r="P355" s="846"/>
      <c r="Q355" s="846"/>
      <c r="R355" s="846"/>
      <c r="S355" s="846"/>
      <c r="T355" s="846"/>
    </row>
    <row r="356" spans="2:20" ht="38.25" hidden="1">
      <c r="B356" s="828" t="s">
        <v>6573</v>
      </c>
      <c r="C356" s="828">
        <v>98447</v>
      </c>
      <c r="D356" s="630" t="s">
        <v>2886</v>
      </c>
      <c r="E356" s="630" t="s">
        <v>649</v>
      </c>
      <c r="F356" s="829">
        <v>159.13999999999999</v>
      </c>
      <c r="G356" s="830">
        <v>19.850000000000001</v>
      </c>
      <c r="H356" s="831">
        <v>178.99</v>
      </c>
      <c r="I356" s="846"/>
      <c r="J356" s="846"/>
      <c r="K356" s="846"/>
      <c r="L356" s="846"/>
      <c r="M356" s="846"/>
      <c r="N356" s="846"/>
      <c r="O356" s="846"/>
      <c r="P356" s="846"/>
      <c r="Q356" s="846"/>
      <c r="R356" s="846"/>
      <c r="S356" s="846"/>
      <c r="T356" s="846"/>
    </row>
    <row r="357" spans="2:20" ht="38.25" hidden="1">
      <c r="B357" s="828" t="s">
        <v>6573</v>
      </c>
      <c r="C357" s="828">
        <v>98448</v>
      </c>
      <c r="D357" s="630" t="s">
        <v>2887</v>
      </c>
      <c r="E357" s="630" t="s">
        <v>649</v>
      </c>
      <c r="F357" s="829">
        <v>192.59</v>
      </c>
      <c r="G357" s="830">
        <v>35.71</v>
      </c>
      <c r="H357" s="831">
        <v>228.3</v>
      </c>
      <c r="I357" s="846"/>
      <c r="J357" s="846"/>
      <c r="K357" s="846"/>
      <c r="L357" s="846"/>
      <c r="M357" s="846"/>
      <c r="N357" s="846"/>
      <c r="O357" s="846"/>
      <c r="P357" s="846"/>
      <c r="Q357" s="846"/>
      <c r="R357" s="846"/>
      <c r="S357" s="846"/>
      <c r="T357" s="846"/>
    </row>
    <row r="358" spans="2:20" ht="38.25" hidden="1">
      <c r="B358" s="828" t="s">
        <v>6573</v>
      </c>
      <c r="C358" s="828">
        <v>98449</v>
      </c>
      <c r="D358" s="630" t="s">
        <v>2888</v>
      </c>
      <c r="E358" s="630" t="s">
        <v>649</v>
      </c>
      <c r="F358" s="829">
        <v>180.75</v>
      </c>
      <c r="G358" s="830">
        <v>28.37</v>
      </c>
      <c r="H358" s="831">
        <v>209.12</v>
      </c>
      <c r="I358" s="846"/>
      <c r="J358" s="846"/>
      <c r="K358" s="846"/>
      <c r="L358" s="846"/>
      <c r="M358" s="846"/>
      <c r="N358" s="846"/>
      <c r="O358" s="846"/>
      <c r="P358" s="846"/>
      <c r="Q358" s="846"/>
      <c r="R358" s="846"/>
      <c r="S358" s="846"/>
      <c r="T358" s="846"/>
    </row>
    <row r="359" spans="2:20" ht="38.25" hidden="1">
      <c r="B359" s="828" t="s">
        <v>6573</v>
      </c>
      <c r="C359" s="828">
        <v>98450</v>
      </c>
      <c r="D359" s="630" t="s">
        <v>2889</v>
      </c>
      <c r="E359" s="630" t="s">
        <v>649</v>
      </c>
      <c r="F359" s="829">
        <v>181.97</v>
      </c>
      <c r="G359" s="830">
        <v>32.67</v>
      </c>
      <c r="H359" s="831">
        <v>214.64</v>
      </c>
      <c r="I359" s="846"/>
      <c r="J359" s="846"/>
      <c r="K359" s="846"/>
      <c r="L359" s="846"/>
      <c r="M359" s="846"/>
      <c r="N359" s="846"/>
      <c r="O359" s="846"/>
      <c r="P359" s="846"/>
      <c r="Q359" s="846"/>
      <c r="R359" s="846"/>
      <c r="S359" s="846"/>
      <c r="T359" s="846"/>
    </row>
    <row r="360" spans="2:20" ht="38.25" hidden="1">
      <c r="B360" s="828" t="s">
        <v>6573</v>
      </c>
      <c r="C360" s="828">
        <v>98451</v>
      </c>
      <c r="D360" s="630" t="s">
        <v>2890</v>
      </c>
      <c r="E360" s="630" t="s">
        <v>649</v>
      </c>
      <c r="F360" s="829">
        <v>168.64999999999998</v>
      </c>
      <c r="G360" s="830">
        <v>14.73</v>
      </c>
      <c r="H360" s="831">
        <v>183.38</v>
      </c>
      <c r="I360" s="846"/>
      <c r="J360" s="846"/>
      <c r="K360" s="846"/>
      <c r="L360" s="846"/>
      <c r="M360" s="846"/>
      <c r="N360" s="846"/>
      <c r="O360" s="846"/>
      <c r="P360" s="846"/>
      <c r="Q360" s="846"/>
      <c r="R360" s="846"/>
      <c r="S360" s="846"/>
      <c r="T360" s="846"/>
    </row>
    <row r="361" spans="2:20" ht="38.25" hidden="1">
      <c r="B361" s="828" t="s">
        <v>6573</v>
      </c>
      <c r="C361" s="828">
        <v>98452</v>
      </c>
      <c r="D361" s="630" t="s">
        <v>2891</v>
      </c>
      <c r="E361" s="630" t="s">
        <v>649</v>
      </c>
      <c r="F361" s="829">
        <v>169.39999999999998</v>
      </c>
      <c r="G361" s="830">
        <v>17.329999999999998</v>
      </c>
      <c r="H361" s="831">
        <v>186.73</v>
      </c>
      <c r="I361" s="846"/>
      <c r="J361" s="846"/>
      <c r="K361" s="846"/>
      <c r="L361" s="846"/>
      <c r="M361" s="846"/>
      <c r="N361" s="846"/>
      <c r="O361" s="846"/>
      <c r="P361" s="846"/>
      <c r="Q361" s="846"/>
      <c r="R361" s="846"/>
      <c r="S361" s="846"/>
      <c r="T361" s="846"/>
    </row>
    <row r="362" spans="2:20" ht="38.25" hidden="1">
      <c r="B362" s="828" t="s">
        <v>6573</v>
      </c>
      <c r="C362" s="828">
        <v>98453</v>
      </c>
      <c r="D362" s="630" t="s">
        <v>2892</v>
      </c>
      <c r="E362" s="630" t="s">
        <v>649</v>
      </c>
      <c r="F362" s="829">
        <v>209.67</v>
      </c>
      <c r="G362" s="830">
        <v>44.13</v>
      </c>
      <c r="H362" s="831">
        <v>253.8</v>
      </c>
      <c r="I362" s="846"/>
      <c r="J362" s="846"/>
      <c r="K362" s="846"/>
      <c r="L362" s="846"/>
      <c r="M362" s="846"/>
      <c r="N362" s="846"/>
      <c r="O362" s="846"/>
      <c r="P362" s="846"/>
      <c r="Q362" s="846"/>
      <c r="R362" s="846"/>
      <c r="S362" s="846"/>
      <c r="T362" s="846"/>
    </row>
    <row r="363" spans="2:20" ht="38.25" hidden="1">
      <c r="B363" s="828" t="s">
        <v>6573</v>
      </c>
      <c r="C363" s="828">
        <v>98454</v>
      </c>
      <c r="D363" s="630" t="s">
        <v>2893</v>
      </c>
      <c r="E363" s="630" t="s">
        <v>649</v>
      </c>
      <c r="F363" s="829">
        <v>254.09</v>
      </c>
      <c r="G363" s="830">
        <v>78.55</v>
      </c>
      <c r="H363" s="831">
        <v>332.64</v>
      </c>
      <c r="I363" s="846"/>
      <c r="J363" s="846"/>
      <c r="K363" s="846"/>
      <c r="L363" s="846"/>
      <c r="M363" s="846"/>
      <c r="N363" s="846"/>
      <c r="O363" s="846"/>
      <c r="P363" s="846"/>
      <c r="Q363" s="846"/>
      <c r="R363" s="846"/>
      <c r="S363" s="846"/>
      <c r="T363" s="846"/>
    </row>
    <row r="364" spans="2:20" ht="38.25" hidden="1">
      <c r="B364" s="828" t="s">
        <v>6573</v>
      </c>
      <c r="C364" s="828">
        <v>98455</v>
      </c>
      <c r="D364" s="630" t="s">
        <v>2894</v>
      </c>
      <c r="E364" s="630" t="s">
        <v>649</v>
      </c>
      <c r="F364" s="829">
        <v>192.64999999999998</v>
      </c>
      <c r="G364" s="830">
        <v>26.49</v>
      </c>
      <c r="H364" s="831">
        <v>219.14</v>
      </c>
      <c r="I364" s="846"/>
      <c r="J364" s="846"/>
      <c r="K364" s="846"/>
      <c r="L364" s="846"/>
      <c r="M364" s="846"/>
      <c r="N364" s="846"/>
      <c r="O364" s="846"/>
      <c r="P364" s="846"/>
      <c r="Q364" s="846"/>
      <c r="R364" s="846"/>
      <c r="S364" s="846"/>
      <c r="T364" s="846"/>
    </row>
    <row r="365" spans="2:20" ht="38.25" hidden="1">
      <c r="B365" s="828" t="s">
        <v>6573</v>
      </c>
      <c r="C365" s="828">
        <v>98456</v>
      </c>
      <c r="D365" s="630" t="s">
        <v>2895</v>
      </c>
      <c r="E365" s="630" t="s">
        <v>649</v>
      </c>
      <c r="F365" s="829">
        <v>229.57000000000002</v>
      </c>
      <c r="G365" s="830">
        <v>53.58</v>
      </c>
      <c r="H365" s="831">
        <v>283.14999999999998</v>
      </c>
      <c r="I365" s="846"/>
      <c r="J365" s="846"/>
      <c r="K365" s="846"/>
      <c r="L365" s="846"/>
      <c r="M365" s="846"/>
      <c r="N365" s="846"/>
      <c r="O365" s="846"/>
      <c r="P365" s="846"/>
      <c r="Q365" s="846"/>
      <c r="R365" s="846"/>
      <c r="S365" s="846"/>
      <c r="T365" s="846"/>
    </row>
    <row r="366" spans="2:20" hidden="1">
      <c r="B366" s="828" t="s">
        <v>6573</v>
      </c>
      <c r="C366" s="828">
        <v>98458</v>
      </c>
      <c r="D366" s="630" t="s">
        <v>2896</v>
      </c>
      <c r="E366" s="630" t="s">
        <v>649</v>
      </c>
      <c r="F366" s="829">
        <v>146.51</v>
      </c>
      <c r="G366" s="830">
        <v>19.28</v>
      </c>
      <c r="H366" s="831">
        <v>165.79</v>
      </c>
      <c r="I366" s="846"/>
      <c r="J366" s="846"/>
      <c r="K366" s="846"/>
      <c r="L366" s="846"/>
      <c r="M366" s="846"/>
      <c r="N366" s="846"/>
      <c r="O366" s="846"/>
      <c r="P366" s="846"/>
      <c r="Q366" s="846"/>
      <c r="R366" s="846"/>
      <c r="S366" s="846"/>
      <c r="T366" s="846"/>
    </row>
    <row r="367" spans="2:20" hidden="1">
      <c r="B367" s="828" t="s">
        <v>6573</v>
      </c>
      <c r="C367" s="828">
        <v>98459</v>
      </c>
      <c r="D367" s="630" t="s">
        <v>2897</v>
      </c>
      <c r="E367" s="630" t="s">
        <v>649</v>
      </c>
      <c r="F367" s="829">
        <v>129.4</v>
      </c>
      <c r="G367" s="830">
        <v>17.93</v>
      </c>
      <c r="H367" s="831">
        <v>147.33000000000001</v>
      </c>
      <c r="I367" s="846"/>
      <c r="J367" s="846"/>
      <c r="K367" s="846"/>
      <c r="L367" s="846"/>
      <c r="M367" s="846"/>
      <c r="N367" s="846"/>
      <c r="O367" s="846"/>
      <c r="P367" s="846"/>
      <c r="Q367" s="846"/>
      <c r="R367" s="846"/>
      <c r="S367" s="846"/>
      <c r="T367" s="846"/>
    </row>
    <row r="368" spans="2:20" ht="25.5" hidden="1">
      <c r="B368" s="828" t="s">
        <v>6573</v>
      </c>
      <c r="C368" s="828">
        <v>98460</v>
      </c>
      <c r="D368" s="630" t="s">
        <v>2898</v>
      </c>
      <c r="E368" s="630" t="s">
        <v>649</v>
      </c>
      <c r="F368" s="829">
        <v>186.5</v>
      </c>
      <c r="G368" s="830">
        <v>8.2799999999999994</v>
      </c>
      <c r="H368" s="831">
        <v>194.78</v>
      </c>
      <c r="I368" s="846"/>
      <c r="J368" s="846"/>
      <c r="K368" s="846"/>
      <c r="L368" s="846"/>
      <c r="M368" s="846"/>
      <c r="N368" s="846"/>
      <c r="O368" s="846"/>
      <c r="P368" s="846"/>
      <c r="Q368" s="846"/>
      <c r="R368" s="846"/>
      <c r="S368" s="846"/>
      <c r="T368" s="846"/>
    </row>
    <row r="369" spans="2:20" ht="25.5" hidden="1">
      <c r="B369" s="828" t="s">
        <v>6573</v>
      </c>
      <c r="C369" s="828">
        <v>98461</v>
      </c>
      <c r="D369" s="630" t="s">
        <v>3740</v>
      </c>
      <c r="E369" s="630" t="s">
        <v>646</v>
      </c>
      <c r="F369" s="829">
        <v>6142.5300000000007</v>
      </c>
      <c r="G369" s="830">
        <v>235.54</v>
      </c>
      <c r="H369" s="832">
        <v>6378.07</v>
      </c>
      <c r="I369" s="846"/>
      <c r="J369" s="846"/>
      <c r="K369" s="846"/>
      <c r="L369" s="846"/>
      <c r="M369" s="846"/>
      <c r="N369" s="846"/>
      <c r="O369" s="846"/>
      <c r="P369" s="846"/>
      <c r="Q369" s="846"/>
      <c r="R369" s="846"/>
      <c r="S369" s="846"/>
      <c r="T369" s="846"/>
    </row>
    <row r="370" spans="2:20" ht="25.5" hidden="1">
      <c r="B370" s="828" t="s">
        <v>6573</v>
      </c>
      <c r="C370" s="828">
        <v>98462</v>
      </c>
      <c r="D370" s="630" t="s">
        <v>3741</v>
      </c>
      <c r="E370" s="630" t="s">
        <v>646</v>
      </c>
      <c r="F370" s="829">
        <v>9222.5499999999993</v>
      </c>
      <c r="G370" s="830">
        <v>357.78</v>
      </c>
      <c r="H370" s="832">
        <v>9580.33</v>
      </c>
      <c r="I370" s="846"/>
      <c r="J370" s="846"/>
      <c r="K370" s="846"/>
      <c r="L370" s="846"/>
      <c r="M370" s="846"/>
      <c r="N370" s="846"/>
      <c r="O370" s="846"/>
      <c r="P370" s="846"/>
      <c r="Q370" s="846"/>
      <c r="R370" s="846"/>
      <c r="S370" s="846"/>
      <c r="T370" s="846"/>
    </row>
    <row r="371" spans="2:20" ht="25.5" hidden="1">
      <c r="B371" s="828" t="s">
        <v>6530</v>
      </c>
      <c r="C371" s="828">
        <v>5631</v>
      </c>
      <c r="D371" s="630" t="s">
        <v>2012</v>
      </c>
      <c r="E371" s="630" t="s">
        <v>760</v>
      </c>
      <c r="F371" s="829">
        <v>207.88</v>
      </c>
      <c r="G371" s="830">
        <v>24.63</v>
      </c>
      <c r="H371" s="831">
        <v>232.51</v>
      </c>
      <c r="I371" s="846"/>
      <c r="J371" s="846"/>
      <c r="K371" s="846"/>
      <c r="L371" s="846"/>
      <c r="M371" s="846"/>
      <c r="N371" s="846"/>
      <c r="O371" s="846"/>
      <c r="P371" s="846"/>
      <c r="Q371" s="846"/>
      <c r="R371" s="846"/>
      <c r="S371" s="846"/>
      <c r="T371" s="846"/>
    </row>
    <row r="372" spans="2:20" ht="51" hidden="1">
      <c r="B372" s="828" t="s">
        <v>6530</v>
      </c>
      <c r="C372" s="828">
        <v>5678</v>
      </c>
      <c r="D372" s="630" t="s">
        <v>761</v>
      </c>
      <c r="E372" s="630" t="s">
        <v>760</v>
      </c>
      <c r="F372" s="829">
        <v>134.66000000000003</v>
      </c>
      <c r="G372" s="830">
        <v>24.63</v>
      </c>
      <c r="H372" s="831">
        <v>159.29</v>
      </c>
      <c r="I372" s="846"/>
      <c r="J372" s="846"/>
      <c r="K372" s="846"/>
      <c r="L372" s="846"/>
      <c r="M372" s="846"/>
      <c r="N372" s="846"/>
      <c r="O372" s="846"/>
      <c r="P372" s="846"/>
      <c r="Q372" s="846"/>
      <c r="R372" s="846"/>
      <c r="S372" s="846"/>
      <c r="T372" s="846"/>
    </row>
    <row r="373" spans="2:20" ht="51" hidden="1">
      <c r="B373" s="828" t="s">
        <v>6530</v>
      </c>
      <c r="C373" s="828">
        <v>5680</v>
      </c>
      <c r="D373" s="630" t="s">
        <v>762</v>
      </c>
      <c r="E373" s="630" t="s">
        <v>760</v>
      </c>
      <c r="F373" s="829">
        <v>120.92</v>
      </c>
      <c r="G373" s="830">
        <v>24.63</v>
      </c>
      <c r="H373" s="831">
        <v>145.55000000000001</v>
      </c>
      <c r="I373" s="846"/>
      <c r="J373" s="846"/>
      <c r="K373" s="846"/>
      <c r="L373" s="846"/>
      <c r="M373" s="846"/>
      <c r="N373" s="846"/>
      <c r="O373" s="846"/>
      <c r="P373" s="846"/>
      <c r="Q373" s="846"/>
      <c r="R373" s="846"/>
      <c r="S373" s="846"/>
      <c r="T373" s="846"/>
    </row>
    <row r="374" spans="2:20" ht="38.25" hidden="1">
      <c r="B374" s="828" t="s">
        <v>6530</v>
      </c>
      <c r="C374" s="828">
        <v>5684</v>
      </c>
      <c r="D374" s="630" t="s">
        <v>763</v>
      </c>
      <c r="E374" s="630" t="s">
        <v>760</v>
      </c>
      <c r="F374" s="829">
        <v>146.80000000000001</v>
      </c>
      <c r="G374" s="830">
        <v>20.52</v>
      </c>
      <c r="H374" s="831">
        <v>167.32</v>
      </c>
      <c r="I374" s="846"/>
      <c r="J374" s="846"/>
      <c r="K374" s="846"/>
      <c r="L374" s="846"/>
      <c r="M374" s="846"/>
      <c r="N374" s="846"/>
      <c r="O374" s="846"/>
      <c r="P374" s="846"/>
      <c r="Q374" s="846"/>
      <c r="R374" s="846"/>
      <c r="S374" s="846"/>
      <c r="T374" s="846"/>
    </row>
    <row r="375" spans="2:20" ht="25.5" hidden="1">
      <c r="B375" s="828" t="s">
        <v>6530</v>
      </c>
      <c r="C375" s="828">
        <v>5689</v>
      </c>
      <c r="D375" s="630" t="s">
        <v>764</v>
      </c>
      <c r="E375" s="630" t="s">
        <v>760</v>
      </c>
      <c r="F375" s="829">
        <v>7.56</v>
      </c>
      <c r="G375" s="830">
        <v>0</v>
      </c>
      <c r="H375" s="831">
        <v>7.56</v>
      </c>
      <c r="I375" s="846"/>
      <c r="J375" s="846"/>
      <c r="K375" s="846"/>
      <c r="L375" s="846"/>
      <c r="M375" s="846"/>
      <c r="N375" s="846"/>
      <c r="O375" s="846"/>
      <c r="P375" s="846"/>
      <c r="Q375" s="846"/>
      <c r="R375" s="846"/>
      <c r="S375" s="846"/>
      <c r="T375" s="846"/>
    </row>
    <row r="376" spans="2:20" ht="25.5" hidden="1">
      <c r="B376" s="828" t="s">
        <v>6530</v>
      </c>
      <c r="C376" s="828">
        <v>5795</v>
      </c>
      <c r="D376" s="630" t="s">
        <v>1652</v>
      </c>
      <c r="E376" s="630" t="s">
        <v>760</v>
      </c>
      <c r="F376" s="829">
        <v>8.44</v>
      </c>
      <c r="G376" s="830">
        <v>19.43</v>
      </c>
      <c r="H376" s="831">
        <v>27.87</v>
      </c>
      <c r="I376" s="846"/>
      <c r="J376" s="846"/>
      <c r="K376" s="846"/>
      <c r="L376" s="846"/>
      <c r="M376" s="846"/>
      <c r="N376" s="846"/>
      <c r="O376" s="846"/>
      <c r="P376" s="846"/>
      <c r="Q376" s="846"/>
      <c r="R376" s="846"/>
      <c r="S376" s="846"/>
      <c r="T376" s="846"/>
    </row>
    <row r="377" spans="2:20" ht="38.25" hidden="1">
      <c r="B377" s="828" t="s">
        <v>6530</v>
      </c>
      <c r="C377" s="828">
        <v>5811</v>
      </c>
      <c r="D377" s="630" t="s">
        <v>765</v>
      </c>
      <c r="E377" s="630" t="s">
        <v>760</v>
      </c>
      <c r="F377" s="829">
        <v>190.03000000000003</v>
      </c>
      <c r="G377" s="830">
        <v>18.989999999999998</v>
      </c>
      <c r="H377" s="831">
        <v>209.02</v>
      </c>
      <c r="I377" s="846"/>
      <c r="J377" s="846"/>
      <c r="K377" s="846"/>
      <c r="L377" s="846"/>
      <c r="M377" s="846"/>
      <c r="N377" s="846"/>
      <c r="O377" s="846"/>
      <c r="P377" s="846"/>
      <c r="Q377" s="846"/>
      <c r="R377" s="846"/>
      <c r="S377" s="846"/>
      <c r="T377" s="846"/>
    </row>
    <row r="378" spans="2:20" ht="25.5" hidden="1">
      <c r="B378" s="828" t="s">
        <v>6530</v>
      </c>
      <c r="C378" s="828">
        <v>5823</v>
      </c>
      <c r="D378" s="630" t="s">
        <v>2064</v>
      </c>
      <c r="E378" s="630" t="s">
        <v>760</v>
      </c>
      <c r="F378" s="829">
        <v>123.67999999999999</v>
      </c>
      <c r="G378" s="830">
        <v>88.98</v>
      </c>
      <c r="H378" s="831">
        <v>212.66</v>
      </c>
      <c r="I378" s="846"/>
      <c r="J378" s="846"/>
      <c r="K378" s="846"/>
      <c r="L378" s="846"/>
      <c r="M378" s="846"/>
      <c r="N378" s="846"/>
      <c r="O378" s="846"/>
      <c r="P378" s="846"/>
      <c r="Q378" s="846"/>
      <c r="R378" s="846"/>
      <c r="S378" s="846"/>
      <c r="T378" s="846"/>
    </row>
    <row r="379" spans="2:20" ht="51" hidden="1">
      <c r="B379" s="828" t="s">
        <v>6530</v>
      </c>
      <c r="C379" s="828">
        <v>5824</v>
      </c>
      <c r="D379" s="630" t="s">
        <v>766</v>
      </c>
      <c r="E379" s="630" t="s">
        <v>760</v>
      </c>
      <c r="F379" s="829">
        <v>205.23000000000002</v>
      </c>
      <c r="G379" s="830">
        <v>20.14</v>
      </c>
      <c r="H379" s="831">
        <v>225.37</v>
      </c>
      <c r="I379" s="846"/>
      <c r="J379" s="846"/>
      <c r="K379" s="846"/>
      <c r="L379" s="846"/>
      <c r="M379" s="846"/>
      <c r="N379" s="846"/>
      <c r="O379" s="846"/>
      <c r="P379" s="846"/>
      <c r="Q379" s="846"/>
      <c r="R379" s="846"/>
      <c r="S379" s="846"/>
      <c r="T379" s="846"/>
    </row>
    <row r="380" spans="2:20" ht="38.25" hidden="1">
      <c r="B380" s="828" t="s">
        <v>6530</v>
      </c>
      <c r="C380" s="828">
        <v>5835</v>
      </c>
      <c r="D380" s="630" t="s">
        <v>767</v>
      </c>
      <c r="E380" s="630" t="s">
        <v>760</v>
      </c>
      <c r="F380" s="829">
        <v>392.35</v>
      </c>
      <c r="G380" s="830">
        <v>23.53</v>
      </c>
      <c r="H380" s="831">
        <v>415.88</v>
      </c>
      <c r="I380" s="846"/>
      <c r="J380" s="846"/>
      <c r="K380" s="846"/>
      <c r="L380" s="846"/>
      <c r="M380" s="846"/>
      <c r="N380" s="846"/>
      <c r="O380" s="846"/>
      <c r="P380" s="846"/>
      <c r="Q380" s="846"/>
      <c r="R380" s="846"/>
      <c r="S380" s="846"/>
      <c r="T380" s="846"/>
    </row>
    <row r="381" spans="2:20" ht="25.5" hidden="1">
      <c r="B381" s="828" t="s">
        <v>6530</v>
      </c>
      <c r="C381" s="828">
        <v>5839</v>
      </c>
      <c r="D381" s="630" t="s">
        <v>768</v>
      </c>
      <c r="E381" s="630" t="s">
        <v>760</v>
      </c>
      <c r="F381" s="829">
        <v>11.36</v>
      </c>
      <c r="G381" s="830">
        <v>0</v>
      </c>
      <c r="H381" s="831">
        <v>11.36</v>
      </c>
      <c r="I381" s="846"/>
      <c r="J381" s="846"/>
      <c r="K381" s="846"/>
      <c r="L381" s="846"/>
      <c r="M381" s="846"/>
      <c r="N381" s="846"/>
      <c r="O381" s="846"/>
      <c r="P381" s="846"/>
      <c r="Q381" s="846"/>
      <c r="R381" s="846"/>
      <c r="S381" s="846"/>
      <c r="T381" s="846"/>
    </row>
    <row r="382" spans="2:20" ht="25.5" hidden="1">
      <c r="B382" s="828" t="s">
        <v>6530</v>
      </c>
      <c r="C382" s="828">
        <v>5843</v>
      </c>
      <c r="D382" s="630" t="s">
        <v>626</v>
      </c>
      <c r="E382" s="630" t="s">
        <v>760</v>
      </c>
      <c r="F382" s="829">
        <v>166.32</v>
      </c>
      <c r="G382" s="830">
        <v>25.98</v>
      </c>
      <c r="H382" s="831">
        <v>192.3</v>
      </c>
      <c r="I382" s="846"/>
      <c r="J382" s="846"/>
      <c r="K382" s="846"/>
      <c r="L382" s="846"/>
      <c r="M382" s="846"/>
      <c r="N382" s="846"/>
      <c r="O382" s="846"/>
      <c r="P382" s="846"/>
      <c r="Q382" s="846"/>
      <c r="R382" s="846"/>
      <c r="S382" s="846"/>
      <c r="T382" s="846"/>
    </row>
    <row r="383" spans="2:20" ht="25.5" hidden="1">
      <c r="B383" s="828" t="s">
        <v>6530</v>
      </c>
      <c r="C383" s="828">
        <v>5847</v>
      </c>
      <c r="D383" s="630" t="s">
        <v>627</v>
      </c>
      <c r="E383" s="630" t="s">
        <v>760</v>
      </c>
      <c r="F383" s="829">
        <v>251.79000000000002</v>
      </c>
      <c r="G383" s="830">
        <v>25.98</v>
      </c>
      <c r="H383" s="831">
        <v>277.77</v>
      </c>
      <c r="I383" s="846"/>
      <c r="J383" s="846"/>
      <c r="K383" s="846"/>
      <c r="L383" s="846"/>
      <c r="M383" s="846"/>
      <c r="N383" s="846"/>
      <c r="O383" s="846"/>
      <c r="P383" s="846"/>
      <c r="Q383" s="846"/>
      <c r="R383" s="846"/>
      <c r="S383" s="846"/>
      <c r="T383" s="846"/>
    </row>
    <row r="384" spans="2:20" ht="25.5" hidden="1">
      <c r="B384" s="828" t="s">
        <v>6530</v>
      </c>
      <c r="C384" s="828">
        <v>5851</v>
      </c>
      <c r="D384" s="630" t="s">
        <v>628</v>
      </c>
      <c r="E384" s="630" t="s">
        <v>760</v>
      </c>
      <c r="F384" s="829">
        <v>237.24</v>
      </c>
      <c r="G384" s="830">
        <v>25.98</v>
      </c>
      <c r="H384" s="831">
        <v>263.22000000000003</v>
      </c>
      <c r="I384" s="846"/>
      <c r="J384" s="846"/>
      <c r="K384" s="846"/>
      <c r="L384" s="846"/>
      <c r="M384" s="846"/>
      <c r="N384" s="846"/>
      <c r="O384" s="846"/>
      <c r="P384" s="846"/>
      <c r="Q384" s="846"/>
      <c r="R384" s="846"/>
      <c r="S384" s="846"/>
      <c r="T384" s="846"/>
    </row>
    <row r="385" spans="2:20" ht="25.5" hidden="1">
      <c r="B385" s="828" t="s">
        <v>6530</v>
      </c>
      <c r="C385" s="828">
        <v>5855</v>
      </c>
      <c r="D385" s="630" t="s">
        <v>629</v>
      </c>
      <c r="E385" s="630" t="s">
        <v>760</v>
      </c>
      <c r="F385" s="829">
        <v>654.13</v>
      </c>
      <c r="G385" s="830">
        <v>25.98</v>
      </c>
      <c r="H385" s="831">
        <v>680.11</v>
      </c>
      <c r="I385" s="846"/>
      <c r="J385" s="846"/>
      <c r="K385" s="846"/>
      <c r="L385" s="846"/>
      <c r="M385" s="846"/>
      <c r="N385" s="846"/>
      <c r="O385" s="846"/>
      <c r="P385" s="846"/>
      <c r="Q385" s="846"/>
      <c r="R385" s="846"/>
      <c r="S385" s="846"/>
      <c r="T385" s="846"/>
    </row>
    <row r="386" spans="2:20" ht="38.25" hidden="1">
      <c r="B386" s="828" t="s">
        <v>6530</v>
      </c>
      <c r="C386" s="828">
        <v>5863</v>
      </c>
      <c r="D386" s="630" t="s">
        <v>2031</v>
      </c>
      <c r="E386" s="630" t="s">
        <v>760</v>
      </c>
      <c r="F386" s="829">
        <v>21.55</v>
      </c>
      <c r="G386" s="830">
        <v>0</v>
      </c>
      <c r="H386" s="831">
        <v>21.55</v>
      </c>
      <c r="I386" s="846"/>
      <c r="J386" s="846"/>
      <c r="K386" s="846"/>
      <c r="L386" s="846"/>
      <c r="M386" s="846"/>
      <c r="N386" s="846"/>
      <c r="O386" s="846"/>
      <c r="P386" s="846"/>
      <c r="Q386" s="846"/>
      <c r="R386" s="846"/>
      <c r="S386" s="846"/>
      <c r="T386" s="846"/>
    </row>
    <row r="387" spans="2:20" ht="38.25" hidden="1">
      <c r="B387" s="828" t="s">
        <v>6530</v>
      </c>
      <c r="C387" s="828">
        <v>5867</v>
      </c>
      <c r="D387" s="630" t="s">
        <v>630</v>
      </c>
      <c r="E387" s="630" t="s">
        <v>760</v>
      </c>
      <c r="F387" s="829">
        <v>143.19</v>
      </c>
      <c r="G387" s="830">
        <v>20.52</v>
      </c>
      <c r="H387" s="831">
        <v>163.71</v>
      </c>
      <c r="I387" s="846"/>
      <c r="J387" s="846"/>
      <c r="K387" s="846"/>
      <c r="L387" s="846"/>
      <c r="M387" s="846"/>
      <c r="N387" s="846"/>
      <c r="O387" s="846"/>
      <c r="P387" s="846"/>
      <c r="Q387" s="846"/>
      <c r="R387" s="846"/>
      <c r="S387" s="846"/>
      <c r="T387" s="846"/>
    </row>
    <row r="388" spans="2:20" ht="51" hidden="1">
      <c r="B388" s="828" t="s">
        <v>6530</v>
      </c>
      <c r="C388" s="828">
        <v>5875</v>
      </c>
      <c r="D388" s="630" t="s">
        <v>631</v>
      </c>
      <c r="E388" s="630" t="s">
        <v>760</v>
      </c>
      <c r="F388" s="829">
        <v>120.99000000000001</v>
      </c>
      <c r="G388" s="830">
        <v>24.63</v>
      </c>
      <c r="H388" s="831">
        <v>145.62</v>
      </c>
      <c r="I388" s="846"/>
      <c r="J388" s="846"/>
      <c r="K388" s="846"/>
      <c r="L388" s="846"/>
      <c r="M388" s="846"/>
      <c r="N388" s="846"/>
      <c r="O388" s="846"/>
      <c r="P388" s="846"/>
      <c r="Q388" s="846"/>
      <c r="R388" s="846"/>
      <c r="S388" s="846"/>
      <c r="T388" s="846"/>
    </row>
    <row r="389" spans="2:20" ht="38.25" hidden="1">
      <c r="B389" s="828" t="s">
        <v>6530</v>
      </c>
      <c r="C389" s="828">
        <v>5879</v>
      </c>
      <c r="D389" s="630" t="s">
        <v>1771</v>
      </c>
      <c r="E389" s="630" t="s">
        <v>760</v>
      </c>
      <c r="F389" s="829">
        <v>117.78</v>
      </c>
      <c r="G389" s="830">
        <v>20.52</v>
      </c>
      <c r="H389" s="831">
        <v>138.30000000000001</v>
      </c>
      <c r="I389" s="846"/>
      <c r="J389" s="846"/>
      <c r="K389" s="846"/>
      <c r="L389" s="846"/>
      <c r="M389" s="846"/>
      <c r="N389" s="846"/>
      <c r="O389" s="846"/>
      <c r="P389" s="846"/>
      <c r="Q389" s="846"/>
      <c r="R389" s="846"/>
      <c r="S389" s="846"/>
      <c r="T389" s="846"/>
    </row>
    <row r="390" spans="2:20" ht="51" hidden="1">
      <c r="B390" s="828" t="s">
        <v>6530</v>
      </c>
      <c r="C390" s="828">
        <v>5882</v>
      </c>
      <c r="D390" s="630" t="s">
        <v>632</v>
      </c>
      <c r="E390" s="630" t="s">
        <v>760</v>
      </c>
      <c r="F390" s="829">
        <v>114.83000000000001</v>
      </c>
      <c r="G390" s="830">
        <v>17.190000000000001</v>
      </c>
      <c r="H390" s="831">
        <v>132.02000000000001</v>
      </c>
      <c r="I390" s="846"/>
      <c r="J390" s="846"/>
      <c r="K390" s="846"/>
      <c r="L390" s="846"/>
      <c r="M390" s="846"/>
      <c r="N390" s="846"/>
      <c r="O390" s="846"/>
      <c r="P390" s="846"/>
      <c r="Q390" s="846"/>
      <c r="R390" s="846"/>
      <c r="S390" s="846"/>
      <c r="T390" s="846"/>
    </row>
    <row r="391" spans="2:20" ht="38.25" hidden="1">
      <c r="B391" s="828" t="s">
        <v>6530</v>
      </c>
      <c r="C391" s="828">
        <v>5890</v>
      </c>
      <c r="D391" s="630" t="s">
        <v>633</v>
      </c>
      <c r="E391" s="630" t="s">
        <v>760</v>
      </c>
      <c r="F391" s="829">
        <v>192.95</v>
      </c>
      <c r="G391" s="830">
        <v>20.14</v>
      </c>
      <c r="H391" s="831">
        <v>213.09</v>
      </c>
      <c r="I391" s="846"/>
      <c r="J391" s="846"/>
      <c r="K391" s="846"/>
      <c r="L391" s="846"/>
      <c r="M391" s="846"/>
      <c r="N391" s="846"/>
      <c r="O391" s="846"/>
      <c r="P391" s="846"/>
      <c r="Q391" s="846"/>
      <c r="R391" s="846"/>
      <c r="S391" s="846"/>
      <c r="T391" s="846"/>
    </row>
    <row r="392" spans="2:20" ht="38.25" hidden="1">
      <c r="B392" s="828" t="s">
        <v>6530</v>
      </c>
      <c r="C392" s="828">
        <v>5894</v>
      </c>
      <c r="D392" s="630" t="s">
        <v>634</v>
      </c>
      <c r="E392" s="630" t="s">
        <v>760</v>
      </c>
      <c r="F392" s="829">
        <v>200.65</v>
      </c>
      <c r="G392" s="830">
        <v>20.14</v>
      </c>
      <c r="H392" s="831">
        <v>220.79</v>
      </c>
      <c r="I392" s="846"/>
      <c r="J392" s="846"/>
      <c r="K392" s="846"/>
      <c r="L392" s="846"/>
      <c r="M392" s="846"/>
      <c r="N392" s="846"/>
      <c r="O392" s="846"/>
      <c r="P392" s="846"/>
      <c r="Q392" s="846"/>
      <c r="R392" s="846"/>
      <c r="S392" s="846"/>
      <c r="T392" s="846"/>
    </row>
    <row r="393" spans="2:20" ht="51" hidden="1">
      <c r="B393" s="828" t="s">
        <v>6530</v>
      </c>
      <c r="C393" s="828">
        <v>5901</v>
      </c>
      <c r="D393" s="630" t="s">
        <v>635</v>
      </c>
      <c r="E393" s="630" t="s">
        <v>760</v>
      </c>
      <c r="F393" s="829">
        <v>318.70999999999998</v>
      </c>
      <c r="G393" s="830">
        <v>20.14</v>
      </c>
      <c r="H393" s="831">
        <v>338.85</v>
      </c>
      <c r="I393" s="846"/>
      <c r="J393" s="846"/>
      <c r="K393" s="846"/>
      <c r="L393" s="846"/>
      <c r="M393" s="846"/>
      <c r="N393" s="846"/>
      <c r="O393" s="846"/>
      <c r="P393" s="846"/>
      <c r="Q393" s="846"/>
      <c r="R393" s="846"/>
      <c r="S393" s="846"/>
      <c r="T393" s="846"/>
    </row>
    <row r="394" spans="2:20" ht="38.25" hidden="1">
      <c r="B394" s="828" t="s">
        <v>6530</v>
      </c>
      <c r="C394" s="828">
        <v>5909</v>
      </c>
      <c r="D394" s="630" t="s">
        <v>636</v>
      </c>
      <c r="E394" s="630" t="s">
        <v>760</v>
      </c>
      <c r="F394" s="829">
        <v>19.149999999999999</v>
      </c>
      <c r="G394" s="830">
        <v>17.190000000000001</v>
      </c>
      <c r="H394" s="831">
        <v>36.340000000000003</v>
      </c>
      <c r="I394" s="846"/>
      <c r="J394" s="846"/>
      <c r="K394" s="846"/>
      <c r="L394" s="846"/>
      <c r="M394" s="846"/>
      <c r="N394" s="846"/>
      <c r="O394" s="846"/>
      <c r="P394" s="846"/>
      <c r="Q394" s="846"/>
      <c r="R394" s="846"/>
      <c r="S394" s="846"/>
      <c r="T394" s="846"/>
    </row>
    <row r="395" spans="2:20" ht="25.5" hidden="1">
      <c r="B395" s="828" t="s">
        <v>6530</v>
      </c>
      <c r="C395" s="828">
        <v>5921</v>
      </c>
      <c r="D395" s="630" t="s">
        <v>637</v>
      </c>
      <c r="E395" s="630" t="s">
        <v>760</v>
      </c>
      <c r="F395" s="829">
        <v>5.92</v>
      </c>
      <c r="G395" s="830">
        <v>0</v>
      </c>
      <c r="H395" s="831">
        <v>5.92</v>
      </c>
      <c r="I395" s="846"/>
      <c r="J395" s="846"/>
      <c r="K395" s="846"/>
      <c r="L395" s="846"/>
      <c r="M395" s="846"/>
      <c r="N395" s="846"/>
      <c r="O395" s="846"/>
      <c r="P395" s="846"/>
      <c r="Q395" s="846"/>
      <c r="R395" s="846"/>
      <c r="S395" s="846"/>
      <c r="T395" s="846"/>
    </row>
    <row r="396" spans="2:20" ht="51" hidden="1">
      <c r="B396" s="828" t="s">
        <v>6530</v>
      </c>
      <c r="C396" s="828">
        <v>5928</v>
      </c>
      <c r="D396" s="630" t="s">
        <v>638</v>
      </c>
      <c r="E396" s="630" t="s">
        <v>760</v>
      </c>
      <c r="F396" s="829">
        <v>270.25</v>
      </c>
      <c r="G396" s="830">
        <v>23.59</v>
      </c>
      <c r="H396" s="831">
        <v>293.83999999999997</v>
      </c>
      <c r="I396" s="846"/>
      <c r="J396" s="846"/>
      <c r="K396" s="846"/>
      <c r="L396" s="846"/>
      <c r="M396" s="846"/>
      <c r="N396" s="846"/>
      <c r="O396" s="846"/>
      <c r="P396" s="846"/>
      <c r="Q396" s="846"/>
      <c r="R396" s="846"/>
      <c r="S396" s="846"/>
      <c r="T396" s="846"/>
    </row>
    <row r="397" spans="2:20" ht="38.25" hidden="1">
      <c r="B397" s="828" t="s">
        <v>6530</v>
      </c>
      <c r="C397" s="828">
        <v>5932</v>
      </c>
      <c r="D397" s="630" t="s">
        <v>2209</v>
      </c>
      <c r="E397" s="630" t="s">
        <v>760</v>
      </c>
      <c r="F397" s="829">
        <v>258.36</v>
      </c>
      <c r="G397" s="830">
        <v>27.97</v>
      </c>
      <c r="H397" s="831">
        <v>286.33</v>
      </c>
      <c r="I397" s="846"/>
      <c r="J397" s="846"/>
      <c r="K397" s="846"/>
      <c r="L397" s="846"/>
      <c r="M397" s="846"/>
      <c r="N397" s="846"/>
      <c r="O397" s="846"/>
      <c r="P397" s="846"/>
      <c r="Q397" s="846"/>
      <c r="R397" s="846"/>
      <c r="S397" s="846"/>
      <c r="T397" s="846"/>
    </row>
    <row r="398" spans="2:20" ht="38.25" hidden="1">
      <c r="B398" s="828" t="s">
        <v>6530</v>
      </c>
      <c r="C398" s="828">
        <v>5940</v>
      </c>
      <c r="D398" s="630" t="s">
        <v>639</v>
      </c>
      <c r="E398" s="630" t="s">
        <v>760</v>
      </c>
      <c r="F398" s="829">
        <v>177.16</v>
      </c>
      <c r="G398" s="830">
        <v>23.12</v>
      </c>
      <c r="H398" s="831">
        <v>200.28</v>
      </c>
      <c r="I398" s="846"/>
      <c r="J398" s="846"/>
      <c r="K398" s="846"/>
      <c r="L398" s="846"/>
      <c r="M398" s="846"/>
      <c r="N398" s="846"/>
      <c r="O398" s="846"/>
      <c r="P398" s="846"/>
      <c r="Q398" s="846"/>
      <c r="R398" s="846"/>
      <c r="S398" s="846"/>
      <c r="T398" s="846"/>
    </row>
    <row r="399" spans="2:20" ht="38.25" hidden="1">
      <c r="B399" s="828" t="s">
        <v>6530</v>
      </c>
      <c r="C399" s="828">
        <v>5944</v>
      </c>
      <c r="D399" s="630" t="s">
        <v>640</v>
      </c>
      <c r="E399" s="630" t="s">
        <v>760</v>
      </c>
      <c r="F399" s="829">
        <v>222.59000000000003</v>
      </c>
      <c r="G399" s="830">
        <v>23.12</v>
      </c>
      <c r="H399" s="831">
        <v>245.71</v>
      </c>
      <c r="I399" s="846"/>
      <c r="J399" s="846"/>
      <c r="K399" s="846"/>
      <c r="L399" s="846"/>
      <c r="M399" s="846"/>
      <c r="N399" s="846"/>
      <c r="O399" s="846"/>
      <c r="P399" s="846"/>
      <c r="Q399" s="846"/>
      <c r="R399" s="846"/>
      <c r="S399" s="846"/>
      <c r="T399" s="846"/>
    </row>
    <row r="400" spans="2:20" ht="38.25" hidden="1">
      <c r="B400" s="828" t="s">
        <v>6530</v>
      </c>
      <c r="C400" s="828">
        <v>5953</v>
      </c>
      <c r="D400" s="630" t="s">
        <v>641</v>
      </c>
      <c r="E400" s="630" t="s">
        <v>760</v>
      </c>
      <c r="F400" s="829">
        <v>66.92</v>
      </c>
      <c r="G400" s="830">
        <v>0</v>
      </c>
      <c r="H400" s="831">
        <v>66.92</v>
      </c>
      <c r="I400" s="846"/>
      <c r="J400" s="846"/>
      <c r="K400" s="846"/>
      <c r="L400" s="846"/>
      <c r="M400" s="846"/>
      <c r="N400" s="846"/>
      <c r="O400" s="846"/>
      <c r="P400" s="846"/>
      <c r="Q400" s="846"/>
      <c r="R400" s="846"/>
      <c r="S400" s="846"/>
      <c r="T400" s="846"/>
    </row>
    <row r="401" spans="2:20" ht="38.25" hidden="1">
      <c r="B401" s="828" t="s">
        <v>6530</v>
      </c>
      <c r="C401" s="828">
        <v>6259</v>
      </c>
      <c r="D401" s="630" t="s">
        <v>642</v>
      </c>
      <c r="E401" s="630" t="s">
        <v>760</v>
      </c>
      <c r="F401" s="829">
        <v>254.9</v>
      </c>
      <c r="G401" s="830">
        <v>20.14</v>
      </c>
      <c r="H401" s="831">
        <v>275.04000000000002</v>
      </c>
      <c r="I401" s="846"/>
      <c r="J401" s="846"/>
      <c r="K401" s="846"/>
      <c r="L401" s="846"/>
      <c r="M401" s="846"/>
      <c r="N401" s="846"/>
      <c r="O401" s="846"/>
      <c r="P401" s="846"/>
      <c r="Q401" s="846"/>
      <c r="R401" s="846"/>
      <c r="S401" s="846"/>
      <c r="T401" s="846"/>
    </row>
    <row r="402" spans="2:20" ht="38.25" hidden="1">
      <c r="B402" s="828" t="s">
        <v>6530</v>
      </c>
      <c r="C402" s="828">
        <v>6879</v>
      </c>
      <c r="D402" s="630" t="s">
        <v>643</v>
      </c>
      <c r="E402" s="630" t="s">
        <v>760</v>
      </c>
      <c r="F402" s="829">
        <v>195.92000000000002</v>
      </c>
      <c r="G402" s="830">
        <v>20.52</v>
      </c>
      <c r="H402" s="831">
        <v>216.44</v>
      </c>
      <c r="I402" s="846"/>
      <c r="J402" s="846"/>
      <c r="K402" s="846"/>
      <c r="L402" s="846"/>
      <c r="M402" s="846"/>
      <c r="N402" s="846"/>
      <c r="O402" s="846"/>
      <c r="P402" s="846"/>
      <c r="Q402" s="846"/>
      <c r="R402" s="846"/>
      <c r="S402" s="846"/>
      <c r="T402" s="846"/>
    </row>
    <row r="403" spans="2:20" ht="25.5" hidden="1">
      <c r="B403" s="828" t="s">
        <v>6530</v>
      </c>
      <c r="C403" s="828">
        <v>7030</v>
      </c>
      <c r="D403" s="630" t="s">
        <v>249</v>
      </c>
      <c r="E403" s="630" t="s">
        <v>760</v>
      </c>
      <c r="F403" s="829">
        <v>323.65000000000003</v>
      </c>
      <c r="G403" s="830">
        <v>0</v>
      </c>
      <c r="H403" s="831">
        <v>323.64999999999998</v>
      </c>
      <c r="I403" s="846"/>
      <c r="J403" s="846"/>
      <c r="K403" s="846"/>
      <c r="L403" s="846"/>
      <c r="M403" s="846"/>
      <c r="N403" s="846"/>
      <c r="O403" s="846"/>
      <c r="P403" s="846"/>
      <c r="Q403" s="846"/>
      <c r="R403" s="846"/>
      <c r="S403" s="846"/>
      <c r="T403" s="846"/>
    </row>
    <row r="404" spans="2:20" ht="38.25" hidden="1">
      <c r="B404" s="828" t="s">
        <v>6530</v>
      </c>
      <c r="C404" s="828">
        <v>7042</v>
      </c>
      <c r="D404" s="630" t="s">
        <v>470</v>
      </c>
      <c r="E404" s="630" t="s">
        <v>760</v>
      </c>
      <c r="F404" s="829">
        <v>24.409999999999997</v>
      </c>
      <c r="G404" s="830">
        <v>0</v>
      </c>
      <c r="H404" s="831">
        <v>24.41</v>
      </c>
      <c r="I404" s="846"/>
      <c r="J404" s="846"/>
      <c r="K404" s="846"/>
      <c r="L404" s="846"/>
      <c r="M404" s="846"/>
      <c r="N404" s="846"/>
      <c r="O404" s="846"/>
      <c r="P404" s="846"/>
      <c r="Q404" s="846"/>
      <c r="R404" s="846"/>
      <c r="S404" s="846"/>
      <c r="T404" s="846"/>
    </row>
    <row r="405" spans="2:20" ht="51" hidden="1">
      <c r="B405" s="828" t="s">
        <v>6530</v>
      </c>
      <c r="C405" s="828">
        <v>7049</v>
      </c>
      <c r="D405" s="630" t="s">
        <v>1773</v>
      </c>
      <c r="E405" s="630" t="s">
        <v>760</v>
      </c>
      <c r="F405" s="829">
        <v>213.64</v>
      </c>
      <c r="G405" s="830">
        <v>20.52</v>
      </c>
      <c r="H405" s="831">
        <v>234.16</v>
      </c>
      <c r="I405" s="846"/>
      <c r="J405" s="846"/>
      <c r="K405" s="846"/>
      <c r="L405" s="846"/>
      <c r="M405" s="846"/>
      <c r="N405" s="846"/>
      <c r="O405" s="846"/>
      <c r="P405" s="846"/>
      <c r="Q405" s="846"/>
      <c r="R405" s="846"/>
      <c r="S405" s="846"/>
      <c r="T405" s="846"/>
    </row>
    <row r="406" spans="2:20" ht="38.25" hidden="1">
      <c r="B406" s="828" t="s">
        <v>6530</v>
      </c>
      <c r="C406" s="828">
        <v>67826</v>
      </c>
      <c r="D406" s="630" t="s">
        <v>471</v>
      </c>
      <c r="E406" s="630" t="s">
        <v>760</v>
      </c>
      <c r="F406" s="829">
        <v>167.87</v>
      </c>
      <c r="G406" s="830">
        <v>18.989999999999998</v>
      </c>
      <c r="H406" s="831">
        <v>186.86</v>
      </c>
      <c r="I406" s="846"/>
      <c r="J406" s="846"/>
      <c r="K406" s="846"/>
      <c r="L406" s="846"/>
      <c r="M406" s="846"/>
      <c r="N406" s="846"/>
      <c r="O406" s="846"/>
      <c r="P406" s="846"/>
      <c r="Q406" s="846"/>
      <c r="R406" s="846"/>
      <c r="S406" s="846"/>
      <c r="T406" s="846"/>
    </row>
    <row r="407" spans="2:20" ht="25.5" hidden="1">
      <c r="B407" s="828" t="s">
        <v>6530</v>
      </c>
      <c r="C407" s="828">
        <v>73417</v>
      </c>
      <c r="D407" s="630" t="s">
        <v>1956</v>
      </c>
      <c r="E407" s="630" t="s">
        <v>760</v>
      </c>
      <c r="F407" s="829">
        <v>227.35000000000002</v>
      </c>
      <c r="G407" s="830">
        <v>0</v>
      </c>
      <c r="H407" s="831">
        <v>227.35</v>
      </c>
      <c r="I407" s="846"/>
      <c r="J407" s="846"/>
      <c r="K407" s="846"/>
      <c r="L407" s="846"/>
      <c r="M407" s="846"/>
      <c r="N407" s="846"/>
      <c r="O407" s="846"/>
      <c r="P407" s="846"/>
      <c r="Q407" s="846"/>
      <c r="R407" s="846"/>
      <c r="S407" s="846"/>
      <c r="T407" s="846"/>
    </row>
    <row r="408" spans="2:20" ht="38.25" hidden="1">
      <c r="B408" s="828" t="s">
        <v>6530</v>
      </c>
      <c r="C408" s="828">
        <v>73436</v>
      </c>
      <c r="D408" s="630" t="s">
        <v>2028</v>
      </c>
      <c r="E408" s="630" t="s">
        <v>760</v>
      </c>
      <c r="F408" s="829">
        <v>160.79</v>
      </c>
      <c r="G408" s="830">
        <v>61.56</v>
      </c>
      <c r="H408" s="831">
        <v>222.35</v>
      </c>
      <c r="I408" s="846"/>
      <c r="J408" s="846"/>
      <c r="K408" s="846"/>
      <c r="L408" s="846"/>
      <c r="M408" s="846"/>
      <c r="N408" s="846"/>
      <c r="O408" s="846"/>
      <c r="P408" s="846"/>
      <c r="Q408" s="846"/>
      <c r="R408" s="846"/>
      <c r="S408" s="846"/>
      <c r="T408" s="846"/>
    </row>
    <row r="409" spans="2:20" ht="51" hidden="1">
      <c r="B409" s="828" t="s">
        <v>6530</v>
      </c>
      <c r="C409" s="828">
        <v>73467</v>
      </c>
      <c r="D409" s="630" t="s">
        <v>2196</v>
      </c>
      <c r="E409" s="630" t="s">
        <v>760</v>
      </c>
      <c r="F409" s="829">
        <v>157.46</v>
      </c>
      <c r="G409" s="830">
        <v>20.14</v>
      </c>
      <c r="H409" s="831">
        <v>177.6</v>
      </c>
      <c r="I409" s="846"/>
      <c r="J409" s="846"/>
      <c r="K409" s="846"/>
      <c r="L409" s="846"/>
      <c r="M409" s="846"/>
      <c r="N409" s="846"/>
      <c r="O409" s="846"/>
      <c r="P409" s="846"/>
      <c r="Q409" s="846"/>
      <c r="R409" s="846"/>
      <c r="S409" s="846"/>
      <c r="T409" s="846"/>
    </row>
    <row r="410" spans="2:20" ht="38.25" hidden="1">
      <c r="B410" s="828" t="s">
        <v>6530</v>
      </c>
      <c r="C410" s="828">
        <v>73536</v>
      </c>
      <c r="D410" s="630" t="s">
        <v>473</v>
      </c>
      <c r="E410" s="630" t="s">
        <v>760</v>
      </c>
      <c r="F410" s="829">
        <v>20.650000000000002</v>
      </c>
      <c r="G410" s="830">
        <v>0</v>
      </c>
      <c r="H410" s="831">
        <v>20.65</v>
      </c>
      <c r="I410" s="846"/>
      <c r="J410" s="846"/>
      <c r="K410" s="846"/>
      <c r="L410" s="846"/>
      <c r="M410" s="846"/>
      <c r="N410" s="846"/>
      <c r="O410" s="846"/>
      <c r="P410" s="846"/>
      <c r="Q410" s="846"/>
      <c r="R410" s="846"/>
      <c r="S410" s="846"/>
      <c r="T410" s="846"/>
    </row>
    <row r="411" spans="2:20" ht="51" hidden="1">
      <c r="B411" s="828" t="s">
        <v>6530</v>
      </c>
      <c r="C411" s="828">
        <v>83362</v>
      </c>
      <c r="D411" s="630" t="s">
        <v>1808</v>
      </c>
      <c r="E411" s="630" t="s">
        <v>760</v>
      </c>
      <c r="F411" s="829">
        <v>264.06</v>
      </c>
      <c r="G411" s="830">
        <v>20.14</v>
      </c>
      <c r="H411" s="831">
        <v>284.2</v>
      </c>
      <c r="I411" s="846"/>
      <c r="J411" s="846"/>
      <c r="K411" s="846"/>
      <c r="L411" s="846"/>
      <c r="M411" s="846"/>
      <c r="N411" s="846"/>
      <c r="O411" s="846"/>
      <c r="P411" s="846"/>
      <c r="Q411" s="846"/>
      <c r="R411" s="846"/>
      <c r="S411" s="846"/>
      <c r="T411" s="846"/>
    </row>
    <row r="412" spans="2:20" ht="38.25" hidden="1">
      <c r="B412" s="828" t="s">
        <v>6530</v>
      </c>
      <c r="C412" s="828">
        <v>83765</v>
      </c>
      <c r="D412" s="630" t="s">
        <v>1869</v>
      </c>
      <c r="E412" s="630" t="s">
        <v>760</v>
      </c>
      <c r="F412" s="829">
        <v>83</v>
      </c>
      <c r="G412" s="830">
        <v>24.83</v>
      </c>
      <c r="H412" s="831">
        <v>107.83</v>
      </c>
      <c r="I412" s="846"/>
      <c r="J412" s="846"/>
      <c r="K412" s="846"/>
      <c r="L412" s="846"/>
      <c r="M412" s="846"/>
      <c r="N412" s="846"/>
      <c r="O412" s="846"/>
      <c r="P412" s="846"/>
      <c r="Q412" s="846"/>
      <c r="R412" s="846"/>
      <c r="S412" s="846"/>
      <c r="T412" s="846"/>
    </row>
    <row r="413" spans="2:20" ht="38.25" hidden="1">
      <c r="B413" s="828" t="s">
        <v>6530</v>
      </c>
      <c r="C413" s="828">
        <v>87445</v>
      </c>
      <c r="D413" s="630" t="s">
        <v>474</v>
      </c>
      <c r="E413" s="630" t="s">
        <v>760</v>
      </c>
      <c r="F413" s="829">
        <v>6.08</v>
      </c>
      <c r="G413" s="830">
        <v>0</v>
      </c>
      <c r="H413" s="831">
        <v>6.08</v>
      </c>
      <c r="I413" s="846"/>
      <c r="J413" s="846"/>
      <c r="K413" s="846"/>
      <c r="L413" s="846"/>
      <c r="M413" s="846"/>
      <c r="N413" s="846"/>
      <c r="O413" s="846"/>
      <c r="P413" s="846"/>
      <c r="Q413" s="846"/>
      <c r="R413" s="846"/>
      <c r="S413" s="846"/>
      <c r="T413" s="846"/>
    </row>
    <row r="414" spans="2:20" ht="25.5" hidden="1">
      <c r="B414" s="828" t="s">
        <v>6530</v>
      </c>
      <c r="C414" s="828">
        <v>88386</v>
      </c>
      <c r="D414" s="630" t="s">
        <v>475</v>
      </c>
      <c r="E414" s="630" t="s">
        <v>760</v>
      </c>
      <c r="F414" s="829">
        <v>4.4000000000000004</v>
      </c>
      <c r="G414" s="830">
        <v>0</v>
      </c>
      <c r="H414" s="831">
        <v>4.4000000000000004</v>
      </c>
      <c r="I414" s="846"/>
      <c r="J414" s="846"/>
      <c r="K414" s="846"/>
      <c r="L414" s="846"/>
      <c r="M414" s="846"/>
      <c r="N414" s="846"/>
      <c r="O414" s="846"/>
      <c r="P414" s="846"/>
      <c r="Q414" s="846"/>
      <c r="R414" s="846"/>
      <c r="S414" s="846"/>
      <c r="T414" s="846"/>
    </row>
    <row r="415" spans="2:20" ht="25.5" hidden="1">
      <c r="B415" s="828" t="s">
        <v>6530</v>
      </c>
      <c r="C415" s="828">
        <v>88393</v>
      </c>
      <c r="D415" s="630" t="s">
        <v>476</v>
      </c>
      <c r="E415" s="630" t="s">
        <v>760</v>
      </c>
      <c r="F415" s="829">
        <v>6.0500000000000007</v>
      </c>
      <c r="G415" s="830">
        <v>0</v>
      </c>
      <c r="H415" s="831">
        <v>6.05</v>
      </c>
      <c r="I415" s="846"/>
      <c r="J415" s="846"/>
      <c r="K415" s="846"/>
      <c r="L415" s="846"/>
      <c r="M415" s="846"/>
      <c r="N415" s="846"/>
      <c r="O415" s="846"/>
      <c r="P415" s="846"/>
      <c r="Q415" s="846"/>
      <c r="R415" s="846"/>
      <c r="S415" s="846"/>
      <c r="T415" s="846"/>
    </row>
    <row r="416" spans="2:20" ht="25.5" hidden="1">
      <c r="B416" s="828" t="s">
        <v>6530</v>
      </c>
      <c r="C416" s="828">
        <v>88399</v>
      </c>
      <c r="D416" s="630" t="s">
        <v>477</v>
      </c>
      <c r="E416" s="630" t="s">
        <v>760</v>
      </c>
      <c r="F416" s="829">
        <v>3.25</v>
      </c>
      <c r="G416" s="830">
        <v>0</v>
      </c>
      <c r="H416" s="831">
        <v>3.25</v>
      </c>
      <c r="I416" s="846"/>
      <c r="J416" s="846"/>
      <c r="K416" s="846"/>
      <c r="L416" s="846"/>
      <c r="M416" s="846"/>
      <c r="N416" s="846"/>
      <c r="O416" s="846"/>
      <c r="P416" s="846"/>
      <c r="Q416" s="846"/>
      <c r="R416" s="846"/>
      <c r="S416" s="846"/>
      <c r="T416" s="846"/>
    </row>
    <row r="417" spans="2:20" ht="38.25" hidden="1">
      <c r="B417" s="828" t="s">
        <v>6530</v>
      </c>
      <c r="C417" s="828">
        <v>88418</v>
      </c>
      <c r="D417" s="630" t="s">
        <v>478</v>
      </c>
      <c r="E417" s="630" t="s">
        <v>760</v>
      </c>
      <c r="F417" s="829">
        <v>12.71</v>
      </c>
      <c r="G417" s="830">
        <v>0</v>
      </c>
      <c r="H417" s="831">
        <v>12.71</v>
      </c>
      <c r="I417" s="846"/>
      <c r="J417" s="846"/>
      <c r="K417" s="846"/>
      <c r="L417" s="846"/>
      <c r="M417" s="846"/>
      <c r="N417" s="846"/>
      <c r="O417" s="846"/>
      <c r="P417" s="846"/>
      <c r="Q417" s="846"/>
      <c r="R417" s="846"/>
      <c r="S417" s="846"/>
      <c r="T417" s="846"/>
    </row>
    <row r="418" spans="2:20" ht="25.5" hidden="1">
      <c r="B418" s="828" t="s">
        <v>6530</v>
      </c>
      <c r="C418" s="828">
        <v>88433</v>
      </c>
      <c r="D418" s="630" t="s">
        <v>479</v>
      </c>
      <c r="E418" s="630" t="s">
        <v>760</v>
      </c>
      <c r="F418" s="829">
        <v>16.55</v>
      </c>
      <c r="G418" s="830">
        <v>0</v>
      </c>
      <c r="H418" s="831">
        <v>16.55</v>
      </c>
      <c r="I418" s="846"/>
      <c r="J418" s="846"/>
      <c r="K418" s="846"/>
      <c r="L418" s="846"/>
      <c r="M418" s="846"/>
      <c r="N418" s="846"/>
      <c r="O418" s="846"/>
      <c r="P418" s="846"/>
      <c r="Q418" s="846"/>
      <c r="R418" s="846"/>
      <c r="S418" s="846"/>
      <c r="T418" s="846"/>
    </row>
    <row r="419" spans="2:20" ht="38.25" hidden="1">
      <c r="B419" s="828" t="s">
        <v>6530</v>
      </c>
      <c r="C419" s="828">
        <v>88830</v>
      </c>
      <c r="D419" s="630" t="s">
        <v>2242</v>
      </c>
      <c r="E419" s="630" t="s">
        <v>760</v>
      </c>
      <c r="F419" s="829">
        <v>1.71</v>
      </c>
      <c r="G419" s="830">
        <v>0</v>
      </c>
      <c r="H419" s="831">
        <v>1.71</v>
      </c>
      <c r="I419" s="846"/>
      <c r="J419" s="846"/>
      <c r="K419" s="846"/>
      <c r="L419" s="846"/>
      <c r="M419" s="846"/>
      <c r="N419" s="846"/>
      <c r="O419" s="846"/>
      <c r="P419" s="846"/>
      <c r="Q419" s="846"/>
      <c r="R419" s="846"/>
      <c r="S419" s="846"/>
      <c r="T419" s="846"/>
    </row>
    <row r="420" spans="2:20" ht="25.5" hidden="1">
      <c r="B420" s="828" t="s">
        <v>6530</v>
      </c>
      <c r="C420" s="828">
        <v>88843</v>
      </c>
      <c r="D420" s="630" t="s">
        <v>480</v>
      </c>
      <c r="E420" s="630" t="s">
        <v>760</v>
      </c>
      <c r="F420" s="829">
        <v>195.59</v>
      </c>
      <c r="G420" s="830">
        <v>25.98</v>
      </c>
      <c r="H420" s="831">
        <v>221.57</v>
      </c>
      <c r="I420" s="846"/>
      <c r="J420" s="846"/>
      <c r="K420" s="846"/>
      <c r="L420" s="846"/>
      <c r="M420" s="846"/>
      <c r="N420" s="846"/>
      <c r="O420" s="846"/>
      <c r="P420" s="846"/>
      <c r="Q420" s="846"/>
      <c r="R420" s="846"/>
      <c r="S420" s="846"/>
      <c r="T420" s="846"/>
    </row>
    <row r="421" spans="2:20" ht="25.5" hidden="1">
      <c r="B421" s="828" t="s">
        <v>6530</v>
      </c>
      <c r="C421" s="828">
        <v>88907</v>
      </c>
      <c r="D421" s="630" t="s">
        <v>481</v>
      </c>
      <c r="E421" s="630" t="s">
        <v>760</v>
      </c>
      <c r="F421" s="829">
        <v>252.91</v>
      </c>
      <c r="G421" s="830">
        <v>24.63</v>
      </c>
      <c r="H421" s="831">
        <v>277.54000000000002</v>
      </c>
      <c r="I421" s="846"/>
      <c r="J421" s="846"/>
      <c r="K421" s="846"/>
      <c r="L421" s="846"/>
      <c r="M421" s="846"/>
      <c r="N421" s="846"/>
      <c r="O421" s="846"/>
      <c r="P421" s="846"/>
      <c r="Q421" s="846"/>
      <c r="R421" s="846"/>
      <c r="S421" s="846"/>
      <c r="T421" s="846"/>
    </row>
    <row r="422" spans="2:20" ht="38.25" hidden="1">
      <c r="B422" s="828" t="s">
        <v>6530</v>
      </c>
      <c r="C422" s="828">
        <v>89021</v>
      </c>
      <c r="D422" s="630" t="s">
        <v>482</v>
      </c>
      <c r="E422" s="630" t="s">
        <v>760</v>
      </c>
      <c r="F422" s="829">
        <v>2.48</v>
      </c>
      <c r="G422" s="830">
        <v>0</v>
      </c>
      <c r="H422" s="831">
        <v>2.48</v>
      </c>
      <c r="I422" s="846"/>
      <c r="J422" s="846"/>
      <c r="K422" s="846"/>
      <c r="L422" s="846"/>
      <c r="M422" s="846"/>
      <c r="N422" s="846"/>
      <c r="O422" s="846"/>
      <c r="P422" s="846"/>
      <c r="Q422" s="846"/>
      <c r="R422" s="846"/>
      <c r="S422" s="846"/>
      <c r="T422" s="846"/>
    </row>
    <row r="423" spans="2:20" ht="25.5" hidden="1">
      <c r="B423" s="828" t="s">
        <v>6530</v>
      </c>
      <c r="C423" s="828">
        <v>89028</v>
      </c>
      <c r="D423" s="630" t="s">
        <v>483</v>
      </c>
      <c r="E423" s="630" t="s">
        <v>760</v>
      </c>
      <c r="F423" s="829">
        <v>300.35999999999996</v>
      </c>
      <c r="G423" s="830">
        <v>0</v>
      </c>
      <c r="H423" s="831">
        <v>300.36</v>
      </c>
      <c r="I423" s="846"/>
      <c r="J423" s="846"/>
      <c r="K423" s="846"/>
      <c r="L423" s="846"/>
      <c r="M423" s="846"/>
      <c r="N423" s="846"/>
      <c r="O423" s="846"/>
      <c r="P423" s="846"/>
      <c r="Q423" s="846"/>
      <c r="R423" s="846"/>
      <c r="S423" s="846"/>
      <c r="T423" s="846"/>
    </row>
    <row r="424" spans="2:20" ht="25.5" hidden="1">
      <c r="B424" s="828" t="s">
        <v>6530</v>
      </c>
      <c r="C424" s="828">
        <v>89032</v>
      </c>
      <c r="D424" s="630" t="s">
        <v>484</v>
      </c>
      <c r="E424" s="630" t="s">
        <v>760</v>
      </c>
      <c r="F424" s="829">
        <v>172.22</v>
      </c>
      <c r="G424" s="830">
        <v>25.98</v>
      </c>
      <c r="H424" s="831">
        <v>198.2</v>
      </c>
      <c r="I424" s="846"/>
      <c r="J424" s="846"/>
      <c r="K424" s="846"/>
      <c r="L424" s="846"/>
      <c r="M424" s="846"/>
      <c r="N424" s="846"/>
      <c r="O424" s="846"/>
      <c r="P424" s="846"/>
      <c r="Q424" s="846"/>
      <c r="R424" s="846"/>
      <c r="S424" s="846"/>
      <c r="T424" s="846"/>
    </row>
    <row r="425" spans="2:20" ht="25.5" hidden="1">
      <c r="B425" s="828" t="s">
        <v>6530</v>
      </c>
      <c r="C425" s="828">
        <v>89035</v>
      </c>
      <c r="D425" s="630" t="s">
        <v>485</v>
      </c>
      <c r="E425" s="630" t="s">
        <v>760</v>
      </c>
      <c r="F425" s="829">
        <v>119.12</v>
      </c>
      <c r="G425" s="830">
        <v>25.98</v>
      </c>
      <c r="H425" s="831">
        <v>145.1</v>
      </c>
      <c r="I425" s="846"/>
      <c r="J425" s="846"/>
      <c r="K425" s="846"/>
      <c r="L425" s="846"/>
      <c r="M425" s="846"/>
      <c r="N425" s="846"/>
      <c r="O425" s="846"/>
      <c r="P425" s="846"/>
      <c r="Q425" s="846"/>
      <c r="R425" s="846"/>
      <c r="S425" s="846"/>
      <c r="T425" s="846"/>
    </row>
    <row r="426" spans="2:20" ht="38.25" hidden="1">
      <c r="B426" s="828" t="s">
        <v>6530</v>
      </c>
      <c r="C426" s="828">
        <v>89225</v>
      </c>
      <c r="D426" s="630" t="s">
        <v>486</v>
      </c>
      <c r="E426" s="630" t="s">
        <v>760</v>
      </c>
      <c r="F426" s="829">
        <v>4.84</v>
      </c>
      <c r="G426" s="830">
        <v>0</v>
      </c>
      <c r="H426" s="831">
        <v>4.84</v>
      </c>
      <c r="I426" s="846"/>
      <c r="J426" s="846"/>
      <c r="K426" s="846"/>
      <c r="L426" s="846"/>
      <c r="M426" s="846"/>
      <c r="N426" s="846"/>
      <c r="O426" s="846"/>
      <c r="P426" s="846"/>
      <c r="Q426" s="846"/>
      <c r="R426" s="846"/>
      <c r="S426" s="846"/>
      <c r="T426" s="846"/>
    </row>
    <row r="427" spans="2:20" ht="25.5" hidden="1">
      <c r="B427" s="828" t="s">
        <v>6530</v>
      </c>
      <c r="C427" s="828">
        <v>89234</v>
      </c>
      <c r="D427" s="630" t="s">
        <v>487</v>
      </c>
      <c r="E427" s="630" t="s">
        <v>760</v>
      </c>
      <c r="F427" s="829">
        <v>619.03</v>
      </c>
      <c r="G427" s="830">
        <v>23.53</v>
      </c>
      <c r="H427" s="831">
        <v>642.55999999999995</v>
      </c>
      <c r="I427" s="846"/>
      <c r="J427" s="846"/>
      <c r="K427" s="846"/>
      <c r="L427" s="846"/>
      <c r="M427" s="846"/>
      <c r="N427" s="846"/>
      <c r="O427" s="846"/>
      <c r="P427" s="846"/>
      <c r="Q427" s="846"/>
      <c r="R427" s="846"/>
      <c r="S427" s="846"/>
      <c r="T427" s="846"/>
    </row>
    <row r="428" spans="2:20" ht="25.5" hidden="1">
      <c r="B428" s="828" t="s">
        <v>6530</v>
      </c>
      <c r="C428" s="828">
        <v>89242</v>
      </c>
      <c r="D428" s="630" t="s">
        <v>488</v>
      </c>
      <c r="E428" s="630" t="s">
        <v>760</v>
      </c>
      <c r="F428" s="829">
        <v>1501.62</v>
      </c>
      <c r="G428" s="830">
        <v>23.53</v>
      </c>
      <c r="H428" s="832">
        <v>1525.15</v>
      </c>
      <c r="I428" s="846"/>
      <c r="J428" s="846"/>
      <c r="K428" s="846"/>
      <c r="L428" s="846"/>
      <c r="M428" s="846"/>
      <c r="N428" s="846"/>
      <c r="O428" s="846"/>
      <c r="P428" s="846"/>
      <c r="Q428" s="846"/>
      <c r="R428" s="846"/>
      <c r="S428" s="846"/>
      <c r="T428" s="846"/>
    </row>
    <row r="429" spans="2:20" ht="25.5" hidden="1">
      <c r="B429" s="828" t="s">
        <v>6530</v>
      </c>
      <c r="C429" s="828">
        <v>89250</v>
      </c>
      <c r="D429" s="630" t="s">
        <v>489</v>
      </c>
      <c r="E429" s="630" t="s">
        <v>760</v>
      </c>
      <c r="F429" s="829">
        <v>1296.6199999999999</v>
      </c>
      <c r="G429" s="830">
        <v>23.53</v>
      </c>
      <c r="H429" s="832">
        <v>1320.15</v>
      </c>
      <c r="I429" s="846"/>
      <c r="J429" s="846"/>
      <c r="K429" s="846"/>
      <c r="L429" s="846"/>
      <c r="M429" s="846"/>
      <c r="N429" s="846"/>
      <c r="O429" s="846"/>
      <c r="P429" s="846"/>
      <c r="Q429" s="846"/>
      <c r="R429" s="846"/>
      <c r="S429" s="846"/>
      <c r="T429" s="846"/>
    </row>
    <row r="430" spans="2:20" ht="38.25" hidden="1">
      <c r="B430" s="828" t="s">
        <v>6530</v>
      </c>
      <c r="C430" s="828">
        <v>89257</v>
      </c>
      <c r="D430" s="630" t="s">
        <v>490</v>
      </c>
      <c r="E430" s="630" t="s">
        <v>760</v>
      </c>
      <c r="F430" s="829">
        <v>336.97</v>
      </c>
      <c r="G430" s="830">
        <v>23.53</v>
      </c>
      <c r="H430" s="831">
        <v>360.5</v>
      </c>
      <c r="I430" s="846"/>
      <c r="J430" s="846"/>
      <c r="K430" s="846"/>
      <c r="L430" s="846"/>
      <c r="M430" s="846"/>
      <c r="N430" s="846"/>
      <c r="O430" s="846"/>
      <c r="P430" s="846"/>
      <c r="Q430" s="846"/>
      <c r="R430" s="846"/>
      <c r="S430" s="846"/>
      <c r="T430" s="846"/>
    </row>
    <row r="431" spans="2:20" ht="38.25" hidden="1">
      <c r="B431" s="828" t="s">
        <v>6530</v>
      </c>
      <c r="C431" s="828">
        <v>89272</v>
      </c>
      <c r="D431" s="630" t="s">
        <v>1981</v>
      </c>
      <c r="E431" s="630" t="s">
        <v>760</v>
      </c>
      <c r="F431" s="829">
        <v>185.38</v>
      </c>
      <c r="G431" s="830">
        <v>55.99</v>
      </c>
      <c r="H431" s="831">
        <v>241.37</v>
      </c>
      <c r="I431" s="846"/>
      <c r="J431" s="846"/>
      <c r="K431" s="846"/>
      <c r="L431" s="846"/>
      <c r="M431" s="846"/>
      <c r="N431" s="846"/>
      <c r="O431" s="846"/>
      <c r="P431" s="846"/>
      <c r="Q431" s="846"/>
      <c r="R431" s="846"/>
      <c r="S431" s="846"/>
      <c r="T431" s="846"/>
    </row>
    <row r="432" spans="2:20" ht="38.25" hidden="1">
      <c r="B432" s="828" t="s">
        <v>6530</v>
      </c>
      <c r="C432" s="828">
        <v>89278</v>
      </c>
      <c r="D432" s="630" t="s">
        <v>491</v>
      </c>
      <c r="E432" s="630" t="s">
        <v>760</v>
      </c>
      <c r="F432" s="829">
        <v>13.8</v>
      </c>
      <c r="G432" s="830">
        <v>0</v>
      </c>
      <c r="H432" s="831">
        <v>13.8</v>
      </c>
      <c r="I432" s="846"/>
      <c r="J432" s="846"/>
      <c r="K432" s="846"/>
      <c r="L432" s="846"/>
      <c r="M432" s="846"/>
      <c r="N432" s="846"/>
      <c r="O432" s="846"/>
      <c r="P432" s="846"/>
      <c r="Q432" s="846"/>
      <c r="R432" s="846"/>
      <c r="S432" s="846"/>
      <c r="T432" s="846"/>
    </row>
    <row r="433" spans="2:20" ht="25.5" hidden="1">
      <c r="B433" s="828" t="s">
        <v>6530</v>
      </c>
      <c r="C433" s="828">
        <v>89843</v>
      </c>
      <c r="D433" s="630" t="s">
        <v>492</v>
      </c>
      <c r="E433" s="630" t="s">
        <v>760</v>
      </c>
      <c r="F433" s="829">
        <v>183.93</v>
      </c>
      <c r="G433" s="830">
        <v>44.02</v>
      </c>
      <c r="H433" s="831">
        <v>227.95</v>
      </c>
      <c r="I433" s="846"/>
      <c r="J433" s="846"/>
      <c r="K433" s="846"/>
      <c r="L433" s="846"/>
      <c r="M433" s="846"/>
      <c r="N433" s="846"/>
      <c r="O433" s="846"/>
      <c r="P433" s="846"/>
      <c r="Q433" s="846"/>
      <c r="R433" s="846"/>
      <c r="S433" s="846"/>
      <c r="T433" s="846"/>
    </row>
    <row r="434" spans="2:20" ht="51" hidden="1">
      <c r="B434" s="828" t="s">
        <v>6530</v>
      </c>
      <c r="C434" s="828">
        <v>89876</v>
      </c>
      <c r="D434" s="630" t="s">
        <v>493</v>
      </c>
      <c r="E434" s="630" t="s">
        <v>760</v>
      </c>
      <c r="F434" s="829">
        <v>318</v>
      </c>
      <c r="G434" s="830">
        <v>18.989999999999998</v>
      </c>
      <c r="H434" s="831">
        <v>336.99</v>
      </c>
      <c r="I434" s="846"/>
      <c r="J434" s="846"/>
      <c r="K434" s="846"/>
      <c r="L434" s="846"/>
      <c r="M434" s="846"/>
      <c r="N434" s="846"/>
      <c r="O434" s="846"/>
      <c r="P434" s="846"/>
      <c r="Q434" s="846"/>
      <c r="R434" s="846"/>
      <c r="S434" s="846"/>
      <c r="T434" s="846"/>
    </row>
    <row r="435" spans="2:20" ht="51" hidden="1">
      <c r="B435" s="828" t="s">
        <v>6530</v>
      </c>
      <c r="C435" s="828">
        <v>89883</v>
      </c>
      <c r="D435" s="630" t="s">
        <v>494</v>
      </c>
      <c r="E435" s="630" t="s">
        <v>760</v>
      </c>
      <c r="F435" s="829">
        <v>358.72</v>
      </c>
      <c r="G435" s="830">
        <v>18.989999999999998</v>
      </c>
      <c r="H435" s="831">
        <v>377.71</v>
      </c>
      <c r="I435" s="846"/>
      <c r="J435" s="846"/>
      <c r="K435" s="846"/>
      <c r="L435" s="846"/>
      <c r="M435" s="846"/>
      <c r="N435" s="846"/>
      <c r="O435" s="846"/>
      <c r="P435" s="846"/>
      <c r="Q435" s="846"/>
      <c r="R435" s="846"/>
      <c r="S435" s="846"/>
      <c r="T435" s="846"/>
    </row>
    <row r="436" spans="2:20" ht="25.5" hidden="1">
      <c r="B436" s="828" t="s">
        <v>6530</v>
      </c>
      <c r="C436" s="828">
        <v>90586</v>
      </c>
      <c r="D436" s="630" t="s">
        <v>495</v>
      </c>
      <c r="E436" s="630" t="s">
        <v>760</v>
      </c>
      <c r="F436" s="829">
        <v>1.38</v>
      </c>
      <c r="G436" s="830">
        <v>0</v>
      </c>
      <c r="H436" s="831">
        <v>1.38</v>
      </c>
      <c r="I436" s="846"/>
      <c r="J436" s="846"/>
      <c r="K436" s="846"/>
      <c r="L436" s="846"/>
      <c r="M436" s="846"/>
      <c r="N436" s="846"/>
      <c r="O436" s="846"/>
      <c r="P436" s="846"/>
      <c r="Q436" s="846"/>
      <c r="R436" s="846"/>
      <c r="S436" s="846"/>
      <c r="T436" s="846"/>
    </row>
    <row r="437" spans="2:20" ht="25.5" hidden="1">
      <c r="B437" s="828" t="s">
        <v>6530</v>
      </c>
      <c r="C437" s="828">
        <v>90625</v>
      </c>
      <c r="D437" s="630" t="s">
        <v>496</v>
      </c>
      <c r="E437" s="630" t="s">
        <v>760</v>
      </c>
      <c r="F437" s="829">
        <v>6.43</v>
      </c>
      <c r="G437" s="830">
        <v>0</v>
      </c>
      <c r="H437" s="831">
        <v>6.43</v>
      </c>
      <c r="I437" s="846"/>
      <c r="J437" s="846"/>
      <c r="K437" s="846"/>
      <c r="L437" s="846"/>
      <c r="M437" s="846"/>
      <c r="N437" s="846"/>
      <c r="O437" s="846"/>
      <c r="P437" s="846"/>
      <c r="Q437" s="846"/>
      <c r="R437" s="846"/>
      <c r="S437" s="846"/>
      <c r="T437" s="846"/>
    </row>
    <row r="438" spans="2:20" ht="38.25" hidden="1">
      <c r="B438" s="828" t="s">
        <v>6530</v>
      </c>
      <c r="C438" s="828">
        <v>90631</v>
      </c>
      <c r="D438" s="630" t="s">
        <v>497</v>
      </c>
      <c r="E438" s="630" t="s">
        <v>760</v>
      </c>
      <c r="F438" s="829">
        <v>132.75</v>
      </c>
      <c r="G438" s="830">
        <v>24.22</v>
      </c>
      <c r="H438" s="831">
        <v>156.97</v>
      </c>
      <c r="I438" s="846"/>
      <c r="J438" s="846"/>
      <c r="K438" s="846"/>
      <c r="L438" s="846"/>
      <c r="M438" s="846"/>
      <c r="N438" s="846"/>
      <c r="O438" s="846"/>
      <c r="P438" s="846"/>
      <c r="Q438" s="846"/>
      <c r="R438" s="846"/>
      <c r="S438" s="846"/>
      <c r="T438" s="846"/>
    </row>
    <row r="439" spans="2:20" ht="38.25" hidden="1">
      <c r="B439" s="828" t="s">
        <v>6530</v>
      </c>
      <c r="C439" s="828">
        <v>90637</v>
      </c>
      <c r="D439" s="630" t="s">
        <v>498</v>
      </c>
      <c r="E439" s="630" t="s">
        <v>760</v>
      </c>
      <c r="F439" s="829">
        <v>13.74</v>
      </c>
      <c r="G439" s="830">
        <v>0</v>
      </c>
      <c r="H439" s="831">
        <v>13.74</v>
      </c>
      <c r="I439" s="846"/>
      <c r="J439" s="846"/>
      <c r="K439" s="846"/>
      <c r="L439" s="846"/>
      <c r="M439" s="846"/>
      <c r="N439" s="846"/>
      <c r="O439" s="846"/>
      <c r="P439" s="846"/>
      <c r="Q439" s="846"/>
      <c r="R439" s="846"/>
      <c r="S439" s="846"/>
      <c r="T439" s="846"/>
    </row>
    <row r="440" spans="2:20" ht="38.25" hidden="1">
      <c r="B440" s="828" t="s">
        <v>6530</v>
      </c>
      <c r="C440" s="828">
        <v>90643</v>
      </c>
      <c r="D440" s="630" t="s">
        <v>252</v>
      </c>
      <c r="E440" s="630" t="s">
        <v>760</v>
      </c>
      <c r="F440" s="829">
        <v>28.03</v>
      </c>
      <c r="G440" s="830">
        <v>0</v>
      </c>
      <c r="H440" s="831">
        <v>28.03</v>
      </c>
      <c r="I440" s="846"/>
      <c r="J440" s="846"/>
      <c r="K440" s="846"/>
      <c r="L440" s="846"/>
      <c r="M440" s="846"/>
      <c r="N440" s="846"/>
      <c r="O440" s="846"/>
      <c r="P440" s="846"/>
      <c r="Q440" s="846"/>
      <c r="R440" s="846"/>
      <c r="S440" s="846"/>
      <c r="T440" s="846"/>
    </row>
    <row r="441" spans="2:20" ht="38.25" hidden="1">
      <c r="B441" s="828" t="s">
        <v>6530</v>
      </c>
      <c r="C441" s="828">
        <v>90650</v>
      </c>
      <c r="D441" s="630" t="s">
        <v>253</v>
      </c>
      <c r="E441" s="630" t="s">
        <v>760</v>
      </c>
      <c r="F441" s="829">
        <v>9.83</v>
      </c>
      <c r="G441" s="830">
        <v>0</v>
      </c>
      <c r="H441" s="831">
        <v>9.83</v>
      </c>
      <c r="I441" s="846"/>
      <c r="J441" s="846"/>
      <c r="K441" s="846"/>
      <c r="L441" s="846"/>
      <c r="M441" s="846"/>
      <c r="N441" s="846"/>
      <c r="O441" s="846"/>
      <c r="P441" s="846"/>
      <c r="Q441" s="846"/>
      <c r="R441" s="846"/>
      <c r="S441" s="846"/>
      <c r="T441" s="846"/>
    </row>
    <row r="442" spans="2:20" ht="25.5" hidden="1">
      <c r="B442" s="828" t="s">
        <v>6530</v>
      </c>
      <c r="C442" s="828">
        <v>90656</v>
      </c>
      <c r="D442" s="630" t="s">
        <v>254</v>
      </c>
      <c r="E442" s="630" t="s">
        <v>760</v>
      </c>
      <c r="F442" s="829">
        <v>13.629999999999999</v>
      </c>
      <c r="G442" s="830">
        <v>0</v>
      </c>
      <c r="H442" s="831">
        <v>13.63</v>
      </c>
      <c r="I442" s="846"/>
      <c r="J442" s="846"/>
      <c r="K442" s="846"/>
      <c r="L442" s="846"/>
      <c r="M442" s="846"/>
      <c r="N442" s="846"/>
      <c r="O442" s="846"/>
      <c r="P442" s="846"/>
      <c r="Q442" s="846"/>
      <c r="R442" s="846"/>
      <c r="S442" s="846"/>
      <c r="T442" s="846"/>
    </row>
    <row r="443" spans="2:20" ht="25.5" hidden="1">
      <c r="B443" s="828" t="s">
        <v>6530</v>
      </c>
      <c r="C443" s="828">
        <v>90662</v>
      </c>
      <c r="D443" s="630" t="s">
        <v>255</v>
      </c>
      <c r="E443" s="630" t="s">
        <v>760</v>
      </c>
      <c r="F443" s="829">
        <v>14.21</v>
      </c>
      <c r="G443" s="830">
        <v>0</v>
      </c>
      <c r="H443" s="831">
        <v>14.21</v>
      </c>
      <c r="I443" s="846"/>
      <c r="J443" s="846"/>
      <c r="K443" s="846"/>
      <c r="L443" s="846"/>
      <c r="M443" s="846"/>
      <c r="N443" s="846"/>
      <c r="O443" s="846"/>
      <c r="P443" s="846"/>
      <c r="Q443" s="846"/>
      <c r="R443" s="846"/>
      <c r="S443" s="846"/>
      <c r="T443" s="846"/>
    </row>
    <row r="444" spans="2:20" ht="51" hidden="1">
      <c r="B444" s="828" t="s">
        <v>6530</v>
      </c>
      <c r="C444" s="828">
        <v>90668</v>
      </c>
      <c r="D444" s="630" t="s">
        <v>256</v>
      </c>
      <c r="E444" s="630" t="s">
        <v>760</v>
      </c>
      <c r="F444" s="829">
        <v>30.78</v>
      </c>
      <c r="G444" s="830">
        <v>0</v>
      </c>
      <c r="H444" s="831">
        <v>30.78</v>
      </c>
      <c r="I444" s="846"/>
      <c r="J444" s="846"/>
      <c r="K444" s="846"/>
      <c r="L444" s="846"/>
      <c r="M444" s="846"/>
      <c r="N444" s="846"/>
      <c r="O444" s="846"/>
      <c r="P444" s="846"/>
      <c r="Q444" s="846"/>
      <c r="R444" s="846"/>
      <c r="S444" s="846"/>
      <c r="T444" s="846"/>
    </row>
    <row r="445" spans="2:20" ht="51" hidden="1">
      <c r="B445" s="828" t="s">
        <v>6530</v>
      </c>
      <c r="C445" s="828">
        <v>90674</v>
      </c>
      <c r="D445" s="630" t="s">
        <v>257</v>
      </c>
      <c r="E445" s="630" t="s">
        <v>760</v>
      </c>
      <c r="F445" s="829">
        <v>730.06</v>
      </c>
      <c r="G445" s="830">
        <v>24.22</v>
      </c>
      <c r="H445" s="831">
        <v>754.28</v>
      </c>
      <c r="I445" s="846"/>
      <c r="J445" s="846"/>
      <c r="K445" s="846"/>
      <c r="L445" s="846"/>
      <c r="M445" s="846"/>
      <c r="N445" s="846"/>
      <c r="O445" s="846"/>
      <c r="P445" s="846"/>
      <c r="Q445" s="846"/>
      <c r="R445" s="846"/>
      <c r="S445" s="846"/>
      <c r="T445" s="846"/>
    </row>
    <row r="446" spans="2:20" ht="51" hidden="1">
      <c r="B446" s="828" t="s">
        <v>6530</v>
      </c>
      <c r="C446" s="828">
        <v>90680</v>
      </c>
      <c r="D446" s="630" t="s">
        <v>258</v>
      </c>
      <c r="E446" s="630" t="s">
        <v>760</v>
      </c>
      <c r="F446" s="829">
        <v>410.77</v>
      </c>
      <c r="G446" s="830">
        <v>24.22</v>
      </c>
      <c r="H446" s="831">
        <v>434.99</v>
      </c>
      <c r="I446" s="846"/>
      <c r="J446" s="846"/>
      <c r="K446" s="846"/>
      <c r="L446" s="846"/>
      <c r="M446" s="846"/>
      <c r="N446" s="846"/>
      <c r="O446" s="846"/>
      <c r="P446" s="846"/>
      <c r="Q446" s="846"/>
      <c r="R446" s="846"/>
      <c r="S446" s="846"/>
      <c r="T446" s="846"/>
    </row>
    <row r="447" spans="2:20" ht="38.25" hidden="1">
      <c r="B447" s="828" t="s">
        <v>6530</v>
      </c>
      <c r="C447" s="828">
        <v>90686</v>
      </c>
      <c r="D447" s="630" t="s">
        <v>259</v>
      </c>
      <c r="E447" s="630" t="s">
        <v>760</v>
      </c>
      <c r="F447" s="829">
        <v>139.61000000000001</v>
      </c>
      <c r="G447" s="830">
        <v>23.12</v>
      </c>
      <c r="H447" s="831">
        <v>162.72999999999999</v>
      </c>
      <c r="I447" s="846"/>
      <c r="J447" s="846"/>
      <c r="K447" s="846"/>
      <c r="L447" s="846"/>
      <c r="M447" s="846"/>
      <c r="N447" s="846"/>
      <c r="O447" s="846"/>
      <c r="P447" s="846"/>
      <c r="Q447" s="846"/>
      <c r="R447" s="846"/>
      <c r="S447" s="846"/>
      <c r="T447" s="846"/>
    </row>
    <row r="448" spans="2:20" ht="38.25" hidden="1">
      <c r="B448" s="828" t="s">
        <v>6530</v>
      </c>
      <c r="C448" s="828">
        <v>90692</v>
      </c>
      <c r="D448" s="630" t="s">
        <v>260</v>
      </c>
      <c r="E448" s="630" t="s">
        <v>760</v>
      </c>
      <c r="F448" s="829">
        <v>100.34</v>
      </c>
      <c r="G448" s="830">
        <v>23.12</v>
      </c>
      <c r="H448" s="831">
        <v>123.46</v>
      </c>
      <c r="I448" s="846"/>
      <c r="J448" s="846"/>
      <c r="K448" s="846"/>
      <c r="L448" s="846"/>
      <c r="M448" s="846"/>
      <c r="N448" s="846"/>
      <c r="O448" s="846"/>
      <c r="P448" s="846"/>
      <c r="Q448" s="846"/>
      <c r="R448" s="846"/>
      <c r="S448" s="846"/>
      <c r="T448" s="846"/>
    </row>
    <row r="449" spans="2:20" ht="38.25" hidden="1">
      <c r="B449" s="828" t="s">
        <v>6530</v>
      </c>
      <c r="C449" s="828">
        <v>90964</v>
      </c>
      <c r="D449" s="630" t="s">
        <v>261</v>
      </c>
      <c r="E449" s="630" t="s">
        <v>760</v>
      </c>
      <c r="F449" s="829">
        <v>30.71</v>
      </c>
      <c r="G449" s="830">
        <v>0</v>
      </c>
      <c r="H449" s="831">
        <v>30.71</v>
      </c>
      <c r="I449" s="846"/>
      <c r="J449" s="846"/>
      <c r="K449" s="846"/>
      <c r="L449" s="846"/>
      <c r="M449" s="846"/>
      <c r="N449" s="846"/>
      <c r="O449" s="846"/>
      <c r="P449" s="846"/>
      <c r="Q449" s="846"/>
      <c r="R449" s="846"/>
      <c r="S449" s="846"/>
      <c r="T449" s="846"/>
    </row>
    <row r="450" spans="2:20" ht="25.5" hidden="1">
      <c r="B450" s="828" t="s">
        <v>6530</v>
      </c>
      <c r="C450" s="828">
        <v>90972</v>
      </c>
      <c r="D450" s="630" t="s">
        <v>1686</v>
      </c>
      <c r="E450" s="630" t="s">
        <v>760</v>
      </c>
      <c r="F450" s="829">
        <v>86.52</v>
      </c>
      <c r="G450" s="830">
        <v>0</v>
      </c>
      <c r="H450" s="831">
        <v>86.52</v>
      </c>
      <c r="I450" s="846"/>
      <c r="J450" s="846"/>
      <c r="K450" s="846"/>
      <c r="L450" s="846"/>
      <c r="M450" s="846"/>
      <c r="N450" s="846"/>
      <c r="O450" s="846"/>
      <c r="P450" s="846"/>
      <c r="Q450" s="846"/>
      <c r="R450" s="846"/>
      <c r="S450" s="846"/>
      <c r="T450" s="846"/>
    </row>
    <row r="451" spans="2:20" ht="38.25" hidden="1">
      <c r="B451" s="828" t="s">
        <v>6530</v>
      </c>
      <c r="C451" s="828">
        <v>90979</v>
      </c>
      <c r="D451" s="630" t="s">
        <v>262</v>
      </c>
      <c r="E451" s="630" t="s">
        <v>760</v>
      </c>
      <c r="F451" s="829">
        <v>223.79999999999998</v>
      </c>
      <c r="G451" s="830">
        <v>0</v>
      </c>
      <c r="H451" s="831">
        <v>223.8</v>
      </c>
      <c r="I451" s="846"/>
      <c r="J451" s="846"/>
      <c r="K451" s="846"/>
      <c r="L451" s="846"/>
      <c r="M451" s="846"/>
      <c r="N451" s="846"/>
      <c r="O451" s="846"/>
      <c r="P451" s="846"/>
      <c r="Q451" s="846"/>
      <c r="R451" s="846"/>
      <c r="S451" s="846"/>
      <c r="T451" s="846"/>
    </row>
    <row r="452" spans="2:20" ht="38.25" hidden="1">
      <c r="B452" s="828" t="s">
        <v>6530</v>
      </c>
      <c r="C452" s="828">
        <v>90991</v>
      </c>
      <c r="D452" s="630" t="s">
        <v>263</v>
      </c>
      <c r="E452" s="630" t="s">
        <v>760</v>
      </c>
      <c r="F452" s="829">
        <v>201.45999999999998</v>
      </c>
      <c r="G452" s="830">
        <v>24.63</v>
      </c>
      <c r="H452" s="831">
        <v>226.09</v>
      </c>
      <c r="I452" s="846"/>
      <c r="J452" s="846"/>
      <c r="K452" s="846"/>
      <c r="L452" s="846"/>
      <c r="M452" s="846"/>
      <c r="N452" s="846"/>
      <c r="O452" s="846"/>
      <c r="P452" s="846"/>
      <c r="Q452" s="846"/>
      <c r="R452" s="846"/>
      <c r="S452" s="846"/>
      <c r="T452" s="846"/>
    </row>
    <row r="453" spans="2:20" ht="25.5" hidden="1">
      <c r="B453" s="828" t="s">
        <v>6530</v>
      </c>
      <c r="C453" s="828">
        <v>90999</v>
      </c>
      <c r="D453" s="630" t="s">
        <v>1692</v>
      </c>
      <c r="E453" s="630" t="s">
        <v>760</v>
      </c>
      <c r="F453" s="829">
        <v>115.38</v>
      </c>
      <c r="G453" s="830">
        <v>0</v>
      </c>
      <c r="H453" s="831">
        <v>115.38</v>
      </c>
      <c r="I453" s="846"/>
      <c r="J453" s="846"/>
      <c r="K453" s="846"/>
      <c r="L453" s="846"/>
      <c r="M453" s="846"/>
      <c r="N453" s="846"/>
      <c r="O453" s="846"/>
      <c r="P453" s="846"/>
      <c r="Q453" s="846"/>
      <c r="R453" s="846"/>
      <c r="S453" s="846"/>
      <c r="T453" s="846"/>
    </row>
    <row r="454" spans="2:20" ht="38.25" hidden="1">
      <c r="B454" s="828" t="s">
        <v>6530</v>
      </c>
      <c r="C454" s="828">
        <v>91031</v>
      </c>
      <c r="D454" s="630" t="s">
        <v>264</v>
      </c>
      <c r="E454" s="630" t="s">
        <v>760</v>
      </c>
      <c r="F454" s="829">
        <v>252.14999999999998</v>
      </c>
      <c r="G454" s="830">
        <v>20.14</v>
      </c>
      <c r="H454" s="831">
        <v>272.29000000000002</v>
      </c>
      <c r="I454" s="846"/>
      <c r="J454" s="846"/>
      <c r="K454" s="846"/>
      <c r="L454" s="846"/>
      <c r="M454" s="846"/>
      <c r="N454" s="846"/>
      <c r="O454" s="846"/>
      <c r="P454" s="846"/>
      <c r="Q454" s="846"/>
      <c r="R454" s="846"/>
      <c r="S454" s="846"/>
      <c r="T454" s="846"/>
    </row>
    <row r="455" spans="2:20" ht="38.25" hidden="1">
      <c r="B455" s="828" t="s">
        <v>6530</v>
      </c>
      <c r="C455" s="828">
        <v>91277</v>
      </c>
      <c r="D455" s="630" t="s">
        <v>265</v>
      </c>
      <c r="E455" s="630" t="s">
        <v>760</v>
      </c>
      <c r="F455" s="829">
        <v>9.67</v>
      </c>
      <c r="G455" s="830">
        <v>0</v>
      </c>
      <c r="H455" s="831">
        <v>9.67</v>
      </c>
      <c r="I455" s="846"/>
      <c r="J455" s="846"/>
      <c r="K455" s="846"/>
      <c r="L455" s="846"/>
      <c r="M455" s="846"/>
      <c r="N455" s="846"/>
      <c r="O455" s="846"/>
      <c r="P455" s="846"/>
      <c r="Q455" s="846"/>
      <c r="R455" s="846"/>
      <c r="S455" s="846"/>
      <c r="T455" s="846"/>
    </row>
    <row r="456" spans="2:20" ht="38.25" hidden="1">
      <c r="B456" s="828" t="s">
        <v>6530</v>
      </c>
      <c r="C456" s="828">
        <v>91283</v>
      </c>
      <c r="D456" s="630" t="s">
        <v>2100</v>
      </c>
      <c r="E456" s="630" t="s">
        <v>760</v>
      </c>
      <c r="F456" s="829">
        <v>10.119999999999999</v>
      </c>
      <c r="G456" s="830">
        <v>0</v>
      </c>
      <c r="H456" s="831">
        <v>10.119999999999999</v>
      </c>
      <c r="I456" s="846"/>
      <c r="J456" s="846"/>
      <c r="K456" s="846"/>
      <c r="L456" s="846"/>
      <c r="M456" s="846"/>
      <c r="N456" s="846"/>
      <c r="O456" s="846"/>
      <c r="P456" s="846"/>
      <c r="Q456" s="846"/>
      <c r="R456" s="846"/>
      <c r="S456" s="846"/>
      <c r="T456" s="846"/>
    </row>
    <row r="457" spans="2:20" ht="51" hidden="1">
      <c r="B457" s="828" t="s">
        <v>6530</v>
      </c>
      <c r="C457" s="828">
        <v>91386</v>
      </c>
      <c r="D457" s="630" t="s">
        <v>266</v>
      </c>
      <c r="E457" s="630" t="s">
        <v>760</v>
      </c>
      <c r="F457" s="829">
        <v>258.64999999999998</v>
      </c>
      <c r="G457" s="830">
        <v>18.989999999999998</v>
      </c>
      <c r="H457" s="831">
        <v>277.64</v>
      </c>
      <c r="I457" s="846"/>
      <c r="J457" s="846"/>
      <c r="K457" s="846"/>
      <c r="L457" s="846"/>
      <c r="M457" s="846"/>
      <c r="N457" s="846"/>
      <c r="O457" s="846"/>
      <c r="P457" s="846"/>
      <c r="Q457" s="846"/>
      <c r="R457" s="846"/>
      <c r="S457" s="846"/>
      <c r="T457" s="846"/>
    </row>
    <row r="458" spans="2:20" ht="25.5" hidden="1">
      <c r="B458" s="828" t="s">
        <v>6530</v>
      </c>
      <c r="C458" s="828">
        <v>91533</v>
      </c>
      <c r="D458" s="630" t="s">
        <v>2026</v>
      </c>
      <c r="E458" s="630" t="s">
        <v>760</v>
      </c>
      <c r="F458" s="829">
        <v>13.43</v>
      </c>
      <c r="G458" s="830">
        <v>24.22</v>
      </c>
      <c r="H458" s="831">
        <v>37.65</v>
      </c>
      <c r="I458" s="846"/>
      <c r="J458" s="846"/>
      <c r="K458" s="846"/>
      <c r="L458" s="846"/>
      <c r="M458" s="846"/>
      <c r="N458" s="846"/>
      <c r="O458" s="846"/>
      <c r="P458" s="846"/>
      <c r="Q458" s="846"/>
      <c r="R458" s="846"/>
      <c r="S458" s="846"/>
      <c r="T458" s="846"/>
    </row>
    <row r="459" spans="2:20" ht="51" hidden="1">
      <c r="B459" s="828" t="s">
        <v>6530</v>
      </c>
      <c r="C459" s="828">
        <v>91634</v>
      </c>
      <c r="D459" s="630" t="s">
        <v>267</v>
      </c>
      <c r="E459" s="630" t="s">
        <v>760</v>
      </c>
      <c r="F459" s="829">
        <v>225.95</v>
      </c>
      <c r="G459" s="830">
        <v>23.59</v>
      </c>
      <c r="H459" s="831">
        <v>249.54</v>
      </c>
      <c r="I459" s="846"/>
      <c r="J459" s="846"/>
      <c r="K459" s="846"/>
      <c r="L459" s="846"/>
      <c r="M459" s="846"/>
      <c r="N459" s="846"/>
      <c r="O459" s="846"/>
      <c r="P459" s="846"/>
      <c r="Q459" s="846"/>
      <c r="R459" s="846"/>
      <c r="S459" s="846"/>
      <c r="T459" s="846"/>
    </row>
    <row r="460" spans="2:20" ht="51" hidden="1">
      <c r="B460" s="828" t="s">
        <v>6530</v>
      </c>
      <c r="C460" s="828">
        <v>91645</v>
      </c>
      <c r="D460" s="630" t="s">
        <v>1709</v>
      </c>
      <c r="E460" s="630" t="s">
        <v>760</v>
      </c>
      <c r="F460" s="829">
        <v>467.14</v>
      </c>
      <c r="G460" s="830">
        <v>26.9</v>
      </c>
      <c r="H460" s="831">
        <v>494.04</v>
      </c>
      <c r="I460" s="846"/>
      <c r="J460" s="846"/>
      <c r="K460" s="846"/>
      <c r="L460" s="846"/>
      <c r="M460" s="846"/>
      <c r="N460" s="846"/>
      <c r="O460" s="846"/>
      <c r="P460" s="846"/>
      <c r="Q460" s="846"/>
      <c r="R460" s="846"/>
      <c r="S460" s="846"/>
      <c r="T460" s="846"/>
    </row>
    <row r="461" spans="2:20" ht="25.5" hidden="1">
      <c r="B461" s="828" t="s">
        <v>6530</v>
      </c>
      <c r="C461" s="828">
        <v>91692</v>
      </c>
      <c r="D461" s="630" t="s">
        <v>1614</v>
      </c>
      <c r="E461" s="630" t="s">
        <v>760</v>
      </c>
      <c r="F461" s="829">
        <v>6.85</v>
      </c>
      <c r="G461" s="830">
        <v>24.22</v>
      </c>
      <c r="H461" s="831">
        <v>31.07</v>
      </c>
      <c r="I461" s="846"/>
      <c r="J461" s="846"/>
      <c r="K461" s="846"/>
      <c r="L461" s="846"/>
      <c r="M461" s="846"/>
      <c r="N461" s="846"/>
      <c r="O461" s="846"/>
      <c r="P461" s="846"/>
      <c r="Q461" s="846"/>
      <c r="R461" s="846"/>
      <c r="S461" s="846"/>
      <c r="T461" s="846"/>
    </row>
    <row r="462" spans="2:20" ht="25.5" hidden="1">
      <c r="B462" s="828" t="s">
        <v>6530</v>
      </c>
      <c r="C462" s="828">
        <v>92043</v>
      </c>
      <c r="D462" s="630" t="s">
        <v>1797</v>
      </c>
      <c r="E462" s="630" t="s">
        <v>760</v>
      </c>
      <c r="F462" s="829">
        <v>13.31</v>
      </c>
      <c r="G462" s="830">
        <v>0</v>
      </c>
      <c r="H462" s="831">
        <v>13.31</v>
      </c>
      <c r="I462" s="846"/>
      <c r="J462" s="846"/>
      <c r="K462" s="846"/>
      <c r="L462" s="846"/>
      <c r="M462" s="846"/>
      <c r="N462" s="846"/>
      <c r="O462" s="846"/>
      <c r="P462" s="846"/>
      <c r="Q462" s="846"/>
      <c r="R462" s="846"/>
      <c r="S462" s="846"/>
      <c r="T462" s="846"/>
    </row>
    <row r="463" spans="2:20" ht="51" hidden="1">
      <c r="B463" s="828" t="s">
        <v>6530</v>
      </c>
      <c r="C463" s="828">
        <v>92106</v>
      </c>
      <c r="D463" s="630" t="s">
        <v>1711</v>
      </c>
      <c r="E463" s="630" t="s">
        <v>760</v>
      </c>
      <c r="F463" s="829">
        <v>340.73</v>
      </c>
      <c r="G463" s="830">
        <v>20.14</v>
      </c>
      <c r="H463" s="831">
        <v>360.87</v>
      </c>
      <c r="I463" s="846"/>
      <c r="J463" s="846"/>
      <c r="K463" s="846"/>
      <c r="L463" s="846"/>
      <c r="M463" s="846"/>
      <c r="N463" s="846"/>
      <c r="O463" s="846"/>
      <c r="P463" s="846"/>
      <c r="Q463" s="846"/>
      <c r="R463" s="846"/>
      <c r="S463" s="846"/>
      <c r="T463" s="846"/>
    </row>
    <row r="464" spans="2:20" ht="25.5" hidden="1">
      <c r="B464" s="828" t="s">
        <v>6530</v>
      </c>
      <c r="C464" s="828">
        <v>92112</v>
      </c>
      <c r="D464" s="630" t="s">
        <v>1745</v>
      </c>
      <c r="E464" s="630" t="s">
        <v>760</v>
      </c>
      <c r="F464" s="829">
        <v>2.74</v>
      </c>
      <c r="G464" s="830">
        <v>0</v>
      </c>
      <c r="H464" s="831">
        <v>2.74</v>
      </c>
      <c r="I464" s="846"/>
      <c r="J464" s="846"/>
      <c r="K464" s="846"/>
      <c r="L464" s="846"/>
      <c r="M464" s="846"/>
      <c r="N464" s="846"/>
      <c r="O464" s="846"/>
      <c r="P464" s="846"/>
      <c r="Q464" s="846"/>
      <c r="R464" s="846"/>
      <c r="S464" s="846"/>
      <c r="T464" s="846"/>
    </row>
    <row r="465" spans="2:20" hidden="1">
      <c r="B465" s="828" t="s">
        <v>6530</v>
      </c>
      <c r="C465" s="828">
        <v>92118</v>
      </c>
      <c r="D465" s="630" t="s">
        <v>2042</v>
      </c>
      <c r="E465" s="630" t="s">
        <v>760</v>
      </c>
      <c r="F465" s="829">
        <v>0.23</v>
      </c>
      <c r="G465" s="830">
        <v>0</v>
      </c>
      <c r="H465" s="831">
        <v>0.23</v>
      </c>
      <c r="I465" s="846"/>
      <c r="J465" s="846"/>
      <c r="K465" s="846"/>
      <c r="L465" s="846"/>
      <c r="M465" s="846"/>
      <c r="N465" s="846"/>
      <c r="O465" s="846"/>
      <c r="P465" s="846"/>
      <c r="Q465" s="846"/>
      <c r="R465" s="846"/>
      <c r="S465" s="846"/>
      <c r="T465" s="846"/>
    </row>
    <row r="466" spans="2:20" ht="25.5" hidden="1">
      <c r="B466" s="828" t="s">
        <v>6530</v>
      </c>
      <c r="C466" s="828">
        <v>92138</v>
      </c>
      <c r="D466" s="630" t="s">
        <v>2006</v>
      </c>
      <c r="E466" s="630" t="s">
        <v>760</v>
      </c>
      <c r="F466" s="829">
        <v>79.38</v>
      </c>
      <c r="G466" s="830">
        <v>21.97</v>
      </c>
      <c r="H466" s="831">
        <v>101.35</v>
      </c>
      <c r="I466" s="846"/>
      <c r="J466" s="846"/>
      <c r="K466" s="846"/>
      <c r="L466" s="846"/>
      <c r="M466" s="846"/>
      <c r="N466" s="846"/>
      <c r="O466" s="846"/>
      <c r="P466" s="846"/>
      <c r="Q466" s="846"/>
      <c r="R466" s="846"/>
      <c r="S466" s="846"/>
      <c r="T466" s="846"/>
    </row>
    <row r="467" spans="2:20" ht="25.5" hidden="1">
      <c r="B467" s="828" t="s">
        <v>6530</v>
      </c>
      <c r="C467" s="828">
        <v>92145</v>
      </c>
      <c r="D467" s="630" t="s">
        <v>2007</v>
      </c>
      <c r="E467" s="630" t="s">
        <v>760</v>
      </c>
      <c r="F467" s="829">
        <v>56.11</v>
      </c>
      <c r="G467" s="830">
        <v>21.97</v>
      </c>
      <c r="H467" s="831">
        <v>78.08</v>
      </c>
      <c r="I467" s="846"/>
      <c r="J467" s="846"/>
      <c r="K467" s="846"/>
      <c r="L467" s="846"/>
      <c r="M467" s="846"/>
      <c r="N467" s="846"/>
      <c r="O467" s="846"/>
      <c r="P467" s="846"/>
      <c r="Q467" s="846"/>
      <c r="R467" s="846"/>
      <c r="S467" s="846"/>
      <c r="T467" s="846"/>
    </row>
    <row r="468" spans="2:20" ht="51" hidden="1">
      <c r="B468" s="828" t="s">
        <v>6530</v>
      </c>
      <c r="C468" s="828">
        <v>92242</v>
      </c>
      <c r="D468" s="630" t="s">
        <v>1712</v>
      </c>
      <c r="E468" s="630" t="s">
        <v>760</v>
      </c>
      <c r="F468" s="829">
        <v>411.17</v>
      </c>
      <c r="G468" s="830">
        <v>26.9</v>
      </c>
      <c r="H468" s="831">
        <v>438.07</v>
      </c>
      <c r="I468" s="846"/>
      <c r="J468" s="846"/>
      <c r="K468" s="846"/>
      <c r="L468" s="846"/>
      <c r="M468" s="846"/>
      <c r="N468" s="846"/>
      <c r="O468" s="846"/>
      <c r="P468" s="846"/>
      <c r="Q468" s="846"/>
      <c r="R468" s="846"/>
      <c r="S468" s="846"/>
      <c r="T468" s="846"/>
    </row>
    <row r="469" spans="2:20" ht="25.5" hidden="1">
      <c r="B469" s="828" t="s">
        <v>6530</v>
      </c>
      <c r="C469" s="828">
        <v>92716</v>
      </c>
      <c r="D469" s="630" t="s">
        <v>1871</v>
      </c>
      <c r="E469" s="630" t="s">
        <v>760</v>
      </c>
      <c r="F469" s="829">
        <v>22.5</v>
      </c>
      <c r="G469" s="830">
        <v>0</v>
      </c>
      <c r="H469" s="831">
        <v>22.5</v>
      </c>
      <c r="I469" s="846"/>
      <c r="J469" s="846"/>
      <c r="K469" s="846"/>
      <c r="L469" s="846"/>
      <c r="M469" s="846"/>
      <c r="N469" s="846"/>
      <c r="O469" s="846"/>
      <c r="P469" s="846"/>
      <c r="Q469" s="846"/>
      <c r="R469" s="846"/>
      <c r="S469" s="846"/>
      <c r="T469" s="846"/>
    </row>
    <row r="470" spans="2:20" ht="25.5" hidden="1">
      <c r="B470" s="828" t="s">
        <v>6530</v>
      </c>
      <c r="C470" s="828">
        <v>92960</v>
      </c>
      <c r="D470" s="630" t="s">
        <v>1735</v>
      </c>
      <c r="E470" s="630" t="s">
        <v>760</v>
      </c>
      <c r="F470" s="829">
        <v>21.3</v>
      </c>
      <c r="G470" s="830">
        <v>0</v>
      </c>
      <c r="H470" s="831">
        <v>21.3</v>
      </c>
      <c r="I470" s="846"/>
      <c r="J470" s="846"/>
      <c r="K470" s="846"/>
      <c r="L470" s="846"/>
      <c r="M470" s="846"/>
      <c r="N470" s="846"/>
      <c r="O470" s="846"/>
      <c r="P470" s="846"/>
      <c r="Q470" s="846"/>
      <c r="R470" s="846"/>
      <c r="S470" s="846"/>
      <c r="T470" s="846"/>
    </row>
    <row r="471" spans="2:20" ht="25.5" hidden="1">
      <c r="B471" s="828" t="s">
        <v>6530</v>
      </c>
      <c r="C471" s="828">
        <v>92966</v>
      </c>
      <c r="D471" s="630" t="s">
        <v>1751</v>
      </c>
      <c r="E471" s="630" t="s">
        <v>760</v>
      </c>
      <c r="F471" s="829">
        <v>8.51</v>
      </c>
      <c r="G471" s="830">
        <v>19.43</v>
      </c>
      <c r="H471" s="831">
        <v>27.94</v>
      </c>
      <c r="I471" s="846"/>
      <c r="J471" s="846"/>
      <c r="K471" s="846"/>
      <c r="L471" s="846"/>
      <c r="M471" s="846"/>
      <c r="N471" s="846"/>
      <c r="O471" s="846"/>
      <c r="P471" s="846"/>
      <c r="Q471" s="846"/>
      <c r="R471" s="846"/>
      <c r="S471" s="846"/>
      <c r="T471" s="846"/>
    </row>
    <row r="472" spans="2:20" ht="51" hidden="1">
      <c r="B472" s="828" t="s">
        <v>6530</v>
      </c>
      <c r="C472" s="828">
        <v>93224</v>
      </c>
      <c r="D472" s="630" t="s">
        <v>2216</v>
      </c>
      <c r="E472" s="630" t="s">
        <v>760</v>
      </c>
      <c r="F472" s="829">
        <v>1095.76</v>
      </c>
      <c r="G472" s="830">
        <v>24.22</v>
      </c>
      <c r="H472" s="832">
        <v>1119.98</v>
      </c>
      <c r="I472" s="846"/>
      <c r="J472" s="846"/>
      <c r="K472" s="846"/>
      <c r="L472" s="846"/>
      <c r="M472" s="846"/>
      <c r="N472" s="846"/>
      <c r="O472" s="846"/>
      <c r="P472" s="846"/>
      <c r="Q472" s="846"/>
      <c r="R472" s="846"/>
      <c r="S472" s="846"/>
      <c r="T472" s="846"/>
    </row>
    <row r="473" spans="2:20" ht="38.25" hidden="1">
      <c r="B473" s="828" t="s">
        <v>6530</v>
      </c>
      <c r="C473" s="828">
        <v>93233</v>
      </c>
      <c r="D473" s="630" t="s">
        <v>2068</v>
      </c>
      <c r="E473" s="630" t="s">
        <v>760</v>
      </c>
      <c r="F473" s="829">
        <v>9.1</v>
      </c>
      <c r="G473" s="830">
        <v>0</v>
      </c>
      <c r="H473" s="831">
        <v>9.1</v>
      </c>
      <c r="I473" s="846"/>
      <c r="J473" s="846"/>
      <c r="K473" s="846"/>
      <c r="L473" s="846"/>
      <c r="M473" s="846"/>
      <c r="N473" s="846"/>
      <c r="O473" s="846"/>
      <c r="P473" s="846"/>
      <c r="Q473" s="846"/>
      <c r="R473" s="846"/>
      <c r="S473" s="846"/>
      <c r="T473" s="846"/>
    </row>
    <row r="474" spans="2:20" ht="25.5" hidden="1">
      <c r="B474" s="828" t="s">
        <v>6530</v>
      </c>
      <c r="C474" s="828">
        <v>93272</v>
      </c>
      <c r="D474" s="630" t="s">
        <v>2076</v>
      </c>
      <c r="E474" s="630" t="s">
        <v>760</v>
      </c>
      <c r="F474" s="829">
        <v>113.16999999999999</v>
      </c>
      <c r="G474" s="830">
        <v>55.99</v>
      </c>
      <c r="H474" s="831">
        <v>169.16</v>
      </c>
      <c r="I474" s="846"/>
      <c r="J474" s="846"/>
      <c r="K474" s="846"/>
      <c r="L474" s="846"/>
      <c r="M474" s="846"/>
      <c r="N474" s="846"/>
      <c r="O474" s="846"/>
      <c r="P474" s="846"/>
      <c r="Q474" s="846"/>
      <c r="R474" s="846"/>
      <c r="S474" s="846"/>
      <c r="T474" s="846"/>
    </row>
    <row r="475" spans="2:20" ht="25.5" hidden="1">
      <c r="B475" s="828" t="s">
        <v>6530</v>
      </c>
      <c r="C475" s="828">
        <v>93281</v>
      </c>
      <c r="D475" s="630" t="s">
        <v>2070</v>
      </c>
      <c r="E475" s="630" t="s">
        <v>760</v>
      </c>
      <c r="F475" s="829">
        <v>6.86</v>
      </c>
      <c r="G475" s="830">
        <v>22.7</v>
      </c>
      <c r="H475" s="831">
        <v>29.56</v>
      </c>
      <c r="I475" s="846"/>
      <c r="J475" s="846"/>
      <c r="K475" s="846"/>
      <c r="L475" s="846"/>
      <c r="M475" s="846"/>
      <c r="N475" s="846"/>
      <c r="O475" s="846"/>
      <c r="P475" s="846"/>
      <c r="Q475" s="846"/>
      <c r="R475" s="846"/>
      <c r="S475" s="846"/>
      <c r="T475" s="846"/>
    </row>
    <row r="476" spans="2:20" ht="25.5" hidden="1">
      <c r="B476" s="828" t="s">
        <v>6530</v>
      </c>
      <c r="C476" s="828">
        <v>93287</v>
      </c>
      <c r="D476" s="630" t="s">
        <v>1988</v>
      </c>
      <c r="E476" s="630" t="s">
        <v>760</v>
      </c>
      <c r="F476" s="829">
        <v>294.11</v>
      </c>
      <c r="G476" s="830">
        <v>55.99</v>
      </c>
      <c r="H476" s="831">
        <v>350.1</v>
      </c>
      <c r="I476" s="846"/>
      <c r="J476" s="846"/>
      <c r="K476" s="846"/>
      <c r="L476" s="846"/>
      <c r="M476" s="846"/>
      <c r="N476" s="846"/>
      <c r="O476" s="846"/>
      <c r="P476" s="846"/>
      <c r="Q476" s="846"/>
      <c r="R476" s="846"/>
      <c r="S476" s="846"/>
      <c r="T476" s="846"/>
    </row>
    <row r="477" spans="2:20" ht="51" hidden="1">
      <c r="B477" s="828" t="s">
        <v>6530</v>
      </c>
      <c r="C477" s="828">
        <v>93402</v>
      </c>
      <c r="D477" s="630" t="s">
        <v>1713</v>
      </c>
      <c r="E477" s="630" t="s">
        <v>760</v>
      </c>
      <c r="F477" s="829">
        <v>264.83</v>
      </c>
      <c r="G477" s="830">
        <v>23.59</v>
      </c>
      <c r="H477" s="831">
        <v>288.42</v>
      </c>
      <c r="I477" s="846"/>
      <c r="J477" s="846"/>
      <c r="K477" s="846"/>
      <c r="L477" s="846"/>
      <c r="M477" s="846"/>
      <c r="N477" s="846"/>
      <c r="O477" s="846"/>
      <c r="P477" s="846"/>
      <c r="Q477" s="846"/>
      <c r="R477" s="846"/>
      <c r="S477" s="846"/>
      <c r="T477" s="846"/>
    </row>
    <row r="478" spans="2:20" ht="51" hidden="1">
      <c r="B478" s="828" t="s">
        <v>6530</v>
      </c>
      <c r="C478" s="828">
        <v>93408</v>
      </c>
      <c r="D478" s="630" t="s">
        <v>3742</v>
      </c>
      <c r="E478" s="630" t="s">
        <v>760</v>
      </c>
      <c r="F478" s="829">
        <v>76.16</v>
      </c>
      <c r="G478" s="830">
        <v>22.05</v>
      </c>
      <c r="H478" s="831">
        <v>98.21</v>
      </c>
      <c r="I478" s="846"/>
      <c r="J478" s="846"/>
      <c r="K478" s="846"/>
      <c r="L478" s="846"/>
      <c r="M478" s="846"/>
      <c r="N478" s="846"/>
      <c r="O478" s="846"/>
      <c r="P478" s="846"/>
      <c r="Q478" s="846"/>
      <c r="R478" s="846"/>
      <c r="S478" s="846"/>
      <c r="T478" s="846"/>
    </row>
    <row r="479" spans="2:20" ht="25.5" hidden="1">
      <c r="B479" s="828" t="s">
        <v>6530</v>
      </c>
      <c r="C479" s="828">
        <v>93415</v>
      </c>
      <c r="D479" s="630" t="s">
        <v>1957</v>
      </c>
      <c r="E479" s="630" t="s">
        <v>760</v>
      </c>
      <c r="F479" s="829">
        <v>15.11</v>
      </c>
      <c r="G479" s="830">
        <v>0</v>
      </c>
      <c r="H479" s="831">
        <v>15.11</v>
      </c>
      <c r="I479" s="846"/>
      <c r="J479" s="846"/>
      <c r="K479" s="846"/>
      <c r="L479" s="846"/>
      <c r="M479" s="846"/>
      <c r="N479" s="846"/>
      <c r="O479" s="846"/>
      <c r="P479" s="846"/>
      <c r="Q479" s="846"/>
      <c r="R479" s="846"/>
      <c r="S479" s="846"/>
      <c r="T479" s="846"/>
    </row>
    <row r="480" spans="2:20" ht="25.5" hidden="1">
      <c r="B480" s="828" t="s">
        <v>6530</v>
      </c>
      <c r="C480" s="828">
        <v>93421</v>
      </c>
      <c r="D480" s="630" t="s">
        <v>1958</v>
      </c>
      <c r="E480" s="630" t="s">
        <v>760</v>
      </c>
      <c r="F480" s="829">
        <v>88.649999999999991</v>
      </c>
      <c r="G480" s="830">
        <v>0</v>
      </c>
      <c r="H480" s="831">
        <v>88.65</v>
      </c>
      <c r="I480" s="846"/>
      <c r="J480" s="846"/>
      <c r="K480" s="846"/>
      <c r="L480" s="846"/>
      <c r="M480" s="846"/>
      <c r="N480" s="846"/>
      <c r="O480" s="846"/>
      <c r="P480" s="846"/>
      <c r="Q480" s="846"/>
      <c r="R480" s="846"/>
      <c r="S480" s="846"/>
      <c r="T480" s="846"/>
    </row>
    <row r="481" spans="2:20" ht="25.5" hidden="1">
      <c r="B481" s="828" t="s">
        <v>6530</v>
      </c>
      <c r="C481" s="828">
        <v>93427</v>
      </c>
      <c r="D481" s="630" t="s">
        <v>1959</v>
      </c>
      <c r="E481" s="630" t="s">
        <v>760</v>
      </c>
      <c r="F481" s="829">
        <v>205.32000000000002</v>
      </c>
      <c r="G481" s="830">
        <v>0</v>
      </c>
      <c r="H481" s="831">
        <v>205.32</v>
      </c>
      <c r="I481" s="846"/>
      <c r="J481" s="846"/>
      <c r="K481" s="846"/>
      <c r="L481" s="846"/>
      <c r="M481" s="846"/>
      <c r="N481" s="846"/>
      <c r="O481" s="846"/>
      <c r="P481" s="846"/>
      <c r="Q481" s="846"/>
      <c r="R481" s="846"/>
      <c r="S481" s="846"/>
      <c r="T481" s="846"/>
    </row>
    <row r="482" spans="2:20" ht="25.5" hidden="1">
      <c r="B482" s="828" t="s">
        <v>6530</v>
      </c>
      <c r="C482" s="828">
        <v>93433</v>
      </c>
      <c r="D482" s="630" t="s">
        <v>2047</v>
      </c>
      <c r="E482" s="630" t="s">
        <v>760</v>
      </c>
      <c r="F482" s="829">
        <v>3835.98</v>
      </c>
      <c r="G482" s="830">
        <v>88.98</v>
      </c>
      <c r="H482" s="832">
        <v>3924.96</v>
      </c>
      <c r="I482" s="846"/>
      <c r="J482" s="846"/>
      <c r="K482" s="846"/>
      <c r="L482" s="846"/>
      <c r="M482" s="846"/>
      <c r="N482" s="846"/>
      <c r="O482" s="846"/>
      <c r="P482" s="846"/>
      <c r="Q482" s="846"/>
      <c r="R482" s="846"/>
      <c r="S482" s="846"/>
      <c r="T482" s="846"/>
    </row>
    <row r="483" spans="2:20" ht="25.5" hidden="1">
      <c r="B483" s="828" t="s">
        <v>6530</v>
      </c>
      <c r="C483" s="828">
        <v>93439</v>
      </c>
      <c r="D483" s="630" t="s">
        <v>2053</v>
      </c>
      <c r="E483" s="630" t="s">
        <v>760</v>
      </c>
      <c r="F483" s="829">
        <v>80.06</v>
      </c>
      <c r="G483" s="830">
        <v>88.98</v>
      </c>
      <c r="H483" s="831">
        <v>169.04</v>
      </c>
      <c r="I483" s="846"/>
      <c r="J483" s="846"/>
      <c r="K483" s="846"/>
      <c r="L483" s="846"/>
      <c r="M483" s="846"/>
      <c r="N483" s="846"/>
      <c r="O483" s="846"/>
      <c r="P483" s="846"/>
      <c r="Q483" s="846"/>
      <c r="R483" s="846"/>
      <c r="S483" s="846"/>
      <c r="T483" s="846"/>
    </row>
    <row r="484" spans="2:20" ht="25.5" hidden="1">
      <c r="B484" s="828" t="s">
        <v>6530</v>
      </c>
      <c r="C484" s="828">
        <v>95121</v>
      </c>
      <c r="D484" s="630" t="s">
        <v>2067</v>
      </c>
      <c r="E484" s="630" t="s">
        <v>760</v>
      </c>
      <c r="F484" s="829">
        <v>225.89</v>
      </c>
      <c r="G484" s="830">
        <v>88.98</v>
      </c>
      <c r="H484" s="831">
        <v>314.87</v>
      </c>
      <c r="I484" s="846"/>
      <c r="J484" s="846"/>
      <c r="K484" s="846"/>
      <c r="L484" s="846"/>
      <c r="M484" s="846"/>
      <c r="N484" s="846"/>
      <c r="O484" s="846"/>
      <c r="P484" s="846"/>
      <c r="Q484" s="846"/>
      <c r="R484" s="846"/>
      <c r="S484" s="846"/>
      <c r="T484" s="846"/>
    </row>
    <row r="485" spans="2:20" ht="25.5" hidden="1">
      <c r="B485" s="828" t="s">
        <v>6530</v>
      </c>
      <c r="C485" s="828">
        <v>95127</v>
      </c>
      <c r="D485" s="630" t="s">
        <v>1798</v>
      </c>
      <c r="E485" s="630" t="s">
        <v>760</v>
      </c>
      <c r="F485" s="829">
        <v>228.14</v>
      </c>
      <c r="G485" s="830">
        <v>24.22</v>
      </c>
      <c r="H485" s="831">
        <v>252.36</v>
      </c>
      <c r="I485" s="846"/>
      <c r="J485" s="846"/>
      <c r="K485" s="846"/>
      <c r="L485" s="846"/>
      <c r="M485" s="846"/>
      <c r="N485" s="846"/>
      <c r="O485" s="846"/>
      <c r="P485" s="846"/>
      <c r="Q485" s="846"/>
      <c r="R485" s="846"/>
      <c r="S485" s="846"/>
      <c r="T485" s="846"/>
    </row>
    <row r="486" spans="2:20" ht="25.5" hidden="1">
      <c r="B486" s="828" t="s">
        <v>6530</v>
      </c>
      <c r="C486" s="828">
        <v>95133</v>
      </c>
      <c r="D486" s="630" t="s">
        <v>1620</v>
      </c>
      <c r="E486" s="630" t="s">
        <v>760</v>
      </c>
      <c r="F486" s="829">
        <v>164.97</v>
      </c>
      <c r="G486" s="830">
        <v>22.42</v>
      </c>
      <c r="H486" s="831">
        <v>187.39</v>
      </c>
      <c r="I486" s="846"/>
      <c r="J486" s="846"/>
      <c r="K486" s="846"/>
      <c r="L486" s="846"/>
      <c r="M486" s="846"/>
      <c r="N486" s="846"/>
      <c r="O486" s="846"/>
      <c r="P486" s="846"/>
      <c r="Q486" s="846"/>
      <c r="R486" s="846"/>
      <c r="S486" s="846"/>
      <c r="T486" s="846"/>
    </row>
    <row r="487" spans="2:20" ht="25.5" hidden="1">
      <c r="B487" s="828" t="s">
        <v>6530</v>
      </c>
      <c r="C487" s="828">
        <v>95139</v>
      </c>
      <c r="D487" s="630" t="s">
        <v>2179</v>
      </c>
      <c r="E487" s="630" t="s">
        <v>760</v>
      </c>
      <c r="F487" s="829">
        <v>0.05</v>
      </c>
      <c r="G487" s="830">
        <v>0</v>
      </c>
      <c r="H487" s="831">
        <v>0.05</v>
      </c>
      <c r="I487" s="846"/>
      <c r="J487" s="846"/>
      <c r="K487" s="846"/>
      <c r="L487" s="846"/>
      <c r="M487" s="846"/>
      <c r="N487" s="846"/>
      <c r="O487" s="846"/>
      <c r="P487" s="846"/>
      <c r="Q487" s="846"/>
      <c r="R487" s="846"/>
      <c r="S487" s="846"/>
      <c r="T487" s="846"/>
    </row>
    <row r="488" spans="2:20" ht="25.5" hidden="1">
      <c r="B488" s="828" t="s">
        <v>6530</v>
      </c>
      <c r="C488" s="828">
        <v>95212</v>
      </c>
      <c r="D488" s="630" t="s">
        <v>2077</v>
      </c>
      <c r="E488" s="630" t="s">
        <v>760</v>
      </c>
      <c r="F488" s="829">
        <v>126.41999999999999</v>
      </c>
      <c r="G488" s="830">
        <v>55.99</v>
      </c>
      <c r="H488" s="831">
        <v>182.41</v>
      </c>
      <c r="I488" s="846"/>
      <c r="J488" s="846"/>
      <c r="K488" s="846"/>
      <c r="L488" s="846"/>
      <c r="M488" s="846"/>
      <c r="N488" s="846"/>
      <c r="O488" s="846"/>
      <c r="P488" s="846"/>
      <c r="Q488" s="846"/>
      <c r="R488" s="846"/>
      <c r="S488" s="846"/>
      <c r="T488" s="846"/>
    </row>
    <row r="489" spans="2:20" ht="25.5" hidden="1">
      <c r="B489" s="828" t="s">
        <v>6530</v>
      </c>
      <c r="C489" s="828">
        <v>95258</v>
      </c>
      <c r="D489" s="630" t="s">
        <v>1757</v>
      </c>
      <c r="E489" s="630" t="s">
        <v>760</v>
      </c>
      <c r="F489" s="829">
        <v>8.11</v>
      </c>
      <c r="G489" s="830">
        <v>19.43</v>
      </c>
      <c r="H489" s="831">
        <v>27.54</v>
      </c>
      <c r="I489" s="846"/>
      <c r="J489" s="846"/>
      <c r="K489" s="846"/>
      <c r="L489" s="846"/>
      <c r="M489" s="846"/>
      <c r="N489" s="846"/>
      <c r="O489" s="846"/>
      <c r="P489" s="846"/>
      <c r="Q489" s="846"/>
      <c r="R489" s="846"/>
      <c r="S489" s="846"/>
      <c r="T489" s="846"/>
    </row>
    <row r="490" spans="2:20" ht="25.5" hidden="1">
      <c r="B490" s="828" t="s">
        <v>6530</v>
      </c>
      <c r="C490" s="828">
        <v>95264</v>
      </c>
      <c r="D490" s="630" t="s">
        <v>2020</v>
      </c>
      <c r="E490" s="630" t="s">
        <v>760</v>
      </c>
      <c r="F490" s="829">
        <v>6.42</v>
      </c>
      <c r="G490" s="830">
        <v>0</v>
      </c>
      <c r="H490" s="831">
        <v>6.42</v>
      </c>
      <c r="I490" s="846"/>
      <c r="J490" s="846"/>
      <c r="K490" s="846"/>
      <c r="L490" s="846"/>
      <c r="M490" s="846"/>
      <c r="N490" s="846"/>
      <c r="O490" s="846"/>
      <c r="P490" s="846"/>
      <c r="Q490" s="846"/>
      <c r="R490" s="846"/>
      <c r="S490" s="846"/>
      <c r="T490" s="846"/>
    </row>
    <row r="491" spans="2:20" ht="38.25" hidden="1">
      <c r="B491" s="828" t="s">
        <v>6530</v>
      </c>
      <c r="C491" s="828">
        <v>95270</v>
      </c>
      <c r="D491" s="630" t="s">
        <v>1788</v>
      </c>
      <c r="E491" s="630" t="s">
        <v>760</v>
      </c>
      <c r="F491" s="829">
        <v>9.3999999999999986</v>
      </c>
      <c r="G491" s="830">
        <v>0</v>
      </c>
      <c r="H491" s="831">
        <v>9.4</v>
      </c>
      <c r="I491" s="846"/>
      <c r="J491" s="846"/>
      <c r="K491" s="846"/>
      <c r="L491" s="846"/>
      <c r="M491" s="846"/>
      <c r="N491" s="846"/>
      <c r="O491" s="846"/>
      <c r="P491" s="846"/>
      <c r="Q491" s="846"/>
      <c r="R491" s="846"/>
      <c r="S491" s="846"/>
      <c r="T491" s="846"/>
    </row>
    <row r="492" spans="2:20" ht="25.5" hidden="1">
      <c r="B492" s="828" t="s">
        <v>6530</v>
      </c>
      <c r="C492" s="828">
        <v>95276</v>
      </c>
      <c r="D492" s="630" t="s">
        <v>1643</v>
      </c>
      <c r="E492" s="630" t="s">
        <v>760</v>
      </c>
      <c r="F492" s="829">
        <v>2.98</v>
      </c>
      <c r="G492" s="830">
        <v>0</v>
      </c>
      <c r="H492" s="831">
        <v>2.98</v>
      </c>
      <c r="I492" s="846"/>
      <c r="J492" s="846"/>
      <c r="K492" s="846"/>
      <c r="L492" s="846"/>
      <c r="M492" s="846"/>
      <c r="N492" s="846"/>
      <c r="O492" s="846"/>
      <c r="P492" s="846"/>
      <c r="Q492" s="846"/>
      <c r="R492" s="846"/>
      <c r="S492" s="846"/>
      <c r="T492" s="846"/>
    </row>
    <row r="493" spans="2:20" ht="25.5" hidden="1">
      <c r="B493" s="828" t="s">
        <v>6530</v>
      </c>
      <c r="C493" s="828">
        <v>95282</v>
      </c>
      <c r="D493" s="630" t="s">
        <v>1782</v>
      </c>
      <c r="E493" s="630" t="s">
        <v>760</v>
      </c>
      <c r="F493" s="829">
        <v>9.59</v>
      </c>
      <c r="G493" s="830">
        <v>0</v>
      </c>
      <c r="H493" s="831">
        <v>9.59</v>
      </c>
      <c r="I493" s="846"/>
      <c r="J493" s="846"/>
      <c r="K493" s="846"/>
      <c r="L493" s="846"/>
      <c r="M493" s="846"/>
      <c r="N493" s="846"/>
      <c r="O493" s="846"/>
      <c r="P493" s="846"/>
      <c r="Q493" s="846"/>
      <c r="R493" s="846"/>
      <c r="S493" s="846"/>
      <c r="T493" s="846"/>
    </row>
    <row r="494" spans="2:20" ht="38.25" hidden="1">
      <c r="B494" s="828" t="s">
        <v>6530</v>
      </c>
      <c r="C494" s="828">
        <v>95620</v>
      </c>
      <c r="D494" s="630" t="s">
        <v>2217</v>
      </c>
      <c r="E494" s="630" t="s">
        <v>760</v>
      </c>
      <c r="F494" s="829">
        <v>7.66</v>
      </c>
      <c r="G494" s="830">
        <v>19.43</v>
      </c>
      <c r="H494" s="831">
        <v>27.09</v>
      </c>
      <c r="I494" s="846"/>
      <c r="J494" s="846"/>
      <c r="K494" s="846"/>
      <c r="L494" s="846"/>
      <c r="M494" s="846"/>
      <c r="N494" s="846"/>
      <c r="O494" s="846"/>
      <c r="P494" s="846"/>
      <c r="Q494" s="846"/>
      <c r="R494" s="846"/>
      <c r="S494" s="846"/>
      <c r="T494" s="846"/>
    </row>
    <row r="495" spans="2:20" ht="38.25" hidden="1">
      <c r="B495" s="828" t="s">
        <v>6530</v>
      </c>
      <c r="C495" s="828">
        <v>95631</v>
      </c>
      <c r="D495" s="630" t="s">
        <v>2038</v>
      </c>
      <c r="E495" s="630" t="s">
        <v>760</v>
      </c>
      <c r="F495" s="829">
        <v>221.45999999999998</v>
      </c>
      <c r="G495" s="830">
        <v>20.52</v>
      </c>
      <c r="H495" s="831">
        <v>241.98</v>
      </c>
      <c r="I495" s="846"/>
      <c r="J495" s="846"/>
      <c r="K495" s="846"/>
      <c r="L495" s="846"/>
      <c r="M495" s="846"/>
      <c r="N495" s="846"/>
      <c r="O495" s="846"/>
      <c r="P495" s="846"/>
      <c r="Q495" s="846"/>
      <c r="R495" s="846"/>
      <c r="S495" s="846"/>
      <c r="T495" s="846"/>
    </row>
    <row r="496" spans="2:20" ht="25.5" hidden="1">
      <c r="B496" s="828" t="s">
        <v>6530</v>
      </c>
      <c r="C496" s="828">
        <v>95702</v>
      </c>
      <c r="D496" s="630" t="s">
        <v>2218</v>
      </c>
      <c r="E496" s="630" t="s">
        <v>760</v>
      </c>
      <c r="F496" s="829">
        <v>16.66</v>
      </c>
      <c r="G496" s="830">
        <v>24.22</v>
      </c>
      <c r="H496" s="831">
        <v>40.880000000000003</v>
      </c>
      <c r="I496" s="846"/>
      <c r="J496" s="846"/>
      <c r="K496" s="846"/>
      <c r="L496" s="846"/>
      <c r="M496" s="846"/>
      <c r="N496" s="846"/>
      <c r="O496" s="846"/>
      <c r="P496" s="846"/>
      <c r="Q496" s="846"/>
      <c r="R496" s="846"/>
      <c r="S496" s="846"/>
      <c r="T496" s="846"/>
    </row>
    <row r="497" spans="2:20" ht="25.5" hidden="1">
      <c r="B497" s="828" t="s">
        <v>6530</v>
      </c>
      <c r="C497" s="828">
        <v>95708</v>
      </c>
      <c r="D497" s="630" t="s">
        <v>2219</v>
      </c>
      <c r="E497" s="630" t="s">
        <v>760</v>
      </c>
      <c r="F497" s="829">
        <v>129.70000000000002</v>
      </c>
      <c r="G497" s="830">
        <v>24.22</v>
      </c>
      <c r="H497" s="831">
        <v>153.91999999999999</v>
      </c>
      <c r="I497" s="846"/>
      <c r="J497" s="846"/>
      <c r="K497" s="846"/>
      <c r="L497" s="846"/>
      <c r="M497" s="846"/>
      <c r="N497" s="846"/>
      <c r="O497" s="846"/>
      <c r="P497" s="846"/>
      <c r="Q497" s="846"/>
      <c r="R497" s="846"/>
      <c r="S497" s="846"/>
      <c r="T497" s="846"/>
    </row>
    <row r="498" spans="2:20" ht="38.25" hidden="1">
      <c r="B498" s="828" t="s">
        <v>6530</v>
      </c>
      <c r="C498" s="828">
        <v>95714</v>
      </c>
      <c r="D498" s="630" t="s">
        <v>2016</v>
      </c>
      <c r="E498" s="630" t="s">
        <v>760</v>
      </c>
      <c r="F498" s="829">
        <v>260.33</v>
      </c>
      <c r="G498" s="830">
        <v>24.63</v>
      </c>
      <c r="H498" s="831">
        <v>284.95999999999998</v>
      </c>
      <c r="I498" s="846"/>
      <c r="J498" s="846"/>
      <c r="K498" s="846"/>
      <c r="L498" s="846"/>
      <c r="M498" s="846"/>
      <c r="N498" s="846"/>
      <c r="O498" s="846"/>
      <c r="P498" s="846"/>
      <c r="Q498" s="846"/>
      <c r="R498" s="846"/>
      <c r="S498" s="846"/>
      <c r="T498" s="846"/>
    </row>
    <row r="499" spans="2:20" ht="51" hidden="1">
      <c r="B499" s="828" t="s">
        <v>6530</v>
      </c>
      <c r="C499" s="828">
        <v>95720</v>
      </c>
      <c r="D499" s="630" t="s">
        <v>2017</v>
      </c>
      <c r="E499" s="630" t="s">
        <v>760</v>
      </c>
      <c r="F499" s="829">
        <v>254.92</v>
      </c>
      <c r="G499" s="830">
        <v>24.63</v>
      </c>
      <c r="H499" s="831">
        <v>279.55</v>
      </c>
      <c r="I499" s="846"/>
      <c r="J499" s="846"/>
      <c r="K499" s="846"/>
      <c r="L499" s="846"/>
      <c r="M499" s="846"/>
      <c r="N499" s="846"/>
      <c r="O499" s="846"/>
      <c r="P499" s="846"/>
      <c r="Q499" s="846"/>
      <c r="R499" s="846"/>
      <c r="S499" s="846"/>
      <c r="T499" s="846"/>
    </row>
    <row r="500" spans="2:20" ht="25.5" hidden="1">
      <c r="B500" s="828" t="s">
        <v>6530</v>
      </c>
      <c r="C500" s="828">
        <v>95872</v>
      </c>
      <c r="D500" s="630" t="s">
        <v>2176</v>
      </c>
      <c r="E500" s="630" t="s">
        <v>760</v>
      </c>
      <c r="F500" s="829">
        <v>348.8</v>
      </c>
      <c r="G500" s="830">
        <v>0</v>
      </c>
      <c r="H500" s="831">
        <v>348.8</v>
      </c>
      <c r="I500" s="846"/>
      <c r="J500" s="846"/>
      <c r="K500" s="846"/>
      <c r="L500" s="846"/>
      <c r="M500" s="846"/>
      <c r="N500" s="846"/>
      <c r="O500" s="846"/>
      <c r="P500" s="846"/>
      <c r="Q500" s="846"/>
      <c r="R500" s="846"/>
      <c r="S500" s="846"/>
      <c r="T500" s="846"/>
    </row>
    <row r="501" spans="2:20" ht="25.5" hidden="1">
      <c r="B501" s="828" t="s">
        <v>6530</v>
      </c>
      <c r="C501" s="828">
        <v>96013</v>
      </c>
      <c r="D501" s="630" t="s">
        <v>2243</v>
      </c>
      <c r="E501" s="630" t="s">
        <v>760</v>
      </c>
      <c r="F501" s="829">
        <v>176.45</v>
      </c>
      <c r="G501" s="830">
        <v>25.98</v>
      </c>
      <c r="H501" s="831">
        <v>202.43</v>
      </c>
      <c r="I501" s="846"/>
      <c r="J501" s="846"/>
      <c r="K501" s="846"/>
      <c r="L501" s="846"/>
      <c r="M501" s="846"/>
      <c r="N501" s="846"/>
      <c r="O501" s="846"/>
      <c r="P501" s="846"/>
      <c r="Q501" s="846"/>
      <c r="R501" s="846"/>
      <c r="S501" s="846"/>
      <c r="T501" s="846"/>
    </row>
    <row r="502" spans="2:20" ht="25.5" hidden="1">
      <c r="B502" s="828" t="s">
        <v>6530</v>
      </c>
      <c r="C502" s="828">
        <v>96020</v>
      </c>
      <c r="D502" s="630" t="s">
        <v>2244</v>
      </c>
      <c r="E502" s="630" t="s">
        <v>760</v>
      </c>
      <c r="F502" s="829">
        <v>175.87</v>
      </c>
      <c r="G502" s="830">
        <v>25.98</v>
      </c>
      <c r="H502" s="831">
        <v>201.85</v>
      </c>
      <c r="I502" s="846"/>
      <c r="J502" s="846"/>
      <c r="K502" s="846"/>
      <c r="L502" s="846"/>
      <c r="M502" s="846"/>
      <c r="N502" s="846"/>
      <c r="O502" s="846"/>
      <c r="P502" s="846"/>
      <c r="Q502" s="846"/>
      <c r="R502" s="846"/>
      <c r="S502" s="846"/>
      <c r="T502" s="846"/>
    </row>
    <row r="503" spans="2:20" ht="25.5" hidden="1">
      <c r="B503" s="828" t="s">
        <v>6530</v>
      </c>
      <c r="C503" s="828">
        <v>96028</v>
      </c>
      <c r="D503" s="630" t="s">
        <v>2245</v>
      </c>
      <c r="E503" s="630" t="s">
        <v>760</v>
      </c>
      <c r="F503" s="829">
        <v>128.67000000000002</v>
      </c>
      <c r="G503" s="830">
        <v>25.98</v>
      </c>
      <c r="H503" s="831">
        <v>154.65</v>
      </c>
      <c r="I503" s="846"/>
      <c r="J503" s="846"/>
      <c r="K503" s="846"/>
      <c r="L503" s="846"/>
      <c r="M503" s="846"/>
      <c r="N503" s="846"/>
      <c r="O503" s="846"/>
      <c r="P503" s="846"/>
      <c r="Q503" s="846"/>
      <c r="R503" s="846"/>
      <c r="S503" s="846"/>
      <c r="T503" s="846"/>
    </row>
    <row r="504" spans="2:20" ht="38.25" hidden="1">
      <c r="B504" s="828" t="s">
        <v>6530</v>
      </c>
      <c r="C504" s="828">
        <v>96035</v>
      </c>
      <c r="D504" s="630" t="s">
        <v>2246</v>
      </c>
      <c r="E504" s="630" t="s">
        <v>760</v>
      </c>
      <c r="F504" s="829">
        <v>269</v>
      </c>
      <c r="G504" s="830">
        <v>18.989999999999998</v>
      </c>
      <c r="H504" s="831">
        <v>287.99</v>
      </c>
      <c r="I504" s="846"/>
      <c r="J504" s="846"/>
      <c r="K504" s="846"/>
      <c r="L504" s="846"/>
      <c r="M504" s="846"/>
      <c r="N504" s="846"/>
      <c r="O504" s="846"/>
      <c r="P504" s="846"/>
      <c r="Q504" s="846"/>
      <c r="R504" s="846"/>
      <c r="S504" s="846"/>
      <c r="T504" s="846"/>
    </row>
    <row r="505" spans="2:20" ht="25.5" hidden="1">
      <c r="B505" s="828" t="s">
        <v>6530</v>
      </c>
      <c r="C505" s="828">
        <v>96157</v>
      </c>
      <c r="D505" s="630" t="s">
        <v>2247</v>
      </c>
      <c r="E505" s="630" t="s">
        <v>760</v>
      </c>
      <c r="F505" s="829">
        <v>129.25</v>
      </c>
      <c r="G505" s="830">
        <v>25.98</v>
      </c>
      <c r="H505" s="831">
        <v>155.22999999999999</v>
      </c>
      <c r="I505" s="846"/>
      <c r="J505" s="846"/>
      <c r="K505" s="846"/>
      <c r="L505" s="846"/>
      <c r="M505" s="846"/>
      <c r="N505" s="846"/>
      <c r="O505" s="846"/>
      <c r="P505" s="846"/>
      <c r="Q505" s="846"/>
      <c r="R505" s="846"/>
      <c r="S505" s="846"/>
      <c r="T505" s="846"/>
    </row>
    <row r="506" spans="2:20" ht="25.5" hidden="1">
      <c r="B506" s="828" t="s">
        <v>6530</v>
      </c>
      <c r="C506" s="828">
        <v>96158</v>
      </c>
      <c r="D506" s="630" t="s">
        <v>2248</v>
      </c>
      <c r="E506" s="630" t="s">
        <v>760</v>
      </c>
      <c r="F506" s="829">
        <v>116.34</v>
      </c>
      <c r="G506" s="830">
        <v>23.12</v>
      </c>
      <c r="H506" s="831">
        <v>139.46</v>
      </c>
      <c r="I506" s="846"/>
      <c r="J506" s="846"/>
      <c r="K506" s="846"/>
      <c r="L506" s="846"/>
      <c r="M506" s="846"/>
      <c r="N506" s="846"/>
      <c r="O506" s="846"/>
      <c r="P506" s="846"/>
      <c r="Q506" s="846"/>
      <c r="R506" s="846"/>
      <c r="S506" s="846"/>
      <c r="T506" s="846"/>
    </row>
    <row r="507" spans="2:20" ht="25.5" hidden="1">
      <c r="B507" s="828" t="s">
        <v>6530</v>
      </c>
      <c r="C507" s="828">
        <v>96245</v>
      </c>
      <c r="D507" s="630" t="s">
        <v>2249</v>
      </c>
      <c r="E507" s="630" t="s">
        <v>760</v>
      </c>
      <c r="F507" s="829">
        <v>76.52000000000001</v>
      </c>
      <c r="G507" s="830">
        <v>24.63</v>
      </c>
      <c r="H507" s="831">
        <v>101.15</v>
      </c>
      <c r="I507" s="846"/>
      <c r="J507" s="846"/>
      <c r="K507" s="846"/>
      <c r="L507" s="846"/>
      <c r="M507" s="846"/>
      <c r="N507" s="846"/>
      <c r="O507" s="846"/>
      <c r="P507" s="846"/>
      <c r="Q507" s="846"/>
      <c r="R507" s="846"/>
      <c r="S507" s="846"/>
      <c r="T507" s="846"/>
    </row>
    <row r="508" spans="2:20" ht="38.25" hidden="1">
      <c r="B508" s="828" t="s">
        <v>6530</v>
      </c>
      <c r="C508" s="828">
        <v>96463</v>
      </c>
      <c r="D508" s="630" t="s">
        <v>2250</v>
      </c>
      <c r="E508" s="630" t="s">
        <v>760</v>
      </c>
      <c r="F508" s="829">
        <v>202.05</v>
      </c>
      <c r="G508" s="830">
        <v>20.52</v>
      </c>
      <c r="H508" s="831">
        <v>222.57</v>
      </c>
      <c r="I508" s="846"/>
      <c r="J508" s="846"/>
      <c r="K508" s="846"/>
      <c r="L508" s="846"/>
      <c r="M508" s="846"/>
      <c r="N508" s="846"/>
      <c r="O508" s="846"/>
      <c r="P508" s="846"/>
      <c r="Q508" s="846"/>
      <c r="R508" s="846"/>
      <c r="S508" s="846"/>
      <c r="T508" s="846"/>
    </row>
    <row r="509" spans="2:20" ht="38.25" hidden="1">
      <c r="B509" s="828" t="s">
        <v>6530</v>
      </c>
      <c r="C509" s="828">
        <v>98764</v>
      </c>
      <c r="D509" s="630" t="s">
        <v>3000</v>
      </c>
      <c r="E509" s="630" t="s">
        <v>760</v>
      </c>
      <c r="F509" s="829">
        <v>3.99</v>
      </c>
      <c r="G509" s="830">
        <v>0</v>
      </c>
      <c r="H509" s="831">
        <v>3.99</v>
      </c>
      <c r="I509" s="846"/>
      <c r="J509" s="846"/>
      <c r="K509" s="846"/>
      <c r="L509" s="846"/>
      <c r="M509" s="846"/>
      <c r="N509" s="846"/>
      <c r="O509" s="846"/>
      <c r="P509" s="846"/>
      <c r="Q509" s="846"/>
      <c r="R509" s="846"/>
      <c r="S509" s="846"/>
      <c r="T509" s="846"/>
    </row>
    <row r="510" spans="2:20" ht="38.25" hidden="1">
      <c r="B510" s="828" t="s">
        <v>6530</v>
      </c>
      <c r="C510" s="828">
        <v>99833</v>
      </c>
      <c r="D510" s="630" t="s">
        <v>3112</v>
      </c>
      <c r="E510" s="630" t="s">
        <v>760</v>
      </c>
      <c r="F510" s="829">
        <v>4.12</v>
      </c>
      <c r="G510" s="830">
        <v>0</v>
      </c>
      <c r="H510" s="831">
        <v>4.12</v>
      </c>
      <c r="I510" s="846"/>
      <c r="J510" s="846"/>
      <c r="K510" s="846"/>
      <c r="L510" s="846"/>
      <c r="M510" s="846"/>
      <c r="N510" s="846"/>
      <c r="O510" s="846"/>
      <c r="P510" s="846"/>
      <c r="Q510" s="846"/>
      <c r="R510" s="846"/>
      <c r="S510" s="846"/>
      <c r="T510" s="846"/>
    </row>
    <row r="511" spans="2:20" ht="25.5" hidden="1">
      <c r="B511" s="828" t="s">
        <v>6530</v>
      </c>
      <c r="C511" s="828">
        <v>100641</v>
      </c>
      <c r="D511" s="630" t="s">
        <v>3743</v>
      </c>
      <c r="E511" s="630" t="s">
        <v>760</v>
      </c>
      <c r="F511" s="829">
        <v>568.5</v>
      </c>
      <c r="G511" s="830">
        <v>20.22</v>
      </c>
      <c r="H511" s="831">
        <v>588.72</v>
      </c>
      <c r="I511" s="846"/>
      <c r="J511" s="846"/>
      <c r="K511" s="846"/>
      <c r="L511" s="846"/>
      <c r="M511" s="846"/>
      <c r="N511" s="846"/>
      <c r="O511" s="846"/>
      <c r="P511" s="846"/>
      <c r="Q511" s="846"/>
      <c r="R511" s="846"/>
      <c r="S511" s="846"/>
      <c r="T511" s="846"/>
    </row>
    <row r="512" spans="2:20" ht="25.5" hidden="1">
      <c r="B512" s="828" t="s">
        <v>6530</v>
      </c>
      <c r="C512" s="828">
        <v>100647</v>
      </c>
      <c r="D512" s="630" t="s">
        <v>3744</v>
      </c>
      <c r="E512" s="630" t="s">
        <v>760</v>
      </c>
      <c r="F512" s="829">
        <v>1246.95</v>
      </c>
      <c r="G512" s="830">
        <v>20.22</v>
      </c>
      <c r="H512" s="832">
        <v>1267.17</v>
      </c>
      <c r="I512" s="846"/>
      <c r="J512" s="846"/>
      <c r="K512" s="846"/>
      <c r="L512" s="846"/>
      <c r="M512" s="846"/>
      <c r="N512" s="846"/>
      <c r="O512" s="846"/>
      <c r="P512" s="846"/>
      <c r="Q512" s="846"/>
      <c r="R512" s="846"/>
      <c r="S512" s="846"/>
      <c r="T512" s="846"/>
    </row>
    <row r="513" spans="2:20" ht="25.5" hidden="1">
      <c r="B513" s="828" t="s">
        <v>6530</v>
      </c>
      <c r="C513" s="828">
        <v>102275</v>
      </c>
      <c r="D513" s="630" t="s">
        <v>6114</v>
      </c>
      <c r="E513" s="630" t="s">
        <v>760</v>
      </c>
      <c r="F513" s="829">
        <v>8.25</v>
      </c>
      <c r="G513" s="830">
        <v>19.43</v>
      </c>
      <c r="H513" s="831">
        <v>27.68</v>
      </c>
      <c r="I513" s="846"/>
      <c r="J513" s="846"/>
      <c r="K513" s="846"/>
      <c r="L513" s="846"/>
      <c r="M513" s="846"/>
      <c r="N513" s="846"/>
      <c r="O513" s="846"/>
      <c r="P513" s="846"/>
      <c r="Q513" s="846"/>
      <c r="R513" s="846"/>
      <c r="S513" s="846"/>
      <c r="T513" s="846"/>
    </row>
    <row r="514" spans="2:20" ht="25.5" hidden="1">
      <c r="B514" s="828" t="s">
        <v>6530</v>
      </c>
      <c r="C514" s="828">
        <v>104091</v>
      </c>
      <c r="D514" s="630" t="s">
        <v>7669</v>
      </c>
      <c r="E514" s="630" t="s">
        <v>760</v>
      </c>
      <c r="F514" s="829">
        <v>0.74</v>
      </c>
      <c r="G514" s="830">
        <v>0</v>
      </c>
      <c r="H514" s="831">
        <v>0.74</v>
      </c>
      <c r="I514" s="846"/>
      <c r="J514" s="846"/>
      <c r="K514" s="846"/>
      <c r="L514" s="846"/>
      <c r="M514" s="846"/>
      <c r="N514" s="846"/>
      <c r="O514" s="846"/>
      <c r="P514" s="846"/>
      <c r="Q514" s="846"/>
      <c r="R514" s="846"/>
      <c r="S514" s="846"/>
      <c r="T514" s="846"/>
    </row>
    <row r="515" spans="2:20" ht="38.25" hidden="1">
      <c r="B515" s="828" t="s">
        <v>6530</v>
      </c>
      <c r="C515" s="828">
        <v>104097</v>
      </c>
      <c r="D515" s="630" t="s">
        <v>7670</v>
      </c>
      <c r="E515" s="630" t="s">
        <v>760</v>
      </c>
      <c r="F515" s="829">
        <v>1.02</v>
      </c>
      <c r="G515" s="830">
        <v>0</v>
      </c>
      <c r="H515" s="831">
        <v>1.02</v>
      </c>
      <c r="I515" s="846"/>
      <c r="J515" s="846"/>
      <c r="K515" s="846"/>
      <c r="L515" s="846"/>
      <c r="M515" s="846"/>
      <c r="N515" s="846"/>
      <c r="O515" s="846"/>
      <c r="P515" s="846"/>
      <c r="Q515" s="846"/>
      <c r="R515" s="846"/>
      <c r="S515" s="846"/>
      <c r="T515" s="846"/>
    </row>
    <row r="516" spans="2:20" ht="25.5" hidden="1">
      <c r="B516" s="828" t="s">
        <v>6531</v>
      </c>
      <c r="C516" s="828">
        <v>5632</v>
      </c>
      <c r="D516" s="630" t="s">
        <v>2013</v>
      </c>
      <c r="E516" s="630" t="s">
        <v>268</v>
      </c>
      <c r="F516" s="829">
        <v>64.41</v>
      </c>
      <c r="G516" s="830">
        <v>24.63</v>
      </c>
      <c r="H516" s="831">
        <v>89.04</v>
      </c>
      <c r="I516" s="846"/>
      <c r="J516" s="846"/>
      <c r="K516" s="846"/>
      <c r="L516" s="846"/>
      <c r="M516" s="846"/>
      <c r="N516" s="846"/>
      <c r="O516" s="846"/>
      <c r="P516" s="846"/>
      <c r="Q516" s="846"/>
      <c r="R516" s="846"/>
      <c r="S516" s="846"/>
      <c r="T516" s="846"/>
    </row>
    <row r="517" spans="2:20" ht="51" hidden="1">
      <c r="B517" s="828" t="s">
        <v>6531</v>
      </c>
      <c r="C517" s="828">
        <v>5679</v>
      </c>
      <c r="D517" s="630" t="s">
        <v>269</v>
      </c>
      <c r="E517" s="630" t="s">
        <v>268</v>
      </c>
      <c r="F517" s="829">
        <v>37.340000000000003</v>
      </c>
      <c r="G517" s="830">
        <v>24.63</v>
      </c>
      <c r="H517" s="831">
        <v>61.97</v>
      </c>
      <c r="I517" s="846"/>
      <c r="J517" s="846"/>
      <c r="K517" s="846"/>
      <c r="L517" s="846"/>
      <c r="M517" s="846"/>
      <c r="N517" s="846"/>
      <c r="O517" s="846"/>
      <c r="P517" s="846"/>
      <c r="Q517" s="846"/>
      <c r="R517" s="846"/>
      <c r="S517" s="846"/>
      <c r="T517" s="846"/>
    </row>
    <row r="518" spans="2:20" ht="51" hidden="1">
      <c r="B518" s="828" t="s">
        <v>6531</v>
      </c>
      <c r="C518" s="828">
        <v>5681</v>
      </c>
      <c r="D518" s="630" t="s">
        <v>270</v>
      </c>
      <c r="E518" s="630" t="s">
        <v>268</v>
      </c>
      <c r="F518" s="829">
        <v>33.83</v>
      </c>
      <c r="G518" s="830">
        <v>24.63</v>
      </c>
      <c r="H518" s="831">
        <v>58.46</v>
      </c>
      <c r="I518" s="846"/>
      <c r="J518" s="846"/>
      <c r="K518" s="846"/>
      <c r="L518" s="846"/>
      <c r="M518" s="846"/>
      <c r="N518" s="846"/>
      <c r="O518" s="846"/>
      <c r="P518" s="846"/>
      <c r="Q518" s="846"/>
      <c r="R518" s="846"/>
      <c r="S518" s="846"/>
      <c r="T518" s="846"/>
    </row>
    <row r="519" spans="2:20" ht="38.25" hidden="1">
      <c r="B519" s="828" t="s">
        <v>6531</v>
      </c>
      <c r="C519" s="828">
        <v>5685</v>
      </c>
      <c r="D519" s="630" t="s">
        <v>271</v>
      </c>
      <c r="E519" s="630" t="s">
        <v>268</v>
      </c>
      <c r="F519" s="829">
        <v>39.6</v>
      </c>
      <c r="G519" s="830">
        <v>20.52</v>
      </c>
      <c r="H519" s="831">
        <v>60.12</v>
      </c>
      <c r="I519" s="846"/>
      <c r="J519" s="846"/>
      <c r="K519" s="846"/>
      <c r="L519" s="846"/>
      <c r="M519" s="846"/>
      <c r="N519" s="846"/>
      <c r="O519" s="846"/>
      <c r="P519" s="846"/>
      <c r="Q519" s="846"/>
      <c r="R519" s="846"/>
      <c r="S519" s="846"/>
      <c r="T519" s="846"/>
    </row>
    <row r="520" spans="2:20" ht="25.5" hidden="1">
      <c r="B520" s="828" t="s">
        <v>6531</v>
      </c>
      <c r="C520" s="828">
        <v>5690</v>
      </c>
      <c r="D520" s="630" t="s">
        <v>272</v>
      </c>
      <c r="E520" s="630" t="s">
        <v>268</v>
      </c>
      <c r="F520" s="829">
        <v>4.7</v>
      </c>
      <c r="G520" s="830">
        <v>0</v>
      </c>
      <c r="H520" s="831">
        <v>4.7</v>
      </c>
      <c r="I520" s="846"/>
      <c r="J520" s="846"/>
      <c r="K520" s="846"/>
      <c r="L520" s="846"/>
      <c r="M520" s="846"/>
      <c r="N520" s="846"/>
      <c r="O520" s="846"/>
      <c r="P520" s="846"/>
      <c r="Q520" s="846"/>
      <c r="R520" s="846"/>
      <c r="S520" s="846"/>
      <c r="T520" s="846"/>
    </row>
    <row r="521" spans="2:20" ht="38.25" hidden="1">
      <c r="B521" s="828" t="s">
        <v>6531</v>
      </c>
      <c r="C521" s="828">
        <v>5806</v>
      </c>
      <c r="D521" s="630" t="s">
        <v>273</v>
      </c>
      <c r="E521" s="630" t="s">
        <v>268</v>
      </c>
      <c r="F521" s="829">
        <v>0.23</v>
      </c>
      <c r="G521" s="830">
        <v>0</v>
      </c>
      <c r="H521" s="831">
        <v>0.23</v>
      </c>
      <c r="I521" s="846"/>
      <c r="J521" s="846"/>
      <c r="K521" s="846"/>
      <c r="L521" s="846"/>
      <c r="M521" s="846"/>
      <c r="N521" s="846"/>
      <c r="O521" s="846"/>
      <c r="P521" s="846"/>
      <c r="Q521" s="846"/>
      <c r="R521" s="846"/>
      <c r="S521" s="846"/>
      <c r="T521" s="846"/>
    </row>
    <row r="522" spans="2:20" ht="51" hidden="1">
      <c r="B522" s="828" t="s">
        <v>6531</v>
      </c>
      <c r="C522" s="828">
        <v>5826</v>
      </c>
      <c r="D522" s="630" t="s">
        <v>550</v>
      </c>
      <c r="E522" s="630" t="s">
        <v>268</v>
      </c>
      <c r="F522" s="829">
        <v>30.17</v>
      </c>
      <c r="G522" s="830">
        <v>20.14</v>
      </c>
      <c r="H522" s="831">
        <v>50.31</v>
      </c>
      <c r="I522" s="846"/>
      <c r="J522" s="846"/>
      <c r="K522" s="846"/>
      <c r="L522" s="846"/>
      <c r="M522" s="846"/>
      <c r="N522" s="846"/>
      <c r="O522" s="846"/>
      <c r="P522" s="846"/>
      <c r="Q522" s="846"/>
      <c r="R522" s="846"/>
      <c r="S522" s="846"/>
      <c r="T522" s="846"/>
    </row>
    <row r="523" spans="2:20" ht="25.5" hidden="1">
      <c r="B523" s="828" t="s">
        <v>6531</v>
      </c>
      <c r="C523" s="828">
        <v>5829</v>
      </c>
      <c r="D523" s="630" t="s">
        <v>2065</v>
      </c>
      <c r="E523" s="630" t="s">
        <v>268</v>
      </c>
      <c r="F523" s="829">
        <v>68.69</v>
      </c>
      <c r="G523" s="830">
        <v>88.98</v>
      </c>
      <c r="H523" s="831">
        <v>157.66999999999999</v>
      </c>
      <c r="I523" s="846"/>
      <c r="J523" s="846"/>
      <c r="K523" s="846"/>
      <c r="L523" s="846"/>
      <c r="M523" s="846"/>
      <c r="N523" s="846"/>
      <c r="O523" s="846"/>
      <c r="P523" s="846"/>
      <c r="Q523" s="846"/>
      <c r="R523" s="846"/>
      <c r="S523" s="846"/>
      <c r="T523" s="846"/>
    </row>
    <row r="524" spans="2:20" ht="38.25" hidden="1">
      <c r="B524" s="828" t="s">
        <v>6531</v>
      </c>
      <c r="C524" s="828">
        <v>5837</v>
      </c>
      <c r="D524" s="630" t="s">
        <v>551</v>
      </c>
      <c r="E524" s="630" t="s">
        <v>268</v>
      </c>
      <c r="F524" s="829">
        <v>123.26</v>
      </c>
      <c r="G524" s="830">
        <v>23.53</v>
      </c>
      <c r="H524" s="831">
        <v>146.79</v>
      </c>
      <c r="I524" s="846"/>
      <c r="J524" s="846"/>
      <c r="K524" s="846"/>
      <c r="L524" s="846"/>
      <c r="M524" s="846"/>
      <c r="N524" s="846"/>
      <c r="O524" s="846"/>
      <c r="P524" s="846"/>
      <c r="Q524" s="846"/>
      <c r="R524" s="846"/>
      <c r="S524" s="846"/>
      <c r="T524" s="846"/>
    </row>
    <row r="525" spans="2:20" ht="25.5" hidden="1">
      <c r="B525" s="828" t="s">
        <v>6531</v>
      </c>
      <c r="C525" s="828">
        <v>5841</v>
      </c>
      <c r="D525" s="630" t="s">
        <v>552</v>
      </c>
      <c r="E525" s="630" t="s">
        <v>268</v>
      </c>
      <c r="F525" s="829">
        <v>5.4</v>
      </c>
      <c r="G525" s="830">
        <v>0</v>
      </c>
      <c r="H525" s="831">
        <v>5.4</v>
      </c>
      <c r="I525" s="846"/>
      <c r="J525" s="846"/>
      <c r="K525" s="846"/>
      <c r="L525" s="846"/>
      <c r="M525" s="846"/>
      <c r="N525" s="846"/>
      <c r="O525" s="846"/>
      <c r="P525" s="846"/>
      <c r="Q525" s="846"/>
      <c r="R525" s="846"/>
      <c r="S525" s="846"/>
      <c r="T525" s="846"/>
    </row>
    <row r="526" spans="2:20" ht="25.5" hidden="1">
      <c r="B526" s="828" t="s">
        <v>6531</v>
      </c>
      <c r="C526" s="828">
        <v>5845</v>
      </c>
      <c r="D526" s="630" t="s">
        <v>553</v>
      </c>
      <c r="E526" s="630" t="s">
        <v>268</v>
      </c>
      <c r="F526" s="829">
        <v>27.32</v>
      </c>
      <c r="G526" s="830">
        <v>25.98</v>
      </c>
      <c r="H526" s="831">
        <v>53.3</v>
      </c>
      <c r="I526" s="846"/>
      <c r="J526" s="846"/>
      <c r="K526" s="846"/>
      <c r="L526" s="846"/>
      <c r="M526" s="846"/>
      <c r="N526" s="846"/>
      <c r="O526" s="846"/>
      <c r="P526" s="846"/>
      <c r="Q526" s="846"/>
      <c r="R526" s="846"/>
      <c r="S526" s="846"/>
      <c r="T526" s="846"/>
    </row>
    <row r="527" spans="2:20" ht="25.5" hidden="1">
      <c r="B527" s="828" t="s">
        <v>6531</v>
      </c>
      <c r="C527" s="828">
        <v>5849</v>
      </c>
      <c r="D527" s="630" t="s">
        <v>554</v>
      </c>
      <c r="E527" s="630" t="s">
        <v>268</v>
      </c>
      <c r="F527" s="829">
        <v>52.9</v>
      </c>
      <c r="G527" s="830">
        <v>25.98</v>
      </c>
      <c r="H527" s="831">
        <v>78.88</v>
      </c>
      <c r="I527" s="846"/>
      <c r="J527" s="846"/>
      <c r="K527" s="846"/>
      <c r="L527" s="846"/>
      <c r="M527" s="846"/>
      <c r="N527" s="846"/>
      <c r="O527" s="846"/>
      <c r="P527" s="846"/>
      <c r="Q527" s="846"/>
      <c r="R527" s="846"/>
      <c r="S527" s="846"/>
      <c r="T527" s="846"/>
    </row>
    <row r="528" spans="2:20" ht="25.5" hidden="1">
      <c r="B528" s="828" t="s">
        <v>6531</v>
      </c>
      <c r="C528" s="828">
        <v>5853</v>
      </c>
      <c r="D528" s="630" t="s">
        <v>555</v>
      </c>
      <c r="E528" s="630" t="s">
        <v>268</v>
      </c>
      <c r="F528" s="829">
        <v>53.199999999999996</v>
      </c>
      <c r="G528" s="830">
        <v>25.98</v>
      </c>
      <c r="H528" s="831">
        <v>79.180000000000007</v>
      </c>
      <c r="I528" s="846"/>
      <c r="J528" s="846"/>
      <c r="K528" s="846"/>
      <c r="L528" s="846"/>
      <c r="M528" s="846"/>
      <c r="N528" s="846"/>
      <c r="O528" s="846"/>
      <c r="P528" s="846"/>
      <c r="Q528" s="846"/>
      <c r="R528" s="846"/>
      <c r="S528" s="846"/>
      <c r="T528" s="846"/>
    </row>
    <row r="529" spans="2:20" ht="25.5" hidden="1">
      <c r="B529" s="828" t="s">
        <v>6531</v>
      </c>
      <c r="C529" s="828">
        <v>5857</v>
      </c>
      <c r="D529" s="630" t="s">
        <v>556</v>
      </c>
      <c r="E529" s="630" t="s">
        <v>268</v>
      </c>
      <c r="F529" s="829">
        <v>161.57000000000002</v>
      </c>
      <c r="G529" s="830">
        <v>25.98</v>
      </c>
      <c r="H529" s="831">
        <v>187.55</v>
      </c>
      <c r="I529" s="846"/>
      <c r="J529" s="846"/>
      <c r="K529" s="846"/>
      <c r="L529" s="846"/>
      <c r="M529" s="846"/>
      <c r="N529" s="846"/>
      <c r="O529" s="846"/>
      <c r="P529" s="846"/>
      <c r="Q529" s="846"/>
      <c r="R529" s="846"/>
      <c r="S529" s="846"/>
      <c r="T529" s="846"/>
    </row>
    <row r="530" spans="2:20" ht="38.25" hidden="1">
      <c r="B530" s="828" t="s">
        <v>6531</v>
      </c>
      <c r="C530" s="828">
        <v>5865</v>
      </c>
      <c r="D530" s="630" t="s">
        <v>2032</v>
      </c>
      <c r="E530" s="630" t="s">
        <v>268</v>
      </c>
      <c r="F530" s="829">
        <v>10.27</v>
      </c>
      <c r="G530" s="830">
        <v>0</v>
      </c>
      <c r="H530" s="831">
        <v>10.27</v>
      </c>
      <c r="I530" s="846"/>
      <c r="J530" s="846"/>
      <c r="K530" s="846"/>
      <c r="L530" s="846"/>
      <c r="M530" s="846"/>
      <c r="N530" s="846"/>
      <c r="O530" s="846"/>
      <c r="P530" s="846"/>
      <c r="Q530" s="846"/>
      <c r="R530" s="846"/>
      <c r="S530" s="846"/>
      <c r="T530" s="846"/>
    </row>
    <row r="531" spans="2:20" ht="38.25" hidden="1">
      <c r="B531" s="828" t="s">
        <v>6531</v>
      </c>
      <c r="C531" s="828">
        <v>5869</v>
      </c>
      <c r="D531" s="630" t="s">
        <v>557</v>
      </c>
      <c r="E531" s="630" t="s">
        <v>268</v>
      </c>
      <c r="F531" s="829">
        <v>47.36</v>
      </c>
      <c r="G531" s="830">
        <v>20.52</v>
      </c>
      <c r="H531" s="831">
        <v>67.88</v>
      </c>
      <c r="I531" s="846"/>
      <c r="J531" s="846"/>
      <c r="K531" s="846"/>
      <c r="L531" s="846"/>
      <c r="M531" s="846"/>
      <c r="N531" s="846"/>
      <c r="O531" s="846"/>
      <c r="P531" s="846"/>
      <c r="Q531" s="846"/>
      <c r="R531" s="846"/>
      <c r="S531" s="846"/>
      <c r="T531" s="846"/>
    </row>
    <row r="532" spans="2:20" ht="51" hidden="1">
      <c r="B532" s="828" t="s">
        <v>6531</v>
      </c>
      <c r="C532" s="828">
        <v>5877</v>
      </c>
      <c r="D532" s="630" t="s">
        <v>558</v>
      </c>
      <c r="E532" s="630" t="s">
        <v>268</v>
      </c>
      <c r="F532" s="829">
        <v>36.229999999999997</v>
      </c>
      <c r="G532" s="830">
        <v>24.63</v>
      </c>
      <c r="H532" s="831">
        <v>60.86</v>
      </c>
      <c r="I532" s="846"/>
      <c r="J532" s="846"/>
      <c r="K532" s="846"/>
      <c r="L532" s="846"/>
      <c r="M532" s="846"/>
      <c r="N532" s="846"/>
      <c r="O532" s="846"/>
      <c r="P532" s="846"/>
      <c r="Q532" s="846"/>
      <c r="R532" s="846"/>
      <c r="S532" s="846"/>
      <c r="T532" s="846"/>
    </row>
    <row r="533" spans="2:20" ht="38.25" hidden="1">
      <c r="B533" s="828" t="s">
        <v>6531</v>
      </c>
      <c r="C533" s="828">
        <v>5881</v>
      </c>
      <c r="D533" s="630" t="s">
        <v>1772</v>
      </c>
      <c r="E533" s="630" t="s">
        <v>268</v>
      </c>
      <c r="F533" s="829">
        <v>52.07</v>
      </c>
      <c r="G533" s="830">
        <v>20.52</v>
      </c>
      <c r="H533" s="831">
        <v>72.59</v>
      </c>
      <c r="I533" s="846"/>
      <c r="J533" s="846"/>
      <c r="K533" s="846"/>
      <c r="L533" s="846"/>
      <c r="M533" s="846"/>
      <c r="N533" s="846"/>
      <c r="O533" s="846"/>
      <c r="P533" s="846"/>
      <c r="Q533" s="846"/>
      <c r="R533" s="846"/>
      <c r="S533" s="846"/>
      <c r="T533" s="846"/>
    </row>
    <row r="534" spans="2:20" ht="51" hidden="1">
      <c r="B534" s="828" t="s">
        <v>6531</v>
      </c>
      <c r="C534" s="828">
        <v>5884</v>
      </c>
      <c r="D534" s="630" t="s">
        <v>559</v>
      </c>
      <c r="E534" s="630" t="s">
        <v>268</v>
      </c>
      <c r="F534" s="829">
        <v>35.78</v>
      </c>
      <c r="G534" s="830">
        <v>17.190000000000001</v>
      </c>
      <c r="H534" s="831">
        <v>52.97</v>
      </c>
      <c r="I534" s="846"/>
      <c r="J534" s="846"/>
      <c r="K534" s="846"/>
      <c r="L534" s="846"/>
      <c r="M534" s="846"/>
      <c r="N534" s="846"/>
      <c r="O534" s="846"/>
      <c r="P534" s="846"/>
      <c r="Q534" s="846"/>
      <c r="R534" s="846"/>
      <c r="S534" s="846"/>
      <c r="T534" s="846"/>
    </row>
    <row r="535" spans="2:20" ht="38.25" hidden="1">
      <c r="B535" s="828" t="s">
        <v>6531</v>
      </c>
      <c r="C535" s="828">
        <v>5892</v>
      </c>
      <c r="D535" s="630" t="s">
        <v>560</v>
      </c>
      <c r="E535" s="630" t="s">
        <v>268</v>
      </c>
      <c r="F535" s="829">
        <v>25.909999999999997</v>
      </c>
      <c r="G535" s="830">
        <v>20.14</v>
      </c>
      <c r="H535" s="831">
        <v>46.05</v>
      </c>
      <c r="I535" s="846"/>
      <c r="J535" s="846"/>
      <c r="K535" s="846"/>
      <c r="L535" s="846"/>
      <c r="M535" s="846"/>
      <c r="N535" s="846"/>
      <c r="O535" s="846"/>
      <c r="P535" s="846"/>
      <c r="Q535" s="846"/>
      <c r="R535" s="846"/>
      <c r="S535" s="846"/>
      <c r="T535" s="846"/>
    </row>
    <row r="536" spans="2:20" ht="38.25" hidden="1">
      <c r="B536" s="828" t="s">
        <v>6531</v>
      </c>
      <c r="C536" s="828">
        <v>5896</v>
      </c>
      <c r="D536" s="630" t="s">
        <v>561</v>
      </c>
      <c r="E536" s="630" t="s">
        <v>268</v>
      </c>
      <c r="F536" s="829">
        <v>27.9</v>
      </c>
      <c r="G536" s="830">
        <v>20.14</v>
      </c>
      <c r="H536" s="831">
        <v>48.04</v>
      </c>
      <c r="I536" s="846"/>
      <c r="J536" s="846"/>
      <c r="K536" s="846"/>
      <c r="L536" s="846"/>
      <c r="M536" s="846"/>
      <c r="N536" s="846"/>
      <c r="O536" s="846"/>
      <c r="P536" s="846"/>
      <c r="Q536" s="846"/>
      <c r="R536" s="846"/>
      <c r="S536" s="846"/>
      <c r="T536" s="846"/>
    </row>
    <row r="537" spans="2:20" ht="51" hidden="1">
      <c r="B537" s="828" t="s">
        <v>6531</v>
      </c>
      <c r="C537" s="828">
        <v>5903</v>
      </c>
      <c r="D537" s="630" t="s">
        <v>562</v>
      </c>
      <c r="E537" s="630" t="s">
        <v>268</v>
      </c>
      <c r="F537" s="829">
        <v>39.47</v>
      </c>
      <c r="G537" s="830">
        <v>20.14</v>
      </c>
      <c r="H537" s="831">
        <v>59.61</v>
      </c>
      <c r="I537" s="846"/>
      <c r="J537" s="846"/>
      <c r="K537" s="846"/>
      <c r="L537" s="846"/>
      <c r="M537" s="846"/>
      <c r="N537" s="846"/>
      <c r="O537" s="846"/>
      <c r="P537" s="846"/>
      <c r="Q537" s="846"/>
      <c r="R537" s="846"/>
      <c r="S537" s="846"/>
      <c r="T537" s="846"/>
    </row>
    <row r="538" spans="2:20" ht="38.25" hidden="1">
      <c r="B538" s="828" t="s">
        <v>6531</v>
      </c>
      <c r="C538" s="828">
        <v>5911</v>
      </c>
      <c r="D538" s="630" t="s">
        <v>563</v>
      </c>
      <c r="E538" s="630" t="s">
        <v>268</v>
      </c>
      <c r="F538" s="829">
        <v>11.42</v>
      </c>
      <c r="G538" s="830">
        <v>17.190000000000001</v>
      </c>
      <c r="H538" s="831">
        <v>28.61</v>
      </c>
      <c r="I538" s="846"/>
      <c r="J538" s="846"/>
      <c r="K538" s="846"/>
      <c r="L538" s="846"/>
      <c r="M538" s="846"/>
      <c r="N538" s="846"/>
      <c r="O538" s="846"/>
      <c r="P538" s="846"/>
      <c r="Q538" s="846"/>
      <c r="R538" s="846"/>
      <c r="S538" s="846"/>
      <c r="T538" s="846"/>
    </row>
    <row r="539" spans="2:20" ht="25.5" hidden="1">
      <c r="B539" s="828" t="s">
        <v>6531</v>
      </c>
      <c r="C539" s="828">
        <v>5923</v>
      </c>
      <c r="D539" s="630" t="s">
        <v>564</v>
      </c>
      <c r="E539" s="630" t="s">
        <v>268</v>
      </c>
      <c r="F539" s="829">
        <v>3.68</v>
      </c>
      <c r="G539" s="830">
        <v>0</v>
      </c>
      <c r="H539" s="831">
        <v>3.68</v>
      </c>
      <c r="I539" s="846"/>
      <c r="J539" s="846"/>
      <c r="K539" s="846"/>
      <c r="L539" s="846"/>
      <c r="M539" s="846"/>
      <c r="N539" s="846"/>
      <c r="O539" s="846"/>
      <c r="P539" s="846"/>
      <c r="Q539" s="846"/>
      <c r="R539" s="846"/>
      <c r="S539" s="846"/>
      <c r="T539" s="846"/>
    </row>
    <row r="540" spans="2:20" ht="51" hidden="1">
      <c r="B540" s="828" t="s">
        <v>6531</v>
      </c>
      <c r="C540" s="828">
        <v>5930</v>
      </c>
      <c r="D540" s="630" t="s">
        <v>1974</v>
      </c>
      <c r="E540" s="630" t="s">
        <v>268</v>
      </c>
      <c r="F540" s="829">
        <v>37.21</v>
      </c>
      <c r="G540" s="830">
        <v>23.59</v>
      </c>
      <c r="H540" s="831">
        <v>60.8</v>
      </c>
      <c r="I540" s="846"/>
      <c r="J540" s="846"/>
      <c r="K540" s="846"/>
      <c r="L540" s="846"/>
      <c r="M540" s="846"/>
      <c r="N540" s="846"/>
      <c r="O540" s="846"/>
      <c r="P540" s="846"/>
      <c r="Q540" s="846"/>
      <c r="R540" s="846"/>
      <c r="S540" s="846"/>
      <c r="T540" s="846"/>
    </row>
    <row r="541" spans="2:20" ht="38.25" hidden="1">
      <c r="B541" s="828" t="s">
        <v>6531</v>
      </c>
      <c r="C541" s="828">
        <v>5934</v>
      </c>
      <c r="D541" s="630" t="s">
        <v>2210</v>
      </c>
      <c r="E541" s="630" t="s">
        <v>268</v>
      </c>
      <c r="F541" s="829">
        <v>69.3</v>
      </c>
      <c r="G541" s="830">
        <v>27.97</v>
      </c>
      <c r="H541" s="831">
        <v>97.27</v>
      </c>
      <c r="I541" s="846"/>
      <c r="J541" s="846"/>
      <c r="K541" s="846"/>
      <c r="L541" s="846"/>
      <c r="M541" s="846"/>
      <c r="N541" s="846"/>
      <c r="O541" s="846"/>
      <c r="P541" s="846"/>
      <c r="Q541" s="846"/>
      <c r="R541" s="846"/>
      <c r="S541" s="846"/>
      <c r="T541" s="846"/>
    </row>
    <row r="542" spans="2:20" ht="38.25" hidden="1">
      <c r="B542" s="828" t="s">
        <v>6531</v>
      </c>
      <c r="C542" s="828">
        <v>5942</v>
      </c>
      <c r="D542" s="630" t="s">
        <v>565</v>
      </c>
      <c r="E542" s="630" t="s">
        <v>268</v>
      </c>
      <c r="F542" s="829">
        <v>50.57</v>
      </c>
      <c r="G542" s="830">
        <v>23.12</v>
      </c>
      <c r="H542" s="831">
        <v>73.69</v>
      </c>
      <c r="I542" s="846"/>
      <c r="J542" s="846"/>
      <c r="K542" s="846"/>
      <c r="L542" s="846"/>
      <c r="M542" s="846"/>
      <c r="N542" s="846"/>
      <c r="O542" s="846"/>
      <c r="P542" s="846"/>
      <c r="Q542" s="846"/>
      <c r="R542" s="846"/>
      <c r="S542" s="846"/>
      <c r="T542" s="846"/>
    </row>
    <row r="543" spans="2:20" ht="38.25" hidden="1">
      <c r="B543" s="828" t="s">
        <v>6531</v>
      </c>
      <c r="C543" s="828">
        <v>5946</v>
      </c>
      <c r="D543" s="630" t="s">
        <v>566</v>
      </c>
      <c r="E543" s="630" t="s">
        <v>268</v>
      </c>
      <c r="F543" s="829">
        <v>67.960000000000008</v>
      </c>
      <c r="G543" s="830">
        <v>23.12</v>
      </c>
      <c r="H543" s="831">
        <v>91.08</v>
      </c>
      <c r="I543" s="846"/>
      <c r="J543" s="846"/>
      <c r="K543" s="846"/>
      <c r="L543" s="846"/>
      <c r="M543" s="846"/>
      <c r="N543" s="846"/>
      <c r="O543" s="846"/>
      <c r="P543" s="846"/>
      <c r="Q543" s="846"/>
      <c r="R543" s="846"/>
      <c r="S543" s="846"/>
      <c r="T543" s="846"/>
    </row>
    <row r="544" spans="2:20" ht="25.5" hidden="1">
      <c r="B544" s="828" t="s">
        <v>6531</v>
      </c>
      <c r="C544" s="828">
        <v>5952</v>
      </c>
      <c r="D544" s="630" t="s">
        <v>1651</v>
      </c>
      <c r="E544" s="630" t="s">
        <v>268</v>
      </c>
      <c r="F544" s="829">
        <v>6.93</v>
      </c>
      <c r="G544" s="830">
        <v>19.43</v>
      </c>
      <c r="H544" s="831">
        <v>26.36</v>
      </c>
      <c r="I544" s="846"/>
      <c r="J544" s="846"/>
      <c r="K544" s="846"/>
      <c r="L544" s="846"/>
      <c r="M544" s="846"/>
      <c r="N544" s="846"/>
      <c r="O544" s="846"/>
      <c r="P544" s="846"/>
      <c r="Q544" s="846"/>
      <c r="R544" s="846"/>
      <c r="S544" s="846"/>
      <c r="T544" s="846"/>
    </row>
    <row r="545" spans="2:20" ht="38.25" hidden="1">
      <c r="B545" s="828" t="s">
        <v>6531</v>
      </c>
      <c r="C545" s="828">
        <v>5954</v>
      </c>
      <c r="D545" s="630" t="s">
        <v>652</v>
      </c>
      <c r="E545" s="630" t="s">
        <v>268</v>
      </c>
      <c r="F545" s="829">
        <v>4.4400000000000004</v>
      </c>
      <c r="G545" s="830">
        <v>0</v>
      </c>
      <c r="H545" s="831">
        <v>4.4400000000000004</v>
      </c>
      <c r="I545" s="846"/>
      <c r="J545" s="846"/>
      <c r="K545" s="846"/>
      <c r="L545" s="846"/>
      <c r="M545" s="846"/>
      <c r="N545" s="846"/>
      <c r="O545" s="846"/>
      <c r="P545" s="846"/>
      <c r="Q545" s="846"/>
      <c r="R545" s="846"/>
      <c r="S545" s="846"/>
      <c r="T545" s="846"/>
    </row>
    <row r="546" spans="2:20" ht="38.25" hidden="1">
      <c r="B546" s="828" t="s">
        <v>6531</v>
      </c>
      <c r="C546" s="828">
        <v>5961</v>
      </c>
      <c r="D546" s="630" t="s">
        <v>653</v>
      </c>
      <c r="E546" s="630" t="s">
        <v>268</v>
      </c>
      <c r="F546" s="829">
        <v>31.659999999999997</v>
      </c>
      <c r="G546" s="830">
        <v>18.989999999999998</v>
      </c>
      <c r="H546" s="831">
        <v>50.65</v>
      </c>
      <c r="I546" s="846"/>
      <c r="J546" s="846"/>
      <c r="K546" s="846"/>
      <c r="L546" s="846"/>
      <c r="M546" s="846"/>
      <c r="N546" s="846"/>
      <c r="O546" s="846"/>
      <c r="P546" s="846"/>
      <c r="Q546" s="846"/>
      <c r="R546" s="846"/>
      <c r="S546" s="846"/>
      <c r="T546" s="846"/>
    </row>
    <row r="547" spans="2:20" ht="38.25" hidden="1">
      <c r="B547" s="828" t="s">
        <v>6531</v>
      </c>
      <c r="C547" s="828">
        <v>6260</v>
      </c>
      <c r="D547" s="630" t="s">
        <v>654</v>
      </c>
      <c r="E547" s="630" t="s">
        <v>268</v>
      </c>
      <c r="F547" s="829">
        <v>30.04</v>
      </c>
      <c r="G547" s="830">
        <v>20.14</v>
      </c>
      <c r="H547" s="831">
        <v>50.18</v>
      </c>
      <c r="I547" s="846"/>
      <c r="J547" s="846"/>
      <c r="K547" s="846"/>
      <c r="L547" s="846"/>
      <c r="M547" s="846"/>
      <c r="N547" s="846"/>
      <c r="O547" s="846"/>
      <c r="P547" s="846"/>
      <c r="Q547" s="846"/>
      <c r="R547" s="846"/>
      <c r="S547" s="846"/>
      <c r="T547" s="846"/>
    </row>
    <row r="548" spans="2:20" ht="38.25" hidden="1">
      <c r="B548" s="828" t="s">
        <v>6531</v>
      </c>
      <c r="C548" s="828">
        <v>6880</v>
      </c>
      <c r="D548" s="630" t="s">
        <v>655</v>
      </c>
      <c r="E548" s="630" t="s">
        <v>268</v>
      </c>
      <c r="F548" s="829">
        <v>58.76</v>
      </c>
      <c r="G548" s="830">
        <v>20.52</v>
      </c>
      <c r="H548" s="831">
        <v>79.28</v>
      </c>
      <c r="I548" s="846"/>
      <c r="J548" s="846"/>
      <c r="K548" s="846"/>
      <c r="L548" s="846"/>
      <c r="M548" s="846"/>
      <c r="N548" s="846"/>
      <c r="O548" s="846"/>
      <c r="P548" s="846"/>
      <c r="Q548" s="846"/>
      <c r="R548" s="846"/>
      <c r="S548" s="846"/>
      <c r="T548" s="846"/>
    </row>
    <row r="549" spans="2:20" ht="25.5" hidden="1">
      <c r="B549" s="828" t="s">
        <v>6531</v>
      </c>
      <c r="C549" s="828">
        <v>7031</v>
      </c>
      <c r="D549" s="630" t="s">
        <v>656</v>
      </c>
      <c r="E549" s="630" t="s">
        <v>268</v>
      </c>
      <c r="F549" s="829">
        <v>6.02</v>
      </c>
      <c r="G549" s="830">
        <v>0</v>
      </c>
      <c r="H549" s="831">
        <v>6.02</v>
      </c>
      <c r="I549" s="846"/>
      <c r="J549" s="846"/>
      <c r="K549" s="846"/>
      <c r="L549" s="846"/>
      <c r="M549" s="846"/>
      <c r="N549" s="846"/>
      <c r="O549" s="846"/>
      <c r="P549" s="846"/>
      <c r="Q549" s="846"/>
      <c r="R549" s="846"/>
      <c r="S549" s="846"/>
      <c r="T549" s="846"/>
    </row>
    <row r="550" spans="2:20" ht="38.25" hidden="1">
      <c r="B550" s="828" t="s">
        <v>6531</v>
      </c>
      <c r="C550" s="828">
        <v>7043</v>
      </c>
      <c r="D550" s="630" t="s">
        <v>393</v>
      </c>
      <c r="E550" s="630" t="s">
        <v>268</v>
      </c>
      <c r="F550" s="829">
        <v>0.28999999999999998</v>
      </c>
      <c r="G550" s="830">
        <v>0</v>
      </c>
      <c r="H550" s="831">
        <v>0.28999999999999998</v>
      </c>
      <c r="I550" s="846"/>
      <c r="J550" s="846"/>
      <c r="K550" s="846"/>
      <c r="L550" s="846"/>
      <c r="M550" s="846"/>
      <c r="N550" s="846"/>
      <c r="O550" s="846"/>
      <c r="P550" s="846"/>
      <c r="Q550" s="846"/>
      <c r="R550" s="846"/>
      <c r="S550" s="846"/>
      <c r="T550" s="846"/>
    </row>
    <row r="551" spans="2:20" ht="51" hidden="1">
      <c r="B551" s="828" t="s">
        <v>6531</v>
      </c>
      <c r="C551" s="828">
        <v>7050</v>
      </c>
      <c r="D551" s="630" t="s">
        <v>1774</v>
      </c>
      <c r="E551" s="630" t="s">
        <v>268</v>
      </c>
      <c r="F551" s="829">
        <v>52.75</v>
      </c>
      <c r="G551" s="830">
        <v>20.52</v>
      </c>
      <c r="H551" s="831">
        <v>73.27</v>
      </c>
      <c r="I551" s="846"/>
      <c r="J551" s="846"/>
      <c r="K551" s="846"/>
      <c r="L551" s="846"/>
      <c r="M551" s="846"/>
      <c r="N551" s="846"/>
      <c r="O551" s="846"/>
      <c r="P551" s="846"/>
      <c r="Q551" s="846"/>
      <c r="R551" s="846"/>
      <c r="S551" s="846"/>
      <c r="T551" s="846"/>
    </row>
    <row r="552" spans="2:20" ht="38.25" hidden="1">
      <c r="B552" s="828" t="s">
        <v>6531</v>
      </c>
      <c r="C552" s="828">
        <v>67827</v>
      </c>
      <c r="D552" s="630" t="s">
        <v>394</v>
      </c>
      <c r="E552" s="630" t="s">
        <v>268</v>
      </c>
      <c r="F552" s="829">
        <v>32.53</v>
      </c>
      <c r="G552" s="830">
        <v>18.989999999999998</v>
      </c>
      <c r="H552" s="831">
        <v>51.52</v>
      </c>
      <c r="I552" s="846"/>
      <c r="J552" s="846"/>
      <c r="K552" s="846"/>
      <c r="L552" s="846"/>
      <c r="M552" s="846"/>
      <c r="N552" s="846"/>
      <c r="O552" s="846"/>
      <c r="P552" s="846"/>
      <c r="Q552" s="846"/>
      <c r="R552" s="846"/>
      <c r="S552" s="846"/>
      <c r="T552" s="846"/>
    </row>
    <row r="553" spans="2:20" ht="25.5" hidden="1">
      <c r="B553" s="828" t="s">
        <v>6531</v>
      </c>
      <c r="C553" s="828">
        <v>73395</v>
      </c>
      <c r="D553" s="630" t="s">
        <v>1955</v>
      </c>
      <c r="E553" s="630" t="s">
        <v>268</v>
      </c>
      <c r="F553" s="829">
        <v>6.07</v>
      </c>
      <c r="G553" s="830">
        <v>0</v>
      </c>
      <c r="H553" s="831">
        <v>6.07</v>
      </c>
      <c r="I553" s="846"/>
      <c r="J553" s="846"/>
      <c r="K553" s="846"/>
      <c r="L553" s="846"/>
      <c r="M553" s="846"/>
      <c r="N553" s="846"/>
      <c r="O553" s="846"/>
      <c r="P553" s="846"/>
      <c r="Q553" s="846"/>
      <c r="R553" s="846"/>
      <c r="S553" s="846"/>
      <c r="T553" s="846"/>
    </row>
    <row r="554" spans="2:20" ht="38.25" hidden="1">
      <c r="B554" s="828" t="s">
        <v>6531</v>
      </c>
      <c r="C554" s="828">
        <v>83766</v>
      </c>
      <c r="D554" s="630" t="s">
        <v>1870</v>
      </c>
      <c r="E554" s="630" t="s">
        <v>268</v>
      </c>
      <c r="F554" s="829">
        <v>15.55</v>
      </c>
      <c r="G554" s="830">
        <v>24.83</v>
      </c>
      <c r="H554" s="831">
        <v>40.380000000000003</v>
      </c>
      <c r="I554" s="846"/>
      <c r="J554" s="846"/>
      <c r="K554" s="846"/>
      <c r="L554" s="846"/>
      <c r="M554" s="846"/>
      <c r="N554" s="846"/>
      <c r="O554" s="846"/>
      <c r="P554" s="846"/>
      <c r="Q554" s="846"/>
      <c r="R554" s="846"/>
      <c r="S554" s="846"/>
      <c r="T554" s="846"/>
    </row>
    <row r="555" spans="2:20" ht="38.25" hidden="1">
      <c r="B555" s="828" t="s">
        <v>6531</v>
      </c>
      <c r="C555" s="828">
        <v>84013</v>
      </c>
      <c r="D555" s="630" t="s">
        <v>395</v>
      </c>
      <c r="E555" s="630" t="s">
        <v>268</v>
      </c>
      <c r="F555" s="829">
        <v>61.699999999999996</v>
      </c>
      <c r="G555" s="830">
        <v>24.63</v>
      </c>
      <c r="H555" s="831">
        <v>86.33</v>
      </c>
      <c r="I555" s="846"/>
      <c r="J555" s="846"/>
      <c r="K555" s="846"/>
      <c r="L555" s="846"/>
      <c r="M555" s="846"/>
      <c r="N555" s="846"/>
      <c r="O555" s="846"/>
      <c r="P555" s="846"/>
      <c r="Q555" s="846"/>
      <c r="R555" s="846"/>
      <c r="S555" s="846"/>
      <c r="T555" s="846"/>
    </row>
    <row r="556" spans="2:20" ht="38.25" hidden="1">
      <c r="B556" s="828" t="s">
        <v>6531</v>
      </c>
      <c r="C556" s="828">
        <v>87446</v>
      </c>
      <c r="D556" s="630" t="s">
        <v>396</v>
      </c>
      <c r="E556" s="630" t="s">
        <v>268</v>
      </c>
      <c r="F556" s="829">
        <v>0.45</v>
      </c>
      <c r="G556" s="830">
        <v>0</v>
      </c>
      <c r="H556" s="831">
        <v>0.45</v>
      </c>
      <c r="I556" s="846"/>
      <c r="J556" s="846"/>
      <c r="K556" s="846"/>
      <c r="L556" s="846"/>
      <c r="M556" s="846"/>
      <c r="N556" s="846"/>
      <c r="O556" s="846"/>
      <c r="P556" s="846"/>
      <c r="Q556" s="846"/>
      <c r="R556" s="846"/>
      <c r="S556" s="846"/>
      <c r="T556" s="846"/>
    </row>
    <row r="557" spans="2:20" ht="25.5" hidden="1">
      <c r="B557" s="828" t="s">
        <v>6531</v>
      </c>
      <c r="C557" s="828">
        <v>88392</v>
      </c>
      <c r="D557" s="630" t="s">
        <v>397</v>
      </c>
      <c r="E557" s="630" t="s">
        <v>268</v>
      </c>
      <c r="F557" s="829">
        <v>0.9</v>
      </c>
      <c r="G557" s="830">
        <v>0</v>
      </c>
      <c r="H557" s="831">
        <v>0.9</v>
      </c>
      <c r="I557" s="846"/>
      <c r="J557" s="846"/>
      <c r="K557" s="846"/>
      <c r="L557" s="846"/>
      <c r="M557" s="846"/>
      <c r="N557" s="846"/>
      <c r="O557" s="846"/>
      <c r="P557" s="846"/>
      <c r="Q557" s="846"/>
      <c r="R557" s="846"/>
      <c r="S557" s="846"/>
      <c r="T557" s="846"/>
    </row>
    <row r="558" spans="2:20" ht="25.5" hidden="1">
      <c r="B558" s="828" t="s">
        <v>6531</v>
      </c>
      <c r="C558" s="828">
        <v>88398</v>
      </c>
      <c r="D558" s="630" t="s">
        <v>398</v>
      </c>
      <c r="E558" s="630" t="s">
        <v>268</v>
      </c>
      <c r="F558" s="829">
        <v>1.07</v>
      </c>
      <c r="G558" s="830">
        <v>0</v>
      </c>
      <c r="H558" s="831">
        <v>1.07</v>
      </c>
      <c r="I558" s="846"/>
      <c r="J558" s="846"/>
      <c r="K558" s="846"/>
      <c r="L558" s="846"/>
      <c r="M558" s="846"/>
      <c r="N558" s="846"/>
      <c r="O558" s="846"/>
      <c r="P558" s="846"/>
      <c r="Q558" s="846"/>
      <c r="R558" s="846"/>
      <c r="S558" s="846"/>
      <c r="T558" s="846"/>
    </row>
    <row r="559" spans="2:20" ht="25.5" hidden="1">
      <c r="B559" s="828" t="s">
        <v>6531</v>
      </c>
      <c r="C559" s="828">
        <v>88404</v>
      </c>
      <c r="D559" s="630" t="s">
        <v>399</v>
      </c>
      <c r="E559" s="630" t="s">
        <v>268</v>
      </c>
      <c r="F559" s="829">
        <v>0.85</v>
      </c>
      <c r="G559" s="830">
        <v>0</v>
      </c>
      <c r="H559" s="831">
        <v>0.85</v>
      </c>
      <c r="I559" s="846"/>
      <c r="J559" s="846"/>
      <c r="K559" s="846"/>
      <c r="L559" s="846"/>
      <c r="M559" s="846"/>
      <c r="N559" s="846"/>
      <c r="O559" s="846"/>
      <c r="P559" s="846"/>
      <c r="Q559" s="846"/>
      <c r="R559" s="846"/>
      <c r="S559" s="846"/>
      <c r="T559" s="846"/>
    </row>
    <row r="560" spans="2:20" ht="38.25" hidden="1">
      <c r="B560" s="828" t="s">
        <v>6531</v>
      </c>
      <c r="C560" s="828">
        <v>88430</v>
      </c>
      <c r="D560" s="630" t="s">
        <v>400</v>
      </c>
      <c r="E560" s="630" t="s">
        <v>268</v>
      </c>
      <c r="F560" s="829">
        <v>5.58</v>
      </c>
      <c r="G560" s="830">
        <v>0</v>
      </c>
      <c r="H560" s="831">
        <v>5.58</v>
      </c>
      <c r="I560" s="846"/>
      <c r="J560" s="846"/>
      <c r="K560" s="846"/>
      <c r="L560" s="846"/>
      <c r="M560" s="846"/>
      <c r="N560" s="846"/>
      <c r="O560" s="846"/>
      <c r="P560" s="846"/>
      <c r="Q560" s="846"/>
      <c r="R560" s="846"/>
      <c r="S560" s="846"/>
      <c r="T560" s="846"/>
    </row>
    <row r="561" spans="2:20" ht="25.5" hidden="1">
      <c r="B561" s="828" t="s">
        <v>6531</v>
      </c>
      <c r="C561" s="828">
        <v>88438</v>
      </c>
      <c r="D561" s="630" t="s">
        <v>401</v>
      </c>
      <c r="E561" s="630" t="s">
        <v>268</v>
      </c>
      <c r="F561" s="829">
        <v>7.39</v>
      </c>
      <c r="G561" s="830">
        <v>0</v>
      </c>
      <c r="H561" s="831">
        <v>7.39</v>
      </c>
      <c r="I561" s="846"/>
      <c r="J561" s="846"/>
      <c r="K561" s="846"/>
      <c r="L561" s="846"/>
      <c r="M561" s="846"/>
      <c r="N561" s="846"/>
      <c r="O561" s="846"/>
      <c r="P561" s="846"/>
      <c r="Q561" s="846"/>
      <c r="R561" s="846"/>
      <c r="S561" s="846"/>
      <c r="T561" s="846"/>
    </row>
    <row r="562" spans="2:20" ht="38.25" hidden="1">
      <c r="B562" s="828" t="s">
        <v>6531</v>
      </c>
      <c r="C562" s="828">
        <v>88831</v>
      </c>
      <c r="D562" s="630" t="s">
        <v>2251</v>
      </c>
      <c r="E562" s="630" t="s">
        <v>268</v>
      </c>
      <c r="F562" s="829">
        <v>0.33</v>
      </c>
      <c r="G562" s="830">
        <v>0</v>
      </c>
      <c r="H562" s="831">
        <v>0.33</v>
      </c>
      <c r="I562" s="846"/>
      <c r="J562" s="846"/>
      <c r="K562" s="846"/>
      <c r="L562" s="846"/>
      <c r="M562" s="846"/>
      <c r="N562" s="846"/>
      <c r="O562" s="846"/>
      <c r="P562" s="846"/>
      <c r="Q562" s="846"/>
      <c r="R562" s="846"/>
      <c r="S562" s="846"/>
      <c r="T562" s="846"/>
    </row>
    <row r="563" spans="2:20" ht="25.5" hidden="1">
      <c r="B563" s="828" t="s">
        <v>6531</v>
      </c>
      <c r="C563" s="828">
        <v>88844</v>
      </c>
      <c r="D563" s="630" t="s">
        <v>402</v>
      </c>
      <c r="E563" s="630" t="s">
        <v>268</v>
      </c>
      <c r="F563" s="829">
        <v>44.02</v>
      </c>
      <c r="G563" s="830">
        <v>25.98</v>
      </c>
      <c r="H563" s="831">
        <v>70</v>
      </c>
      <c r="I563" s="846"/>
      <c r="J563" s="846"/>
      <c r="K563" s="846"/>
      <c r="L563" s="846"/>
      <c r="M563" s="846"/>
      <c r="N563" s="846"/>
      <c r="O563" s="846"/>
      <c r="P563" s="846"/>
      <c r="Q563" s="846"/>
      <c r="R563" s="846"/>
      <c r="S563" s="846"/>
      <c r="T563" s="846"/>
    </row>
    <row r="564" spans="2:20" ht="25.5" hidden="1">
      <c r="B564" s="828" t="s">
        <v>6531</v>
      </c>
      <c r="C564" s="828">
        <v>88908</v>
      </c>
      <c r="D564" s="630" t="s">
        <v>403</v>
      </c>
      <c r="E564" s="630" t="s">
        <v>268</v>
      </c>
      <c r="F564" s="829">
        <v>71.02</v>
      </c>
      <c r="G564" s="830">
        <v>24.63</v>
      </c>
      <c r="H564" s="831">
        <v>95.65</v>
      </c>
      <c r="I564" s="846"/>
      <c r="J564" s="846"/>
      <c r="K564" s="846"/>
      <c r="L564" s="846"/>
      <c r="M564" s="846"/>
      <c r="N564" s="846"/>
      <c r="O564" s="846"/>
      <c r="P564" s="846"/>
      <c r="Q564" s="846"/>
      <c r="R564" s="846"/>
      <c r="S564" s="846"/>
      <c r="T564" s="846"/>
    </row>
    <row r="565" spans="2:20" ht="38.25" hidden="1">
      <c r="B565" s="828" t="s">
        <v>6531</v>
      </c>
      <c r="C565" s="828">
        <v>89022</v>
      </c>
      <c r="D565" s="630" t="s">
        <v>404</v>
      </c>
      <c r="E565" s="630" t="s">
        <v>268</v>
      </c>
      <c r="F565" s="829">
        <v>0.44</v>
      </c>
      <c r="G565" s="830">
        <v>0</v>
      </c>
      <c r="H565" s="831">
        <v>0.44</v>
      </c>
      <c r="I565" s="846"/>
      <c r="J565" s="846"/>
      <c r="K565" s="846"/>
      <c r="L565" s="846"/>
      <c r="M565" s="846"/>
      <c r="N565" s="846"/>
      <c r="O565" s="846"/>
      <c r="P565" s="846"/>
      <c r="Q565" s="846"/>
      <c r="R565" s="846"/>
      <c r="S565" s="846"/>
      <c r="T565" s="846"/>
    </row>
    <row r="566" spans="2:20" ht="25.5" hidden="1">
      <c r="B566" s="828" t="s">
        <v>6531</v>
      </c>
      <c r="C566" s="828">
        <v>89027</v>
      </c>
      <c r="D566" s="630" t="s">
        <v>405</v>
      </c>
      <c r="E566" s="630" t="s">
        <v>268</v>
      </c>
      <c r="F566" s="829">
        <v>4.88</v>
      </c>
      <c r="G566" s="830">
        <v>0</v>
      </c>
      <c r="H566" s="831">
        <v>4.88</v>
      </c>
      <c r="I566" s="846"/>
      <c r="J566" s="846"/>
      <c r="K566" s="846"/>
      <c r="L566" s="846"/>
      <c r="M566" s="846"/>
      <c r="N566" s="846"/>
      <c r="O566" s="846"/>
      <c r="P566" s="846"/>
      <c r="Q566" s="846"/>
      <c r="R566" s="846"/>
      <c r="S566" s="846"/>
      <c r="T566" s="846"/>
    </row>
    <row r="567" spans="2:20" ht="25.5" hidden="1">
      <c r="B567" s="828" t="s">
        <v>6531</v>
      </c>
      <c r="C567" s="828">
        <v>89031</v>
      </c>
      <c r="D567" s="630" t="s">
        <v>406</v>
      </c>
      <c r="E567" s="630" t="s">
        <v>268</v>
      </c>
      <c r="F567" s="829">
        <v>42.3</v>
      </c>
      <c r="G567" s="830">
        <v>25.98</v>
      </c>
      <c r="H567" s="831">
        <v>68.28</v>
      </c>
      <c r="I567" s="846"/>
      <c r="J567" s="846"/>
      <c r="K567" s="846"/>
      <c r="L567" s="846"/>
      <c r="M567" s="846"/>
      <c r="N567" s="846"/>
      <c r="O567" s="846"/>
      <c r="P567" s="846"/>
      <c r="Q567" s="846"/>
      <c r="R567" s="846"/>
      <c r="S567" s="846"/>
      <c r="T567" s="846"/>
    </row>
    <row r="568" spans="2:20" ht="25.5" hidden="1">
      <c r="B568" s="828" t="s">
        <v>6531</v>
      </c>
      <c r="C568" s="828">
        <v>89036</v>
      </c>
      <c r="D568" s="630" t="s">
        <v>407</v>
      </c>
      <c r="E568" s="630" t="s">
        <v>268</v>
      </c>
      <c r="F568" s="829">
        <v>21.509999999999998</v>
      </c>
      <c r="G568" s="830">
        <v>25.98</v>
      </c>
      <c r="H568" s="831">
        <v>47.49</v>
      </c>
      <c r="I568" s="846"/>
      <c r="J568" s="846"/>
      <c r="K568" s="846"/>
      <c r="L568" s="846"/>
      <c r="M568" s="846"/>
      <c r="N568" s="846"/>
      <c r="O568" s="846"/>
      <c r="P568" s="846"/>
      <c r="Q568" s="846"/>
      <c r="R568" s="846"/>
      <c r="S568" s="846"/>
      <c r="T568" s="846"/>
    </row>
    <row r="569" spans="2:20" ht="25.5" hidden="1">
      <c r="B569" s="828" t="s">
        <v>6531</v>
      </c>
      <c r="C569" s="828">
        <v>89218</v>
      </c>
      <c r="D569" s="630" t="s">
        <v>408</v>
      </c>
      <c r="E569" s="630" t="s">
        <v>268</v>
      </c>
      <c r="F569" s="829">
        <v>43.91</v>
      </c>
      <c r="G569" s="830">
        <v>44.02</v>
      </c>
      <c r="H569" s="831">
        <v>87.93</v>
      </c>
      <c r="I569" s="846"/>
      <c r="J569" s="846"/>
      <c r="K569" s="846"/>
      <c r="L569" s="846"/>
      <c r="M569" s="846"/>
      <c r="N569" s="846"/>
      <c r="O569" s="846"/>
      <c r="P569" s="846"/>
      <c r="Q569" s="846"/>
      <c r="R569" s="846"/>
      <c r="S569" s="846"/>
      <c r="T569" s="846"/>
    </row>
    <row r="570" spans="2:20" ht="38.25" hidden="1">
      <c r="B570" s="828" t="s">
        <v>6531</v>
      </c>
      <c r="C570" s="828">
        <v>89226</v>
      </c>
      <c r="D570" s="630" t="s">
        <v>409</v>
      </c>
      <c r="E570" s="630" t="s">
        <v>268</v>
      </c>
      <c r="F570" s="829">
        <v>1.38</v>
      </c>
      <c r="G570" s="830">
        <v>0</v>
      </c>
      <c r="H570" s="831">
        <v>1.38</v>
      </c>
      <c r="I570" s="846"/>
      <c r="J570" s="846"/>
      <c r="K570" s="846"/>
      <c r="L570" s="846"/>
      <c r="M570" s="846"/>
      <c r="N570" s="846"/>
      <c r="O570" s="846"/>
      <c r="P570" s="846"/>
      <c r="Q570" s="846"/>
      <c r="R570" s="846"/>
      <c r="S570" s="846"/>
      <c r="T570" s="846"/>
    </row>
    <row r="571" spans="2:20" ht="25.5" hidden="1">
      <c r="B571" s="828" t="s">
        <v>6531</v>
      </c>
      <c r="C571" s="828">
        <v>89235</v>
      </c>
      <c r="D571" s="630" t="s">
        <v>410</v>
      </c>
      <c r="E571" s="630" t="s">
        <v>268</v>
      </c>
      <c r="F571" s="829">
        <v>166.73000000000002</v>
      </c>
      <c r="G571" s="830">
        <v>23.53</v>
      </c>
      <c r="H571" s="831">
        <v>190.26</v>
      </c>
      <c r="I571" s="846"/>
      <c r="J571" s="846"/>
      <c r="K571" s="846"/>
      <c r="L571" s="846"/>
      <c r="M571" s="846"/>
      <c r="N571" s="846"/>
      <c r="O571" s="846"/>
      <c r="P571" s="846"/>
      <c r="Q571" s="846"/>
      <c r="R571" s="846"/>
      <c r="S571" s="846"/>
      <c r="T571" s="846"/>
    </row>
    <row r="572" spans="2:20" ht="25.5" hidden="1">
      <c r="B572" s="828" t="s">
        <v>6531</v>
      </c>
      <c r="C572" s="828">
        <v>89243</v>
      </c>
      <c r="D572" s="630" t="s">
        <v>411</v>
      </c>
      <c r="E572" s="630" t="s">
        <v>268</v>
      </c>
      <c r="F572" s="829">
        <v>382.03999999999996</v>
      </c>
      <c r="G572" s="830">
        <v>23.53</v>
      </c>
      <c r="H572" s="831">
        <v>405.57</v>
      </c>
      <c r="I572" s="846"/>
      <c r="J572" s="846"/>
      <c r="K572" s="846"/>
      <c r="L572" s="846"/>
      <c r="M572" s="846"/>
      <c r="N572" s="846"/>
      <c r="O572" s="846"/>
      <c r="P572" s="846"/>
      <c r="Q572" s="846"/>
      <c r="R572" s="846"/>
      <c r="S572" s="846"/>
      <c r="T572" s="846"/>
    </row>
    <row r="573" spans="2:20" ht="25.5" hidden="1">
      <c r="B573" s="828" t="s">
        <v>6531</v>
      </c>
      <c r="C573" s="828">
        <v>89251</v>
      </c>
      <c r="D573" s="630" t="s">
        <v>412</v>
      </c>
      <c r="E573" s="630" t="s">
        <v>268</v>
      </c>
      <c r="F573" s="829">
        <v>332.7</v>
      </c>
      <c r="G573" s="830">
        <v>23.53</v>
      </c>
      <c r="H573" s="831">
        <v>356.23</v>
      </c>
      <c r="I573" s="846"/>
      <c r="J573" s="846"/>
      <c r="K573" s="846"/>
      <c r="L573" s="846"/>
      <c r="M573" s="846"/>
      <c r="N573" s="846"/>
      <c r="O573" s="846"/>
      <c r="P573" s="846"/>
      <c r="Q573" s="846"/>
      <c r="R573" s="846"/>
      <c r="S573" s="846"/>
      <c r="T573" s="846"/>
    </row>
    <row r="574" spans="2:20" ht="38.25" hidden="1">
      <c r="B574" s="828" t="s">
        <v>6531</v>
      </c>
      <c r="C574" s="828">
        <v>89258</v>
      </c>
      <c r="D574" s="630" t="s">
        <v>413</v>
      </c>
      <c r="E574" s="630" t="s">
        <v>268</v>
      </c>
      <c r="F574" s="829">
        <v>102.01</v>
      </c>
      <c r="G574" s="830">
        <v>23.53</v>
      </c>
      <c r="H574" s="831">
        <v>125.54</v>
      </c>
      <c r="I574" s="846"/>
      <c r="J574" s="846"/>
      <c r="K574" s="846"/>
      <c r="L574" s="846"/>
      <c r="M574" s="846"/>
      <c r="N574" s="846"/>
      <c r="O574" s="846"/>
      <c r="P574" s="846"/>
      <c r="Q574" s="846"/>
      <c r="R574" s="846"/>
      <c r="S574" s="846"/>
      <c r="T574" s="846"/>
    </row>
    <row r="575" spans="2:20" ht="38.25" hidden="1">
      <c r="B575" s="828" t="s">
        <v>6531</v>
      </c>
      <c r="C575" s="828">
        <v>89273</v>
      </c>
      <c r="D575" s="630" t="s">
        <v>1982</v>
      </c>
      <c r="E575" s="630" t="s">
        <v>268</v>
      </c>
      <c r="F575" s="829">
        <v>70.73</v>
      </c>
      <c r="G575" s="830">
        <v>55.99</v>
      </c>
      <c r="H575" s="831">
        <v>126.72</v>
      </c>
      <c r="I575" s="846"/>
      <c r="J575" s="846"/>
      <c r="K575" s="846"/>
      <c r="L575" s="846"/>
      <c r="M575" s="846"/>
      <c r="N575" s="846"/>
      <c r="O575" s="846"/>
      <c r="P575" s="846"/>
      <c r="Q575" s="846"/>
      <c r="R575" s="846"/>
      <c r="S575" s="846"/>
      <c r="T575" s="846"/>
    </row>
    <row r="576" spans="2:20" ht="38.25" hidden="1">
      <c r="B576" s="828" t="s">
        <v>6531</v>
      </c>
      <c r="C576" s="828">
        <v>89279</v>
      </c>
      <c r="D576" s="630" t="s">
        <v>414</v>
      </c>
      <c r="E576" s="630" t="s">
        <v>268</v>
      </c>
      <c r="F576" s="829">
        <v>1.68</v>
      </c>
      <c r="G576" s="830">
        <v>0</v>
      </c>
      <c r="H576" s="831">
        <v>1.68</v>
      </c>
      <c r="I576" s="846"/>
      <c r="J576" s="846"/>
      <c r="K576" s="846"/>
      <c r="L576" s="846"/>
      <c r="M576" s="846"/>
      <c r="N576" s="846"/>
      <c r="O576" s="846"/>
      <c r="P576" s="846"/>
      <c r="Q576" s="846"/>
      <c r="R576" s="846"/>
      <c r="S576" s="846"/>
      <c r="T576" s="846"/>
    </row>
    <row r="577" spans="2:20" ht="51" hidden="1">
      <c r="B577" s="828" t="s">
        <v>6531</v>
      </c>
      <c r="C577" s="828">
        <v>89877</v>
      </c>
      <c r="D577" s="630" t="s">
        <v>415</v>
      </c>
      <c r="E577" s="630" t="s">
        <v>268</v>
      </c>
      <c r="F577" s="829">
        <v>48.23</v>
      </c>
      <c r="G577" s="830">
        <v>18.989999999999998</v>
      </c>
      <c r="H577" s="831">
        <v>67.22</v>
      </c>
      <c r="I577" s="846"/>
      <c r="J577" s="846"/>
      <c r="K577" s="846"/>
      <c r="L577" s="846"/>
      <c r="M577" s="846"/>
      <c r="N577" s="846"/>
      <c r="O577" s="846"/>
      <c r="P577" s="846"/>
      <c r="Q577" s="846"/>
      <c r="R577" s="846"/>
      <c r="S577" s="846"/>
      <c r="T577" s="846"/>
    </row>
    <row r="578" spans="2:20" ht="51" hidden="1">
      <c r="B578" s="828" t="s">
        <v>6531</v>
      </c>
      <c r="C578" s="828">
        <v>89884</v>
      </c>
      <c r="D578" s="630" t="s">
        <v>416</v>
      </c>
      <c r="E578" s="630" t="s">
        <v>268</v>
      </c>
      <c r="F578" s="829">
        <v>51.73</v>
      </c>
      <c r="G578" s="830">
        <v>18.989999999999998</v>
      </c>
      <c r="H578" s="831">
        <v>70.72</v>
      </c>
      <c r="I578" s="846"/>
      <c r="J578" s="846"/>
      <c r="K578" s="846"/>
      <c r="L578" s="846"/>
      <c r="M578" s="846"/>
      <c r="N578" s="846"/>
      <c r="O578" s="846"/>
      <c r="P578" s="846"/>
      <c r="Q578" s="846"/>
      <c r="R578" s="846"/>
      <c r="S578" s="846"/>
      <c r="T578" s="846"/>
    </row>
    <row r="579" spans="2:20" ht="25.5" hidden="1">
      <c r="B579" s="828" t="s">
        <v>6531</v>
      </c>
      <c r="C579" s="828">
        <v>90587</v>
      </c>
      <c r="D579" s="630" t="s">
        <v>417</v>
      </c>
      <c r="E579" s="630" t="s">
        <v>268</v>
      </c>
      <c r="F579" s="829">
        <v>0.56000000000000005</v>
      </c>
      <c r="G579" s="830">
        <v>0</v>
      </c>
      <c r="H579" s="831">
        <v>0.56000000000000005</v>
      </c>
      <c r="I579" s="846"/>
      <c r="J579" s="846"/>
      <c r="K579" s="846"/>
      <c r="L579" s="846"/>
      <c r="M579" s="846"/>
      <c r="N579" s="846"/>
      <c r="O579" s="846"/>
      <c r="P579" s="846"/>
      <c r="Q579" s="846"/>
      <c r="R579" s="846"/>
      <c r="S579" s="846"/>
      <c r="T579" s="846"/>
    </row>
    <row r="580" spans="2:20" ht="25.5" hidden="1">
      <c r="B580" s="828" t="s">
        <v>6531</v>
      </c>
      <c r="C580" s="828">
        <v>90626</v>
      </c>
      <c r="D580" s="630" t="s">
        <v>418</v>
      </c>
      <c r="E580" s="630" t="s">
        <v>268</v>
      </c>
      <c r="F580" s="829">
        <v>1.8</v>
      </c>
      <c r="G580" s="830">
        <v>0</v>
      </c>
      <c r="H580" s="831">
        <v>1.8</v>
      </c>
      <c r="I580" s="846"/>
      <c r="J580" s="846"/>
      <c r="K580" s="846"/>
      <c r="L580" s="846"/>
      <c r="M580" s="846"/>
      <c r="N580" s="846"/>
      <c r="O580" s="846"/>
      <c r="P580" s="846"/>
      <c r="Q580" s="846"/>
      <c r="R580" s="846"/>
      <c r="S580" s="846"/>
      <c r="T580" s="846"/>
    </row>
    <row r="581" spans="2:20" ht="38.25" hidden="1">
      <c r="B581" s="828" t="s">
        <v>6531</v>
      </c>
      <c r="C581" s="828">
        <v>90632</v>
      </c>
      <c r="D581" s="630" t="s">
        <v>419</v>
      </c>
      <c r="E581" s="630" t="s">
        <v>268</v>
      </c>
      <c r="F581" s="829">
        <v>65.52</v>
      </c>
      <c r="G581" s="830">
        <v>24.22</v>
      </c>
      <c r="H581" s="831">
        <v>89.74</v>
      </c>
      <c r="I581" s="846"/>
      <c r="J581" s="846"/>
      <c r="K581" s="846"/>
      <c r="L581" s="846"/>
      <c r="M581" s="846"/>
      <c r="N581" s="846"/>
      <c r="O581" s="846"/>
      <c r="P581" s="846"/>
      <c r="Q581" s="846"/>
      <c r="R581" s="846"/>
      <c r="S581" s="846"/>
      <c r="T581" s="846"/>
    </row>
    <row r="582" spans="2:20" ht="38.25" hidden="1">
      <c r="B582" s="828" t="s">
        <v>6531</v>
      </c>
      <c r="C582" s="828">
        <v>90638</v>
      </c>
      <c r="D582" s="630" t="s">
        <v>420</v>
      </c>
      <c r="E582" s="630" t="s">
        <v>268</v>
      </c>
      <c r="F582" s="829">
        <v>4.29</v>
      </c>
      <c r="G582" s="830">
        <v>0</v>
      </c>
      <c r="H582" s="831">
        <v>4.29</v>
      </c>
      <c r="I582" s="846"/>
      <c r="J582" s="846"/>
      <c r="K582" s="846"/>
      <c r="L582" s="846"/>
      <c r="M582" s="846"/>
      <c r="N582" s="846"/>
      <c r="O582" s="846"/>
      <c r="P582" s="846"/>
      <c r="Q582" s="846"/>
      <c r="R582" s="846"/>
      <c r="S582" s="846"/>
      <c r="T582" s="846"/>
    </row>
    <row r="583" spans="2:20" ht="38.25" hidden="1">
      <c r="B583" s="828" t="s">
        <v>6531</v>
      </c>
      <c r="C583" s="828">
        <v>90644</v>
      </c>
      <c r="D583" s="630" t="s">
        <v>421</v>
      </c>
      <c r="E583" s="630" t="s">
        <v>268</v>
      </c>
      <c r="F583" s="829">
        <v>6.41</v>
      </c>
      <c r="G583" s="830">
        <v>0</v>
      </c>
      <c r="H583" s="831">
        <v>6.41</v>
      </c>
      <c r="I583" s="846"/>
      <c r="J583" s="846"/>
      <c r="K583" s="846"/>
      <c r="L583" s="846"/>
      <c r="M583" s="846"/>
      <c r="N583" s="846"/>
      <c r="O583" s="846"/>
      <c r="P583" s="846"/>
      <c r="Q583" s="846"/>
      <c r="R583" s="846"/>
      <c r="S583" s="846"/>
      <c r="T583" s="846"/>
    </row>
    <row r="584" spans="2:20" ht="38.25" hidden="1">
      <c r="B584" s="828" t="s">
        <v>6531</v>
      </c>
      <c r="C584" s="828">
        <v>90651</v>
      </c>
      <c r="D584" s="630" t="s">
        <v>664</v>
      </c>
      <c r="E584" s="630" t="s">
        <v>268</v>
      </c>
      <c r="F584" s="829">
        <v>0.84</v>
      </c>
      <c r="G584" s="830">
        <v>0</v>
      </c>
      <c r="H584" s="831">
        <v>0.84</v>
      </c>
      <c r="I584" s="846"/>
      <c r="J584" s="846"/>
      <c r="K584" s="846"/>
      <c r="L584" s="846"/>
      <c r="M584" s="846"/>
      <c r="N584" s="846"/>
      <c r="O584" s="846"/>
      <c r="P584" s="846"/>
      <c r="Q584" s="846"/>
      <c r="R584" s="846"/>
      <c r="S584" s="846"/>
      <c r="T584" s="846"/>
    </row>
    <row r="585" spans="2:20" ht="25.5" hidden="1">
      <c r="B585" s="828" t="s">
        <v>6531</v>
      </c>
      <c r="C585" s="828">
        <v>90657</v>
      </c>
      <c r="D585" s="630" t="s">
        <v>665</v>
      </c>
      <c r="E585" s="630" t="s">
        <v>268</v>
      </c>
      <c r="F585" s="829">
        <v>4.17</v>
      </c>
      <c r="G585" s="830">
        <v>0</v>
      </c>
      <c r="H585" s="831">
        <v>4.17</v>
      </c>
      <c r="I585" s="846"/>
      <c r="J585" s="846"/>
      <c r="K585" s="846"/>
      <c r="L585" s="846"/>
      <c r="M585" s="846"/>
      <c r="N585" s="846"/>
      <c r="O585" s="846"/>
      <c r="P585" s="846"/>
      <c r="Q585" s="846"/>
      <c r="R585" s="846"/>
      <c r="S585" s="846"/>
      <c r="T585" s="846"/>
    </row>
    <row r="586" spans="2:20" ht="25.5" hidden="1">
      <c r="B586" s="828" t="s">
        <v>6531</v>
      </c>
      <c r="C586" s="828">
        <v>90663</v>
      </c>
      <c r="D586" s="630" t="s">
        <v>666</v>
      </c>
      <c r="E586" s="630" t="s">
        <v>268</v>
      </c>
      <c r="F586" s="829">
        <v>4.46</v>
      </c>
      <c r="G586" s="830">
        <v>0</v>
      </c>
      <c r="H586" s="831">
        <v>4.46</v>
      </c>
      <c r="I586" s="846"/>
      <c r="J586" s="846"/>
      <c r="K586" s="846"/>
      <c r="L586" s="846"/>
      <c r="M586" s="846"/>
      <c r="N586" s="846"/>
      <c r="O586" s="846"/>
      <c r="P586" s="846"/>
      <c r="Q586" s="846"/>
      <c r="R586" s="846"/>
      <c r="S586" s="846"/>
      <c r="T586" s="846"/>
    </row>
    <row r="587" spans="2:20" ht="51" hidden="1">
      <c r="B587" s="828" t="s">
        <v>6531</v>
      </c>
      <c r="C587" s="828">
        <v>90669</v>
      </c>
      <c r="D587" s="630" t="s">
        <v>667</v>
      </c>
      <c r="E587" s="630" t="s">
        <v>268</v>
      </c>
      <c r="F587" s="829">
        <v>5.96</v>
      </c>
      <c r="G587" s="830">
        <v>0</v>
      </c>
      <c r="H587" s="831">
        <v>5.96</v>
      </c>
      <c r="I587" s="846"/>
      <c r="J587" s="846"/>
      <c r="K587" s="846"/>
      <c r="L587" s="846"/>
      <c r="M587" s="846"/>
      <c r="N587" s="846"/>
      <c r="O587" s="846"/>
      <c r="P587" s="846"/>
      <c r="Q587" s="846"/>
      <c r="R587" s="846"/>
      <c r="S587" s="846"/>
      <c r="T587" s="846"/>
    </row>
    <row r="588" spans="2:20" ht="51" hidden="1">
      <c r="B588" s="828" t="s">
        <v>6531</v>
      </c>
      <c r="C588" s="828">
        <v>90675</v>
      </c>
      <c r="D588" s="630" t="s">
        <v>668</v>
      </c>
      <c r="E588" s="630" t="s">
        <v>268</v>
      </c>
      <c r="F588" s="829">
        <v>281.14</v>
      </c>
      <c r="G588" s="830">
        <v>24.22</v>
      </c>
      <c r="H588" s="831">
        <v>305.36</v>
      </c>
      <c r="I588" s="846"/>
      <c r="J588" s="846"/>
      <c r="K588" s="846"/>
      <c r="L588" s="846"/>
      <c r="M588" s="846"/>
      <c r="N588" s="846"/>
      <c r="O588" s="846"/>
      <c r="P588" s="846"/>
      <c r="Q588" s="846"/>
      <c r="R588" s="846"/>
      <c r="S588" s="846"/>
      <c r="T588" s="846"/>
    </row>
    <row r="589" spans="2:20" ht="51" hidden="1">
      <c r="B589" s="828" t="s">
        <v>6531</v>
      </c>
      <c r="C589" s="828">
        <v>90681</v>
      </c>
      <c r="D589" s="630" t="s">
        <v>669</v>
      </c>
      <c r="E589" s="630" t="s">
        <v>268</v>
      </c>
      <c r="F589" s="829">
        <v>147.12</v>
      </c>
      <c r="G589" s="830">
        <v>24.22</v>
      </c>
      <c r="H589" s="831">
        <v>171.34</v>
      </c>
      <c r="I589" s="846"/>
      <c r="J589" s="846"/>
      <c r="K589" s="846"/>
      <c r="L589" s="846"/>
      <c r="M589" s="846"/>
      <c r="N589" s="846"/>
      <c r="O589" s="846"/>
      <c r="P589" s="846"/>
      <c r="Q589" s="846"/>
      <c r="R589" s="846"/>
      <c r="S589" s="846"/>
      <c r="T589" s="846"/>
    </row>
    <row r="590" spans="2:20" ht="38.25" hidden="1">
      <c r="B590" s="828" t="s">
        <v>6531</v>
      </c>
      <c r="C590" s="828">
        <v>90687</v>
      </c>
      <c r="D590" s="630" t="s">
        <v>670</v>
      </c>
      <c r="E590" s="630" t="s">
        <v>268</v>
      </c>
      <c r="F590" s="829">
        <v>38.199999999999996</v>
      </c>
      <c r="G590" s="830">
        <v>23.12</v>
      </c>
      <c r="H590" s="831">
        <v>61.32</v>
      </c>
      <c r="I590" s="846"/>
      <c r="J590" s="846"/>
      <c r="K590" s="846"/>
      <c r="L590" s="846"/>
      <c r="M590" s="846"/>
      <c r="N590" s="846"/>
      <c r="O590" s="846"/>
      <c r="P590" s="846"/>
      <c r="Q590" s="846"/>
      <c r="R590" s="846"/>
      <c r="S590" s="846"/>
      <c r="T590" s="846"/>
    </row>
    <row r="591" spans="2:20" ht="25.5" hidden="1">
      <c r="B591" s="828" t="s">
        <v>6531</v>
      </c>
      <c r="C591" s="828">
        <v>90693</v>
      </c>
      <c r="D591" s="630" t="s">
        <v>671</v>
      </c>
      <c r="E591" s="630" t="s">
        <v>268</v>
      </c>
      <c r="F591" s="829">
        <v>27.159999999999997</v>
      </c>
      <c r="G591" s="830">
        <v>23.12</v>
      </c>
      <c r="H591" s="831">
        <v>50.28</v>
      </c>
      <c r="I591" s="846"/>
      <c r="J591" s="846"/>
      <c r="K591" s="846"/>
      <c r="L591" s="846"/>
      <c r="M591" s="846"/>
      <c r="N591" s="846"/>
      <c r="O591" s="846"/>
      <c r="P591" s="846"/>
      <c r="Q591" s="846"/>
      <c r="R591" s="846"/>
      <c r="S591" s="846"/>
      <c r="T591" s="846"/>
    </row>
    <row r="592" spans="2:20" ht="38.25" hidden="1">
      <c r="B592" s="828" t="s">
        <v>6531</v>
      </c>
      <c r="C592" s="828">
        <v>90965</v>
      </c>
      <c r="D592" s="630" t="s">
        <v>672</v>
      </c>
      <c r="E592" s="630" t="s">
        <v>268</v>
      </c>
      <c r="F592" s="829">
        <v>5.93</v>
      </c>
      <c r="G592" s="830">
        <v>0</v>
      </c>
      <c r="H592" s="831">
        <v>5.93</v>
      </c>
      <c r="I592" s="846"/>
      <c r="J592" s="846"/>
      <c r="K592" s="846"/>
      <c r="L592" s="846"/>
      <c r="M592" s="846"/>
      <c r="N592" s="846"/>
      <c r="O592" s="846"/>
      <c r="P592" s="846"/>
      <c r="Q592" s="846"/>
      <c r="R592" s="846"/>
      <c r="S592" s="846"/>
      <c r="T592" s="846"/>
    </row>
    <row r="593" spans="2:20" ht="25.5" hidden="1">
      <c r="B593" s="828" t="s">
        <v>6531</v>
      </c>
      <c r="C593" s="828">
        <v>90973</v>
      </c>
      <c r="D593" s="630" t="s">
        <v>1687</v>
      </c>
      <c r="E593" s="630" t="s">
        <v>268</v>
      </c>
      <c r="F593" s="829">
        <v>5.94</v>
      </c>
      <c r="G593" s="830">
        <v>0</v>
      </c>
      <c r="H593" s="831">
        <v>5.94</v>
      </c>
      <c r="I593" s="846"/>
      <c r="J593" s="846"/>
      <c r="K593" s="846"/>
      <c r="L593" s="846"/>
      <c r="M593" s="846"/>
      <c r="N593" s="846"/>
      <c r="O593" s="846"/>
      <c r="P593" s="846"/>
      <c r="Q593" s="846"/>
      <c r="R593" s="846"/>
      <c r="S593" s="846"/>
      <c r="T593" s="846"/>
    </row>
    <row r="594" spans="2:20" ht="38.25" hidden="1">
      <c r="B594" s="828" t="s">
        <v>6531</v>
      </c>
      <c r="C594" s="828">
        <v>90982</v>
      </c>
      <c r="D594" s="630" t="s">
        <v>673</v>
      </c>
      <c r="E594" s="630" t="s">
        <v>268</v>
      </c>
      <c r="F594" s="829">
        <v>15.1</v>
      </c>
      <c r="G594" s="830">
        <v>0</v>
      </c>
      <c r="H594" s="831">
        <v>15.1</v>
      </c>
      <c r="I594" s="846"/>
      <c r="J594" s="846"/>
      <c r="K594" s="846"/>
      <c r="L594" s="846"/>
      <c r="M594" s="846"/>
      <c r="N594" s="846"/>
      <c r="O594" s="846"/>
      <c r="P594" s="846"/>
      <c r="Q594" s="846"/>
      <c r="R594" s="846"/>
      <c r="S594" s="846"/>
      <c r="T594" s="846"/>
    </row>
    <row r="595" spans="2:20" ht="25.5" hidden="1">
      <c r="B595" s="828" t="s">
        <v>6531</v>
      </c>
      <c r="C595" s="828">
        <v>91001</v>
      </c>
      <c r="D595" s="630" t="s">
        <v>1693</v>
      </c>
      <c r="E595" s="630" t="s">
        <v>268</v>
      </c>
      <c r="F595" s="829">
        <v>7.05</v>
      </c>
      <c r="G595" s="830">
        <v>0</v>
      </c>
      <c r="H595" s="831">
        <v>7.05</v>
      </c>
      <c r="I595" s="846"/>
      <c r="J595" s="846"/>
      <c r="K595" s="846"/>
      <c r="L595" s="846"/>
      <c r="M595" s="846"/>
      <c r="N595" s="846"/>
      <c r="O595" s="846"/>
      <c r="P595" s="846"/>
      <c r="Q595" s="846"/>
      <c r="R595" s="846"/>
      <c r="S595" s="846"/>
      <c r="T595" s="846"/>
    </row>
    <row r="596" spans="2:20" ht="38.25" hidden="1">
      <c r="B596" s="828" t="s">
        <v>6531</v>
      </c>
      <c r="C596" s="828">
        <v>91032</v>
      </c>
      <c r="D596" s="630" t="s">
        <v>674</v>
      </c>
      <c r="E596" s="630" t="s">
        <v>268</v>
      </c>
      <c r="F596" s="829">
        <v>34.39</v>
      </c>
      <c r="G596" s="830">
        <v>20.14</v>
      </c>
      <c r="H596" s="831">
        <v>54.53</v>
      </c>
      <c r="I596" s="846"/>
      <c r="J596" s="846"/>
      <c r="K596" s="846"/>
      <c r="L596" s="846"/>
      <c r="M596" s="846"/>
      <c r="N596" s="846"/>
      <c r="O596" s="846"/>
      <c r="P596" s="846"/>
      <c r="Q596" s="846"/>
      <c r="R596" s="846"/>
      <c r="S596" s="846"/>
      <c r="T596" s="846"/>
    </row>
    <row r="597" spans="2:20" ht="38.25" hidden="1">
      <c r="B597" s="828" t="s">
        <v>6531</v>
      </c>
      <c r="C597" s="828">
        <v>91278</v>
      </c>
      <c r="D597" s="630" t="s">
        <v>675</v>
      </c>
      <c r="E597" s="630" t="s">
        <v>268</v>
      </c>
      <c r="F597" s="829">
        <v>0.57999999999999996</v>
      </c>
      <c r="G597" s="830">
        <v>0</v>
      </c>
      <c r="H597" s="831">
        <v>0.57999999999999996</v>
      </c>
      <c r="I597" s="846"/>
      <c r="J597" s="846"/>
      <c r="K597" s="846"/>
      <c r="L597" s="846"/>
      <c r="M597" s="846"/>
      <c r="N597" s="846"/>
      <c r="O597" s="846"/>
      <c r="P597" s="846"/>
      <c r="Q597" s="846"/>
      <c r="R597" s="846"/>
      <c r="S597" s="846"/>
      <c r="T597" s="846"/>
    </row>
    <row r="598" spans="2:20" ht="38.25" hidden="1">
      <c r="B598" s="828" t="s">
        <v>6531</v>
      </c>
      <c r="C598" s="828">
        <v>91285</v>
      </c>
      <c r="D598" s="630" t="s">
        <v>2095</v>
      </c>
      <c r="E598" s="630" t="s">
        <v>268</v>
      </c>
      <c r="F598" s="829">
        <v>0.75</v>
      </c>
      <c r="G598" s="830">
        <v>0</v>
      </c>
      <c r="H598" s="831">
        <v>0.75</v>
      </c>
      <c r="I598" s="846"/>
      <c r="J598" s="846"/>
      <c r="K598" s="846"/>
      <c r="L598" s="846"/>
      <c r="M598" s="846"/>
      <c r="N598" s="846"/>
      <c r="O598" s="846"/>
      <c r="P598" s="846"/>
      <c r="Q598" s="846"/>
      <c r="R598" s="846"/>
      <c r="S598" s="846"/>
      <c r="T598" s="846"/>
    </row>
    <row r="599" spans="2:20" ht="51" hidden="1">
      <c r="B599" s="828" t="s">
        <v>6531</v>
      </c>
      <c r="C599" s="828">
        <v>91387</v>
      </c>
      <c r="D599" s="630" t="s">
        <v>676</v>
      </c>
      <c r="E599" s="630" t="s">
        <v>268</v>
      </c>
      <c r="F599" s="829">
        <v>39.909999999999997</v>
      </c>
      <c r="G599" s="830">
        <v>18.989999999999998</v>
      </c>
      <c r="H599" s="831">
        <v>58.9</v>
      </c>
      <c r="I599" s="846"/>
      <c r="J599" s="846"/>
      <c r="K599" s="846"/>
      <c r="L599" s="846"/>
      <c r="M599" s="846"/>
      <c r="N599" s="846"/>
      <c r="O599" s="846"/>
      <c r="P599" s="846"/>
      <c r="Q599" s="846"/>
      <c r="R599" s="846"/>
      <c r="S599" s="846"/>
      <c r="T599" s="846"/>
    </row>
    <row r="600" spans="2:20" ht="51" hidden="1">
      <c r="B600" s="828" t="s">
        <v>6531</v>
      </c>
      <c r="C600" s="828">
        <v>91395</v>
      </c>
      <c r="D600" s="630" t="s">
        <v>472</v>
      </c>
      <c r="E600" s="630" t="s">
        <v>268</v>
      </c>
      <c r="F600" s="829">
        <v>28.03</v>
      </c>
      <c r="G600" s="830">
        <v>20.14</v>
      </c>
      <c r="H600" s="831">
        <v>48.17</v>
      </c>
      <c r="I600" s="846"/>
      <c r="J600" s="846"/>
      <c r="K600" s="846"/>
      <c r="L600" s="846"/>
      <c r="M600" s="846"/>
      <c r="N600" s="846"/>
      <c r="O600" s="846"/>
      <c r="P600" s="846"/>
      <c r="Q600" s="846"/>
      <c r="R600" s="846"/>
      <c r="S600" s="846"/>
      <c r="T600" s="846"/>
    </row>
    <row r="601" spans="2:20" ht="51" hidden="1">
      <c r="B601" s="828" t="s">
        <v>6531</v>
      </c>
      <c r="C601" s="828">
        <v>91486</v>
      </c>
      <c r="D601" s="630" t="s">
        <v>1809</v>
      </c>
      <c r="E601" s="630" t="s">
        <v>268</v>
      </c>
      <c r="F601" s="829">
        <v>36.85</v>
      </c>
      <c r="G601" s="830">
        <v>20.14</v>
      </c>
      <c r="H601" s="831">
        <v>56.99</v>
      </c>
      <c r="I601" s="846"/>
      <c r="J601" s="846"/>
      <c r="K601" s="846"/>
      <c r="L601" s="846"/>
      <c r="M601" s="846"/>
      <c r="N601" s="846"/>
      <c r="O601" s="846"/>
      <c r="P601" s="846"/>
      <c r="Q601" s="846"/>
      <c r="R601" s="846"/>
      <c r="S601" s="846"/>
      <c r="T601" s="846"/>
    </row>
    <row r="602" spans="2:20" ht="25.5" hidden="1">
      <c r="B602" s="828" t="s">
        <v>6531</v>
      </c>
      <c r="C602" s="828">
        <v>91534</v>
      </c>
      <c r="D602" s="630" t="s">
        <v>677</v>
      </c>
      <c r="E602" s="630" t="s">
        <v>268</v>
      </c>
      <c r="F602" s="829">
        <v>6.44</v>
      </c>
      <c r="G602" s="830">
        <v>24.22</v>
      </c>
      <c r="H602" s="831">
        <v>30.66</v>
      </c>
      <c r="I602" s="846"/>
      <c r="J602" s="846"/>
      <c r="K602" s="846"/>
      <c r="L602" s="846"/>
      <c r="M602" s="846"/>
      <c r="N602" s="846"/>
      <c r="O602" s="846"/>
      <c r="P602" s="846"/>
      <c r="Q602" s="846"/>
      <c r="R602" s="846"/>
      <c r="S602" s="846"/>
      <c r="T602" s="846"/>
    </row>
    <row r="603" spans="2:20" ht="51" hidden="1">
      <c r="B603" s="828" t="s">
        <v>6531</v>
      </c>
      <c r="C603" s="828">
        <v>91635</v>
      </c>
      <c r="D603" s="630" t="s">
        <v>678</v>
      </c>
      <c r="E603" s="630" t="s">
        <v>268</v>
      </c>
      <c r="F603" s="829">
        <v>30.619999999999997</v>
      </c>
      <c r="G603" s="830">
        <v>23.59</v>
      </c>
      <c r="H603" s="831">
        <v>54.21</v>
      </c>
      <c r="I603" s="846"/>
      <c r="J603" s="846"/>
      <c r="K603" s="846"/>
      <c r="L603" s="846"/>
      <c r="M603" s="846"/>
      <c r="N603" s="846"/>
      <c r="O603" s="846"/>
      <c r="P603" s="846"/>
      <c r="Q603" s="846"/>
      <c r="R603" s="846"/>
      <c r="S603" s="846"/>
      <c r="T603" s="846"/>
    </row>
    <row r="604" spans="2:20" ht="51" hidden="1">
      <c r="B604" s="828" t="s">
        <v>6531</v>
      </c>
      <c r="C604" s="828">
        <v>91646</v>
      </c>
      <c r="D604" s="630" t="s">
        <v>1710</v>
      </c>
      <c r="E604" s="630" t="s">
        <v>268</v>
      </c>
      <c r="F604" s="829">
        <v>46.239999999999995</v>
      </c>
      <c r="G604" s="830">
        <v>26.9</v>
      </c>
      <c r="H604" s="831">
        <v>73.14</v>
      </c>
      <c r="I604" s="846"/>
      <c r="J604" s="846"/>
      <c r="K604" s="846"/>
      <c r="L604" s="846"/>
      <c r="M604" s="846"/>
      <c r="N604" s="846"/>
      <c r="O604" s="846"/>
      <c r="P604" s="846"/>
      <c r="Q604" s="846"/>
      <c r="R604" s="846"/>
      <c r="S604" s="846"/>
      <c r="T604" s="846"/>
    </row>
    <row r="605" spans="2:20" ht="25.5" hidden="1">
      <c r="B605" s="828" t="s">
        <v>6531</v>
      </c>
      <c r="C605" s="828">
        <v>91693</v>
      </c>
      <c r="D605" s="630" t="s">
        <v>1615</v>
      </c>
      <c r="E605" s="630" t="s">
        <v>268</v>
      </c>
      <c r="F605" s="829">
        <v>5.66</v>
      </c>
      <c r="G605" s="830">
        <v>24.22</v>
      </c>
      <c r="H605" s="831">
        <v>29.88</v>
      </c>
      <c r="I605" s="846"/>
      <c r="J605" s="846"/>
      <c r="K605" s="846"/>
      <c r="L605" s="846"/>
      <c r="M605" s="846"/>
      <c r="N605" s="846"/>
      <c r="O605" s="846"/>
      <c r="P605" s="846"/>
      <c r="Q605" s="846"/>
      <c r="R605" s="846"/>
      <c r="S605" s="846"/>
      <c r="T605" s="846"/>
    </row>
    <row r="606" spans="2:20" ht="25.5" hidden="1">
      <c r="B606" s="828" t="s">
        <v>6531</v>
      </c>
      <c r="C606" s="828">
        <v>92044</v>
      </c>
      <c r="D606" s="630" t="s">
        <v>1799</v>
      </c>
      <c r="E606" s="630" t="s">
        <v>268</v>
      </c>
      <c r="F606" s="829">
        <v>7.59</v>
      </c>
      <c r="G606" s="830">
        <v>0</v>
      </c>
      <c r="H606" s="831">
        <v>7.59</v>
      </c>
      <c r="I606" s="846"/>
      <c r="J606" s="846"/>
      <c r="K606" s="846"/>
      <c r="L606" s="846"/>
      <c r="M606" s="846"/>
      <c r="N606" s="846"/>
      <c r="O606" s="846"/>
      <c r="P606" s="846"/>
      <c r="Q606" s="846"/>
      <c r="R606" s="846"/>
      <c r="S606" s="846"/>
      <c r="T606" s="846"/>
    </row>
    <row r="607" spans="2:20" ht="51" hidden="1">
      <c r="B607" s="828" t="s">
        <v>6531</v>
      </c>
      <c r="C607" s="828">
        <v>92107</v>
      </c>
      <c r="D607" s="630" t="s">
        <v>1714</v>
      </c>
      <c r="E607" s="630" t="s">
        <v>268</v>
      </c>
      <c r="F607" s="829">
        <v>50.42</v>
      </c>
      <c r="G607" s="830">
        <v>20.14</v>
      </c>
      <c r="H607" s="831">
        <v>70.56</v>
      </c>
      <c r="I607" s="846"/>
      <c r="J607" s="846"/>
      <c r="K607" s="846"/>
      <c r="L607" s="846"/>
      <c r="M607" s="846"/>
      <c r="N607" s="846"/>
      <c r="O607" s="846"/>
      <c r="P607" s="846"/>
      <c r="Q607" s="846"/>
      <c r="R607" s="846"/>
      <c r="S607" s="846"/>
      <c r="T607" s="846"/>
    </row>
    <row r="608" spans="2:20" ht="25.5" hidden="1">
      <c r="B608" s="828" t="s">
        <v>6531</v>
      </c>
      <c r="C608" s="828">
        <v>92113</v>
      </c>
      <c r="D608" s="630" t="s">
        <v>1746</v>
      </c>
      <c r="E608" s="630" t="s">
        <v>268</v>
      </c>
      <c r="F608" s="829">
        <v>0.99</v>
      </c>
      <c r="G608" s="830">
        <v>0</v>
      </c>
      <c r="H608" s="831">
        <v>0.99</v>
      </c>
      <c r="I608" s="846"/>
      <c r="J608" s="846"/>
      <c r="K608" s="846"/>
      <c r="L608" s="846"/>
      <c r="M608" s="846"/>
      <c r="N608" s="846"/>
      <c r="O608" s="846"/>
      <c r="P608" s="846"/>
      <c r="Q608" s="846"/>
      <c r="R608" s="846"/>
      <c r="S608" s="846"/>
      <c r="T608" s="846"/>
    </row>
    <row r="609" spans="2:20" hidden="1">
      <c r="B609" s="828" t="s">
        <v>6531</v>
      </c>
      <c r="C609" s="828">
        <v>92119</v>
      </c>
      <c r="D609" s="630" t="s">
        <v>2043</v>
      </c>
      <c r="E609" s="630" t="s">
        <v>268</v>
      </c>
      <c r="F609" s="829">
        <v>0.11</v>
      </c>
      <c r="G609" s="830">
        <v>0</v>
      </c>
      <c r="H609" s="831">
        <v>0.11</v>
      </c>
      <c r="I609" s="846"/>
      <c r="J609" s="846"/>
      <c r="K609" s="846"/>
      <c r="L609" s="846"/>
      <c r="M609" s="846"/>
      <c r="N609" s="846"/>
      <c r="O609" s="846"/>
      <c r="P609" s="846"/>
      <c r="Q609" s="846"/>
      <c r="R609" s="846"/>
      <c r="S609" s="846"/>
      <c r="T609" s="846"/>
    </row>
    <row r="610" spans="2:20" ht="25.5" hidden="1">
      <c r="B610" s="828" t="s">
        <v>6531</v>
      </c>
      <c r="C610" s="828">
        <v>92139</v>
      </c>
      <c r="D610" s="630" t="s">
        <v>1995</v>
      </c>
      <c r="E610" s="630" t="s">
        <v>268</v>
      </c>
      <c r="F610" s="829">
        <v>21.15</v>
      </c>
      <c r="G610" s="830">
        <v>21.97</v>
      </c>
      <c r="H610" s="831">
        <v>43.12</v>
      </c>
      <c r="I610" s="846"/>
      <c r="J610" s="846"/>
      <c r="K610" s="846"/>
      <c r="L610" s="846"/>
      <c r="M610" s="846"/>
      <c r="N610" s="846"/>
      <c r="O610" s="846"/>
      <c r="P610" s="846"/>
      <c r="Q610" s="846"/>
      <c r="R610" s="846"/>
      <c r="S610" s="846"/>
      <c r="T610" s="846"/>
    </row>
    <row r="611" spans="2:20" ht="25.5" hidden="1">
      <c r="B611" s="828" t="s">
        <v>6531</v>
      </c>
      <c r="C611" s="828">
        <v>92146</v>
      </c>
      <c r="D611" s="630" t="s">
        <v>2185</v>
      </c>
      <c r="E611" s="630" t="s">
        <v>268</v>
      </c>
      <c r="F611" s="829">
        <v>11.280000000000001</v>
      </c>
      <c r="G611" s="830">
        <v>21.97</v>
      </c>
      <c r="H611" s="831">
        <v>33.25</v>
      </c>
      <c r="I611" s="846"/>
      <c r="J611" s="846"/>
      <c r="K611" s="846"/>
      <c r="L611" s="846"/>
      <c r="M611" s="846"/>
      <c r="N611" s="846"/>
      <c r="O611" s="846"/>
      <c r="P611" s="846"/>
      <c r="Q611" s="846"/>
      <c r="R611" s="846"/>
      <c r="S611" s="846"/>
      <c r="T611" s="846"/>
    </row>
    <row r="612" spans="2:20" ht="51" hidden="1">
      <c r="B612" s="828" t="s">
        <v>6531</v>
      </c>
      <c r="C612" s="828">
        <v>92243</v>
      </c>
      <c r="D612" s="630" t="s">
        <v>1715</v>
      </c>
      <c r="E612" s="630" t="s">
        <v>268</v>
      </c>
      <c r="F612" s="829">
        <v>35.31</v>
      </c>
      <c r="G612" s="830">
        <v>26.9</v>
      </c>
      <c r="H612" s="831">
        <v>62.21</v>
      </c>
      <c r="I612" s="846"/>
      <c r="J612" s="846"/>
      <c r="K612" s="846"/>
      <c r="L612" s="846"/>
      <c r="M612" s="846"/>
      <c r="N612" s="846"/>
      <c r="O612" s="846"/>
      <c r="P612" s="846"/>
      <c r="Q612" s="846"/>
      <c r="R612" s="846"/>
      <c r="S612" s="846"/>
      <c r="T612" s="846"/>
    </row>
    <row r="613" spans="2:20" ht="25.5" hidden="1">
      <c r="B613" s="828" t="s">
        <v>6531</v>
      </c>
      <c r="C613" s="828">
        <v>92717</v>
      </c>
      <c r="D613" s="630" t="s">
        <v>1872</v>
      </c>
      <c r="E613" s="630" t="s">
        <v>268</v>
      </c>
      <c r="F613" s="829">
        <v>0.2</v>
      </c>
      <c r="G613" s="830">
        <v>0</v>
      </c>
      <c r="H613" s="831">
        <v>0.2</v>
      </c>
      <c r="I613" s="846"/>
      <c r="J613" s="846"/>
      <c r="K613" s="846"/>
      <c r="L613" s="846"/>
      <c r="M613" s="846"/>
      <c r="N613" s="846"/>
      <c r="O613" s="846"/>
      <c r="P613" s="846"/>
      <c r="Q613" s="846"/>
      <c r="R613" s="846"/>
      <c r="S613" s="846"/>
      <c r="T613" s="846"/>
    </row>
    <row r="614" spans="2:20" ht="25.5" hidden="1">
      <c r="B614" s="828" t="s">
        <v>6531</v>
      </c>
      <c r="C614" s="828">
        <v>92961</v>
      </c>
      <c r="D614" s="630" t="s">
        <v>1736</v>
      </c>
      <c r="E614" s="630" t="s">
        <v>268</v>
      </c>
      <c r="F614" s="829">
        <v>5.04</v>
      </c>
      <c r="G614" s="830">
        <v>0</v>
      </c>
      <c r="H614" s="831">
        <v>5.04</v>
      </c>
      <c r="I614" s="846"/>
      <c r="J614" s="846"/>
      <c r="K614" s="846"/>
      <c r="L614" s="846"/>
      <c r="M614" s="846"/>
      <c r="N614" s="846"/>
      <c r="O614" s="846"/>
      <c r="P614" s="846"/>
      <c r="Q614" s="846"/>
      <c r="R614" s="846"/>
      <c r="S614" s="846"/>
      <c r="T614" s="846"/>
    </row>
    <row r="615" spans="2:20" ht="25.5" hidden="1">
      <c r="B615" s="828" t="s">
        <v>6531</v>
      </c>
      <c r="C615" s="828">
        <v>92967</v>
      </c>
      <c r="D615" s="630" t="s">
        <v>1752</v>
      </c>
      <c r="E615" s="630" t="s">
        <v>268</v>
      </c>
      <c r="F615" s="829">
        <v>6.96</v>
      </c>
      <c r="G615" s="830">
        <v>19.43</v>
      </c>
      <c r="H615" s="831">
        <v>26.39</v>
      </c>
      <c r="I615" s="846"/>
      <c r="J615" s="846"/>
      <c r="K615" s="846"/>
      <c r="L615" s="846"/>
      <c r="M615" s="846"/>
      <c r="N615" s="846"/>
      <c r="O615" s="846"/>
      <c r="P615" s="846"/>
      <c r="Q615" s="846"/>
      <c r="R615" s="846"/>
      <c r="S615" s="846"/>
      <c r="T615" s="846"/>
    </row>
    <row r="616" spans="2:20" ht="51" hidden="1">
      <c r="B616" s="828" t="s">
        <v>6531</v>
      </c>
      <c r="C616" s="828">
        <v>93225</v>
      </c>
      <c r="D616" s="630" t="s">
        <v>2220</v>
      </c>
      <c r="E616" s="630" t="s">
        <v>268</v>
      </c>
      <c r="F616" s="829">
        <v>434.06</v>
      </c>
      <c r="G616" s="830">
        <v>24.22</v>
      </c>
      <c r="H616" s="831">
        <v>458.28</v>
      </c>
      <c r="I616" s="846"/>
      <c r="J616" s="846"/>
      <c r="K616" s="846"/>
      <c r="L616" s="846"/>
      <c r="M616" s="846"/>
      <c r="N616" s="846"/>
      <c r="O616" s="846"/>
      <c r="P616" s="846"/>
      <c r="Q616" s="846"/>
      <c r="R616" s="846"/>
      <c r="S616" s="846"/>
      <c r="T616" s="846"/>
    </row>
    <row r="617" spans="2:20" ht="38.25" hidden="1">
      <c r="B617" s="828" t="s">
        <v>6531</v>
      </c>
      <c r="C617" s="828">
        <v>93234</v>
      </c>
      <c r="D617" s="630" t="s">
        <v>2069</v>
      </c>
      <c r="E617" s="630" t="s">
        <v>268</v>
      </c>
      <c r="F617" s="829">
        <v>0.42</v>
      </c>
      <c r="G617" s="830">
        <v>0</v>
      </c>
      <c r="H617" s="831">
        <v>0.42</v>
      </c>
      <c r="I617" s="846"/>
      <c r="J617" s="846"/>
      <c r="K617" s="846"/>
      <c r="L617" s="846"/>
      <c r="M617" s="846"/>
      <c r="N617" s="846"/>
      <c r="O617" s="846"/>
      <c r="P617" s="846"/>
      <c r="Q617" s="846"/>
      <c r="R617" s="846"/>
      <c r="S617" s="846"/>
      <c r="T617" s="846"/>
    </row>
    <row r="618" spans="2:20" ht="38.25" hidden="1">
      <c r="B618" s="828" t="s">
        <v>6531</v>
      </c>
      <c r="C618" s="828">
        <v>93244</v>
      </c>
      <c r="D618" s="630" t="s">
        <v>2199</v>
      </c>
      <c r="E618" s="630" t="s">
        <v>268</v>
      </c>
      <c r="F618" s="829">
        <v>40.949999999999996</v>
      </c>
      <c r="G618" s="830">
        <v>20.52</v>
      </c>
      <c r="H618" s="831">
        <v>61.47</v>
      </c>
      <c r="I618" s="846"/>
      <c r="J618" s="846"/>
      <c r="K618" s="846"/>
      <c r="L618" s="846"/>
      <c r="M618" s="846"/>
      <c r="N618" s="846"/>
      <c r="O618" s="846"/>
      <c r="P618" s="846"/>
      <c r="Q618" s="846"/>
      <c r="R618" s="846"/>
      <c r="S618" s="846"/>
      <c r="T618" s="846"/>
    </row>
    <row r="619" spans="2:20" ht="25.5" hidden="1">
      <c r="B619" s="828" t="s">
        <v>6531</v>
      </c>
      <c r="C619" s="828">
        <v>93274</v>
      </c>
      <c r="D619" s="630" t="s">
        <v>2078</v>
      </c>
      <c r="E619" s="630" t="s">
        <v>268</v>
      </c>
      <c r="F619" s="829">
        <v>56.01</v>
      </c>
      <c r="G619" s="830">
        <v>55.99</v>
      </c>
      <c r="H619" s="831">
        <v>112</v>
      </c>
      <c r="I619" s="846"/>
      <c r="J619" s="846"/>
      <c r="K619" s="846"/>
      <c r="L619" s="846"/>
      <c r="M619" s="846"/>
      <c r="N619" s="846"/>
      <c r="O619" s="846"/>
      <c r="P619" s="846"/>
      <c r="Q619" s="846"/>
      <c r="R619" s="846"/>
      <c r="S619" s="846"/>
      <c r="T619" s="846"/>
    </row>
    <row r="620" spans="2:20" ht="25.5" hidden="1">
      <c r="B620" s="828" t="s">
        <v>6531</v>
      </c>
      <c r="C620" s="828">
        <v>93282</v>
      </c>
      <c r="D620" s="630" t="s">
        <v>2071</v>
      </c>
      <c r="E620" s="630" t="s">
        <v>268</v>
      </c>
      <c r="F620" s="829">
        <v>5.92</v>
      </c>
      <c r="G620" s="830">
        <v>22.7</v>
      </c>
      <c r="H620" s="831">
        <v>28.62</v>
      </c>
      <c r="I620" s="846"/>
      <c r="J620" s="846"/>
      <c r="K620" s="846"/>
      <c r="L620" s="846"/>
      <c r="M620" s="846"/>
      <c r="N620" s="846"/>
      <c r="O620" s="846"/>
      <c r="P620" s="846"/>
      <c r="Q620" s="846"/>
      <c r="R620" s="846"/>
      <c r="S620" s="846"/>
      <c r="T620" s="846"/>
    </row>
    <row r="621" spans="2:20" ht="25.5" hidden="1">
      <c r="B621" s="828" t="s">
        <v>6531</v>
      </c>
      <c r="C621" s="828">
        <v>93288</v>
      </c>
      <c r="D621" s="630" t="s">
        <v>1989</v>
      </c>
      <c r="E621" s="630" t="s">
        <v>268</v>
      </c>
      <c r="F621" s="829">
        <v>130.88</v>
      </c>
      <c r="G621" s="830">
        <v>55.99</v>
      </c>
      <c r="H621" s="831">
        <v>186.87</v>
      </c>
      <c r="I621" s="846"/>
      <c r="J621" s="846"/>
      <c r="K621" s="846"/>
      <c r="L621" s="846"/>
      <c r="M621" s="846"/>
      <c r="N621" s="846"/>
      <c r="O621" s="846"/>
      <c r="P621" s="846"/>
      <c r="Q621" s="846"/>
      <c r="R621" s="846"/>
      <c r="S621" s="846"/>
      <c r="T621" s="846"/>
    </row>
    <row r="622" spans="2:20" ht="51" hidden="1">
      <c r="B622" s="828" t="s">
        <v>6531</v>
      </c>
      <c r="C622" s="828">
        <v>93403</v>
      </c>
      <c r="D622" s="630" t="s">
        <v>1980</v>
      </c>
      <c r="E622" s="630" t="s">
        <v>268</v>
      </c>
      <c r="F622" s="829">
        <v>34.51</v>
      </c>
      <c r="G622" s="830">
        <v>23.59</v>
      </c>
      <c r="H622" s="831">
        <v>58.1</v>
      </c>
      <c r="I622" s="846"/>
      <c r="J622" s="846"/>
      <c r="K622" s="846"/>
      <c r="L622" s="846"/>
      <c r="M622" s="846"/>
      <c r="N622" s="846"/>
      <c r="O622" s="846"/>
      <c r="P622" s="846"/>
      <c r="Q622" s="846"/>
      <c r="R622" s="846"/>
      <c r="S622" s="846"/>
      <c r="T622" s="846"/>
    </row>
    <row r="623" spans="2:20" ht="51" hidden="1">
      <c r="B623" s="828" t="s">
        <v>6531</v>
      </c>
      <c r="C623" s="828">
        <v>93409</v>
      </c>
      <c r="D623" s="630" t="s">
        <v>3745</v>
      </c>
      <c r="E623" s="630" t="s">
        <v>268</v>
      </c>
      <c r="F623" s="829">
        <v>11.77</v>
      </c>
      <c r="G623" s="830">
        <v>22.05</v>
      </c>
      <c r="H623" s="831">
        <v>33.82</v>
      </c>
      <c r="I623" s="846"/>
      <c r="J623" s="846"/>
      <c r="K623" s="846"/>
      <c r="L623" s="846"/>
      <c r="M623" s="846"/>
      <c r="N623" s="846"/>
      <c r="O623" s="846"/>
      <c r="P623" s="846"/>
      <c r="Q623" s="846"/>
      <c r="R623" s="846"/>
      <c r="S623" s="846"/>
      <c r="T623" s="846"/>
    </row>
    <row r="624" spans="2:20" ht="25.5" hidden="1">
      <c r="B624" s="828" t="s">
        <v>6531</v>
      </c>
      <c r="C624" s="828">
        <v>93416</v>
      </c>
      <c r="D624" s="630" t="s">
        <v>1950</v>
      </c>
      <c r="E624" s="630" t="s">
        <v>268</v>
      </c>
      <c r="F624" s="829">
        <v>0.28000000000000003</v>
      </c>
      <c r="G624" s="830">
        <v>0</v>
      </c>
      <c r="H624" s="831">
        <v>0.28000000000000003</v>
      </c>
      <c r="I624" s="846"/>
      <c r="J624" s="846"/>
      <c r="K624" s="846"/>
      <c r="L624" s="846"/>
      <c r="M624" s="846"/>
      <c r="N624" s="846"/>
      <c r="O624" s="846"/>
      <c r="P624" s="846"/>
      <c r="Q624" s="846"/>
      <c r="R624" s="846"/>
      <c r="S624" s="846"/>
      <c r="T624" s="846"/>
    </row>
    <row r="625" spans="2:20" ht="25.5" hidden="1">
      <c r="B625" s="828" t="s">
        <v>6531</v>
      </c>
      <c r="C625" s="828">
        <v>93422</v>
      </c>
      <c r="D625" s="630" t="s">
        <v>2162</v>
      </c>
      <c r="E625" s="630" t="s">
        <v>268</v>
      </c>
      <c r="F625" s="829">
        <v>3.82</v>
      </c>
      <c r="G625" s="830">
        <v>0</v>
      </c>
      <c r="H625" s="831">
        <v>3.82</v>
      </c>
      <c r="I625" s="846"/>
      <c r="J625" s="846"/>
      <c r="K625" s="846"/>
      <c r="L625" s="846"/>
      <c r="M625" s="846"/>
      <c r="N625" s="846"/>
      <c r="O625" s="846"/>
      <c r="P625" s="846"/>
      <c r="Q625" s="846"/>
      <c r="R625" s="846"/>
      <c r="S625" s="846"/>
      <c r="T625" s="846"/>
    </row>
    <row r="626" spans="2:20" ht="25.5" hidden="1">
      <c r="B626" s="828" t="s">
        <v>6531</v>
      </c>
      <c r="C626" s="828">
        <v>93428</v>
      </c>
      <c r="D626" s="630" t="s">
        <v>2163</v>
      </c>
      <c r="E626" s="630" t="s">
        <v>268</v>
      </c>
      <c r="F626" s="829">
        <v>5.4</v>
      </c>
      <c r="G626" s="830">
        <v>0</v>
      </c>
      <c r="H626" s="831">
        <v>5.4</v>
      </c>
      <c r="I626" s="846"/>
      <c r="J626" s="846"/>
      <c r="K626" s="846"/>
      <c r="L626" s="846"/>
      <c r="M626" s="846"/>
      <c r="N626" s="846"/>
      <c r="O626" s="846"/>
      <c r="P626" s="846"/>
      <c r="Q626" s="846"/>
      <c r="R626" s="846"/>
      <c r="S626" s="846"/>
      <c r="T626" s="846"/>
    </row>
    <row r="627" spans="2:20" ht="25.5" hidden="1">
      <c r="B627" s="828" t="s">
        <v>6531</v>
      </c>
      <c r="C627" s="828">
        <v>93434</v>
      </c>
      <c r="D627" s="630" t="s">
        <v>2048</v>
      </c>
      <c r="E627" s="630" t="s">
        <v>268</v>
      </c>
      <c r="F627" s="829">
        <v>156.76</v>
      </c>
      <c r="G627" s="830">
        <v>88.98</v>
      </c>
      <c r="H627" s="831">
        <v>245.74</v>
      </c>
      <c r="I627" s="846"/>
      <c r="J627" s="846"/>
      <c r="K627" s="846"/>
      <c r="L627" s="846"/>
      <c r="M627" s="846"/>
      <c r="N627" s="846"/>
      <c r="O627" s="846"/>
      <c r="P627" s="846"/>
      <c r="Q627" s="846"/>
      <c r="R627" s="846"/>
      <c r="S627" s="846"/>
      <c r="T627" s="846"/>
    </row>
    <row r="628" spans="2:20" ht="25.5" hidden="1">
      <c r="B628" s="828" t="s">
        <v>6531</v>
      </c>
      <c r="C628" s="828">
        <v>93440</v>
      </c>
      <c r="D628" s="630" t="s">
        <v>2054</v>
      </c>
      <c r="E628" s="630" t="s">
        <v>268</v>
      </c>
      <c r="F628" s="829">
        <v>38.6</v>
      </c>
      <c r="G628" s="830">
        <v>88.98</v>
      </c>
      <c r="H628" s="831">
        <v>127.58</v>
      </c>
      <c r="I628" s="846"/>
      <c r="J628" s="846"/>
      <c r="K628" s="846"/>
      <c r="L628" s="846"/>
      <c r="M628" s="846"/>
      <c r="N628" s="846"/>
      <c r="O628" s="846"/>
      <c r="P628" s="846"/>
      <c r="Q628" s="846"/>
      <c r="R628" s="846"/>
      <c r="S628" s="846"/>
      <c r="T628" s="846"/>
    </row>
    <row r="629" spans="2:20" ht="25.5" hidden="1">
      <c r="B629" s="828" t="s">
        <v>6531</v>
      </c>
      <c r="C629" s="828">
        <v>95122</v>
      </c>
      <c r="D629" s="630" t="s">
        <v>2211</v>
      </c>
      <c r="E629" s="630" t="s">
        <v>268</v>
      </c>
      <c r="F629" s="829">
        <v>103.97999999999999</v>
      </c>
      <c r="G629" s="830">
        <v>88.98</v>
      </c>
      <c r="H629" s="831">
        <v>192.96</v>
      </c>
      <c r="I629" s="846"/>
      <c r="J629" s="846"/>
      <c r="K629" s="846"/>
      <c r="L629" s="846"/>
      <c r="M629" s="846"/>
      <c r="N629" s="846"/>
      <c r="O629" s="846"/>
      <c r="P629" s="846"/>
      <c r="Q629" s="846"/>
      <c r="R629" s="846"/>
      <c r="S629" s="846"/>
      <c r="T629" s="846"/>
    </row>
    <row r="630" spans="2:20" ht="25.5" hidden="1">
      <c r="B630" s="828" t="s">
        <v>6531</v>
      </c>
      <c r="C630" s="828">
        <v>95128</v>
      </c>
      <c r="D630" s="630" t="s">
        <v>1800</v>
      </c>
      <c r="E630" s="630" t="s">
        <v>268</v>
      </c>
      <c r="F630" s="829">
        <v>27.509999999999998</v>
      </c>
      <c r="G630" s="830">
        <v>24.22</v>
      </c>
      <c r="H630" s="831">
        <v>51.73</v>
      </c>
      <c r="I630" s="846"/>
      <c r="J630" s="846"/>
      <c r="K630" s="846"/>
      <c r="L630" s="846"/>
      <c r="M630" s="846"/>
      <c r="N630" s="846"/>
      <c r="O630" s="846"/>
      <c r="P630" s="846"/>
      <c r="Q630" s="846"/>
      <c r="R630" s="846"/>
      <c r="S630" s="846"/>
      <c r="T630" s="846"/>
    </row>
    <row r="631" spans="2:20" ht="25.5" hidden="1">
      <c r="B631" s="828" t="s">
        <v>6531</v>
      </c>
      <c r="C631" s="828">
        <v>95140</v>
      </c>
      <c r="D631" s="630" t="s">
        <v>2180</v>
      </c>
      <c r="E631" s="630" t="s">
        <v>268</v>
      </c>
      <c r="F631" s="829">
        <v>0.03</v>
      </c>
      <c r="G631" s="830">
        <v>0</v>
      </c>
      <c r="H631" s="831">
        <v>0.03</v>
      </c>
      <c r="I631" s="846"/>
      <c r="J631" s="846"/>
      <c r="K631" s="846"/>
      <c r="L631" s="846"/>
      <c r="M631" s="846"/>
      <c r="N631" s="846"/>
      <c r="O631" s="846"/>
      <c r="P631" s="846"/>
      <c r="Q631" s="846"/>
      <c r="R631" s="846"/>
      <c r="S631" s="846"/>
      <c r="T631" s="846"/>
    </row>
    <row r="632" spans="2:20" ht="25.5" hidden="1">
      <c r="B632" s="828" t="s">
        <v>6531</v>
      </c>
      <c r="C632" s="828">
        <v>95213</v>
      </c>
      <c r="D632" s="630" t="s">
        <v>2079</v>
      </c>
      <c r="E632" s="630" t="s">
        <v>268</v>
      </c>
      <c r="F632" s="829">
        <v>62.71</v>
      </c>
      <c r="G632" s="830">
        <v>55.99</v>
      </c>
      <c r="H632" s="831">
        <v>118.7</v>
      </c>
      <c r="I632" s="846"/>
      <c r="J632" s="846"/>
      <c r="K632" s="846"/>
      <c r="L632" s="846"/>
      <c r="M632" s="846"/>
      <c r="N632" s="846"/>
      <c r="O632" s="846"/>
      <c r="P632" s="846"/>
      <c r="Q632" s="846"/>
      <c r="R632" s="846"/>
      <c r="S632" s="846"/>
      <c r="T632" s="846"/>
    </row>
    <row r="633" spans="2:20" ht="25.5" hidden="1">
      <c r="B633" s="828" t="s">
        <v>6531</v>
      </c>
      <c r="C633" s="828">
        <v>95259</v>
      </c>
      <c r="D633" s="630" t="s">
        <v>1756</v>
      </c>
      <c r="E633" s="630" t="s">
        <v>268</v>
      </c>
      <c r="F633" s="829">
        <v>6.77</v>
      </c>
      <c r="G633" s="830">
        <v>19.43</v>
      </c>
      <c r="H633" s="831">
        <v>26.2</v>
      </c>
      <c r="I633" s="846"/>
      <c r="J633" s="846"/>
      <c r="K633" s="846"/>
      <c r="L633" s="846"/>
      <c r="M633" s="846"/>
      <c r="N633" s="846"/>
      <c r="O633" s="846"/>
      <c r="P633" s="846"/>
      <c r="Q633" s="846"/>
      <c r="R633" s="846"/>
      <c r="S633" s="846"/>
      <c r="T633" s="846"/>
    </row>
    <row r="634" spans="2:20" ht="25.5" hidden="1">
      <c r="B634" s="828" t="s">
        <v>6531</v>
      </c>
      <c r="C634" s="828">
        <v>95265</v>
      </c>
      <c r="D634" s="630" t="s">
        <v>2021</v>
      </c>
      <c r="E634" s="630" t="s">
        <v>268</v>
      </c>
      <c r="F634" s="829">
        <v>0.73</v>
      </c>
      <c r="G634" s="830">
        <v>0</v>
      </c>
      <c r="H634" s="831">
        <v>0.73</v>
      </c>
      <c r="I634" s="846"/>
      <c r="J634" s="846"/>
      <c r="K634" s="846"/>
      <c r="L634" s="846"/>
      <c r="M634" s="846"/>
      <c r="N634" s="846"/>
      <c r="O634" s="846"/>
      <c r="P634" s="846"/>
      <c r="Q634" s="846"/>
      <c r="R634" s="846"/>
      <c r="S634" s="846"/>
      <c r="T634" s="846"/>
    </row>
    <row r="635" spans="2:20" ht="38.25" hidden="1">
      <c r="B635" s="828" t="s">
        <v>6531</v>
      </c>
      <c r="C635" s="828">
        <v>95271</v>
      </c>
      <c r="D635" s="630" t="s">
        <v>2033</v>
      </c>
      <c r="E635" s="630" t="s">
        <v>268</v>
      </c>
      <c r="F635" s="829">
        <v>0.5</v>
      </c>
      <c r="G635" s="830">
        <v>0</v>
      </c>
      <c r="H635" s="831">
        <v>0.5</v>
      </c>
      <c r="I635" s="846"/>
      <c r="J635" s="846"/>
      <c r="K635" s="846"/>
      <c r="L635" s="846"/>
      <c r="M635" s="846"/>
      <c r="N635" s="846"/>
      <c r="O635" s="846"/>
      <c r="P635" s="846"/>
      <c r="Q635" s="846"/>
      <c r="R635" s="846"/>
      <c r="S635" s="846"/>
      <c r="T635" s="846"/>
    </row>
    <row r="636" spans="2:20" ht="25.5" hidden="1">
      <c r="B636" s="828" t="s">
        <v>6531</v>
      </c>
      <c r="C636" s="828">
        <v>95277</v>
      </c>
      <c r="D636" s="630" t="s">
        <v>1644</v>
      </c>
      <c r="E636" s="630" t="s">
        <v>268</v>
      </c>
      <c r="F636" s="829">
        <v>0.5</v>
      </c>
      <c r="G636" s="830">
        <v>0</v>
      </c>
      <c r="H636" s="831">
        <v>0.5</v>
      </c>
      <c r="I636" s="846"/>
      <c r="J636" s="846"/>
      <c r="K636" s="846"/>
      <c r="L636" s="846"/>
      <c r="M636" s="846"/>
      <c r="N636" s="846"/>
      <c r="O636" s="846"/>
      <c r="P636" s="846"/>
      <c r="Q636" s="846"/>
      <c r="R636" s="846"/>
      <c r="S636" s="846"/>
      <c r="T636" s="846"/>
    </row>
    <row r="637" spans="2:20" ht="25.5" hidden="1">
      <c r="B637" s="828" t="s">
        <v>6531</v>
      </c>
      <c r="C637" s="828">
        <v>95283</v>
      </c>
      <c r="D637" s="630" t="s">
        <v>1783</v>
      </c>
      <c r="E637" s="630" t="s">
        <v>268</v>
      </c>
      <c r="F637" s="829">
        <v>0.6</v>
      </c>
      <c r="G637" s="830">
        <v>0</v>
      </c>
      <c r="H637" s="831">
        <v>0.6</v>
      </c>
      <c r="I637" s="846"/>
      <c r="J637" s="846"/>
      <c r="K637" s="846"/>
      <c r="L637" s="846"/>
      <c r="M637" s="846"/>
      <c r="N637" s="846"/>
      <c r="O637" s="846"/>
      <c r="P637" s="846"/>
      <c r="Q637" s="846"/>
      <c r="R637" s="846"/>
      <c r="S637" s="846"/>
      <c r="T637" s="846"/>
    </row>
    <row r="638" spans="2:20" ht="38.25" hidden="1">
      <c r="B638" s="828" t="s">
        <v>6531</v>
      </c>
      <c r="C638" s="828">
        <v>95621</v>
      </c>
      <c r="D638" s="630" t="s">
        <v>2221</v>
      </c>
      <c r="E638" s="630" t="s">
        <v>268</v>
      </c>
      <c r="F638" s="829">
        <v>6.5600000000000005</v>
      </c>
      <c r="G638" s="830">
        <v>19.43</v>
      </c>
      <c r="H638" s="831">
        <v>25.99</v>
      </c>
      <c r="I638" s="846"/>
      <c r="J638" s="846"/>
      <c r="K638" s="846"/>
      <c r="L638" s="846"/>
      <c r="M638" s="846"/>
      <c r="N638" s="846"/>
      <c r="O638" s="846"/>
      <c r="P638" s="846"/>
      <c r="Q638" s="846"/>
      <c r="R638" s="846"/>
      <c r="S638" s="846"/>
      <c r="T638" s="846"/>
    </row>
    <row r="639" spans="2:20" ht="38.25" hidden="1">
      <c r="B639" s="828" t="s">
        <v>6531</v>
      </c>
      <c r="C639" s="828">
        <v>95632</v>
      </c>
      <c r="D639" s="630" t="s">
        <v>2200</v>
      </c>
      <c r="E639" s="630" t="s">
        <v>268</v>
      </c>
      <c r="F639" s="829">
        <v>56.47</v>
      </c>
      <c r="G639" s="830">
        <v>20.52</v>
      </c>
      <c r="H639" s="831">
        <v>76.989999999999995</v>
      </c>
      <c r="I639" s="846"/>
      <c r="J639" s="846"/>
      <c r="K639" s="846"/>
      <c r="L639" s="846"/>
      <c r="M639" s="846"/>
      <c r="N639" s="846"/>
      <c r="O639" s="846"/>
      <c r="P639" s="846"/>
      <c r="Q639" s="846"/>
      <c r="R639" s="846"/>
      <c r="S639" s="846"/>
      <c r="T639" s="846"/>
    </row>
    <row r="640" spans="2:20" ht="25.5" hidden="1">
      <c r="B640" s="828" t="s">
        <v>6531</v>
      </c>
      <c r="C640" s="828">
        <v>95703</v>
      </c>
      <c r="D640" s="630" t="s">
        <v>2222</v>
      </c>
      <c r="E640" s="630" t="s">
        <v>268</v>
      </c>
      <c r="F640" s="829">
        <v>9.57</v>
      </c>
      <c r="G640" s="830">
        <v>24.22</v>
      </c>
      <c r="H640" s="831">
        <v>33.79</v>
      </c>
      <c r="I640" s="846"/>
      <c r="J640" s="846"/>
      <c r="K640" s="846"/>
      <c r="L640" s="846"/>
      <c r="M640" s="846"/>
      <c r="N640" s="846"/>
      <c r="O640" s="846"/>
      <c r="P640" s="846"/>
      <c r="Q640" s="846"/>
      <c r="R640" s="846"/>
      <c r="S640" s="846"/>
      <c r="T640" s="846"/>
    </row>
    <row r="641" spans="2:20" ht="25.5" hidden="1">
      <c r="B641" s="828" t="s">
        <v>6531</v>
      </c>
      <c r="C641" s="828">
        <v>95709</v>
      </c>
      <c r="D641" s="630" t="s">
        <v>2223</v>
      </c>
      <c r="E641" s="630" t="s">
        <v>268</v>
      </c>
      <c r="F641" s="829">
        <v>63.03</v>
      </c>
      <c r="G641" s="830">
        <v>24.22</v>
      </c>
      <c r="H641" s="831">
        <v>87.25</v>
      </c>
      <c r="I641" s="846"/>
      <c r="J641" s="846"/>
      <c r="K641" s="846"/>
      <c r="L641" s="846"/>
      <c r="M641" s="846"/>
      <c r="N641" s="846"/>
      <c r="O641" s="846"/>
      <c r="P641" s="846"/>
      <c r="Q641" s="846"/>
      <c r="R641" s="846"/>
      <c r="S641" s="846"/>
      <c r="T641" s="846"/>
    </row>
    <row r="642" spans="2:20" ht="38.25" hidden="1">
      <c r="B642" s="828" t="s">
        <v>6531</v>
      </c>
      <c r="C642" s="828">
        <v>95715</v>
      </c>
      <c r="D642" s="630" t="s">
        <v>2014</v>
      </c>
      <c r="E642" s="630" t="s">
        <v>268</v>
      </c>
      <c r="F642" s="829">
        <v>74.55</v>
      </c>
      <c r="G642" s="830">
        <v>24.63</v>
      </c>
      <c r="H642" s="831">
        <v>99.18</v>
      </c>
      <c r="I642" s="846"/>
      <c r="J642" s="846"/>
      <c r="K642" s="846"/>
      <c r="L642" s="846"/>
      <c r="M642" s="846"/>
      <c r="N642" s="846"/>
      <c r="O642" s="846"/>
      <c r="P642" s="846"/>
      <c r="Q642" s="846"/>
      <c r="R642" s="846"/>
      <c r="S642" s="846"/>
      <c r="T642" s="846"/>
    </row>
    <row r="643" spans="2:20" ht="51" hidden="1">
      <c r="B643" s="828" t="s">
        <v>6531</v>
      </c>
      <c r="C643" s="828">
        <v>95721</v>
      </c>
      <c r="D643" s="630" t="s">
        <v>2015</v>
      </c>
      <c r="E643" s="630" t="s">
        <v>268</v>
      </c>
      <c r="F643" s="829">
        <v>71.98</v>
      </c>
      <c r="G643" s="830">
        <v>24.63</v>
      </c>
      <c r="H643" s="831">
        <v>96.61</v>
      </c>
      <c r="I643" s="846"/>
      <c r="J643" s="846"/>
      <c r="K643" s="846"/>
      <c r="L643" s="846"/>
      <c r="M643" s="846"/>
      <c r="N643" s="846"/>
      <c r="O643" s="846"/>
      <c r="P643" s="846"/>
      <c r="Q643" s="846"/>
      <c r="R643" s="846"/>
      <c r="S643" s="846"/>
      <c r="T643" s="846"/>
    </row>
    <row r="644" spans="2:20" ht="25.5" hidden="1">
      <c r="B644" s="828" t="s">
        <v>6531</v>
      </c>
      <c r="C644" s="828">
        <v>95873</v>
      </c>
      <c r="D644" s="630" t="s">
        <v>2177</v>
      </c>
      <c r="E644" s="630" t="s">
        <v>268</v>
      </c>
      <c r="F644" s="829">
        <v>8.64</v>
      </c>
      <c r="G644" s="830">
        <v>0</v>
      </c>
      <c r="H644" s="831">
        <v>8.64</v>
      </c>
      <c r="I644" s="846"/>
      <c r="J644" s="846"/>
      <c r="K644" s="846"/>
      <c r="L644" s="846"/>
      <c r="M644" s="846"/>
      <c r="N644" s="846"/>
      <c r="O644" s="846"/>
      <c r="P644" s="846"/>
      <c r="Q644" s="846"/>
      <c r="R644" s="846"/>
      <c r="S644" s="846"/>
      <c r="T644" s="846"/>
    </row>
    <row r="645" spans="2:20" ht="25.5" hidden="1">
      <c r="B645" s="828" t="s">
        <v>6531</v>
      </c>
      <c r="C645" s="828">
        <v>96014</v>
      </c>
      <c r="D645" s="630" t="s">
        <v>2252</v>
      </c>
      <c r="E645" s="630" t="s">
        <v>268</v>
      </c>
      <c r="F645" s="829">
        <v>32.49</v>
      </c>
      <c r="G645" s="830">
        <v>25.98</v>
      </c>
      <c r="H645" s="831">
        <v>58.47</v>
      </c>
      <c r="I645" s="846"/>
      <c r="J645" s="846"/>
      <c r="K645" s="846"/>
      <c r="L645" s="846"/>
      <c r="M645" s="846"/>
      <c r="N645" s="846"/>
      <c r="O645" s="846"/>
      <c r="P645" s="846"/>
      <c r="Q645" s="846"/>
      <c r="R645" s="846"/>
      <c r="S645" s="846"/>
      <c r="T645" s="846"/>
    </row>
    <row r="646" spans="2:20" ht="25.5" hidden="1">
      <c r="B646" s="828" t="s">
        <v>6531</v>
      </c>
      <c r="C646" s="828">
        <v>96021</v>
      </c>
      <c r="D646" s="630" t="s">
        <v>2253</v>
      </c>
      <c r="E646" s="630" t="s">
        <v>268</v>
      </c>
      <c r="F646" s="829">
        <v>32.19</v>
      </c>
      <c r="G646" s="830">
        <v>25.98</v>
      </c>
      <c r="H646" s="831">
        <v>58.17</v>
      </c>
      <c r="I646" s="846"/>
      <c r="J646" s="846"/>
      <c r="K646" s="846"/>
      <c r="L646" s="846"/>
      <c r="M646" s="846"/>
      <c r="N646" s="846"/>
      <c r="O646" s="846"/>
      <c r="P646" s="846"/>
      <c r="Q646" s="846"/>
      <c r="R646" s="846"/>
      <c r="S646" s="846"/>
      <c r="T646" s="846"/>
    </row>
    <row r="647" spans="2:20" ht="25.5" hidden="1">
      <c r="B647" s="828" t="s">
        <v>6531</v>
      </c>
      <c r="C647" s="828">
        <v>96029</v>
      </c>
      <c r="D647" s="630" t="s">
        <v>2254</v>
      </c>
      <c r="E647" s="630" t="s">
        <v>268</v>
      </c>
      <c r="F647" s="829">
        <v>26.380000000000003</v>
      </c>
      <c r="G647" s="830">
        <v>25.98</v>
      </c>
      <c r="H647" s="831">
        <v>52.36</v>
      </c>
      <c r="I647" s="846"/>
      <c r="J647" s="846"/>
      <c r="K647" s="846"/>
      <c r="L647" s="846"/>
      <c r="M647" s="846"/>
      <c r="N647" s="846"/>
      <c r="O647" s="846"/>
      <c r="P647" s="846"/>
      <c r="Q647" s="846"/>
      <c r="R647" s="846"/>
      <c r="S647" s="846"/>
      <c r="T647" s="846"/>
    </row>
    <row r="648" spans="2:20" ht="38.25" hidden="1">
      <c r="B648" s="828" t="s">
        <v>6531</v>
      </c>
      <c r="C648" s="828">
        <v>96036</v>
      </c>
      <c r="D648" s="630" t="s">
        <v>2255</v>
      </c>
      <c r="E648" s="630" t="s">
        <v>268</v>
      </c>
      <c r="F648" s="829">
        <v>45.489999999999995</v>
      </c>
      <c r="G648" s="830">
        <v>18.989999999999998</v>
      </c>
      <c r="H648" s="831">
        <v>64.48</v>
      </c>
      <c r="I648" s="846"/>
      <c r="J648" s="846"/>
      <c r="K648" s="846"/>
      <c r="L648" s="846"/>
      <c r="M648" s="846"/>
      <c r="N648" s="846"/>
      <c r="O648" s="846"/>
      <c r="P648" s="846"/>
      <c r="Q648" s="846"/>
      <c r="R648" s="846"/>
      <c r="S648" s="846"/>
      <c r="T648" s="846"/>
    </row>
    <row r="649" spans="2:20" ht="25.5" hidden="1">
      <c r="B649" s="828" t="s">
        <v>6531</v>
      </c>
      <c r="C649" s="828">
        <v>96155</v>
      </c>
      <c r="D649" s="630" t="s">
        <v>2256</v>
      </c>
      <c r="E649" s="630" t="s">
        <v>268</v>
      </c>
      <c r="F649" s="829">
        <v>26.68</v>
      </c>
      <c r="G649" s="830">
        <v>25.98</v>
      </c>
      <c r="H649" s="831">
        <v>52.66</v>
      </c>
      <c r="I649" s="846"/>
      <c r="J649" s="846"/>
      <c r="K649" s="846"/>
      <c r="L649" s="846"/>
      <c r="M649" s="846"/>
      <c r="N649" s="846"/>
      <c r="O649" s="846"/>
      <c r="P649" s="846"/>
      <c r="Q649" s="846"/>
      <c r="R649" s="846"/>
      <c r="S649" s="846"/>
      <c r="T649" s="846"/>
    </row>
    <row r="650" spans="2:20" ht="25.5" hidden="1">
      <c r="B650" s="828" t="s">
        <v>6531</v>
      </c>
      <c r="C650" s="828">
        <v>96156</v>
      </c>
      <c r="D650" s="630" t="s">
        <v>2257</v>
      </c>
      <c r="E650" s="630" t="s">
        <v>268</v>
      </c>
      <c r="F650" s="829">
        <v>34.65</v>
      </c>
      <c r="G650" s="830">
        <v>23.12</v>
      </c>
      <c r="H650" s="831">
        <v>57.77</v>
      </c>
      <c r="I650" s="846"/>
      <c r="J650" s="846"/>
      <c r="K650" s="846"/>
      <c r="L650" s="846"/>
      <c r="M650" s="846"/>
      <c r="N650" s="846"/>
      <c r="O650" s="846"/>
      <c r="P650" s="846"/>
      <c r="Q650" s="846"/>
      <c r="R650" s="846"/>
      <c r="S650" s="846"/>
      <c r="T650" s="846"/>
    </row>
    <row r="651" spans="2:20" ht="25.5" hidden="1">
      <c r="B651" s="828" t="s">
        <v>6531</v>
      </c>
      <c r="C651" s="828">
        <v>96159</v>
      </c>
      <c r="D651" s="630" t="s">
        <v>1621</v>
      </c>
      <c r="E651" s="630" t="s">
        <v>268</v>
      </c>
      <c r="F651" s="829">
        <v>65.78</v>
      </c>
      <c r="G651" s="830">
        <v>22.42</v>
      </c>
      <c r="H651" s="831">
        <v>88.2</v>
      </c>
      <c r="I651" s="846"/>
      <c r="J651" s="846"/>
      <c r="K651" s="846"/>
      <c r="L651" s="846"/>
      <c r="M651" s="846"/>
      <c r="N651" s="846"/>
      <c r="O651" s="846"/>
      <c r="P651" s="846"/>
      <c r="Q651" s="846"/>
      <c r="R651" s="846"/>
      <c r="S651" s="846"/>
      <c r="T651" s="846"/>
    </row>
    <row r="652" spans="2:20" ht="25.5" hidden="1">
      <c r="B652" s="828" t="s">
        <v>6531</v>
      </c>
      <c r="C652" s="828">
        <v>96246</v>
      </c>
      <c r="D652" s="630" t="s">
        <v>2258</v>
      </c>
      <c r="E652" s="630" t="s">
        <v>268</v>
      </c>
      <c r="F652" s="829">
        <v>29.22</v>
      </c>
      <c r="G652" s="830">
        <v>24.63</v>
      </c>
      <c r="H652" s="831">
        <v>53.85</v>
      </c>
      <c r="I652" s="846"/>
      <c r="J652" s="846"/>
      <c r="K652" s="846"/>
      <c r="L652" s="846"/>
      <c r="M652" s="846"/>
      <c r="N652" s="846"/>
      <c r="O652" s="846"/>
      <c r="P652" s="846"/>
      <c r="Q652" s="846"/>
      <c r="R652" s="846"/>
      <c r="S652" s="846"/>
      <c r="T652" s="846"/>
    </row>
    <row r="653" spans="2:20" ht="38.25" hidden="1">
      <c r="B653" s="828" t="s">
        <v>6531</v>
      </c>
      <c r="C653" s="828">
        <v>96464</v>
      </c>
      <c r="D653" s="630" t="s">
        <v>2259</v>
      </c>
      <c r="E653" s="630" t="s">
        <v>268</v>
      </c>
      <c r="F653" s="829">
        <v>62.03</v>
      </c>
      <c r="G653" s="830">
        <v>20.52</v>
      </c>
      <c r="H653" s="831">
        <v>82.55</v>
      </c>
      <c r="I653" s="846"/>
      <c r="J653" s="846"/>
      <c r="K653" s="846"/>
      <c r="L653" s="846"/>
      <c r="M653" s="846"/>
      <c r="N653" s="846"/>
      <c r="O653" s="846"/>
      <c r="P653" s="846"/>
      <c r="Q653" s="846"/>
      <c r="R653" s="846"/>
      <c r="S653" s="846"/>
      <c r="T653" s="846"/>
    </row>
    <row r="654" spans="2:20" ht="38.25" hidden="1">
      <c r="B654" s="828" t="s">
        <v>6531</v>
      </c>
      <c r="C654" s="828">
        <v>98765</v>
      </c>
      <c r="D654" s="630" t="s">
        <v>3001</v>
      </c>
      <c r="E654" s="630" t="s">
        <v>268</v>
      </c>
      <c r="F654" s="829">
        <v>0.06</v>
      </c>
      <c r="G654" s="830">
        <v>0</v>
      </c>
      <c r="H654" s="831">
        <v>0.06</v>
      </c>
      <c r="I654" s="846"/>
      <c r="J654" s="846"/>
      <c r="K654" s="846"/>
      <c r="L654" s="846"/>
      <c r="M654" s="846"/>
      <c r="N654" s="846"/>
      <c r="O654" s="846"/>
      <c r="P654" s="846"/>
      <c r="Q654" s="846"/>
      <c r="R654" s="846"/>
      <c r="S654" s="846"/>
      <c r="T654" s="846"/>
    </row>
    <row r="655" spans="2:20" ht="38.25" hidden="1">
      <c r="B655" s="828" t="s">
        <v>6531</v>
      </c>
      <c r="C655" s="828">
        <v>99834</v>
      </c>
      <c r="D655" s="630" t="s">
        <v>3113</v>
      </c>
      <c r="E655" s="630" t="s">
        <v>268</v>
      </c>
      <c r="F655" s="829">
        <v>0.19</v>
      </c>
      <c r="G655" s="830">
        <v>0</v>
      </c>
      <c r="H655" s="831">
        <v>0.19</v>
      </c>
      <c r="I655" s="846"/>
      <c r="J655" s="846"/>
      <c r="K655" s="846"/>
      <c r="L655" s="846"/>
      <c r="M655" s="846"/>
      <c r="N655" s="846"/>
      <c r="O655" s="846"/>
      <c r="P655" s="846"/>
      <c r="Q655" s="846"/>
      <c r="R655" s="846"/>
      <c r="S655" s="846"/>
      <c r="T655" s="846"/>
    </row>
    <row r="656" spans="2:20" ht="25.5" hidden="1">
      <c r="B656" s="828" t="s">
        <v>6531</v>
      </c>
      <c r="C656" s="828">
        <v>100642</v>
      </c>
      <c r="D656" s="630" t="s">
        <v>3746</v>
      </c>
      <c r="E656" s="630" t="s">
        <v>268</v>
      </c>
      <c r="F656" s="829">
        <v>159.24</v>
      </c>
      <c r="G656" s="830">
        <v>20.22</v>
      </c>
      <c r="H656" s="831">
        <v>179.46</v>
      </c>
      <c r="I656" s="846"/>
      <c r="J656" s="846"/>
      <c r="K656" s="846"/>
      <c r="L656" s="846"/>
      <c r="M656" s="846"/>
      <c r="N656" s="846"/>
      <c r="O656" s="846"/>
      <c r="P656" s="846"/>
      <c r="Q656" s="846"/>
      <c r="R656" s="846"/>
      <c r="S656" s="846"/>
      <c r="T656" s="846"/>
    </row>
    <row r="657" spans="2:20" ht="25.5" hidden="1">
      <c r="B657" s="828" t="s">
        <v>6531</v>
      </c>
      <c r="C657" s="828">
        <v>100648</v>
      </c>
      <c r="D657" s="630" t="s">
        <v>3747</v>
      </c>
      <c r="E657" s="630" t="s">
        <v>268</v>
      </c>
      <c r="F657" s="829">
        <v>410.16999999999996</v>
      </c>
      <c r="G657" s="830">
        <v>20.22</v>
      </c>
      <c r="H657" s="831">
        <v>430.39</v>
      </c>
      <c r="I657" s="846"/>
      <c r="J657" s="846"/>
      <c r="K657" s="846"/>
      <c r="L657" s="846"/>
      <c r="M657" s="846"/>
      <c r="N657" s="846"/>
      <c r="O657" s="846"/>
      <c r="P657" s="846"/>
      <c r="Q657" s="846"/>
      <c r="R657" s="846"/>
      <c r="S657" s="846"/>
      <c r="T657" s="846"/>
    </row>
    <row r="658" spans="2:20" ht="25.5" hidden="1">
      <c r="B658" s="828" t="s">
        <v>6531</v>
      </c>
      <c r="C658" s="828">
        <v>102274</v>
      </c>
      <c r="D658" s="630" t="s">
        <v>6113</v>
      </c>
      <c r="E658" s="630" t="s">
        <v>268</v>
      </c>
      <c r="F658" s="829">
        <v>6.17</v>
      </c>
      <c r="G658" s="830">
        <v>19.43</v>
      </c>
      <c r="H658" s="831">
        <v>25.6</v>
      </c>
      <c r="I658" s="846"/>
      <c r="J658" s="846"/>
      <c r="K658" s="846"/>
      <c r="L658" s="846"/>
      <c r="M658" s="846"/>
      <c r="N658" s="846"/>
      <c r="O658" s="846"/>
      <c r="P658" s="846"/>
      <c r="Q658" s="846"/>
      <c r="R658" s="846"/>
      <c r="S658" s="846"/>
      <c r="T658" s="846"/>
    </row>
    <row r="659" spans="2:20" ht="25.5" hidden="1">
      <c r="B659" s="828" t="s">
        <v>6531</v>
      </c>
      <c r="C659" s="828">
        <v>104092</v>
      </c>
      <c r="D659" s="630" t="s">
        <v>7671</v>
      </c>
      <c r="E659" s="630" t="s">
        <v>268</v>
      </c>
      <c r="F659" s="829">
        <v>0.11</v>
      </c>
      <c r="G659" s="830">
        <v>0</v>
      </c>
      <c r="H659" s="831">
        <v>0.11</v>
      </c>
      <c r="I659" s="846"/>
      <c r="J659" s="846"/>
      <c r="K659" s="846"/>
      <c r="L659" s="846"/>
      <c r="M659" s="846"/>
      <c r="N659" s="846"/>
      <c r="O659" s="846"/>
      <c r="P659" s="846"/>
      <c r="Q659" s="846"/>
      <c r="R659" s="846"/>
      <c r="S659" s="846"/>
      <c r="T659" s="846"/>
    </row>
    <row r="660" spans="2:20" ht="38.25" hidden="1">
      <c r="B660" s="828" t="s">
        <v>6531</v>
      </c>
      <c r="C660" s="828">
        <v>104098</v>
      </c>
      <c r="D660" s="630" t="s">
        <v>7672</v>
      </c>
      <c r="E660" s="630" t="s">
        <v>268</v>
      </c>
      <c r="F660" s="829">
        <v>0.15</v>
      </c>
      <c r="G660" s="830">
        <v>0</v>
      </c>
      <c r="H660" s="831">
        <v>0.15</v>
      </c>
      <c r="I660" s="846"/>
      <c r="J660" s="846"/>
      <c r="K660" s="846"/>
      <c r="L660" s="846"/>
      <c r="M660" s="846"/>
      <c r="N660" s="846"/>
      <c r="O660" s="846"/>
      <c r="P660" s="846"/>
      <c r="Q660" s="846"/>
      <c r="R660" s="846"/>
      <c r="S660" s="846"/>
      <c r="T660" s="846"/>
    </row>
    <row r="661" spans="2:20" ht="38.25" hidden="1">
      <c r="B661" s="828" t="s">
        <v>6529</v>
      </c>
      <c r="C661" s="828">
        <v>5089</v>
      </c>
      <c r="D661" s="630" t="s">
        <v>2029</v>
      </c>
      <c r="E661" s="630" t="s">
        <v>902</v>
      </c>
      <c r="F661" s="829">
        <v>38.869999999999997</v>
      </c>
      <c r="G661" s="830">
        <v>0</v>
      </c>
      <c r="H661" s="831">
        <v>38.869999999999997</v>
      </c>
      <c r="I661" s="846"/>
      <c r="J661" s="846"/>
      <c r="K661" s="846"/>
      <c r="L661" s="846"/>
      <c r="M661" s="846"/>
      <c r="N661" s="846"/>
      <c r="O661" s="846"/>
      <c r="P661" s="846"/>
      <c r="Q661" s="846"/>
      <c r="R661" s="846"/>
      <c r="S661" s="846"/>
      <c r="T661" s="846"/>
    </row>
    <row r="662" spans="2:20" ht="25.5" hidden="1">
      <c r="B662" s="828" t="s">
        <v>6529</v>
      </c>
      <c r="C662" s="828">
        <v>5627</v>
      </c>
      <c r="D662" s="630" t="s">
        <v>2008</v>
      </c>
      <c r="E662" s="630" t="s">
        <v>902</v>
      </c>
      <c r="F662" s="829">
        <v>51.8</v>
      </c>
      <c r="G662" s="830">
        <v>0</v>
      </c>
      <c r="H662" s="831">
        <v>51.8</v>
      </c>
      <c r="I662" s="846"/>
      <c r="J662" s="846"/>
      <c r="K662" s="846"/>
      <c r="L662" s="846"/>
      <c r="M662" s="846"/>
      <c r="N662" s="846"/>
      <c r="O662" s="846"/>
      <c r="P662" s="846"/>
      <c r="Q662" s="846"/>
      <c r="R662" s="846"/>
      <c r="S662" s="846"/>
      <c r="T662" s="846"/>
    </row>
    <row r="663" spans="2:20" ht="25.5" hidden="1">
      <c r="B663" s="828" t="s">
        <v>6529</v>
      </c>
      <c r="C663" s="828">
        <v>5628</v>
      </c>
      <c r="D663" s="630" t="s">
        <v>2009</v>
      </c>
      <c r="E663" s="630" t="s">
        <v>902</v>
      </c>
      <c r="F663" s="829">
        <v>7.03</v>
      </c>
      <c r="G663" s="830">
        <v>0</v>
      </c>
      <c r="H663" s="831">
        <v>7.03</v>
      </c>
      <c r="I663" s="846"/>
      <c r="J663" s="846"/>
      <c r="K663" s="846"/>
      <c r="L663" s="846"/>
      <c r="M663" s="846"/>
      <c r="N663" s="846"/>
      <c r="O663" s="846"/>
      <c r="P663" s="846"/>
      <c r="Q663" s="846"/>
      <c r="R663" s="846"/>
      <c r="S663" s="846"/>
      <c r="T663" s="846"/>
    </row>
    <row r="664" spans="2:20" ht="25.5" hidden="1">
      <c r="B664" s="828" t="s">
        <v>6529</v>
      </c>
      <c r="C664" s="828">
        <v>5629</v>
      </c>
      <c r="D664" s="630" t="s">
        <v>2010</v>
      </c>
      <c r="E664" s="630" t="s">
        <v>902</v>
      </c>
      <c r="F664" s="829">
        <v>64.75</v>
      </c>
      <c r="G664" s="830">
        <v>0</v>
      </c>
      <c r="H664" s="831">
        <v>64.75</v>
      </c>
      <c r="I664" s="846"/>
      <c r="J664" s="846"/>
      <c r="K664" s="846"/>
      <c r="L664" s="846"/>
      <c r="M664" s="846"/>
      <c r="N664" s="846"/>
      <c r="O664" s="846"/>
      <c r="P664" s="846"/>
      <c r="Q664" s="846"/>
      <c r="R664" s="846"/>
      <c r="S664" s="846"/>
      <c r="T664" s="846"/>
    </row>
    <row r="665" spans="2:20" ht="38.25" hidden="1">
      <c r="B665" s="828" t="s">
        <v>6529</v>
      </c>
      <c r="C665" s="828">
        <v>5630</v>
      </c>
      <c r="D665" s="630" t="s">
        <v>2011</v>
      </c>
      <c r="E665" s="630" t="s">
        <v>902</v>
      </c>
      <c r="F665" s="829">
        <v>78.72</v>
      </c>
      <c r="G665" s="830">
        <v>0</v>
      </c>
      <c r="H665" s="831">
        <v>78.72</v>
      </c>
      <c r="I665" s="846"/>
      <c r="J665" s="846"/>
      <c r="K665" s="846"/>
      <c r="L665" s="846"/>
      <c r="M665" s="846"/>
      <c r="N665" s="846"/>
      <c r="O665" s="846"/>
      <c r="P665" s="846"/>
      <c r="Q665" s="846"/>
      <c r="R665" s="846"/>
      <c r="S665" s="846"/>
      <c r="T665" s="846"/>
    </row>
    <row r="666" spans="2:20" ht="25.5" hidden="1">
      <c r="B666" s="828" t="s">
        <v>6529</v>
      </c>
      <c r="C666" s="828">
        <v>5658</v>
      </c>
      <c r="D666" s="630" t="s">
        <v>679</v>
      </c>
      <c r="E666" s="630" t="s">
        <v>902</v>
      </c>
      <c r="F666" s="829">
        <v>2.86</v>
      </c>
      <c r="G666" s="830">
        <v>0</v>
      </c>
      <c r="H666" s="831">
        <v>2.86</v>
      </c>
      <c r="I666" s="846"/>
      <c r="J666" s="846"/>
      <c r="K666" s="846"/>
      <c r="L666" s="846"/>
      <c r="M666" s="846"/>
      <c r="N666" s="846"/>
      <c r="O666" s="846"/>
      <c r="P666" s="846"/>
      <c r="Q666" s="846"/>
      <c r="R666" s="846"/>
      <c r="S666" s="846"/>
      <c r="T666" s="846"/>
    </row>
    <row r="667" spans="2:20" ht="51" hidden="1">
      <c r="B667" s="828" t="s">
        <v>6529</v>
      </c>
      <c r="C667" s="828">
        <v>5664</v>
      </c>
      <c r="D667" s="630" t="s">
        <v>859</v>
      </c>
      <c r="E667" s="630" t="s">
        <v>902</v>
      </c>
      <c r="F667" s="829">
        <v>34.97</v>
      </c>
      <c r="G667" s="830">
        <v>0</v>
      </c>
      <c r="H667" s="831">
        <v>34.97</v>
      </c>
      <c r="I667" s="846"/>
      <c r="J667" s="846"/>
      <c r="K667" s="846"/>
      <c r="L667" s="846"/>
      <c r="M667" s="846"/>
      <c r="N667" s="846"/>
      <c r="O667" s="846"/>
      <c r="P667" s="846"/>
      <c r="Q667" s="846"/>
      <c r="R667" s="846"/>
      <c r="S667" s="846"/>
      <c r="T667" s="846"/>
    </row>
    <row r="668" spans="2:20" ht="51" hidden="1">
      <c r="B668" s="828" t="s">
        <v>6529</v>
      </c>
      <c r="C668" s="828">
        <v>5667</v>
      </c>
      <c r="D668" s="630" t="s">
        <v>860</v>
      </c>
      <c r="E668" s="630" t="s">
        <v>902</v>
      </c>
      <c r="F668" s="829">
        <v>31.1</v>
      </c>
      <c r="G668" s="830">
        <v>0</v>
      </c>
      <c r="H668" s="831">
        <v>31.1</v>
      </c>
      <c r="I668" s="846"/>
      <c r="J668" s="846"/>
      <c r="K668" s="846"/>
      <c r="L668" s="846"/>
      <c r="M668" s="846"/>
      <c r="N668" s="846"/>
      <c r="O668" s="846"/>
      <c r="P668" s="846"/>
      <c r="Q668" s="846"/>
      <c r="R668" s="846"/>
      <c r="S668" s="846"/>
      <c r="T668" s="846"/>
    </row>
    <row r="669" spans="2:20" ht="51" hidden="1">
      <c r="B669" s="828" t="s">
        <v>6529</v>
      </c>
      <c r="C669" s="828">
        <v>5668</v>
      </c>
      <c r="D669" s="630" t="s">
        <v>861</v>
      </c>
      <c r="E669" s="630" t="s">
        <v>902</v>
      </c>
      <c r="F669" s="829">
        <v>55.99</v>
      </c>
      <c r="G669" s="830">
        <v>0</v>
      </c>
      <c r="H669" s="831">
        <v>55.99</v>
      </c>
      <c r="I669" s="846"/>
      <c r="J669" s="846"/>
      <c r="K669" s="846"/>
      <c r="L669" s="846"/>
      <c r="M669" s="846"/>
      <c r="N669" s="846"/>
      <c r="O669" s="846"/>
      <c r="P669" s="846"/>
      <c r="Q669" s="846"/>
      <c r="R669" s="846"/>
      <c r="S669" s="846"/>
      <c r="T669" s="846"/>
    </row>
    <row r="670" spans="2:20" ht="38.25" hidden="1">
      <c r="B670" s="828" t="s">
        <v>6529</v>
      </c>
      <c r="C670" s="828">
        <v>5674</v>
      </c>
      <c r="D670" s="630" t="s">
        <v>862</v>
      </c>
      <c r="E670" s="630" t="s">
        <v>902</v>
      </c>
      <c r="F670" s="829">
        <v>37.39</v>
      </c>
      <c r="G670" s="830">
        <v>0</v>
      </c>
      <c r="H670" s="831">
        <v>37.39</v>
      </c>
      <c r="I670" s="846"/>
      <c r="J670" s="846"/>
      <c r="K670" s="846"/>
      <c r="L670" s="846"/>
      <c r="M670" s="846"/>
      <c r="N670" s="846"/>
      <c r="O670" s="846"/>
      <c r="P670" s="846"/>
      <c r="Q670" s="846"/>
      <c r="R670" s="846"/>
      <c r="S670" s="846"/>
      <c r="T670" s="846"/>
    </row>
    <row r="671" spans="2:20" ht="38.25" hidden="1">
      <c r="B671" s="828" t="s">
        <v>6529</v>
      </c>
      <c r="C671" s="828">
        <v>5692</v>
      </c>
      <c r="D671" s="630" t="s">
        <v>863</v>
      </c>
      <c r="E671" s="630" t="s">
        <v>902</v>
      </c>
      <c r="F671" s="829">
        <v>0.23</v>
      </c>
      <c r="G671" s="830">
        <v>0</v>
      </c>
      <c r="H671" s="831">
        <v>0.23</v>
      </c>
      <c r="I671" s="846"/>
      <c r="J671" s="846"/>
      <c r="K671" s="846"/>
      <c r="L671" s="846"/>
      <c r="M671" s="846"/>
      <c r="N671" s="846"/>
      <c r="O671" s="846"/>
      <c r="P671" s="846"/>
      <c r="Q671" s="846"/>
      <c r="R671" s="846"/>
      <c r="S671" s="846"/>
      <c r="T671" s="846"/>
    </row>
    <row r="672" spans="2:20" ht="38.25" hidden="1">
      <c r="B672" s="828" t="s">
        <v>6529</v>
      </c>
      <c r="C672" s="828">
        <v>5693</v>
      </c>
      <c r="D672" s="630" t="s">
        <v>684</v>
      </c>
      <c r="E672" s="630" t="s">
        <v>902</v>
      </c>
      <c r="F672" s="829">
        <v>20.190000000000001</v>
      </c>
      <c r="G672" s="830">
        <v>0</v>
      </c>
      <c r="H672" s="831">
        <v>20.190000000000001</v>
      </c>
      <c r="I672" s="846"/>
      <c r="J672" s="846"/>
      <c r="K672" s="846"/>
      <c r="L672" s="846"/>
      <c r="M672" s="846"/>
      <c r="N672" s="846"/>
      <c r="O672" s="846"/>
      <c r="P672" s="846"/>
      <c r="Q672" s="846"/>
      <c r="R672" s="846"/>
      <c r="S672" s="846"/>
      <c r="T672" s="846"/>
    </row>
    <row r="673" spans="2:20" ht="38.25" hidden="1">
      <c r="B673" s="828" t="s">
        <v>6529</v>
      </c>
      <c r="C673" s="828">
        <v>5695</v>
      </c>
      <c r="D673" s="630" t="s">
        <v>685</v>
      </c>
      <c r="E673" s="630" t="s">
        <v>902</v>
      </c>
      <c r="F673" s="829">
        <v>34.619999999999997</v>
      </c>
      <c r="G673" s="830">
        <v>0</v>
      </c>
      <c r="H673" s="831">
        <v>34.619999999999997</v>
      </c>
      <c r="I673" s="846"/>
      <c r="J673" s="846"/>
      <c r="K673" s="846"/>
      <c r="L673" s="846"/>
      <c r="M673" s="846"/>
      <c r="N673" s="846"/>
      <c r="O673" s="846"/>
      <c r="P673" s="846"/>
      <c r="Q673" s="846"/>
      <c r="R673" s="846"/>
      <c r="S673" s="846"/>
      <c r="T673" s="846"/>
    </row>
    <row r="674" spans="2:20" ht="25.5" hidden="1">
      <c r="B674" s="828" t="s">
        <v>6529</v>
      </c>
      <c r="C674" s="828">
        <v>5703</v>
      </c>
      <c r="D674" s="630" t="s">
        <v>2060</v>
      </c>
      <c r="E674" s="630" t="s">
        <v>902</v>
      </c>
      <c r="F674" s="829">
        <v>19.989999999999998</v>
      </c>
      <c r="G674" s="830">
        <v>0</v>
      </c>
      <c r="H674" s="831">
        <v>19.989999999999998</v>
      </c>
      <c r="I674" s="846"/>
      <c r="J674" s="846"/>
      <c r="K674" s="846"/>
      <c r="L674" s="846"/>
      <c r="M674" s="846"/>
      <c r="N674" s="846"/>
      <c r="O674" s="846"/>
      <c r="P674" s="846"/>
      <c r="Q674" s="846"/>
      <c r="R674" s="846"/>
      <c r="S674" s="846"/>
      <c r="T674" s="846"/>
    </row>
    <row r="675" spans="2:20" ht="51" hidden="1">
      <c r="B675" s="828" t="s">
        <v>6529</v>
      </c>
      <c r="C675" s="828">
        <v>5705</v>
      </c>
      <c r="D675" s="630" t="s">
        <v>686</v>
      </c>
      <c r="E675" s="630" t="s">
        <v>902</v>
      </c>
      <c r="F675" s="829">
        <v>32.74</v>
      </c>
      <c r="G675" s="830">
        <v>0</v>
      </c>
      <c r="H675" s="831">
        <v>32.74</v>
      </c>
      <c r="I675" s="846"/>
      <c r="J675" s="846"/>
      <c r="K675" s="846"/>
      <c r="L675" s="846"/>
      <c r="M675" s="846"/>
      <c r="N675" s="846"/>
      <c r="O675" s="846"/>
      <c r="P675" s="846"/>
      <c r="Q675" s="846"/>
      <c r="R675" s="846"/>
      <c r="S675" s="846"/>
      <c r="T675" s="846"/>
    </row>
    <row r="676" spans="2:20" ht="25.5" hidden="1">
      <c r="B676" s="828" t="s">
        <v>6529</v>
      </c>
      <c r="C676" s="828">
        <v>5707</v>
      </c>
      <c r="D676" s="630" t="s">
        <v>2063</v>
      </c>
      <c r="E676" s="630" t="s">
        <v>902</v>
      </c>
      <c r="F676" s="829">
        <v>68.36</v>
      </c>
      <c r="G676" s="830">
        <v>0</v>
      </c>
      <c r="H676" s="831">
        <v>68.36</v>
      </c>
      <c r="I676" s="846"/>
      <c r="J676" s="846"/>
      <c r="K676" s="846"/>
      <c r="L676" s="846"/>
      <c r="M676" s="846"/>
      <c r="N676" s="846"/>
      <c r="O676" s="846"/>
      <c r="P676" s="846"/>
      <c r="Q676" s="846"/>
      <c r="R676" s="846"/>
      <c r="S676" s="846"/>
      <c r="T676" s="846"/>
    </row>
    <row r="677" spans="2:20" ht="38.25" hidden="1">
      <c r="B677" s="828" t="s">
        <v>6529</v>
      </c>
      <c r="C677" s="828">
        <v>5710</v>
      </c>
      <c r="D677" s="630" t="s">
        <v>687</v>
      </c>
      <c r="E677" s="630" t="s">
        <v>902</v>
      </c>
      <c r="F677" s="829">
        <v>160.32</v>
      </c>
      <c r="G677" s="830">
        <v>0</v>
      </c>
      <c r="H677" s="831">
        <v>160.32</v>
      </c>
      <c r="I677" s="846"/>
      <c r="J677" s="846"/>
      <c r="K677" s="846"/>
      <c r="L677" s="846"/>
      <c r="M677" s="846"/>
      <c r="N677" s="846"/>
      <c r="O677" s="846"/>
      <c r="P677" s="846"/>
      <c r="Q677" s="846"/>
      <c r="R677" s="846"/>
      <c r="S677" s="846"/>
      <c r="T677" s="846"/>
    </row>
    <row r="678" spans="2:20" ht="38.25" hidden="1">
      <c r="B678" s="828" t="s">
        <v>6529</v>
      </c>
      <c r="C678" s="828">
        <v>5711</v>
      </c>
      <c r="D678" s="630" t="s">
        <v>611</v>
      </c>
      <c r="E678" s="630" t="s">
        <v>902</v>
      </c>
      <c r="F678" s="829">
        <v>108.77</v>
      </c>
      <c r="G678" s="830">
        <v>0</v>
      </c>
      <c r="H678" s="831">
        <v>108.77</v>
      </c>
      <c r="I678" s="846"/>
      <c r="J678" s="846"/>
      <c r="K678" s="846"/>
      <c r="L678" s="846"/>
      <c r="M678" s="846"/>
      <c r="N678" s="846"/>
      <c r="O678" s="846"/>
      <c r="P678" s="846"/>
      <c r="Q678" s="846"/>
      <c r="R678" s="846"/>
      <c r="S678" s="846"/>
      <c r="T678" s="846"/>
    </row>
    <row r="679" spans="2:20" ht="25.5" hidden="1">
      <c r="B679" s="828" t="s">
        <v>6529</v>
      </c>
      <c r="C679" s="828">
        <v>5714</v>
      </c>
      <c r="D679" s="630" t="s">
        <v>612</v>
      </c>
      <c r="E679" s="630" t="s">
        <v>902</v>
      </c>
      <c r="F679" s="829">
        <v>15.3</v>
      </c>
      <c r="G679" s="830">
        <v>0</v>
      </c>
      <c r="H679" s="831">
        <v>15.3</v>
      </c>
      <c r="I679" s="846"/>
      <c r="J679" s="846"/>
      <c r="K679" s="846"/>
      <c r="L679" s="846"/>
      <c r="M679" s="846"/>
      <c r="N679" s="846"/>
      <c r="O679" s="846"/>
      <c r="P679" s="846"/>
      <c r="Q679" s="846"/>
      <c r="R679" s="846"/>
      <c r="S679" s="846"/>
      <c r="T679" s="846"/>
    </row>
    <row r="680" spans="2:20" ht="25.5" hidden="1">
      <c r="B680" s="828" t="s">
        <v>6529</v>
      </c>
      <c r="C680" s="828">
        <v>5715</v>
      </c>
      <c r="D680" s="630" t="s">
        <v>613</v>
      </c>
      <c r="E680" s="630" t="s">
        <v>902</v>
      </c>
      <c r="F680" s="829">
        <v>82.31</v>
      </c>
      <c r="G680" s="830">
        <v>0</v>
      </c>
      <c r="H680" s="831">
        <v>82.31</v>
      </c>
      <c r="I680" s="846"/>
      <c r="J680" s="846"/>
      <c r="K680" s="846"/>
      <c r="L680" s="846"/>
      <c r="M680" s="846"/>
      <c r="N680" s="846"/>
      <c r="O680" s="846"/>
      <c r="P680" s="846"/>
      <c r="Q680" s="846"/>
      <c r="R680" s="846"/>
      <c r="S680" s="846"/>
      <c r="T680" s="846"/>
    </row>
    <row r="681" spans="2:20" ht="25.5" hidden="1">
      <c r="B681" s="828" t="s">
        <v>6529</v>
      </c>
      <c r="C681" s="828">
        <v>5718</v>
      </c>
      <c r="D681" s="630" t="s">
        <v>614</v>
      </c>
      <c r="E681" s="630" t="s">
        <v>902</v>
      </c>
      <c r="F681" s="829">
        <v>129.82</v>
      </c>
      <c r="G681" s="830">
        <v>0</v>
      </c>
      <c r="H681" s="831">
        <v>129.82</v>
      </c>
      <c r="I681" s="846"/>
      <c r="J681" s="846"/>
      <c r="K681" s="846"/>
      <c r="L681" s="846"/>
      <c r="M681" s="846"/>
      <c r="N681" s="846"/>
      <c r="O681" s="846"/>
      <c r="P681" s="846"/>
      <c r="Q681" s="846"/>
      <c r="R681" s="846"/>
      <c r="S681" s="846"/>
      <c r="T681" s="846"/>
    </row>
    <row r="682" spans="2:20" ht="38.25" hidden="1">
      <c r="B682" s="828" t="s">
        <v>6529</v>
      </c>
      <c r="C682" s="828">
        <v>5721</v>
      </c>
      <c r="D682" s="630" t="s">
        <v>615</v>
      </c>
      <c r="E682" s="630" t="s">
        <v>902</v>
      </c>
      <c r="F682" s="829">
        <v>114.54</v>
      </c>
      <c r="G682" s="830">
        <v>0</v>
      </c>
      <c r="H682" s="831">
        <v>114.54</v>
      </c>
      <c r="I682" s="846"/>
      <c r="J682" s="846"/>
      <c r="K682" s="846"/>
      <c r="L682" s="846"/>
      <c r="M682" s="846"/>
      <c r="N682" s="846"/>
      <c r="O682" s="846"/>
      <c r="P682" s="846"/>
      <c r="Q682" s="846"/>
      <c r="R682" s="846"/>
      <c r="S682" s="846"/>
      <c r="T682" s="846"/>
    </row>
    <row r="683" spans="2:20" ht="25.5" hidden="1">
      <c r="B683" s="828" t="s">
        <v>6529</v>
      </c>
      <c r="C683" s="828">
        <v>5722</v>
      </c>
      <c r="D683" s="630" t="s">
        <v>616</v>
      </c>
      <c r="E683" s="630" t="s">
        <v>902</v>
      </c>
      <c r="F683" s="829">
        <v>264.91000000000003</v>
      </c>
      <c r="G683" s="830">
        <v>0</v>
      </c>
      <c r="H683" s="831">
        <v>264.91000000000003</v>
      </c>
      <c r="I683" s="846"/>
      <c r="J683" s="846"/>
      <c r="K683" s="846"/>
      <c r="L683" s="846"/>
      <c r="M683" s="846"/>
      <c r="N683" s="846"/>
      <c r="O683" s="846"/>
      <c r="P683" s="846"/>
      <c r="Q683" s="846"/>
      <c r="R683" s="846"/>
      <c r="S683" s="846"/>
      <c r="T683" s="846"/>
    </row>
    <row r="684" spans="2:20" ht="25.5" hidden="1">
      <c r="B684" s="828" t="s">
        <v>6529</v>
      </c>
      <c r="C684" s="828">
        <v>5724</v>
      </c>
      <c r="D684" s="630" t="s">
        <v>617</v>
      </c>
      <c r="E684" s="630" t="s">
        <v>902</v>
      </c>
      <c r="F684" s="829">
        <v>53.61</v>
      </c>
      <c r="G684" s="830">
        <v>0</v>
      </c>
      <c r="H684" s="831">
        <v>53.61</v>
      </c>
      <c r="I684" s="846"/>
      <c r="J684" s="846"/>
      <c r="K684" s="846"/>
      <c r="L684" s="846"/>
      <c r="M684" s="846"/>
      <c r="N684" s="846"/>
      <c r="O684" s="846"/>
      <c r="P684" s="846"/>
      <c r="Q684" s="846"/>
      <c r="R684" s="846"/>
      <c r="S684" s="846"/>
      <c r="T684" s="846"/>
    </row>
    <row r="685" spans="2:20" ht="38.25" hidden="1">
      <c r="B685" s="828" t="s">
        <v>6529</v>
      </c>
      <c r="C685" s="828">
        <v>5727</v>
      </c>
      <c r="D685" s="630" t="s">
        <v>2030</v>
      </c>
      <c r="E685" s="630" t="s">
        <v>902</v>
      </c>
      <c r="F685" s="829">
        <v>11.28</v>
      </c>
      <c r="G685" s="830">
        <v>0</v>
      </c>
      <c r="H685" s="831">
        <v>11.28</v>
      </c>
      <c r="I685" s="846"/>
      <c r="J685" s="846"/>
      <c r="K685" s="846"/>
      <c r="L685" s="846"/>
      <c r="M685" s="846"/>
      <c r="N685" s="846"/>
      <c r="O685" s="846"/>
      <c r="P685" s="846"/>
      <c r="Q685" s="846"/>
      <c r="R685" s="846"/>
      <c r="S685" s="846"/>
      <c r="T685" s="846"/>
    </row>
    <row r="686" spans="2:20" ht="38.25" hidden="1">
      <c r="B686" s="828" t="s">
        <v>6529</v>
      </c>
      <c r="C686" s="828">
        <v>5729</v>
      </c>
      <c r="D686" s="630" t="s">
        <v>618</v>
      </c>
      <c r="E686" s="630" t="s">
        <v>902</v>
      </c>
      <c r="F686" s="829">
        <v>45.91</v>
      </c>
      <c r="G686" s="830">
        <v>0</v>
      </c>
      <c r="H686" s="831">
        <v>45.91</v>
      </c>
      <c r="I686" s="846"/>
      <c r="J686" s="846"/>
      <c r="K686" s="846"/>
      <c r="L686" s="846"/>
      <c r="M686" s="846"/>
      <c r="N686" s="846"/>
      <c r="O686" s="846"/>
      <c r="P686" s="846"/>
      <c r="Q686" s="846"/>
      <c r="R686" s="846"/>
      <c r="S686" s="846"/>
      <c r="T686" s="846"/>
    </row>
    <row r="687" spans="2:20" ht="38.25" hidden="1">
      <c r="B687" s="828" t="s">
        <v>6529</v>
      </c>
      <c r="C687" s="828">
        <v>5730</v>
      </c>
      <c r="D687" s="630" t="s">
        <v>619</v>
      </c>
      <c r="E687" s="630" t="s">
        <v>902</v>
      </c>
      <c r="F687" s="829">
        <v>49.92</v>
      </c>
      <c r="G687" s="830">
        <v>0</v>
      </c>
      <c r="H687" s="831">
        <v>49.92</v>
      </c>
      <c r="I687" s="846"/>
      <c r="J687" s="846"/>
      <c r="K687" s="846"/>
      <c r="L687" s="846"/>
      <c r="M687" s="846"/>
      <c r="N687" s="846"/>
      <c r="O687" s="846"/>
      <c r="P687" s="846"/>
      <c r="Q687" s="846"/>
      <c r="R687" s="846"/>
      <c r="S687" s="846"/>
      <c r="T687" s="846"/>
    </row>
    <row r="688" spans="2:20" ht="51" hidden="1">
      <c r="B688" s="828" t="s">
        <v>6529</v>
      </c>
      <c r="C688" s="828">
        <v>5735</v>
      </c>
      <c r="D688" s="630" t="s">
        <v>620</v>
      </c>
      <c r="E688" s="630" t="s">
        <v>902</v>
      </c>
      <c r="F688" s="829">
        <v>33.74</v>
      </c>
      <c r="G688" s="830">
        <v>0</v>
      </c>
      <c r="H688" s="831">
        <v>33.74</v>
      </c>
      <c r="I688" s="846"/>
      <c r="J688" s="846"/>
      <c r="K688" s="846"/>
      <c r="L688" s="846"/>
      <c r="M688" s="846"/>
      <c r="N688" s="846"/>
      <c r="O688" s="846"/>
      <c r="P688" s="846"/>
      <c r="Q688" s="846"/>
      <c r="R688" s="846"/>
      <c r="S688" s="846"/>
      <c r="T688" s="846"/>
    </row>
    <row r="689" spans="1:20" ht="51" hidden="1">
      <c r="B689" s="828" t="s">
        <v>6529</v>
      </c>
      <c r="C689" s="828">
        <v>5736</v>
      </c>
      <c r="D689" s="630" t="s">
        <v>621</v>
      </c>
      <c r="E689" s="630" t="s">
        <v>902</v>
      </c>
      <c r="F689" s="829">
        <v>51.02</v>
      </c>
      <c r="G689" s="830">
        <v>0</v>
      </c>
      <c r="H689" s="831">
        <v>51.02</v>
      </c>
      <c r="I689" s="846"/>
      <c r="J689" s="846"/>
      <c r="K689" s="846"/>
      <c r="L689" s="846"/>
      <c r="M689" s="846"/>
      <c r="N689" s="846"/>
      <c r="O689" s="846"/>
      <c r="P689" s="846"/>
      <c r="Q689" s="846"/>
      <c r="R689" s="846"/>
      <c r="S689" s="846"/>
      <c r="T689" s="846"/>
    </row>
    <row r="690" spans="1:20" ht="38.25" hidden="1">
      <c r="B690" s="828" t="s">
        <v>6529</v>
      </c>
      <c r="C690" s="828">
        <v>5738</v>
      </c>
      <c r="D690" s="630" t="s">
        <v>1769</v>
      </c>
      <c r="E690" s="630" t="s">
        <v>902</v>
      </c>
      <c r="F690" s="829">
        <v>40.83</v>
      </c>
      <c r="G690" s="830">
        <v>0</v>
      </c>
      <c r="H690" s="831">
        <v>40.83</v>
      </c>
      <c r="I690" s="846"/>
      <c r="J690" s="846"/>
      <c r="K690" s="846"/>
      <c r="L690" s="846"/>
      <c r="M690" s="846"/>
      <c r="N690" s="846"/>
      <c r="O690" s="846"/>
      <c r="P690" s="846"/>
      <c r="Q690" s="846"/>
      <c r="R690" s="846"/>
      <c r="S690" s="846"/>
      <c r="T690" s="846"/>
    </row>
    <row r="691" spans="1:20" ht="38.25" hidden="1">
      <c r="B691" s="828" t="s">
        <v>6529</v>
      </c>
      <c r="C691" s="828">
        <v>5739</v>
      </c>
      <c r="D691" s="630" t="s">
        <v>1770</v>
      </c>
      <c r="E691" s="630" t="s">
        <v>902</v>
      </c>
      <c r="F691" s="829">
        <v>51.09</v>
      </c>
      <c r="G691" s="830">
        <v>0</v>
      </c>
      <c r="H691" s="831">
        <v>51.09</v>
      </c>
      <c r="I691" s="846"/>
      <c r="J691" s="846"/>
      <c r="K691" s="846"/>
      <c r="L691" s="846"/>
      <c r="M691" s="846"/>
      <c r="N691" s="846"/>
      <c r="O691" s="846"/>
      <c r="P691" s="846"/>
      <c r="Q691" s="846"/>
      <c r="R691" s="846"/>
      <c r="S691" s="846"/>
      <c r="T691" s="846"/>
    </row>
    <row r="692" spans="1:20" ht="51" hidden="1">
      <c r="B692" s="828" t="s">
        <v>6529</v>
      </c>
      <c r="C692" s="828">
        <v>5741</v>
      </c>
      <c r="D692" s="630" t="s">
        <v>796</v>
      </c>
      <c r="E692" s="630" t="s">
        <v>902</v>
      </c>
      <c r="F692" s="829">
        <v>45.36</v>
      </c>
      <c r="G692" s="830">
        <v>0</v>
      </c>
      <c r="H692" s="831">
        <v>45.36</v>
      </c>
      <c r="I692" s="846"/>
      <c r="J692" s="846"/>
      <c r="K692" s="846"/>
      <c r="L692" s="846"/>
      <c r="M692" s="846"/>
      <c r="N692" s="846"/>
      <c r="O692" s="846"/>
      <c r="P692" s="846"/>
      <c r="Q692" s="846"/>
      <c r="R692" s="846"/>
      <c r="S692" s="846"/>
      <c r="T692" s="846"/>
    </row>
    <row r="693" spans="1:20" ht="51" hidden="1">
      <c r="B693" s="828" t="s">
        <v>6529</v>
      </c>
      <c r="C693" s="828">
        <v>5742</v>
      </c>
      <c r="D693" s="630" t="s">
        <v>797</v>
      </c>
      <c r="E693" s="630" t="s">
        <v>902</v>
      </c>
      <c r="F693" s="829">
        <v>33.69</v>
      </c>
      <c r="G693" s="830">
        <v>0</v>
      </c>
      <c r="H693" s="831">
        <v>33.69</v>
      </c>
      <c r="I693" s="846"/>
      <c r="J693" s="846"/>
      <c r="K693" s="846"/>
      <c r="L693" s="846"/>
      <c r="M693" s="846"/>
      <c r="N693" s="846"/>
      <c r="O693" s="846"/>
      <c r="P693" s="846"/>
      <c r="Q693" s="846"/>
      <c r="R693" s="846"/>
      <c r="S693" s="846"/>
      <c r="T693" s="846"/>
    </row>
    <row r="694" spans="1:20" ht="51" hidden="1">
      <c r="B694" s="828" t="s">
        <v>6529</v>
      </c>
      <c r="C694" s="828">
        <v>5747</v>
      </c>
      <c r="D694" s="630" t="s">
        <v>798</v>
      </c>
      <c r="E694" s="630" t="s">
        <v>902</v>
      </c>
      <c r="F694" s="829">
        <v>193.2</v>
      </c>
      <c r="G694" s="830">
        <v>0</v>
      </c>
      <c r="H694" s="831">
        <v>193.2</v>
      </c>
      <c r="I694" s="846"/>
      <c r="J694" s="846"/>
      <c r="K694" s="846"/>
      <c r="L694" s="846"/>
      <c r="M694" s="846"/>
      <c r="N694" s="846"/>
      <c r="O694" s="846"/>
      <c r="P694" s="846"/>
      <c r="Q694" s="846"/>
      <c r="R694" s="846"/>
      <c r="S694" s="846"/>
      <c r="T694" s="846"/>
    </row>
    <row r="695" spans="1:20" ht="38.25" hidden="1">
      <c r="B695" s="828" t="s">
        <v>6529</v>
      </c>
      <c r="C695" s="828">
        <v>5751</v>
      </c>
      <c r="D695" s="630" t="s">
        <v>799</v>
      </c>
      <c r="E695" s="630" t="s">
        <v>902</v>
      </c>
      <c r="F695" s="829">
        <v>27.72</v>
      </c>
      <c r="G695" s="830">
        <v>0</v>
      </c>
      <c r="H695" s="831">
        <v>27.72</v>
      </c>
      <c r="I695" s="846"/>
      <c r="J695" s="846"/>
      <c r="K695" s="846"/>
      <c r="L695" s="846"/>
      <c r="M695" s="846"/>
      <c r="N695" s="846"/>
      <c r="O695" s="846"/>
      <c r="P695" s="846"/>
      <c r="Q695" s="846"/>
      <c r="R695" s="846"/>
      <c r="S695" s="846"/>
      <c r="T695" s="846"/>
    </row>
    <row r="696" spans="1:20" ht="38.25" hidden="1">
      <c r="B696" s="828" t="s">
        <v>6529</v>
      </c>
      <c r="C696" s="828">
        <v>5754</v>
      </c>
      <c r="D696" s="630" t="s">
        <v>800</v>
      </c>
      <c r="E696" s="630" t="s">
        <v>902</v>
      </c>
      <c r="F696" s="829">
        <v>30.43</v>
      </c>
      <c r="G696" s="830">
        <v>0</v>
      </c>
      <c r="H696" s="831">
        <v>30.43</v>
      </c>
      <c r="I696" s="846"/>
      <c r="J696" s="846"/>
      <c r="K696" s="846"/>
      <c r="L696" s="846"/>
      <c r="M696" s="846"/>
      <c r="N696" s="846"/>
      <c r="O696" s="846"/>
      <c r="P696" s="846"/>
      <c r="Q696" s="846"/>
      <c r="R696" s="846"/>
      <c r="S696" s="846"/>
      <c r="T696" s="846"/>
    </row>
    <row r="697" spans="1:20" ht="51" hidden="1">
      <c r="B697" s="828" t="s">
        <v>6529</v>
      </c>
      <c r="C697" s="828">
        <v>5763</v>
      </c>
      <c r="D697" s="630" t="s">
        <v>801</v>
      </c>
      <c r="E697" s="630" t="s">
        <v>902</v>
      </c>
      <c r="F697" s="829">
        <v>44.16</v>
      </c>
      <c r="G697" s="830">
        <v>0</v>
      </c>
      <c r="H697" s="831">
        <v>44.16</v>
      </c>
      <c r="I697" s="846"/>
      <c r="J697" s="846"/>
      <c r="K697" s="846"/>
      <c r="L697" s="846"/>
      <c r="M697" s="846"/>
      <c r="N697" s="846"/>
      <c r="O697" s="846"/>
      <c r="P697" s="846"/>
      <c r="Q697" s="846"/>
      <c r="R697" s="846"/>
      <c r="S697" s="846"/>
      <c r="T697" s="846"/>
    </row>
    <row r="698" spans="1:20" s="973" customFormat="1" ht="38.25" hidden="1">
      <c r="A698" s="836"/>
      <c r="B698" s="837" t="s">
        <v>6529</v>
      </c>
      <c r="C698" s="837">
        <v>5765</v>
      </c>
      <c r="D698" s="838" t="s">
        <v>802</v>
      </c>
      <c r="E698" s="838" t="s">
        <v>902</v>
      </c>
      <c r="F698" s="839">
        <v>4.92</v>
      </c>
      <c r="G698" s="840">
        <v>0</v>
      </c>
      <c r="H698" s="841">
        <v>4.92</v>
      </c>
    </row>
    <row r="699" spans="1:20" ht="38.25" hidden="1">
      <c r="B699" s="828" t="s">
        <v>6529</v>
      </c>
      <c r="C699" s="828">
        <v>5766</v>
      </c>
      <c r="D699" s="630" t="s">
        <v>803</v>
      </c>
      <c r="E699" s="630" t="s">
        <v>902</v>
      </c>
      <c r="F699" s="829">
        <v>2.81</v>
      </c>
      <c r="G699" s="830">
        <v>0</v>
      </c>
      <c r="H699" s="831">
        <v>2.81</v>
      </c>
      <c r="I699" s="846"/>
      <c r="J699" s="846"/>
      <c r="K699" s="846"/>
      <c r="L699" s="846"/>
      <c r="M699" s="846"/>
      <c r="N699" s="846"/>
      <c r="O699" s="846"/>
      <c r="P699" s="846"/>
      <c r="Q699" s="846"/>
      <c r="R699" s="846"/>
      <c r="S699" s="846"/>
      <c r="T699" s="846"/>
    </row>
    <row r="700" spans="1:20" ht="38.25" hidden="1">
      <c r="B700" s="828" t="s">
        <v>6529</v>
      </c>
      <c r="C700" s="828">
        <v>5779</v>
      </c>
      <c r="D700" s="630" t="s">
        <v>2208</v>
      </c>
      <c r="E700" s="630" t="s">
        <v>902</v>
      </c>
      <c r="F700" s="829">
        <v>86.8</v>
      </c>
      <c r="G700" s="830">
        <v>0</v>
      </c>
      <c r="H700" s="831">
        <v>86.8</v>
      </c>
      <c r="I700" s="846"/>
      <c r="J700" s="846"/>
      <c r="K700" s="846"/>
      <c r="L700" s="846"/>
      <c r="M700" s="846"/>
      <c r="N700" s="846"/>
      <c r="O700" s="846"/>
      <c r="P700" s="846"/>
      <c r="Q700" s="846"/>
      <c r="R700" s="846"/>
      <c r="S700" s="846"/>
      <c r="T700" s="846"/>
    </row>
    <row r="701" spans="1:20" ht="38.25" hidden="1">
      <c r="B701" s="828" t="s">
        <v>6529</v>
      </c>
      <c r="C701" s="828">
        <v>5787</v>
      </c>
      <c r="D701" s="630" t="s">
        <v>432</v>
      </c>
      <c r="E701" s="630" t="s">
        <v>902</v>
      </c>
      <c r="F701" s="829">
        <v>85.96</v>
      </c>
      <c r="G701" s="830">
        <v>0</v>
      </c>
      <c r="H701" s="831">
        <v>85.96</v>
      </c>
      <c r="I701" s="846"/>
      <c r="J701" s="846"/>
      <c r="K701" s="846"/>
      <c r="L701" s="846"/>
      <c r="M701" s="846"/>
      <c r="N701" s="846"/>
      <c r="O701" s="846"/>
      <c r="P701" s="846"/>
      <c r="Q701" s="846"/>
      <c r="R701" s="846"/>
      <c r="S701" s="846"/>
      <c r="T701" s="846"/>
    </row>
    <row r="702" spans="1:20" ht="38.25" hidden="1">
      <c r="B702" s="828" t="s">
        <v>6529</v>
      </c>
      <c r="C702" s="828">
        <v>5797</v>
      </c>
      <c r="D702" s="630" t="s">
        <v>433</v>
      </c>
      <c r="E702" s="630" t="s">
        <v>902</v>
      </c>
      <c r="F702" s="829">
        <v>4.88</v>
      </c>
      <c r="G702" s="830">
        <v>0</v>
      </c>
      <c r="H702" s="831">
        <v>4.88</v>
      </c>
      <c r="I702" s="846"/>
      <c r="J702" s="846"/>
      <c r="K702" s="846"/>
      <c r="L702" s="846"/>
      <c r="M702" s="846"/>
      <c r="N702" s="846"/>
      <c r="O702" s="846"/>
      <c r="P702" s="846"/>
      <c r="Q702" s="846"/>
      <c r="R702" s="846"/>
      <c r="S702" s="846"/>
      <c r="T702" s="846"/>
    </row>
    <row r="703" spans="1:20" ht="38.25" hidden="1">
      <c r="B703" s="828" t="s">
        <v>6529</v>
      </c>
      <c r="C703" s="828">
        <v>5800</v>
      </c>
      <c r="D703" s="630" t="s">
        <v>434</v>
      </c>
      <c r="E703" s="630" t="s">
        <v>902</v>
      </c>
      <c r="F703" s="829">
        <v>0.43</v>
      </c>
      <c r="G703" s="830">
        <v>0</v>
      </c>
      <c r="H703" s="831">
        <v>0.43</v>
      </c>
      <c r="I703" s="846"/>
      <c r="J703" s="846"/>
      <c r="K703" s="846"/>
      <c r="L703" s="846"/>
      <c r="M703" s="846"/>
      <c r="N703" s="846"/>
      <c r="O703" s="846"/>
      <c r="P703" s="846"/>
      <c r="Q703" s="846"/>
      <c r="R703" s="846"/>
      <c r="S703" s="846"/>
      <c r="T703" s="846"/>
    </row>
    <row r="704" spans="1:20" ht="25.5" hidden="1">
      <c r="B704" s="828" t="s">
        <v>6529</v>
      </c>
      <c r="C704" s="828">
        <v>7032</v>
      </c>
      <c r="D704" s="630" t="s">
        <v>435</v>
      </c>
      <c r="E704" s="630" t="s">
        <v>902</v>
      </c>
      <c r="F704" s="829">
        <v>5.2</v>
      </c>
      <c r="G704" s="830">
        <v>0</v>
      </c>
      <c r="H704" s="831">
        <v>5.2</v>
      </c>
      <c r="I704" s="846"/>
      <c r="J704" s="846"/>
      <c r="K704" s="846"/>
      <c r="L704" s="846"/>
      <c r="M704" s="846"/>
      <c r="N704" s="846"/>
      <c r="O704" s="846"/>
      <c r="P704" s="846"/>
      <c r="Q704" s="846"/>
      <c r="R704" s="846"/>
      <c r="S704" s="846"/>
      <c r="T704" s="846"/>
    </row>
    <row r="705" spans="2:20" ht="25.5" hidden="1">
      <c r="B705" s="828" t="s">
        <v>6529</v>
      </c>
      <c r="C705" s="828">
        <v>7033</v>
      </c>
      <c r="D705" s="630" t="s">
        <v>436</v>
      </c>
      <c r="E705" s="630" t="s">
        <v>902</v>
      </c>
      <c r="F705" s="829">
        <v>0.82</v>
      </c>
      <c r="G705" s="830">
        <v>0</v>
      </c>
      <c r="H705" s="831">
        <v>0.82</v>
      </c>
      <c r="I705" s="846"/>
      <c r="J705" s="846"/>
      <c r="K705" s="846"/>
      <c r="L705" s="846"/>
      <c r="M705" s="846"/>
      <c r="N705" s="846"/>
      <c r="O705" s="846"/>
      <c r="P705" s="846"/>
      <c r="Q705" s="846"/>
      <c r="R705" s="846"/>
      <c r="S705" s="846"/>
      <c r="T705" s="846"/>
    </row>
    <row r="706" spans="2:20" ht="25.5" hidden="1">
      <c r="B706" s="828" t="s">
        <v>6529</v>
      </c>
      <c r="C706" s="828">
        <v>7034</v>
      </c>
      <c r="D706" s="630" t="s">
        <v>437</v>
      </c>
      <c r="E706" s="630" t="s">
        <v>902</v>
      </c>
      <c r="F706" s="829">
        <v>4.33</v>
      </c>
      <c r="G706" s="830">
        <v>0</v>
      </c>
      <c r="H706" s="831">
        <v>4.33</v>
      </c>
      <c r="I706" s="846"/>
      <c r="J706" s="846"/>
      <c r="K706" s="846"/>
      <c r="L706" s="846"/>
      <c r="M706" s="846"/>
      <c r="N706" s="846"/>
      <c r="O706" s="846"/>
      <c r="P706" s="846"/>
      <c r="Q706" s="846"/>
      <c r="R706" s="846"/>
      <c r="S706" s="846"/>
      <c r="T706" s="846"/>
    </row>
    <row r="707" spans="2:20" ht="25.5" hidden="1">
      <c r="B707" s="828" t="s">
        <v>6529</v>
      </c>
      <c r="C707" s="828">
        <v>7035</v>
      </c>
      <c r="D707" s="630" t="s">
        <v>438</v>
      </c>
      <c r="E707" s="630" t="s">
        <v>902</v>
      </c>
      <c r="F707" s="829">
        <v>313.3</v>
      </c>
      <c r="G707" s="830">
        <v>0</v>
      </c>
      <c r="H707" s="831">
        <v>313.3</v>
      </c>
      <c r="I707" s="846"/>
      <c r="J707" s="846"/>
      <c r="K707" s="846"/>
      <c r="L707" s="846"/>
      <c r="M707" s="846"/>
      <c r="N707" s="846"/>
      <c r="O707" s="846"/>
      <c r="P707" s="846"/>
      <c r="Q707" s="846"/>
      <c r="R707" s="846"/>
      <c r="S707" s="846"/>
      <c r="T707" s="846"/>
    </row>
    <row r="708" spans="2:20" ht="38.25" hidden="1">
      <c r="B708" s="828" t="s">
        <v>6529</v>
      </c>
      <c r="C708" s="828">
        <v>7038</v>
      </c>
      <c r="D708" s="630" t="s">
        <v>439</v>
      </c>
      <c r="E708" s="630" t="s">
        <v>902</v>
      </c>
      <c r="F708" s="829">
        <v>46.7</v>
      </c>
      <c r="G708" s="830">
        <v>0</v>
      </c>
      <c r="H708" s="831">
        <v>46.7</v>
      </c>
      <c r="I708" s="846"/>
      <c r="J708" s="846"/>
      <c r="K708" s="846"/>
      <c r="L708" s="846"/>
      <c r="M708" s="846"/>
      <c r="N708" s="846"/>
      <c r="O708" s="846"/>
      <c r="P708" s="846"/>
      <c r="Q708" s="846"/>
      <c r="R708" s="846"/>
      <c r="S708" s="846"/>
      <c r="T708" s="846"/>
    </row>
    <row r="709" spans="2:20" ht="38.25" hidden="1">
      <c r="B709" s="828" t="s">
        <v>6529</v>
      </c>
      <c r="C709" s="828">
        <v>7039</v>
      </c>
      <c r="D709" s="630" t="s">
        <v>440</v>
      </c>
      <c r="E709" s="630" t="s">
        <v>902</v>
      </c>
      <c r="F709" s="829">
        <v>6.48</v>
      </c>
      <c r="G709" s="830">
        <v>0</v>
      </c>
      <c r="H709" s="831">
        <v>6.48</v>
      </c>
      <c r="I709" s="846"/>
      <c r="J709" s="846"/>
      <c r="K709" s="846"/>
      <c r="L709" s="846"/>
      <c r="M709" s="846"/>
      <c r="N709" s="846"/>
      <c r="O709" s="846"/>
      <c r="P709" s="846"/>
      <c r="Q709" s="846"/>
      <c r="R709" s="846"/>
      <c r="S709" s="846"/>
      <c r="T709" s="846"/>
    </row>
    <row r="710" spans="2:20" ht="38.25" hidden="1">
      <c r="B710" s="828" t="s">
        <v>6529</v>
      </c>
      <c r="C710" s="828">
        <v>7040</v>
      </c>
      <c r="D710" s="630" t="s">
        <v>441</v>
      </c>
      <c r="E710" s="630" t="s">
        <v>902</v>
      </c>
      <c r="F710" s="829">
        <v>58.44</v>
      </c>
      <c r="G710" s="830">
        <v>0</v>
      </c>
      <c r="H710" s="831">
        <v>58.44</v>
      </c>
      <c r="I710" s="846"/>
      <c r="J710" s="846"/>
      <c r="K710" s="846"/>
      <c r="L710" s="846"/>
      <c r="M710" s="846"/>
      <c r="N710" s="846"/>
      <c r="O710" s="846"/>
      <c r="P710" s="846"/>
      <c r="Q710" s="846"/>
      <c r="R710" s="846"/>
      <c r="S710" s="846"/>
      <c r="T710" s="846"/>
    </row>
    <row r="711" spans="2:20" ht="38.25" hidden="1">
      <c r="B711" s="828" t="s">
        <v>6529</v>
      </c>
      <c r="C711" s="828">
        <v>7044</v>
      </c>
      <c r="D711" s="630" t="s">
        <v>442</v>
      </c>
      <c r="E711" s="630" t="s">
        <v>902</v>
      </c>
      <c r="F711" s="829">
        <v>0.26</v>
      </c>
      <c r="G711" s="830">
        <v>0</v>
      </c>
      <c r="H711" s="831">
        <v>0.26</v>
      </c>
      <c r="I711" s="846"/>
      <c r="J711" s="846"/>
      <c r="K711" s="846"/>
      <c r="L711" s="846"/>
      <c r="M711" s="846"/>
      <c r="N711" s="846"/>
      <c r="O711" s="846"/>
      <c r="P711" s="846"/>
      <c r="Q711" s="846"/>
      <c r="R711" s="846"/>
      <c r="S711" s="846"/>
      <c r="T711" s="846"/>
    </row>
    <row r="712" spans="2:20" ht="38.25" hidden="1">
      <c r="B712" s="828" t="s">
        <v>6529</v>
      </c>
      <c r="C712" s="828">
        <v>7045</v>
      </c>
      <c r="D712" s="630" t="s">
        <v>443</v>
      </c>
      <c r="E712" s="630" t="s">
        <v>902</v>
      </c>
      <c r="F712" s="829">
        <v>0.03</v>
      </c>
      <c r="G712" s="830">
        <v>0</v>
      </c>
      <c r="H712" s="831">
        <v>0.03</v>
      </c>
      <c r="I712" s="846"/>
      <c r="J712" s="846"/>
      <c r="K712" s="846"/>
      <c r="L712" s="846"/>
      <c r="M712" s="846"/>
      <c r="N712" s="846"/>
      <c r="O712" s="846"/>
      <c r="P712" s="846"/>
      <c r="Q712" s="846"/>
      <c r="R712" s="846"/>
      <c r="S712" s="846"/>
      <c r="T712" s="846"/>
    </row>
    <row r="713" spans="2:20" ht="38.25" hidden="1">
      <c r="B713" s="828" t="s">
        <v>6529</v>
      </c>
      <c r="C713" s="828">
        <v>7046</v>
      </c>
      <c r="D713" s="630" t="s">
        <v>444</v>
      </c>
      <c r="E713" s="630" t="s">
        <v>902</v>
      </c>
      <c r="F713" s="829">
        <v>0.28999999999999998</v>
      </c>
      <c r="G713" s="830">
        <v>0</v>
      </c>
      <c r="H713" s="831">
        <v>0.28999999999999998</v>
      </c>
      <c r="I713" s="846"/>
      <c r="J713" s="846"/>
      <c r="K713" s="846"/>
      <c r="L713" s="846"/>
      <c r="M713" s="846"/>
      <c r="N713" s="846"/>
      <c r="O713" s="846"/>
      <c r="P713" s="846"/>
      <c r="Q713" s="846"/>
      <c r="R713" s="846"/>
      <c r="S713" s="846"/>
      <c r="T713" s="846"/>
    </row>
    <row r="714" spans="2:20" ht="51" hidden="1">
      <c r="B714" s="828" t="s">
        <v>6529</v>
      </c>
      <c r="C714" s="828">
        <v>7047</v>
      </c>
      <c r="D714" s="630" t="s">
        <v>445</v>
      </c>
      <c r="E714" s="630" t="s">
        <v>902</v>
      </c>
      <c r="F714" s="829">
        <v>23.83</v>
      </c>
      <c r="G714" s="830">
        <v>0</v>
      </c>
      <c r="H714" s="831">
        <v>23.83</v>
      </c>
      <c r="I714" s="846"/>
      <c r="J714" s="846"/>
      <c r="K714" s="846"/>
      <c r="L714" s="846"/>
      <c r="M714" s="846"/>
      <c r="N714" s="846"/>
      <c r="O714" s="846"/>
      <c r="P714" s="846"/>
      <c r="Q714" s="846"/>
      <c r="R714" s="846"/>
      <c r="S714" s="846"/>
      <c r="T714" s="846"/>
    </row>
    <row r="715" spans="2:20" ht="51" hidden="1">
      <c r="B715" s="828" t="s">
        <v>6529</v>
      </c>
      <c r="C715" s="828">
        <v>7051</v>
      </c>
      <c r="D715" s="630" t="s">
        <v>1775</v>
      </c>
      <c r="E715" s="630" t="s">
        <v>902</v>
      </c>
      <c r="F715" s="829">
        <v>41.42</v>
      </c>
      <c r="G715" s="830">
        <v>0</v>
      </c>
      <c r="H715" s="831">
        <v>41.42</v>
      </c>
      <c r="I715" s="846"/>
      <c r="J715" s="846"/>
      <c r="K715" s="846"/>
      <c r="L715" s="846"/>
      <c r="M715" s="846"/>
      <c r="N715" s="846"/>
      <c r="O715" s="846"/>
      <c r="P715" s="846"/>
      <c r="Q715" s="846"/>
      <c r="R715" s="846"/>
      <c r="S715" s="846"/>
      <c r="T715" s="846"/>
    </row>
    <row r="716" spans="2:20" ht="51" hidden="1">
      <c r="B716" s="828" t="s">
        <v>6529</v>
      </c>
      <c r="C716" s="828">
        <v>7052</v>
      </c>
      <c r="D716" s="630" t="s">
        <v>1776</v>
      </c>
      <c r="E716" s="630" t="s">
        <v>902</v>
      </c>
      <c r="F716" s="829">
        <v>5.75</v>
      </c>
      <c r="G716" s="830">
        <v>0</v>
      </c>
      <c r="H716" s="831">
        <v>5.75</v>
      </c>
      <c r="I716" s="846"/>
      <c r="J716" s="846"/>
      <c r="K716" s="846"/>
      <c r="L716" s="846"/>
      <c r="M716" s="846"/>
      <c r="N716" s="846"/>
      <c r="O716" s="846"/>
      <c r="P716" s="846"/>
      <c r="Q716" s="846"/>
      <c r="R716" s="846"/>
      <c r="S716" s="846"/>
      <c r="T716" s="846"/>
    </row>
    <row r="717" spans="2:20" ht="51" hidden="1">
      <c r="B717" s="828" t="s">
        <v>6529</v>
      </c>
      <c r="C717" s="828">
        <v>7053</v>
      </c>
      <c r="D717" s="630" t="s">
        <v>1777</v>
      </c>
      <c r="E717" s="630" t="s">
        <v>902</v>
      </c>
      <c r="F717" s="829">
        <v>51.83</v>
      </c>
      <c r="G717" s="830">
        <v>0</v>
      </c>
      <c r="H717" s="831">
        <v>51.83</v>
      </c>
      <c r="I717" s="846"/>
      <c r="J717" s="846"/>
      <c r="K717" s="846"/>
      <c r="L717" s="846"/>
      <c r="M717" s="846"/>
      <c r="N717" s="846"/>
      <c r="O717" s="846"/>
      <c r="P717" s="846"/>
      <c r="Q717" s="846"/>
      <c r="R717" s="846"/>
      <c r="S717" s="846"/>
      <c r="T717" s="846"/>
    </row>
    <row r="718" spans="2:20" ht="51" hidden="1">
      <c r="B718" s="828" t="s">
        <v>6529</v>
      </c>
      <c r="C718" s="828">
        <v>7054</v>
      </c>
      <c r="D718" s="630" t="s">
        <v>1778</v>
      </c>
      <c r="E718" s="630" t="s">
        <v>902</v>
      </c>
      <c r="F718" s="829">
        <v>109.06</v>
      </c>
      <c r="G718" s="830">
        <v>0</v>
      </c>
      <c r="H718" s="831">
        <v>109.06</v>
      </c>
      <c r="I718" s="846"/>
      <c r="J718" s="846"/>
      <c r="K718" s="846"/>
      <c r="L718" s="846"/>
      <c r="M718" s="846"/>
      <c r="N718" s="846"/>
      <c r="O718" s="846"/>
      <c r="P718" s="846"/>
      <c r="Q718" s="846"/>
      <c r="R718" s="846"/>
      <c r="S718" s="846"/>
      <c r="T718" s="846"/>
    </row>
    <row r="719" spans="2:20" ht="38.25" hidden="1">
      <c r="B719" s="828" t="s">
        <v>6529</v>
      </c>
      <c r="C719" s="828">
        <v>7058</v>
      </c>
      <c r="D719" s="630" t="s">
        <v>446</v>
      </c>
      <c r="E719" s="630" t="s">
        <v>902</v>
      </c>
      <c r="F719" s="829">
        <v>20.02</v>
      </c>
      <c r="G719" s="830">
        <v>0</v>
      </c>
      <c r="H719" s="831">
        <v>20.02</v>
      </c>
      <c r="I719" s="846"/>
      <c r="J719" s="846"/>
      <c r="K719" s="846"/>
      <c r="L719" s="846"/>
      <c r="M719" s="846"/>
      <c r="N719" s="846"/>
      <c r="O719" s="846"/>
      <c r="P719" s="846"/>
      <c r="Q719" s="846"/>
      <c r="R719" s="846"/>
      <c r="S719" s="846"/>
      <c r="T719" s="846"/>
    </row>
    <row r="720" spans="2:20" ht="38.25" hidden="1">
      <c r="B720" s="828" t="s">
        <v>6529</v>
      </c>
      <c r="C720" s="828">
        <v>7059</v>
      </c>
      <c r="D720" s="630" t="s">
        <v>447</v>
      </c>
      <c r="E720" s="630" t="s">
        <v>902</v>
      </c>
      <c r="F720" s="829">
        <v>3.87</v>
      </c>
      <c r="G720" s="830">
        <v>0</v>
      </c>
      <c r="H720" s="831">
        <v>3.87</v>
      </c>
      <c r="I720" s="846"/>
      <c r="J720" s="846"/>
      <c r="K720" s="846"/>
      <c r="L720" s="846"/>
      <c r="M720" s="846"/>
      <c r="N720" s="846"/>
      <c r="O720" s="846"/>
      <c r="P720" s="846"/>
      <c r="Q720" s="846"/>
      <c r="R720" s="846"/>
      <c r="S720" s="846"/>
      <c r="T720" s="846"/>
    </row>
    <row r="721" spans="2:20" ht="38.25" hidden="1">
      <c r="B721" s="828" t="s">
        <v>6529</v>
      </c>
      <c r="C721" s="828">
        <v>7060</v>
      </c>
      <c r="D721" s="630" t="s">
        <v>448</v>
      </c>
      <c r="E721" s="630" t="s">
        <v>902</v>
      </c>
      <c r="F721" s="829">
        <v>35.78</v>
      </c>
      <c r="G721" s="830">
        <v>0</v>
      </c>
      <c r="H721" s="831">
        <v>35.78</v>
      </c>
      <c r="I721" s="846"/>
      <c r="J721" s="846"/>
      <c r="K721" s="846"/>
      <c r="L721" s="846"/>
      <c r="M721" s="846"/>
      <c r="N721" s="846"/>
      <c r="O721" s="846"/>
      <c r="P721" s="846"/>
      <c r="Q721" s="846"/>
      <c r="R721" s="846"/>
      <c r="S721" s="846"/>
      <c r="T721" s="846"/>
    </row>
    <row r="722" spans="2:20" ht="38.25" hidden="1">
      <c r="B722" s="828" t="s">
        <v>6529</v>
      </c>
      <c r="C722" s="828">
        <v>7061</v>
      </c>
      <c r="D722" s="630" t="s">
        <v>449</v>
      </c>
      <c r="E722" s="630" t="s">
        <v>902</v>
      </c>
      <c r="F722" s="829">
        <v>99.56</v>
      </c>
      <c r="G722" s="830">
        <v>0</v>
      </c>
      <c r="H722" s="831">
        <v>99.56</v>
      </c>
      <c r="I722" s="846"/>
      <c r="J722" s="846"/>
      <c r="K722" s="846"/>
      <c r="L722" s="846"/>
      <c r="M722" s="846"/>
      <c r="N722" s="846"/>
      <c r="O722" s="846"/>
      <c r="P722" s="846"/>
      <c r="Q722" s="846"/>
      <c r="R722" s="846"/>
      <c r="S722" s="846"/>
      <c r="T722" s="846"/>
    </row>
    <row r="723" spans="2:20" ht="25.5" hidden="1">
      <c r="B723" s="828" t="s">
        <v>6529</v>
      </c>
      <c r="C723" s="828">
        <v>7063</v>
      </c>
      <c r="D723" s="630" t="s">
        <v>450</v>
      </c>
      <c r="E723" s="630" t="s">
        <v>902</v>
      </c>
      <c r="F723" s="829">
        <v>19.09</v>
      </c>
      <c r="G723" s="830">
        <v>0</v>
      </c>
      <c r="H723" s="831">
        <v>19.09</v>
      </c>
      <c r="I723" s="846"/>
      <c r="J723" s="846"/>
      <c r="K723" s="846"/>
      <c r="L723" s="846"/>
      <c r="M723" s="846"/>
      <c r="N723" s="846"/>
      <c r="O723" s="846"/>
      <c r="P723" s="846"/>
      <c r="Q723" s="846"/>
      <c r="R723" s="846"/>
      <c r="S723" s="846"/>
      <c r="T723" s="846"/>
    </row>
    <row r="724" spans="2:20" ht="25.5" hidden="1">
      <c r="B724" s="828" t="s">
        <v>6529</v>
      </c>
      <c r="C724" s="828">
        <v>7064</v>
      </c>
      <c r="D724" s="630" t="s">
        <v>451</v>
      </c>
      <c r="E724" s="630" t="s">
        <v>902</v>
      </c>
      <c r="F724" s="829">
        <v>2.65</v>
      </c>
      <c r="G724" s="830">
        <v>0</v>
      </c>
      <c r="H724" s="831">
        <v>2.65</v>
      </c>
      <c r="I724" s="846"/>
      <c r="J724" s="846"/>
      <c r="K724" s="846"/>
      <c r="L724" s="846"/>
      <c r="M724" s="846"/>
      <c r="N724" s="846"/>
      <c r="O724" s="846"/>
      <c r="P724" s="846"/>
      <c r="Q724" s="846"/>
      <c r="R724" s="846"/>
      <c r="S724" s="846"/>
      <c r="T724" s="846"/>
    </row>
    <row r="725" spans="2:20" ht="25.5" hidden="1">
      <c r="B725" s="828" t="s">
        <v>6529</v>
      </c>
      <c r="C725" s="828">
        <v>7065</v>
      </c>
      <c r="D725" s="630" t="s">
        <v>452</v>
      </c>
      <c r="E725" s="630" t="s">
        <v>902</v>
      </c>
      <c r="F725" s="829">
        <v>20.88</v>
      </c>
      <c r="G725" s="830">
        <v>0</v>
      </c>
      <c r="H725" s="831">
        <v>20.88</v>
      </c>
      <c r="I725" s="846"/>
      <c r="J725" s="846"/>
      <c r="K725" s="846"/>
      <c r="L725" s="846"/>
      <c r="M725" s="846"/>
      <c r="N725" s="846"/>
      <c r="O725" s="846"/>
      <c r="P725" s="846"/>
      <c r="Q725" s="846"/>
      <c r="R725" s="846"/>
      <c r="S725" s="846"/>
      <c r="T725" s="846"/>
    </row>
    <row r="726" spans="2:20" ht="25.5" hidden="1">
      <c r="B726" s="828" t="s">
        <v>6529</v>
      </c>
      <c r="C726" s="828">
        <v>7066</v>
      </c>
      <c r="D726" s="630" t="s">
        <v>453</v>
      </c>
      <c r="E726" s="630" t="s">
        <v>902</v>
      </c>
      <c r="F726" s="829">
        <v>118.12</v>
      </c>
      <c r="G726" s="830">
        <v>0</v>
      </c>
      <c r="H726" s="831">
        <v>118.12</v>
      </c>
      <c r="I726" s="846"/>
      <c r="J726" s="846"/>
      <c r="K726" s="846"/>
      <c r="L726" s="846"/>
      <c r="M726" s="846"/>
      <c r="N726" s="846"/>
      <c r="O726" s="846"/>
      <c r="P726" s="846"/>
      <c r="Q726" s="846"/>
      <c r="R726" s="846"/>
      <c r="S726" s="846"/>
      <c r="T726" s="846"/>
    </row>
    <row r="727" spans="2:20" ht="51" hidden="1">
      <c r="B727" s="828" t="s">
        <v>6529</v>
      </c>
      <c r="C727" s="828">
        <v>53786</v>
      </c>
      <c r="D727" s="630" t="s">
        <v>454</v>
      </c>
      <c r="E727" s="630" t="s">
        <v>902</v>
      </c>
      <c r="F727" s="829">
        <v>62.35</v>
      </c>
      <c r="G727" s="830">
        <v>0</v>
      </c>
      <c r="H727" s="831">
        <v>62.35</v>
      </c>
      <c r="I727" s="846"/>
      <c r="J727" s="846"/>
      <c r="K727" s="846"/>
      <c r="L727" s="846"/>
      <c r="M727" s="846"/>
      <c r="N727" s="846"/>
      <c r="O727" s="846"/>
      <c r="P727" s="846"/>
      <c r="Q727" s="846"/>
      <c r="R727" s="846"/>
      <c r="S727" s="846"/>
      <c r="T727" s="846"/>
    </row>
    <row r="728" spans="2:20" ht="38.25" hidden="1">
      <c r="B728" s="828" t="s">
        <v>6529</v>
      </c>
      <c r="C728" s="828">
        <v>53788</v>
      </c>
      <c r="D728" s="630" t="s">
        <v>455</v>
      </c>
      <c r="E728" s="630" t="s">
        <v>902</v>
      </c>
      <c r="F728" s="829">
        <v>69.81</v>
      </c>
      <c r="G728" s="830">
        <v>0</v>
      </c>
      <c r="H728" s="831">
        <v>69.81</v>
      </c>
      <c r="I728" s="846"/>
      <c r="J728" s="846"/>
      <c r="K728" s="846"/>
      <c r="L728" s="846"/>
      <c r="M728" s="846"/>
      <c r="N728" s="846"/>
      <c r="O728" s="846"/>
      <c r="P728" s="846"/>
      <c r="Q728" s="846"/>
      <c r="R728" s="846"/>
      <c r="S728" s="846"/>
      <c r="T728" s="846"/>
    </row>
    <row r="729" spans="2:20" ht="38.25" hidden="1">
      <c r="B729" s="828" t="s">
        <v>6529</v>
      </c>
      <c r="C729" s="828">
        <v>53792</v>
      </c>
      <c r="D729" s="630" t="s">
        <v>733</v>
      </c>
      <c r="E729" s="630" t="s">
        <v>902</v>
      </c>
      <c r="F729" s="829">
        <v>123.75</v>
      </c>
      <c r="G729" s="830">
        <v>0</v>
      </c>
      <c r="H729" s="831">
        <v>123.75</v>
      </c>
      <c r="I729" s="846"/>
      <c r="J729" s="846"/>
      <c r="K729" s="846"/>
      <c r="L729" s="846"/>
      <c r="M729" s="846"/>
      <c r="N729" s="846"/>
      <c r="O729" s="846"/>
      <c r="P729" s="846"/>
      <c r="Q729" s="846"/>
      <c r="R729" s="846"/>
      <c r="S729" s="846"/>
      <c r="T729" s="846"/>
    </row>
    <row r="730" spans="2:20" ht="25.5" hidden="1">
      <c r="B730" s="828" t="s">
        <v>6529</v>
      </c>
      <c r="C730" s="828">
        <v>53794</v>
      </c>
      <c r="D730" s="630" t="s">
        <v>2066</v>
      </c>
      <c r="E730" s="630" t="s">
        <v>902</v>
      </c>
      <c r="F730" s="829">
        <v>35</v>
      </c>
      <c r="G730" s="830">
        <v>0</v>
      </c>
      <c r="H730" s="831">
        <v>35</v>
      </c>
      <c r="I730" s="846"/>
      <c r="J730" s="846"/>
      <c r="K730" s="846"/>
      <c r="L730" s="846"/>
      <c r="M730" s="846"/>
      <c r="N730" s="846"/>
      <c r="O730" s="846"/>
      <c r="P730" s="846"/>
      <c r="Q730" s="846"/>
      <c r="R730" s="846"/>
      <c r="S730" s="846"/>
      <c r="T730" s="846"/>
    </row>
    <row r="731" spans="2:20" ht="51" hidden="1">
      <c r="B731" s="828" t="s">
        <v>6529</v>
      </c>
      <c r="C731" s="828">
        <v>53797</v>
      </c>
      <c r="D731" s="630" t="s">
        <v>734</v>
      </c>
      <c r="E731" s="630" t="s">
        <v>902</v>
      </c>
      <c r="F731" s="829">
        <v>142.32</v>
      </c>
      <c r="G731" s="830">
        <v>0</v>
      </c>
      <c r="H731" s="831">
        <v>142.32</v>
      </c>
      <c r="I731" s="846"/>
      <c r="J731" s="846"/>
      <c r="K731" s="846"/>
      <c r="L731" s="846"/>
      <c r="M731" s="846"/>
      <c r="N731" s="846"/>
      <c r="O731" s="846"/>
      <c r="P731" s="846"/>
      <c r="Q731" s="846"/>
      <c r="R731" s="846"/>
      <c r="S731" s="846"/>
      <c r="T731" s="846"/>
    </row>
    <row r="732" spans="2:20" ht="25.5" hidden="1">
      <c r="B732" s="828" t="s">
        <v>6529</v>
      </c>
      <c r="C732" s="828">
        <v>53804</v>
      </c>
      <c r="D732" s="630" t="s">
        <v>735</v>
      </c>
      <c r="E732" s="630" t="s">
        <v>902</v>
      </c>
      <c r="F732" s="829">
        <v>5.96</v>
      </c>
      <c r="G732" s="830">
        <v>0</v>
      </c>
      <c r="H732" s="831">
        <v>5.96</v>
      </c>
      <c r="I732" s="846"/>
      <c r="J732" s="846"/>
      <c r="K732" s="846"/>
      <c r="L732" s="846"/>
      <c r="M732" s="846"/>
      <c r="N732" s="846"/>
      <c r="O732" s="846"/>
      <c r="P732" s="846"/>
      <c r="Q732" s="846"/>
      <c r="R732" s="846"/>
      <c r="S732" s="846"/>
      <c r="T732" s="846"/>
    </row>
    <row r="733" spans="2:20" ht="25.5" hidden="1">
      <c r="B733" s="828" t="s">
        <v>6529</v>
      </c>
      <c r="C733" s="828">
        <v>53806</v>
      </c>
      <c r="D733" s="630" t="s">
        <v>736</v>
      </c>
      <c r="E733" s="630" t="s">
        <v>902</v>
      </c>
      <c r="F733" s="829">
        <v>69.069999999999993</v>
      </c>
      <c r="G733" s="830">
        <v>0</v>
      </c>
      <c r="H733" s="831">
        <v>69.069999999999993</v>
      </c>
      <c r="I733" s="846"/>
      <c r="J733" s="846"/>
      <c r="K733" s="846"/>
      <c r="L733" s="846"/>
      <c r="M733" s="846"/>
      <c r="N733" s="846"/>
      <c r="O733" s="846"/>
      <c r="P733" s="846"/>
      <c r="Q733" s="846"/>
      <c r="R733" s="846"/>
      <c r="S733" s="846"/>
      <c r="T733" s="846"/>
    </row>
    <row r="734" spans="2:20" ht="25.5" hidden="1">
      <c r="B734" s="828" t="s">
        <v>6529</v>
      </c>
      <c r="C734" s="828">
        <v>53810</v>
      </c>
      <c r="D734" s="630" t="s">
        <v>737</v>
      </c>
      <c r="E734" s="630" t="s">
        <v>902</v>
      </c>
      <c r="F734" s="829">
        <v>69.5</v>
      </c>
      <c r="G734" s="830">
        <v>0</v>
      </c>
      <c r="H734" s="831">
        <v>69.5</v>
      </c>
      <c r="I734" s="846"/>
      <c r="J734" s="846"/>
      <c r="K734" s="846"/>
      <c r="L734" s="846"/>
      <c r="M734" s="846"/>
      <c r="N734" s="846"/>
      <c r="O734" s="846"/>
      <c r="P734" s="846"/>
      <c r="Q734" s="846"/>
      <c r="R734" s="846"/>
      <c r="S734" s="846"/>
      <c r="T734" s="846"/>
    </row>
    <row r="735" spans="2:20" ht="25.5" hidden="1">
      <c r="B735" s="828" t="s">
        <v>6529</v>
      </c>
      <c r="C735" s="828">
        <v>53814</v>
      </c>
      <c r="D735" s="630" t="s">
        <v>738</v>
      </c>
      <c r="E735" s="630" t="s">
        <v>902</v>
      </c>
      <c r="F735" s="829">
        <v>227.65</v>
      </c>
      <c r="G735" s="830">
        <v>0</v>
      </c>
      <c r="H735" s="831">
        <v>227.65</v>
      </c>
      <c r="I735" s="846"/>
      <c r="J735" s="846"/>
      <c r="K735" s="846"/>
      <c r="L735" s="846"/>
      <c r="M735" s="846"/>
      <c r="N735" s="846"/>
      <c r="O735" s="846"/>
      <c r="P735" s="846"/>
      <c r="Q735" s="846"/>
      <c r="R735" s="846"/>
      <c r="S735" s="846"/>
      <c r="T735" s="846"/>
    </row>
    <row r="736" spans="2:20" ht="25.5" hidden="1">
      <c r="B736" s="828" t="s">
        <v>6529</v>
      </c>
      <c r="C736" s="828">
        <v>53817</v>
      </c>
      <c r="D736" s="630" t="s">
        <v>739</v>
      </c>
      <c r="E736" s="630" t="s">
        <v>902</v>
      </c>
      <c r="F736" s="829">
        <v>76.31</v>
      </c>
      <c r="G736" s="830">
        <v>0</v>
      </c>
      <c r="H736" s="831">
        <v>76.31</v>
      </c>
      <c r="I736" s="846"/>
      <c r="J736" s="846"/>
      <c r="K736" s="846"/>
      <c r="L736" s="846"/>
      <c r="M736" s="846"/>
      <c r="N736" s="846"/>
      <c r="O736" s="846"/>
      <c r="P736" s="846"/>
      <c r="Q736" s="846"/>
      <c r="R736" s="846"/>
      <c r="S736" s="846"/>
      <c r="T736" s="846"/>
    </row>
    <row r="737" spans="1:20" ht="38.25" hidden="1">
      <c r="B737" s="828" t="s">
        <v>6529</v>
      </c>
      <c r="C737" s="828">
        <v>53818</v>
      </c>
      <c r="D737" s="630" t="s">
        <v>1779</v>
      </c>
      <c r="E737" s="630" t="s">
        <v>902</v>
      </c>
      <c r="F737" s="829">
        <v>9.02</v>
      </c>
      <c r="G737" s="830">
        <v>0</v>
      </c>
      <c r="H737" s="831">
        <v>9.02</v>
      </c>
      <c r="I737" s="846"/>
      <c r="J737" s="846"/>
      <c r="K737" s="846"/>
      <c r="L737" s="846"/>
      <c r="M737" s="846"/>
      <c r="N737" s="846"/>
      <c r="O737" s="846"/>
      <c r="P737" s="846"/>
      <c r="Q737" s="846"/>
      <c r="R737" s="846"/>
      <c r="S737" s="846"/>
      <c r="T737" s="846"/>
    </row>
    <row r="738" spans="1:20" ht="38.25" hidden="1">
      <c r="B738" s="828" t="s">
        <v>6529</v>
      </c>
      <c r="C738" s="828">
        <v>53827</v>
      </c>
      <c r="D738" s="630" t="s">
        <v>740</v>
      </c>
      <c r="E738" s="630" t="s">
        <v>902</v>
      </c>
      <c r="F738" s="829">
        <v>139.32</v>
      </c>
      <c r="G738" s="830">
        <v>0</v>
      </c>
      <c r="H738" s="831">
        <v>139.32</v>
      </c>
      <c r="I738" s="846"/>
      <c r="J738" s="846"/>
      <c r="K738" s="846"/>
      <c r="L738" s="846"/>
      <c r="M738" s="846"/>
      <c r="N738" s="846"/>
      <c r="O738" s="846"/>
      <c r="P738" s="846"/>
      <c r="Q738" s="846"/>
      <c r="R738" s="846"/>
      <c r="S738" s="846"/>
      <c r="T738" s="846"/>
    </row>
    <row r="739" spans="1:20" ht="38.25" hidden="1">
      <c r="B739" s="828" t="s">
        <v>6529</v>
      </c>
      <c r="C739" s="828">
        <v>53829</v>
      </c>
      <c r="D739" s="630" t="s">
        <v>741</v>
      </c>
      <c r="E739" s="630" t="s">
        <v>902</v>
      </c>
      <c r="F739" s="829">
        <v>142.32</v>
      </c>
      <c r="G739" s="830">
        <v>0</v>
      </c>
      <c r="H739" s="831">
        <v>142.32</v>
      </c>
      <c r="I739" s="846"/>
      <c r="J739" s="846"/>
      <c r="K739" s="846"/>
      <c r="L739" s="846"/>
      <c r="M739" s="846"/>
      <c r="N739" s="846"/>
      <c r="O739" s="846"/>
      <c r="P739" s="846"/>
      <c r="Q739" s="846"/>
      <c r="R739" s="846"/>
      <c r="S739" s="846"/>
      <c r="T739" s="846"/>
    </row>
    <row r="740" spans="1:20" ht="51" hidden="1">
      <c r="B740" s="828" t="s">
        <v>6529</v>
      </c>
      <c r="C740" s="828">
        <v>53831</v>
      </c>
      <c r="D740" s="630" t="s">
        <v>742</v>
      </c>
      <c r="E740" s="630" t="s">
        <v>902</v>
      </c>
      <c r="F740" s="829">
        <v>235.08</v>
      </c>
      <c r="G740" s="830">
        <v>0</v>
      </c>
      <c r="H740" s="831">
        <v>235.08</v>
      </c>
      <c r="I740" s="846"/>
      <c r="J740" s="846"/>
      <c r="K740" s="846"/>
      <c r="L740" s="846"/>
      <c r="M740" s="846"/>
      <c r="N740" s="846"/>
      <c r="O740" s="846"/>
      <c r="P740" s="846"/>
      <c r="Q740" s="846"/>
      <c r="R740" s="846"/>
      <c r="S740" s="846"/>
      <c r="T740" s="846"/>
    </row>
    <row r="741" spans="1:20" ht="25.5" hidden="1">
      <c r="B741" s="828" t="s">
        <v>6529</v>
      </c>
      <c r="C741" s="828">
        <v>53840</v>
      </c>
      <c r="D741" s="630" t="s">
        <v>743</v>
      </c>
      <c r="E741" s="630" t="s">
        <v>902</v>
      </c>
      <c r="F741" s="829">
        <v>3.23</v>
      </c>
      <c r="G741" s="830">
        <v>0</v>
      </c>
      <c r="H741" s="831">
        <v>3.23</v>
      </c>
      <c r="I741" s="846"/>
      <c r="J741" s="846"/>
      <c r="K741" s="846"/>
      <c r="L741" s="846"/>
      <c r="M741" s="846"/>
      <c r="N741" s="846"/>
      <c r="O741" s="846"/>
      <c r="P741" s="846"/>
      <c r="Q741" s="846"/>
      <c r="R741" s="846"/>
      <c r="S741" s="846"/>
      <c r="T741" s="846"/>
    </row>
    <row r="742" spans="1:20" ht="25.5" hidden="1">
      <c r="B742" s="828" t="s">
        <v>6529</v>
      </c>
      <c r="C742" s="828">
        <v>53841</v>
      </c>
      <c r="D742" s="630" t="s">
        <v>744</v>
      </c>
      <c r="E742" s="630" t="s">
        <v>902</v>
      </c>
      <c r="F742" s="829">
        <v>2.2400000000000002</v>
      </c>
      <c r="G742" s="830">
        <v>0</v>
      </c>
      <c r="H742" s="831">
        <v>2.2400000000000002</v>
      </c>
      <c r="I742" s="846"/>
      <c r="J742" s="846"/>
      <c r="K742" s="846"/>
      <c r="L742" s="846"/>
      <c r="M742" s="846"/>
      <c r="N742" s="846"/>
      <c r="O742" s="846"/>
      <c r="P742" s="846"/>
      <c r="Q742" s="846"/>
      <c r="R742" s="846"/>
      <c r="S742" s="846"/>
      <c r="T742" s="846"/>
    </row>
    <row r="743" spans="1:20" ht="38.25" hidden="1">
      <c r="B743" s="828" t="s">
        <v>6529</v>
      </c>
      <c r="C743" s="828">
        <v>53849</v>
      </c>
      <c r="D743" s="630" t="s">
        <v>2039</v>
      </c>
      <c r="E743" s="630" t="s">
        <v>902</v>
      </c>
      <c r="F743" s="829">
        <v>102.26</v>
      </c>
      <c r="G743" s="830">
        <v>0</v>
      </c>
      <c r="H743" s="831">
        <v>102.26</v>
      </c>
      <c r="I743" s="846"/>
      <c r="J743" s="846"/>
      <c r="K743" s="846"/>
      <c r="L743" s="846"/>
      <c r="M743" s="846"/>
      <c r="N743" s="846"/>
      <c r="O743" s="846"/>
      <c r="P743" s="846"/>
      <c r="Q743" s="846"/>
      <c r="R743" s="846"/>
      <c r="S743" s="846"/>
      <c r="T743" s="846"/>
    </row>
    <row r="744" spans="1:20" s="974" customFormat="1" ht="38.25" hidden="1">
      <c r="A744" s="842"/>
      <c r="B744" s="828" t="s">
        <v>6529</v>
      </c>
      <c r="C744" s="828">
        <v>53857</v>
      </c>
      <c r="D744" s="630" t="s">
        <v>745</v>
      </c>
      <c r="E744" s="630" t="s">
        <v>902</v>
      </c>
      <c r="F744" s="829">
        <v>70.75</v>
      </c>
      <c r="G744" s="830">
        <v>0</v>
      </c>
      <c r="H744" s="831">
        <v>70.75</v>
      </c>
    </row>
    <row r="745" spans="1:20" ht="38.25" hidden="1">
      <c r="B745" s="828" t="s">
        <v>6529</v>
      </c>
      <c r="C745" s="828">
        <v>53858</v>
      </c>
      <c r="D745" s="630" t="s">
        <v>746</v>
      </c>
      <c r="E745" s="630" t="s">
        <v>902</v>
      </c>
      <c r="F745" s="829">
        <v>55.84</v>
      </c>
      <c r="G745" s="830">
        <v>0</v>
      </c>
      <c r="H745" s="831">
        <v>55.84</v>
      </c>
      <c r="I745" s="846"/>
      <c r="J745" s="846"/>
      <c r="K745" s="846"/>
      <c r="L745" s="846"/>
      <c r="M745" s="846"/>
      <c r="N745" s="846"/>
      <c r="O745" s="846"/>
      <c r="P745" s="846"/>
      <c r="Q745" s="846"/>
      <c r="R745" s="846"/>
      <c r="S745" s="846"/>
      <c r="T745" s="846"/>
    </row>
    <row r="746" spans="1:20" ht="38.25" hidden="1">
      <c r="B746" s="828" t="s">
        <v>6529</v>
      </c>
      <c r="C746" s="828">
        <v>53861</v>
      </c>
      <c r="D746" s="630" t="s">
        <v>747</v>
      </c>
      <c r="E746" s="630" t="s">
        <v>902</v>
      </c>
      <c r="F746" s="829">
        <v>68.67</v>
      </c>
      <c r="G746" s="830">
        <v>0</v>
      </c>
      <c r="H746" s="831">
        <v>68.67</v>
      </c>
      <c r="I746" s="846"/>
      <c r="J746" s="846"/>
      <c r="K746" s="846"/>
      <c r="L746" s="846"/>
      <c r="M746" s="846"/>
      <c r="N746" s="846"/>
      <c r="O746" s="846"/>
      <c r="P746" s="846"/>
      <c r="Q746" s="846"/>
      <c r="R746" s="846"/>
      <c r="S746" s="846"/>
      <c r="T746" s="846"/>
    </row>
    <row r="747" spans="1:20" ht="25.5" hidden="1">
      <c r="B747" s="828" t="s">
        <v>6529</v>
      </c>
      <c r="C747" s="828">
        <v>53863</v>
      </c>
      <c r="D747" s="630" t="s">
        <v>1653</v>
      </c>
      <c r="E747" s="630" t="s">
        <v>902</v>
      </c>
      <c r="F747" s="829">
        <v>1.51</v>
      </c>
      <c r="G747" s="830">
        <v>0</v>
      </c>
      <c r="H747" s="831">
        <v>1.51</v>
      </c>
      <c r="I747" s="846"/>
      <c r="J747" s="846"/>
      <c r="K747" s="846"/>
      <c r="L747" s="846"/>
      <c r="M747" s="846"/>
      <c r="N747" s="846"/>
      <c r="O747" s="846"/>
      <c r="P747" s="846"/>
      <c r="Q747" s="846"/>
      <c r="R747" s="846"/>
      <c r="S747" s="846"/>
      <c r="T747" s="846"/>
    </row>
    <row r="748" spans="1:20" ht="38.25" hidden="1">
      <c r="B748" s="828" t="s">
        <v>6529</v>
      </c>
      <c r="C748" s="828">
        <v>53865</v>
      </c>
      <c r="D748" s="630" t="s">
        <v>748</v>
      </c>
      <c r="E748" s="630" t="s">
        <v>902</v>
      </c>
      <c r="F748" s="829">
        <v>57.6</v>
      </c>
      <c r="G748" s="830">
        <v>0</v>
      </c>
      <c r="H748" s="831">
        <v>57.6</v>
      </c>
      <c r="I748" s="846"/>
      <c r="J748" s="846"/>
      <c r="K748" s="846"/>
      <c r="L748" s="846"/>
      <c r="M748" s="846"/>
      <c r="N748" s="846"/>
      <c r="O748" s="846"/>
      <c r="P748" s="846"/>
      <c r="Q748" s="846"/>
      <c r="R748" s="846"/>
      <c r="S748" s="846"/>
      <c r="T748" s="846"/>
    </row>
    <row r="749" spans="1:20" ht="38.25" hidden="1">
      <c r="B749" s="828" t="s">
        <v>6529</v>
      </c>
      <c r="C749" s="828">
        <v>53866</v>
      </c>
      <c r="D749" s="630" t="s">
        <v>749</v>
      </c>
      <c r="E749" s="630" t="s">
        <v>902</v>
      </c>
      <c r="F749" s="829">
        <v>1.61</v>
      </c>
      <c r="G749" s="830">
        <v>0</v>
      </c>
      <c r="H749" s="831">
        <v>1.61</v>
      </c>
      <c r="I749" s="846"/>
      <c r="J749" s="846"/>
      <c r="K749" s="846"/>
      <c r="L749" s="846"/>
      <c r="M749" s="846"/>
      <c r="N749" s="846"/>
      <c r="O749" s="846"/>
      <c r="P749" s="846"/>
      <c r="Q749" s="846"/>
      <c r="R749" s="846"/>
      <c r="S749" s="846"/>
      <c r="T749" s="846"/>
    </row>
    <row r="750" spans="1:20" ht="38.25" hidden="1">
      <c r="B750" s="828" t="s">
        <v>6529</v>
      </c>
      <c r="C750" s="828">
        <v>53882</v>
      </c>
      <c r="D750" s="630" t="s">
        <v>750</v>
      </c>
      <c r="E750" s="630" t="s">
        <v>902</v>
      </c>
      <c r="F750" s="829">
        <v>31.66</v>
      </c>
      <c r="G750" s="830">
        <v>0</v>
      </c>
      <c r="H750" s="831">
        <v>31.66</v>
      </c>
      <c r="I750" s="846"/>
      <c r="J750" s="846"/>
      <c r="K750" s="846"/>
      <c r="L750" s="846"/>
      <c r="M750" s="846"/>
      <c r="N750" s="846"/>
      <c r="O750" s="846"/>
      <c r="P750" s="846"/>
      <c r="Q750" s="846"/>
      <c r="R750" s="846"/>
      <c r="S750" s="846"/>
      <c r="T750" s="846"/>
    </row>
    <row r="751" spans="1:20" ht="38.25" hidden="1">
      <c r="B751" s="828" t="s">
        <v>6529</v>
      </c>
      <c r="C751" s="828">
        <v>55263</v>
      </c>
      <c r="D751" s="630" t="s">
        <v>751</v>
      </c>
      <c r="E751" s="630" t="s">
        <v>902</v>
      </c>
      <c r="F751" s="829">
        <v>78.72</v>
      </c>
      <c r="G751" s="830">
        <v>0</v>
      </c>
      <c r="H751" s="831">
        <v>78.72</v>
      </c>
      <c r="I751" s="846"/>
      <c r="J751" s="846"/>
      <c r="K751" s="846"/>
      <c r="L751" s="846"/>
      <c r="M751" s="846"/>
      <c r="N751" s="846"/>
      <c r="O751" s="846"/>
      <c r="P751" s="846"/>
      <c r="Q751" s="846"/>
      <c r="R751" s="846"/>
      <c r="S751" s="846"/>
      <c r="T751" s="846"/>
    </row>
    <row r="752" spans="1:20" ht="25.5" hidden="1">
      <c r="B752" s="828" t="s">
        <v>6529</v>
      </c>
      <c r="C752" s="828">
        <v>73303</v>
      </c>
      <c r="D752" s="630" t="s">
        <v>1694</v>
      </c>
      <c r="E752" s="630" t="s">
        <v>902</v>
      </c>
      <c r="F752" s="829">
        <v>5.15</v>
      </c>
      <c r="G752" s="830">
        <v>0</v>
      </c>
      <c r="H752" s="831">
        <v>5.15</v>
      </c>
      <c r="I752" s="846"/>
      <c r="J752" s="846"/>
      <c r="K752" s="846"/>
      <c r="L752" s="846"/>
      <c r="M752" s="846"/>
      <c r="N752" s="846"/>
      <c r="O752" s="846"/>
      <c r="P752" s="846"/>
      <c r="Q752" s="846"/>
      <c r="R752" s="846"/>
      <c r="S752" s="846"/>
      <c r="T752" s="846"/>
    </row>
    <row r="753" spans="2:20" ht="25.5" hidden="1">
      <c r="B753" s="828" t="s">
        <v>6529</v>
      </c>
      <c r="C753" s="828">
        <v>73307</v>
      </c>
      <c r="D753" s="630" t="s">
        <v>1948</v>
      </c>
      <c r="E753" s="630" t="s">
        <v>902</v>
      </c>
      <c r="F753" s="829">
        <v>4.59</v>
      </c>
      <c r="G753" s="830">
        <v>0</v>
      </c>
      <c r="H753" s="831">
        <v>4.59</v>
      </c>
      <c r="I753" s="846"/>
      <c r="J753" s="846"/>
      <c r="K753" s="846"/>
      <c r="L753" s="846"/>
      <c r="M753" s="846"/>
      <c r="N753" s="846"/>
      <c r="O753" s="846"/>
      <c r="P753" s="846"/>
      <c r="Q753" s="846"/>
      <c r="R753" s="846"/>
      <c r="S753" s="846"/>
      <c r="T753" s="846"/>
    </row>
    <row r="754" spans="2:20" ht="38.25" hidden="1">
      <c r="B754" s="828" t="s">
        <v>6529</v>
      </c>
      <c r="C754" s="828">
        <v>73309</v>
      </c>
      <c r="D754" s="630" t="s">
        <v>1780</v>
      </c>
      <c r="E754" s="630" t="s">
        <v>902</v>
      </c>
      <c r="F754" s="829">
        <v>31.06</v>
      </c>
      <c r="G754" s="830">
        <v>0</v>
      </c>
      <c r="H754" s="831">
        <v>31.06</v>
      </c>
      <c r="I754" s="846"/>
      <c r="J754" s="846"/>
      <c r="K754" s="846"/>
      <c r="L754" s="846"/>
      <c r="M754" s="846"/>
      <c r="N754" s="846"/>
      <c r="O754" s="846"/>
      <c r="P754" s="846"/>
      <c r="Q754" s="846"/>
      <c r="R754" s="846"/>
      <c r="S754" s="846"/>
      <c r="T754" s="846"/>
    </row>
    <row r="755" spans="2:20" ht="25.5" hidden="1">
      <c r="B755" s="828" t="s">
        <v>6529</v>
      </c>
      <c r="C755" s="828">
        <v>73311</v>
      </c>
      <c r="D755" s="630" t="s">
        <v>1949</v>
      </c>
      <c r="E755" s="630" t="s">
        <v>902</v>
      </c>
      <c r="F755" s="829">
        <v>217.61</v>
      </c>
      <c r="G755" s="830">
        <v>0</v>
      </c>
      <c r="H755" s="831">
        <v>217.61</v>
      </c>
      <c r="I755" s="846"/>
      <c r="J755" s="846"/>
      <c r="K755" s="846"/>
      <c r="L755" s="846"/>
      <c r="M755" s="846"/>
      <c r="N755" s="846"/>
      <c r="O755" s="846"/>
      <c r="P755" s="846"/>
      <c r="Q755" s="846"/>
      <c r="R755" s="846"/>
      <c r="S755" s="846"/>
      <c r="T755" s="846"/>
    </row>
    <row r="756" spans="2:20" ht="38.25" hidden="1">
      <c r="B756" s="828" t="s">
        <v>6529</v>
      </c>
      <c r="C756" s="828">
        <v>73313</v>
      </c>
      <c r="D756" s="630" t="s">
        <v>1781</v>
      </c>
      <c r="E756" s="630" t="s">
        <v>902</v>
      </c>
      <c r="F756" s="829">
        <v>4.3099999999999996</v>
      </c>
      <c r="G756" s="830">
        <v>0</v>
      </c>
      <c r="H756" s="831">
        <v>4.3099999999999996</v>
      </c>
      <c r="I756" s="846"/>
      <c r="J756" s="846"/>
      <c r="K756" s="846"/>
      <c r="L756" s="846"/>
      <c r="M756" s="846"/>
      <c r="N756" s="846"/>
      <c r="O756" s="846"/>
      <c r="P756" s="846"/>
      <c r="Q756" s="846"/>
      <c r="R756" s="846"/>
      <c r="S756" s="846"/>
      <c r="T756" s="846"/>
    </row>
    <row r="757" spans="2:20" ht="38.25" hidden="1">
      <c r="B757" s="828" t="s">
        <v>6529</v>
      </c>
      <c r="C757" s="828">
        <v>73315</v>
      </c>
      <c r="D757" s="630" t="s">
        <v>2027</v>
      </c>
      <c r="E757" s="630" t="s">
        <v>902</v>
      </c>
      <c r="F757" s="829">
        <v>69.81</v>
      </c>
      <c r="G757" s="830">
        <v>0</v>
      </c>
      <c r="H757" s="831">
        <v>69.81</v>
      </c>
      <c r="I757" s="846"/>
      <c r="J757" s="846"/>
      <c r="K757" s="846"/>
      <c r="L757" s="846"/>
      <c r="M757" s="846"/>
      <c r="N757" s="846"/>
      <c r="O757" s="846"/>
      <c r="P757" s="846"/>
      <c r="Q757" s="846"/>
      <c r="R757" s="846"/>
      <c r="S757" s="846"/>
      <c r="T757" s="846"/>
    </row>
    <row r="758" spans="2:20" ht="51" hidden="1">
      <c r="B758" s="828" t="s">
        <v>6529</v>
      </c>
      <c r="C758" s="828">
        <v>73335</v>
      </c>
      <c r="D758" s="630" t="s">
        <v>623</v>
      </c>
      <c r="E758" s="630" t="s">
        <v>902</v>
      </c>
      <c r="F758" s="829">
        <v>29.87</v>
      </c>
      <c r="G758" s="830">
        <v>0</v>
      </c>
      <c r="H758" s="831">
        <v>29.87</v>
      </c>
      <c r="I758" s="846"/>
      <c r="J758" s="846"/>
      <c r="K758" s="846"/>
      <c r="L758" s="846"/>
      <c r="M758" s="846"/>
      <c r="N758" s="846"/>
      <c r="O758" s="846"/>
      <c r="P758" s="846"/>
      <c r="Q758" s="846"/>
      <c r="R758" s="846"/>
      <c r="S758" s="846"/>
      <c r="T758" s="846"/>
    </row>
    <row r="759" spans="2:20" ht="51" hidden="1">
      <c r="B759" s="828" t="s">
        <v>6529</v>
      </c>
      <c r="C759" s="828">
        <v>73340</v>
      </c>
      <c r="D759" s="630" t="s">
        <v>624</v>
      </c>
      <c r="E759" s="630" t="s">
        <v>902</v>
      </c>
      <c r="F759" s="829">
        <v>99.56</v>
      </c>
      <c r="G759" s="830">
        <v>0</v>
      </c>
      <c r="H759" s="831">
        <v>99.56</v>
      </c>
      <c r="I759" s="846"/>
      <c r="J759" s="846"/>
      <c r="K759" s="846"/>
      <c r="L759" s="846"/>
      <c r="M759" s="846"/>
      <c r="N759" s="846"/>
      <c r="O759" s="846"/>
      <c r="P759" s="846"/>
      <c r="Q759" s="846"/>
      <c r="R759" s="846"/>
      <c r="S759" s="846"/>
      <c r="T759" s="846"/>
    </row>
    <row r="760" spans="2:20" ht="51" hidden="1">
      <c r="B760" s="828" t="s">
        <v>6529</v>
      </c>
      <c r="C760" s="828">
        <v>83361</v>
      </c>
      <c r="D760" s="630" t="s">
        <v>1796</v>
      </c>
      <c r="E760" s="630" t="s">
        <v>902</v>
      </c>
      <c r="F760" s="829">
        <v>38.11</v>
      </c>
      <c r="G760" s="830">
        <v>0</v>
      </c>
      <c r="H760" s="831">
        <v>38.11</v>
      </c>
      <c r="I760" s="846"/>
      <c r="J760" s="846"/>
      <c r="K760" s="846"/>
      <c r="L760" s="846"/>
      <c r="M760" s="846"/>
      <c r="N760" s="846"/>
      <c r="O760" s="846"/>
      <c r="P760" s="846"/>
      <c r="Q760" s="846"/>
      <c r="R760" s="846"/>
      <c r="S760" s="846"/>
      <c r="T760" s="846"/>
    </row>
    <row r="761" spans="2:20" ht="38.25" hidden="1">
      <c r="B761" s="828" t="s">
        <v>6529</v>
      </c>
      <c r="C761" s="828">
        <v>83761</v>
      </c>
      <c r="D761" s="630" t="s">
        <v>1865</v>
      </c>
      <c r="E761" s="630" t="s">
        <v>902</v>
      </c>
      <c r="F761" s="829">
        <v>6.86</v>
      </c>
      <c r="G761" s="830">
        <v>0</v>
      </c>
      <c r="H761" s="831">
        <v>6.86</v>
      </c>
      <c r="I761" s="846"/>
      <c r="J761" s="846"/>
      <c r="K761" s="846"/>
      <c r="L761" s="846"/>
      <c r="M761" s="846"/>
      <c r="N761" s="846"/>
      <c r="O761" s="846"/>
      <c r="P761" s="846"/>
      <c r="Q761" s="846"/>
      <c r="R761" s="846"/>
      <c r="S761" s="846"/>
      <c r="T761" s="846"/>
    </row>
    <row r="762" spans="2:20" ht="38.25" hidden="1">
      <c r="B762" s="828" t="s">
        <v>6529</v>
      </c>
      <c r="C762" s="828">
        <v>83762</v>
      </c>
      <c r="D762" s="630" t="s">
        <v>1866</v>
      </c>
      <c r="E762" s="630" t="s">
        <v>902</v>
      </c>
      <c r="F762" s="829">
        <v>6.12</v>
      </c>
      <c r="G762" s="830">
        <v>0</v>
      </c>
      <c r="H762" s="831">
        <v>6.12</v>
      </c>
      <c r="I762" s="846"/>
      <c r="J762" s="846"/>
      <c r="K762" s="846"/>
      <c r="L762" s="846"/>
      <c r="M762" s="846"/>
      <c r="N762" s="846"/>
      <c r="O762" s="846"/>
      <c r="P762" s="846"/>
      <c r="Q762" s="846"/>
      <c r="R762" s="846"/>
      <c r="S762" s="846"/>
      <c r="T762" s="846"/>
    </row>
    <row r="763" spans="2:20" ht="38.25" hidden="1">
      <c r="B763" s="828" t="s">
        <v>6529</v>
      </c>
      <c r="C763" s="828">
        <v>83763</v>
      </c>
      <c r="D763" s="630" t="s">
        <v>1867</v>
      </c>
      <c r="E763" s="630" t="s">
        <v>902</v>
      </c>
      <c r="F763" s="829">
        <v>61.33</v>
      </c>
      <c r="G763" s="830">
        <v>0</v>
      </c>
      <c r="H763" s="831">
        <v>61.33</v>
      </c>
      <c r="I763" s="846"/>
      <c r="J763" s="846"/>
      <c r="K763" s="846"/>
      <c r="L763" s="846"/>
      <c r="M763" s="846"/>
      <c r="N763" s="846"/>
      <c r="O763" s="846"/>
      <c r="P763" s="846"/>
      <c r="Q763" s="846"/>
      <c r="R763" s="846"/>
      <c r="S763" s="846"/>
      <c r="T763" s="846"/>
    </row>
    <row r="764" spans="2:20" ht="25.5" hidden="1">
      <c r="B764" s="828" t="s">
        <v>6529</v>
      </c>
      <c r="C764" s="828">
        <v>83764</v>
      </c>
      <c r="D764" s="630" t="s">
        <v>1868</v>
      </c>
      <c r="E764" s="630" t="s">
        <v>902</v>
      </c>
      <c r="F764" s="829">
        <v>1.23</v>
      </c>
      <c r="G764" s="830">
        <v>0</v>
      </c>
      <c r="H764" s="831">
        <v>1.23</v>
      </c>
      <c r="I764" s="846"/>
      <c r="J764" s="846"/>
      <c r="K764" s="846"/>
      <c r="L764" s="846"/>
      <c r="M764" s="846"/>
      <c r="N764" s="846"/>
      <c r="O764" s="846"/>
      <c r="P764" s="846"/>
      <c r="Q764" s="846"/>
      <c r="R764" s="846"/>
      <c r="S764" s="846"/>
      <c r="T764" s="846"/>
    </row>
    <row r="765" spans="2:20" ht="25.5" hidden="1">
      <c r="B765" s="828" t="s">
        <v>6529</v>
      </c>
      <c r="C765" s="828">
        <v>87026</v>
      </c>
      <c r="D765" s="630" t="s">
        <v>625</v>
      </c>
      <c r="E765" s="630" t="s">
        <v>902</v>
      </c>
      <c r="F765" s="829">
        <v>0.45</v>
      </c>
      <c r="G765" s="830">
        <v>0</v>
      </c>
      <c r="H765" s="831">
        <v>0.45</v>
      </c>
      <c r="I765" s="846"/>
      <c r="J765" s="846"/>
      <c r="K765" s="846"/>
      <c r="L765" s="846"/>
      <c r="M765" s="846"/>
      <c r="N765" s="846"/>
      <c r="O765" s="846"/>
      <c r="P765" s="846"/>
      <c r="Q765" s="846"/>
      <c r="R765" s="846"/>
      <c r="S765" s="846"/>
      <c r="T765" s="846"/>
    </row>
    <row r="766" spans="2:20" ht="38.25" hidden="1">
      <c r="B766" s="828" t="s">
        <v>6529</v>
      </c>
      <c r="C766" s="828">
        <v>87441</v>
      </c>
      <c r="D766" s="630" t="s">
        <v>7059</v>
      </c>
      <c r="E766" s="630" t="s">
        <v>902</v>
      </c>
      <c r="F766" s="829">
        <v>0.41</v>
      </c>
      <c r="G766" s="830">
        <v>0</v>
      </c>
      <c r="H766" s="831">
        <v>0.41</v>
      </c>
      <c r="I766" s="846"/>
      <c r="J766" s="846"/>
      <c r="K766" s="846"/>
      <c r="L766" s="846"/>
      <c r="M766" s="846"/>
      <c r="N766" s="846"/>
      <c r="O766" s="846"/>
      <c r="P766" s="846"/>
      <c r="Q766" s="846"/>
      <c r="R766" s="846"/>
      <c r="S766" s="846"/>
      <c r="T766" s="846"/>
    </row>
    <row r="767" spans="2:20" ht="25.5" hidden="1">
      <c r="B767" s="828" t="s">
        <v>6529</v>
      </c>
      <c r="C767" s="828">
        <v>87442</v>
      </c>
      <c r="D767" s="630" t="s">
        <v>7060</v>
      </c>
      <c r="E767" s="630" t="s">
        <v>902</v>
      </c>
      <c r="F767" s="829">
        <v>0.04</v>
      </c>
      <c r="G767" s="830">
        <v>0</v>
      </c>
      <c r="H767" s="831">
        <v>0.04</v>
      </c>
      <c r="I767" s="846"/>
      <c r="J767" s="846"/>
      <c r="K767" s="846"/>
      <c r="L767" s="846"/>
      <c r="M767" s="846"/>
      <c r="N767" s="846"/>
      <c r="O767" s="846"/>
      <c r="P767" s="846"/>
      <c r="Q767" s="846"/>
      <c r="R767" s="846"/>
      <c r="S767" s="846"/>
      <c r="T767" s="846"/>
    </row>
    <row r="768" spans="2:20" ht="38.25" hidden="1">
      <c r="B768" s="828" t="s">
        <v>6529</v>
      </c>
      <c r="C768" s="828">
        <v>87443</v>
      </c>
      <c r="D768" s="630" t="s">
        <v>7061</v>
      </c>
      <c r="E768" s="630" t="s">
        <v>902</v>
      </c>
      <c r="F768" s="829">
        <v>0.52</v>
      </c>
      <c r="G768" s="830">
        <v>0</v>
      </c>
      <c r="H768" s="831">
        <v>0.52</v>
      </c>
      <c r="I768" s="846"/>
      <c r="J768" s="846"/>
      <c r="K768" s="846"/>
      <c r="L768" s="846"/>
      <c r="M768" s="846"/>
      <c r="N768" s="846"/>
      <c r="O768" s="846"/>
      <c r="P768" s="846"/>
      <c r="Q768" s="846"/>
      <c r="R768" s="846"/>
      <c r="S768" s="846"/>
      <c r="T768" s="846"/>
    </row>
    <row r="769" spans="2:20" ht="38.25" hidden="1">
      <c r="B769" s="828" t="s">
        <v>6529</v>
      </c>
      <c r="C769" s="828">
        <v>87444</v>
      </c>
      <c r="D769" s="630" t="s">
        <v>7062</v>
      </c>
      <c r="E769" s="630" t="s">
        <v>902</v>
      </c>
      <c r="F769" s="829">
        <v>5.1100000000000003</v>
      </c>
      <c r="G769" s="830">
        <v>0</v>
      </c>
      <c r="H769" s="831">
        <v>5.1100000000000003</v>
      </c>
      <c r="I769" s="846"/>
      <c r="J769" s="846"/>
      <c r="K769" s="846"/>
      <c r="L769" s="846"/>
      <c r="M769" s="846"/>
      <c r="N769" s="846"/>
      <c r="O769" s="846"/>
      <c r="P769" s="846"/>
      <c r="Q769" s="846"/>
      <c r="R769" s="846"/>
      <c r="S769" s="846"/>
      <c r="T769" s="846"/>
    </row>
    <row r="770" spans="2:20" ht="25.5" hidden="1">
      <c r="B770" s="828" t="s">
        <v>6529</v>
      </c>
      <c r="C770" s="828">
        <v>88387</v>
      </c>
      <c r="D770" s="630" t="s">
        <v>354</v>
      </c>
      <c r="E770" s="630" t="s">
        <v>902</v>
      </c>
      <c r="F770" s="829">
        <v>0.81</v>
      </c>
      <c r="G770" s="830">
        <v>0</v>
      </c>
      <c r="H770" s="831">
        <v>0.81</v>
      </c>
      <c r="I770" s="846"/>
      <c r="J770" s="846"/>
      <c r="K770" s="846"/>
      <c r="L770" s="846"/>
      <c r="M770" s="846"/>
      <c r="N770" s="846"/>
      <c r="O770" s="846"/>
      <c r="P770" s="846"/>
      <c r="Q770" s="846"/>
      <c r="R770" s="846"/>
      <c r="S770" s="846"/>
      <c r="T770" s="846"/>
    </row>
    <row r="771" spans="2:20" ht="25.5" hidden="1">
      <c r="B771" s="828" t="s">
        <v>6529</v>
      </c>
      <c r="C771" s="828">
        <v>88389</v>
      </c>
      <c r="D771" s="630" t="s">
        <v>355</v>
      </c>
      <c r="E771" s="630" t="s">
        <v>902</v>
      </c>
      <c r="F771" s="829">
        <v>0.09</v>
      </c>
      <c r="G771" s="830">
        <v>0</v>
      </c>
      <c r="H771" s="831">
        <v>0.09</v>
      </c>
      <c r="I771" s="846"/>
      <c r="J771" s="846"/>
      <c r="K771" s="846"/>
      <c r="L771" s="846"/>
      <c r="M771" s="846"/>
      <c r="N771" s="846"/>
      <c r="O771" s="846"/>
      <c r="P771" s="846"/>
      <c r="Q771" s="846"/>
      <c r="R771" s="846"/>
      <c r="S771" s="846"/>
      <c r="T771" s="846"/>
    </row>
    <row r="772" spans="2:20" ht="25.5" hidden="1">
      <c r="B772" s="828" t="s">
        <v>6529</v>
      </c>
      <c r="C772" s="828">
        <v>88390</v>
      </c>
      <c r="D772" s="630" t="s">
        <v>356</v>
      </c>
      <c r="E772" s="630" t="s">
        <v>902</v>
      </c>
      <c r="F772" s="829">
        <v>0.88</v>
      </c>
      <c r="G772" s="830">
        <v>0</v>
      </c>
      <c r="H772" s="831">
        <v>0.88</v>
      </c>
      <c r="I772" s="846"/>
      <c r="J772" s="846"/>
      <c r="K772" s="846"/>
      <c r="L772" s="846"/>
      <c r="M772" s="846"/>
      <c r="N772" s="846"/>
      <c r="O772" s="846"/>
      <c r="P772" s="846"/>
      <c r="Q772" s="846"/>
      <c r="R772" s="846"/>
      <c r="S772" s="846"/>
      <c r="T772" s="846"/>
    </row>
    <row r="773" spans="2:20" ht="38.25" hidden="1">
      <c r="B773" s="828" t="s">
        <v>6529</v>
      </c>
      <c r="C773" s="828">
        <v>88391</v>
      </c>
      <c r="D773" s="630" t="s">
        <v>357</v>
      </c>
      <c r="E773" s="630" t="s">
        <v>902</v>
      </c>
      <c r="F773" s="829">
        <v>2.62</v>
      </c>
      <c r="G773" s="830">
        <v>0</v>
      </c>
      <c r="H773" s="831">
        <v>2.62</v>
      </c>
      <c r="I773" s="846"/>
      <c r="J773" s="846"/>
      <c r="K773" s="846"/>
      <c r="L773" s="846"/>
      <c r="M773" s="846"/>
      <c r="N773" s="846"/>
      <c r="O773" s="846"/>
      <c r="P773" s="846"/>
      <c r="Q773" s="846"/>
      <c r="R773" s="846"/>
      <c r="S773" s="846"/>
      <c r="T773" s="846"/>
    </row>
    <row r="774" spans="2:20" ht="25.5" hidden="1">
      <c r="B774" s="828" t="s">
        <v>6529</v>
      </c>
      <c r="C774" s="828">
        <v>88394</v>
      </c>
      <c r="D774" s="630" t="s">
        <v>358</v>
      </c>
      <c r="E774" s="630" t="s">
        <v>902</v>
      </c>
      <c r="F774" s="829">
        <v>0.96</v>
      </c>
      <c r="G774" s="830">
        <v>0</v>
      </c>
      <c r="H774" s="831">
        <v>0.96</v>
      </c>
      <c r="I774" s="846"/>
      <c r="J774" s="846"/>
      <c r="K774" s="846"/>
      <c r="L774" s="846"/>
      <c r="M774" s="846"/>
      <c r="N774" s="846"/>
      <c r="O774" s="846"/>
      <c r="P774" s="846"/>
      <c r="Q774" s="846"/>
      <c r="R774" s="846"/>
      <c r="S774" s="846"/>
      <c r="T774" s="846"/>
    </row>
    <row r="775" spans="2:20" ht="25.5" hidden="1">
      <c r="B775" s="828" t="s">
        <v>6529</v>
      </c>
      <c r="C775" s="828">
        <v>88395</v>
      </c>
      <c r="D775" s="630" t="s">
        <v>359</v>
      </c>
      <c r="E775" s="630" t="s">
        <v>902</v>
      </c>
      <c r="F775" s="829">
        <v>0.11</v>
      </c>
      <c r="G775" s="830">
        <v>0</v>
      </c>
      <c r="H775" s="831">
        <v>0.11</v>
      </c>
      <c r="I775" s="846"/>
      <c r="J775" s="846"/>
      <c r="K775" s="846"/>
      <c r="L775" s="846"/>
      <c r="M775" s="846"/>
      <c r="N775" s="846"/>
      <c r="O775" s="846"/>
      <c r="P775" s="846"/>
      <c r="Q775" s="846"/>
      <c r="R775" s="846"/>
      <c r="S775" s="846"/>
      <c r="T775" s="846"/>
    </row>
    <row r="776" spans="2:20" ht="25.5" hidden="1">
      <c r="B776" s="828" t="s">
        <v>6529</v>
      </c>
      <c r="C776" s="828">
        <v>88396</v>
      </c>
      <c r="D776" s="630" t="s">
        <v>360</v>
      </c>
      <c r="E776" s="630" t="s">
        <v>902</v>
      </c>
      <c r="F776" s="829">
        <v>1.05</v>
      </c>
      <c r="G776" s="830">
        <v>0</v>
      </c>
      <c r="H776" s="831">
        <v>1.05</v>
      </c>
      <c r="I776" s="846"/>
      <c r="J776" s="846"/>
      <c r="K776" s="846"/>
      <c r="L776" s="846"/>
      <c r="M776" s="846"/>
      <c r="N776" s="846"/>
      <c r="O776" s="846"/>
      <c r="P776" s="846"/>
      <c r="Q776" s="846"/>
      <c r="R776" s="846"/>
      <c r="S776" s="846"/>
      <c r="T776" s="846"/>
    </row>
    <row r="777" spans="2:20" ht="38.25" hidden="1">
      <c r="B777" s="828" t="s">
        <v>6529</v>
      </c>
      <c r="C777" s="828">
        <v>88397</v>
      </c>
      <c r="D777" s="630" t="s">
        <v>361</v>
      </c>
      <c r="E777" s="630" t="s">
        <v>902</v>
      </c>
      <c r="F777" s="829">
        <v>3.93</v>
      </c>
      <c r="G777" s="830">
        <v>0</v>
      </c>
      <c r="H777" s="831">
        <v>3.93</v>
      </c>
      <c r="I777" s="846"/>
      <c r="J777" s="846"/>
      <c r="K777" s="846"/>
      <c r="L777" s="846"/>
      <c r="M777" s="846"/>
      <c r="N777" s="846"/>
      <c r="O777" s="846"/>
      <c r="P777" s="846"/>
      <c r="Q777" s="846"/>
      <c r="R777" s="846"/>
      <c r="S777" s="846"/>
      <c r="T777" s="846"/>
    </row>
    <row r="778" spans="2:20" ht="25.5" hidden="1">
      <c r="B778" s="828" t="s">
        <v>6529</v>
      </c>
      <c r="C778" s="828">
        <v>88400</v>
      </c>
      <c r="D778" s="630" t="s">
        <v>362</v>
      </c>
      <c r="E778" s="630" t="s">
        <v>902</v>
      </c>
      <c r="F778" s="829">
        <v>0.76</v>
      </c>
      <c r="G778" s="830">
        <v>0</v>
      </c>
      <c r="H778" s="831">
        <v>0.76</v>
      </c>
      <c r="I778" s="846"/>
      <c r="J778" s="846"/>
      <c r="K778" s="846"/>
      <c r="L778" s="846"/>
      <c r="M778" s="846"/>
      <c r="N778" s="846"/>
      <c r="O778" s="846"/>
      <c r="P778" s="846"/>
      <c r="Q778" s="846"/>
      <c r="R778" s="846"/>
      <c r="S778" s="846"/>
      <c r="T778" s="846"/>
    </row>
    <row r="779" spans="2:20" ht="25.5" hidden="1">
      <c r="B779" s="828" t="s">
        <v>6529</v>
      </c>
      <c r="C779" s="828">
        <v>88401</v>
      </c>
      <c r="D779" s="630" t="s">
        <v>363</v>
      </c>
      <c r="E779" s="630" t="s">
        <v>902</v>
      </c>
      <c r="F779" s="829">
        <v>0.09</v>
      </c>
      <c r="G779" s="830">
        <v>0</v>
      </c>
      <c r="H779" s="831">
        <v>0.09</v>
      </c>
      <c r="I779" s="846"/>
      <c r="J779" s="846"/>
      <c r="K779" s="846"/>
      <c r="L779" s="846"/>
      <c r="M779" s="846"/>
      <c r="N779" s="846"/>
      <c r="O779" s="846"/>
      <c r="P779" s="846"/>
      <c r="Q779" s="846"/>
      <c r="R779" s="846"/>
      <c r="S779" s="846"/>
      <c r="T779" s="846"/>
    </row>
    <row r="780" spans="2:20" ht="25.5" hidden="1">
      <c r="B780" s="828" t="s">
        <v>6529</v>
      </c>
      <c r="C780" s="828">
        <v>88402</v>
      </c>
      <c r="D780" s="630" t="s">
        <v>364</v>
      </c>
      <c r="E780" s="630" t="s">
        <v>902</v>
      </c>
      <c r="F780" s="829">
        <v>0.83</v>
      </c>
      <c r="G780" s="830">
        <v>0</v>
      </c>
      <c r="H780" s="831">
        <v>0.83</v>
      </c>
      <c r="I780" s="846"/>
      <c r="J780" s="846"/>
      <c r="K780" s="846"/>
      <c r="L780" s="846"/>
      <c r="M780" s="846"/>
      <c r="N780" s="846"/>
      <c r="O780" s="846"/>
      <c r="P780" s="846"/>
      <c r="Q780" s="846"/>
      <c r="R780" s="846"/>
      <c r="S780" s="846"/>
      <c r="T780" s="846"/>
    </row>
    <row r="781" spans="2:20" ht="38.25" hidden="1">
      <c r="B781" s="828" t="s">
        <v>6529</v>
      </c>
      <c r="C781" s="828">
        <v>88403</v>
      </c>
      <c r="D781" s="630" t="s">
        <v>365</v>
      </c>
      <c r="E781" s="630" t="s">
        <v>902</v>
      </c>
      <c r="F781" s="829">
        <v>1.57</v>
      </c>
      <c r="G781" s="830">
        <v>0</v>
      </c>
      <c r="H781" s="831">
        <v>1.57</v>
      </c>
      <c r="I781" s="846"/>
      <c r="J781" s="846"/>
      <c r="K781" s="846"/>
      <c r="L781" s="846"/>
      <c r="M781" s="846"/>
      <c r="N781" s="846"/>
      <c r="O781" s="846"/>
      <c r="P781" s="846"/>
      <c r="Q781" s="846"/>
      <c r="R781" s="846"/>
      <c r="S781" s="846"/>
      <c r="T781" s="846"/>
    </row>
    <row r="782" spans="2:20" ht="38.25" hidden="1">
      <c r="B782" s="828" t="s">
        <v>6529</v>
      </c>
      <c r="C782" s="828">
        <v>88419</v>
      </c>
      <c r="D782" s="630" t="s">
        <v>366</v>
      </c>
      <c r="E782" s="630" t="s">
        <v>902</v>
      </c>
      <c r="F782" s="829">
        <v>4.99</v>
      </c>
      <c r="G782" s="830">
        <v>0</v>
      </c>
      <c r="H782" s="831">
        <v>4.99</v>
      </c>
      <c r="I782" s="846"/>
      <c r="J782" s="846"/>
      <c r="K782" s="846"/>
      <c r="L782" s="846"/>
      <c r="M782" s="846"/>
      <c r="N782" s="846"/>
      <c r="O782" s="846"/>
      <c r="P782" s="846"/>
      <c r="Q782" s="846"/>
      <c r="R782" s="846"/>
      <c r="S782" s="846"/>
      <c r="T782" s="846"/>
    </row>
    <row r="783" spans="2:20" ht="25.5" hidden="1">
      <c r="B783" s="828" t="s">
        <v>6529</v>
      </c>
      <c r="C783" s="828">
        <v>88422</v>
      </c>
      <c r="D783" s="630" t="s">
        <v>367</v>
      </c>
      <c r="E783" s="630" t="s">
        <v>902</v>
      </c>
      <c r="F783" s="829">
        <v>0.59</v>
      </c>
      <c r="G783" s="830">
        <v>0</v>
      </c>
      <c r="H783" s="831">
        <v>0.59</v>
      </c>
      <c r="I783" s="846"/>
      <c r="J783" s="846"/>
      <c r="K783" s="846"/>
      <c r="L783" s="846"/>
      <c r="M783" s="846"/>
      <c r="N783" s="846"/>
      <c r="O783" s="846"/>
      <c r="P783" s="846"/>
      <c r="Q783" s="846"/>
      <c r="R783" s="846"/>
      <c r="S783" s="846"/>
      <c r="T783" s="846"/>
    </row>
    <row r="784" spans="2:20" ht="38.25" hidden="1">
      <c r="B784" s="828" t="s">
        <v>6529</v>
      </c>
      <c r="C784" s="828">
        <v>88425</v>
      </c>
      <c r="D784" s="630" t="s">
        <v>368</v>
      </c>
      <c r="E784" s="630" t="s">
        <v>902</v>
      </c>
      <c r="F784" s="829">
        <v>6.24</v>
      </c>
      <c r="G784" s="830">
        <v>0</v>
      </c>
      <c r="H784" s="831">
        <v>6.24</v>
      </c>
      <c r="I784" s="846"/>
      <c r="J784" s="846"/>
      <c r="K784" s="846"/>
      <c r="L784" s="846"/>
      <c r="M784" s="846"/>
      <c r="N784" s="846"/>
      <c r="O784" s="846"/>
      <c r="P784" s="846"/>
      <c r="Q784" s="846"/>
      <c r="R784" s="846"/>
      <c r="S784" s="846"/>
      <c r="T784" s="846"/>
    </row>
    <row r="785" spans="2:20" ht="38.25" hidden="1">
      <c r="B785" s="828" t="s">
        <v>6529</v>
      </c>
      <c r="C785" s="828">
        <v>88427</v>
      </c>
      <c r="D785" s="630" t="s">
        <v>369</v>
      </c>
      <c r="E785" s="630" t="s">
        <v>902</v>
      </c>
      <c r="F785" s="829">
        <v>0.89</v>
      </c>
      <c r="G785" s="830">
        <v>0</v>
      </c>
      <c r="H785" s="831">
        <v>0.89</v>
      </c>
      <c r="I785" s="846"/>
      <c r="J785" s="846"/>
      <c r="K785" s="846"/>
      <c r="L785" s="846"/>
      <c r="M785" s="846"/>
      <c r="N785" s="846"/>
      <c r="O785" s="846"/>
      <c r="P785" s="846"/>
      <c r="Q785" s="846"/>
      <c r="R785" s="846"/>
      <c r="S785" s="846"/>
      <c r="T785" s="846"/>
    </row>
    <row r="786" spans="2:20" ht="25.5" hidden="1">
      <c r="B786" s="828" t="s">
        <v>6529</v>
      </c>
      <c r="C786" s="828">
        <v>88434</v>
      </c>
      <c r="D786" s="630" t="s">
        <v>370</v>
      </c>
      <c r="E786" s="630" t="s">
        <v>902</v>
      </c>
      <c r="F786" s="829">
        <v>6.61</v>
      </c>
      <c r="G786" s="830">
        <v>0</v>
      </c>
      <c r="H786" s="831">
        <v>6.61</v>
      </c>
      <c r="I786" s="846"/>
      <c r="J786" s="846"/>
      <c r="K786" s="846"/>
      <c r="L786" s="846"/>
      <c r="M786" s="846"/>
      <c r="N786" s="846"/>
      <c r="O786" s="846"/>
      <c r="P786" s="846"/>
      <c r="Q786" s="846"/>
      <c r="R786" s="846"/>
      <c r="S786" s="846"/>
      <c r="T786" s="846"/>
    </row>
    <row r="787" spans="2:20" ht="25.5" hidden="1">
      <c r="B787" s="828" t="s">
        <v>6529</v>
      </c>
      <c r="C787" s="828">
        <v>88435</v>
      </c>
      <c r="D787" s="630" t="s">
        <v>371</v>
      </c>
      <c r="E787" s="630" t="s">
        <v>902</v>
      </c>
      <c r="F787" s="829">
        <v>0.78</v>
      </c>
      <c r="G787" s="830">
        <v>0</v>
      </c>
      <c r="H787" s="831">
        <v>0.78</v>
      </c>
      <c r="I787" s="846"/>
      <c r="J787" s="846"/>
      <c r="K787" s="846"/>
      <c r="L787" s="846"/>
      <c r="M787" s="846"/>
      <c r="N787" s="846"/>
      <c r="O787" s="846"/>
      <c r="P787" s="846"/>
      <c r="Q787" s="846"/>
      <c r="R787" s="846"/>
      <c r="S787" s="846"/>
      <c r="T787" s="846"/>
    </row>
    <row r="788" spans="2:20" ht="25.5" hidden="1">
      <c r="B788" s="828" t="s">
        <v>6529</v>
      </c>
      <c r="C788" s="828">
        <v>88436</v>
      </c>
      <c r="D788" s="630" t="s">
        <v>372</v>
      </c>
      <c r="E788" s="630" t="s">
        <v>902</v>
      </c>
      <c r="F788" s="829">
        <v>8.27</v>
      </c>
      <c r="G788" s="830">
        <v>0</v>
      </c>
      <c r="H788" s="831">
        <v>8.27</v>
      </c>
      <c r="I788" s="846"/>
      <c r="J788" s="846"/>
      <c r="K788" s="846"/>
      <c r="L788" s="846"/>
      <c r="M788" s="846"/>
      <c r="N788" s="846"/>
      <c r="O788" s="846"/>
      <c r="P788" s="846"/>
      <c r="Q788" s="846"/>
      <c r="R788" s="846"/>
      <c r="S788" s="846"/>
      <c r="T788" s="846"/>
    </row>
    <row r="789" spans="2:20" ht="38.25" hidden="1">
      <c r="B789" s="828" t="s">
        <v>6529</v>
      </c>
      <c r="C789" s="828">
        <v>88437</v>
      </c>
      <c r="D789" s="630" t="s">
        <v>373</v>
      </c>
      <c r="E789" s="630" t="s">
        <v>902</v>
      </c>
      <c r="F789" s="829">
        <v>0.89</v>
      </c>
      <c r="G789" s="830">
        <v>0</v>
      </c>
      <c r="H789" s="831">
        <v>0.89</v>
      </c>
      <c r="I789" s="846"/>
      <c r="J789" s="846"/>
      <c r="K789" s="846"/>
      <c r="L789" s="846"/>
      <c r="M789" s="846"/>
      <c r="N789" s="846"/>
      <c r="O789" s="846"/>
      <c r="P789" s="846"/>
      <c r="Q789" s="846"/>
      <c r="R789" s="846"/>
      <c r="S789" s="846"/>
      <c r="T789" s="846"/>
    </row>
    <row r="790" spans="2:20" ht="38.25" hidden="1">
      <c r="B790" s="828" t="s">
        <v>6529</v>
      </c>
      <c r="C790" s="828">
        <v>88569</v>
      </c>
      <c r="D790" s="630" t="s">
        <v>374</v>
      </c>
      <c r="E790" s="630" t="s">
        <v>902</v>
      </c>
      <c r="F790" s="829">
        <v>4.2</v>
      </c>
      <c r="G790" s="830">
        <v>0</v>
      </c>
      <c r="H790" s="831">
        <v>4.2</v>
      </c>
      <c r="I790" s="846"/>
      <c r="J790" s="846"/>
      <c r="K790" s="846"/>
      <c r="L790" s="846"/>
      <c r="M790" s="846"/>
      <c r="N790" s="846"/>
      <c r="O790" s="846"/>
      <c r="P790" s="846"/>
      <c r="Q790" s="846"/>
      <c r="R790" s="846"/>
      <c r="S790" s="846"/>
      <c r="T790" s="846"/>
    </row>
    <row r="791" spans="2:20" ht="38.25" hidden="1">
      <c r="B791" s="828" t="s">
        <v>6529</v>
      </c>
      <c r="C791" s="828">
        <v>88570</v>
      </c>
      <c r="D791" s="630" t="s">
        <v>375</v>
      </c>
      <c r="E791" s="630" t="s">
        <v>902</v>
      </c>
      <c r="F791" s="829">
        <v>0.7</v>
      </c>
      <c r="G791" s="830">
        <v>0</v>
      </c>
      <c r="H791" s="831">
        <v>0.7</v>
      </c>
      <c r="I791" s="846"/>
      <c r="J791" s="846"/>
      <c r="K791" s="846"/>
      <c r="L791" s="846"/>
      <c r="M791" s="846"/>
      <c r="N791" s="846"/>
      <c r="O791" s="846"/>
      <c r="P791" s="846"/>
      <c r="Q791" s="846"/>
      <c r="R791" s="846"/>
      <c r="S791" s="846"/>
      <c r="T791" s="846"/>
    </row>
    <row r="792" spans="2:20" ht="38.25" hidden="1">
      <c r="B792" s="828" t="s">
        <v>6529</v>
      </c>
      <c r="C792" s="828">
        <v>88826</v>
      </c>
      <c r="D792" s="630" t="s">
        <v>2260</v>
      </c>
      <c r="E792" s="630" t="s">
        <v>902</v>
      </c>
      <c r="F792" s="829">
        <v>0.3</v>
      </c>
      <c r="G792" s="830">
        <v>0</v>
      </c>
      <c r="H792" s="831">
        <v>0.3</v>
      </c>
      <c r="I792" s="846"/>
      <c r="J792" s="846"/>
      <c r="K792" s="846"/>
      <c r="L792" s="846"/>
      <c r="M792" s="846"/>
      <c r="N792" s="846"/>
      <c r="O792" s="846"/>
      <c r="P792" s="846"/>
      <c r="Q792" s="846"/>
      <c r="R792" s="846"/>
      <c r="S792" s="846"/>
      <c r="T792" s="846"/>
    </row>
    <row r="793" spans="2:20" ht="38.25" hidden="1">
      <c r="B793" s="828" t="s">
        <v>6529</v>
      </c>
      <c r="C793" s="828">
        <v>88827</v>
      </c>
      <c r="D793" s="630" t="s">
        <v>2261</v>
      </c>
      <c r="E793" s="630" t="s">
        <v>902</v>
      </c>
      <c r="F793" s="829">
        <v>0.03</v>
      </c>
      <c r="G793" s="830">
        <v>0</v>
      </c>
      <c r="H793" s="831">
        <v>0.03</v>
      </c>
      <c r="I793" s="846"/>
      <c r="J793" s="846"/>
      <c r="K793" s="846"/>
      <c r="L793" s="846"/>
      <c r="M793" s="846"/>
      <c r="N793" s="846"/>
      <c r="O793" s="846"/>
      <c r="P793" s="846"/>
      <c r="Q793" s="846"/>
      <c r="R793" s="846"/>
      <c r="S793" s="846"/>
      <c r="T793" s="846"/>
    </row>
    <row r="794" spans="2:20" ht="38.25" hidden="1">
      <c r="B794" s="828" t="s">
        <v>6529</v>
      </c>
      <c r="C794" s="828">
        <v>88828</v>
      </c>
      <c r="D794" s="630" t="s">
        <v>2262</v>
      </c>
      <c r="E794" s="630" t="s">
        <v>902</v>
      </c>
      <c r="F794" s="829">
        <v>0.33</v>
      </c>
      <c r="G794" s="830">
        <v>0</v>
      </c>
      <c r="H794" s="831">
        <v>0.33</v>
      </c>
      <c r="I794" s="846"/>
      <c r="J794" s="846"/>
      <c r="K794" s="846"/>
      <c r="L794" s="846"/>
      <c r="M794" s="846"/>
      <c r="N794" s="846"/>
      <c r="O794" s="846"/>
      <c r="P794" s="846"/>
      <c r="Q794" s="846"/>
      <c r="R794" s="846"/>
      <c r="S794" s="846"/>
      <c r="T794" s="846"/>
    </row>
    <row r="795" spans="2:20" ht="38.25" hidden="1">
      <c r="B795" s="828" t="s">
        <v>6529</v>
      </c>
      <c r="C795" s="828">
        <v>88829</v>
      </c>
      <c r="D795" s="630" t="s">
        <v>2263</v>
      </c>
      <c r="E795" s="630" t="s">
        <v>902</v>
      </c>
      <c r="F795" s="829">
        <v>1.05</v>
      </c>
      <c r="G795" s="830">
        <v>0</v>
      </c>
      <c r="H795" s="831">
        <v>1.05</v>
      </c>
      <c r="I795" s="846"/>
      <c r="J795" s="846"/>
      <c r="K795" s="846"/>
      <c r="L795" s="846"/>
      <c r="M795" s="846"/>
      <c r="N795" s="846"/>
      <c r="O795" s="846"/>
      <c r="P795" s="846"/>
      <c r="Q795" s="846"/>
      <c r="R795" s="846"/>
      <c r="S795" s="846"/>
      <c r="T795" s="846"/>
    </row>
    <row r="796" spans="2:20" ht="38.25" hidden="1">
      <c r="B796" s="828" t="s">
        <v>6529</v>
      </c>
      <c r="C796" s="828">
        <v>88832</v>
      </c>
      <c r="D796" s="630" t="s">
        <v>752</v>
      </c>
      <c r="E796" s="630" t="s">
        <v>902</v>
      </c>
      <c r="F796" s="829">
        <v>49.42</v>
      </c>
      <c r="G796" s="830">
        <v>0</v>
      </c>
      <c r="H796" s="831">
        <v>49.42</v>
      </c>
      <c r="I796" s="846"/>
      <c r="J796" s="846"/>
      <c r="K796" s="846"/>
      <c r="L796" s="846"/>
      <c r="M796" s="846"/>
      <c r="N796" s="846"/>
      <c r="O796" s="846"/>
      <c r="P796" s="846"/>
      <c r="Q796" s="846"/>
      <c r="R796" s="846"/>
      <c r="S796" s="846"/>
      <c r="T796" s="846"/>
    </row>
    <row r="797" spans="2:20" ht="25.5" hidden="1">
      <c r="B797" s="828" t="s">
        <v>6529</v>
      </c>
      <c r="C797" s="828">
        <v>88834</v>
      </c>
      <c r="D797" s="630" t="s">
        <v>753</v>
      </c>
      <c r="E797" s="630" t="s">
        <v>902</v>
      </c>
      <c r="F797" s="829">
        <v>6.7</v>
      </c>
      <c r="G797" s="830">
        <v>0</v>
      </c>
      <c r="H797" s="831">
        <v>6.7</v>
      </c>
      <c r="I797" s="846"/>
      <c r="J797" s="846"/>
      <c r="K797" s="846"/>
      <c r="L797" s="846"/>
      <c r="M797" s="846"/>
      <c r="N797" s="846"/>
      <c r="O797" s="846"/>
      <c r="P797" s="846"/>
      <c r="Q797" s="846"/>
      <c r="R797" s="846"/>
      <c r="S797" s="846"/>
      <c r="T797" s="846"/>
    </row>
    <row r="798" spans="2:20" ht="38.25" hidden="1">
      <c r="B798" s="828" t="s">
        <v>6529</v>
      </c>
      <c r="C798" s="828">
        <v>88835</v>
      </c>
      <c r="D798" s="630" t="s">
        <v>754</v>
      </c>
      <c r="E798" s="630" t="s">
        <v>902</v>
      </c>
      <c r="F798" s="829">
        <v>61.77</v>
      </c>
      <c r="G798" s="830">
        <v>0</v>
      </c>
      <c r="H798" s="831">
        <v>61.77</v>
      </c>
      <c r="I798" s="846"/>
      <c r="J798" s="846"/>
      <c r="K798" s="846"/>
      <c r="L798" s="846"/>
      <c r="M798" s="846"/>
      <c r="N798" s="846"/>
      <c r="O798" s="846"/>
      <c r="P798" s="846"/>
      <c r="Q798" s="846"/>
      <c r="R798" s="846"/>
      <c r="S798" s="846"/>
      <c r="T798" s="846"/>
    </row>
    <row r="799" spans="2:20" ht="38.25" hidden="1">
      <c r="B799" s="828" t="s">
        <v>6529</v>
      </c>
      <c r="C799" s="828">
        <v>88836</v>
      </c>
      <c r="D799" s="630" t="s">
        <v>755</v>
      </c>
      <c r="E799" s="630" t="s">
        <v>902</v>
      </c>
      <c r="F799" s="829">
        <v>77.989999999999995</v>
      </c>
      <c r="G799" s="830">
        <v>0</v>
      </c>
      <c r="H799" s="831">
        <v>77.989999999999995</v>
      </c>
      <c r="I799" s="846"/>
      <c r="J799" s="846"/>
      <c r="K799" s="846"/>
      <c r="L799" s="846"/>
      <c r="M799" s="846"/>
      <c r="N799" s="846"/>
      <c r="O799" s="846"/>
      <c r="P799" s="846"/>
      <c r="Q799" s="846"/>
      <c r="R799" s="846"/>
      <c r="S799" s="846"/>
      <c r="T799" s="846"/>
    </row>
    <row r="800" spans="2:20" ht="25.5" hidden="1">
      <c r="B800" s="828" t="s">
        <v>6529</v>
      </c>
      <c r="C800" s="828">
        <v>88839</v>
      </c>
      <c r="D800" s="630" t="s">
        <v>756</v>
      </c>
      <c r="E800" s="630" t="s">
        <v>902</v>
      </c>
      <c r="F800" s="829">
        <v>31.38</v>
      </c>
      <c r="G800" s="830">
        <v>0</v>
      </c>
      <c r="H800" s="831">
        <v>31.38</v>
      </c>
      <c r="I800" s="846"/>
      <c r="J800" s="846"/>
      <c r="K800" s="846"/>
      <c r="L800" s="846"/>
      <c r="M800" s="846"/>
      <c r="N800" s="846"/>
      <c r="O800" s="846"/>
      <c r="P800" s="846"/>
      <c r="Q800" s="846"/>
      <c r="R800" s="846"/>
      <c r="S800" s="846"/>
      <c r="T800" s="846"/>
    </row>
    <row r="801" spans="2:20" ht="25.5" hidden="1">
      <c r="B801" s="828" t="s">
        <v>6529</v>
      </c>
      <c r="C801" s="828">
        <v>88840</v>
      </c>
      <c r="D801" s="630" t="s">
        <v>757</v>
      </c>
      <c r="E801" s="630" t="s">
        <v>902</v>
      </c>
      <c r="F801" s="829">
        <v>7.06</v>
      </c>
      <c r="G801" s="830">
        <v>0</v>
      </c>
      <c r="H801" s="831">
        <v>7.06</v>
      </c>
      <c r="I801" s="846"/>
      <c r="J801" s="846"/>
      <c r="K801" s="846"/>
      <c r="L801" s="846"/>
      <c r="M801" s="846"/>
      <c r="N801" s="846"/>
      <c r="O801" s="846"/>
      <c r="P801" s="846"/>
      <c r="Q801" s="846"/>
      <c r="R801" s="846"/>
      <c r="S801" s="846"/>
      <c r="T801" s="846"/>
    </row>
    <row r="802" spans="2:20" ht="25.5" hidden="1">
      <c r="B802" s="828" t="s">
        <v>6529</v>
      </c>
      <c r="C802" s="828">
        <v>88841</v>
      </c>
      <c r="D802" s="630" t="s">
        <v>758</v>
      </c>
      <c r="E802" s="630" t="s">
        <v>902</v>
      </c>
      <c r="F802" s="829">
        <v>56.11</v>
      </c>
      <c r="G802" s="830">
        <v>0</v>
      </c>
      <c r="H802" s="831">
        <v>56.11</v>
      </c>
      <c r="I802" s="846"/>
      <c r="J802" s="846"/>
      <c r="K802" s="846"/>
      <c r="L802" s="846"/>
      <c r="M802" s="846"/>
      <c r="N802" s="846"/>
      <c r="O802" s="846"/>
      <c r="P802" s="846"/>
      <c r="Q802" s="846"/>
      <c r="R802" s="846"/>
      <c r="S802" s="846"/>
      <c r="T802" s="846"/>
    </row>
    <row r="803" spans="2:20" ht="25.5" hidden="1">
      <c r="B803" s="828" t="s">
        <v>6529</v>
      </c>
      <c r="C803" s="828">
        <v>88842</v>
      </c>
      <c r="D803" s="630" t="s">
        <v>759</v>
      </c>
      <c r="E803" s="630" t="s">
        <v>902</v>
      </c>
      <c r="F803" s="829">
        <v>95.46</v>
      </c>
      <c r="G803" s="830">
        <v>0</v>
      </c>
      <c r="H803" s="831">
        <v>95.46</v>
      </c>
      <c r="I803" s="846"/>
      <c r="J803" s="846"/>
      <c r="K803" s="846"/>
      <c r="L803" s="846"/>
      <c r="M803" s="846"/>
      <c r="N803" s="846"/>
      <c r="O803" s="846"/>
      <c r="P803" s="846"/>
      <c r="Q803" s="846"/>
      <c r="R803" s="846"/>
      <c r="S803" s="846"/>
      <c r="T803" s="846"/>
    </row>
    <row r="804" spans="2:20" ht="51" hidden="1">
      <c r="B804" s="828" t="s">
        <v>6529</v>
      </c>
      <c r="C804" s="828">
        <v>88847</v>
      </c>
      <c r="D804" s="630" t="s">
        <v>469</v>
      </c>
      <c r="E804" s="630" t="s">
        <v>902</v>
      </c>
      <c r="F804" s="829">
        <v>24.19</v>
      </c>
      <c r="G804" s="830">
        <v>0</v>
      </c>
      <c r="H804" s="831">
        <v>24.19</v>
      </c>
      <c r="I804" s="846"/>
      <c r="J804" s="846"/>
      <c r="K804" s="846"/>
      <c r="L804" s="846"/>
      <c r="M804" s="846"/>
      <c r="N804" s="846"/>
      <c r="O804" s="846"/>
      <c r="P804" s="846"/>
      <c r="Q804" s="846"/>
      <c r="R804" s="846"/>
      <c r="S804" s="846"/>
      <c r="T804" s="846"/>
    </row>
    <row r="805" spans="2:20" ht="38.25" hidden="1">
      <c r="B805" s="828" t="s">
        <v>6529</v>
      </c>
      <c r="C805" s="828">
        <v>88848</v>
      </c>
      <c r="D805" s="630" t="s">
        <v>234</v>
      </c>
      <c r="E805" s="630" t="s">
        <v>902</v>
      </c>
      <c r="F805" s="829">
        <v>5.07</v>
      </c>
      <c r="G805" s="830">
        <v>0</v>
      </c>
      <c r="H805" s="831">
        <v>5.07</v>
      </c>
      <c r="I805" s="846"/>
      <c r="J805" s="846"/>
      <c r="K805" s="846"/>
      <c r="L805" s="846"/>
      <c r="M805" s="846"/>
      <c r="N805" s="846"/>
      <c r="O805" s="846"/>
      <c r="P805" s="846"/>
      <c r="Q805" s="846"/>
      <c r="R805" s="846"/>
      <c r="S805" s="846"/>
      <c r="T805" s="846"/>
    </row>
    <row r="806" spans="2:20" ht="38.25" hidden="1">
      <c r="B806" s="828" t="s">
        <v>6529</v>
      </c>
      <c r="C806" s="828">
        <v>88853</v>
      </c>
      <c r="D806" s="630" t="s">
        <v>235</v>
      </c>
      <c r="E806" s="630" t="s">
        <v>902</v>
      </c>
      <c r="F806" s="829">
        <v>0.21</v>
      </c>
      <c r="G806" s="830">
        <v>0</v>
      </c>
      <c r="H806" s="831">
        <v>0.21</v>
      </c>
      <c r="I806" s="846"/>
      <c r="J806" s="846"/>
      <c r="K806" s="846"/>
      <c r="L806" s="846"/>
      <c r="M806" s="846"/>
      <c r="N806" s="846"/>
      <c r="O806" s="846"/>
      <c r="P806" s="846"/>
      <c r="Q806" s="846"/>
      <c r="R806" s="846"/>
      <c r="S806" s="846"/>
      <c r="T806" s="846"/>
    </row>
    <row r="807" spans="2:20" ht="38.25" hidden="1">
      <c r="B807" s="828" t="s">
        <v>6529</v>
      </c>
      <c r="C807" s="828">
        <v>88854</v>
      </c>
      <c r="D807" s="630" t="s">
        <v>236</v>
      </c>
      <c r="E807" s="630" t="s">
        <v>902</v>
      </c>
      <c r="F807" s="829">
        <v>0.02</v>
      </c>
      <c r="G807" s="830">
        <v>0</v>
      </c>
      <c r="H807" s="831">
        <v>0.02</v>
      </c>
      <c r="I807" s="846"/>
      <c r="J807" s="846"/>
      <c r="K807" s="846"/>
      <c r="L807" s="846"/>
      <c r="M807" s="846"/>
      <c r="N807" s="846"/>
      <c r="O807" s="846"/>
      <c r="P807" s="846"/>
      <c r="Q807" s="846"/>
      <c r="R807" s="846"/>
      <c r="S807" s="846"/>
      <c r="T807" s="846"/>
    </row>
    <row r="808" spans="2:20" ht="25.5" hidden="1">
      <c r="B808" s="828" t="s">
        <v>6529</v>
      </c>
      <c r="C808" s="828">
        <v>88855</v>
      </c>
      <c r="D808" s="630" t="s">
        <v>237</v>
      </c>
      <c r="E808" s="630" t="s">
        <v>902</v>
      </c>
      <c r="F808" s="829">
        <v>4.13</v>
      </c>
      <c r="G808" s="830">
        <v>0</v>
      </c>
      <c r="H808" s="831">
        <v>4.13</v>
      </c>
      <c r="I808" s="846"/>
      <c r="J808" s="846"/>
      <c r="K808" s="846"/>
      <c r="L808" s="846"/>
      <c r="M808" s="846"/>
      <c r="N808" s="846"/>
      <c r="O808" s="846"/>
      <c r="P808" s="846"/>
      <c r="Q808" s="846"/>
      <c r="R808" s="846"/>
      <c r="S808" s="846"/>
      <c r="T808" s="846"/>
    </row>
    <row r="809" spans="2:20" ht="25.5" hidden="1">
      <c r="B809" s="828" t="s">
        <v>6529</v>
      </c>
      <c r="C809" s="828">
        <v>88856</v>
      </c>
      <c r="D809" s="630" t="s">
        <v>238</v>
      </c>
      <c r="E809" s="630" t="s">
        <v>902</v>
      </c>
      <c r="F809" s="829">
        <v>0.56999999999999995</v>
      </c>
      <c r="G809" s="830">
        <v>0</v>
      </c>
      <c r="H809" s="831">
        <v>0.56999999999999995</v>
      </c>
      <c r="I809" s="846"/>
      <c r="J809" s="846"/>
      <c r="K809" s="846"/>
      <c r="L809" s="846"/>
      <c r="M809" s="846"/>
      <c r="N809" s="846"/>
      <c r="O809" s="846"/>
      <c r="P809" s="846"/>
      <c r="Q809" s="846"/>
      <c r="R809" s="846"/>
      <c r="S809" s="846"/>
      <c r="T809" s="846"/>
    </row>
    <row r="810" spans="2:20" ht="51" hidden="1">
      <c r="B810" s="828" t="s">
        <v>6529</v>
      </c>
      <c r="C810" s="828">
        <v>88857</v>
      </c>
      <c r="D810" s="630" t="s">
        <v>239</v>
      </c>
      <c r="E810" s="630" t="s">
        <v>902</v>
      </c>
      <c r="F810" s="829">
        <v>27.97</v>
      </c>
      <c r="G810" s="830">
        <v>0</v>
      </c>
      <c r="H810" s="831">
        <v>27.97</v>
      </c>
      <c r="I810" s="846"/>
      <c r="J810" s="846"/>
      <c r="K810" s="846"/>
      <c r="L810" s="846"/>
      <c r="M810" s="846"/>
      <c r="N810" s="846"/>
      <c r="O810" s="846"/>
      <c r="P810" s="846"/>
      <c r="Q810" s="846"/>
      <c r="R810" s="846"/>
      <c r="S810" s="846"/>
      <c r="T810" s="846"/>
    </row>
    <row r="811" spans="2:20" ht="51" hidden="1">
      <c r="B811" s="828" t="s">
        <v>6529</v>
      </c>
      <c r="C811" s="828">
        <v>88858</v>
      </c>
      <c r="D811" s="630" t="s">
        <v>240</v>
      </c>
      <c r="E811" s="630" t="s">
        <v>902</v>
      </c>
      <c r="F811" s="829">
        <v>3.79</v>
      </c>
      <c r="G811" s="830">
        <v>0</v>
      </c>
      <c r="H811" s="831">
        <v>3.79</v>
      </c>
      <c r="I811" s="846"/>
      <c r="J811" s="846"/>
      <c r="K811" s="846"/>
      <c r="L811" s="846"/>
      <c r="M811" s="846"/>
      <c r="N811" s="846"/>
      <c r="O811" s="846"/>
      <c r="P811" s="846"/>
      <c r="Q811" s="846"/>
      <c r="R811" s="846"/>
      <c r="S811" s="846"/>
      <c r="T811" s="846"/>
    </row>
    <row r="812" spans="2:20" ht="51" hidden="1">
      <c r="B812" s="828" t="s">
        <v>6529</v>
      </c>
      <c r="C812" s="828">
        <v>88859</v>
      </c>
      <c r="D812" s="630" t="s">
        <v>241</v>
      </c>
      <c r="E812" s="630" t="s">
        <v>902</v>
      </c>
      <c r="F812" s="829">
        <v>24.88</v>
      </c>
      <c r="G812" s="830">
        <v>0</v>
      </c>
      <c r="H812" s="831">
        <v>24.88</v>
      </c>
      <c r="I812" s="846"/>
      <c r="J812" s="846"/>
      <c r="K812" s="846"/>
      <c r="L812" s="846"/>
      <c r="M812" s="846"/>
      <c r="N812" s="846"/>
      <c r="O812" s="846"/>
      <c r="P812" s="846"/>
      <c r="Q812" s="846"/>
      <c r="R812" s="846"/>
      <c r="S812" s="846"/>
      <c r="T812" s="846"/>
    </row>
    <row r="813" spans="2:20" ht="51" hidden="1">
      <c r="B813" s="828" t="s">
        <v>6529</v>
      </c>
      <c r="C813" s="828">
        <v>88860</v>
      </c>
      <c r="D813" s="630" t="s">
        <v>242</v>
      </c>
      <c r="E813" s="630" t="s">
        <v>902</v>
      </c>
      <c r="F813" s="829">
        <v>3.37</v>
      </c>
      <c r="G813" s="830">
        <v>0</v>
      </c>
      <c r="H813" s="831">
        <v>3.37</v>
      </c>
      <c r="I813" s="846"/>
      <c r="J813" s="846"/>
      <c r="K813" s="846"/>
      <c r="L813" s="846"/>
      <c r="M813" s="846"/>
      <c r="N813" s="846"/>
      <c r="O813" s="846"/>
      <c r="P813" s="846"/>
      <c r="Q813" s="846"/>
      <c r="R813" s="846"/>
      <c r="S813" s="846"/>
      <c r="T813" s="846"/>
    </row>
    <row r="814" spans="2:20" ht="25.5" hidden="1">
      <c r="B814" s="828" t="s">
        <v>6529</v>
      </c>
      <c r="C814" s="828">
        <v>88900</v>
      </c>
      <c r="D814" s="630" t="s">
        <v>243</v>
      </c>
      <c r="E814" s="630" t="s">
        <v>902</v>
      </c>
      <c r="F814" s="829">
        <v>57.62</v>
      </c>
      <c r="G814" s="830">
        <v>0</v>
      </c>
      <c r="H814" s="831">
        <v>57.62</v>
      </c>
      <c r="I814" s="846"/>
      <c r="J814" s="846"/>
      <c r="K814" s="846"/>
      <c r="L814" s="846"/>
      <c r="M814" s="846"/>
      <c r="N814" s="846"/>
      <c r="O814" s="846"/>
      <c r="P814" s="846"/>
      <c r="Q814" s="846"/>
      <c r="R814" s="846"/>
      <c r="S814" s="846"/>
      <c r="T814" s="846"/>
    </row>
    <row r="815" spans="2:20" ht="25.5" hidden="1">
      <c r="B815" s="828" t="s">
        <v>6529</v>
      </c>
      <c r="C815" s="828">
        <v>88902</v>
      </c>
      <c r="D815" s="630" t="s">
        <v>244</v>
      </c>
      <c r="E815" s="630" t="s">
        <v>902</v>
      </c>
      <c r="F815" s="829">
        <v>7.82</v>
      </c>
      <c r="G815" s="830">
        <v>0</v>
      </c>
      <c r="H815" s="831">
        <v>7.82</v>
      </c>
      <c r="I815" s="846"/>
      <c r="J815" s="846"/>
      <c r="K815" s="846"/>
      <c r="L815" s="846"/>
      <c r="M815" s="846"/>
      <c r="N815" s="846"/>
      <c r="O815" s="846"/>
      <c r="P815" s="846"/>
      <c r="Q815" s="846"/>
      <c r="R815" s="846"/>
      <c r="S815" s="846"/>
      <c r="T815" s="846"/>
    </row>
    <row r="816" spans="2:20" ht="25.5" hidden="1">
      <c r="B816" s="828" t="s">
        <v>6529</v>
      </c>
      <c r="C816" s="828">
        <v>88903</v>
      </c>
      <c r="D816" s="630" t="s">
        <v>245</v>
      </c>
      <c r="E816" s="630" t="s">
        <v>902</v>
      </c>
      <c r="F816" s="829">
        <v>72.03</v>
      </c>
      <c r="G816" s="830">
        <v>0</v>
      </c>
      <c r="H816" s="831">
        <v>72.03</v>
      </c>
      <c r="I816" s="846"/>
      <c r="J816" s="846"/>
      <c r="K816" s="846"/>
      <c r="L816" s="846"/>
      <c r="M816" s="846"/>
      <c r="N816" s="846"/>
      <c r="O816" s="846"/>
      <c r="P816" s="846"/>
      <c r="Q816" s="846"/>
      <c r="R816" s="846"/>
      <c r="S816" s="846"/>
      <c r="T816" s="846"/>
    </row>
    <row r="817" spans="2:20" ht="38.25" hidden="1">
      <c r="B817" s="828" t="s">
        <v>6529</v>
      </c>
      <c r="C817" s="828">
        <v>88904</v>
      </c>
      <c r="D817" s="630" t="s">
        <v>246</v>
      </c>
      <c r="E817" s="630" t="s">
        <v>902</v>
      </c>
      <c r="F817" s="829">
        <v>109.86</v>
      </c>
      <c r="G817" s="830">
        <v>0</v>
      </c>
      <c r="H817" s="831">
        <v>109.86</v>
      </c>
      <c r="I817" s="846"/>
      <c r="J817" s="846"/>
      <c r="K817" s="846"/>
      <c r="L817" s="846"/>
      <c r="M817" s="846"/>
      <c r="N817" s="846"/>
      <c r="O817" s="846"/>
      <c r="P817" s="846"/>
      <c r="Q817" s="846"/>
      <c r="R817" s="846"/>
      <c r="S817" s="846"/>
      <c r="T817" s="846"/>
    </row>
    <row r="818" spans="2:20" ht="25.5" hidden="1">
      <c r="B818" s="828" t="s">
        <v>6529</v>
      </c>
      <c r="C818" s="828">
        <v>89009</v>
      </c>
      <c r="D818" s="630" t="s">
        <v>247</v>
      </c>
      <c r="E818" s="630" t="s">
        <v>902</v>
      </c>
      <c r="F818" s="829">
        <v>38.869999999999997</v>
      </c>
      <c r="G818" s="830">
        <v>0</v>
      </c>
      <c r="H818" s="831">
        <v>38.869999999999997</v>
      </c>
      <c r="I818" s="846"/>
      <c r="J818" s="846"/>
      <c r="K818" s="846"/>
      <c r="L818" s="846"/>
      <c r="M818" s="846"/>
      <c r="N818" s="846"/>
      <c r="O818" s="846"/>
      <c r="P818" s="846"/>
      <c r="Q818" s="846"/>
      <c r="R818" s="846"/>
      <c r="S818" s="846"/>
      <c r="T818" s="846"/>
    </row>
    <row r="819" spans="2:20" ht="25.5" hidden="1">
      <c r="B819" s="828" t="s">
        <v>6529</v>
      </c>
      <c r="C819" s="828">
        <v>89010</v>
      </c>
      <c r="D819" s="630" t="s">
        <v>248</v>
      </c>
      <c r="E819" s="630" t="s">
        <v>902</v>
      </c>
      <c r="F819" s="829">
        <v>8.75</v>
      </c>
      <c r="G819" s="830">
        <v>0</v>
      </c>
      <c r="H819" s="831">
        <v>8.75</v>
      </c>
      <c r="I819" s="846"/>
      <c r="J819" s="846"/>
      <c r="K819" s="846"/>
      <c r="L819" s="846"/>
      <c r="M819" s="846"/>
      <c r="N819" s="846"/>
      <c r="O819" s="846"/>
      <c r="P819" s="846"/>
      <c r="Q819" s="846"/>
      <c r="R819" s="846"/>
      <c r="S819" s="846"/>
      <c r="T819" s="846"/>
    </row>
    <row r="820" spans="2:20" ht="51" hidden="1">
      <c r="B820" s="828" t="s">
        <v>6529</v>
      </c>
      <c r="C820" s="828">
        <v>89011</v>
      </c>
      <c r="D820" s="630" t="s">
        <v>336</v>
      </c>
      <c r="E820" s="630" t="s">
        <v>902</v>
      </c>
      <c r="F820" s="829">
        <v>26.99</v>
      </c>
      <c r="G820" s="830">
        <v>0</v>
      </c>
      <c r="H820" s="831">
        <v>26.99</v>
      </c>
      <c r="I820" s="846"/>
      <c r="J820" s="846"/>
      <c r="K820" s="846"/>
      <c r="L820" s="846"/>
      <c r="M820" s="846"/>
      <c r="N820" s="846"/>
      <c r="O820" s="846"/>
      <c r="P820" s="846"/>
      <c r="Q820" s="846"/>
      <c r="R820" s="846"/>
      <c r="S820" s="846"/>
      <c r="T820" s="846"/>
    </row>
    <row r="821" spans="2:20" ht="51" hidden="1">
      <c r="B821" s="828" t="s">
        <v>6529</v>
      </c>
      <c r="C821" s="828">
        <v>89012</v>
      </c>
      <c r="D821" s="630" t="s">
        <v>337</v>
      </c>
      <c r="E821" s="630" t="s">
        <v>902</v>
      </c>
      <c r="F821" s="829">
        <v>3.66</v>
      </c>
      <c r="G821" s="830">
        <v>0</v>
      </c>
      <c r="H821" s="831">
        <v>3.66</v>
      </c>
      <c r="I821" s="846"/>
      <c r="J821" s="846"/>
      <c r="K821" s="846"/>
      <c r="L821" s="846"/>
      <c r="M821" s="846"/>
      <c r="N821" s="846"/>
      <c r="O821" s="846"/>
      <c r="P821" s="846"/>
      <c r="Q821" s="846"/>
      <c r="R821" s="846"/>
      <c r="S821" s="846"/>
      <c r="T821" s="846"/>
    </row>
    <row r="822" spans="2:20" ht="25.5" hidden="1">
      <c r="B822" s="828" t="s">
        <v>6529</v>
      </c>
      <c r="C822" s="828">
        <v>89013</v>
      </c>
      <c r="D822" s="630" t="s">
        <v>338</v>
      </c>
      <c r="E822" s="630" t="s">
        <v>902</v>
      </c>
      <c r="F822" s="829">
        <v>127.33</v>
      </c>
      <c r="G822" s="830">
        <v>0</v>
      </c>
      <c r="H822" s="831">
        <v>127.33</v>
      </c>
      <c r="I822" s="846"/>
      <c r="J822" s="846"/>
      <c r="K822" s="846"/>
      <c r="L822" s="846"/>
      <c r="M822" s="846"/>
      <c r="N822" s="846"/>
      <c r="O822" s="846"/>
      <c r="P822" s="846"/>
      <c r="Q822" s="846"/>
      <c r="R822" s="846"/>
      <c r="S822" s="846"/>
      <c r="T822" s="846"/>
    </row>
    <row r="823" spans="2:20" ht="25.5" hidden="1">
      <c r="B823" s="828" t="s">
        <v>6529</v>
      </c>
      <c r="C823" s="828">
        <v>89014</v>
      </c>
      <c r="D823" s="630" t="s">
        <v>339</v>
      </c>
      <c r="E823" s="630" t="s">
        <v>902</v>
      </c>
      <c r="F823" s="829">
        <v>28.66</v>
      </c>
      <c r="G823" s="830">
        <v>0</v>
      </c>
      <c r="H823" s="831">
        <v>28.66</v>
      </c>
      <c r="I823" s="846"/>
      <c r="J823" s="846"/>
      <c r="K823" s="846"/>
      <c r="L823" s="846"/>
      <c r="M823" s="846"/>
      <c r="N823" s="846"/>
      <c r="O823" s="846"/>
      <c r="P823" s="846"/>
      <c r="Q823" s="846"/>
      <c r="R823" s="846"/>
      <c r="S823" s="846"/>
      <c r="T823" s="846"/>
    </row>
    <row r="824" spans="2:20" ht="25.5" hidden="1">
      <c r="B824" s="828" t="s">
        <v>6529</v>
      </c>
      <c r="C824" s="828">
        <v>89015</v>
      </c>
      <c r="D824" s="630" t="s">
        <v>340</v>
      </c>
      <c r="E824" s="630" t="s">
        <v>902</v>
      </c>
      <c r="F824" s="829">
        <v>4.76</v>
      </c>
      <c r="G824" s="830">
        <v>0</v>
      </c>
      <c r="H824" s="831">
        <v>4.76</v>
      </c>
      <c r="I824" s="846"/>
      <c r="J824" s="846"/>
      <c r="K824" s="846"/>
      <c r="L824" s="846"/>
      <c r="M824" s="846"/>
      <c r="N824" s="846"/>
      <c r="O824" s="846"/>
      <c r="P824" s="846"/>
      <c r="Q824" s="846"/>
      <c r="R824" s="846"/>
      <c r="S824" s="846"/>
      <c r="T824" s="846"/>
    </row>
    <row r="825" spans="2:20" ht="25.5" hidden="1">
      <c r="B825" s="828" t="s">
        <v>6529</v>
      </c>
      <c r="C825" s="828">
        <v>89016</v>
      </c>
      <c r="D825" s="630" t="s">
        <v>341</v>
      </c>
      <c r="E825" s="630" t="s">
        <v>902</v>
      </c>
      <c r="F825" s="829">
        <v>0.64</v>
      </c>
      <c r="G825" s="830">
        <v>0</v>
      </c>
      <c r="H825" s="831">
        <v>0.64</v>
      </c>
      <c r="I825" s="846"/>
      <c r="J825" s="846"/>
      <c r="K825" s="846"/>
      <c r="L825" s="846"/>
      <c r="M825" s="846"/>
      <c r="N825" s="846"/>
      <c r="O825" s="846"/>
      <c r="P825" s="846"/>
      <c r="Q825" s="846"/>
      <c r="R825" s="846"/>
      <c r="S825" s="846"/>
      <c r="T825" s="846"/>
    </row>
    <row r="826" spans="2:20" ht="25.5" hidden="1">
      <c r="B826" s="828" t="s">
        <v>6529</v>
      </c>
      <c r="C826" s="828">
        <v>89017</v>
      </c>
      <c r="D826" s="630" t="s">
        <v>342</v>
      </c>
      <c r="E826" s="630" t="s">
        <v>902</v>
      </c>
      <c r="F826" s="829">
        <v>38.630000000000003</v>
      </c>
      <c r="G826" s="830">
        <v>0</v>
      </c>
      <c r="H826" s="831">
        <v>38.630000000000003</v>
      </c>
      <c r="I826" s="846"/>
      <c r="J826" s="846"/>
      <c r="K826" s="846"/>
      <c r="L826" s="846"/>
      <c r="M826" s="846"/>
      <c r="N826" s="846"/>
      <c r="O826" s="846"/>
      <c r="P826" s="846"/>
      <c r="Q826" s="846"/>
      <c r="R826" s="846"/>
      <c r="S826" s="846"/>
      <c r="T826" s="846"/>
    </row>
    <row r="827" spans="2:20" ht="25.5" hidden="1">
      <c r="B827" s="828" t="s">
        <v>6529</v>
      </c>
      <c r="C827" s="828">
        <v>89018</v>
      </c>
      <c r="D827" s="630" t="s">
        <v>343</v>
      </c>
      <c r="E827" s="630" t="s">
        <v>902</v>
      </c>
      <c r="F827" s="829">
        <v>8.69</v>
      </c>
      <c r="G827" s="830">
        <v>0</v>
      </c>
      <c r="H827" s="831">
        <v>8.69</v>
      </c>
      <c r="I827" s="846"/>
      <c r="J827" s="846"/>
      <c r="K827" s="846"/>
      <c r="L827" s="846"/>
      <c r="M827" s="846"/>
      <c r="N827" s="846"/>
      <c r="O827" s="846"/>
      <c r="P827" s="846"/>
      <c r="Q827" s="846"/>
      <c r="R827" s="846"/>
      <c r="S827" s="846"/>
      <c r="T827" s="846"/>
    </row>
    <row r="828" spans="2:20" ht="38.25" hidden="1">
      <c r="B828" s="828" t="s">
        <v>6529</v>
      </c>
      <c r="C828" s="828">
        <v>89019</v>
      </c>
      <c r="D828" s="630" t="s">
        <v>344</v>
      </c>
      <c r="E828" s="630" t="s">
        <v>902</v>
      </c>
      <c r="F828" s="829">
        <v>0.4</v>
      </c>
      <c r="G828" s="830">
        <v>0</v>
      </c>
      <c r="H828" s="831">
        <v>0.4</v>
      </c>
      <c r="I828" s="846"/>
      <c r="J828" s="846"/>
      <c r="K828" s="846"/>
      <c r="L828" s="846"/>
      <c r="M828" s="846"/>
      <c r="N828" s="846"/>
      <c r="O828" s="846"/>
      <c r="P828" s="846"/>
      <c r="Q828" s="846"/>
      <c r="R828" s="846"/>
      <c r="S828" s="846"/>
      <c r="T828" s="846"/>
    </row>
    <row r="829" spans="2:20" ht="38.25" hidden="1">
      <c r="B829" s="828" t="s">
        <v>6529</v>
      </c>
      <c r="C829" s="828">
        <v>89020</v>
      </c>
      <c r="D829" s="630" t="s">
        <v>345</v>
      </c>
      <c r="E829" s="630" t="s">
        <v>902</v>
      </c>
      <c r="F829" s="829">
        <v>0.04</v>
      </c>
      <c r="G829" s="830">
        <v>0</v>
      </c>
      <c r="H829" s="831">
        <v>0.04</v>
      </c>
      <c r="I829" s="846"/>
      <c r="J829" s="846"/>
      <c r="K829" s="846"/>
      <c r="L829" s="846"/>
      <c r="M829" s="846"/>
      <c r="N829" s="846"/>
      <c r="O829" s="846"/>
      <c r="P829" s="846"/>
      <c r="Q829" s="846"/>
      <c r="R829" s="846"/>
      <c r="S829" s="846"/>
      <c r="T829" s="846"/>
    </row>
    <row r="830" spans="2:20" ht="25.5" hidden="1">
      <c r="B830" s="828" t="s">
        <v>6529</v>
      </c>
      <c r="C830" s="828">
        <v>89023</v>
      </c>
      <c r="D830" s="630" t="s">
        <v>346</v>
      </c>
      <c r="E830" s="630" t="s">
        <v>902</v>
      </c>
      <c r="F830" s="829">
        <v>4.22</v>
      </c>
      <c r="G830" s="830">
        <v>0</v>
      </c>
      <c r="H830" s="831">
        <v>4.22</v>
      </c>
      <c r="I830" s="846"/>
      <c r="J830" s="846"/>
      <c r="K830" s="846"/>
      <c r="L830" s="846"/>
      <c r="M830" s="846"/>
      <c r="N830" s="846"/>
      <c r="O830" s="846"/>
      <c r="P830" s="846"/>
      <c r="Q830" s="846"/>
      <c r="R830" s="846"/>
      <c r="S830" s="846"/>
      <c r="T830" s="846"/>
    </row>
    <row r="831" spans="2:20" ht="25.5" hidden="1">
      <c r="B831" s="828" t="s">
        <v>6529</v>
      </c>
      <c r="C831" s="828">
        <v>89024</v>
      </c>
      <c r="D831" s="630" t="s">
        <v>347</v>
      </c>
      <c r="E831" s="630" t="s">
        <v>902</v>
      </c>
      <c r="F831" s="829">
        <v>0.66</v>
      </c>
      <c r="G831" s="830">
        <v>0</v>
      </c>
      <c r="H831" s="831">
        <v>0.66</v>
      </c>
      <c r="I831" s="846"/>
      <c r="J831" s="846"/>
      <c r="K831" s="846"/>
      <c r="L831" s="846"/>
      <c r="M831" s="846"/>
      <c r="N831" s="846"/>
      <c r="O831" s="846"/>
      <c r="P831" s="846"/>
      <c r="Q831" s="846"/>
      <c r="R831" s="846"/>
      <c r="S831" s="846"/>
      <c r="T831" s="846"/>
    </row>
    <row r="832" spans="2:20" ht="25.5" hidden="1">
      <c r="B832" s="828" t="s">
        <v>6529</v>
      </c>
      <c r="C832" s="828">
        <v>89025</v>
      </c>
      <c r="D832" s="630" t="s">
        <v>348</v>
      </c>
      <c r="E832" s="630" t="s">
        <v>902</v>
      </c>
      <c r="F832" s="829">
        <v>3.52</v>
      </c>
      <c r="G832" s="830">
        <v>0</v>
      </c>
      <c r="H832" s="831">
        <v>3.52</v>
      </c>
      <c r="I832" s="846"/>
      <c r="J832" s="846"/>
      <c r="K832" s="846"/>
      <c r="L832" s="846"/>
      <c r="M832" s="846"/>
      <c r="N832" s="846"/>
      <c r="O832" s="846"/>
      <c r="P832" s="846"/>
      <c r="Q832" s="846"/>
      <c r="R832" s="846"/>
      <c r="S832" s="846"/>
      <c r="T832" s="846"/>
    </row>
    <row r="833" spans="2:20" ht="25.5" hidden="1">
      <c r="B833" s="828" t="s">
        <v>6529</v>
      </c>
      <c r="C833" s="828">
        <v>89026</v>
      </c>
      <c r="D833" s="630" t="s">
        <v>349</v>
      </c>
      <c r="E833" s="630" t="s">
        <v>902</v>
      </c>
      <c r="F833" s="829">
        <v>291.95999999999998</v>
      </c>
      <c r="G833" s="830">
        <v>0</v>
      </c>
      <c r="H833" s="831">
        <v>291.95999999999998</v>
      </c>
      <c r="I833" s="846"/>
      <c r="J833" s="846"/>
      <c r="K833" s="846"/>
      <c r="L833" s="846"/>
      <c r="M833" s="846"/>
      <c r="N833" s="846"/>
      <c r="O833" s="846"/>
      <c r="P833" s="846"/>
      <c r="Q833" s="846"/>
      <c r="R833" s="846"/>
      <c r="S833" s="846"/>
      <c r="T833" s="846"/>
    </row>
    <row r="834" spans="2:20" ht="25.5" hidden="1">
      <c r="B834" s="828" t="s">
        <v>6529</v>
      </c>
      <c r="C834" s="828">
        <v>89029</v>
      </c>
      <c r="D834" s="630" t="s">
        <v>350</v>
      </c>
      <c r="E834" s="630" t="s">
        <v>902</v>
      </c>
      <c r="F834" s="829">
        <v>29.98</v>
      </c>
      <c r="G834" s="830">
        <v>0</v>
      </c>
      <c r="H834" s="831">
        <v>29.98</v>
      </c>
      <c r="I834" s="846"/>
      <c r="J834" s="846"/>
      <c r="K834" s="846"/>
      <c r="L834" s="846"/>
      <c r="M834" s="846"/>
      <c r="N834" s="846"/>
      <c r="O834" s="846"/>
      <c r="P834" s="846"/>
      <c r="Q834" s="846"/>
      <c r="R834" s="846"/>
      <c r="S834" s="846"/>
      <c r="T834" s="846"/>
    </row>
    <row r="835" spans="2:20" ht="25.5" hidden="1">
      <c r="B835" s="828" t="s">
        <v>6529</v>
      </c>
      <c r="C835" s="828">
        <v>89030</v>
      </c>
      <c r="D835" s="630" t="s">
        <v>351</v>
      </c>
      <c r="E835" s="630" t="s">
        <v>902</v>
      </c>
      <c r="F835" s="829">
        <v>6.74</v>
      </c>
      <c r="G835" s="830">
        <v>0</v>
      </c>
      <c r="H835" s="831">
        <v>6.74</v>
      </c>
      <c r="I835" s="846"/>
      <c r="J835" s="846"/>
      <c r="K835" s="846"/>
      <c r="L835" s="846"/>
      <c r="M835" s="846"/>
      <c r="N835" s="846"/>
      <c r="O835" s="846"/>
      <c r="P835" s="846"/>
      <c r="Q835" s="846"/>
      <c r="R835" s="846"/>
      <c r="S835" s="846"/>
      <c r="T835" s="846"/>
    </row>
    <row r="836" spans="2:20" ht="25.5" hidden="1">
      <c r="B836" s="828" t="s">
        <v>6529</v>
      </c>
      <c r="C836" s="828">
        <v>89033</v>
      </c>
      <c r="D836" s="630" t="s">
        <v>352</v>
      </c>
      <c r="E836" s="630" t="s">
        <v>902</v>
      </c>
      <c r="F836" s="829">
        <v>13.99</v>
      </c>
      <c r="G836" s="830">
        <v>0</v>
      </c>
      <c r="H836" s="831">
        <v>13.99</v>
      </c>
      <c r="I836" s="846"/>
      <c r="J836" s="846"/>
      <c r="K836" s="846"/>
      <c r="L836" s="846"/>
      <c r="M836" s="846"/>
      <c r="N836" s="846"/>
      <c r="O836" s="846"/>
      <c r="P836" s="846"/>
      <c r="Q836" s="846"/>
      <c r="R836" s="846"/>
      <c r="S836" s="846"/>
      <c r="T836" s="846"/>
    </row>
    <row r="837" spans="2:20" ht="25.5" hidden="1">
      <c r="B837" s="828" t="s">
        <v>6529</v>
      </c>
      <c r="C837" s="828">
        <v>89034</v>
      </c>
      <c r="D837" s="630" t="s">
        <v>353</v>
      </c>
      <c r="E837" s="630" t="s">
        <v>902</v>
      </c>
      <c r="F837" s="829">
        <v>1.94</v>
      </c>
      <c r="G837" s="830">
        <v>0</v>
      </c>
      <c r="H837" s="831">
        <v>1.94</v>
      </c>
      <c r="I837" s="846"/>
      <c r="J837" s="846"/>
      <c r="K837" s="846"/>
      <c r="L837" s="846"/>
      <c r="M837" s="846"/>
      <c r="N837" s="846"/>
      <c r="O837" s="846"/>
      <c r="P837" s="846"/>
      <c r="Q837" s="846"/>
      <c r="R837" s="846"/>
      <c r="S837" s="846"/>
      <c r="T837" s="846"/>
    </row>
    <row r="838" spans="2:20" ht="38.25" hidden="1">
      <c r="B838" s="828" t="s">
        <v>6529</v>
      </c>
      <c r="C838" s="828">
        <v>89128</v>
      </c>
      <c r="D838" s="630" t="s">
        <v>157</v>
      </c>
      <c r="E838" s="630" t="s">
        <v>902</v>
      </c>
      <c r="F838" s="829">
        <v>39.619999999999997</v>
      </c>
      <c r="G838" s="830">
        <v>0</v>
      </c>
      <c r="H838" s="831">
        <v>39.619999999999997</v>
      </c>
      <c r="I838" s="846"/>
      <c r="J838" s="846"/>
      <c r="K838" s="846"/>
      <c r="L838" s="846"/>
      <c r="M838" s="846"/>
      <c r="N838" s="846"/>
      <c r="O838" s="846"/>
      <c r="P838" s="846"/>
      <c r="Q838" s="846"/>
      <c r="R838" s="846"/>
      <c r="S838" s="846"/>
      <c r="T838" s="846"/>
    </row>
    <row r="839" spans="2:20" ht="38.25" hidden="1">
      <c r="B839" s="828" t="s">
        <v>6529</v>
      </c>
      <c r="C839" s="828">
        <v>89129</v>
      </c>
      <c r="D839" s="630" t="s">
        <v>158</v>
      </c>
      <c r="E839" s="630" t="s">
        <v>902</v>
      </c>
      <c r="F839" s="829">
        <v>5.37</v>
      </c>
      <c r="G839" s="830">
        <v>0</v>
      </c>
      <c r="H839" s="831">
        <v>5.37</v>
      </c>
      <c r="I839" s="846"/>
      <c r="J839" s="846"/>
      <c r="K839" s="846"/>
      <c r="L839" s="846"/>
      <c r="M839" s="846"/>
      <c r="N839" s="846"/>
      <c r="O839" s="846"/>
      <c r="P839" s="846"/>
      <c r="Q839" s="846"/>
      <c r="R839" s="846"/>
      <c r="S839" s="846"/>
      <c r="T839" s="846"/>
    </row>
    <row r="840" spans="2:20" ht="38.25" hidden="1">
      <c r="B840" s="828" t="s">
        <v>6529</v>
      </c>
      <c r="C840" s="828">
        <v>89130</v>
      </c>
      <c r="D840" s="630" t="s">
        <v>159</v>
      </c>
      <c r="E840" s="630" t="s">
        <v>902</v>
      </c>
      <c r="F840" s="829">
        <v>54.93</v>
      </c>
      <c r="G840" s="830">
        <v>0</v>
      </c>
      <c r="H840" s="831">
        <v>54.93</v>
      </c>
      <c r="I840" s="846"/>
      <c r="J840" s="846"/>
      <c r="K840" s="846"/>
      <c r="L840" s="846"/>
      <c r="M840" s="846"/>
      <c r="N840" s="846"/>
      <c r="O840" s="846"/>
      <c r="P840" s="846"/>
      <c r="Q840" s="846"/>
      <c r="R840" s="846"/>
      <c r="S840" s="846"/>
      <c r="T840" s="846"/>
    </row>
    <row r="841" spans="2:20" ht="25.5" hidden="1">
      <c r="B841" s="828" t="s">
        <v>6529</v>
      </c>
      <c r="C841" s="828">
        <v>89131</v>
      </c>
      <c r="D841" s="630" t="s">
        <v>160</v>
      </c>
      <c r="E841" s="630" t="s">
        <v>902</v>
      </c>
      <c r="F841" s="829">
        <v>7.45</v>
      </c>
      <c r="G841" s="830">
        <v>0</v>
      </c>
      <c r="H841" s="831">
        <v>7.45</v>
      </c>
      <c r="I841" s="846"/>
      <c r="J841" s="846"/>
      <c r="K841" s="846"/>
      <c r="L841" s="846"/>
      <c r="M841" s="846"/>
      <c r="N841" s="846"/>
      <c r="O841" s="846"/>
      <c r="P841" s="846"/>
      <c r="Q841" s="846"/>
      <c r="R841" s="846"/>
      <c r="S841" s="846"/>
      <c r="T841" s="846"/>
    </row>
    <row r="842" spans="2:20" ht="38.25" hidden="1">
      <c r="B842" s="828" t="s">
        <v>6529</v>
      </c>
      <c r="C842" s="828">
        <v>89210</v>
      </c>
      <c r="D842" s="630" t="s">
        <v>161</v>
      </c>
      <c r="E842" s="630" t="s">
        <v>902</v>
      </c>
      <c r="F842" s="829">
        <v>29.88</v>
      </c>
      <c r="G842" s="830">
        <v>0</v>
      </c>
      <c r="H842" s="831">
        <v>29.88</v>
      </c>
      <c r="I842" s="846"/>
      <c r="J842" s="846"/>
      <c r="K842" s="846"/>
      <c r="L842" s="846"/>
      <c r="M842" s="846"/>
      <c r="N842" s="846"/>
      <c r="O842" s="846"/>
      <c r="P842" s="846"/>
      <c r="Q842" s="846"/>
      <c r="R842" s="846"/>
      <c r="S842" s="846"/>
      <c r="T842" s="846"/>
    </row>
    <row r="843" spans="2:20" ht="38.25" hidden="1">
      <c r="B843" s="828" t="s">
        <v>6529</v>
      </c>
      <c r="C843" s="828">
        <v>89211</v>
      </c>
      <c r="D843" s="630" t="s">
        <v>162</v>
      </c>
      <c r="E843" s="630" t="s">
        <v>902</v>
      </c>
      <c r="F843" s="829">
        <v>4.1399999999999997</v>
      </c>
      <c r="G843" s="830">
        <v>0</v>
      </c>
      <c r="H843" s="831">
        <v>4.1399999999999997</v>
      </c>
      <c r="I843" s="846"/>
      <c r="J843" s="846"/>
      <c r="K843" s="846"/>
      <c r="L843" s="846"/>
      <c r="M843" s="846"/>
      <c r="N843" s="846"/>
      <c r="O843" s="846"/>
      <c r="P843" s="846"/>
      <c r="Q843" s="846"/>
      <c r="R843" s="846"/>
      <c r="S843" s="846"/>
      <c r="T843" s="846"/>
    </row>
    <row r="844" spans="2:20" ht="25.5" hidden="1">
      <c r="B844" s="828" t="s">
        <v>6529</v>
      </c>
      <c r="C844" s="828">
        <v>89212</v>
      </c>
      <c r="D844" s="630" t="s">
        <v>163</v>
      </c>
      <c r="E844" s="630" t="s">
        <v>902</v>
      </c>
      <c r="F844" s="829">
        <v>28.3</v>
      </c>
      <c r="G844" s="830">
        <v>0</v>
      </c>
      <c r="H844" s="831">
        <v>28.3</v>
      </c>
      <c r="I844" s="846"/>
      <c r="J844" s="846"/>
      <c r="K844" s="846"/>
      <c r="L844" s="846"/>
      <c r="M844" s="846"/>
      <c r="N844" s="846"/>
      <c r="O844" s="846"/>
      <c r="P844" s="846"/>
      <c r="Q844" s="846"/>
      <c r="R844" s="846"/>
      <c r="S844" s="846"/>
      <c r="T844" s="846"/>
    </row>
    <row r="845" spans="2:20" ht="25.5" hidden="1">
      <c r="B845" s="828" t="s">
        <v>6529</v>
      </c>
      <c r="C845" s="828">
        <v>89213</v>
      </c>
      <c r="D845" s="630" t="s">
        <v>164</v>
      </c>
      <c r="E845" s="630" t="s">
        <v>902</v>
      </c>
      <c r="F845" s="829">
        <v>4.45</v>
      </c>
      <c r="G845" s="830">
        <v>0</v>
      </c>
      <c r="H845" s="831">
        <v>4.45</v>
      </c>
      <c r="I845" s="846"/>
      <c r="J845" s="846"/>
      <c r="K845" s="846"/>
      <c r="L845" s="846"/>
      <c r="M845" s="846"/>
      <c r="N845" s="846"/>
      <c r="O845" s="846"/>
      <c r="P845" s="846"/>
      <c r="Q845" s="846"/>
      <c r="R845" s="846"/>
      <c r="S845" s="846"/>
      <c r="T845" s="846"/>
    </row>
    <row r="846" spans="2:20" ht="25.5" hidden="1">
      <c r="B846" s="828" t="s">
        <v>6529</v>
      </c>
      <c r="C846" s="828">
        <v>89214</v>
      </c>
      <c r="D846" s="630" t="s">
        <v>165</v>
      </c>
      <c r="E846" s="630" t="s">
        <v>902</v>
      </c>
      <c r="F846" s="829">
        <v>26.57</v>
      </c>
      <c r="G846" s="830">
        <v>0</v>
      </c>
      <c r="H846" s="831">
        <v>26.57</v>
      </c>
      <c r="I846" s="846"/>
      <c r="J846" s="846"/>
      <c r="K846" s="846"/>
      <c r="L846" s="846"/>
      <c r="M846" s="846"/>
      <c r="N846" s="846"/>
      <c r="O846" s="846"/>
      <c r="P846" s="846"/>
      <c r="Q846" s="846"/>
      <c r="R846" s="846"/>
      <c r="S846" s="846"/>
      <c r="T846" s="846"/>
    </row>
    <row r="847" spans="2:20" ht="25.5" hidden="1">
      <c r="B847" s="828" t="s">
        <v>6529</v>
      </c>
      <c r="C847" s="828">
        <v>89215</v>
      </c>
      <c r="D847" s="630" t="s">
        <v>166</v>
      </c>
      <c r="E847" s="630" t="s">
        <v>902</v>
      </c>
      <c r="F847" s="829">
        <v>113.45</v>
      </c>
      <c r="G847" s="830">
        <v>0</v>
      </c>
      <c r="H847" s="831">
        <v>113.45</v>
      </c>
      <c r="I847" s="846"/>
      <c r="J847" s="846"/>
      <c r="K847" s="846"/>
      <c r="L847" s="846"/>
      <c r="M847" s="846"/>
      <c r="N847" s="846"/>
      <c r="O847" s="846"/>
      <c r="P847" s="846"/>
      <c r="Q847" s="846"/>
      <c r="R847" s="846"/>
      <c r="S847" s="846"/>
      <c r="T847" s="846"/>
    </row>
    <row r="848" spans="2:20" ht="38.25" hidden="1">
      <c r="B848" s="828" t="s">
        <v>6529</v>
      </c>
      <c r="C848" s="828">
        <v>89221</v>
      </c>
      <c r="D848" s="630" t="s">
        <v>167</v>
      </c>
      <c r="E848" s="630" t="s">
        <v>902</v>
      </c>
      <c r="F848" s="829">
        <v>1.24</v>
      </c>
      <c r="G848" s="830">
        <v>0</v>
      </c>
      <c r="H848" s="831">
        <v>1.24</v>
      </c>
      <c r="I848" s="846"/>
      <c r="J848" s="846"/>
      <c r="K848" s="846"/>
      <c r="L848" s="846"/>
      <c r="M848" s="846"/>
      <c r="N848" s="846"/>
      <c r="O848" s="846"/>
      <c r="P848" s="846"/>
      <c r="Q848" s="846"/>
      <c r="R848" s="846"/>
      <c r="S848" s="846"/>
      <c r="T848" s="846"/>
    </row>
    <row r="849" spans="2:20" ht="38.25" hidden="1">
      <c r="B849" s="828" t="s">
        <v>6529</v>
      </c>
      <c r="C849" s="828">
        <v>89222</v>
      </c>
      <c r="D849" s="630" t="s">
        <v>168</v>
      </c>
      <c r="E849" s="630" t="s">
        <v>902</v>
      </c>
      <c r="F849" s="829">
        <v>0.14000000000000001</v>
      </c>
      <c r="G849" s="830">
        <v>0</v>
      </c>
      <c r="H849" s="831">
        <v>0.14000000000000001</v>
      </c>
      <c r="I849" s="846"/>
      <c r="J849" s="846"/>
      <c r="K849" s="846"/>
      <c r="L849" s="846"/>
      <c r="M849" s="846"/>
      <c r="N849" s="846"/>
      <c r="O849" s="846"/>
      <c r="P849" s="846"/>
      <c r="Q849" s="846"/>
      <c r="R849" s="846"/>
      <c r="S849" s="846"/>
      <c r="T849" s="846"/>
    </row>
    <row r="850" spans="2:20" ht="38.25" hidden="1">
      <c r="B850" s="828" t="s">
        <v>6529</v>
      </c>
      <c r="C850" s="828">
        <v>89223</v>
      </c>
      <c r="D850" s="630" t="s">
        <v>169</v>
      </c>
      <c r="E850" s="630" t="s">
        <v>902</v>
      </c>
      <c r="F850" s="829">
        <v>1.36</v>
      </c>
      <c r="G850" s="830">
        <v>0</v>
      </c>
      <c r="H850" s="831">
        <v>1.36</v>
      </c>
      <c r="I850" s="846"/>
      <c r="J850" s="846"/>
      <c r="K850" s="846"/>
      <c r="L850" s="846"/>
      <c r="M850" s="846"/>
      <c r="N850" s="846"/>
      <c r="O850" s="846"/>
      <c r="P850" s="846"/>
      <c r="Q850" s="846"/>
      <c r="R850" s="846"/>
      <c r="S850" s="846"/>
      <c r="T850" s="846"/>
    </row>
    <row r="851" spans="2:20" ht="38.25" hidden="1">
      <c r="B851" s="828" t="s">
        <v>6529</v>
      </c>
      <c r="C851" s="828">
        <v>89224</v>
      </c>
      <c r="D851" s="630" t="s">
        <v>170</v>
      </c>
      <c r="E851" s="630" t="s">
        <v>902</v>
      </c>
      <c r="F851" s="829">
        <v>2.1</v>
      </c>
      <c r="G851" s="830">
        <v>0</v>
      </c>
      <c r="H851" s="831">
        <v>2.1</v>
      </c>
      <c r="I851" s="846"/>
      <c r="J851" s="846"/>
      <c r="K851" s="846"/>
      <c r="L851" s="846"/>
      <c r="M851" s="846"/>
      <c r="N851" s="846"/>
      <c r="O851" s="846"/>
      <c r="P851" s="846"/>
      <c r="Q851" s="846"/>
      <c r="R851" s="846"/>
      <c r="S851" s="846"/>
      <c r="T851" s="846"/>
    </row>
    <row r="852" spans="2:20" ht="38.25" hidden="1">
      <c r="B852" s="828" t="s">
        <v>6529</v>
      </c>
      <c r="C852" s="828">
        <v>89228</v>
      </c>
      <c r="D852" s="630" t="s">
        <v>2040</v>
      </c>
      <c r="E852" s="630" t="s">
        <v>902</v>
      </c>
      <c r="F852" s="829">
        <v>54</v>
      </c>
      <c r="G852" s="830">
        <v>0</v>
      </c>
      <c r="H852" s="831">
        <v>54</v>
      </c>
      <c r="I852" s="846"/>
      <c r="J852" s="846"/>
      <c r="K852" s="846"/>
      <c r="L852" s="846"/>
      <c r="M852" s="846"/>
      <c r="N852" s="846"/>
      <c r="O852" s="846"/>
      <c r="P852" s="846"/>
      <c r="Q852" s="846"/>
      <c r="R852" s="846"/>
      <c r="S852" s="846"/>
      <c r="T852" s="846"/>
    </row>
    <row r="853" spans="2:20" ht="25.5" hidden="1">
      <c r="B853" s="828" t="s">
        <v>6529</v>
      </c>
      <c r="C853" s="828">
        <v>89229</v>
      </c>
      <c r="D853" s="630" t="s">
        <v>2041</v>
      </c>
      <c r="E853" s="630" t="s">
        <v>902</v>
      </c>
      <c r="F853" s="829">
        <v>9.7200000000000006</v>
      </c>
      <c r="G853" s="830">
        <v>0</v>
      </c>
      <c r="H853" s="831">
        <v>9.7200000000000006</v>
      </c>
      <c r="I853" s="846"/>
      <c r="J853" s="846"/>
      <c r="K853" s="846"/>
      <c r="L853" s="846"/>
      <c r="M853" s="846"/>
      <c r="N853" s="846"/>
      <c r="O853" s="846"/>
      <c r="P853" s="846"/>
      <c r="Q853" s="846"/>
      <c r="R853" s="846"/>
      <c r="S853" s="846"/>
      <c r="T853" s="846"/>
    </row>
    <row r="854" spans="2:20" ht="25.5" hidden="1">
      <c r="B854" s="828" t="s">
        <v>6529</v>
      </c>
      <c r="C854" s="828">
        <v>89230</v>
      </c>
      <c r="D854" s="630" t="s">
        <v>171</v>
      </c>
      <c r="E854" s="630" t="s">
        <v>902</v>
      </c>
      <c r="F854" s="829">
        <v>139.11000000000001</v>
      </c>
      <c r="G854" s="830">
        <v>0</v>
      </c>
      <c r="H854" s="831">
        <v>139.11000000000001</v>
      </c>
      <c r="I854" s="846"/>
      <c r="J854" s="846"/>
      <c r="K854" s="846"/>
      <c r="L854" s="846"/>
      <c r="M854" s="846"/>
      <c r="N854" s="846"/>
      <c r="O854" s="846"/>
      <c r="P854" s="846"/>
      <c r="Q854" s="846"/>
      <c r="R854" s="846"/>
      <c r="S854" s="846"/>
      <c r="T854" s="846"/>
    </row>
    <row r="855" spans="2:20" ht="25.5" hidden="1">
      <c r="B855" s="828" t="s">
        <v>6529</v>
      </c>
      <c r="C855" s="828">
        <v>89231</v>
      </c>
      <c r="D855" s="630" t="s">
        <v>172</v>
      </c>
      <c r="E855" s="630" t="s">
        <v>902</v>
      </c>
      <c r="F855" s="829">
        <v>22.04</v>
      </c>
      <c r="G855" s="830">
        <v>0</v>
      </c>
      <c r="H855" s="831">
        <v>22.04</v>
      </c>
      <c r="I855" s="846"/>
      <c r="J855" s="846"/>
      <c r="K855" s="846"/>
      <c r="L855" s="846"/>
      <c r="M855" s="846"/>
      <c r="N855" s="846"/>
      <c r="O855" s="846"/>
      <c r="P855" s="846"/>
      <c r="Q855" s="846"/>
      <c r="R855" s="846"/>
      <c r="S855" s="846"/>
      <c r="T855" s="846"/>
    </row>
    <row r="856" spans="2:20" ht="25.5" hidden="1">
      <c r="B856" s="828" t="s">
        <v>6529</v>
      </c>
      <c r="C856" s="828">
        <v>89232</v>
      </c>
      <c r="D856" s="630" t="s">
        <v>173</v>
      </c>
      <c r="E856" s="630" t="s">
        <v>902</v>
      </c>
      <c r="F856" s="829">
        <v>248.14</v>
      </c>
      <c r="G856" s="830">
        <v>0</v>
      </c>
      <c r="H856" s="831">
        <v>248.14</v>
      </c>
      <c r="I856" s="846"/>
      <c r="J856" s="846"/>
      <c r="K856" s="846"/>
      <c r="L856" s="846"/>
      <c r="M856" s="846"/>
      <c r="N856" s="846"/>
      <c r="O856" s="846"/>
      <c r="P856" s="846"/>
      <c r="Q856" s="846"/>
      <c r="R856" s="846"/>
      <c r="S856" s="846"/>
      <c r="T856" s="846"/>
    </row>
    <row r="857" spans="2:20" ht="25.5" hidden="1">
      <c r="B857" s="828" t="s">
        <v>6529</v>
      </c>
      <c r="C857" s="828">
        <v>89233</v>
      </c>
      <c r="D857" s="630" t="s">
        <v>174</v>
      </c>
      <c r="E857" s="630" t="s">
        <v>902</v>
      </c>
      <c r="F857" s="829">
        <v>204.16</v>
      </c>
      <c r="G857" s="830">
        <v>0</v>
      </c>
      <c r="H857" s="831">
        <v>204.16</v>
      </c>
      <c r="I857" s="846"/>
      <c r="J857" s="846"/>
      <c r="K857" s="846"/>
      <c r="L857" s="846"/>
      <c r="M857" s="846"/>
      <c r="N857" s="846"/>
      <c r="O857" s="846"/>
      <c r="P857" s="846"/>
      <c r="Q857" s="846"/>
      <c r="R857" s="846"/>
      <c r="S857" s="846"/>
      <c r="T857" s="846"/>
    </row>
    <row r="858" spans="2:20" ht="25.5" hidden="1">
      <c r="B858" s="828" t="s">
        <v>6529</v>
      </c>
      <c r="C858" s="828">
        <v>89236</v>
      </c>
      <c r="D858" s="630" t="s">
        <v>175</v>
      </c>
      <c r="E858" s="630" t="s">
        <v>902</v>
      </c>
      <c r="F858" s="829">
        <v>324.97000000000003</v>
      </c>
      <c r="G858" s="830">
        <v>0</v>
      </c>
      <c r="H858" s="831">
        <v>324.97000000000003</v>
      </c>
      <c r="I858" s="846"/>
      <c r="J858" s="846"/>
      <c r="K858" s="846"/>
      <c r="L858" s="846"/>
      <c r="M858" s="846"/>
      <c r="N858" s="846"/>
      <c r="O858" s="846"/>
      <c r="P858" s="846"/>
      <c r="Q858" s="846"/>
      <c r="R858" s="846"/>
      <c r="S858" s="846"/>
      <c r="T858" s="846"/>
    </row>
    <row r="859" spans="2:20" ht="25.5" hidden="1">
      <c r="B859" s="828" t="s">
        <v>6529</v>
      </c>
      <c r="C859" s="828">
        <v>89237</v>
      </c>
      <c r="D859" s="630" t="s">
        <v>176</v>
      </c>
      <c r="E859" s="630" t="s">
        <v>902</v>
      </c>
      <c r="F859" s="829">
        <v>51.49</v>
      </c>
      <c r="G859" s="830">
        <v>0</v>
      </c>
      <c r="H859" s="831">
        <v>51.49</v>
      </c>
      <c r="I859" s="846"/>
      <c r="J859" s="846"/>
      <c r="K859" s="846"/>
      <c r="L859" s="846"/>
      <c r="M859" s="846"/>
      <c r="N859" s="846"/>
      <c r="O859" s="846"/>
      <c r="P859" s="846"/>
      <c r="Q859" s="846"/>
      <c r="R859" s="846"/>
      <c r="S859" s="846"/>
      <c r="T859" s="846"/>
    </row>
    <row r="860" spans="2:20" ht="25.5" hidden="1">
      <c r="B860" s="828" t="s">
        <v>6529</v>
      </c>
      <c r="C860" s="828">
        <v>89238</v>
      </c>
      <c r="D860" s="630" t="s">
        <v>177</v>
      </c>
      <c r="E860" s="630" t="s">
        <v>902</v>
      </c>
      <c r="F860" s="829">
        <v>579.66999999999996</v>
      </c>
      <c r="G860" s="830">
        <v>0</v>
      </c>
      <c r="H860" s="831">
        <v>579.66999999999996</v>
      </c>
      <c r="I860" s="846"/>
      <c r="J860" s="846"/>
      <c r="K860" s="846"/>
      <c r="L860" s="846"/>
      <c r="M860" s="846"/>
      <c r="N860" s="846"/>
      <c r="O860" s="846"/>
      <c r="P860" s="846"/>
      <c r="Q860" s="846"/>
      <c r="R860" s="846"/>
      <c r="S860" s="846"/>
      <c r="T860" s="846"/>
    </row>
    <row r="861" spans="2:20" ht="25.5" hidden="1">
      <c r="B861" s="828" t="s">
        <v>6529</v>
      </c>
      <c r="C861" s="828">
        <v>89239</v>
      </c>
      <c r="D861" s="630" t="s">
        <v>178</v>
      </c>
      <c r="E861" s="630" t="s">
        <v>902</v>
      </c>
      <c r="F861" s="829">
        <v>539.91</v>
      </c>
      <c r="G861" s="830">
        <v>0</v>
      </c>
      <c r="H861" s="831">
        <v>539.91</v>
      </c>
      <c r="I861" s="846"/>
      <c r="J861" s="846"/>
      <c r="K861" s="846"/>
      <c r="L861" s="846"/>
      <c r="M861" s="846"/>
      <c r="N861" s="846"/>
      <c r="O861" s="846"/>
      <c r="P861" s="846"/>
      <c r="Q861" s="846"/>
      <c r="R861" s="846"/>
      <c r="S861" s="846"/>
      <c r="T861" s="846"/>
    </row>
    <row r="862" spans="2:20" ht="38.25" hidden="1">
      <c r="B862" s="828" t="s">
        <v>6529</v>
      </c>
      <c r="C862" s="828">
        <v>89240</v>
      </c>
      <c r="D862" s="630" t="s">
        <v>179</v>
      </c>
      <c r="E862" s="630" t="s">
        <v>902</v>
      </c>
      <c r="F862" s="829">
        <v>99.73</v>
      </c>
      <c r="G862" s="830">
        <v>0</v>
      </c>
      <c r="H862" s="831">
        <v>99.73</v>
      </c>
      <c r="I862" s="846"/>
      <c r="J862" s="846"/>
      <c r="K862" s="846"/>
      <c r="L862" s="846"/>
      <c r="M862" s="846"/>
      <c r="N862" s="846"/>
      <c r="O862" s="846"/>
      <c r="P862" s="846"/>
      <c r="Q862" s="846"/>
      <c r="R862" s="846"/>
      <c r="S862" s="846"/>
      <c r="T862" s="846"/>
    </row>
    <row r="863" spans="2:20" ht="38.25" hidden="1">
      <c r="B863" s="828" t="s">
        <v>6529</v>
      </c>
      <c r="C863" s="828">
        <v>89241</v>
      </c>
      <c r="D863" s="630" t="s">
        <v>180</v>
      </c>
      <c r="E863" s="630" t="s">
        <v>902</v>
      </c>
      <c r="F863" s="829">
        <v>17.95</v>
      </c>
      <c r="G863" s="830">
        <v>0</v>
      </c>
      <c r="H863" s="831">
        <v>17.95</v>
      </c>
      <c r="I863" s="846"/>
      <c r="J863" s="846"/>
      <c r="K863" s="846"/>
      <c r="L863" s="846"/>
      <c r="M863" s="846"/>
      <c r="N863" s="846"/>
      <c r="O863" s="846"/>
      <c r="P863" s="846"/>
      <c r="Q863" s="846"/>
      <c r="R863" s="846"/>
      <c r="S863" s="846"/>
      <c r="T863" s="846"/>
    </row>
    <row r="864" spans="2:20" ht="25.5" hidden="1">
      <c r="B864" s="828" t="s">
        <v>6529</v>
      </c>
      <c r="C864" s="828">
        <v>89246</v>
      </c>
      <c r="D864" s="630" t="s">
        <v>181</v>
      </c>
      <c r="E864" s="630" t="s">
        <v>902</v>
      </c>
      <c r="F864" s="829">
        <v>282.38</v>
      </c>
      <c r="G864" s="830">
        <v>0</v>
      </c>
      <c r="H864" s="831">
        <v>282.38</v>
      </c>
      <c r="I864" s="846"/>
      <c r="J864" s="846"/>
      <c r="K864" s="846"/>
      <c r="L864" s="846"/>
      <c r="M864" s="846"/>
      <c r="N864" s="846"/>
      <c r="O864" s="846"/>
      <c r="P864" s="846"/>
      <c r="Q864" s="846"/>
      <c r="R864" s="846"/>
      <c r="S864" s="846"/>
      <c r="T864" s="846"/>
    </row>
    <row r="865" spans="2:20" ht="25.5" hidden="1">
      <c r="B865" s="828" t="s">
        <v>6529</v>
      </c>
      <c r="C865" s="828">
        <v>89247</v>
      </c>
      <c r="D865" s="630" t="s">
        <v>182</v>
      </c>
      <c r="E865" s="630" t="s">
        <v>902</v>
      </c>
      <c r="F865" s="829">
        <v>44.74</v>
      </c>
      <c r="G865" s="830">
        <v>0</v>
      </c>
      <c r="H865" s="831">
        <v>44.74</v>
      </c>
      <c r="I865" s="846"/>
      <c r="J865" s="846"/>
      <c r="K865" s="846"/>
      <c r="L865" s="846"/>
      <c r="M865" s="846"/>
      <c r="N865" s="846"/>
      <c r="O865" s="846"/>
      <c r="P865" s="846"/>
      <c r="Q865" s="846"/>
      <c r="R865" s="846"/>
      <c r="S865" s="846"/>
      <c r="T865" s="846"/>
    </row>
    <row r="866" spans="2:20" ht="25.5" hidden="1">
      <c r="B866" s="828" t="s">
        <v>6529</v>
      </c>
      <c r="C866" s="828">
        <v>89248</v>
      </c>
      <c r="D866" s="630" t="s">
        <v>183</v>
      </c>
      <c r="E866" s="630" t="s">
        <v>902</v>
      </c>
      <c r="F866" s="829">
        <v>503.69</v>
      </c>
      <c r="G866" s="830">
        <v>0</v>
      </c>
      <c r="H866" s="831">
        <v>503.69</v>
      </c>
      <c r="I866" s="846"/>
      <c r="J866" s="846"/>
      <c r="K866" s="846"/>
      <c r="L866" s="846"/>
      <c r="M866" s="846"/>
      <c r="N866" s="846"/>
      <c r="O866" s="846"/>
      <c r="P866" s="846"/>
      <c r="Q866" s="846"/>
      <c r="R866" s="846"/>
      <c r="S866" s="846"/>
      <c r="T866" s="846"/>
    </row>
    <row r="867" spans="2:20" ht="25.5" hidden="1">
      <c r="B867" s="828" t="s">
        <v>6529</v>
      </c>
      <c r="C867" s="828">
        <v>89249</v>
      </c>
      <c r="D867" s="630" t="s">
        <v>184</v>
      </c>
      <c r="E867" s="630" t="s">
        <v>902</v>
      </c>
      <c r="F867" s="829">
        <v>460.23</v>
      </c>
      <c r="G867" s="830">
        <v>0</v>
      </c>
      <c r="H867" s="831">
        <v>460.23</v>
      </c>
      <c r="I867" s="846"/>
      <c r="J867" s="846"/>
      <c r="K867" s="846"/>
      <c r="L867" s="846"/>
      <c r="M867" s="846"/>
      <c r="N867" s="846"/>
      <c r="O867" s="846"/>
      <c r="P867" s="846"/>
      <c r="Q867" s="846"/>
      <c r="R867" s="846"/>
      <c r="S867" s="846"/>
      <c r="T867" s="846"/>
    </row>
    <row r="868" spans="2:20" ht="38.25" hidden="1">
      <c r="B868" s="828" t="s">
        <v>6529</v>
      </c>
      <c r="C868" s="828">
        <v>89253</v>
      </c>
      <c r="D868" s="630" t="s">
        <v>185</v>
      </c>
      <c r="E868" s="630" t="s">
        <v>902</v>
      </c>
      <c r="F868" s="829">
        <v>81.72</v>
      </c>
      <c r="G868" s="830">
        <v>0</v>
      </c>
      <c r="H868" s="831">
        <v>81.72</v>
      </c>
      <c r="I868" s="846"/>
      <c r="J868" s="846"/>
      <c r="K868" s="846"/>
      <c r="L868" s="846"/>
      <c r="M868" s="846"/>
      <c r="N868" s="846"/>
      <c r="O868" s="846"/>
      <c r="P868" s="846"/>
      <c r="Q868" s="846"/>
      <c r="R868" s="846"/>
      <c r="S868" s="846"/>
      <c r="T868" s="846"/>
    </row>
    <row r="869" spans="2:20" ht="38.25" hidden="1">
      <c r="B869" s="828" t="s">
        <v>6529</v>
      </c>
      <c r="C869" s="828">
        <v>89254</v>
      </c>
      <c r="D869" s="630" t="s">
        <v>186</v>
      </c>
      <c r="E869" s="630" t="s">
        <v>902</v>
      </c>
      <c r="F869" s="829">
        <v>14.71</v>
      </c>
      <c r="G869" s="830">
        <v>0</v>
      </c>
      <c r="H869" s="831">
        <v>14.71</v>
      </c>
      <c r="I869" s="846"/>
      <c r="J869" s="846"/>
      <c r="K869" s="846"/>
      <c r="L869" s="846"/>
      <c r="M869" s="846"/>
      <c r="N869" s="846"/>
      <c r="O869" s="846"/>
      <c r="P869" s="846"/>
      <c r="Q869" s="846"/>
      <c r="R869" s="846"/>
      <c r="S869" s="846"/>
      <c r="T869" s="846"/>
    </row>
    <row r="870" spans="2:20" ht="38.25" hidden="1">
      <c r="B870" s="828" t="s">
        <v>6529</v>
      </c>
      <c r="C870" s="828">
        <v>89255</v>
      </c>
      <c r="D870" s="630" t="s">
        <v>376</v>
      </c>
      <c r="E870" s="630" t="s">
        <v>902</v>
      </c>
      <c r="F870" s="829">
        <v>131.38</v>
      </c>
      <c r="G870" s="830">
        <v>0</v>
      </c>
      <c r="H870" s="831">
        <v>131.38</v>
      </c>
      <c r="I870" s="846"/>
      <c r="J870" s="846"/>
      <c r="K870" s="846"/>
      <c r="L870" s="846"/>
      <c r="M870" s="846"/>
      <c r="N870" s="846"/>
      <c r="O870" s="846"/>
      <c r="P870" s="846"/>
      <c r="Q870" s="846"/>
      <c r="R870" s="846"/>
      <c r="S870" s="846"/>
      <c r="T870" s="846"/>
    </row>
    <row r="871" spans="2:20" ht="38.25" hidden="1">
      <c r="B871" s="828" t="s">
        <v>6529</v>
      </c>
      <c r="C871" s="828">
        <v>89256</v>
      </c>
      <c r="D871" s="630" t="s">
        <v>377</v>
      </c>
      <c r="E871" s="630" t="s">
        <v>902</v>
      </c>
      <c r="F871" s="829">
        <v>103.58</v>
      </c>
      <c r="G871" s="830">
        <v>0</v>
      </c>
      <c r="H871" s="831">
        <v>103.58</v>
      </c>
      <c r="I871" s="846"/>
      <c r="J871" s="846"/>
      <c r="K871" s="846"/>
      <c r="L871" s="846"/>
      <c r="M871" s="846"/>
      <c r="N871" s="846"/>
      <c r="O871" s="846"/>
      <c r="P871" s="846"/>
      <c r="Q871" s="846"/>
      <c r="R871" s="846"/>
      <c r="S871" s="846"/>
      <c r="T871" s="846"/>
    </row>
    <row r="872" spans="2:20" ht="51" hidden="1">
      <c r="B872" s="828" t="s">
        <v>6529</v>
      </c>
      <c r="C872" s="828">
        <v>89259</v>
      </c>
      <c r="D872" s="630" t="s">
        <v>378</v>
      </c>
      <c r="E872" s="630" t="s">
        <v>902</v>
      </c>
      <c r="F872" s="829">
        <v>23.76</v>
      </c>
      <c r="G872" s="830">
        <v>0</v>
      </c>
      <c r="H872" s="831">
        <v>23.76</v>
      </c>
      <c r="I872" s="846"/>
      <c r="J872" s="846"/>
      <c r="K872" s="846"/>
      <c r="L872" s="846"/>
      <c r="M872" s="846"/>
      <c r="N872" s="846"/>
      <c r="O872" s="846"/>
      <c r="P872" s="846"/>
      <c r="Q872" s="846"/>
      <c r="R872" s="846"/>
      <c r="S872" s="846"/>
      <c r="T872" s="846"/>
    </row>
    <row r="873" spans="2:20" ht="51" hidden="1">
      <c r="B873" s="828" t="s">
        <v>6529</v>
      </c>
      <c r="C873" s="828">
        <v>89260</v>
      </c>
      <c r="D873" s="630" t="s">
        <v>379</v>
      </c>
      <c r="E873" s="630" t="s">
        <v>902</v>
      </c>
      <c r="F873" s="829">
        <v>4.3899999999999997</v>
      </c>
      <c r="G873" s="830">
        <v>0</v>
      </c>
      <c r="H873" s="831">
        <v>4.3899999999999997</v>
      </c>
      <c r="I873" s="846"/>
      <c r="J873" s="846"/>
      <c r="K873" s="846"/>
      <c r="L873" s="846"/>
      <c r="M873" s="846"/>
      <c r="N873" s="846"/>
      <c r="O873" s="846"/>
      <c r="P873" s="846"/>
      <c r="Q873" s="846"/>
      <c r="R873" s="846"/>
      <c r="S873" s="846"/>
      <c r="T873" s="846"/>
    </row>
    <row r="874" spans="2:20" ht="51" hidden="1">
      <c r="B874" s="828" t="s">
        <v>6529</v>
      </c>
      <c r="C874" s="828">
        <v>89262</v>
      </c>
      <c r="D874" s="630" t="s">
        <v>380</v>
      </c>
      <c r="E874" s="630" t="s">
        <v>902</v>
      </c>
      <c r="F874" s="829">
        <v>39.840000000000003</v>
      </c>
      <c r="G874" s="830">
        <v>0</v>
      </c>
      <c r="H874" s="831">
        <v>39.840000000000003</v>
      </c>
      <c r="I874" s="846"/>
      <c r="J874" s="846"/>
      <c r="K874" s="846"/>
      <c r="L874" s="846"/>
      <c r="M874" s="846"/>
      <c r="N874" s="846"/>
      <c r="O874" s="846"/>
      <c r="P874" s="846"/>
      <c r="Q874" s="846"/>
      <c r="R874" s="846"/>
      <c r="S874" s="846"/>
      <c r="T874" s="846"/>
    </row>
    <row r="875" spans="2:20" ht="51" hidden="1">
      <c r="B875" s="828" t="s">
        <v>6529</v>
      </c>
      <c r="C875" s="828">
        <v>89264</v>
      </c>
      <c r="D875" s="630" t="s">
        <v>381</v>
      </c>
      <c r="E875" s="630" t="s">
        <v>902</v>
      </c>
      <c r="F875" s="829">
        <v>18.07</v>
      </c>
      <c r="G875" s="830">
        <v>0</v>
      </c>
      <c r="H875" s="831">
        <v>18.07</v>
      </c>
      <c r="I875" s="846"/>
      <c r="J875" s="846"/>
      <c r="K875" s="846"/>
      <c r="L875" s="846"/>
      <c r="M875" s="846"/>
      <c r="N875" s="846"/>
      <c r="O875" s="846"/>
      <c r="P875" s="846"/>
      <c r="Q875" s="846"/>
      <c r="R875" s="846"/>
      <c r="S875" s="846"/>
      <c r="T875" s="846"/>
    </row>
    <row r="876" spans="2:20" ht="51" hidden="1">
      <c r="B876" s="828" t="s">
        <v>6529</v>
      </c>
      <c r="C876" s="828">
        <v>89265</v>
      </c>
      <c r="D876" s="630" t="s">
        <v>2197</v>
      </c>
      <c r="E876" s="630" t="s">
        <v>902</v>
      </c>
      <c r="F876" s="829">
        <v>3.64</v>
      </c>
      <c r="G876" s="830">
        <v>0</v>
      </c>
      <c r="H876" s="831">
        <v>3.64</v>
      </c>
      <c r="I876" s="846"/>
      <c r="J876" s="846"/>
      <c r="K876" s="846"/>
      <c r="L876" s="846"/>
      <c r="M876" s="846"/>
      <c r="N876" s="846"/>
      <c r="O876" s="846"/>
      <c r="P876" s="846"/>
      <c r="Q876" s="846"/>
      <c r="R876" s="846"/>
      <c r="S876" s="846"/>
      <c r="T876" s="846"/>
    </row>
    <row r="877" spans="2:20" ht="51" hidden="1">
      <c r="B877" s="828" t="s">
        <v>6529</v>
      </c>
      <c r="C877" s="828">
        <v>89266</v>
      </c>
      <c r="D877" s="630" t="s">
        <v>2198</v>
      </c>
      <c r="E877" s="630" t="s">
        <v>902</v>
      </c>
      <c r="F877" s="829">
        <v>2.88</v>
      </c>
      <c r="G877" s="830">
        <v>0</v>
      </c>
      <c r="H877" s="831">
        <v>2.88</v>
      </c>
      <c r="I877" s="846"/>
      <c r="J877" s="846"/>
      <c r="K877" s="846"/>
      <c r="L877" s="846"/>
      <c r="M877" s="846"/>
      <c r="N877" s="846"/>
      <c r="O877" s="846"/>
      <c r="P877" s="846"/>
      <c r="Q877" s="846"/>
      <c r="R877" s="846"/>
      <c r="S877" s="846"/>
      <c r="T877" s="846"/>
    </row>
    <row r="878" spans="2:20" ht="38.25" hidden="1">
      <c r="B878" s="828" t="s">
        <v>6529</v>
      </c>
      <c r="C878" s="828">
        <v>89267</v>
      </c>
      <c r="D878" s="630" t="s">
        <v>1983</v>
      </c>
      <c r="E878" s="630" t="s">
        <v>902</v>
      </c>
      <c r="F878" s="829">
        <v>49.27</v>
      </c>
      <c r="G878" s="830">
        <v>0</v>
      </c>
      <c r="H878" s="831">
        <v>49.27</v>
      </c>
      <c r="I878" s="846"/>
      <c r="J878" s="846"/>
      <c r="K878" s="846"/>
      <c r="L878" s="846"/>
      <c r="M878" s="846"/>
      <c r="N878" s="846"/>
      <c r="O878" s="846"/>
      <c r="P878" s="846"/>
      <c r="Q878" s="846"/>
      <c r="R878" s="846"/>
      <c r="S878" s="846"/>
      <c r="T878" s="846"/>
    </row>
    <row r="879" spans="2:20" ht="38.25" hidden="1">
      <c r="B879" s="828" t="s">
        <v>6529</v>
      </c>
      <c r="C879" s="828">
        <v>89268</v>
      </c>
      <c r="D879" s="630" t="s">
        <v>1984</v>
      </c>
      <c r="E879" s="630" t="s">
        <v>902</v>
      </c>
      <c r="F879" s="829">
        <v>8.86</v>
      </c>
      <c r="G879" s="830">
        <v>0</v>
      </c>
      <c r="H879" s="831">
        <v>8.86</v>
      </c>
      <c r="I879" s="846"/>
      <c r="J879" s="846"/>
      <c r="K879" s="846"/>
      <c r="L879" s="846"/>
      <c r="M879" s="846"/>
      <c r="N879" s="846"/>
      <c r="O879" s="846"/>
      <c r="P879" s="846"/>
      <c r="Q879" s="846"/>
      <c r="R879" s="846"/>
      <c r="S879" s="846"/>
      <c r="T879" s="846"/>
    </row>
    <row r="880" spans="2:20" ht="38.25" hidden="1">
      <c r="B880" s="828" t="s">
        <v>6529</v>
      </c>
      <c r="C880" s="828">
        <v>89269</v>
      </c>
      <c r="D880" s="630" t="s">
        <v>1985</v>
      </c>
      <c r="E880" s="630" t="s">
        <v>902</v>
      </c>
      <c r="F880" s="829">
        <v>7.02</v>
      </c>
      <c r="G880" s="830">
        <v>0</v>
      </c>
      <c r="H880" s="831">
        <v>7.02</v>
      </c>
      <c r="I880" s="846"/>
      <c r="J880" s="846"/>
      <c r="K880" s="846"/>
      <c r="L880" s="846"/>
      <c r="M880" s="846"/>
      <c r="N880" s="846"/>
      <c r="O880" s="846"/>
      <c r="P880" s="846"/>
      <c r="Q880" s="846"/>
      <c r="R880" s="846"/>
      <c r="S880" s="846"/>
      <c r="T880" s="846"/>
    </row>
    <row r="881" spans="2:20" ht="38.25" hidden="1">
      <c r="B881" s="828" t="s">
        <v>6529</v>
      </c>
      <c r="C881" s="828">
        <v>89270</v>
      </c>
      <c r="D881" s="630" t="s">
        <v>1986</v>
      </c>
      <c r="E881" s="630" t="s">
        <v>902</v>
      </c>
      <c r="F881" s="829">
        <v>79.2</v>
      </c>
      <c r="G881" s="830">
        <v>0</v>
      </c>
      <c r="H881" s="831">
        <v>79.2</v>
      </c>
      <c r="I881" s="846"/>
      <c r="J881" s="846"/>
      <c r="K881" s="846"/>
      <c r="L881" s="846"/>
      <c r="M881" s="846"/>
      <c r="N881" s="846"/>
      <c r="O881" s="846"/>
      <c r="P881" s="846"/>
      <c r="Q881" s="846"/>
      <c r="R881" s="846"/>
      <c r="S881" s="846"/>
      <c r="T881" s="846"/>
    </row>
    <row r="882" spans="2:20" ht="38.25" hidden="1">
      <c r="B882" s="828" t="s">
        <v>6529</v>
      </c>
      <c r="C882" s="828">
        <v>89271</v>
      </c>
      <c r="D882" s="630" t="s">
        <v>1987</v>
      </c>
      <c r="E882" s="630" t="s">
        <v>902</v>
      </c>
      <c r="F882" s="829">
        <v>35.450000000000003</v>
      </c>
      <c r="G882" s="830">
        <v>0</v>
      </c>
      <c r="H882" s="831">
        <v>35.450000000000003</v>
      </c>
      <c r="I882" s="846"/>
      <c r="J882" s="846"/>
      <c r="K882" s="846"/>
      <c r="L882" s="846"/>
      <c r="M882" s="846"/>
      <c r="N882" s="846"/>
      <c r="O882" s="846"/>
      <c r="P882" s="846"/>
      <c r="Q882" s="846"/>
      <c r="R882" s="846"/>
      <c r="S882" s="846"/>
      <c r="T882" s="846"/>
    </row>
    <row r="883" spans="2:20" ht="38.25" hidden="1">
      <c r="B883" s="828" t="s">
        <v>6529</v>
      </c>
      <c r="C883" s="828">
        <v>89274</v>
      </c>
      <c r="D883" s="630" t="s">
        <v>7063</v>
      </c>
      <c r="E883" s="630" t="s">
        <v>902</v>
      </c>
      <c r="F883" s="829">
        <v>1.51</v>
      </c>
      <c r="G883" s="830">
        <v>0</v>
      </c>
      <c r="H883" s="831">
        <v>1.51</v>
      </c>
      <c r="I883" s="846"/>
      <c r="J883" s="846"/>
      <c r="K883" s="846"/>
      <c r="L883" s="846"/>
      <c r="M883" s="846"/>
      <c r="N883" s="846"/>
      <c r="O883" s="846"/>
      <c r="P883" s="846"/>
      <c r="Q883" s="846"/>
      <c r="R883" s="846"/>
      <c r="S883" s="846"/>
      <c r="T883" s="846"/>
    </row>
    <row r="884" spans="2:20" ht="38.25" hidden="1">
      <c r="B884" s="828" t="s">
        <v>6529</v>
      </c>
      <c r="C884" s="828">
        <v>89275</v>
      </c>
      <c r="D884" s="630" t="s">
        <v>7064</v>
      </c>
      <c r="E884" s="630" t="s">
        <v>902</v>
      </c>
      <c r="F884" s="829">
        <v>0.17</v>
      </c>
      <c r="G884" s="830">
        <v>0</v>
      </c>
      <c r="H884" s="831">
        <v>0.17</v>
      </c>
      <c r="I884" s="846"/>
      <c r="J884" s="846"/>
      <c r="K884" s="846"/>
      <c r="L884" s="846"/>
      <c r="M884" s="846"/>
      <c r="N884" s="846"/>
      <c r="O884" s="846"/>
      <c r="P884" s="846"/>
      <c r="Q884" s="846"/>
      <c r="R884" s="846"/>
      <c r="S884" s="846"/>
      <c r="T884" s="846"/>
    </row>
    <row r="885" spans="2:20" ht="38.25" hidden="1">
      <c r="B885" s="828" t="s">
        <v>6529</v>
      </c>
      <c r="C885" s="828">
        <v>89276</v>
      </c>
      <c r="D885" s="630" t="s">
        <v>7065</v>
      </c>
      <c r="E885" s="630" t="s">
        <v>902</v>
      </c>
      <c r="F885" s="829">
        <v>1.89</v>
      </c>
      <c r="G885" s="830">
        <v>0</v>
      </c>
      <c r="H885" s="831">
        <v>1.89</v>
      </c>
      <c r="I885" s="846"/>
      <c r="J885" s="846"/>
      <c r="K885" s="846"/>
      <c r="L885" s="846"/>
      <c r="M885" s="846"/>
      <c r="N885" s="846"/>
      <c r="O885" s="846"/>
      <c r="P885" s="846"/>
      <c r="Q885" s="846"/>
      <c r="R885" s="846"/>
      <c r="S885" s="846"/>
      <c r="T885" s="846"/>
    </row>
    <row r="886" spans="2:20" ht="38.25" hidden="1">
      <c r="B886" s="828" t="s">
        <v>6529</v>
      </c>
      <c r="C886" s="828">
        <v>89277</v>
      </c>
      <c r="D886" s="630" t="s">
        <v>7066</v>
      </c>
      <c r="E886" s="630" t="s">
        <v>902</v>
      </c>
      <c r="F886" s="829">
        <v>10.23</v>
      </c>
      <c r="G886" s="830">
        <v>0</v>
      </c>
      <c r="H886" s="831">
        <v>10.23</v>
      </c>
      <c r="I886" s="846"/>
      <c r="J886" s="846"/>
      <c r="K886" s="846"/>
      <c r="L886" s="846"/>
      <c r="M886" s="846"/>
      <c r="N886" s="846"/>
      <c r="O886" s="846"/>
      <c r="P886" s="846"/>
      <c r="Q886" s="846"/>
      <c r="R886" s="846"/>
      <c r="S886" s="846"/>
      <c r="T886" s="846"/>
    </row>
    <row r="887" spans="2:20" ht="38.25" hidden="1">
      <c r="B887" s="828" t="s">
        <v>6529</v>
      </c>
      <c r="C887" s="828">
        <v>89280</v>
      </c>
      <c r="D887" s="630" t="s">
        <v>382</v>
      </c>
      <c r="E887" s="630" t="s">
        <v>902</v>
      </c>
      <c r="F887" s="829">
        <v>36.69</v>
      </c>
      <c r="G887" s="830">
        <v>0</v>
      </c>
      <c r="H887" s="831">
        <v>36.69</v>
      </c>
      <c r="I887" s="846"/>
      <c r="J887" s="846"/>
      <c r="K887" s="846"/>
      <c r="L887" s="846"/>
      <c r="M887" s="846"/>
      <c r="N887" s="846"/>
      <c r="O887" s="846"/>
      <c r="P887" s="846"/>
      <c r="Q887" s="846"/>
      <c r="R887" s="846"/>
      <c r="S887" s="846"/>
      <c r="T887" s="846"/>
    </row>
    <row r="888" spans="2:20" ht="38.25" hidden="1">
      <c r="B888" s="828" t="s">
        <v>6529</v>
      </c>
      <c r="C888" s="828">
        <v>89281</v>
      </c>
      <c r="D888" s="630" t="s">
        <v>383</v>
      </c>
      <c r="E888" s="630" t="s">
        <v>902</v>
      </c>
      <c r="F888" s="829">
        <v>5.09</v>
      </c>
      <c r="G888" s="830">
        <v>0</v>
      </c>
      <c r="H888" s="831">
        <v>5.09</v>
      </c>
      <c r="I888" s="846"/>
      <c r="J888" s="846"/>
      <c r="K888" s="846"/>
      <c r="L888" s="846"/>
      <c r="M888" s="846"/>
      <c r="N888" s="846"/>
      <c r="O888" s="846"/>
      <c r="P888" s="846"/>
      <c r="Q888" s="846"/>
      <c r="R888" s="846"/>
      <c r="S888" s="846"/>
      <c r="T888" s="846"/>
    </row>
    <row r="889" spans="2:20" ht="51" hidden="1">
      <c r="B889" s="828" t="s">
        <v>6529</v>
      </c>
      <c r="C889" s="828">
        <v>89870</v>
      </c>
      <c r="D889" s="630" t="s">
        <v>384</v>
      </c>
      <c r="E889" s="630" t="s">
        <v>902</v>
      </c>
      <c r="F889" s="829">
        <v>32.68</v>
      </c>
      <c r="G889" s="830">
        <v>0</v>
      </c>
      <c r="H889" s="831">
        <v>32.68</v>
      </c>
      <c r="I889" s="846"/>
      <c r="J889" s="846"/>
      <c r="K889" s="846"/>
      <c r="L889" s="846"/>
      <c r="M889" s="846"/>
      <c r="N889" s="846"/>
      <c r="O889" s="846"/>
      <c r="P889" s="846"/>
      <c r="Q889" s="846"/>
      <c r="R889" s="846"/>
      <c r="S889" s="846"/>
      <c r="T889" s="846"/>
    </row>
    <row r="890" spans="2:20" ht="38.25" hidden="1">
      <c r="B890" s="828" t="s">
        <v>6529</v>
      </c>
      <c r="C890" s="828">
        <v>89871</v>
      </c>
      <c r="D890" s="630" t="s">
        <v>385</v>
      </c>
      <c r="E890" s="630" t="s">
        <v>902</v>
      </c>
      <c r="F890" s="829">
        <v>5.56</v>
      </c>
      <c r="G890" s="830">
        <v>0</v>
      </c>
      <c r="H890" s="831">
        <v>5.56</v>
      </c>
      <c r="I890" s="846"/>
      <c r="J890" s="846"/>
      <c r="K890" s="846"/>
      <c r="L890" s="846"/>
      <c r="M890" s="846"/>
      <c r="N890" s="846"/>
      <c r="O890" s="846"/>
      <c r="P890" s="846"/>
      <c r="Q890" s="846"/>
      <c r="R890" s="846"/>
      <c r="S890" s="846"/>
      <c r="T890" s="846"/>
    </row>
    <row r="891" spans="2:20" ht="51" hidden="1">
      <c r="B891" s="828" t="s">
        <v>6529</v>
      </c>
      <c r="C891" s="828">
        <v>89872</v>
      </c>
      <c r="D891" s="630" t="s">
        <v>386</v>
      </c>
      <c r="E891" s="630" t="s">
        <v>902</v>
      </c>
      <c r="F891" s="829">
        <v>4.41</v>
      </c>
      <c r="G891" s="830">
        <v>0</v>
      </c>
      <c r="H891" s="831">
        <v>4.41</v>
      </c>
      <c r="I891" s="846"/>
      <c r="J891" s="846"/>
      <c r="K891" s="846"/>
      <c r="L891" s="846"/>
      <c r="M891" s="846"/>
      <c r="N891" s="846"/>
      <c r="O891" s="846"/>
      <c r="P891" s="846"/>
      <c r="Q891" s="846"/>
      <c r="R891" s="846"/>
      <c r="S891" s="846"/>
      <c r="T891" s="846"/>
    </row>
    <row r="892" spans="2:20" ht="51" hidden="1">
      <c r="B892" s="828" t="s">
        <v>6529</v>
      </c>
      <c r="C892" s="828">
        <v>89873</v>
      </c>
      <c r="D892" s="630" t="s">
        <v>387</v>
      </c>
      <c r="E892" s="630" t="s">
        <v>902</v>
      </c>
      <c r="F892" s="829">
        <v>54.35</v>
      </c>
      <c r="G892" s="830">
        <v>0</v>
      </c>
      <c r="H892" s="831">
        <v>54.35</v>
      </c>
      <c r="I892" s="846"/>
      <c r="J892" s="846"/>
      <c r="K892" s="846"/>
      <c r="L892" s="846"/>
      <c r="M892" s="846"/>
      <c r="N892" s="846"/>
      <c r="O892" s="846"/>
      <c r="P892" s="846"/>
      <c r="Q892" s="846"/>
      <c r="R892" s="846"/>
      <c r="S892" s="846"/>
      <c r="T892" s="846"/>
    </row>
    <row r="893" spans="2:20" ht="51" hidden="1">
      <c r="B893" s="828" t="s">
        <v>6529</v>
      </c>
      <c r="C893" s="828">
        <v>89874</v>
      </c>
      <c r="D893" s="630" t="s">
        <v>388</v>
      </c>
      <c r="E893" s="630" t="s">
        <v>902</v>
      </c>
      <c r="F893" s="829">
        <v>215.42</v>
      </c>
      <c r="G893" s="830">
        <v>0</v>
      </c>
      <c r="H893" s="831">
        <v>215.42</v>
      </c>
      <c r="I893" s="846"/>
      <c r="J893" s="846"/>
      <c r="K893" s="846"/>
      <c r="L893" s="846"/>
      <c r="M893" s="846"/>
      <c r="N893" s="846"/>
      <c r="O893" s="846"/>
      <c r="P893" s="846"/>
      <c r="Q893" s="846"/>
      <c r="R893" s="846"/>
      <c r="S893" s="846"/>
      <c r="T893" s="846"/>
    </row>
    <row r="894" spans="2:20" ht="51" hidden="1">
      <c r="B894" s="828" t="s">
        <v>6529</v>
      </c>
      <c r="C894" s="828">
        <v>89878</v>
      </c>
      <c r="D894" s="630" t="s">
        <v>389</v>
      </c>
      <c r="E894" s="630" t="s">
        <v>902</v>
      </c>
      <c r="F894" s="829">
        <v>35.520000000000003</v>
      </c>
      <c r="G894" s="830">
        <v>0</v>
      </c>
      <c r="H894" s="831">
        <v>35.520000000000003</v>
      </c>
      <c r="I894" s="846"/>
      <c r="J894" s="846"/>
      <c r="K894" s="846"/>
      <c r="L894" s="846"/>
      <c r="M894" s="846"/>
      <c r="N894" s="846"/>
      <c r="O894" s="846"/>
      <c r="P894" s="846"/>
      <c r="Q894" s="846"/>
      <c r="R894" s="846"/>
      <c r="S894" s="846"/>
      <c r="T894" s="846"/>
    </row>
    <row r="895" spans="2:20" ht="38.25" hidden="1">
      <c r="B895" s="828" t="s">
        <v>6529</v>
      </c>
      <c r="C895" s="828">
        <v>89879</v>
      </c>
      <c r="D895" s="630" t="s">
        <v>390</v>
      </c>
      <c r="E895" s="630" t="s">
        <v>902</v>
      </c>
      <c r="F895" s="829">
        <v>5.93</v>
      </c>
      <c r="G895" s="830">
        <v>0</v>
      </c>
      <c r="H895" s="831">
        <v>5.93</v>
      </c>
      <c r="I895" s="846"/>
      <c r="J895" s="846"/>
      <c r="K895" s="846"/>
      <c r="L895" s="846"/>
      <c r="M895" s="846"/>
      <c r="N895" s="846"/>
      <c r="O895" s="846"/>
      <c r="P895" s="846"/>
      <c r="Q895" s="846"/>
      <c r="R895" s="846"/>
      <c r="S895" s="846"/>
      <c r="T895" s="846"/>
    </row>
    <row r="896" spans="2:20" ht="51" hidden="1">
      <c r="B896" s="828" t="s">
        <v>6529</v>
      </c>
      <c r="C896" s="828">
        <v>89880</v>
      </c>
      <c r="D896" s="630" t="s">
        <v>391</v>
      </c>
      <c r="E896" s="630" t="s">
        <v>902</v>
      </c>
      <c r="F896" s="829">
        <v>4.7</v>
      </c>
      <c r="G896" s="830">
        <v>0</v>
      </c>
      <c r="H896" s="831">
        <v>4.7</v>
      </c>
      <c r="I896" s="846"/>
      <c r="J896" s="846"/>
      <c r="K896" s="846"/>
      <c r="L896" s="846"/>
      <c r="M896" s="846"/>
      <c r="N896" s="846"/>
      <c r="O896" s="846"/>
      <c r="P896" s="846"/>
      <c r="Q896" s="846"/>
      <c r="R896" s="846"/>
      <c r="S896" s="846"/>
      <c r="T896" s="846"/>
    </row>
    <row r="897" spans="2:20" ht="51" hidden="1">
      <c r="B897" s="828" t="s">
        <v>6529</v>
      </c>
      <c r="C897" s="828">
        <v>89881</v>
      </c>
      <c r="D897" s="630" t="s">
        <v>392</v>
      </c>
      <c r="E897" s="630" t="s">
        <v>902</v>
      </c>
      <c r="F897" s="829">
        <v>58.45</v>
      </c>
      <c r="G897" s="830">
        <v>0</v>
      </c>
      <c r="H897" s="831">
        <v>58.45</v>
      </c>
      <c r="I897" s="846"/>
      <c r="J897" s="846"/>
      <c r="K897" s="846"/>
      <c r="L897" s="846"/>
      <c r="M897" s="846"/>
      <c r="N897" s="846"/>
      <c r="O897" s="846"/>
      <c r="P897" s="846"/>
      <c r="Q897" s="846"/>
      <c r="R897" s="846"/>
      <c r="S897" s="846"/>
      <c r="T897" s="846"/>
    </row>
    <row r="898" spans="2:20" ht="51" hidden="1">
      <c r="B898" s="828" t="s">
        <v>6529</v>
      </c>
      <c r="C898" s="828">
        <v>89882</v>
      </c>
      <c r="D898" s="630" t="s">
        <v>204</v>
      </c>
      <c r="E898" s="630" t="s">
        <v>902</v>
      </c>
      <c r="F898" s="829">
        <v>248.54</v>
      </c>
      <c r="G898" s="830">
        <v>0</v>
      </c>
      <c r="H898" s="831">
        <v>248.54</v>
      </c>
      <c r="I898" s="846"/>
      <c r="J898" s="846"/>
      <c r="K898" s="846"/>
      <c r="L898" s="846"/>
      <c r="M898" s="846"/>
      <c r="N898" s="846"/>
      <c r="O898" s="846"/>
      <c r="P898" s="846"/>
      <c r="Q898" s="846"/>
      <c r="R898" s="846"/>
      <c r="S898" s="846"/>
      <c r="T898" s="846"/>
    </row>
    <row r="899" spans="2:20" ht="25.5" hidden="1">
      <c r="B899" s="828" t="s">
        <v>6529</v>
      </c>
      <c r="C899" s="828">
        <v>90582</v>
      </c>
      <c r="D899" s="630" t="s">
        <v>205</v>
      </c>
      <c r="E899" s="630" t="s">
        <v>902</v>
      </c>
      <c r="F899" s="829">
        <v>0.5</v>
      </c>
      <c r="G899" s="830">
        <v>0</v>
      </c>
      <c r="H899" s="831">
        <v>0.5</v>
      </c>
      <c r="I899" s="846"/>
      <c r="J899" s="846"/>
      <c r="K899" s="846"/>
      <c r="L899" s="846"/>
      <c r="M899" s="846"/>
      <c r="N899" s="846"/>
      <c r="O899" s="846"/>
      <c r="P899" s="846"/>
      <c r="Q899" s="846"/>
      <c r="R899" s="846"/>
      <c r="S899" s="846"/>
      <c r="T899" s="846"/>
    </row>
    <row r="900" spans="2:20" ht="25.5" hidden="1">
      <c r="B900" s="828" t="s">
        <v>6529</v>
      </c>
      <c r="C900" s="828">
        <v>90583</v>
      </c>
      <c r="D900" s="630" t="s">
        <v>206</v>
      </c>
      <c r="E900" s="630" t="s">
        <v>902</v>
      </c>
      <c r="F900" s="829">
        <v>0.06</v>
      </c>
      <c r="G900" s="830">
        <v>0</v>
      </c>
      <c r="H900" s="831">
        <v>0.06</v>
      </c>
      <c r="I900" s="846"/>
      <c r="J900" s="846"/>
      <c r="K900" s="846"/>
      <c r="L900" s="846"/>
      <c r="M900" s="846"/>
      <c r="N900" s="846"/>
      <c r="O900" s="846"/>
      <c r="P900" s="846"/>
      <c r="Q900" s="846"/>
      <c r="R900" s="846"/>
      <c r="S900" s="846"/>
      <c r="T900" s="846"/>
    </row>
    <row r="901" spans="2:20" ht="25.5" hidden="1">
      <c r="B901" s="828" t="s">
        <v>6529</v>
      </c>
      <c r="C901" s="828">
        <v>90584</v>
      </c>
      <c r="D901" s="630" t="s">
        <v>207</v>
      </c>
      <c r="E901" s="630" t="s">
        <v>902</v>
      </c>
      <c r="F901" s="829">
        <v>0.39</v>
      </c>
      <c r="G901" s="830">
        <v>0</v>
      </c>
      <c r="H901" s="831">
        <v>0.39</v>
      </c>
      <c r="I901" s="846"/>
      <c r="J901" s="846"/>
      <c r="K901" s="846"/>
      <c r="L901" s="846"/>
      <c r="M901" s="846"/>
      <c r="N901" s="846"/>
      <c r="O901" s="846"/>
      <c r="P901" s="846"/>
      <c r="Q901" s="846"/>
      <c r="R901" s="846"/>
      <c r="S901" s="846"/>
      <c r="T901" s="846"/>
    </row>
    <row r="902" spans="2:20" ht="25.5" hidden="1">
      <c r="B902" s="828" t="s">
        <v>6529</v>
      </c>
      <c r="C902" s="828">
        <v>90585</v>
      </c>
      <c r="D902" s="630" t="s">
        <v>208</v>
      </c>
      <c r="E902" s="630" t="s">
        <v>902</v>
      </c>
      <c r="F902" s="829">
        <v>0.43</v>
      </c>
      <c r="G902" s="830">
        <v>0</v>
      </c>
      <c r="H902" s="831">
        <v>0.43</v>
      </c>
      <c r="I902" s="846"/>
      <c r="J902" s="846"/>
      <c r="K902" s="846"/>
      <c r="L902" s="846"/>
      <c r="M902" s="846"/>
      <c r="N902" s="846"/>
      <c r="O902" s="846"/>
      <c r="P902" s="846"/>
      <c r="Q902" s="846"/>
      <c r="R902" s="846"/>
      <c r="S902" s="846"/>
      <c r="T902" s="846"/>
    </row>
    <row r="903" spans="2:20" ht="25.5" hidden="1">
      <c r="B903" s="828" t="s">
        <v>6529</v>
      </c>
      <c r="C903" s="828">
        <v>90621</v>
      </c>
      <c r="D903" s="630" t="s">
        <v>209</v>
      </c>
      <c r="E903" s="630" t="s">
        <v>902</v>
      </c>
      <c r="F903" s="829">
        <v>1.61</v>
      </c>
      <c r="G903" s="830">
        <v>0</v>
      </c>
      <c r="H903" s="831">
        <v>1.61</v>
      </c>
      <c r="I903" s="846"/>
      <c r="J903" s="846"/>
      <c r="K903" s="846"/>
      <c r="L903" s="846"/>
      <c r="M903" s="846"/>
      <c r="N903" s="846"/>
      <c r="O903" s="846"/>
      <c r="P903" s="846"/>
      <c r="Q903" s="846"/>
      <c r="R903" s="846"/>
      <c r="S903" s="846"/>
      <c r="T903" s="846"/>
    </row>
    <row r="904" spans="2:20" ht="25.5" hidden="1">
      <c r="B904" s="828" t="s">
        <v>6529</v>
      </c>
      <c r="C904" s="828">
        <v>90622</v>
      </c>
      <c r="D904" s="630" t="s">
        <v>210</v>
      </c>
      <c r="E904" s="630" t="s">
        <v>902</v>
      </c>
      <c r="F904" s="829">
        <v>0.19</v>
      </c>
      <c r="G904" s="830">
        <v>0</v>
      </c>
      <c r="H904" s="831">
        <v>0.19</v>
      </c>
      <c r="I904" s="846"/>
      <c r="J904" s="846"/>
      <c r="K904" s="846"/>
      <c r="L904" s="846"/>
      <c r="M904" s="846"/>
      <c r="N904" s="846"/>
      <c r="O904" s="846"/>
      <c r="P904" s="846"/>
      <c r="Q904" s="846"/>
      <c r="R904" s="846"/>
      <c r="S904" s="846"/>
      <c r="T904" s="846"/>
    </row>
    <row r="905" spans="2:20" ht="25.5" hidden="1">
      <c r="B905" s="828" t="s">
        <v>6529</v>
      </c>
      <c r="C905" s="828">
        <v>90623</v>
      </c>
      <c r="D905" s="630" t="s">
        <v>211</v>
      </c>
      <c r="E905" s="630" t="s">
        <v>902</v>
      </c>
      <c r="F905" s="829">
        <v>2.0099999999999998</v>
      </c>
      <c r="G905" s="830">
        <v>0</v>
      </c>
      <c r="H905" s="831">
        <v>2.0099999999999998</v>
      </c>
      <c r="I905" s="846"/>
      <c r="J905" s="846"/>
      <c r="K905" s="846"/>
      <c r="L905" s="846"/>
      <c r="M905" s="846"/>
      <c r="N905" s="846"/>
      <c r="O905" s="846"/>
      <c r="P905" s="846"/>
      <c r="Q905" s="846"/>
      <c r="R905" s="846"/>
      <c r="S905" s="846"/>
      <c r="T905" s="846"/>
    </row>
    <row r="906" spans="2:20" ht="25.5" hidden="1">
      <c r="B906" s="828" t="s">
        <v>6529</v>
      </c>
      <c r="C906" s="828">
        <v>90624</v>
      </c>
      <c r="D906" s="630" t="s">
        <v>212</v>
      </c>
      <c r="E906" s="630" t="s">
        <v>902</v>
      </c>
      <c r="F906" s="829">
        <v>2.62</v>
      </c>
      <c r="G906" s="830">
        <v>0</v>
      </c>
      <c r="H906" s="831">
        <v>2.62</v>
      </c>
      <c r="I906" s="846"/>
      <c r="J906" s="846"/>
      <c r="K906" s="846"/>
      <c r="L906" s="846"/>
      <c r="M906" s="846"/>
      <c r="N906" s="846"/>
      <c r="O906" s="846"/>
      <c r="P906" s="846"/>
      <c r="Q906" s="846"/>
      <c r="R906" s="846"/>
      <c r="S906" s="846"/>
      <c r="T906" s="846"/>
    </row>
    <row r="907" spans="2:20" ht="38.25" hidden="1">
      <c r="B907" s="828" t="s">
        <v>6529</v>
      </c>
      <c r="C907" s="828">
        <v>90627</v>
      </c>
      <c r="D907" s="630" t="s">
        <v>213</v>
      </c>
      <c r="E907" s="630" t="s">
        <v>902</v>
      </c>
      <c r="F907" s="829">
        <v>52.72</v>
      </c>
      <c r="G907" s="830">
        <v>0</v>
      </c>
      <c r="H907" s="831">
        <v>52.72</v>
      </c>
      <c r="I907" s="846"/>
      <c r="J907" s="846"/>
      <c r="K907" s="846"/>
      <c r="L907" s="846"/>
      <c r="M907" s="846"/>
      <c r="N907" s="846"/>
      <c r="O907" s="846"/>
      <c r="P907" s="846"/>
      <c r="Q907" s="846"/>
      <c r="R907" s="846"/>
      <c r="S907" s="846"/>
      <c r="T907" s="846"/>
    </row>
    <row r="908" spans="2:20" ht="25.5" hidden="1">
      <c r="B908" s="828" t="s">
        <v>6529</v>
      </c>
      <c r="C908" s="828">
        <v>90628</v>
      </c>
      <c r="D908" s="630" t="s">
        <v>214</v>
      </c>
      <c r="E908" s="630" t="s">
        <v>902</v>
      </c>
      <c r="F908" s="829">
        <v>7.22</v>
      </c>
      <c r="G908" s="830">
        <v>0</v>
      </c>
      <c r="H908" s="831">
        <v>7.22</v>
      </c>
      <c r="I908" s="846"/>
      <c r="J908" s="846"/>
      <c r="K908" s="846"/>
      <c r="L908" s="846"/>
      <c r="M908" s="846"/>
      <c r="N908" s="846"/>
      <c r="O908" s="846"/>
      <c r="P908" s="846"/>
      <c r="Q908" s="846"/>
      <c r="R908" s="846"/>
      <c r="S908" s="846"/>
      <c r="T908" s="846"/>
    </row>
    <row r="909" spans="2:20" ht="38.25" hidden="1">
      <c r="B909" s="828" t="s">
        <v>6529</v>
      </c>
      <c r="C909" s="828">
        <v>90629</v>
      </c>
      <c r="D909" s="630" t="s">
        <v>215</v>
      </c>
      <c r="E909" s="630" t="s">
        <v>902</v>
      </c>
      <c r="F909" s="829">
        <v>65.98</v>
      </c>
      <c r="G909" s="830">
        <v>0</v>
      </c>
      <c r="H909" s="831">
        <v>65.98</v>
      </c>
      <c r="I909" s="846"/>
      <c r="J909" s="846"/>
      <c r="K909" s="846"/>
      <c r="L909" s="846"/>
      <c r="M909" s="846"/>
      <c r="N909" s="846"/>
      <c r="O909" s="846"/>
      <c r="P909" s="846"/>
      <c r="Q909" s="846"/>
      <c r="R909" s="846"/>
      <c r="S909" s="846"/>
      <c r="T909" s="846"/>
    </row>
    <row r="910" spans="2:20" ht="38.25" hidden="1">
      <c r="B910" s="828" t="s">
        <v>6529</v>
      </c>
      <c r="C910" s="828">
        <v>90630</v>
      </c>
      <c r="D910" s="630" t="s">
        <v>216</v>
      </c>
      <c r="E910" s="630" t="s">
        <v>902</v>
      </c>
      <c r="F910" s="829">
        <v>1.25</v>
      </c>
      <c r="G910" s="830">
        <v>0</v>
      </c>
      <c r="H910" s="831">
        <v>1.25</v>
      </c>
      <c r="I910" s="846"/>
      <c r="J910" s="846"/>
      <c r="K910" s="846"/>
      <c r="L910" s="846"/>
      <c r="M910" s="846"/>
      <c r="N910" s="846"/>
      <c r="O910" s="846"/>
      <c r="P910" s="846"/>
      <c r="Q910" s="846"/>
      <c r="R910" s="846"/>
      <c r="S910" s="846"/>
      <c r="T910" s="846"/>
    </row>
    <row r="911" spans="2:20" ht="38.25" hidden="1">
      <c r="B911" s="828" t="s">
        <v>6529</v>
      </c>
      <c r="C911" s="828">
        <v>90633</v>
      </c>
      <c r="D911" s="630" t="s">
        <v>567</v>
      </c>
      <c r="E911" s="630" t="s">
        <v>902</v>
      </c>
      <c r="F911" s="829">
        <v>3.84</v>
      </c>
      <c r="G911" s="830">
        <v>0</v>
      </c>
      <c r="H911" s="831">
        <v>3.84</v>
      </c>
      <c r="I911" s="846"/>
      <c r="J911" s="846"/>
      <c r="K911" s="846"/>
      <c r="L911" s="846"/>
      <c r="M911" s="846"/>
      <c r="N911" s="846"/>
      <c r="O911" s="846"/>
      <c r="P911" s="846"/>
      <c r="Q911" s="846"/>
      <c r="R911" s="846"/>
      <c r="S911" s="846"/>
      <c r="T911" s="846"/>
    </row>
    <row r="912" spans="2:20" ht="38.25" hidden="1">
      <c r="B912" s="828" t="s">
        <v>6529</v>
      </c>
      <c r="C912" s="828">
        <v>90634</v>
      </c>
      <c r="D912" s="630" t="s">
        <v>568</v>
      </c>
      <c r="E912" s="630" t="s">
        <v>902</v>
      </c>
      <c r="F912" s="829">
        <v>0.45</v>
      </c>
      <c r="G912" s="830">
        <v>0</v>
      </c>
      <c r="H912" s="831">
        <v>0.45</v>
      </c>
      <c r="I912" s="846"/>
      <c r="J912" s="846"/>
      <c r="K912" s="846"/>
      <c r="L912" s="846"/>
      <c r="M912" s="846"/>
      <c r="N912" s="846"/>
      <c r="O912" s="846"/>
      <c r="P912" s="846"/>
      <c r="Q912" s="846"/>
      <c r="R912" s="846"/>
      <c r="S912" s="846"/>
      <c r="T912" s="846"/>
    </row>
    <row r="913" spans="2:20" ht="38.25" hidden="1">
      <c r="B913" s="828" t="s">
        <v>6529</v>
      </c>
      <c r="C913" s="828">
        <v>90635</v>
      </c>
      <c r="D913" s="630" t="s">
        <v>569</v>
      </c>
      <c r="E913" s="630" t="s">
        <v>902</v>
      </c>
      <c r="F913" s="829">
        <v>4.2</v>
      </c>
      <c r="G913" s="830">
        <v>0</v>
      </c>
      <c r="H913" s="831">
        <v>4.2</v>
      </c>
      <c r="I913" s="846"/>
      <c r="J913" s="846"/>
      <c r="K913" s="846"/>
      <c r="L913" s="846"/>
      <c r="M913" s="846"/>
      <c r="N913" s="846"/>
      <c r="O913" s="846"/>
      <c r="P913" s="846"/>
      <c r="Q913" s="846"/>
      <c r="R913" s="846"/>
      <c r="S913" s="846"/>
      <c r="T913" s="846"/>
    </row>
    <row r="914" spans="2:20" ht="51" hidden="1">
      <c r="B914" s="828" t="s">
        <v>6529</v>
      </c>
      <c r="C914" s="828">
        <v>90636</v>
      </c>
      <c r="D914" s="630" t="s">
        <v>570</v>
      </c>
      <c r="E914" s="630" t="s">
        <v>902</v>
      </c>
      <c r="F914" s="829">
        <v>5.25</v>
      </c>
      <c r="G914" s="830">
        <v>0</v>
      </c>
      <c r="H914" s="831">
        <v>5.25</v>
      </c>
      <c r="I914" s="846"/>
      <c r="J914" s="846"/>
      <c r="K914" s="846"/>
      <c r="L914" s="846"/>
      <c r="M914" s="846"/>
      <c r="N914" s="846"/>
      <c r="O914" s="846"/>
      <c r="P914" s="846"/>
      <c r="Q914" s="846"/>
      <c r="R914" s="846"/>
      <c r="S914" s="846"/>
      <c r="T914" s="846"/>
    </row>
    <row r="915" spans="2:20" ht="38.25" hidden="1">
      <c r="B915" s="828" t="s">
        <v>6529</v>
      </c>
      <c r="C915" s="828">
        <v>90639</v>
      </c>
      <c r="D915" s="630" t="s">
        <v>571</v>
      </c>
      <c r="E915" s="630" t="s">
        <v>902</v>
      </c>
      <c r="F915" s="829">
        <v>5.73</v>
      </c>
      <c r="G915" s="830">
        <v>0</v>
      </c>
      <c r="H915" s="831">
        <v>5.73</v>
      </c>
      <c r="I915" s="846"/>
      <c r="J915" s="846"/>
      <c r="K915" s="846"/>
      <c r="L915" s="846"/>
      <c r="M915" s="846"/>
      <c r="N915" s="846"/>
      <c r="O915" s="846"/>
      <c r="P915" s="846"/>
      <c r="Q915" s="846"/>
      <c r="R915" s="846"/>
      <c r="S915" s="846"/>
      <c r="T915" s="846"/>
    </row>
    <row r="916" spans="2:20" ht="25.5" hidden="1">
      <c r="B916" s="828" t="s">
        <v>6529</v>
      </c>
      <c r="C916" s="828">
        <v>90640</v>
      </c>
      <c r="D916" s="630" t="s">
        <v>572</v>
      </c>
      <c r="E916" s="630" t="s">
        <v>902</v>
      </c>
      <c r="F916" s="829">
        <v>0.68</v>
      </c>
      <c r="G916" s="830">
        <v>0</v>
      </c>
      <c r="H916" s="831">
        <v>0.68</v>
      </c>
      <c r="I916" s="846"/>
      <c r="J916" s="846"/>
      <c r="K916" s="846"/>
      <c r="L916" s="846"/>
      <c r="M916" s="846"/>
      <c r="N916" s="846"/>
      <c r="O916" s="846"/>
      <c r="P916" s="846"/>
      <c r="Q916" s="846"/>
      <c r="R916" s="846"/>
      <c r="S916" s="846"/>
      <c r="T916" s="846"/>
    </row>
    <row r="917" spans="2:20" ht="38.25" hidden="1">
      <c r="B917" s="828" t="s">
        <v>6529</v>
      </c>
      <c r="C917" s="828">
        <v>90641</v>
      </c>
      <c r="D917" s="630" t="s">
        <v>573</v>
      </c>
      <c r="E917" s="630" t="s">
        <v>902</v>
      </c>
      <c r="F917" s="829">
        <v>6.27</v>
      </c>
      <c r="G917" s="830">
        <v>0</v>
      </c>
      <c r="H917" s="831">
        <v>6.27</v>
      </c>
      <c r="I917" s="846"/>
      <c r="J917" s="846"/>
      <c r="K917" s="846"/>
      <c r="L917" s="846"/>
      <c r="M917" s="846"/>
      <c r="N917" s="846"/>
      <c r="O917" s="846"/>
      <c r="P917" s="846"/>
      <c r="Q917" s="846"/>
      <c r="R917" s="846"/>
      <c r="S917" s="846"/>
      <c r="T917" s="846"/>
    </row>
    <row r="918" spans="2:20" ht="38.25" hidden="1">
      <c r="B918" s="828" t="s">
        <v>6529</v>
      </c>
      <c r="C918" s="828">
        <v>90642</v>
      </c>
      <c r="D918" s="630" t="s">
        <v>283</v>
      </c>
      <c r="E918" s="630" t="s">
        <v>902</v>
      </c>
      <c r="F918" s="829">
        <v>15.35</v>
      </c>
      <c r="G918" s="830">
        <v>0</v>
      </c>
      <c r="H918" s="831">
        <v>15.35</v>
      </c>
      <c r="I918" s="846"/>
      <c r="J918" s="846"/>
      <c r="K918" s="846"/>
      <c r="L918" s="846"/>
      <c r="M918" s="846"/>
      <c r="N918" s="846"/>
      <c r="O918" s="846"/>
      <c r="P918" s="846"/>
      <c r="Q918" s="846"/>
      <c r="R918" s="846"/>
      <c r="S918" s="846"/>
      <c r="T918" s="846"/>
    </row>
    <row r="919" spans="2:20" ht="38.25" hidden="1">
      <c r="B919" s="828" t="s">
        <v>6529</v>
      </c>
      <c r="C919" s="828">
        <v>90646</v>
      </c>
      <c r="D919" s="630" t="s">
        <v>284</v>
      </c>
      <c r="E919" s="630" t="s">
        <v>902</v>
      </c>
      <c r="F919" s="829">
        <v>0.75</v>
      </c>
      <c r="G919" s="830">
        <v>0</v>
      </c>
      <c r="H919" s="831">
        <v>0.75</v>
      </c>
      <c r="I919" s="846"/>
      <c r="J919" s="846"/>
      <c r="K919" s="846"/>
      <c r="L919" s="846"/>
      <c r="M919" s="846"/>
      <c r="N919" s="846"/>
      <c r="O919" s="846"/>
      <c r="P919" s="846"/>
      <c r="Q919" s="846"/>
      <c r="R919" s="846"/>
      <c r="S919" s="846"/>
      <c r="T919" s="846"/>
    </row>
    <row r="920" spans="2:20" ht="38.25" hidden="1">
      <c r="B920" s="828" t="s">
        <v>6529</v>
      </c>
      <c r="C920" s="828">
        <v>90647</v>
      </c>
      <c r="D920" s="630" t="s">
        <v>285</v>
      </c>
      <c r="E920" s="630" t="s">
        <v>902</v>
      </c>
      <c r="F920" s="829">
        <v>0.09</v>
      </c>
      <c r="G920" s="830">
        <v>0</v>
      </c>
      <c r="H920" s="831">
        <v>0.09</v>
      </c>
      <c r="I920" s="846"/>
      <c r="J920" s="846"/>
      <c r="K920" s="846"/>
      <c r="L920" s="846"/>
      <c r="M920" s="846"/>
      <c r="N920" s="846"/>
      <c r="O920" s="846"/>
      <c r="P920" s="846"/>
      <c r="Q920" s="846"/>
      <c r="R920" s="846"/>
      <c r="S920" s="846"/>
      <c r="T920" s="846"/>
    </row>
    <row r="921" spans="2:20" ht="38.25" hidden="1">
      <c r="B921" s="828" t="s">
        <v>6529</v>
      </c>
      <c r="C921" s="828">
        <v>90648</v>
      </c>
      <c r="D921" s="630" t="s">
        <v>286</v>
      </c>
      <c r="E921" s="630" t="s">
        <v>902</v>
      </c>
      <c r="F921" s="829">
        <v>0.82</v>
      </c>
      <c r="G921" s="830">
        <v>0</v>
      </c>
      <c r="H921" s="831">
        <v>0.82</v>
      </c>
      <c r="I921" s="846"/>
      <c r="J921" s="846"/>
      <c r="K921" s="846"/>
      <c r="L921" s="846"/>
      <c r="M921" s="846"/>
      <c r="N921" s="846"/>
      <c r="O921" s="846"/>
      <c r="P921" s="846"/>
      <c r="Q921" s="846"/>
      <c r="R921" s="846"/>
      <c r="S921" s="846"/>
      <c r="T921" s="846"/>
    </row>
    <row r="922" spans="2:20" ht="38.25" hidden="1">
      <c r="B922" s="828" t="s">
        <v>6529</v>
      </c>
      <c r="C922" s="828">
        <v>90649</v>
      </c>
      <c r="D922" s="630" t="s">
        <v>287</v>
      </c>
      <c r="E922" s="630" t="s">
        <v>902</v>
      </c>
      <c r="F922" s="829">
        <v>8.17</v>
      </c>
      <c r="G922" s="830">
        <v>0</v>
      </c>
      <c r="H922" s="831">
        <v>8.17</v>
      </c>
      <c r="I922" s="846"/>
      <c r="J922" s="846"/>
      <c r="K922" s="846"/>
      <c r="L922" s="846"/>
      <c r="M922" s="846"/>
      <c r="N922" s="846"/>
      <c r="O922" s="846"/>
      <c r="P922" s="846"/>
      <c r="Q922" s="846"/>
      <c r="R922" s="846"/>
      <c r="S922" s="846"/>
      <c r="T922" s="846"/>
    </row>
    <row r="923" spans="2:20" ht="25.5" hidden="1">
      <c r="B923" s="828" t="s">
        <v>6529</v>
      </c>
      <c r="C923" s="828">
        <v>90652</v>
      </c>
      <c r="D923" s="630" t="s">
        <v>288</v>
      </c>
      <c r="E923" s="630" t="s">
        <v>902</v>
      </c>
      <c r="F923" s="829">
        <v>3.73</v>
      </c>
      <c r="G923" s="830">
        <v>0</v>
      </c>
      <c r="H923" s="831">
        <v>3.73</v>
      </c>
      <c r="I923" s="846"/>
      <c r="J923" s="846"/>
      <c r="K923" s="846"/>
      <c r="L923" s="846"/>
      <c r="M923" s="846"/>
      <c r="N923" s="846"/>
      <c r="O923" s="846"/>
      <c r="P923" s="846"/>
      <c r="Q923" s="846"/>
      <c r="R923" s="846"/>
      <c r="S923" s="846"/>
      <c r="T923" s="846"/>
    </row>
    <row r="924" spans="2:20" ht="25.5" hidden="1">
      <c r="B924" s="828" t="s">
        <v>6529</v>
      </c>
      <c r="C924" s="828">
        <v>90653</v>
      </c>
      <c r="D924" s="630" t="s">
        <v>289</v>
      </c>
      <c r="E924" s="630" t="s">
        <v>902</v>
      </c>
      <c r="F924" s="829">
        <v>0.44</v>
      </c>
      <c r="G924" s="830">
        <v>0</v>
      </c>
      <c r="H924" s="831">
        <v>0.44</v>
      </c>
      <c r="I924" s="846"/>
      <c r="J924" s="846"/>
      <c r="K924" s="846"/>
      <c r="L924" s="846"/>
      <c r="M924" s="846"/>
      <c r="N924" s="846"/>
      <c r="O924" s="846"/>
      <c r="P924" s="846"/>
      <c r="Q924" s="846"/>
      <c r="R924" s="846"/>
      <c r="S924" s="846"/>
      <c r="T924" s="846"/>
    </row>
    <row r="925" spans="2:20" ht="25.5" hidden="1">
      <c r="B925" s="828" t="s">
        <v>6529</v>
      </c>
      <c r="C925" s="828">
        <v>90654</v>
      </c>
      <c r="D925" s="630" t="s">
        <v>290</v>
      </c>
      <c r="E925" s="630" t="s">
        <v>902</v>
      </c>
      <c r="F925" s="829">
        <v>4.08</v>
      </c>
      <c r="G925" s="830">
        <v>0</v>
      </c>
      <c r="H925" s="831">
        <v>4.08</v>
      </c>
      <c r="I925" s="846"/>
      <c r="J925" s="846"/>
      <c r="K925" s="846"/>
      <c r="L925" s="846"/>
      <c r="M925" s="846"/>
      <c r="N925" s="846"/>
      <c r="O925" s="846"/>
      <c r="P925" s="846"/>
      <c r="Q925" s="846"/>
      <c r="R925" s="846"/>
      <c r="S925" s="846"/>
      <c r="T925" s="846"/>
    </row>
    <row r="926" spans="2:20" ht="25.5" hidden="1">
      <c r="B926" s="828" t="s">
        <v>6529</v>
      </c>
      <c r="C926" s="828">
        <v>90655</v>
      </c>
      <c r="D926" s="630" t="s">
        <v>291</v>
      </c>
      <c r="E926" s="630" t="s">
        <v>902</v>
      </c>
      <c r="F926" s="829">
        <v>5.38</v>
      </c>
      <c r="G926" s="830">
        <v>0</v>
      </c>
      <c r="H926" s="831">
        <v>5.38</v>
      </c>
      <c r="I926" s="846"/>
      <c r="J926" s="846"/>
      <c r="K926" s="846"/>
      <c r="L926" s="846"/>
      <c r="M926" s="846"/>
      <c r="N926" s="846"/>
      <c r="O926" s="846"/>
      <c r="P926" s="846"/>
      <c r="Q926" s="846"/>
      <c r="R926" s="846"/>
      <c r="S926" s="846"/>
      <c r="T926" s="846"/>
    </row>
    <row r="927" spans="2:20" ht="25.5" hidden="1">
      <c r="B927" s="828" t="s">
        <v>6529</v>
      </c>
      <c r="C927" s="828">
        <v>90658</v>
      </c>
      <c r="D927" s="630" t="s">
        <v>292</v>
      </c>
      <c r="E927" s="630" t="s">
        <v>902</v>
      </c>
      <c r="F927" s="829">
        <v>3.99</v>
      </c>
      <c r="G927" s="830">
        <v>0</v>
      </c>
      <c r="H927" s="831">
        <v>3.99</v>
      </c>
      <c r="I927" s="846"/>
      <c r="J927" s="846"/>
      <c r="K927" s="846"/>
      <c r="L927" s="846"/>
      <c r="M927" s="846"/>
      <c r="N927" s="846"/>
      <c r="O927" s="846"/>
      <c r="P927" s="846"/>
      <c r="Q927" s="846"/>
      <c r="R927" s="846"/>
      <c r="S927" s="846"/>
      <c r="T927" s="846"/>
    </row>
    <row r="928" spans="2:20" ht="25.5" hidden="1">
      <c r="B928" s="828" t="s">
        <v>6529</v>
      </c>
      <c r="C928" s="828">
        <v>90659</v>
      </c>
      <c r="D928" s="630" t="s">
        <v>293</v>
      </c>
      <c r="E928" s="630" t="s">
        <v>902</v>
      </c>
      <c r="F928" s="829">
        <v>0.47</v>
      </c>
      <c r="G928" s="830">
        <v>0</v>
      </c>
      <c r="H928" s="831">
        <v>0.47</v>
      </c>
      <c r="I928" s="846"/>
      <c r="J928" s="846"/>
      <c r="K928" s="846"/>
      <c r="L928" s="846"/>
      <c r="M928" s="846"/>
      <c r="N928" s="846"/>
      <c r="O928" s="846"/>
      <c r="P928" s="846"/>
      <c r="Q928" s="846"/>
      <c r="R928" s="846"/>
      <c r="S928" s="846"/>
      <c r="T928" s="846"/>
    </row>
    <row r="929" spans="2:20" ht="25.5" hidden="1">
      <c r="B929" s="828" t="s">
        <v>6529</v>
      </c>
      <c r="C929" s="828">
        <v>90660</v>
      </c>
      <c r="D929" s="630" t="s">
        <v>294</v>
      </c>
      <c r="E929" s="630" t="s">
        <v>902</v>
      </c>
      <c r="F929" s="829">
        <v>4.37</v>
      </c>
      <c r="G929" s="830">
        <v>0</v>
      </c>
      <c r="H929" s="831">
        <v>4.37</v>
      </c>
      <c r="I929" s="846"/>
      <c r="J929" s="846"/>
      <c r="K929" s="846"/>
      <c r="L929" s="846"/>
      <c r="M929" s="846"/>
      <c r="N929" s="846"/>
      <c r="O929" s="846"/>
      <c r="P929" s="846"/>
      <c r="Q929" s="846"/>
      <c r="R929" s="846"/>
      <c r="S929" s="846"/>
      <c r="T929" s="846"/>
    </row>
    <row r="930" spans="2:20" ht="25.5" hidden="1">
      <c r="B930" s="828" t="s">
        <v>6529</v>
      </c>
      <c r="C930" s="828">
        <v>90661</v>
      </c>
      <c r="D930" s="630" t="s">
        <v>295</v>
      </c>
      <c r="E930" s="630" t="s">
        <v>902</v>
      </c>
      <c r="F930" s="829">
        <v>5.38</v>
      </c>
      <c r="G930" s="830">
        <v>0</v>
      </c>
      <c r="H930" s="831">
        <v>5.38</v>
      </c>
      <c r="I930" s="846"/>
      <c r="J930" s="846"/>
      <c r="K930" s="846"/>
      <c r="L930" s="846"/>
      <c r="M930" s="846"/>
      <c r="N930" s="846"/>
      <c r="O930" s="846"/>
      <c r="P930" s="846"/>
      <c r="Q930" s="846"/>
      <c r="R930" s="846"/>
      <c r="S930" s="846"/>
      <c r="T930" s="846"/>
    </row>
    <row r="931" spans="2:20" ht="51" hidden="1">
      <c r="B931" s="828" t="s">
        <v>6529</v>
      </c>
      <c r="C931" s="828">
        <v>90664</v>
      </c>
      <c r="D931" s="630" t="s">
        <v>296</v>
      </c>
      <c r="E931" s="630" t="s">
        <v>902</v>
      </c>
      <c r="F931" s="829">
        <v>5.24</v>
      </c>
      <c r="G931" s="830">
        <v>0</v>
      </c>
      <c r="H931" s="831">
        <v>5.24</v>
      </c>
      <c r="I931" s="846"/>
      <c r="J931" s="846"/>
      <c r="K931" s="846"/>
      <c r="L931" s="846"/>
      <c r="M931" s="846"/>
      <c r="N931" s="846"/>
      <c r="O931" s="846"/>
      <c r="P931" s="846"/>
      <c r="Q931" s="846"/>
      <c r="R931" s="846"/>
      <c r="S931" s="846"/>
      <c r="T931" s="846"/>
    </row>
    <row r="932" spans="2:20" ht="38.25" hidden="1">
      <c r="B932" s="828" t="s">
        <v>6529</v>
      </c>
      <c r="C932" s="828">
        <v>90665</v>
      </c>
      <c r="D932" s="630" t="s">
        <v>297</v>
      </c>
      <c r="E932" s="630" t="s">
        <v>902</v>
      </c>
      <c r="F932" s="829">
        <v>0.72</v>
      </c>
      <c r="G932" s="830">
        <v>0</v>
      </c>
      <c r="H932" s="831">
        <v>0.72</v>
      </c>
      <c r="I932" s="846"/>
      <c r="J932" s="846"/>
      <c r="K932" s="846"/>
      <c r="L932" s="846"/>
      <c r="M932" s="846"/>
      <c r="N932" s="846"/>
      <c r="O932" s="846"/>
      <c r="P932" s="846"/>
      <c r="Q932" s="846"/>
      <c r="R932" s="846"/>
      <c r="S932" s="846"/>
      <c r="T932" s="846"/>
    </row>
    <row r="933" spans="2:20" ht="51" hidden="1">
      <c r="B933" s="828" t="s">
        <v>6529</v>
      </c>
      <c r="C933" s="828">
        <v>90666</v>
      </c>
      <c r="D933" s="630" t="s">
        <v>298</v>
      </c>
      <c r="E933" s="630" t="s">
        <v>902</v>
      </c>
      <c r="F933" s="829">
        <v>6.55</v>
      </c>
      <c r="G933" s="830">
        <v>0</v>
      </c>
      <c r="H933" s="831">
        <v>6.55</v>
      </c>
      <c r="I933" s="846"/>
      <c r="J933" s="846"/>
      <c r="K933" s="846"/>
      <c r="L933" s="846"/>
      <c r="M933" s="846"/>
      <c r="N933" s="846"/>
      <c r="O933" s="846"/>
      <c r="P933" s="846"/>
      <c r="Q933" s="846"/>
      <c r="R933" s="846"/>
      <c r="S933" s="846"/>
      <c r="T933" s="846"/>
    </row>
    <row r="934" spans="2:20" ht="51" hidden="1">
      <c r="B934" s="828" t="s">
        <v>6529</v>
      </c>
      <c r="C934" s="828">
        <v>90667</v>
      </c>
      <c r="D934" s="630" t="s">
        <v>299</v>
      </c>
      <c r="E934" s="630" t="s">
        <v>902</v>
      </c>
      <c r="F934" s="829">
        <v>18.27</v>
      </c>
      <c r="G934" s="830">
        <v>0</v>
      </c>
      <c r="H934" s="831">
        <v>18.27</v>
      </c>
      <c r="I934" s="846"/>
      <c r="J934" s="846"/>
      <c r="K934" s="846"/>
      <c r="L934" s="846"/>
      <c r="M934" s="846"/>
      <c r="N934" s="846"/>
      <c r="O934" s="846"/>
      <c r="P934" s="846"/>
      <c r="Q934" s="846"/>
      <c r="R934" s="846"/>
      <c r="S934" s="846"/>
      <c r="T934" s="846"/>
    </row>
    <row r="935" spans="2:20" ht="51" hidden="1">
      <c r="B935" s="828" t="s">
        <v>6529</v>
      </c>
      <c r="C935" s="828">
        <v>90670</v>
      </c>
      <c r="D935" s="630" t="s">
        <v>300</v>
      </c>
      <c r="E935" s="630" t="s">
        <v>902</v>
      </c>
      <c r="F935" s="829">
        <v>241.97</v>
      </c>
      <c r="G935" s="830">
        <v>0</v>
      </c>
      <c r="H935" s="831">
        <v>241.97</v>
      </c>
      <c r="I935" s="846"/>
      <c r="J935" s="846"/>
      <c r="K935" s="846"/>
      <c r="L935" s="846"/>
      <c r="M935" s="846"/>
      <c r="N935" s="846"/>
      <c r="O935" s="846"/>
      <c r="P935" s="846"/>
      <c r="Q935" s="846"/>
      <c r="R935" s="846"/>
      <c r="S935" s="846"/>
      <c r="T935" s="846"/>
    </row>
    <row r="936" spans="2:20" ht="51" hidden="1">
      <c r="B936" s="828" t="s">
        <v>6529</v>
      </c>
      <c r="C936" s="828">
        <v>90671</v>
      </c>
      <c r="D936" s="630" t="s">
        <v>301</v>
      </c>
      <c r="E936" s="630" t="s">
        <v>902</v>
      </c>
      <c r="F936" s="829">
        <v>33.590000000000003</v>
      </c>
      <c r="G936" s="830">
        <v>0</v>
      </c>
      <c r="H936" s="831">
        <v>33.590000000000003</v>
      </c>
      <c r="I936" s="846"/>
      <c r="J936" s="846"/>
      <c r="K936" s="846"/>
      <c r="L936" s="846"/>
      <c r="M936" s="846"/>
      <c r="N936" s="846"/>
      <c r="O936" s="846"/>
      <c r="P936" s="846"/>
      <c r="Q936" s="846"/>
      <c r="R936" s="846"/>
      <c r="S936" s="846"/>
      <c r="T936" s="846"/>
    </row>
    <row r="937" spans="2:20" ht="51" hidden="1">
      <c r="B937" s="828" t="s">
        <v>6529</v>
      </c>
      <c r="C937" s="828">
        <v>90672</v>
      </c>
      <c r="D937" s="630" t="s">
        <v>302</v>
      </c>
      <c r="E937" s="630" t="s">
        <v>902</v>
      </c>
      <c r="F937" s="829">
        <v>302.8</v>
      </c>
      <c r="G937" s="830">
        <v>0</v>
      </c>
      <c r="H937" s="831">
        <v>302.8</v>
      </c>
      <c r="I937" s="846"/>
      <c r="J937" s="846"/>
      <c r="K937" s="846"/>
      <c r="L937" s="846"/>
      <c r="M937" s="846"/>
      <c r="N937" s="846"/>
      <c r="O937" s="846"/>
      <c r="P937" s="846"/>
      <c r="Q937" s="846"/>
      <c r="R937" s="846"/>
      <c r="S937" s="846"/>
      <c r="T937" s="846"/>
    </row>
    <row r="938" spans="2:20" ht="51" hidden="1">
      <c r="B938" s="828" t="s">
        <v>6529</v>
      </c>
      <c r="C938" s="828">
        <v>90673</v>
      </c>
      <c r="D938" s="630" t="s">
        <v>303</v>
      </c>
      <c r="E938" s="630" t="s">
        <v>902</v>
      </c>
      <c r="F938" s="829">
        <v>146.12</v>
      </c>
      <c r="G938" s="830">
        <v>0</v>
      </c>
      <c r="H938" s="831">
        <v>146.12</v>
      </c>
      <c r="I938" s="846"/>
      <c r="J938" s="846"/>
      <c r="K938" s="846"/>
      <c r="L938" s="846"/>
      <c r="M938" s="846"/>
      <c r="N938" s="846"/>
      <c r="O938" s="846"/>
      <c r="P938" s="846"/>
      <c r="Q938" s="846"/>
      <c r="R938" s="846"/>
      <c r="S938" s="846"/>
      <c r="T938" s="846"/>
    </row>
    <row r="939" spans="2:20" ht="51" hidden="1">
      <c r="B939" s="828" t="s">
        <v>6529</v>
      </c>
      <c r="C939" s="828">
        <v>90676</v>
      </c>
      <c r="D939" s="630" t="s">
        <v>304</v>
      </c>
      <c r="E939" s="630" t="s">
        <v>902</v>
      </c>
      <c r="F939" s="829">
        <v>111.45</v>
      </c>
      <c r="G939" s="830">
        <v>0</v>
      </c>
      <c r="H939" s="831">
        <v>111.45</v>
      </c>
      <c r="I939" s="846"/>
      <c r="J939" s="846"/>
      <c r="K939" s="846"/>
      <c r="L939" s="846"/>
      <c r="M939" s="846"/>
      <c r="N939" s="846"/>
      <c r="O939" s="846"/>
      <c r="P939" s="846"/>
      <c r="Q939" s="846"/>
      <c r="R939" s="846"/>
      <c r="S939" s="846"/>
      <c r="T939" s="846"/>
    </row>
    <row r="940" spans="2:20" ht="51" hidden="1">
      <c r="B940" s="828" t="s">
        <v>6529</v>
      </c>
      <c r="C940" s="828">
        <v>90677</v>
      </c>
      <c r="D940" s="630" t="s">
        <v>305</v>
      </c>
      <c r="E940" s="630" t="s">
        <v>902</v>
      </c>
      <c r="F940" s="829">
        <v>16.850000000000001</v>
      </c>
      <c r="G940" s="830">
        <v>0</v>
      </c>
      <c r="H940" s="831">
        <v>16.850000000000001</v>
      </c>
      <c r="I940" s="846"/>
      <c r="J940" s="846"/>
      <c r="K940" s="846"/>
      <c r="L940" s="846"/>
      <c r="M940" s="846"/>
      <c r="N940" s="846"/>
      <c r="O940" s="846"/>
      <c r="P940" s="846"/>
      <c r="Q940" s="846"/>
      <c r="R940" s="846"/>
      <c r="S940" s="846"/>
      <c r="T940" s="846"/>
    </row>
    <row r="941" spans="2:20" ht="51" hidden="1">
      <c r="B941" s="828" t="s">
        <v>6529</v>
      </c>
      <c r="C941" s="828">
        <v>90678</v>
      </c>
      <c r="D941" s="630" t="s">
        <v>306</v>
      </c>
      <c r="E941" s="630" t="s">
        <v>902</v>
      </c>
      <c r="F941" s="829">
        <v>151.59</v>
      </c>
      <c r="G941" s="830">
        <v>0</v>
      </c>
      <c r="H941" s="831">
        <v>151.59</v>
      </c>
      <c r="I941" s="846"/>
      <c r="J941" s="846"/>
      <c r="K941" s="846"/>
      <c r="L941" s="846"/>
      <c r="M941" s="846"/>
      <c r="N941" s="846"/>
      <c r="O941" s="846"/>
      <c r="P941" s="846"/>
      <c r="Q941" s="846"/>
      <c r="R941" s="846"/>
      <c r="S941" s="846"/>
      <c r="T941" s="846"/>
    </row>
    <row r="942" spans="2:20" ht="51" hidden="1">
      <c r="B942" s="828" t="s">
        <v>6529</v>
      </c>
      <c r="C942" s="828">
        <v>90679</v>
      </c>
      <c r="D942" s="630" t="s">
        <v>576</v>
      </c>
      <c r="E942" s="630" t="s">
        <v>902</v>
      </c>
      <c r="F942" s="829">
        <v>112.06</v>
      </c>
      <c r="G942" s="830">
        <v>0</v>
      </c>
      <c r="H942" s="831">
        <v>112.06</v>
      </c>
      <c r="I942" s="846"/>
      <c r="J942" s="846"/>
      <c r="K942" s="846"/>
      <c r="L942" s="846"/>
      <c r="M942" s="846"/>
      <c r="N942" s="846"/>
      <c r="O942" s="846"/>
      <c r="P942" s="846"/>
      <c r="Q942" s="846"/>
      <c r="R942" s="846"/>
      <c r="S942" s="846"/>
      <c r="T942" s="846"/>
    </row>
    <row r="943" spans="2:20" ht="38.25" hidden="1">
      <c r="B943" s="828" t="s">
        <v>6529</v>
      </c>
      <c r="C943" s="828">
        <v>90682</v>
      </c>
      <c r="D943" s="630" t="s">
        <v>577</v>
      </c>
      <c r="E943" s="630" t="s">
        <v>902</v>
      </c>
      <c r="F943" s="829">
        <v>29.16</v>
      </c>
      <c r="G943" s="830">
        <v>0</v>
      </c>
      <c r="H943" s="831">
        <v>29.16</v>
      </c>
      <c r="I943" s="846"/>
      <c r="J943" s="846"/>
      <c r="K943" s="846"/>
      <c r="L943" s="846"/>
      <c r="M943" s="846"/>
      <c r="N943" s="846"/>
      <c r="O943" s="846"/>
      <c r="P943" s="846"/>
      <c r="Q943" s="846"/>
      <c r="R943" s="846"/>
      <c r="S943" s="846"/>
      <c r="T943" s="846"/>
    </row>
    <row r="944" spans="2:20" ht="38.25" hidden="1">
      <c r="B944" s="828" t="s">
        <v>6529</v>
      </c>
      <c r="C944" s="828">
        <v>90683</v>
      </c>
      <c r="D944" s="630" t="s">
        <v>578</v>
      </c>
      <c r="E944" s="630" t="s">
        <v>902</v>
      </c>
      <c r="F944" s="829">
        <v>3.46</v>
      </c>
      <c r="G944" s="830">
        <v>0</v>
      </c>
      <c r="H944" s="831">
        <v>3.46</v>
      </c>
      <c r="I944" s="846"/>
      <c r="J944" s="846"/>
      <c r="K944" s="846"/>
      <c r="L944" s="846"/>
      <c r="M944" s="846"/>
      <c r="N944" s="846"/>
      <c r="O944" s="846"/>
      <c r="P944" s="846"/>
      <c r="Q944" s="846"/>
      <c r="R944" s="846"/>
      <c r="S944" s="846"/>
      <c r="T944" s="846"/>
    </row>
    <row r="945" spans="2:20" ht="38.25" hidden="1">
      <c r="B945" s="828" t="s">
        <v>6529</v>
      </c>
      <c r="C945" s="828">
        <v>90684</v>
      </c>
      <c r="D945" s="630" t="s">
        <v>579</v>
      </c>
      <c r="E945" s="630" t="s">
        <v>902</v>
      </c>
      <c r="F945" s="829">
        <v>31.9</v>
      </c>
      <c r="G945" s="830">
        <v>0</v>
      </c>
      <c r="H945" s="831">
        <v>31.9</v>
      </c>
      <c r="I945" s="846"/>
      <c r="J945" s="846"/>
      <c r="K945" s="846"/>
      <c r="L945" s="846"/>
      <c r="M945" s="846"/>
      <c r="N945" s="846"/>
      <c r="O945" s="846"/>
      <c r="P945" s="846"/>
      <c r="Q945" s="846"/>
      <c r="R945" s="846"/>
      <c r="S945" s="846"/>
      <c r="T945" s="846"/>
    </row>
    <row r="946" spans="2:20" ht="38.25" hidden="1">
      <c r="B946" s="828" t="s">
        <v>6529</v>
      </c>
      <c r="C946" s="828">
        <v>90685</v>
      </c>
      <c r="D946" s="630" t="s">
        <v>580</v>
      </c>
      <c r="E946" s="630" t="s">
        <v>902</v>
      </c>
      <c r="F946" s="829">
        <v>69.510000000000005</v>
      </c>
      <c r="G946" s="830">
        <v>0</v>
      </c>
      <c r="H946" s="831">
        <v>69.510000000000005</v>
      </c>
      <c r="I946" s="846"/>
      <c r="J946" s="846"/>
      <c r="K946" s="846"/>
      <c r="L946" s="846"/>
      <c r="M946" s="846"/>
      <c r="N946" s="846"/>
      <c r="O946" s="846"/>
      <c r="P946" s="846"/>
      <c r="Q946" s="846"/>
      <c r="R946" s="846"/>
      <c r="S946" s="846"/>
      <c r="T946" s="846"/>
    </row>
    <row r="947" spans="2:20" ht="38.25" hidden="1">
      <c r="B947" s="828" t="s">
        <v>6529</v>
      </c>
      <c r="C947" s="828">
        <v>90688</v>
      </c>
      <c r="D947" s="630" t="s">
        <v>581</v>
      </c>
      <c r="E947" s="630" t="s">
        <v>902</v>
      </c>
      <c r="F947" s="829">
        <v>19.600000000000001</v>
      </c>
      <c r="G947" s="830">
        <v>0</v>
      </c>
      <c r="H947" s="831">
        <v>19.600000000000001</v>
      </c>
      <c r="I947" s="846"/>
      <c r="J947" s="846"/>
      <c r="K947" s="846"/>
      <c r="L947" s="846"/>
      <c r="M947" s="846"/>
      <c r="N947" s="846"/>
      <c r="O947" s="846"/>
      <c r="P947" s="846"/>
      <c r="Q947" s="846"/>
      <c r="R947" s="846"/>
      <c r="S947" s="846"/>
      <c r="T947" s="846"/>
    </row>
    <row r="948" spans="2:20" ht="25.5" hidden="1">
      <c r="B948" s="828" t="s">
        <v>6529</v>
      </c>
      <c r="C948" s="828">
        <v>90689</v>
      </c>
      <c r="D948" s="630" t="s">
        <v>582</v>
      </c>
      <c r="E948" s="630" t="s">
        <v>902</v>
      </c>
      <c r="F948" s="829">
        <v>1.98</v>
      </c>
      <c r="G948" s="830">
        <v>0</v>
      </c>
      <c r="H948" s="831">
        <v>1.98</v>
      </c>
      <c r="I948" s="846"/>
      <c r="J948" s="846"/>
      <c r="K948" s="846"/>
      <c r="L948" s="846"/>
      <c r="M948" s="846"/>
      <c r="N948" s="846"/>
      <c r="O948" s="846"/>
      <c r="P948" s="846"/>
      <c r="Q948" s="846"/>
      <c r="R948" s="846"/>
      <c r="S948" s="846"/>
      <c r="T948" s="846"/>
    </row>
    <row r="949" spans="2:20" ht="38.25" hidden="1">
      <c r="B949" s="828" t="s">
        <v>6529</v>
      </c>
      <c r="C949" s="828">
        <v>90690</v>
      </c>
      <c r="D949" s="630" t="s">
        <v>583</v>
      </c>
      <c r="E949" s="630" t="s">
        <v>902</v>
      </c>
      <c r="F949" s="829">
        <v>24.5</v>
      </c>
      <c r="G949" s="830">
        <v>0</v>
      </c>
      <c r="H949" s="831">
        <v>24.5</v>
      </c>
      <c r="I949" s="846"/>
      <c r="J949" s="846"/>
      <c r="K949" s="846"/>
      <c r="L949" s="846"/>
      <c r="M949" s="846"/>
      <c r="N949" s="846"/>
      <c r="O949" s="846"/>
      <c r="P949" s="846"/>
      <c r="Q949" s="846"/>
      <c r="R949" s="846"/>
      <c r="S949" s="846"/>
      <c r="T949" s="846"/>
    </row>
    <row r="950" spans="2:20" ht="38.25" hidden="1">
      <c r="B950" s="828" t="s">
        <v>6529</v>
      </c>
      <c r="C950" s="828">
        <v>90691</v>
      </c>
      <c r="D950" s="630" t="s">
        <v>584</v>
      </c>
      <c r="E950" s="630" t="s">
        <v>902</v>
      </c>
      <c r="F950" s="829">
        <v>48.68</v>
      </c>
      <c r="G950" s="830">
        <v>0</v>
      </c>
      <c r="H950" s="831">
        <v>48.68</v>
      </c>
      <c r="I950" s="846"/>
      <c r="J950" s="846"/>
      <c r="K950" s="846"/>
      <c r="L950" s="846"/>
      <c r="M950" s="846"/>
      <c r="N950" s="846"/>
      <c r="O950" s="846"/>
      <c r="P950" s="846"/>
      <c r="Q950" s="846"/>
      <c r="R950" s="846"/>
      <c r="S950" s="846"/>
      <c r="T950" s="846"/>
    </row>
    <row r="951" spans="2:20" ht="38.25" hidden="1">
      <c r="B951" s="828" t="s">
        <v>6529</v>
      </c>
      <c r="C951" s="828">
        <v>90957</v>
      </c>
      <c r="D951" s="630" t="s">
        <v>585</v>
      </c>
      <c r="E951" s="630" t="s">
        <v>902</v>
      </c>
      <c r="F951" s="829">
        <v>3.9</v>
      </c>
      <c r="G951" s="830">
        <v>0</v>
      </c>
      <c r="H951" s="831">
        <v>3.9</v>
      </c>
      <c r="I951" s="846"/>
      <c r="J951" s="846"/>
      <c r="K951" s="846"/>
      <c r="L951" s="846"/>
      <c r="M951" s="846"/>
      <c r="N951" s="846"/>
      <c r="O951" s="846"/>
      <c r="P951" s="846"/>
      <c r="Q951" s="846"/>
      <c r="R951" s="846"/>
      <c r="S951" s="846"/>
      <c r="T951" s="846"/>
    </row>
    <row r="952" spans="2:20" ht="25.5" hidden="1">
      <c r="B952" s="828" t="s">
        <v>6529</v>
      </c>
      <c r="C952" s="828">
        <v>90958</v>
      </c>
      <c r="D952" s="630" t="s">
        <v>586</v>
      </c>
      <c r="E952" s="630" t="s">
        <v>902</v>
      </c>
      <c r="F952" s="829">
        <v>0.54</v>
      </c>
      <c r="G952" s="830">
        <v>0</v>
      </c>
      <c r="H952" s="831">
        <v>0.54</v>
      </c>
      <c r="I952" s="846"/>
      <c r="J952" s="846"/>
      <c r="K952" s="846"/>
      <c r="L952" s="846"/>
      <c r="M952" s="846"/>
      <c r="N952" s="846"/>
      <c r="O952" s="846"/>
      <c r="P952" s="846"/>
      <c r="Q952" s="846"/>
      <c r="R952" s="846"/>
      <c r="S952" s="846"/>
      <c r="T952" s="846"/>
    </row>
    <row r="953" spans="2:20" ht="38.25" hidden="1">
      <c r="B953" s="828" t="s">
        <v>6529</v>
      </c>
      <c r="C953" s="828">
        <v>90960</v>
      </c>
      <c r="D953" s="630" t="s">
        <v>587</v>
      </c>
      <c r="E953" s="630" t="s">
        <v>902</v>
      </c>
      <c r="F953" s="829">
        <v>5.21</v>
      </c>
      <c r="G953" s="830">
        <v>0</v>
      </c>
      <c r="H953" s="831">
        <v>5.21</v>
      </c>
      <c r="I953" s="846"/>
      <c r="J953" s="846"/>
      <c r="K953" s="846"/>
      <c r="L953" s="846"/>
      <c r="M953" s="846"/>
      <c r="N953" s="846"/>
      <c r="O953" s="846"/>
      <c r="P953" s="846"/>
      <c r="Q953" s="846"/>
      <c r="R953" s="846"/>
      <c r="S953" s="846"/>
      <c r="T953" s="846"/>
    </row>
    <row r="954" spans="2:20" ht="25.5" hidden="1">
      <c r="B954" s="828" t="s">
        <v>6529</v>
      </c>
      <c r="C954" s="828">
        <v>90961</v>
      </c>
      <c r="D954" s="630" t="s">
        <v>588</v>
      </c>
      <c r="E954" s="630" t="s">
        <v>902</v>
      </c>
      <c r="F954" s="829">
        <v>0.72</v>
      </c>
      <c r="G954" s="830">
        <v>0</v>
      </c>
      <c r="H954" s="831">
        <v>0.72</v>
      </c>
      <c r="I954" s="846"/>
      <c r="J954" s="846"/>
      <c r="K954" s="846"/>
      <c r="L954" s="846"/>
      <c r="M954" s="846"/>
      <c r="N954" s="846"/>
      <c r="O954" s="846"/>
      <c r="P954" s="846"/>
      <c r="Q954" s="846"/>
      <c r="R954" s="846"/>
      <c r="S954" s="846"/>
      <c r="T954" s="846"/>
    </row>
    <row r="955" spans="2:20" ht="38.25" hidden="1">
      <c r="B955" s="828" t="s">
        <v>6529</v>
      </c>
      <c r="C955" s="828">
        <v>90962</v>
      </c>
      <c r="D955" s="630" t="s">
        <v>589</v>
      </c>
      <c r="E955" s="630" t="s">
        <v>902</v>
      </c>
      <c r="F955" s="829">
        <v>6.51</v>
      </c>
      <c r="G955" s="830">
        <v>0</v>
      </c>
      <c r="H955" s="831">
        <v>6.51</v>
      </c>
      <c r="I955" s="846"/>
      <c r="J955" s="846"/>
      <c r="K955" s="846"/>
      <c r="L955" s="846"/>
      <c r="M955" s="846"/>
      <c r="N955" s="846"/>
      <c r="O955" s="846"/>
      <c r="P955" s="846"/>
      <c r="Q955" s="846"/>
      <c r="R955" s="846"/>
      <c r="S955" s="846"/>
      <c r="T955" s="846"/>
    </row>
    <row r="956" spans="2:20" ht="38.25" hidden="1">
      <c r="B956" s="828" t="s">
        <v>6529</v>
      </c>
      <c r="C956" s="828">
        <v>90963</v>
      </c>
      <c r="D956" s="630" t="s">
        <v>590</v>
      </c>
      <c r="E956" s="630" t="s">
        <v>902</v>
      </c>
      <c r="F956" s="829">
        <v>18.27</v>
      </c>
      <c r="G956" s="830">
        <v>0</v>
      </c>
      <c r="H956" s="831">
        <v>18.27</v>
      </c>
      <c r="I956" s="846"/>
      <c r="J956" s="846"/>
      <c r="K956" s="846"/>
      <c r="L956" s="846"/>
      <c r="M956" s="846"/>
      <c r="N956" s="846"/>
      <c r="O956" s="846"/>
      <c r="P956" s="846"/>
      <c r="Q956" s="846"/>
      <c r="R956" s="846"/>
      <c r="S956" s="846"/>
      <c r="T956" s="846"/>
    </row>
    <row r="957" spans="2:20" ht="25.5" hidden="1">
      <c r="B957" s="828" t="s">
        <v>6529</v>
      </c>
      <c r="C957" s="828">
        <v>90968</v>
      </c>
      <c r="D957" s="630" t="s">
        <v>1682</v>
      </c>
      <c r="E957" s="630" t="s">
        <v>902</v>
      </c>
      <c r="F957" s="829">
        <v>5.22</v>
      </c>
      <c r="G957" s="830">
        <v>0</v>
      </c>
      <c r="H957" s="831">
        <v>5.22</v>
      </c>
      <c r="I957" s="846"/>
      <c r="J957" s="846"/>
      <c r="K957" s="846"/>
      <c r="L957" s="846"/>
      <c r="M957" s="846"/>
      <c r="N957" s="846"/>
      <c r="O957" s="846"/>
      <c r="P957" s="846"/>
      <c r="Q957" s="846"/>
      <c r="R957" s="846"/>
      <c r="S957" s="846"/>
      <c r="T957" s="846"/>
    </row>
    <row r="958" spans="2:20" ht="25.5" hidden="1">
      <c r="B958" s="828" t="s">
        <v>6529</v>
      </c>
      <c r="C958" s="828">
        <v>90969</v>
      </c>
      <c r="D958" s="630" t="s">
        <v>1683</v>
      </c>
      <c r="E958" s="630" t="s">
        <v>902</v>
      </c>
      <c r="F958" s="829">
        <v>0.72</v>
      </c>
      <c r="G958" s="830">
        <v>0</v>
      </c>
      <c r="H958" s="831">
        <v>0.72</v>
      </c>
      <c r="I958" s="846"/>
      <c r="J958" s="846"/>
      <c r="K958" s="846"/>
      <c r="L958" s="846"/>
      <c r="M958" s="846"/>
      <c r="N958" s="846"/>
      <c r="O958" s="846"/>
      <c r="P958" s="846"/>
      <c r="Q958" s="846"/>
      <c r="R958" s="846"/>
      <c r="S958" s="846"/>
      <c r="T958" s="846"/>
    </row>
    <row r="959" spans="2:20" ht="25.5" hidden="1">
      <c r="B959" s="828" t="s">
        <v>6529</v>
      </c>
      <c r="C959" s="828">
        <v>90970</v>
      </c>
      <c r="D959" s="630" t="s">
        <v>1684</v>
      </c>
      <c r="E959" s="630" t="s">
        <v>902</v>
      </c>
      <c r="F959" s="829">
        <v>6.53</v>
      </c>
      <c r="G959" s="830">
        <v>0</v>
      </c>
      <c r="H959" s="831">
        <v>6.53</v>
      </c>
      <c r="I959" s="846"/>
      <c r="J959" s="846"/>
      <c r="K959" s="846"/>
      <c r="L959" s="846"/>
      <c r="M959" s="846"/>
      <c r="N959" s="846"/>
      <c r="O959" s="846"/>
      <c r="P959" s="846"/>
      <c r="Q959" s="846"/>
      <c r="R959" s="846"/>
      <c r="S959" s="846"/>
      <c r="T959" s="846"/>
    </row>
    <row r="960" spans="2:20" ht="38.25" hidden="1">
      <c r="B960" s="828" t="s">
        <v>6529</v>
      </c>
      <c r="C960" s="828">
        <v>90971</v>
      </c>
      <c r="D960" s="630" t="s">
        <v>1685</v>
      </c>
      <c r="E960" s="630" t="s">
        <v>902</v>
      </c>
      <c r="F960" s="829">
        <v>74.05</v>
      </c>
      <c r="G960" s="830">
        <v>0</v>
      </c>
      <c r="H960" s="831">
        <v>74.05</v>
      </c>
      <c r="I960" s="846"/>
      <c r="J960" s="846"/>
      <c r="K960" s="846"/>
      <c r="L960" s="846"/>
      <c r="M960" s="846"/>
      <c r="N960" s="846"/>
      <c r="O960" s="846"/>
      <c r="P960" s="846"/>
      <c r="Q960" s="846"/>
      <c r="R960" s="846"/>
      <c r="S960" s="846"/>
      <c r="T960" s="846"/>
    </row>
    <row r="961" spans="2:20" ht="38.25" hidden="1">
      <c r="B961" s="828" t="s">
        <v>6529</v>
      </c>
      <c r="C961" s="828">
        <v>90975</v>
      </c>
      <c r="D961" s="630" t="s">
        <v>591</v>
      </c>
      <c r="E961" s="630" t="s">
        <v>902</v>
      </c>
      <c r="F961" s="829">
        <v>13.26</v>
      </c>
      <c r="G961" s="830">
        <v>0</v>
      </c>
      <c r="H961" s="831">
        <v>13.26</v>
      </c>
      <c r="I961" s="846"/>
      <c r="J961" s="846"/>
      <c r="K961" s="846"/>
      <c r="L961" s="846"/>
      <c r="M961" s="846"/>
      <c r="N961" s="846"/>
      <c r="O961" s="846"/>
      <c r="P961" s="846"/>
      <c r="Q961" s="846"/>
      <c r="R961" s="846"/>
      <c r="S961" s="846"/>
      <c r="T961" s="846"/>
    </row>
    <row r="962" spans="2:20" ht="25.5" hidden="1">
      <c r="B962" s="828" t="s">
        <v>6529</v>
      </c>
      <c r="C962" s="828">
        <v>90976</v>
      </c>
      <c r="D962" s="630" t="s">
        <v>592</v>
      </c>
      <c r="E962" s="630" t="s">
        <v>902</v>
      </c>
      <c r="F962" s="829">
        <v>1.84</v>
      </c>
      <c r="G962" s="830">
        <v>0</v>
      </c>
      <c r="H962" s="831">
        <v>1.84</v>
      </c>
      <c r="I962" s="846"/>
      <c r="J962" s="846"/>
      <c r="K962" s="846"/>
      <c r="L962" s="846"/>
      <c r="M962" s="846"/>
      <c r="N962" s="846"/>
      <c r="O962" s="846"/>
      <c r="P962" s="846"/>
      <c r="Q962" s="846"/>
      <c r="R962" s="846"/>
      <c r="S962" s="846"/>
      <c r="T962" s="846"/>
    </row>
    <row r="963" spans="2:20" ht="38.25" hidden="1">
      <c r="B963" s="828" t="s">
        <v>6529</v>
      </c>
      <c r="C963" s="828">
        <v>90977</v>
      </c>
      <c r="D963" s="630" t="s">
        <v>593</v>
      </c>
      <c r="E963" s="630" t="s">
        <v>902</v>
      </c>
      <c r="F963" s="829">
        <v>16.600000000000001</v>
      </c>
      <c r="G963" s="830">
        <v>0</v>
      </c>
      <c r="H963" s="831">
        <v>16.600000000000001</v>
      </c>
      <c r="I963" s="846"/>
      <c r="J963" s="846"/>
      <c r="K963" s="846"/>
      <c r="L963" s="846"/>
      <c r="M963" s="846"/>
      <c r="N963" s="846"/>
      <c r="O963" s="846"/>
      <c r="P963" s="846"/>
      <c r="Q963" s="846"/>
      <c r="R963" s="846"/>
      <c r="S963" s="846"/>
      <c r="T963" s="846"/>
    </row>
    <row r="964" spans="2:20" ht="38.25" hidden="1">
      <c r="B964" s="828" t="s">
        <v>6529</v>
      </c>
      <c r="C964" s="828">
        <v>90978</v>
      </c>
      <c r="D964" s="630" t="s">
        <v>594</v>
      </c>
      <c r="E964" s="630" t="s">
        <v>902</v>
      </c>
      <c r="F964" s="829">
        <v>192.1</v>
      </c>
      <c r="G964" s="830">
        <v>0</v>
      </c>
      <c r="H964" s="831">
        <v>192.1</v>
      </c>
      <c r="I964" s="846"/>
      <c r="J964" s="846"/>
      <c r="K964" s="846"/>
      <c r="L964" s="846"/>
      <c r="M964" s="846"/>
      <c r="N964" s="846"/>
      <c r="O964" s="846"/>
      <c r="P964" s="846"/>
      <c r="Q964" s="846"/>
      <c r="R964" s="846"/>
      <c r="S964" s="846"/>
      <c r="T964" s="846"/>
    </row>
    <row r="965" spans="2:20" ht="25.5" hidden="1">
      <c r="B965" s="828" t="s">
        <v>6529</v>
      </c>
      <c r="C965" s="828">
        <v>90992</v>
      </c>
      <c r="D965" s="630" t="s">
        <v>1688</v>
      </c>
      <c r="E965" s="630" t="s">
        <v>902</v>
      </c>
      <c r="F965" s="829">
        <v>6.19</v>
      </c>
      <c r="G965" s="830">
        <v>0</v>
      </c>
      <c r="H965" s="831">
        <v>6.19</v>
      </c>
      <c r="I965" s="846"/>
      <c r="J965" s="846"/>
      <c r="K965" s="846"/>
      <c r="L965" s="846"/>
      <c r="M965" s="846"/>
      <c r="N965" s="846"/>
      <c r="O965" s="846"/>
      <c r="P965" s="846"/>
      <c r="Q965" s="846"/>
      <c r="R965" s="846"/>
      <c r="S965" s="846"/>
      <c r="T965" s="846"/>
    </row>
    <row r="966" spans="2:20" ht="25.5" hidden="1">
      <c r="B966" s="828" t="s">
        <v>6529</v>
      </c>
      <c r="C966" s="828">
        <v>90993</v>
      </c>
      <c r="D966" s="630" t="s">
        <v>1689</v>
      </c>
      <c r="E966" s="630" t="s">
        <v>902</v>
      </c>
      <c r="F966" s="829">
        <v>0.86</v>
      </c>
      <c r="G966" s="830">
        <v>0</v>
      </c>
      <c r="H966" s="831">
        <v>0.86</v>
      </c>
      <c r="I966" s="846"/>
      <c r="J966" s="846"/>
      <c r="K966" s="846"/>
      <c r="L966" s="846"/>
      <c r="M966" s="846"/>
      <c r="N966" s="846"/>
      <c r="O966" s="846"/>
      <c r="P966" s="846"/>
      <c r="Q966" s="846"/>
      <c r="R966" s="846"/>
      <c r="S966" s="846"/>
      <c r="T966" s="846"/>
    </row>
    <row r="967" spans="2:20" ht="25.5" hidden="1">
      <c r="B967" s="828" t="s">
        <v>6529</v>
      </c>
      <c r="C967" s="828">
        <v>90994</v>
      </c>
      <c r="D967" s="630" t="s">
        <v>1690</v>
      </c>
      <c r="E967" s="630" t="s">
        <v>902</v>
      </c>
      <c r="F967" s="829">
        <v>7.75</v>
      </c>
      <c r="G967" s="830">
        <v>0</v>
      </c>
      <c r="H967" s="831">
        <v>7.75</v>
      </c>
      <c r="I967" s="846"/>
      <c r="J967" s="846"/>
      <c r="K967" s="846"/>
      <c r="L967" s="846"/>
      <c r="M967" s="846"/>
      <c r="N967" s="846"/>
      <c r="O967" s="846"/>
      <c r="P967" s="846"/>
      <c r="Q967" s="846"/>
      <c r="R967" s="846"/>
      <c r="S967" s="846"/>
      <c r="T967" s="846"/>
    </row>
    <row r="968" spans="2:20" ht="38.25" hidden="1">
      <c r="B968" s="828" t="s">
        <v>6529</v>
      </c>
      <c r="C968" s="828">
        <v>90995</v>
      </c>
      <c r="D968" s="630" t="s">
        <v>1691</v>
      </c>
      <c r="E968" s="630" t="s">
        <v>902</v>
      </c>
      <c r="F968" s="829">
        <v>100.58</v>
      </c>
      <c r="G968" s="830">
        <v>0</v>
      </c>
      <c r="H968" s="831">
        <v>100.58</v>
      </c>
      <c r="I968" s="846"/>
      <c r="J968" s="846"/>
      <c r="K968" s="846"/>
      <c r="L968" s="846"/>
      <c r="M968" s="846"/>
      <c r="N968" s="846"/>
      <c r="O968" s="846"/>
      <c r="P968" s="846"/>
      <c r="Q968" s="846"/>
      <c r="R968" s="846"/>
      <c r="S968" s="846"/>
      <c r="T968" s="846"/>
    </row>
    <row r="969" spans="2:20" ht="51" hidden="1">
      <c r="B969" s="828" t="s">
        <v>6529</v>
      </c>
      <c r="C969" s="828">
        <v>91021</v>
      </c>
      <c r="D969" s="630" t="s">
        <v>2215</v>
      </c>
      <c r="E969" s="630" t="s">
        <v>902</v>
      </c>
      <c r="F969" s="829">
        <v>13.24</v>
      </c>
      <c r="G969" s="830">
        <v>0</v>
      </c>
      <c r="H969" s="831">
        <v>13.24</v>
      </c>
      <c r="I969" s="846"/>
      <c r="J969" s="846"/>
      <c r="K969" s="846"/>
      <c r="L969" s="846"/>
      <c r="M969" s="846"/>
      <c r="N969" s="846"/>
      <c r="O969" s="846"/>
      <c r="P969" s="846"/>
      <c r="Q969" s="846"/>
      <c r="R969" s="846"/>
      <c r="S969" s="846"/>
      <c r="T969" s="846"/>
    </row>
    <row r="970" spans="2:20" ht="38.25" hidden="1">
      <c r="B970" s="828" t="s">
        <v>6529</v>
      </c>
      <c r="C970" s="828">
        <v>91026</v>
      </c>
      <c r="D970" s="630" t="s">
        <v>595</v>
      </c>
      <c r="E970" s="630" t="s">
        <v>902</v>
      </c>
      <c r="F970" s="829">
        <v>21.12</v>
      </c>
      <c r="G970" s="830">
        <v>0</v>
      </c>
      <c r="H970" s="831">
        <v>21.12</v>
      </c>
      <c r="I970" s="846"/>
      <c r="J970" s="846"/>
      <c r="K970" s="846"/>
      <c r="L970" s="846"/>
      <c r="M970" s="846"/>
      <c r="N970" s="846"/>
      <c r="O970" s="846"/>
      <c r="P970" s="846"/>
      <c r="Q970" s="846"/>
      <c r="R970" s="846"/>
      <c r="S970" s="846"/>
      <c r="T970" s="846"/>
    </row>
    <row r="971" spans="2:20" ht="38.25" hidden="1">
      <c r="B971" s="828" t="s">
        <v>6529</v>
      </c>
      <c r="C971" s="828">
        <v>91027</v>
      </c>
      <c r="D971" s="630" t="s">
        <v>596</v>
      </c>
      <c r="E971" s="630" t="s">
        <v>902</v>
      </c>
      <c r="F971" s="829">
        <v>4.29</v>
      </c>
      <c r="G971" s="830">
        <v>0</v>
      </c>
      <c r="H971" s="831">
        <v>4.29</v>
      </c>
      <c r="I971" s="846"/>
      <c r="J971" s="846"/>
      <c r="K971" s="846"/>
      <c r="L971" s="846"/>
      <c r="M971" s="846"/>
      <c r="N971" s="846"/>
      <c r="O971" s="846"/>
      <c r="P971" s="846"/>
      <c r="Q971" s="846"/>
      <c r="R971" s="846"/>
      <c r="S971" s="846"/>
      <c r="T971" s="846"/>
    </row>
    <row r="972" spans="2:20" ht="38.25" hidden="1">
      <c r="B972" s="828" t="s">
        <v>6529</v>
      </c>
      <c r="C972" s="828">
        <v>91028</v>
      </c>
      <c r="D972" s="630" t="s">
        <v>785</v>
      </c>
      <c r="E972" s="630" t="s">
        <v>902</v>
      </c>
      <c r="F972" s="829">
        <v>3.4</v>
      </c>
      <c r="G972" s="830">
        <v>0</v>
      </c>
      <c r="H972" s="831">
        <v>3.4</v>
      </c>
      <c r="I972" s="846"/>
      <c r="J972" s="846"/>
      <c r="K972" s="846"/>
      <c r="L972" s="846"/>
      <c r="M972" s="846"/>
      <c r="N972" s="846"/>
      <c r="O972" s="846"/>
      <c r="P972" s="846"/>
      <c r="Q972" s="846"/>
      <c r="R972" s="846"/>
      <c r="S972" s="846"/>
      <c r="T972" s="846"/>
    </row>
    <row r="973" spans="2:20" ht="38.25" hidden="1">
      <c r="B973" s="828" t="s">
        <v>6529</v>
      </c>
      <c r="C973" s="828">
        <v>91029</v>
      </c>
      <c r="D973" s="630" t="s">
        <v>786</v>
      </c>
      <c r="E973" s="630" t="s">
        <v>902</v>
      </c>
      <c r="F973" s="829">
        <v>38.520000000000003</v>
      </c>
      <c r="G973" s="830">
        <v>0</v>
      </c>
      <c r="H973" s="831">
        <v>38.520000000000003</v>
      </c>
      <c r="I973" s="846"/>
      <c r="J973" s="846"/>
      <c r="K973" s="846"/>
      <c r="L973" s="846"/>
      <c r="M973" s="846"/>
      <c r="N973" s="846"/>
      <c r="O973" s="846"/>
      <c r="P973" s="846"/>
      <c r="Q973" s="846"/>
      <c r="R973" s="846"/>
      <c r="S973" s="846"/>
      <c r="T973" s="846"/>
    </row>
    <row r="974" spans="2:20" ht="38.25" hidden="1">
      <c r="B974" s="828" t="s">
        <v>6529</v>
      </c>
      <c r="C974" s="828">
        <v>91030</v>
      </c>
      <c r="D974" s="630" t="s">
        <v>787</v>
      </c>
      <c r="E974" s="630" t="s">
        <v>902</v>
      </c>
      <c r="F974" s="829">
        <v>179.24</v>
      </c>
      <c r="G974" s="830">
        <v>0</v>
      </c>
      <c r="H974" s="831">
        <v>179.24</v>
      </c>
      <c r="I974" s="846"/>
      <c r="J974" s="846"/>
      <c r="K974" s="846"/>
      <c r="L974" s="846"/>
      <c r="M974" s="846"/>
      <c r="N974" s="846"/>
      <c r="O974" s="846"/>
      <c r="P974" s="846"/>
      <c r="Q974" s="846"/>
      <c r="R974" s="846"/>
      <c r="S974" s="846"/>
      <c r="T974" s="846"/>
    </row>
    <row r="975" spans="2:20" ht="38.25" hidden="1">
      <c r="B975" s="828" t="s">
        <v>6529</v>
      </c>
      <c r="C975" s="828">
        <v>91273</v>
      </c>
      <c r="D975" s="630" t="s">
        <v>788</v>
      </c>
      <c r="E975" s="630" t="s">
        <v>902</v>
      </c>
      <c r="F975" s="829">
        <v>0.51</v>
      </c>
      <c r="G975" s="830">
        <v>0</v>
      </c>
      <c r="H975" s="831">
        <v>0.51</v>
      </c>
      <c r="I975" s="846"/>
      <c r="J975" s="846"/>
      <c r="K975" s="846"/>
      <c r="L975" s="846"/>
      <c r="M975" s="846"/>
      <c r="N975" s="846"/>
      <c r="O975" s="846"/>
      <c r="P975" s="846"/>
      <c r="Q975" s="846"/>
      <c r="R975" s="846"/>
      <c r="S975" s="846"/>
      <c r="T975" s="846"/>
    </row>
    <row r="976" spans="2:20" ht="25.5" hidden="1">
      <c r="B976" s="828" t="s">
        <v>6529</v>
      </c>
      <c r="C976" s="828">
        <v>91274</v>
      </c>
      <c r="D976" s="630" t="s">
        <v>789</v>
      </c>
      <c r="E976" s="630" t="s">
        <v>902</v>
      </c>
      <c r="F976" s="829">
        <v>7.0000000000000007E-2</v>
      </c>
      <c r="G976" s="830">
        <v>0</v>
      </c>
      <c r="H976" s="831">
        <v>7.0000000000000007E-2</v>
      </c>
      <c r="I976" s="846"/>
      <c r="J976" s="846"/>
      <c r="K976" s="846"/>
      <c r="L976" s="846"/>
      <c r="M976" s="846"/>
      <c r="N976" s="846"/>
      <c r="O976" s="846"/>
      <c r="P976" s="846"/>
      <c r="Q976" s="846"/>
      <c r="R976" s="846"/>
      <c r="S976" s="846"/>
      <c r="T976" s="846"/>
    </row>
    <row r="977" spans="2:20" ht="38.25" hidden="1">
      <c r="B977" s="828" t="s">
        <v>6529</v>
      </c>
      <c r="C977" s="828">
        <v>91275</v>
      </c>
      <c r="D977" s="630" t="s">
        <v>597</v>
      </c>
      <c r="E977" s="630" t="s">
        <v>902</v>
      </c>
      <c r="F977" s="829">
        <v>0.64</v>
      </c>
      <c r="G977" s="830">
        <v>0</v>
      </c>
      <c r="H977" s="831">
        <v>0.64</v>
      </c>
      <c r="I977" s="846"/>
      <c r="J977" s="846"/>
      <c r="K977" s="846"/>
      <c r="L977" s="846"/>
      <c r="M977" s="846"/>
      <c r="N977" s="846"/>
      <c r="O977" s="846"/>
      <c r="P977" s="846"/>
      <c r="Q977" s="846"/>
      <c r="R977" s="846"/>
      <c r="S977" s="846"/>
      <c r="T977" s="846"/>
    </row>
    <row r="978" spans="2:20" ht="38.25" hidden="1">
      <c r="B978" s="828" t="s">
        <v>6529</v>
      </c>
      <c r="C978" s="828">
        <v>91276</v>
      </c>
      <c r="D978" s="630" t="s">
        <v>598</v>
      </c>
      <c r="E978" s="630" t="s">
        <v>902</v>
      </c>
      <c r="F978" s="829">
        <v>8.4499999999999993</v>
      </c>
      <c r="G978" s="830">
        <v>0</v>
      </c>
      <c r="H978" s="831">
        <v>8.4499999999999993</v>
      </c>
      <c r="I978" s="846"/>
      <c r="J978" s="846"/>
      <c r="K978" s="846"/>
      <c r="L978" s="846"/>
      <c r="M978" s="846"/>
      <c r="N978" s="846"/>
      <c r="O978" s="846"/>
      <c r="P978" s="846"/>
      <c r="Q978" s="846"/>
      <c r="R978" s="846"/>
      <c r="S978" s="846"/>
      <c r="T978" s="846"/>
    </row>
    <row r="979" spans="2:20" ht="38.25" hidden="1">
      <c r="B979" s="828" t="s">
        <v>6529</v>
      </c>
      <c r="C979" s="828">
        <v>91279</v>
      </c>
      <c r="D979" s="630" t="s">
        <v>2096</v>
      </c>
      <c r="E979" s="630" t="s">
        <v>902</v>
      </c>
      <c r="F979" s="829">
        <v>0.68</v>
      </c>
      <c r="G979" s="830">
        <v>0</v>
      </c>
      <c r="H979" s="831">
        <v>0.68</v>
      </c>
      <c r="I979" s="846"/>
      <c r="J979" s="846"/>
      <c r="K979" s="846"/>
      <c r="L979" s="846"/>
      <c r="M979" s="846"/>
      <c r="N979" s="846"/>
      <c r="O979" s="846"/>
      <c r="P979" s="846"/>
      <c r="Q979" s="846"/>
      <c r="R979" s="846"/>
      <c r="S979" s="846"/>
      <c r="T979" s="846"/>
    </row>
    <row r="980" spans="2:20" ht="38.25" hidden="1">
      <c r="B980" s="828" t="s">
        <v>6529</v>
      </c>
      <c r="C980" s="828">
        <v>91280</v>
      </c>
      <c r="D980" s="630" t="s">
        <v>2097</v>
      </c>
      <c r="E980" s="630" t="s">
        <v>902</v>
      </c>
      <c r="F980" s="829">
        <v>7.0000000000000007E-2</v>
      </c>
      <c r="G980" s="830">
        <v>0</v>
      </c>
      <c r="H980" s="831">
        <v>7.0000000000000007E-2</v>
      </c>
      <c r="I980" s="846"/>
      <c r="J980" s="846"/>
      <c r="K980" s="846"/>
      <c r="L980" s="846"/>
      <c r="M980" s="846"/>
      <c r="N980" s="846"/>
      <c r="O980" s="846"/>
      <c r="P980" s="846"/>
      <c r="Q980" s="846"/>
      <c r="R980" s="846"/>
      <c r="S980" s="846"/>
      <c r="T980" s="846"/>
    </row>
    <row r="981" spans="2:20" ht="38.25" hidden="1">
      <c r="B981" s="828" t="s">
        <v>6529</v>
      </c>
      <c r="C981" s="828">
        <v>91281</v>
      </c>
      <c r="D981" s="630" t="s">
        <v>2098</v>
      </c>
      <c r="E981" s="630" t="s">
        <v>902</v>
      </c>
      <c r="F981" s="829">
        <v>0.86</v>
      </c>
      <c r="G981" s="830">
        <v>0</v>
      </c>
      <c r="H981" s="831">
        <v>0.86</v>
      </c>
      <c r="I981" s="846"/>
      <c r="J981" s="846"/>
      <c r="K981" s="846"/>
      <c r="L981" s="846"/>
      <c r="M981" s="846"/>
      <c r="N981" s="846"/>
      <c r="O981" s="846"/>
      <c r="P981" s="846"/>
      <c r="Q981" s="846"/>
      <c r="R981" s="846"/>
      <c r="S981" s="846"/>
      <c r="T981" s="846"/>
    </row>
    <row r="982" spans="2:20" ht="51" hidden="1">
      <c r="B982" s="828" t="s">
        <v>6529</v>
      </c>
      <c r="C982" s="828">
        <v>91282</v>
      </c>
      <c r="D982" s="630" t="s">
        <v>2099</v>
      </c>
      <c r="E982" s="630" t="s">
        <v>902</v>
      </c>
      <c r="F982" s="829">
        <v>8.51</v>
      </c>
      <c r="G982" s="830">
        <v>0</v>
      </c>
      <c r="H982" s="831">
        <v>8.51</v>
      </c>
      <c r="I982" s="846"/>
      <c r="J982" s="846"/>
      <c r="K982" s="846"/>
      <c r="L982" s="846"/>
      <c r="M982" s="846"/>
      <c r="N982" s="846"/>
      <c r="O982" s="846"/>
      <c r="P982" s="846"/>
      <c r="Q982" s="846"/>
      <c r="R982" s="846"/>
      <c r="S982" s="846"/>
      <c r="T982" s="846"/>
    </row>
    <row r="983" spans="2:20" ht="38.25" hidden="1">
      <c r="B983" s="828" t="s">
        <v>6529</v>
      </c>
      <c r="C983" s="828">
        <v>91354</v>
      </c>
      <c r="D983" s="630" t="s">
        <v>599</v>
      </c>
      <c r="E983" s="630" t="s">
        <v>902</v>
      </c>
      <c r="F983" s="829">
        <v>14.78</v>
      </c>
      <c r="G983" s="830">
        <v>0</v>
      </c>
      <c r="H983" s="831">
        <v>14.78</v>
      </c>
      <c r="I983" s="846"/>
      <c r="J983" s="846"/>
      <c r="K983" s="846"/>
      <c r="L983" s="846"/>
      <c r="M983" s="846"/>
      <c r="N983" s="846"/>
      <c r="O983" s="846"/>
      <c r="P983" s="846"/>
      <c r="Q983" s="846"/>
      <c r="R983" s="846"/>
      <c r="S983" s="846"/>
      <c r="T983" s="846"/>
    </row>
    <row r="984" spans="2:20" ht="38.25" hidden="1">
      <c r="B984" s="828" t="s">
        <v>6529</v>
      </c>
      <c r="C984" s="828">
        <v>91355</v>
      </c>
      <c r="D984" s="630" t="s">
        <v>600</v>
      </c>
      <c r="E984" s="630" t="s">
        <v>902</v>
      </c>
      <c r="F984" s="829">
        <v>3.1</v>
      </c>
      <c r="G984" s="830">
        <v>0</v>
      </c>
      <c r="H984" s="831">
        <v>3.1</v>
      </c>
      <c r="I984" s="846"/>
      <c r="J984" s="846"/>
      <c r="K984" s="846"/>
      <c r="L984" s="846"/>
      <c r="M984" s="846"/>
      <c r="N984" s="846"/>
      <c r="O984" s="846"/>
      <c r="P984" s="846"/>
      <c r="Q984" s="846"/>
      <c r="R984" s="846"/>
      <c r="S984" s="846"/>
      <c r="T984" s="846"/>
    </row>
    <row r="985" spans="2:20" ht="38.25" hidden="1">
      <c r="B985" s="828" t="s">
        <v>6529</v>
      </c>
      <c r="C985" s="828">
        <v>91356</v>
      </c>
      <c r="D985" s="630" t="s">
        <v>601</v>
      </c>
      <c r="E985" s="630" t="s">
        <v>902</v>
      </c>
      <c r="F985" s="829">
        <v>2.4500000000000002</v>
      </c>
      <c r="G985" s="830">
        <v>0</v>
      </c>
      <c r="H985" s="831">
        <v>2.4500000000000002</v>
      </c>
      <c r="I985" s="846"/>
      <c r="J985" s="846"/>
      <c r="K985" s="846"/>
      <c r="L985" s="846"/>
      <c r="M985" s="846"/>
      <c r="N985" s="846"/>
      <c r="O985" s="846"/>
      <c r="P985" s="846"/>
      <c r="Q985" s="846"/>
      <c r="R985" s="846"/>
      <c r="S985" s="846"/>
      <c r="T985" s="846"/>
    </row>
    <row r="986" spans="2:20" ht="38.25" hidden="1">
      <c r="B986" s="828" t="s">
        <v>6529</v>
      </c>
      <c r="C986" s="828">
        <v>91359</v>
      </c>
      <c r="D986" s="630" t="s">
        <v>602</v>
      </c>
      <c r="E986" s="630" t="s">
        <v>902</v>
      </c>
      <c r="F986" s="829">
        <v>18.18</v>
      </c>
      <c r="G986" s="830">
        <v>0</v>
      </c>
      <c r="H986" s="831">
        <v>18.18</v>
      </c>
      <c r="I986" s="846"/>
      <c r="J986" s="846"/>
      <c r="K986" s="846"/>
      <c r="L986" s="846"/>
      <c r="M986" s="846"/>
      <c r="N986" s="846"/>
      <c r="O986" s="846"/>
      <c r="P986" s="846"/>
      <c r="Q986" s="846"/>
      <c r="R986" s="846"/>
      <c r="S986" s="846"/>
      <c r="T986" s="846"/>
    </row>
    <row r="987" spans="2:20" ht="38.25" hidden="1">
      <c r="B987" s="828" t="s">
        <v>6529</v>
      </c>
      <c r="C987" s="828">
        <v>91360</v>
      </c>
      <c r="D987" s="630" t="s">
        <v>603</v>
      </c>
      <c r="E987" s="630" t="s">
        <v>902</v>
      </c>
      <c r="F987" s="829">
        <v>3.51</v>
      </c>
      <c r="G987" s="830">
        <v>0</v>
      </c>
      <c r="H987" s="831">
        <v>3.51</v>
      </c>
      <c r="I987" s="846"/>
      <c r="J987" s="846"/>
      <c r="K987" s="846"/>
      <c r="L987" s="846"/>
      <c r="M987" s="846"/>
      <c r="N987" s="846"/>
      <c r="O987" s="846"/>
      <c r="P987" s="846"/>
      <c r="Q987" s="846"/>
      <c r="R987" s="846"/>
      <c r="S987" s="846"/>
      <c r="T987" s="846"/>
    </row>
    <row r="988" spans="2:20" ht="51" hidden="1">
      <c r="B988" s="828" t="s">
        <v>6529</v>
      </c>
      <c r="C988" s="828">
        <v>91361</v>
      </c>
      <c r="D988" s="630" t="s">
        <v>604</v>
      </c>
      <c r="E988" s="630" t="s">
        <v>902</v>
      </c>
      <c r="F988" s="829">
        <v>2.77</v>
      </c>
      <c r="G988" s="830">
        <v>0</v>
      </c>
      <c r="H988" s="831">
        <v>2.77</v>
      </c>
      <c r="I988" s="846"/>
      <c r="J988" s="846"/>
      <c r="K988" s="846"/>
      <c r="L988" s="846"/>
      <c r="M988" s="846"/>
      <c r="N988" s="846"/>
      <c r="O988" s="846"/>
      <c r="P988" s="846"/>
      <c r="Q988" s="846"/>
      <c r="R988" s="846"/>
      <c r="S988" s="846"/>
      <c r="T988" s="846"/>
    </row>
    <row r="989" spans="2:20" ht="38.25" hidden="1">
      <c r="B989" s="828" t="s">
        <v>6529</v>
      </c>
      <c r="C989" s="828">
        <v>91367</v>
      </c>
      <c r="D989" s="630" t="s">
        <v>605</v>
      </c>
      <c r="E989" s="630" t="s">
        <v>902</v>
      </c>
      <c r="F989" s="829">
        <v>19.38</v>
      </c>
      <c r="G989" s="830">
        <v>0</v>
      </c>
      <c r="H989" s="831">
        <v>19.38</v>
      </c>
      <c r="I989" s="846"/>
      <c r="J989" s="846"/>
      <c r="K989" s="846"/>
      <c r="L989" s="846"/>
      <c r="M989" s="846"/>
      <c r="N989" s="846"/>
      <c r="O989" s="846"/>
      <c r="P989" s="846"/>
      <c r="Q989" s="846"/>
      <c r="R989" s="846"/>
      <c r="S989" s="846"/>
      <c r="T989" s="846"/>
    </row>
    <row r="990" spans="2:20" ht="38.25" hidden="1">
      <c r="B990" s="828" t="s">
        <v>6529</v>
      </c>
      <c r="C990" s="828">
        <v>91368</v>
      </c>
      <c r="D990" s="630" t="s">
        <v>606</v>
      </c>
      <c r="E990" s="630" t="s">
        <v>902</v>
      </c>
      <c r="F990" s="829">
        <v>3.74</v>
      </c>
      <c r="G990" s="830">
        <v>0</v>
      </c>
      <c r="H990" s="831">
        <v>3.74</v>
      </c>
      <c r="I990" s="846"/>
      <c r="J990" s="846"/>
      <c r="K990" s="846"/>
      <c r="L990" s="846"/>
      <c r="M990" s="846"/>
      <c r="N990" s="846"/>
      <c r="O990" s="846"/>
      <c r="P990" s="846"/>
      <c r="Q990" s="846"/>
      <c r="R990" s="846"/>
      <c r="S990" s="846"/>
      <c r="T990" s="846"/>
    </row>
    <row r="991" spans="2:20" ht="38.25" hidden="1">
      <c r="B991" s="828" t="s">
        <v>6529</v>
      </c>
      <c r="C991" s="828">
        <v>91369</v>
      </c>
      <c r="D991" s="630" t="s">
        <v>607</v>
      </c>
      <c r="E991" s="630" t="s">
        <v>902</v>
      </c>
      <c r="F991" s="829">
        <v>2.96</v>
      </c>
      <c r="G991" s="830">
        <v>0</v>
      </c>
      <c r="H991" s="831">
        <v>2.96</v>
      </c>
      <c r="I991" s="846"/>
      <c r="J991" s="846"/>
      <c r="K991" s="846"/>
      <c r="L991" s="846"/>
      <c r="M991" s="846"/>
      <c r="N991" s="846"/>
      <c r="O991" s="846"/>
      <c r="P991" s="846"/>
      <c r="Q991" s="846"/>
      <c r="R991" s="846"/>
      <c r="S991" s="846"/>
      <c r="T991" s="846"/>
    </row>
    <row r="992" spans="2:20" ht="38.25" hidden="1">
      <c r="B992" s="828" t="s">
        <v>6529</v>
      </c>
      <c r="C992" s="828">
        <v>91375</v>
      </c>
      <c r="D992" s="630" t="s">
        <v>608</v>
      </c>
      <c r="E992" s="630" t="s">
        <v>902</v>
      </c>
      <c r="F992" s="829">
        <v>16.23</v>
      </c>
      <c r="G992" s="830">
        <v>0</v>
      </c>
      <c r="H992" s="831">
        <v>16.23</v>
      </c>
      <c r="I992" s="846"/>
      <c r="J992" s="846"/>
      <c r="K992" s="846"/>
      <c r="L992" s="846"/>
      <c r="M992" s="846"/>
      <c r="N992" s="846"/>
      <c r="O992" s="846"/>
      <c r="P992" s="846"/>
      <c r="Q992" s="846"/>
      <c r="R992" s="846"/>
      <c r="S992" s="846"/>
      <c r="T992" s="846"/>
    </row>
    <row r="993" spans="2:20" ht="38.25" hidden="1">
      <c r="B993" s="828" t="s">
        <v>6529</v>
      </c>
      <c r="C993" s="828">
        <v>91376</v>
      </c>
      <c r="D993" s="630" t="s">
        <v>609</v>
      </c>
      <c r="E993" s="630" t="s">
        <v>902</v>
      </c>
      <c r="F993" s="829">
        <v>3.4</v>
      </c>
      <c r="G993" s="830">
        <v>0</v>
      </c>
      <c r="H993" s="831">
        <v>3.4</v>
      </c>
      <c r="I993" s="846"/>
      <c r="J993" s="846"/>
      <c r="K993" s="846"/>
      <c r="L993" s="846"/>
      <c r="M993" s="846"/>
      <c r="N993" s="846"/>
      <c r="O993" s="846"/>
      <c r="P993" s="846"/>
      <c r="Q993" s="846"/>
      <c r="R993" s="846"/>
      <c r="S993" s="846"/>
      <c r="T993" s="846"/>
    </row>
    <row r="994" spans="2:20" ht="38.25" hidden="1">
      <c r="B994" s="828" t="s">
        <v>6529</v>
      </c>
      <c r="C994" s="828">
        <v>91377</v>
      </c>
      <c r="D994" s="630" t="s">
        <v>610</v>
      </c>
      <c r="E994" s="630" t="s">
        <v>902</v>
      </c>
      <c r="F994" s="829">
        <v>2.69</v>
      </c>
      <c r="G994" s="830">
        <v>0</v>
      </c>
      <c r="H994" s="831">
        <v>2.69</v>
      </c>
      <c r="I994" s="846"/>
      <c r="J994" s="846"/>
      <c r="K994" s="846"/>
      <c r="L994" s="846"/>
      <c r="M994" s="846"/>
      <c r="N994" s="846"/>
      <c r="O994" s="846"/>
      <c r="P994" s="846"/>
      <c r="Q994" s="846"/>
      <c r="R994" s="846"/>
      <c r="S994" s="846"/>
      <c r="T994" s="846"/>
    </row>
    <row r="995" spans="2:20" ht="51" hidden="1">
      <c r="B995" s="828" t="s">
        <v>6529</v>
      </c>
      <c r="C995" s="828">
        <v>91380</v>
      </c>
      <c r="D995" s="630" t="s">
        <v>422</v>
      </c>
      <c r="E995" s="630" t="s">
        <v>902</v>
      </c>
      <c r="F995" s="829">
        <v>25.52</v>
      </c>
      <c r="G995" s="830">
        <v>0</v>
      </c>
      <c r="H995" s="831">
        <v>25.52</v>
      </c>
      <c r="I995" s="846"/>
      <c r="J995" s="846"/>
      <c r="K995" s="846"/>
      <c r="L995" s="846"/>
      <c r="M995" s="846"/>
      <c r="N995" s="846"/>
      <c r="O995" s="846"/>
      <c r="P995" s="846"/>
      <c r="Q995" s="846"/>
      <c r="R995" s="846"/>
      <c r="S995" s="846"/>
      <c r="T995" s="846"/>
    </row>
    <row r="996" spans="2:20" ht="51" hidden="1">
      <c r="B996" s="828" t="s">
        <v>6529</v>
      </c>
      <c r="C996" s="828">
        <v>91381</v>
      </c>
      <c r="D996" s="630" t="s">
        <v>423</v>
      </c>
      <c r="E996" s="630" t="s">
        <v>902</v>
      </c>
      <c r="F996" s="829">
        <v>4.91</v>
      </c>
      <c r="G996" s="830">
        <v>0</v>
      </c>
      <c r="H996" s="831">
        <v>4.91</v>
      </c>
      <c r="I996" s="846"/>
      <c r="J996" s="846"/>
      <c r="K996" s="846"/>
      <c r="L996" s="846"/>
      <c r="M996" s="846"/>
      <c r="N996" s="846"/>
      <c r="O996" s="846"/>
      <c r="P996" s="846"/>
      <c r="Q996" s="846"/>
      <c r="R996" s="846"/>
      <c r="S996" s="846"/>
      <c r="T996" s="846"/>
    </row>
    <row r="997" spans="2:20" ht="51" hidden="1">
      <c r="B997" s="828" t="s">
        <v>6529</v>
      </c>
      <c r="C997" s="828">
        <v>91382</v>
      </c>
      <c r="D997" s="630" t="s">
        <v>424</v>
      </c>
      <c r="E997" s="630" t="s">
        <v>902</v>
      </c>
      <c r="F997" s="829">
        <v>3.9</v>
      </c>
      <c r="G997" s="830">
        <v>0</v>
      </c>
      <c r="H997" s="831">
        <v>3.9</v>
      </c>
      <c r="I997" s="846"/>
      <c r="J997" s="846"/>
      <c r="K997" s="846"/>
      <c r="L997" s="846"/>
      <c r="M997" s="846"/>
      <c r="N997" s="846"/>
      <c r="O997" s="846"/>
      <c r="P997" s="846"/>
      <c r="Q997" s="846"/>
      <c r="R997" s="846"/>
      <c r="S997" s="846"/>
      <c r="T997" s="846"/>
    </row>
    <row r="998" spans="2:20" ht="51" hidden="1">
      <c r="B998" s="828" t="s">
        <v>6529</v>
      </c>
      <c r="C998" s="828">
        <v>91383</v>
      </c>
      <c r="D998" s="630" t="s">
        <v>425</v>
      </c>
      <c r="E998" s="630" t="s">
        <v>902</v>
      </c>
      <c r="F998" s="829">
        <v>45.5</v>
      </c>
      <c r="G998" s="830">
        <v>0</v>
      </c>
      <c r="H998" s="831">
        <v>45.5</v>
      </c>
      <c r="I998" s="846"/>
      <c r="J998" s="846"/>
      <c r="K998" s="846"/>
      <c r="L998" s="846"/>
      <c r="M998" s="846"/>
      <c r="N998" s="846"/>
      <c r="O998" s="846"/>
      <c r="P998" s="846"/>
      <c r="Q998" s="846"/>
      <c r="R998" s="846"/>
      <c r="S998" s="846"/>
      <c r="T998" s="846"/>
    </row>
    <row r="999" spans="2:20" ht="51" hidden="1">
      <c r="B999" s="828" t="s">
        <v>6529</v>
      </c>
      <c r="C999" s="828">
        <v>91384</v>
      </c>
      <c r="D999" s="630" t="s">
        <v>426</v>
      </c>
      <c r="E999" s="630" t="s">
        <v>902</v>
      </c>
      <c r="F999" s="829">
        <v>173.24</v>
      </c>
      <c r="G999" s="830">
        <v>0</v>
      </c>
      <c r="H999" s="831">
        <v>173.24</v>
      </c>
      <c r="I999" s="846"/>
      <c r="J999" s="846"/>
      <c r="K999" s="846"/>
      <c r="L999" s="846"/>
      <c r="M999" s="846"/>
      <c r="N999" s="846"/>
      <c r="O999" s="846"/>
      <c r="P999" s="846"/>
      <c r="Q999" s="846"/>
      <c r="R999" s="846"/>
      <c r="S999" s="846"/>
      <c r="T999" s="846"/>
    </row>
    <row r="1000" spans="2:20" ht="51" hidden="1">
      <c r="B1000" s="828" t="s">
        <v>6529</v>
      </c>
      <c r="C1000" s="828">
        <v>91390</v>
      </c>
      <c r="D1000" s="630" t="s">
        <v>427</v>
      </c>
      <c r="E1000" s="630" t="s">
        <v>902</v>
      </c>
      <c r="F1000" s="829">
        <v>16.5</v>
      </c>
      <c r="G1000" s="830">
        <v>0</v>
      </c>
      <c r="H1000" s="831">
        <v>16.5</v>
      </c>
      <c r="I1000" s="846"/>
      <c r="J1000" s="846"/>
      <c r="K1000" s="846"/>
      <c r="L1000" s="846"/>
      <c r="M1000" s="846"/>
      <c r="N1000" s="846"/>
      <c r="O1000" s="846"/>
      <c r="P1000" s="846"/>
      <c r="Q1000" s="846"/>
      <c r="R1000" s="846"/>
      <c r="S1000" s="846"/>
      <c r="T1000" s="846"/>
    </row>
    <row r="1001" spans="2:20" ht="51" hidden="1">
      <c r="B1001" s="828" t="s">
        <v>6529</v>
      </c>
      <c r="C1001" s="828">
        <v>91391</v>
      </c>
      <c r="D1001" s="630" t="s">
        <v>428</v>
      </c>
      <c r="E1001" s="630" t="s">
        <v>902</v>
      </c>
      <c r="F1001" s="829">
        <v>3.32</v>
      </c>
      <c r="G1001" s="830">
        <v>0</v>
      </c>
      <c r="H1001" s="831">
        <v>3.32</v>
      </c>
      <c r="I1001" s="846"/>
      <c r="J1001" s="846"/>
      <c r="K1001" s="846"/>
      <c r="L1001" s="846"/>
      <c r="M1001" s="846"/>
      <c r="N1001" s="846"/>
      <c r="O1001" s="846"/>
      <c r="P1001" s="846"/>
      <c r="Q1001" s="846"/>
      <c r="R1001" s="846"/>
      <c r="S1001" s="846"/>
      <c r="T1001" s="846"/>
    </row>
    <row r="1002" spans="2:20" ht="51" hidden="1">
      <c r="B1002" s="828" t="s">
        <v>6529</v>
      </c>
      <c r="C1002" s="828">
        <v>91392</v>
      </c>
      <c r="D1002" s="630" t="s">
        <v>429</v>
      </c>
      <c r="E1002" s="630" t="s">
        <v>902</v>
      </c>
      <c r="F1002" s="829">
        <v>2.63</v>
      </c>
      <c r="G1002" s="830">
        <v>0</v>
      </c>
      <c r="H1002" s="831">
        <v>2.63</v>
      </c>
      <c r="I1002" s="846"/>
      <c r="J1002" s="846"/>
      <c r="K1002" s="846"/>
      <c r="L1002" s="846"/>
      <c r="M1002" s="846"/>
      <c r="N1002" s="846"/>
      <c r="O1002" s="846"/>
      <c r="P1002" s="846"/>
      <c r="Q1002" s="846"/>
      <c r="R1002" s="846"/>
      <c r="S1002" s="846"/>
      <c r="T1002" s="846"/>
    </row>
    <row r="1003" spans="2:20" ht="51" hidden="1">
      <c r="B1003" s="828" t="s">
        <v>6529</v>
      </c>
      <c r="C1003" s="828">
        <v>91396</v>
      </c>
      <c r="D1003" s="630" t="s">
        <v>680</v>
      </c>
      <c r="E1003" s="630" t="s">
        <v>902</v>
      </c>
      <c r="F1003" s="829">
        <v>25.11</v>
      </c>
      <c r="G1003" s="830">
        <v>0</v>
      </c>
      <c r="H1003" s="831">
        <v>25.11</v>
      </c>
      <c r="I1003" s="846"/>
      <c r="J1003" s="846"/>
      <c r="K1003" s="846"/>
      <c r="L1003" s="846"/>
      <c r="M1003" s="846"/>
      <c r="N1003" s="846"/>
      <c r="O1003" s="846"/>
      <c r="P1003" s="846"/>
      <c r="Q1003" s="846"/>
      <c r="R1003" s="846"/>
      <c r="S1003" s="846"/>
      <c r="T1003" s="846"/>
    </row>
    <row r="1004" spans="2:20" ht="51" hidden="1">
      <c r="B1004" s="828" t="s">
        <v>6529</v>
      </c>
      <c r="C1004" s="828">
        <v>91397</v>
      </c>
      <c r="D1004" s="630" t="s">
        <v>681</v>
      </c>
      <c r="E1004" s="630" t="s">
        <v>902</v>
      </c>
      <c r="F1004" s="829">
        <v>4.9000000000000004</v>
      </c>
      <c r="G1004" s="830">
        <v>0</v>
      </c>
      <c r="H1004" s="831">
        <v>4.9000000000000004</v>
      </c>
      <c r="I1004" s="846"/>
      <c r="J1004" s="846"/>
      <c r="K1004" s="846"/>
      <c r="L1004" s="846"/>
      <c r="M1004" s="846"/>
      <c r="N1004" s="846"/>
      <c r="O1004" s="846"/>
      <c r="P1004" s="846"/>
      <c r="Q1004" s="846"/>
      <c r="R1004" s="846"/>
      <c r="S1004" s="846"/>
      <c r="T1004" s="846"/>
    </row>
    <row r="1005" spans="2:20" ht="51" hidden="1">
      <c r="B1005" s="828" t="s">
        <v>6529</v>
      </c>
      <c r="C1005" s="828">
        <v>91398</v>
      </c>
      <c r="D1005" s="630" t="s">
        <v>682</v>
      </c>
      <c r="E1005" s="630" t="s">
        <v>902</v>
      </c>
      <c r="F1005" s="829">
        <v>3.88</v>
      </c>
      <c r="G1005" s="830">
        <v>0</v>
      </c>
      <c r="H1005" s="831">
        <v>3.88</v>
      </c>
      <c r="I1005" s="846"/>
      <c r="J1005" s="846"/>
      <c r="K1005" s="846"/>
      <c r="L1005" s="846"/>
      <c r="M1005" s="846"/>
      <c r="N1005" s="846"/>
      <c r="O1005" s="846"/>
      <c r="P1005" s="846"/>
      <c r="Q1005" s="846"/>
      <c r="R1005" s="846"/>
      <c r="S1005" s="846"/>
      <c r="T1005" s="846"/>
    </row>
    <row r="1006" spans="2:20" ht="38.25" hidden="1">
      <c r="B1006" s="828" t="s">
        <v>6529</v>
      </c>
      <c r="C1006" s="828">
        <v>91402</v>
      </c>
      <c r="D1006" s="630" t="s">
        <v>683</v>
      </c>
      <c r="E1006" s="630" t="s">
        <v>902</v>
      </c>
      <c r="F1006" s="829">
        <v>3.06</v>
      </c>
      <c r="G1006" s="830">
        <v>0</v>
      </c>
      <c r="H1006" s="831">
        <v>3.06</v>
      </c>
      <c r="I1006" s="846"/>
      <c r="J1006" s="846"/>
      <c r="K1006" s="846"/>
      <c r="L1006" s="846"/>
      <c r="M1006" s="846"/>
      <c r="N1006" s="846"/>
      <c r="O1006" s="846"/>
      <c r="P1006" s="846"/>
      <c r="Q1006" s="846"/>
      <c r="R1006" s="846"/>
      <c r="S1006" s="846"/>
      <c r="T1006" s="846"/>
    </row>
    <row r="1007" spans="2:20" ht="51" hidden="1">
      <c r="B1007" s="828" t="s">
        <v>6529</v>
      </c>
      <c r="C1007" s="828">
        <v>91466</v>
      </c>
      <c r="D1007" s="630" t="s">
        <v>430</v>
      </c>
      <c r="E1007" s="630" t="s">
        <v>902</v>
      </c>
      <c r="F1007" s="829">
        <v>3.48</v>
      </c>
      <c r="G1007" s="830">
        <v>0</v>
      </c>
      <c r="H1007" s="831">
        <v>3.48</v>
      </c>
      <c r="I1007" s="846"/>
      <c r="J1007" s="846"/>
      <c r="K1007" s="846"/>
      <c r="L1007" s="846"/>
      <c r="M1007" s="846"/>
      <c r="N1007" s="846"/>
      <c r="O1007" s="846"/>
      <c r="P1007" s="846"/>
      <c r="Q1007" s="846"/>
      <c r="R1007" s="846"/>
      <c r="S1007" s="846"/>
      <c r="T1007" s="846"/>
    </row>
    <row r="1008" spans="2:20" ht="51" hidden="1">
      <c r="B1008" s="828" t="s">
        <v>6529</v>
      </c>
      <c r="C1008" s="828">
        <v>91467</v>
      </c>
      <c r="D1008" s="630" t="s">
        <v>431</v>
      </c>
      <c r="E1008" s="630" t="s">
        <v>902</v>
      </c>
      <c r="F1008" s="829">
        <v>193.2</v>
      </c>
      <c r="G1008" s="830">
        <v>0</v>
      </c>
      <c r="H1008" s="831">
        <v>193.2</v>
      </c>
      <c r="I1008" s="846"/>
      <c r="J1008" s="846"/>
      <c r="K1008" s="846"/>
      <c r="L1008" s="846"/>
      <c r="M1008" s="846"/>
      <c r="N1008" s="846"/>
      <c r="O1008" s="846"/>
      <c r="P1008" s="846"/>
      <c r="Q1008" s="846"/>
      <c r="R1008" s="846"/>
      <c r="S1008" s="846"/>
      <c r="T1008" s="846"/>
    </row>
    <row r="1009" spans="2:20" ht="51" hidden="1">
      <c r="B1009" s="828" t="s">
        <v>6529</v>
      </c>
      <c r="C1009" s="828">
        <v>91468</v>
      </c>
      <c r="D1009" s="630" t="s">
        <v>1810</v>
      </c>
      <c r="E1009" s="630" t="s">
        <v>902</v>
      </c>
      <c r="F1009" s="829">
        <v>23.09</v>
      </c>
      <c r="G1009" s="830">
        <v>0</v>
      </c>
      <c r="H1009" s="831">
        <v>23.09</v>
      </c>
      <c r="I1009" s="846"/>
      <c r="J1009" s="846"/>
      <c r="K1009" s="846"/>
      <c r="L1009" s="846"/>
      <c r="M1009" s="846"/>
      <c r="N1009" s="846"/>
      <c r="O1009" s="846"/>
      <c r="P1009" s="846"/>
      <c r="Q1009" s="846"/>
      <c r="R1009" s="846"/>
      <c r="S1009" s="846"/>
      <c r="T1009" s="846"/>
    </row>
    <row r="1010" spans="2:20" ht="51" hidden="1">
      <c r="B1010" s="828" t="s">
        <v>6529</v>
      </c>
      <c r="C1010" s="828">
        <v>91469</v>
      </c>
      <c r="D1010" s="630" t="s">
        <v>1811</v>
      </c>
      <c r="E1010" s="630" t="s">
        <v>902</v>
      </c>
      <c r="F1010" s="829">
        <v>4.5599999999999996</v>
      </c>
      <c r="G1010" s="830">
        <v>0</v>
      </c>
      <c r="H1010" s="831">
        <v>4.5599999999999996</v>
      </c>
      <c r="I1010" s="846"/>
      <c r="J1010" s="846"/>
      <c r="K1010" s="846"/>
      <c r="L1010" s="846"/>
      <c r="M1010" s="846"/>
      <c r="N1010" s="846"/>
      <c r="O1010" s="846"/>
      <c r="P1010" s="846"/>
      <c r="Q1010" s="846"/>
      <c r="R1010" s="846"/>
      <c r="S1010" s="846"/>
      <c r="T1010" s="846"/>
    </row>
    <row r="1011" spans="2:20" ht="51" hidden="1">
      <c r="B1011" s="828" t="s">
        <v>6529</v>
      </c>
      <c r="C1011" s="828">
        <v>91484</v>
      </c>
      <c r="D1011" s="630" t="s">
        <v>2093</v>
      </c>
      <c r="E1011" s="630" t="s">
        <v>902</v>
      </c>
      <c r="F1011" s="829">
        <v>3.62</v>
      </c>
      <c r="G1011" s="830">
        <v>0</v>
      </c>
      <c r="H1011" s="831">
        <v>3.62</v>
      </c>
      <c r="I1011" s="846"/>
      <c r="J1011" s="846"/>
      <c r="K1011" s="846"/>
      <c r="L1011" s="846"/>
      <c r="M1011" s="846"/>
      <c r="N1011" s="846"/>
      <c r="O1011" s="846"/>
      <c r="P1011" s="846"/>
      <c r="Q1011" s="846"/>
      <c r="R1011" s="846"/>
      <c r="S1011" s="846"/>
      <c r="T1011" s="846"/>
    </row>
    <row r="1012" spans="2:20" ht="51" hidden="1">
      <c r="B1012" s="828" t="s">
        <v>6529</v>
      </c>
      <c r="C1012" s="828">
        <v>91485</v>
      </c>
      <c r="D1012" s="630" t="s">
        <v>2094</v>
      </c>
      <c r="E1012" s="630" t="s">
        <v>902</v>
      </c>
      <c r="F1012" s="829">
        <v>189.1</v>
      </c>
      <c r="G1012" s="830">
        <v>0</v>
      </c>
      <c r="H1012" s="831">
        <v>189.1</v>
      </c>
      <c r="I1012" s="846"/>
      <c r="J1012" s="846"/>
      <c r="K1012" s="846"/>
      <c r="L1012" s="846"/>
      <c r="M1012" s="846"/>
      <c r="N1012" s="846"/>
      <c r="O1012" s="846"/>
      <c r="P1012" s="846"/>
      <c r="Q1012" s="846"/>
      <c r="R1012" s="846"/>
      <c r="S1012" s="846"/>
      <c r="T1012" s="846"/>
    </row>
    <row r="1013" spans="2:20" ht="25.5" hidden="1">
      <c r="B1013" s="828" t="s">
        <v>6529</v>
      </c>
      <c r="C1013" s="828">
        <v>91529</v>
      </c>
      <c r="D1013" s="630" t="s">
        <v>139</v>
      </c>
      <c r="E1013" s="630" t="s">
        <v>902</v>
      </c>
      <c r="F1013" s="829">
        <v>0.76</v>
      </c>
      <c r="G1013" s="830">
        <v>0</v>
      </c>
      <c r="H1013" s="831">
        <v>0.76</v>
      </c>
      <c r="I1013" s="846"/>
      <c r="J1013" s="846"/>
      <c r="K1013" s="846"/>
      <c r="L1013" s="846"/>
      <c r="M1013" s="846"/>
      <c r="N1013" s="846"/>
      <c r="O1013" s="846"/>
      <c r="P1013" s="846"/>
      <c r="Q1013" s="846"/>
      <c r="R1013" s="846"/>
      <c r="S1013" s="846"/>
      <c r="T1013" s="846"/>
    </row>
    <row r="1014" spans="2:20" ht="25.5" hidden="1">
      <c r="B1014" s="828" t="s">
        <v>6529</v>
      </c>
      <c r="C1014" s="828">
        <v>91530</v>
      </c>
      <c r="D1014" s="630" t="s">
        <v>140</v>
      </c>
      <c r="E1014" s="630" t="s">
        <v>902</v>
      </c>
      <c r="F1014" s="829">
        <v>0.1</v>
      </c>
      <c r="G1014" s="830">
        <v>0</v>
      </c>
      <c r="H1014" s="831">
        <v>0.1</v>
      </c>
      <c r="I1014" s="846"/>
      <c r="J1014" s="846"/>
      <c r="K1014" s="846"/>
      <c r="L1014" s="846"/>
      <c r="M1014" s="846"/>
      <c r="N1014" s="846"/>
      <c r="O1014" s="846"/>
      <c r="P1014" s="846"/>
      <c r="Q1014" s="846"/>
      <c r="R1014" s="846"/>
      <c r="S1014" s="846"/>
      <c r="T1014" s="846"/>
    </row>
    <row r="1015" spans="2:20" ht="25.5" hidden="1">
      <c r="B1015" s="828" t="s">
        <v>6529</v>
      </c>
      <c r="C1015" s="828">
        <v>91531</v>
      </c>
      <c r="D1015" s="630" t="s">
        <v>141</v>
      </c>
      <c r="E1015" s="630" t="s">
        <v>902</v>
      </c>
      <c r="F1015" s="829">
        <v>0.95</v>
      </c>
      <c r="G1015" s="830">
        <v>0</v>
      </c>
      <c r="H1015" s="831">
        <v>0.95</v>
      </c>
      <c r="I1015" s="846"/>
      <c r="J1015" s="846"/>
      <c r="K1015" s="846"/>
      <c r="L1015" s="846"/>
      <c r="M1015" s="846"/>
      <c r="N1015" s="846"/>
      <c r="O1015" s="846"/>
      <c r="P1015" s="846"/>
      <c r="Q1015" s="846"/>
      <c r="R1015" s="846"/>
      <c r="S1015" s="846"/>
      <c r="T1015" s="846"/>
    </row>
    <row r="1016" spans="2:20" ht="38.25" hidden="1">
      <c r="B1016" s="828" t="s">
        <v>6529</v>
      </c>
      <c r="C1016" s="828">
        <v>91532</v>
      </c>
      <c r="D1016" s="630" t="s">
        <v>142</v>
      </c>
      <c r="E1016" s="630" t="s">
        <v>902</v>
      </c>
      <c r="F1016" s="829">
        <v>6.04</v>
      </c>
      <c r="G1016" s="830">
        <v>0</v>
      </c>
      <c r="H1016" s="831">
        <v>6.04</v>
      </c>
      <c r="I1016" s="846"/>
      <c r="J1016" s="846"/>
      <c r="K1016" s="846"/>
      <c r="L1016" s="846"/>
      <c r="M1016" s="846"/>
      <c r="N1016" s="846"/>
      <c r="O1016" s="846"/>
      <c r="P1016" s="846"/>
      <c r="Q1016" s="846"/>
      <c r="R1016" s="846"/>
      <c r="S1016" s="846"/>
      <c r="T1016" s="846"/>
    </row>
    <row r="1017" spans="2:20" ht="51" hidden="1">
      <c r="B1017" s="828" t="s">
        <v>6529</v>
      </c>
      <c r="C1017" s="828">
        <v>91629</v>
      </c>
      <c r="D1017" s="630" t="s">
        <v>143</v>
      </c>
      <c r="E1017" s="630" t="s">
        <v>902</v>
      </c>
      <c r="F1017" s="829">
        <v>18.75</v>
      </c>
      <c r="G1017" s="830">
        <v>0</v>
      </c>
      <c r="H1017" s="831">
        <v>18.75</v>
      </c>
      <c r="I1017" s="846"/>
      <c r="J1017" s="846"/>
      <c r="K1017" s="846"/>
      <c r="L1017" s="846"/>
      <c r="M1017" s="846"/>
      <c r="N1017" s="846"/>
      <c r="O1017" s="846"/>
      <c r="P1017" s="846"/>
      <c r="Q1017" s="846"/>
      <c r="R1017" s="846"/>
      <c r="S1017" s="846"/>
      <c r="T1017" s="846"/>
    </row>
    <row r="1018" spans="2:20" ht="51" hidden="1">
      <c r="B1018" s="828" t="s">
        <v>6529</v>
      </c>
      <c r="C1018" s="828">
        <v>91630</v>
      </c>
      <c r="D1018" s="630" t="s">
        <v>144</v>
      </c>
      <c r="E1018" s="630" t="s">
        <v>902</v>
      </c>
      <c r="F1018" s="829">
        <v>3.51</v>
      </c>
      <c r="G1018" s="830">
        <v>0</v>
      </c>
      <c r="H1018" s="831">
        <v>3.51</v>
      </c>
      <c r="I1018" s="846"/>
      <c r="J1018" s="846"/>
      <c r="K1018" s="846"/>
      <c r="L1018" s="846"/>
      <c r="M1018" s="846"/>
      <c r="N1018" s="846"/>
      <c r="O1018" s="846"/>
      <c r="P1018" s="846"/>
      <c r="Q1018" s="846"/>
      <c r="R1018" s="846"/>
      <c r="S1018" s="846"/>
      <c r="T1018" s="846"/>
    </row>
    <row r="1019" spans="2:20" ht="51" hidden="1">
      <c r="B1019" s="828" t="s">
        <v>6529</v>
      </c>
      <c r="C1019" s="828">
        <v>91631</v>
      </c>
      <c r="D1019" s="630" t="s">
        <v>2184</v>
      </c>
      <c r="E1019" s="630" t="s">
        <v>902</v>
      </c>
      <c r="F1019" s="829">
        <v>2.78</v>
      </c>
      <c r="G1019" s="830">
        <v>0</v>
      </c>
      <c r="H1019" s="831">
        <v>2.78</v>
      </c>
      <c r="I1019" s="846"/>
      <c r="J1019" s="846"/>
      <c r="K1019" s="846"/>
      <c r="L1019" s="846"/>
      <c r="M1019" s="846"/>
      <c r="N1019" s="846"/>
      <c r="O1019" s="846"/>
      <c r="P1019" s="846"/>
      <c r="Q1019" s="846"/>
      <c r="R1019" s="846"/>
      <c r="S1019" s="846"/>
      <c r="T1019" s="846"/>
    </row>
    <row r="1020" spans="2:20" ht="51" hidden="1">
      <c r="B1020" s="828" t="s">
        <v>6529</v>
      </c>
      <c r="C1020" s="828">
        <v>91632</v>
      </c>
      <c r="D1020" s="630" t="s">
        <v>145</v>
      </c>
      <c r="E1020" s="630" t="s">
        <v>902</v>
      </c>
      <c r="F1020" s="829">
        <v>31.81</v>
      </c>
      <c r="G1020" s="830">
        <v>0</v>
      </c>
      <c r="H1020" s="831">
        <v>31.81</v>
      </c>
      <c r="I1020" s="846"/>
      <c r="J1020" s="846"/>
      <c r="K1020" s="846"/>
      <c r="L1020" s="846"/>
      <c r="M1020" s="846"/>
      <c r="N1020" s="846"/>
      <c r="O1020" s="846"/>
      <c r="P1020" s="846"/>
      <c r="Q1020" s="846"/>
      <c r="R1020" s="846"/>
      <c r="S1020" s="846"/>
      <c r="T1020" s="846"/>
    </row>
    <row r="1021" spans="2:20" ht="51" hidden="1">
      <c r="B1021" s="828" t="s">
        <v>6529</v>
      </c>
      <c r="C1021" s="828">
        <v>91633</v>
      </c>
      <c r="D1021" s="630" t="s">
        <v>146</v>
      </c>
      <c r="E1021" s="630" t="s">
        <v>902</v>
      </c>
      <c r="F1021" s="829">
        <v>163.52000000000001</v>
      </c>
      <c r="G1021" s="830">
        <v>0</v>
      </c>
      <c r="H1021" s="831">
        <v>163.52000000000001</v>
      </c>
      <c r="I1021" s="846"/>
      <c r="J1021" s="846"/>
      <c r="K1021" s="846"/>
      <c r="L1021" s="846"/>
      <c r="M1021" s="846"/>
      <c r="N1021" s="846"/>
      <c r="O1021" s="846"/>
      <c r="P1021" s="846"/>
      <c r="Q1021" s="846"/>
      <c r="R1021" s="846"/>
      <c r="S1021" s="846"/>
      <c r="T1021" s="846"/>
    </row>
    <row r="1022" spans="2:20" ht="51" hidden="1">
      <c r="B1022" s="828" t="s">
        <v>6529</v>
      </c>
      <c r="C1022" s="828">
        <v>91640</v>
      </c>
      <c r="D1022" s="630" t="s">
        <v>2000</v>
      </c>
      <c r="E1022" s="630" t="s">
        <v>902</v>
      </c>
      <c r="F1022" s="829">
        <v>29.77</v>
      </c>
      <c r="G1022" s="830">
        <v>0</v>
      </c>
      <c r="H1022" s="831">
        <v>29.77</v>
      </c>
      <c r="I1022" s="846"/>
      <c r="J1022" s="846"/>
      <c r="K1022" s="846"/>
      <c r="L1022" s="846"/>
      <c r="M1022" s="846"/>
      <c r="N1022" s="846"/>
      <c r="O1022" s="846"/>
      <c r="P1022" s="846"/>
      <c r="Q1022" s="846"/>
      <c r="R1022" s="846"/>
      <c r="S1022" s="846"/>
      <c r="T1022" s="846"/>
    </row>
    <row r="1023" spans="2:20" ht="51" hidden="1">
      <c r="B1023" s="828" t="s">
        <v>6529</v>
      </c>
      <c r="C1023" s="828">
        <v>91641</v>
      </c>
      <c r="D1023" s="630" t="s">
        <v>2001</v>
      </c>
      <c r="E1023" s="630" t="s">
        <v>902</v>
      </c>
      <c r="F1023" s="829">
        <v>6.07</v>
      </c>
      <c r="G1023" s="830">
        <v>0</v>
      </c>
      <c r="H1023" s="831">
        <v>6.07</v>
      </c>
      <c r="I1023" s="846"/>
      <c r="J1023" s="846"/>
      <c r="K1023" s="846"/>
      <c r="L1023" s="846"/>
      <c r="M1023" s="846"/>
      <c r="N1023" s="846"/>
      <c r="O1023" s="846"/>
      <c r="P1023" s="846"/>
      <c r="Q1023" s="846"/>
      <c r="R1023" s="846"/>
      <c r="S1023" s="846"/>
      <c r="T1023" s="846"/>
    </row>
    <row r="1024" spans="2:20" ht="51" hidden="1">
      <c r="B1024" s="828" t="s">
        <v>6529</v>
      </c>
      <c r="C1024" s="828">
        <v>91642</v>
      </c>
      <c r="D1024" s="630" t="s">
        <v>1706</v>
      </c>
      <c r="E1024" s="630" t="s">
        <v>902</v>
      </c>
      <c r="F1024" s="829">
        <v>4.82</v>
      </c>
      <c r="G1024" s="830">
        <v>0</v>
      </c>
      <c r="H1024" s="831">
        <v>4.82</v>
      </c>
      <c r="I1024" s="846"/>
      <c r="J1024" s="846"/>
      <c r="K1024" s="846"/>
      <c r="L1024" s="846"/>
      <c r="M1024" s="846"/>
      <c r="N1024" s="846"/>
      <c r="O1024" s="846"/>
      <c r="P1024" s="846"/>
      <c r="Q1024" s="846"/>
      <c r="R1024" s="846"/>
      <c r="S1024" s="846"/>
      <c r="T1024" s="846"/>
    </row>
    <row r="1025" spans="2:20" ht="51" hidden="1">
      <c r="B1025" s="828" t="s">
        <v>6529</v>
      </c>
      <c r="C1025" s="828">
        <v>91643</v>
      </c>
      <c r="D1025" s="630" t="s">
        <v>1707</v>
      </c>
      <c r="E1025" s="630" t="s">
        <v>902</v>
      </c>
      <c r="F1025" s="829">
        <v>52.92</v>
      </c>
      <c r="G1025" s="830">
        <v>0</v>
      </c>
      <c r="H1025" s="831">
        <v>52.92</v>
      </c>
      <c r="I1025" s="846"/>
      <c r="J1025" s="846"/>
      <c r="K1025" s="846"/>
      <c r="L1025" s="846"/>
      <c r="M1025" s="846"/>
      <c r="N1025" s="846"/>
      <c r="O1025" s="846"/>
      <c r="P1025" s="846"/>
      <c r="Q1025" s="846"/>
      <c r="R1025" s="846"/>
      <c r="S1025" s="846"/>
      <c r="T1025" s="846"/>
    </row>
    <row r="1026" spans="2:20" ht="51" hidden="1">
      <c r="B1026" s="828" t="s">
        <v>6529</v>
      </c>
      <c r="C1026" s="828">
        <v>91644</v>
      </c>
      <c r="D1026" s="630" t="s">
        <v>1708</v>
      </c>
      <c r="E1026" s="630" t="s">
        <v>902</v>
      </c>
      <c r="F1026" s="829">
        <v>367.98</v>
      </c>
      <c r="G1026" s="830">
        <v>0</v>
      </c>
      <c r="H1026" s="831">
        <v>367.98</v>
      </c>
      <c r="I1026" s="846"/>
      <c r="J1026" s="846"/>
      <c r="K1026" s="846"/>
      <c r="L1026" s="846"/>
      <c r="M1026" s="846"/>
      <c r="N1026" s="846"/>
      <c r="O1026" s="846"/>
      <c r="P1026" s="846"/>
      <c r="Q1026" s="846"/>
      <c r="R1026" s="846"/>
      <c r="S1026" s="846"/>
      <c r="T1026" s="846"/>
    </row>
    <row r="1027" spans="2:20" ht="25.5" hidden="1">
      <c r="B1027" s="828" t="s">
        <v>6529</v>
      </c>
      <c r="C1027" s="828">
        <v>91688</v>
      </c>
      <c r="D1027" s="630" t="s">
        <v>1616</v>
      </c>
      <c r="E1027" s="630" t="s">
        <v>902</v>
      </c>
      <c r="F1027" s="829">
        <v>0.08</v>
      </c>
      <c r="G1027" s="830">
        <v>0</v>
      </c>
      <c r="H1027" s="831">
        <v>0.08</v>
      </c>
      <c r="I1027" s="846"/>
      <c r="J1027" s="846"/>
      <c r="K1027" s="846"/>
      <c r="L1027" s="846"/>
      <c r="M1027" s="846"/>
      <c r="N1027" s="846"/>
      <c r="O1027" s="846"/>
      <c r="P1027" s="846"/>
      <c r="Q1027" s="846"/>
      <c r="R1027" s="846"/>
      <c r="S1027" s="846"/>
      <c r="T1027" s="846"/>
    </row>
    <row r="1028" spans="2:20" ht="25.5" hidden="1">
      <c r="B1028" s="828" t="s">
        <v>6529</v>
      </c>
      <c r="C1028" s="828">
        <v>91689</v>
      </c>
      <c r="D1028" s="630" t="s">
        <v>1617</v>
      </c>
      <c r="E1028" s="630" t="s">
        <v>902</v>
      </c>
      <c r="F1028" s="829">
        <v>0</v>
      </c>
      <c r="G1028" s="830">
        <v>0</v>
      </c>
      <c r="H1028" s="831">
        <v>0</v>
      </c>
      <c r="I1028" s="846"/>
      <c r="J1028" s="846"/>
      <c r="K1028" s="846"/>
      <c r="L1028" s="846"/>
      <c r="M1028" s="846"/>
      <c r="N1028" s="846"/>
      <c r="O1028" s="846"/>
      <c r="P1028" s="846"/>
      <c r="Q1028" s="846"/>
      <c r="R1028" s="846"/>
      <c r="S1028" s="846"/>
      <c r="T1028" s="846"/>
    </row>
    <row r="1029" spans="2:20" ht="25.5" hidden="1">
      <c r="B1029" s="828" t="s">
        <v>6529</v>
      </c>
      <c r="C1029" s="828">
        <v>91690</v>
      </c>
      <c r="D1029" s="630" t="s">
        <v>1618</v>
      </c>
      <c r="E1029" s="630" t="s">
        <v>902</v>
      </c>
      <c r="F1029" s="829">
        <v>0.05</v>
      </c>
      <c r="G1029" s="830">
        <v>0</v>
      </c>
      <c r="H1029" s="831">
        <v>0.05</v>
      </c>
      <c r="I1029" s="846"/>
      <c r="J1029" s="846"/>
      <c r="K1029" s="846"/>
      <c r="L1029" s="846"/>
      <c r="M1029" s="846"/>
      <c r="N1029" s="846"/>
      <c r="O1029" s="846"/>
      <c r="P1029" s="846"/>
      <c r="Q1029" s="846"/>
      <c r="R1029" s="846"/>
      <c r="S1029" s="846"/>
      <c r="T1029" s="846"/>
    </row>
    <row r="1030" spans="2:20" ht="25.5" hidden="1">
      <c r="B1030" s="828" t="s">
        <v>6529</v>
      </c>
      <c r="C1030" s="828">
        <v>91691</v>
      </c>
      <c r="D1030" s="630" t="s">
        <v>1619</v>
      </c>
      <c r="E1030" s="630" t="s">
        <v>902</v>
      </c>
      <c r="F1030" s="829">
        <v>1.1399999999999999</v>
      </c>
      <c r="G1030" s="830">
        <v>0</v>
      </c>
      <c r="H1030" s="831">
        <v>1.1399999999999999</v>
      </c>
      <c r="I1030" s="846"/>
      <c r="J1030" s="846"/>
      <c r="K1030" s="846"/>
      <c r="L1030" s="846"/>
      <c r="M1030" s="846"/>
      <c r="N1030" s="846"/>
      <c r="O1030" s="846"/>
      <c r="P1030" s="846"/>
      <c r="Q1030" s="846"/>
      <c r="R1030" s="846"/>
      <c r="S1030" s="846"/>
      <c r="T1030" s="846"/>
    </row>
    <row r="1031" spans="2:20" ht="25.5" hidden="1">
      <c r="B1031" s="828" t="s">
        <v>6529</v>
      </c>
      <c r="C1031" s="828">
        <v>92040</v>
      </c>
      <c r="D1031" s="630" t="s">
        <v>1801</v>
      </c>
      <c r="E1031" s="630" t="s">
        <v>902</v>
      </c>
      <c r="F1031" s="829">
        <v>6.87</v>
      </c>
      <c r="G1031" s="830">
        <v>0</v>
      </c>
      <c r="H1031" s="831">
        <v>6.87</v>
      </c>
      <c r="I1031" s="846"/>
      <c r="J1031" s="846"/>
      <c r="K1031" s="846"/>
      <c r="L1031" s="846"/>
      <c r="M1031" s="846"/>
      <c r="N1031" s="846"/>
      <c r="O1031" s="846"/>
      <c r="P1031" s="846"/>
      <c r="Q1031" s="846"/>
      <c r="R1031" s="846"/>
      <c r="S1031" s="846"/>
      <c r="T1031" s="846"/>
    </row>
    <row r="1032" spans="2:20" ht="25.5" hidden="1">
      <c r="B1032" s="828" t="s">
        <v>6529</v>
      </c>
      <c r="C1032" s="828">
        <v>92041</v>
      </c>
      <c r="D1032" s="630" t="s">
        <v>1802</v>
      </c>
      <c r="E1032" s="630" t="s">
        <v>902</v>
      </c>
      <c r="F1032" s="829">
        <v>0.72</v>
      </c>
      <c r="G1032" s="830">
        <v>0</v>
      </c>
      <c r="H1032" s="831">
        <v>0.72</v>
      </c>
      <c r="I1032" s="846"/>
      <c r="J1032" s="846"/>
      <c r="K1032" s="846"/>
      <c r="L1032" s="846"/>
      <c r="M1032" s="846"/>
      <c r="N1032" s="846"/>
      <c r="O1032" s="846"/>
      <c r="P1032" s="846"/>
      <c r="Q1032" s="846"/>
      <c r="R1032" s="846"/>
      <c r="S1032" s="846"/>
      <c r="T1032" s="846"/>
    </row>
    <row r="1033" spans="2:20" ht="25.5" hidden="1">
      <c r="B1033" s="828" t="s">
        <v>6529</v>
      </c>
      <c r="C1033" s="828">
        <v>92042</v>
      </c>
      <c r="D1033" s="630" t="s">
        <v>1803</v>
      </c>
      <c r="E1033" s="630" t="s">
        <v>902</v>
      </c>
      <c r="F1033" s="829">
        <v>5.72</v>
      </c>
      <c r="G1033" s="830">
        <v>0</v>
      </c>
      <c r="H1033" s="831">
        <v>5.72</v>
      </c>
      <c r="I1033" s="846"/>
      <c r="J1033" s="846"/>
      <c r="K1033" s="846"/>
      <c r="L1033" s="846"/>
      <c r="M1033" s="846"/>
      <c r="N1033" s="846"/>
      <c r="O1033" s="846"/>
      <c r="P1033" s="846"/>
      <c r="Q1033" s="846"/>
      <c r="R1033" s="846"/>
      <c r="S1033" s="846"/>
      <c r="T1033" s="846"/>
    </row>
    <row r="1034" spans="2:20" ht="51" hidden="1">
      <c r="B1034" s="828" t="s">
        <v>6529</v>
      </c>
      <c r="C1034" s="828">
        <v>92101</v>
      </c>
      <c r="D1034" s="630" t="s">
        <v>1716</v>
      </c>
      <c r="E1034" s="630" t="s">
        <v>902</v>
      </c>
      <c r="F1034" s="829">
        <v>33.950000000000003</v>
      </c>
      <c r="G1034" s="830">
        <v>0</v>
      </c>
      <c r="H1034" s="831">
        <v>33.950000000000003</v>
      </c>
      <c r="I1034" s="846"/>
      <c r="J1034" s="846"/>
      <c r="K1034" s="846"/>
      <c r="L1034" s="846"/>
      <c r="M1034" s="846"/>
      <c r="N1034" s="846"/>
      <c r="O1034" s="846"/>
      <c r="P1034" s="846"/>
      <c r="Q1034" s="846"/>
      <c r="R1034" s="846"/>
      <c r="S1034" s="846"/>
      <c r="T1034" s="846"/>
    </row>
    <row r="1035" spans="2:20" ht="51" hidden="1">
      <c r="B1035" s="828" t="s">
        <v>6529</v>
      </c>
      <c r="C1035" s="828">
        <v>92102</v>
      </c>
      <c r="D1035" s="630" t="s">
        <v>1717</v>
      </c>
      <c r="E1035" s="630" t="s">
        <v>902</v>
      </c>
      <c r="F1035" s="829">
        <v>6.07</v>
      </c>
      <c r="G1035" s="830">
        <v>0</v>
      </c>
      <c r="H1035" s="831">
        <v>6.07</v>
      </c>
      <c r="I1035" s="846"/>
      <c r="J1035" s="846"/>
      <c r="K1035" s="846"/>
      <c r="L1035" s="846"/>
      <c r="M1035" s="846"/>
      <c r="N1035" s="846"/>
      <c r="O1035" s="846"/>
      <c r="P1035" s="846"/>
      <c r="Q1035" s="846"/>
      <c r="R1035" s="846"/>
      <c r="S1035" s="846"/>
      <c r="T1035" s="846"/>
    </row>
    <row r="1036" spans="2:20" ht="51" hidden="1">
      <c r="B1036" s="828" t="s">
        <v>6529</v>
      </c>
      <c r="C1036" s="828">
        <v>92103</v>
      </c>
      <c r="D1036" s="630" t="s">
        <v>1718</v>
      </c>
      <c r="E1036" s="630" t="s">
        <v>902</v>
      </c>
      <c r="F1036" s="829">
        <v>4.82</v>
      </c>
      <c r="G1036" s="830">
        <v>0</v>
      </c>
      <c r="H1036" s="831">
        <v>4.82</v>
      </c>
      <c r="I1036" s="846"/>
      <c r="J1036" s="846"/>
      <c r="K1036" s="846"/>
      <c r="L1036" s="846"/>
      <c r="M1036" s="846"/>
      <c r="N1036" s="846"/>
      <c r="O1036" s="846"/>
      <c r="P1036" s="846"/>
      <c r="Q1036" s="846"/>
      <c r="R1036" s="846"/>
      <c r="S1036" s="846"/>
      <c r="T1036" s="846"/>
    </row>
    <row r="1037" spans="2:20" ht="51" hidden="1">
      <c r="B1037" s="828" t="s">
        <v>6529</v>
      </c>
      <c r="C1037" s="828">
        <v>92104</v>
      </c>
      <c r="D1037" s="630" t="s">
        <v>1719</v>
      </c>
      <c r="E1037" s="630" t="s">
        <v>902</v>
      </c>
      <c r="F1037" s="829">
        <v>55.23</v>
      </c>
      <c r="G1037" s="830">
        <v>0</v>
      </c>
      <c r="H1037" s="831">
        <v>55.23</v>
      </c>
      <c r="I1037" s="846"/>
      <c r="J1037" s="846"/>
      <c r="K1037" s="846"/>
      <c r="L1037" s="846"/>
      <c r="M1037" s="846"/>
      <c r="N1037" s="846"/>
      <c r="O1037" s="846"/>
      <c r="P1037" s="846"/>
      <c r="Q1037" s="846"/>
      <c r="R1037" s="846"/>
      <c r="S1037" s="846"/>
      <c r="T1037" s="846"/>
    </row>
    <row r="1038" spans="2:20" ht="51" hidden="1">
      <c r="B1038" s="828" t="s">
        <v>6529</v>
      </c>
      <c r="C1038" s="828">
        <v>92105</v>
      </c>
      <c r="D1038" s="630" t="s">
        <v>3052</v>
      </c>
      <c r="E1038" s="630" t="s">
        <v>902</v>
      </c>
      <c r="F1038" s="829">
        <v>235.08</v>
      </c>
      <c r="G1038" s="830">
        <v>0</v>
      </c>
      <c r="H1038" s="831">
        <v>235.08</v>
      </c>
      <c r="I1038" s="846"/>
      <c r="J1038" s="846"/>
      <c r="K1038" s="846"/>
      <c r="L1038" s="846"/>
      <c r="M1038" s="846"/>
      <c r="N1038" s="846"/>
      <c r="O1038" s="846"/>
      <c r="P1038" s="846"/>
      <c r="Q1038" s="846"/>
      <c r="R1038" s="846"/>
      <c r="S1038" s="846"/>
      <c r="T1038" s="846"/>
    </row>
    <row r="1039" spans="2:20" ht="25.5" hidden="1">
      <c r="B1039" s="828" t="s">
        <v>6529</v>
      </c>
      <c r="C1039" s="828">
        <v>92108</v>
      </c>
      <c r="D1039" s="630" t="s">
        <v>1747</v>
      </c>
      <c r="E1039" s="630" t="s">
        <v>902</v>
      </c>
      <c r="F1039" s="829">
        <v>0.89</v>
      </c>
      <c r="G1039" s="830">
        <v>0</v>
      </c>
      <c r="H1039" s="831">
        <v>0.89</v>
      </c>
      <c r="I1039" s="846"/>
      <c r="J1039" s="846"/>
      <c r="K1039" s="846"/>
      <c r="L1039" s="846"/>
      <c r="M1039" s="846"/>
      <c r="N1039" s="846"/>
      <c r="O1039" s="846"/>
      <c r="P1039" s="846"/>
      <c r="Q1039" s="846"/>
      <c r="R1039" s="846"/>
      <c r="S1039" s="846"/>
      <c r="T1039" s="846"/>
    </row>
    <row r="1040" spans="2:20" ht="25.5" hidden="1">
      <c r="B1040" s="828" t="s">
        <v>6529</v>
      </c>
      <c r="C1040" s="828">
        <v>92109</v>
      </c>
      <c r="D1040" s="630" t="s">
        <v>1748</v>
      </c>
      <c r="E1040" s="630" t="s">
        <v>902</v>
      </c>
      <c r="F1040" s="829">
        <v>0.1</v>
      </c>
      <c r="G1040" s="830">
        <v>0</v>
      </c>
      <c r="H1040" s="831">
        <v>0.1</v>
      </c>
      <c r="I1040" s="846"/>
      <c r="J1040" s="846"/>
      <c r="K1040" s="846"/>
      <c r="L1040" s="846"/>
      <c r="M1040" s="846"/>
      <c r="N1040" s="846"/>
      <c r="O1040" s="846"/>
      <c r="P1040" s="846"/>
      <c r="Q1040" s="846"/>
      <c r="R1040" s="846"/>
      <c r="S1040" s="846"/>
      <c r="T1040" s="846"/>
    </row>
    <row r="1041" spans="2:20" ht="25.5" hidden="1">
      <c r="B1041" s="828" t="s">
        <v>6529</v>
      </c>
      <c r="C1041" s="828">
        <v>92110</v>
      </c>
      <c r="D1041" s="630" t="s">
        <v>1749</v>
      </c>
      <c r="E1041" s="630" t="s">
        <v>902</v>
      </c>
      <c r="F1041" s="829">
        <v>0.7</v>
      </c>
      <c r="G1041" s="830">
        <v>0</v>
      </c>
      <c r="H1041" s="831">
        <v>0.7</v>
      </c>
      <c r="I1041" s="846"/>
      <c r="J1041" s="846"/>
      <c r="K1041" s="846"/>
      <c r="L1041" s="846"/>
      <c r="M1041" s="846"/>
      <c r="N1041" s="846"/>
      <c r="O1041" s="846"/>
      <c r="P1041" s="846"/>
      <c r="Q1041" s="846"/>
      <c r="R1041" s="846"/>
      <c r="S1041" s="846"/>
      <c r="T1041" s="846"/>
    </row>
    <row r="1042" spans="2:20" ht="38.25" hidden="1">
      <c r="B1042" s="828" t="s">
        <v>6529</v>
      </c>
      <c r="C1042" s="828">
        <v>92111</v>
      </c>
      <c r="D1042" s="630" t="s">
        <v>1750</v>
      </c>
      <c r="E1042" s="630" t="s">
        <v>902</v>
      </c>
      <c r="F1042" s="829">
        <v>1.05</v>
      </c>
      <c r="G1042" s="830">
        <v>0</v>
      </c>
      <c r="H1042" s="831">
        <v>1.05</v>
      </c>
      <c r="I1042" s="846"/>
      <c r="J1042" s="846"/>
      <c r="K1042" s="846"/>
      <c r="L1042" s="846"/>
      <c r="M1042" s="846"/>
      <c r="N1042" s="846"/>
      <c r="O1042" s="846"/>
      <c r="P1042" s="846"/>
      <c r="Q1042" s="846"/>
      <c r="R1042" s="846"/>
      <c r="S1042" s="846"/>
      <c r="T1042" s="846"/>
    </row>
    <row r="1043" spans="2:20" ht="25.5" hidden="1">
      <c r="B1043" s="828" t="s">
        <v>6529</v>
      </c>
      <c r="C1043" s="828">
        <v>92114</v>
      </c>
      <c r="D1043" s="630" t="s">
        <v>2044</v>
      </c>
      <c r="E1043" s="630" t="s">
        <v>902</v>
      </c>
      <c r="F1043" s="829">
        <v>0.1</v>
      </c>
      <c r="G1043" s="830">
        <v>0</v>
      </c>
      <c r="H1043" s="831">
        <v>0.1</v>
      </c>
      <c r="I1043" s="846"/>
      <c r="J1043" s="846"/>
      <c r="K1043" s="846"/>
      <c r="L1043" s="846"/>
      <c r="M1043" s="846"/>
      <c r="N1043" s="846"/>
      <c r="O1043" s="846"/>
      <c r="P1043" s="846"/>
      <c r="Q1043" s="846"/>
      <c r="R1043" s="846"/>
      <c r="S1043" s="846"/>
      <c r="T1043" s="846"/>
    </row>
    <row r="1044" spans="2:20" hidden="1">
      <c r="B1044" s="828" t="s">
        <v>6529</v>
      </c>
      <c r="C1044" s="828">
        <v>92115</v>
      </c>
      <c r="D1044" s="630" t="s">
        <v>2045</v>
      </c>
      <c r="E1044" s="630" t="s">
        <v>902</v>
      </c>
      <c r="F1044" s="829">
        <v>0.01</v>
      </c>
      <c r="G1044" s="830">
        <v>0</v>
      </c>
      <c r="H1044" s="831">
        <v>0.01</v>
      </c>
      <c r="I1044" s="846"/>
      <c r="J1044" s="846"/>
      <c r="K1044" s="846"/>
      <c r="L1044" s="846"/>
      <c r="M1044" s="846"/>
      <c r="N1044" s="846"/>
      <c r="O1044" s="846"/>
      <c r="P1044" s="846"/>
      <c r="Q1044" s="846"/>
      <c r="R1044" s="846"/>
      <c r="S1044" s="846"/>
      <c r="T1044" s="846"/>
    </row>
    <row r="1045" spans="2:20" ht="25.5" hidden="1">
      <c r="B1045" s="828" t="s">
        <v>6529</v>
      </c>
      <c r="C1045" s="828">
        <v>92116</v>
      </c>
      <c r="D1045" s="630" t="s">
        <v>2046</v>
      </c>
      <c r="E1045" s="630" t="s">
        <v>902</v>
      </c>
      <c r="F1045" s="829">
        <v>0.12</v>
      </c>
      <c r="G1045" s="830">
        <v>0</v>
      </c>
      <c r="H1045" s="831">
        <v>0.12</v>
      </c>
      <c r="I1045" s="846"/>
      <c r="J1045" s="846"/>
      <c r="K1045" s="846"/>
      <c r="L1045" s="846"/>
      <c r="M1045" s="846"/>
      <c r="N1045" s="846"/>
      <c r="O1045" s="846"/>
      <c r="P1045" s="846"/>
      <c r="Q1045" s="846"/>
      <c r="R1045" s="846"/>
      <c r="S1045" s="846"/>
      <c r="T1045" s="846"/>
    </row>
    <row r="1046" spans="2:20" ht="25.5" hidden="1">
      <c r="B1046" s="828" t="s">
        <v>6529</v>
      </c>
      <c r="C1046" s="828">
        <v>92133</v>
      </c>
      <c r="D1046" s="630" t="s">
        <v>2186</v>
      </c>
      <c r="E1046" s="630" t="s">
        <v>902</v>
      </c>
      <c r="F1046" s="829">
        <v>12.14</v>
      </c>
      <c r="G1046" s="830">
        <v>0</v>
      </c>
      <c r="H1046" s="831">
        <v>12.14</v>
      </c>
      <c r="I1046" s="846"/>
      <c r="J1046" s="846"/>
      <c r="K1046" s="846"/>
      <c r="L1046" s="846"/>
      <c r="M1046" s="846"/>
      <c r="N1046" s="846"/>
      <c r="O1046" s="846"/>
      <c r="P1046" s="846"/>
      <c r="Q1046" s="846"/>
      <c r="R1046" s="846"/>
      <c r="S1046" s="846"/>
      <c r="T1046" s="846"/>
    </row>
    <row r="1047" spans="2:20" ht="25.5" hidden="1">
      <c r="B1047" s="828" t="s">
        <v>6529</v>
      </c>
      <c r="C1047" s="828">
        <v>92134</v>
      </c>
      <c r="D1047" s="630" t="s">
        <v>2187</v>
      </c>
      <c r="E1047" s="630" t="s">
        <v>902</v>
      </c>
      <c r="F1047" s="829">
        <v>1.92</v>
      </c>
      <c r="G1047" s="830">
        <v>0</v>
      </c>
      <c r="H1047" s="831">
        <v>1.92</v>
      </c>
      <c r="I1047" s="846"/>
      <c r="J1047" s="846"/>
      <c r="K1047" s="846"/>
      <c r="L1047" s="846"/>
      <c r="M1047" s="846"/>
      <c r="N1047" s="846"/>
      <c r="O1047" s="846"/>
      <c r="P1047" s="846"/>
      <c r="Q1047" s="846"/>
      <c r="R1047" s="846"/>
      <c r="S1047" s="846"/>
      <c r="T1047" s="846"/>
    </row>
    <row r="1048" spans="2:20" ht="25.5" hidden="1">
      <c r="B1048" s="828" t="s">
        <v>6529</v>
      </c>
      <c r="C1048" s="828">
        <v>92135</v>
      </c>
      <c r="D1048" s="630" t="s">
        <v>2188</v>
      </c>
      <c r="E1048" s="630" t="s">
        <v>902</v>
      </c>
      <c r="F1048" s="829">
        <v>1.51</v>
      </c>
      <c r="G1048" s="830">
        <v>0</v>
      </c>
      <c r="H1048" s="831">
        <v>1.51</v>
      </c>
      <c r="I1048" s="846"/>
      <c r="J1048" s="846"/>
      <c r="K1048" s="846"/>
      <c r="L1048" s="846"/>
      <c r="M1048" s="846"/>
      <c r="N1048" s="846"/>
      <c r="O1048" s="846"/>
      <c r="P1048" s="846"/>
      <c r="Q1048" s="846"/>
      <c r="R1048" s="846"/>
      <c r="S1048" s="846"/>
      <c r="T1048" s="846"/>
    </row>
    <row r="1049" spans="2:20" ht="25.5" hidden="1">
      <c r="B1049" s="828" t="s">
        <v>6529</v>
      </c>
      <c r="C1049" s="828">
        <v>92136</v>
      </c>
      <c r="D1049" s="630" t="s">
        <v>2189</v>
      </c>
      <c r="E1049" s="630" t="s">
        <v>902</v>
      </c>
      <c r="F1049" s="829">
        <v>15.18</v>
      </c>
      <c r="G1049" s="830">
        <v>0</v>
      </c>
      <c r="H1049" s="831">
        <v>15.18</v>
      </c>
      <c r="I1049" s="846"/>
      <c r="J1049" s="846"/>
      <c r="K1049" s="846"/>
      <c r="L1049" s="846"/>
      <c r="M1049" s="846"/>
      <c r="N1049" s="846"/>
      <c r="O1049" s="846"/>
      <c r="P1049" s="846"/>
      <c r="Q1049" s="846"/>
      <c r="R1049" s="846"/>
      <c r="S1049" s="846"/>
      <c r="T1049" s="846"/>
    </row>
    <row r="1050" spans="2:20" ht="25.5" hidden="1">
      <c r="B1050" s="828" t="s">
        <v>6529</v>
      </c>
      <c r="C1050" s="828">
        <v>92137</v>
      </c>
      <c r="D1050" s="630" t="s">
        <v>2190</v>
      </c>
      <c r="E1050" s="630" t="s">
        <v>902</v>
      </c>
      <c r="F1050" s="829">
        <v>43.05</v>
      </c>
      <c r="G1050" s="830">
        <v>0</v>
      </c>
      <c r="H1050" s="831">
        <v>43.05</v>
      </c>
      <c r="I1050" s="846"/>
      <c r="J1050" s="846"/>
      <c r="K1050" s="846"/>
      <c r="L1050" s="846"/>
      <c r="M1050" s="846"/>
      <c r="N1050" s="846"/>
      <c r="O1050" s="846"/>
      <c r="P1050" s="846"/>
      <c r="Q1050" s="846"/>
      <c r="R1050" s="846"/>
      <c r="S1050" s="846"/>
      <c r="T1050" s="846"/>
    </row>
    <row r="1051" spans="2:20" ht="25.5" hidden="1">
      <c r="B1051" s="828" t="s">
        <v>6529</v>
      </c>
      <c r="C1051" s="828">
        <v>92140</v>
      </c>
      <c r="D1051" s="630" t="s">
        <v>2191</v>
      </c>
      <c r="E1051" s="630" t="s">
        <v>902</v>
      </c>
      <c r="F1051" s="829">
        <v>4.45</v>
      </c>
      <c r="G1051" s="830">
        <v>0</v>
      </c>
      <c r="H1051" s="831">
        <v>4.45</v>
      </c>
      <c r="I1051" s="846"/>
      <c r="J1051" s="846"/>
      <c r="K1051" s="846"/>
      <c r="L1051" s="846"/>
      <c r="M1051" s="846"/>
      <c r="N1051" s="846"/>
      <c r="O1051" s="846"/>
      <c r="P1051" s="846"/>
      <c r="Q1051" s="846"/>
      <c r="R1051" s="846"/>
      <c r="S1051" s="846"/>
      <c r="T1051" s="846"/>
    </row>
    <row r="1052" spans="2:20" ht="25.5" hidden="1">
      <c r="B1052" s="828" t="s">
        <v>6529</v>
      </c>
      <c r="C1052" s="828">
        <v>92141</v>
      </c>
      <c r="D1052" s="630" t="s">
        <v>2192</v>
      </c>
      <c r="E1052" s="630" t="s">
        <v>902</v>
      </c>
      <c r="F1052" s="829">
        <v>0.7</v>
      </c>
      <c r="G1052" s="830">
        <v>0</v>
      </c>
      <c r="H1052" s="831">
        <v>0.7</v>
      </c>
      <c r="I1052" s="846"/>
      <c r="J1052" s="846"/>
      <c r="K1052" s="846"/>
      <c r="L1052" s="846"/>
      <c r="M1052" s="846"/>
      <c r="N1052" s="846"/>
      <c r="O1052" s="846"/>
      <c r="P1052" s="846"/>
      <c r="Q1052" s="846"/>
      <c r="R1052" s="846"/>
      <c r="S1052" s="846"/>
      <c r="T1052" s="846"/>
    </row>
    <row r="1053" spans="2:20" ht="25.5" hidden="1">
      <c r="B1053" s="828" t="s">
        <v>6529</v>
      </c>
      <c r="C1053" s="828">
        <v>92142</v>
      </c>
      <c r="D1053" s="630" t="s">
        <v>2193</v>
      </c>
      <c r="E1053" s="630" t="s">
        <v>902</v>
      </c>
      <c r="F1053" s="829">
        <v>0.55000000000000004</v>
      </c>
      <c r="G1053" s="830">
        <v>0</v>
      </c>
      <c r="H1053" s="831">
        <v>0.55000000000000004</v>
      </c>
      <c r="I1053" s="846"/>
      <c r="J1053" s="846"/>
      <c r="K1053" s="846"/>
      <c r="L1053" s="846"/>
      <c r="M1053" s="846"/>
      <c r="N1053" s="846"/>
      <c r="O1053" s="846"/>
      <c r="P1053" s="846"/>
      <c r="Q1053" s="846"/>
      <c r="R1053" s="846"/>
      <c r="S1053" s="846"/>
      <c r="T1053" s="846"/>
    </row>
    <row r="1054" spans="2:20" ht="25.5" hidden="1">
      <c r="B1054" s="828" t="s">
        <v>6529</v>
      </c>
      <c r="C1054" s="828">
        <v>92143</v>
      </c>
      <c r="D1054" s="630" t="s">
        <v>2194</v>
      </c>
      <c r="E1054" s="630" t="s">
        <v>902</v>
      </c>
      <c r="F1054" s="829">
        <v>5.56</v>
      </c>
      <c r="G1054" s="830">
        <v>0</v>
      </c>
      <c r="H1054" s="831">
        <v>5.56</v>
      </c>
      <c r="I1054" s="846"/>
      <c r="J1054" s="846"/>
      <c r="K1054" s="846"/>
      <c r="L1054" s="846"/>
      <c r="M1054" s="846"/>
      <c r="N1054" s="846"/>
      <c r="O1054" s="846"/>
      <c r="P1054" s="846"/>
      <c r="Q1054" s="846"/>
      <c r="R1054" s="846"/>
      <c r="S1054" s="846"/>
      <c r="T1054" s="846"/>
    </row>
    <row r="1055" spans="2:20" ht="25.5" hidden="1">
      <c r="B1055" s="828" t="s">
        <v>6529</v>
      </c>
      <c r="C1055" s="828">
        <v>92144</v>
      </c>
      <c r="D1055" s="630" t="s">
        <v>2195</v>
      </c>
      <c r="E1055" s="630" t="s">
        <v>902</v>
      </c>
      <c r="F1055" s="829">
        <v>39.270000000000003</v>
      </c>
      <c r="G1055" s="830">
        <v>0</v>
      </c>
      <c r="H1055" s="831">
        <v>39.270000000000003</v>
      </c>
      <c r="I1055" s="846"/>
      <c r="J1055" s="846"/>
      <c r="K1055" s="846"/>
      <c r="L1055" s="846"/>
      <c r="M1055" s="846"/>
      <c r="N1055" s="846"/>
      <c r="O1055" s="846"/>
      <c r="P1055" s="846"/>
      <c r="Q1055" s="846"/>
      <c r="R1055" s="846"/>
      <c r="S1055" s="846"/>
      <c r="T1055" s="846"/>
    </row>
    <row r="1056" spans="2:20" ht="51" hidden="1">
      <c r="B1056" s="828" t="s">
        <v>6529</v>
      </c>
      <c r="C1056" s="828">
        <v>92237</v>
      </c>
      <c r="D1056" s="630" t="s">
        <v>1720</v>
      </c>
      <c r="E1056" s="630" t="s">
        <v>902</v>
      </c>
      <c r="F1056" s="829">
        <v>21.79</v>
      </c>
      <c r="G1056" s="830">
        <v>0</v>
      </c>
      <c r="H1056" s="831">
        <v>21.79</v>
      </c>
      <c r="I1056" s="846"/>
      <c r="J1056" s="846"/>
      <c r="K1056" s="846"/>
      <c r="L1056" s="846"/>
      <c r="M1056" s="846"/>
      <c r="N1056" s="846"/>
      <c r="O1056" s="846"/>
      <c r="P1056" s="846"/>
      <c r="Q1056" s="846"/>
      <c r="R1056" s="846"/>
      <c r="S1056" s="846"/>
      <c r="T1056" s="846"/>
    </row>
    <row r="1057" spans="2:20" ht="51" hidden="1">
      <c r="B1057" s="828" t="s">
        <v>6529</v>
      </c>
      <c r="C1057" s="828">
        <v>92238</v>
      </c>
      <c r="D1057" s="630" t="s">
        <v>2002</v>
      </c>
      <c r="E1057" s="630" t="s">
        <v>902</v>
      </c>
      <c r="F1057" s="829">
        <v>4.43</v>
      </c>
      <c r="G1057" s="830">
        <v>0</v>
      </c>
      <c r="H1057" s="831">
        <v>4.43</v>
      </c>
      <c r="I1057" s="846"/>
      <c r="J1057" s="846"/>
      <c r="K1057" s="846"/>
      <c r="L1057" s="846"/>
      <c r="M1057" s="846"/>
      <c r="N1057" s="846"/>
      <c r="O1057" s="846"/>
      <c r="P1057" s="846"/>
      <c r="Q1057" s="846"/>
      <c r="R1057" s="846"/>
      <c r="S1057" s="846"/>
      <c r="T1057" s="846"/>
    </row>
    <row r="1058" spans="2:20" ht="51" hidden="1">
      <c r="B1058" s="828" t="s">
        <v>6529</v>
      </c>
      <c r="C1058" s="828">
        <v>92239</v>
      </c>
      <c r="D1058" s="630" t="s">
        <v>2003</v>
      </c>
      <c r="E1058" s="630" t="s">
        <v>902</v>
      </c>
      <c r="F1058" s="829">
        <v>3.51</v>
      </c>
      <c r="G1058" s="830">
        <v>0</v>
      </c>
      <c r="H1058" s="831">
        <v>3.51</v>
      </c>
      <c r="I1058" s="846"/>
      <c r="J1058" s="846"/>
      <c r="K1058" s="846"/>
      <c r="L1058" s="846"/>
      <c r="M1058" s="846"/>
      <c r="N1058" s="846"/>
      <c r="O1058" s="846"/>
      <c r="P1058" s="846"/>
      <c r="Q1058" s="846"/>
      <c r="R1058" s="846"/>
      <c r="S1058" s="846"/>
      <c r="T1058" s="846"/>
    </row>
    <row r="1059" spans="2:20" ht="51" hidden="1">
      <c r="B1059" s="828" t="s">
        <v>6529</v>
      </c>
      <c r="C1059" s="828">
        <v>92240</v>
      </c>
      <c r="D1059" s="630" t="s">
        <v>2004</v>
      </c>
      <c r="E1059" s="630" t="s">
        <v>902</v>
      </c>
      <c r="F1059" s="829">
        <v>38.51</v>
      </c>
      <c r="G1059" s="830">
        <v>0</v>
      </c>
      <c r="H1059" s="831">
        <v>38.51</v>
      </c>
      <c r="I1059" s="846"/>
      <c r="J1059" s="846"/>
      <c r="K1059" s="846"/>
      <c r="L1059" s="846"/>
      <c r="M1059" s="846"/>
      <c r="N1059" s="846"/>
      <c r="O1059" s="846"/>
      <c r="P1059" s="846"/>
      <c r="Q1059" s="846"/>
      <c r="R1059" s="846"/>
      <c r="S1059" s="846"/>
      <c r="T1059" s="846"/>
    </row>
    <row r="1060" spans="2:20" ht="51" hidden="1">
      <c r="B1060" s="828" t="s">
        <v>6529</v>
      </c>
      <c r="C1060" s="828">
        <v>92241</v>
      </c>
      <c r="D1060" s="630" t="s">
        <v>2005</v>
      </c>
      <c r="E1060" s="630" t="s">
        <v>902</v>
      </c>
      <c r="F1060" s="829">
        <v>337.35</v>
      </c>
      <c r="G1060" s="830">
        <v>0</v>
      </c>
      <c r="H1060" s="831">
        <v>337.35</v>
      </c>
      <c r="I1060" s="846"/>
      <c r="J1060" s="846"/>
      <c r="K1060" s="846"/>
      <c r="L1060" s="846"/>
      <c r="M1060" s="846"/>
      <c r="N1060" s="846"/>
      <c r="O1060" s="846"/>
      <c r="P1060" s="846"/>
      <c r="Q1060" s="846"/>
      <c r="R1060" s="846"/>
      <c r="S1060" s="846"/>
      <c r="T1060" s="846"/>
    </row>
    <row r="1061" spans="2:20" ht="25.5" hidden="1">
      <c r="B1061" s="828" t="s">
        <v>6529</v>
      </c>
      <c r="C1061" s="828">
        <v>92712</v>
      </c>
      <c r="D1061" s="630" t="s">
        <v>1873</v>
      </c>
      <c r="E1061" s="630" t="s">
        <v>902</v>
      </c>
      <c r="F1061" s="829">
        <v>0.18</v>
      </c>
      <c r="G1061" s="830">
        <v>0</v>
      </c>
      <c r="H1061" s="831">
        <v>0.18</v>
      </c>
      <c r="I1061" s="846"/>
      <c r="J1061" s="846"/>
      <c r="K1061" s="846"/>
      <c r="L1061" s="846"/>
      <c r="M1061" s="846"/>
      <c r="N1061" s="846"/>
      <c r="O1061" s="846"/>
      <c r="P1061" s="846"/>
      <c r="Q1061" s="846"/>
      <c r="R1061" s="846"/>
      <c r="S1061" s="846"/>
      <c r="T1061" s="846"/>
    </row>
    <row r="1062" spans="2:20" ht="25.5" hidden="1">
      <c r="B1062" s="828" t="s">
        <v>6529</v>
      </c>
      <c r="C1062" s="828">
        <v>92713</v>
      </c>
      <c r="D1062" s="630" t="s">
        <v>1874</v>
      </c>
      <c r="E1062" s="630" t="s">
        <v>902</v>
      </c>
      <c r="F1062" s="829">
        <v>0.02</v>
      </c>
      <c r="G1062" s="830">
        <v>0</v>
      </c>
      <c r="H1062" s="831">
        <v>0.02</v>
      </c>
      <c r="I1062" s="846"/>
      <c r="J1062" s="846"/>
      <c r="K1062" s="846"/>
      <c r="L1062" s="846"/>
      <c r="M1062" s="846"/>
      <c r="N1062" s="846"/>
      <c r="O1062" s="846"/>
      <c r="P1062" s="846"/>
      <c r="Q1062" s="846"/>
      <c r="R1062" s="846"/>
      <c r="S1062" s="846"/>
      <c r="T1062" s="846"/>
    </row>
    <row r="1063" spans="2:20" ht="25.5" hidden="1">
      <c r="B1063" s="828" t="s">
        <v>6529</v>
      </c>
      <c r="C1063" s="828">
        <v>92714</v>
      </c>
      <c r="D1063" s="630" t="s">
        <v>1875</v>
      </c>
      <c r="E1063" s="630" t="s">
        <v>902</v>
      </c>
      <c r="F1063" s="829">
        <v>0.22</v>
      </c>
      <c r="G1063" s="830">
        <v>0</v>
      </c>
      <c r="H1063" s="831">
        <v>0.22</v>
      </c>
      <c r="I1063" s="846"/>
      <c r="J1063" s="846"/>
      <c r="K1063" s="846"/>
      <c r="L1063" s="846"/>
      <c r="M1063" s="846"/>
      <c r="N1063" s="846"/>
      <c r="O1063" s="846"/>
      <c r="P1063" s="846"/>
      <c r="Q1063" s="846"/>
      <c r="R1063" s="846"/>
      <c r="S1063" s="846"/>
      <c r="T1063" s="846"/>
    </row>
    <row r="1064" spans="2:20" ht="25.5" hidden="1">
      <c r="B1064" s="828" t="s">
        <v>6529</v>
      </c>
      <c r="C1064" s="828">
        <v>92715</v>
      </c>
      <c r="D1064" s="630" t="s">
        <v>1876</v>
      </c>
      <c r="E1064" s="630" t="s">
        <v>902</v>
      </c>
      <c r="F1064" s="829">
        <v>22.08</v>
      </c>
      <c r="G1064" s="830">
        <v>0</v>
      </c>
      <c r="H1064" s="831">
        <v>22.08</v>
      </c>
      <c r="I1064" s="846"/>
      <c r="J1064" s="846"/>
      <c r="K1064" s="846"/>
      <c r="L1064" s="846"/>
      <c r="M1064" s="846"/>
      <c r="N1064" s="846"/>
      <c r="O1064" s="846"/>
      <c r="P1064" s="846"/>
      <c r="Q1064" s="846"/>
      <c r="R1064" s="846"/>
      <c r="S1064" s="846"/>
      <c r="T1064" s="846"/>
    </row>
    <row r="1065" spans="2:20" ht="25.5" hidden="1">
      <c r="B1065" s="828" t="s">
        <v>6529</v>
      </c>
      <c r="C1065" s="828">
        <v>92956</v>
      </c>
      <c r="D1065" s="630" t="s">
        <v>1576</v>
      </c>
      <c r="E1065" s="630" t="s">
        <v>902</v>
      </c>
      <c r="F1065" s="829">
        <v>4.51</v>
      </c>
      <c r="G1065" s="830">
        <v>0</v>
      </c>
      <c r="H1065" s="831">
        <v>4.51</v>
      </c>
      <c r="I1065" s="846"/>
      <c r="J1065" s="846"/>
      <c r="K1065" s="846"/>
      <c r="L1065" s="846"/>
      <c r="M1065" s="846"/>
      <c r="N1065" s="846"/>
      <c r="O1065" s="846"/>
      <c r="P1065" s="846"/>
      <c r="Q1065" s="846"/>
      <c r="R1065" s="846"/>
      <c r="S1065" s="846"/>
      <c r="T1065" s="846"/>
    </row>
    <row r="1066" spans="2:20" ht="25.5" hidden="1">
      <c r="B1066" s="828" t="s">
        <v>6529</v>
      </c>
      <c r="C1066" s="828">
        <v>92957</v>
      </c>
      <c r="D1066" s="630" t="s">
        <v>1577</v>
      </c>
      <c r="E1066" s="630" t="s">
        <v>902</v>
      </c>
      <c r="F1066" s="829">
        <v>0.53</v>
      </c>
      <c r="G1066" s="830">
        <v>0</v>
      </c>
      <c r="H1066" s="831">
        <v>0.53</v>
      </c>
      <c r="I1066" s="846"/>
      <c r="J1066" s="846"/>
      <c r="K1066" s="846"/>
      <c r="L1066" s="846"/>
      <c r="M1066" s="846"/>
      <c r="N1066" s="846"/>
      <c r="O1066" s="846"/>
      <c r="P1066" s="846"/>
      <c r="Q1066" s="846"/>
      <c r="R1066" s="846"/>
      <c r="S1066" s="846"/>
      <c r="T1066" s="846"/>
    </row>
    <row r="1067" spans="2:20" ht="25.5" hidden="1">
      <c r="B1067" s="828" t="s">
        <v>6529</v>
      </c>
      <c r="C1067" s="828">
        <v>92958</v>
      </c>
      <c r="D1067" s="630" t="s">
        <v>1578</v>
      </c>
      <c r="E1067" s="630" t="s">
        <v>902</v>
      </c>
      <c r="F1067" s="829">
        <v>4.93</v>
      </c>
      <c r="G1067" s="830">
        <v>0</v>
      </c>
      <c r="H1067" s="831">
        <v>4.93</v>
      </c>
      <c r="I1067" s="846"/>
      <c r="J1067" s="846"/>
      <c r="K1067" s="846"/>
      <c r="L1067" s="846"/>
      <c r="M1067" s="846"/>
      <c r="N1067" s="846"/>
      <c r="O1067" s="846"/>
      <c r="P1067" s="846"/>
      <c r="Q1067" s="846"/>
      <c r="R1067" s="846"/>
      <c r="S1067" s="846"/>
      <c r="T1067" s="846"/>
    </row>
    <row r="1068" spans="2:20" ht="25.5" hidden="1">
      <c r="B1068" s="828" t="s">
        <v>6529</v>
      </c>
      <c r="C1068" s="828">
        <v>92959</v>
      </c>
      <c r="D1068" s="630" t="s">
        <v>1579</v>
      </c>
      <c r="E1068" s="630" t="s">
        <v>902</v>
      </c>
      <c r="F1068" s="829">
        <v>11.33</v>
      </c>
      <c r="G1068" s="830">
        <v>0</v>
      </c>
      <c r="H1068" s="831">
        <v>11.33</v>
      </c>
      <c r="I1068" s="846"/>
      <c r="J1068" s="846"/>
      <c r="K1068" s="846"/>
      <c r="L1068" s="846"/>
      <c r="M1068" s="846"/>
      <c r="N1068" s="846"/>
      <c r="O1068" s="846"/>
      <c r="P1068" s="846"/>
      <c r="Q1068" s="846"/>
      <c r="R1068" s="846"/>
      <c r="S1068" s="846"/>
      <c r="T1068" s="846"/>
    </row>
    <row r="1069" spans="2:20" ht="25.5" hidden="1">
      <c r="B1069" s="828" t="s">
        <v>6529</v>
      </c>
      <c r="C1069" s="828">
        <v>92963</v>
      </c>
      <c r="D1069" s="630" t="s">
        <v>1753</v>
      </c>
      <c r="E1069" s="630" t="s">
        <v>902</v>
      </c>
      <c r="F1069" s="829">
        <v>1.24</v>
      </c>
      <c r="G1069" s="830">
        <v>0</v>
      </c>
      <c r="H1069" s="831">
        <v>1.24</v>
      </c>
      <c r="I1069" s="846"/>
      <c r="J1069" s="846"/>
      <c r="K1069" s="846"/>
      <c r="L1069" s="846"/>
      <c r="M1069" s="846"/>
      <c r="N1069" s="846"/>
      <c r="O1069" s="846"/>
      <c r="P1069" s="846"/>
      <c r="Q1069" s="846"/>
      <c r="R1069" s="846"/>
      <c r="S1069" s="846"/>
      <c r="T1069" s="846"/>
    </row>
    <row r="1070" spans="2:20" ht="25.5" hidden="1">
      <c r="B1070" s="828" t="s">
        <v>6529</v>
      </c>
      <c r="C1070" s="828">
        <v>92964</v>
      </c>
      <c r="D1070" s="630" t="s">
        <v>1754</v>
      </c>
      <c r="E1070" s="630" t="s">
        <v>902</v>
      </c>
      <c r="F1070" s="829">
        <v>0.14000000000000001</v>
      </c>
      <c r="G1070" s="830">
        <v>0</v>
      </c>
      <c r="H1070" s="831">
        <v>0.14000000000000001</v>
      </c>
      <c r="I1070" s="846"/>
      <c r="J1070" s="846"/>
      <c r="K1070" s="846"/>
      <c r="L1070" s="846"/>
      <c r="M1070" s="846"/>
      <c r="N1070" s="846"/>
      <c r="O1070" s="846"/>
      <c r="P1070" s="846"/>
      <c r="Q1070" s="846"/>
      <c r="R1070" s="846"/>
      <c r="S1070" s="846"/>
      <c r="T1070" s="846"/>
    </row>
    <row r="1071" spans="2:20" ht="25.5" hidden="1">
      <c r="B1071" s="828" t="s">
        <v>6529</v>
      </c>
      <c r="C1071" s="828">
        <v>92965</v>
      </c>
      <c r="D1071" s="630" t="s">
        <v>1755</v>
      </c>
      <c r="E1071" s="630" t="s">
        <v>902</v>
      </c>
      <c r="F1071" s="829">
        <v>1.55</v>
      </c>
      <c r="G1071" s="830">
        <v>0</v>
      </c>
      <c r="H1071" s="831">
        <v>1.55</v>
      </c>
      <c r="I1071" s="846"/>
      <c r="J1071" s="846"/>
      <c r="K1071" s="846"/>
      <c r="L1071" s="846"/>
      <c r="M1071" s="846"/>
      <c r="N1071" s="846"/>
      <c r="O1071" s="846"/>
      <c r="P1071" s="846"/>
      <c r="Q1071" s="846"/>
      <c r="R1071" s="846"/>
      <c r="S1071" s="846"/>
      <c r="T1071" s="846"/>
    </row>
    <row r="1072" spans="2:20" ht="51" hidden="1">
      <c r="B1072" s="828" t="s">
        <v>6529</v>
      </c>
      <c r="C1072" s="828">
        <v>93220</v>
      </c>
      <c r="D1072" s="630" t="s">
        <v>2224</v>
      </c>
      <c r="E1072" s="630" t="s">
        <v>902</v>
      </c>
      <c r="F1072" s="829">
        <v>376.25</v>
      </c>
      <c r="G1072" s="830">
        <v>0</v>
      </c>
      <c r="H1072" s="831">
        <v>376.25</v>
      </c>
      <c r="I1072" s="846"/>
      <c r="J1072" s="846"/>
      <c r="K1072" s="846"/>
      <c r="L1072" s="846"/>
      <c r="M1072" s="846"/>
      <c r="N1072" s="846"/>
      <c r="O1072" s="846"/>
      <c r="P1072" s="846"/>
      <c r="Q1072" s="846"/>
      <c r="R1072" s="846"/>
      <c r="S1072" s="846"/>
      <c r="T1072" s="846"/>
    </row>
    <row r="1073" spans="2:20" ht="51" hidden="1">
      <c r="B1073" s="828" t="s">
        <v>6529</v>
      </c>
      <c r="C1073" s="828">
        <v>93221</v>
      </c>
      <c r="D1073" s="630" t="s">
        <v>2225</v>
      </c>
      <c r="E1073" s="630" t="s">
        <v>902</v>
      </c>
      <c r="F1073" s="829">
        <v>52.23</v>
      </c>
      <c r="G1073" s="830">
        <v>0</v>
      </c>
      <c r="H1073" s="831">
        <v>52.23</v>
      </c>
      <c r="I1073" s="846"/>
      <c r="J1073" s="846"/>
      <c r="K1073" s="846"/>
      <c r="L1073" s="846"/>
      <c r="M1073" s="846"/>
      <c r="N1073" s="846"/>
      <c r="O1073" s="846"/>
      <c r="P1073" s="846"/>
      <c r="Q1073" s="846"/>
      <c r="R1073" s="846"/>
      <c r="S1073" s="846"/>
      <c r="T1073" s="846"/>
    </row>
    <row r="1074" spans="2:20" ht="51" hidden="1">
      <c r="B1074" s="828" t="s">
        <v>6529</v>
      </c>
      <c r="C1074" s="828">
        <v>93222</v>
      </c>
      <c r="D1074" s="630" t="s">
        <v>2226</v>
      </c>
      <c r="E1074" s="630" t="s">
        <v>902</v>
      </c>
      <c r="F1074" s="829">
        <v>470.84</v>
      </c>
      <c r="G1074" s="830">
        <v>0</v>
      </c>
      <c r="H1074" s="831">
        <v>470.84</v>
      </c>
      <c r="I1074" s="846"/>
      <c r="J1074" s="846"/>
      <c r="K1074" s="846"/>
      <c r="L1074" s="846"/>
      <c r="M1074" s="846"/>
      <c r="N1074" s="846"/>
      <c r="O1074" s="846"/>
      <c r="P1074" s="846"/>
      <c r="Q1074" s="846"/>
      <c r="R1074" s="846"/>
      <c r="S1074" s="846"/>
      <c r="T1074" s="846"/>
    </row>
    <row r="1075" spans="2:20" ht="51" hidden="1">
      <c r="B1075" s="828" t="s">
        <v>6529</v>
      </c>
      <c r="C1075" s="828">
        <v>93223</v>
      </c>
      <c r="D1075" s="630" t="s">
        <v>2088</v>
      </c>
      <c r="E1075" s="630" t="s">
        <v>902</v>
      </c>
      <c r="F1075" s="829">
        <v>190.86</v>
      </c>
      <c r="G1075" s="830">
        <v>0</v>
      </c>
      <c r="H1075" s="831">
        <v>190.86</v>
      </c>
      <c r="I1075" s="846"/>
      <c r="J1075" s="846"/>
      <c r="K1075" s="846"/>
      <c r="L1075" s="846"/>
      <c r="M1075" s="846"/>
      <c r="N1075" s="846"/>
      <c r="O1075" s="846"/>
      <c r="P1075" s="846"/>
      <c r="Q1075" s="846"/>
      <c r="R1075" s="846"/>
      <c r="S1075" s="846"/>
      <c r="T1075" s="846"/>
    </row>
    <row r="1076" spans="2:20" ht="38.25" hidden="1">
      <c r="B1076" s="828" t="s">
        <v>6529</v>
      </c>
      <c r="C1076" s="828">
        <v>93229</v>
      </c>
      <c r="D1076" s="630" t="s">
        <v>7067</v>
      </c>
      <c r="E1076" s="630" t="s">
        <v>902</v>
      </c>
      <c r="F1076" s="829">
        <v>0.38</v>
      </c>
      <c r="G1076" s="830">
        <v>0</v>
      </c>
      <c r="H1076" s="831">
        <v>0.38</v>
      </c>
      <c r="I1076" s="846"/>
      <c r="J1076" s="846"/>
      <c r="K1076" s="846"/>
      <c r="L1076" s="846"/>
      <c r="M1076" s="846"/>
      <c r="N1076" s="846"/>
      <c r="O1076" s="846"/>
      <c r="P1076" s="846"/>
      <c r="Q1076" s="846"/>
      <c r="R1076" s="846"/>
      <c r="S1076" s="846"/>
      <c r="T1076" s="846"/>
    </row>
    <row r="1077" spans="2:20" ht="38.25" hidden="1">
      <c r="B1077" s="828" t="s">
        <v>6529</v>
      </c>
      <c r="C1077" s="828">
        <v>93230</v>
      </c>
      <c r="D1077" s="630" t="s">
        <v>7068</v>
      </c>
      <c r="E1077" s="630" t="s">
        <v>902</v>
      </c>
      <c r="F1077" s="829">
        <v>0.04</v>
      </c>
      <c r="G1077" s="830">
        <v>0</v>
      </c>
      <c r="H1077" s="831">
        <v>0.04</v>
      </c>
      <c r="I1077" s="846"/>
      <c r="J1077" s="846"/>
      <c r="K1077" s="846"/>
      <c r="L1077" s="846"/>
      <c r="M1077" s="846"/>
      <c r="N1077" s="846"/>
      <c r="O1077" s="846"/>
      <c r="P1077" s="846"/>
      <c r="Q1077" s="846"/>
      <c r="R1077" s="846"/>
      <c r="S1077" s="846"/>
      <c r="T1077" s="846"/>
    </row>
    <row r="1078" spans="2:20" ht="38.25" hidden="1">
      <c r="B1078" s="828" t="s">
        <v>6529</v>
      </c>
      <c r="C1078" s="828">
        <v>93231</v>
      </c>
      <c r="D1078" s="630" t="s">
        <v>7069</v>
      </c>
      <c r="E1078" s="630" t="s">
        <v>902</v>
      </c>
      <c r="F1078" s="829">
        <v>0.35</v>
      </c>
      <c r="G1078" s="830">
        <v>0</v>
      </c>
      <c r="H1078" s="831">
        <v>0.35</v>
      </c>
      <c r="I1078" s="846"/>
      <c r="J1078" s="846"/>
      <c r="K1078" s="846"/>
      <c r="L1078" s="846"/>
      <c r="M1078" s="846"/>
      <c r="N1078" s="846"/>
      <c r="O1078" s="846"/>
      <c r="P1078" s="846"/>
      <c r="Q1078" s="846"/>
      <c r="R1078" s="846"/>
      <c r="S1078" s="846"/>
      <c r="T1078" s="846"/>
    </row>
    <row r="1079" spans="2:20" ht="38.25" hidden="1">
      <c r="B1079" s="828" t="s">
        <v>6529</v>
      </c>
      <c r="C1079" s="828">
        <v>93232</v>
      </c>
      <c r="D1079" s="630" t="s">
        <v>7070</v>
      </c>
      <c r="E1079" s="630" t="s">
        <v>902</v>
      </c>
      <c r="F1079" s="829">
        <v>8.33</v>
      </c>
      <c r="G1079" s="830">
        <v>0</v>
      </c>
      <c r="H1079" s="831">
        <v>8.33</v>
      </c>
      <c r="I1079" s="846"/>
      <c r="J1079" s="846"/>
      <c r="K1079" s="846"/>
      <c r="L1079" s="846"/>
      <c r="M1079" s="846"/>
      <c r="N1079" s="846"/>
      <c r="O1079" s="846"/>
      <c r="P1079" s="846"/>
      <c r="Q1079" s="846"/>
      <c r="R1079" s="846"/>
      <c r="S1079" s="846"/>
      <c r="T1079" s="846"/>
    </row>
    <row r="1080" spans="2:20" ht="25.5" hidden="1">
      <c r="B1080" s="828" t="s">
        <v>6529</v>
      </c>
      <c r="C1080" s="828">
        <v>93235</v>
      </c>
      <c r="D1080" s="630" t="s">
        <v>2164</v>
      </c>
      <c r="E1080" s="630" t="s">
        <v>902</v>
      </c>
      <c r="F1080" s="829">
        <v>0.92</v>
      </c>
      <c r="G1080" s="830">
        <v>0</v>
      </c>
      <c r="H1080" s="831">
        <v>0.92</v>
      </c>
      <c r="I1080" s="846"/>
      <c r="J1080" s="846"/>
      <c r="K1080" s="846"/>
      <c r="L1080" s="846"/>
      <c r="M1080" s="846"/>
      <c r="N1080" s="846"/>
      <c r="O1080" s="846"/>
      <c r="P1080" s="846"/>
      <c r="Q1080" s="846"/>
      <c r="R1080" s="846"/>
      <c r="S1080" s="846"/>
      <c r="T1080" s="846"/>
    </row>
    <row r="1081" spans="2:20" ht="38.25" hidden="1">
      <c r="B1081" s="828" t="s">
        <v>6529</v>
      </c>
      <c r="C1081" s="828">
        <v>93238</v>
      </c>
      <c r="D1081" s="630" t="s">
        <v>2201</v>
      </c>
      <c r="E1081" s="630" t="s">
        <v>902</v>
      </c>
      <c r="F1081" s="829">
        <v>1.25</v>
      </c>
      <c r="G1081" s="830">
        <v>0</v>
      </c>
      <c r="H1081" s="831">
        <v>1.25</v>
      </c>
      <c r="I1081" s="846"/>
      <c r="J1081" s="846"/>
      <c r="K1081" s="846"/>
      <c r="L1081" s="846"/>
      <c r="M1081" s="846"/>
      <c r="N1081" s="846"/>
      <c r="O1081" s="846"/>
      <c r="P1081" s="846"/>
      <c r="Q1081" s="846"/>
      <c r="R1081" s="846"/>
      <c r="S1081" s="846"/>
      <c r="T1081" s="846"/>
    </row>
    <row r="1082" spans="2:20" ht="38.25" hidden="1">
      <c r="B1082" s="828" t="s">
        <v>6529</v>
      </c>
      <c r="C1082" s="828">
        <v>93239</v>
      </c>
      <c r="D1082" s="630" t="s">
        <v>2202</v>
      </c>
      <c r="E1082" s="630" t="s">
        <v>902</v>
      </c>
      <c r="F1082" s="829">
        <v>5.66</v>
      </c>
      <c r="G1082" s="830">
        <v>0</v>
      </c>
      <c r="H1082" s="831">
        <v>5.66</v>
      </c>
      <c r="I1082" s="846"/>
      <c r="J1082" s="846"/>
      <c r="K1082" s="846"/>
      <c r="L1082" s="846"/>
      <c r="M1082" s="846"/>
      <c r="N1082" s="846"/>
      <c r="O1082" s="846"/>
      <c r="P1082" s="846"/>
      <c r="Q1082" s="846"/>
      <c r="R1082" s="846"/>
      <c r="S1082" s="846"/>
      <c r="T1082" s="846"/>
    </row>
    <row r="1083" spans="2:20" ht="38.25" hidden="1">
      <c r="B1083" s="828" t="s">
        <v>6529</v>
      </c>
      <c r="C1083" s="828">
        <v>93240</v>
      </c>
      <c r="D1083" s="630" t="s">
        <v>2203</v>
      </c>
      <c r="E1083" s="630" t="s">
        <v>902</v>
      </c>
      <c r="F1083" s="829">
        <v>14.62</v>
      </c>
      <c r="G1083" s="830">
        <v>0</v>
      </c>
      <c r="H1083" s="831">
        <v>14.62</v>
      </c>
      <c r="I1083" s="846"/>
      <c r="J1083" s="846"/>
      <c r="K1083" s="846"/>
      <c r="L1083" s="846"/>
      <c r="M1083" s="846"/>
      <c r="N1083" s="846"/>
      <c r="O1083" s="846"/>
      <c r="P1083" s="846"/>
      <c r="Q1083" s="846"/>
      <c r="R1083" s="846"/>
      <c r="S1083" s="846"/>
      <c r="T1083" s="846"/>
    </row>
    <row r="1084" spans="2:20" ht="25.5" hidden="1">
      <c r="B1084" s="828" t="s">
        <v>6529</v>
      </c>
      <c r="C1084" s="828">
        <v>93267</v>
      </c>
      <c r="D1084" s="630" t="s">
        <v>2080</v>
      </c>
      <c r="E1084" s="630" t="s">
        <v>902</v>
      </c>
      <c r="F1084" s="829">
        <v>45.08</v>
      </c>
      <c r="G1084" s="830">
        <v>0</v>
      </c>
      <c r="H1084" s="831">
        <v>45.08</v>
      </c>
      <c r="I1084" s="846"/>
      <c r="J1084" s="846"/>
      <c r="K1084" s="846"/>
      <c r="L1084" s="846"/>
      <c r="M1084" s="846"/>
      <c r="N1084" s="846"/>
      <c r="O1084" s="846"/>
      <c r="P1084" s="846"/>
      <c r="Q1084" s="846"/>
      <c r="R1084" s="846"/>
      <c r="S1084" s="846"/>
      <c r="T1084" s="846"/>
    </row>
    <row r="1085" spans="2:20" ht="25.5" hidden="1">
      <c r="B1085" s="828" t="s">
        <v>6529</v>
      </c>
      <c r="C1085" s="828">
        <v>93269</v>
      </c>
      <c r="D1085" s="630" t="s">
        <v>2081</v>
      </c>
      <c r="E1085" s="630" t="s">
        <v>902</v>
      </c>
      <c r="F1085" s="829">
        <v>5.35</v>
      </c>
      <c r="G1085" s="830">
        <v>0</v>
      </c>
      <c r="H1085" s="831">
        <v>5.35</v>
      </c>
      <c r="I1085" s="846"/>
      <c r="J1085" s="846"/>
      <c r="K1085" s="846"/>
      <c r="L1085" s="846"/>
      <c r="M1085" s="846"/>
      <c r="N1085" s="846"/>
      <c r="O1085" s="846"/>
      <c r="P1085" s="846"/>
      <c r="Q1085" s="846"/>
      <c r="R1085" s="846"/>
      <c r="S1085" s="846"/>
      <c r="T1085" s="846"/>
    </row>
    <row r="1086" spans="2:20" ht="25.5" hidden="1">
      <c r="B1086" s="828" t="s">
        <v>6529</v>
      </c>
      <c r="C1086" s="828">
        <v>93270</v>
      </c>
      <c r="D1086" s="630" t="s">
        <v>2082</v>
      </c>
      <c r="E1086" s="630" t="s">
        <v>902</v>
      </c>
      <c r="F1086" s="829">
        <v>49.31</v>
      </c>
      <c r="G1086" s="830">
        <v>0</v>
      </c>
      <c r="H1086" s="831">
        <v>49.31</v>
      </c>
      <c r="I1086" s="846"/>
      <c r="J1086" s="846"/>
      <c r="K1086" s="846"/>
      <c r="L1086" s="846"/>
      <c r="M1086" s="846"/>
      <c r="N1086" s="846"/>
      <c r="O1086" s="846"/>
      <c r="P1086" s="846"/>
      <c r="Q1086" s="846"/>
      <c r="R1086" s="846"/>
      <c r="S1086" s="846"/>
      <c r="T1086" s="846"/>
    </row>
    <row r="1087" spans="2:20" ht="25.5" hidden="1">
      <c r="B1087" s="828" t="s">
        <v>6529</v>
      </c>
      <c r="C1087" s="828">
        <v>93271</v>
      </c>
      <c r="D1087" s="630" t="s">
        <v>2083</v>
      </c>
      <c r="E1087" s="630" t="s">
        <v>902</v>
      </c>
      <c r="F1087" s="829">
        <v>7.85</v>
      </c>
      <c r="G1087" s="830">
        <v>0</v>
      </c>
      <c r="H1087" s="831">
        <v>7.85</v>
      </c>
      <c r="I1087" s="846"/>
      <c r="J1087" s="846"/>
      <c r="K1087" s="846"/>
      <c r="L1087" s="846"/>
      <c r="M1087" s="846"/>
      <c r="N1087" s="846"/>
      <c r="O1087" s="846"/>
      <c r="P1087" s="846"/>
      <c r="Q1087" s="846"/>
      <c r="R1087" s="846"/>
      <c r="S1087" s="846"/>
      <c r="T1087" s="846"/>
    </row>
    <row r="1088" spans="2:20" ht="25.5" hidden="1">
      <c r="B1088" s="828" t="s">
        <v>6529</v>
      </c>
      <c r="C1088" s="828">
        <v>93277</v>
      </c>
      <c r="D1088" s="630" t="s">
        <v>2072</v>
      </c>
      <c r="E1088" s="630" t="s">
        <v>902</v>
      </c>
      <c r="F1088" s="829">
        <v>0.31</v>
      </c>
      <c r="G1088" s="830">
        <v>0</v>
      </c>
      <c r="H1088" s="831">
        <v>0.31</v>
      </c>
      <c r="I1088" s="846"/>
      <c r="J1088" s="846"/>
      <c r="K1088" s="846"/>
      <c r="L1088" s="846"/>
      <c r="M1088" s="846"/>
      <c r="N1088" s="846"/>
      <c r="O1088" s="846"/>
      <c r="P1088" s="846"/>
      <c r="Q1088" s="846"/>
      <c r="R1088" s="846"/>
      <c r="S1088" s="846"/>
      <c r="T1088" s="846"/>
    </row>
    <row r="1089" spans="2:20" ht="25.5" hidden="1">
      <c r="B1089" s="828" t="s">
        <v>6529</v>
      </c>
      <c r="C1089" s="828">
        <v>93278</v>
      </c>
      <c r="D1089" s="630" t="s">
        <v>2073</v>
      </c>
      <c r="E1089" s="630" t="s">
        <v>902</v>
      </c>
      <c r="F1089" s="829">
        <v>0.03</v>
      </c>
      <c r="G1089" s="830">
        <v>0</v>
      </c>
      <c r="H1089" s="831">
        <v>0.03</v>
      </c>
      <c r="I1089" s="846"/>
      <c r="J1089" s="846"/>
      <c r="K1089" s="846"/>
      <c r="L1089" s="846"/>
      <c r="M1089" s="846"/>
      <c r="N1089" s="846"/>
      <c r="O1089" s="846"/>
      <c r="P1089" s="846"/>
      <c r="Q1089" s="846"/>
      <c r="R1089" s="846"/>
      <c r="S1089" s="846"/>
      <c r="T1089" s="846"/>
    </row>
    <row r="1090" spans="2:20" ht="25.5" hidden="1">
      <c r="B1090" s="828" t="s">
        <v>6529</v>
      </c>
      <c r="C1090" s="828">
        <v>93279</v>
      </c>
      <c r="D1090" s="630" t="s">
        <v>2074</v>
      </c>
      <c r="E1090" s="630" t="s">
        <v>902</v>
      </c>
      <c r="F1090" s="829">
        <v>0.28999999999999998</v>
      </c>
      <c r="G1090" s="830">
        <v>0</v>
      </c>
      <c r="H1090" s="831">
        <v>0.28999999999999998</v>
      </c>
      <c r="I1090" s="846"/>
      <c r="J1090" s="846"/>
      <c r="K1090" s="846"/>
      <c r="L1090" s="846"/>
      <c r="M1090" s="846"/>
      <c r="N1090" s="846"/>
      <c r="O1090" s="846"/>
      <c r="P1090" s="846"/>
      <c r="Q1090" s="846"/>
      <c r="R1090" s="846"/>
      <c r="S1090" s="846"/>
      <c r="T1090" s="846"/>
    </row>
    <row r="1091" spans="2:20" ht="25.5" hidden="1">
      <c r="B1091" s="828" t="s">
        <v>6529</v>
      </c>
      <c r="C1091" s="828">
        <v>93280</v>
      </c>
      <c r="D1091" s="630" t="s">
        <v>2075</v>
      </c>
      <c r="E1091" s="630" t="s">
        <v>902</v>
      </c>
      <c r="F1091" s="829">
        <v>0.65</v>
      </c>
      <c r="G1091" s="830">
        <v>0</v>
      </c>
      <c r="H1091" s="831">
        <v>0.65</v>
      </c>
      <c r="I1091" s="846"/>
      <c r="J1091" s="846"/>
      <c r="K1091" s="846"/>
      <c r="L1091" s="846"/>
      <c r="M1091" s="846"/>
      <c r="N1091" s="846"/>
      <c r="O1091" s="846"/>
      <c r="P1091" s="846"/>
      <c r="Q1091" s="846"/>
      <c r="R1091" s="846"/>
      <c r="S1091" s="846"/>
      <c r="T1091" s="846"/>
    </row>
    <row r="1092" spans="2:20" ht="25.5" hidden="1">
      <c r="B1092" s="828" t="s">
        <v>6529</v>
      </c>
      <c r="C1092" s="828">
        <v>93283</v>
      </c>
      <c r="D1092" s="630" t="s">
        <v>1990</v>
      </c>
      <c r="E1092" s="630" t="s">
        <v>902</v>
      </c>
      <c r="F1092" s="829">
        <v>94.75</v>
      </c>
      <c r="G1092" s="830">
        <v>0</v>
      </c>
      <c r="H1092" s="831">
        <v>94.75</v>
      </c>
      <c r="I1092" s="846"/>
      <c r="J1092" s="846"/>
      <c r="K1092" s="846"/>
      <c r="L1092" s="846"/>
      <c r="M1092" s="846"/>
      <c r="N1092" s="846"/>
      <c r="O1092" s="846"/>
      <c r="P1092" s="846"/>
      <c r="Q1092" s="846"/>
      <c r="R1092" s="846"/>
      <c r="S1092" s="846"/>
      <c r="T1092" s="846"/>
    </row>
    <row r="1093" spans="2:20" ht="25.5" hidden="1">
      <c r="B1093" s="828" t="s">
        <v>6529</v>
      </c>
      <c r="C1093" s="828">
        <v>93284</v>
      </c>
      <c r="D1093" s="630" t="s">
        <v>1991</v>
      </c>
      <c r="E1093" s="630" t="s">
        <v>902</v>
      </c>
      <c r="F1093" s="829">
        <v>17.05</v>
      </c>
      <c r="G1093" s="830">
        <v>0</v>
      </c>
      <c r="H1093" s="831">
        <v>17.05</v>
      </c>
      <c r="I1093" s="846"/>
      <c r="J1093" s="846"/>
      <c r="K1093" s="846"/>
      <c r="L1093" s="846"/>
      <c r="M1093" s="846"/>
      <c r="N1093" s="846"/>
      <c r="O1093" s="846"/>
      <c r="P1093" s="846"/>
      <c r="Q1093" s="846"/>
      <c r="R1093" s="846"/>
      <c r="S1093" s="846"/>
      <c r="T1093" s="846"/>
    </row>
    <row r="1094" spans="2:20" ht="25.5" hidden="1">
      <c r="B1094" s="828" t="s">
        <v>6529</v>
      </c>
      <c r="C1094" s="828">
        <v>93285</v>
      </c>
      <c r="D1094" s="630" t="s">
        <v>1992</v>
      </c>
      <c r="E1094" s="630" t="s">
        <v>902</v>
      </c>
      <c r="F1094" s="829">
        <v>152.31</v>
      </c>
      <c r="G1094" s="830">
        <v>0</v>
      </c>
      <c r="H1094" s="831">
        <v>152.31</v>
      </c>
      <c r="I1094" s="846"/>
      <c r="J1094" s="846"/>
      <c r="K1094" s="846"/>
      <c r="L1094" s="846"/>
      <c r="M1094" s="846"/>
      <c r="N1094" s="846"/>
      <c r="O1094" s="846"/>
      <c r="P1094" s="846"/>
      <c r="Q1094" s="846"/>
      <c r="R1094" s="846"/>
      <c r="S1094" s="846"/>
      <c r="T1094" s="846"/>
    </row>
    <row r="1095" spans="2:20" ht="38.25" hidden="1">
      <c r="B1095" s="828" t="s">
        <v>6529</v>
      </c>
      <c r="C1095" s="828">
        <v>93286</v>
      </c>
      <c r="D1095" s="630" t="s">
        <v>1993</v>
      </c>
      <c r="E1095" s="630" t="s">
        <v>902</v>
      </c>
      <c r="F1095" s="829">
        <v>10.92</v>
      </c>
      <c r="G1095" s="830">
        <v>0</v>
      </c>
      <c r="H1095" s="831">
        <v>10.92</v>
      </c>
      <c r="I1095" s="846"/>
      <c r="J1095" s="846"/>
      <c r="K1095" s="846"/>
      <c r="L1095" s="846"/>
      <c r="M1095" s="846"/>
      <c r="N1095" s="846"/>
      <c r="O1095" s="846"/>
      <c r="P1095" s="846"/>
      <c r="Q1095" s="846"/>
      <c r="R1095" s="846"/>
      <c r="S1095" s="846"/>
      <c r="T1095" s="846"/>
    </row>
    <row r="1096" spans="2:20" ht="38.25" hidden="1">
      <c r="B1096" s="828" t="s">
        <v>6529</v>
      </c>
      <c r="C1096" s="828">
        <v>93296</v>
      </c>
      <c r="D1096" s="630" t="s">
        <v>1994</v>
      </c>
      <c r="E1096" s="630" t="s">
        <v>902</v>
      </c>
      <c r="F1096" s="829">
        <v>13.5</v>
      </c>
      <c r="G1096" s="830">
        <v>0</v>
      </c>
      <c r="H1096" s="831">
        <v>13.5</v>
      </c>
      <c r="I1096" s="846"/>
      <c r="J1096" s="846"/>
      <c r="K1096" s="846"/>
      <c r="L1096" s="846"/>
      <c r="M1096" s="846"/>
      <c r="N1096" s="846"/>
      <c r="O1096" s="846"/>
      <c r="P1096" s="846"/>
      <c r="Q1096" s="846"/>
      <c r="R1096" s="846"/>
      <c r="S1096" s="846"/>
      <c r="T1096" s="846"/>
    </row>
    <row r="1097" spans="2:20" ht="51" hidden="1">
      <c r="B1097" s="828" t="s">
        <v>6529</v>
      </c>
      <c r="C1097" s="828">
        <v>93397</v>
      </c>
      <c r="D1097" s="630" t="s">
        <v>1975</v>
      </c>
      <c r="E1097" s="630" t="s">
        <v>902</v>
      </c>
      <c r="F1097" s="829">
        <v>21.58</v>
      </c>
      <c r="G1097" s="830">
        <v>0</v>
      </c>
      <c r="H1097" s="831">
        <v>21.58</v>
      </c>
      <c r="I1097" s="846"/>
      <c r="J1097" s="846"/>
      <c r="K1097" s="846"/>
      <c r="L1097" s="846"/>
      <c r="M1097" s="846"/>
      <c r="N1097" s="846"/>
      <c r="O1097" s="846"/>
      <c r="P1097" s="846"/>
      <c r="Q1097" s="846"/>
      <c r="R1097" s="846"/>
      <c r="S1097" s="846"/>
      <c r="T1097" s="846"/>
    </row>
    <row r="1098" spans="2:20" ht="51" hidden="1">
      <c r="B1098" s="828" t="s">
        <v>6529</v>
      </c>
      <c r="C1098" s="828">
        <v>93398</v>
      </c>
      <c r="D1098" s="630" t="s">
        <v>1976</v>
      </c>
      <c r="E1098" s="630" t="s">
        <v>902</v>
      </c>
      <c r="F1098" s="829">
        <v>4.0999999999999996</v>
      </c>
      <c r="G1098" s="830">
        <v>0</v>
      </c>
      <c r="H1098" s="831">
        <v>4.0999999999999996</v>
      </c>
      <c r="I1098" s="846"/>
      <c r="J1098" s="846"/>
      <c r="K1098" s="846"/>
      <c r="L1098" s="846"/>
      <c r="M1098" s="846"/>
      <c r="N1098" s="846"/>
      <c r="O1098" s="846"/>
      <c r="P1098" s="846"/>
      <c r="Q1098" s="846"/>
      <c r="R1098" s="846"/>
      <c r="S1098" s="846"/>
      <c r="T1098" s="846"/>
    </row>
    <row r="1099" spans="2:20" ht="51" hidden="1">
      <c r="B1099" s="828" t="s">
        <v>6529</v>
      </c>
      <c r="C1099" s="828">
        <v>93399</v>
      </c>
      <c r="D1099" s="630" t="s">
        <v>1977</v>
      </c>
      <c r="E1099" s="630" t="s">
        <v>902</v>
      </c>
      <c r="F1099" s="829">
        <v>3.25</v>
      </c>
      <c r="G1099" s="830">
        <v>0</v>
      </c>
      <c r="H1099" s="831">
        <v>3.25</v>
      </c>
      <c r="I1099" s="846"/>
      <c r="J1099" s="846"/>
      <c r="K1099" s="846"/>
      <c r="L1099" s="846"/>
      <c r="M1099" s="846"/>
      <c r="N1099" s="846"/>
      <c r="O1099" s="846"/>
      <c r="P1099" s="846"/>
      <c r="Q1099" s="846"/>
      <c r="R1099" s="846"/>
      <c r="S1099" s="846"/>
      <c r="T1099" s="846"/>
    </row>
    <row r="1100" spans="2:20" ht="51" hidden="1">
      <c r="B1100" s="828" t="s">
        <v>6529</v>
      </c>
      <c r="C1100" s="828">
        <v>93400</v>
      </c>
      <c r="D1100" s="630" t="s">
        <v>1978</v>
      </c>
      <c r="E1100" s="630" t="s">
        <v>902</v>
      </c>
      <c r="F1100" s="829">
        <v>37.119999999999997</v>
      </c>
      <c r="G1100" s="830">
        <v>0</v>
      </c>
      <c r="H1100" s="831">
        <v>37.119999999999997</v>
      </c>
      <c r="I1100" s="846"/>
      <c r="J1100" s="846"/>
      <c r="K1100" s="846"/>
      <c r="L1100" s="846"/>
      <c r="M1100" s="846"/>
      <c r="N1100" s="846"/>
      <c r="O1100" s="846"/>
      <c r="P1100" s="846"/>
      <c r="Q1100" s="846"/>
      <c r="R1100" s="846"/>
      <c r="S1100" s="846"/>
      <c r="T1100" s="846"/>
    </row>
    <row r="1101" spans="2:20" ht="51" hidden="1">
      <c r="B1101" s="828" t="s">
        <v>6529</v>
      </c>
      <c r="C1101" s="828">
        <v>93401</v>
      </c>
      <c r="D1101" s="630" t="s">
        <v>1979</v>
      </c>
      <c r="E1101" s="630" t="s">
        <v>902</v>
      </c>
      <c r="F1101" s="829">
        <v>193.2</v>
      </c>
      <c r="G1101" s="830">
        <v>0</v>
      </c>
      <c r="H1101" s="831">
        <v>193.2</v>
      </c>
      <c r="I1101" s="846"/>
      <c r="J1101" s="846"/>
      <c r="K1101" s="846"/>
      <c r="L1101" s="846"/>
      <c r="M1101" s="846"/>
      <c r="N1101" s="846"/>
      <c r="O1101" s="846"/>
      <c r="P1101" s="846"/>
      <c r="Q1101" s="846"/>
      <c r="R1101" s="846"/>
      <c r="S1101" s="846"/>
      <c r="T1101" s="846"/>
    </row>
    <row r="1102" spans="2:20" ht="51" hidden="1">
      <c r="B1102" s="828" t="s">
        <v>6529</v>
      </c>
      <c r="C1102" s="828">
        <v>93404</v>
      </c>
      <c r="D1102" s="630" t="s">
        <v>3748</v>
      </c>
      <c r="E1102" s="630" t="s">
        <v>902</v>
      </c>
      <c r="F1102" s="829">
        <v>5.44</v>
      </c>
      <c r="G1102" s="830">
        <v>0</v>
      </c>
      <c r="H1102" s="831">
        <v>5.44</v>
      </c>
      <c r="I1102" s="846"/>
      <c r="J1102" s="846"/>
      <c r="K1102" s="846"/>
      <c r="L1102" s="846"/>
      <c r="M1102" s="846"/>
      <c r="N1102" s="846"/>
      <c r="O1102" s="846"/>
      <c r="P1102" s="846"/>
      <c r="Q1102" s="846"/>
      <c r="R1102" s="846"/>
      <c r="S1102" s="846"/>
      <c r="T1102" s="846"/>
    </row>
    <row r="1103" spans="2:20" ht="51" hidden="1">
      <c r="B1103" s="828" t="s">
        <v>6529</v>
      </c>
      <c r="C1103" s="828">
        <v>93405</v>
      </c>
      <c r="D1103" s="630" t="s">
        <v>3749</v>
      </c>
      <c r="E1103" s="630" t="s">
        <v>902</v>
      </c>
      <c r="F1103" s="829">
        <v>0.75</v>
      </c>
      <c r="G1103" s="830">
        <v>0</v>
      </c>
      <c r="H1103" s="831">
        <v>0.75</v>
      </c>
      <c r="I1103" s="846"/>
      <c r="J1103" s="846"/>
      <c r="K1103" s="846"/>
      <c r="L1103" s="846"/>
      <c r="M1103" s="846"/>
      <c r="N1103" s="846"/>
      <c r="O1103" s="846"/>
      <c r="P1103" s="846"/>
      <c r="Q1103" s="846"/>
      <c r="R1103" s="846"/>
      <c r="S1103" s="846"/>
      <c r="T1103" s="846"/>
    </row>
    <row r="1104" spans="2:20" ht="51" hidden="1">
      <c r="B1104" s="828" t="s">
        <v>6529</v>
      </c>
      <c r="C1104" s="828">
        <v>93406</v>
      </c>
      <c r="D1104" s="630" t="s">
        <v>3750</v>
      </c>
      <c r="E1104" s="630" t="s">
        <v>902</v>
      </c>
      <c r="F1104" s="829">
        <v>6.79</v>
      </c>
      <c r="G1104" s="830">
        <v>0</v>
      </c>
      <c r="H1104" s="831">
        <v>6.79</v>
      </c>
      <c r="I1104" s="846"/>
      <c r="J1104" s="846"/>
      <c r="K1104" s="846"/>
      <c r="L1104" s="846"/>
      <c r="M1104" s="846"/>
      <c r="N1104" s="846"/>
      <c r="O1104" s="846"/>
      <c r="P1104" s="846"/>
      <c r="Q1104" s="846"/>
      <c r="R1104" s="846"/>
      <c r="S1104" s="846"/>
      <c r="T1104" s="846"/>
    </row>
    <row r="1105" spans="2:20" ht="51" hidden="1">
      <c r="B1105" s="828" t="s">
        <v>6529</v>
      </c>
      <c r="C1105" s="828">
        <v>93407</v>
      </c>
      <c r="D1105" s="630" t="s">
        <v>3751</v>
      </c>
      <c r="E1105" s="630" t="s">
        <v>902</v>
      </c>
      <c r="F1105" s="829">
        <v>57.6</v>
      </c>
      <c r="G1105" s="830">
        <v>0</v>
      </c>
      <c r="H1105" s="831">
        <v>57.6</v>
      </c>
      <c r="I1105" s="846"/>
      <c r="J1105" s="846"/>
      <c r="K1105" s="846"/>
      <c r="L1105" s="846"/>
      <c r="M1105" s="846"/>
      <c r="N1105" s="846"/>
      <c r="O1105" s="846"/>
      <c r="P1105" s="846"/>
      <c r="Q1105" s="846"/>
      <c r="R1105" s="846"/>
      <c r="S1105" s="846"/>
      <c r="T1105" s="846"/>
    </row>
    <row r="1106" spans="2:20" ht="25.5" hidden="1">
      <c r="B1106" s="828" t="s">
        <v>6529</v>
      </c>
      <c r="C1106" s="828">
        <v>93411</v>
      </c>
      <c r="D1106" s="630" t="s">
        <v>1951</v>
      </c>
      <c r="E1106" s="630" t="s">
        <v>902</v>
      </c>
      <c r="F1106" s="829">
        <v>0.24</v>
      </c>
      <c r="G1106" s="830">
        <v>0</v>
      </c>
      <c r="H1106" s="831">
        <v>0.24</v>
      </c>
      <c r="I1106" s="846"/>
      <c r="J1106" s="846"/>
      <c r="K1106" s="846"/>
      <c r="L1106" s="846"/>
      <c r="M1106" s="846"/>
      <c r="N1106" s="846"/>
      <c r="O1106" s="846"/>
      <c r="P1106" s="846"/>
      <c r="Q1106" s="846"/>
      <c r="R1106" s="846"/>
      <c r="S1106" s="846"/>
      <c r="T1106" s="846"/>
    </row>
    <row r="1107" spans="2:20" ht="25.5" hidden="1">
      <c r="B1107" s="828" t="s">
        <v>6529</v>
      </c>
      <c r="C1107" s="828">
        <v>93412</v>
      </c>
      <c r="D1107" s="630" t="s">
        <v>1952</v>
      </c>
      <c r="E1107" s="630" t="s">
        <v>902</v>
      </c>
      <c r="F1107" s="829">
        <v>0.04</v>
      </c>
      <c r="G1107" s="830">
        <v>0</v>
      </c>
      <c r="H1107" s="831">
        <v>0.04</v>
      </c>
      <c r="I1107" s="846"/>
      <c r="J1107" s="846"/>
      <c r="K1107" s="846"/>
      <c r="L1107" s="846"/>
      <c r="M1107" s="846"/>
      <c r="N1107" s="846"/>
      <c r="O1107" s="846"/>
      <c r="P1107" s="846"/>
      <c r="Q1107" s="846"/>
      <c r="R1107" s="846"/>
      <c r="S1107" s="846"/>
      <c r="T1107" s="846"/>
    </row>
    <row r="1108" spans="2:20" ht="25.5" hidden="1">
      <c r="B1108" s="828" t="s">
        <v>6529</v>
      </c>
      <c r="C1108" s="828">
        <v>93413</v>
      </c>
      <c r="D1108" s="630" t="s">
        <v>1953</v>
      </c>
      <c r="E1108" s="630" t="s">
        <v>902</v>
      </c>
      <c r="F1108" s="829">
        <v>0.22</v>
      </c>
      <c r="G1108" s="830">
        <v>0</v>
      </c>
      <c r="H1108" s="831">
        <v>0.22</v>
      </c>
      <c r="I1108" s="846"/>
      <c r="J1108" s="846"/>
      <c r="K1108" s="846"/>
      <c r="L1108" s="846"/>
      <c r="M1108" s="846"/>
      <c r="N1108" s="846"/>
      <c r="O1108" s="846"/>
      <c r="P1108" s="846"/>
      <c r="Q1108" s="846"/>
      <c r="R1108" s="846"/>
      <c r="S1108" s="846"/>
      <c r="T1108" s="846"/>
    </row>
    <row r="1109" spans="2:20" ht="38.25" hidden="1">
      <c r="B1109" s="828" t="s">
        <v>6529</v>
      </c>
      <c r="C1109" s="828">
        <v>93414</v>
      </c>
      <c r="D1109" s="630" t="s">
        <v>1954</v>
      </c>
      <c r="E1109" s="630" t="s">
        <v>902</v>
      </c>
      <c r="F1109" s="829">
        <v>14.61</v>
      </c>
      <c r="G1109" s="830">
        <v>0</v>
      </c>
      <c r="H1109" s="831">
        <v>14.61</v>
      </c>
      <c r="I1109" s="846"/>
      <c r="J1109" s="846"/>
      <c r="K1109" s="846"/>
      <c r="L1109" s="846"/>
      <c r="M1109" s="846"/>
      <c r="N1109" s="846"/>
      <c r="O1109" s="846"/>
      <c r="P1109" s="846"/>
      <c r="Q1109" s="846"/>
      <c r="R1109" s="846"/>
      <c r="S1109" s="846"/>
      <c r="T1109" s="846"/>
    </row>
    <row r="1110" spans="2:20" ht="25.5" hidden="1">
      <c r="B1110" s="828" t="s">
        <v>6529</v>
      </c>
      <c r="C1110" s="828">
        <v>93417</v>
      </c>
      <c r="D1110" s="630" t="s">
        <v>2165</v>
      </c>
      <c r="E1110" s="630" t="s">
        <v>902</v>
      </c>
      <c r="F1110" s="829">
        <v>3.24</v>
      </c>
      <c r="G1110" s="830">
        <v>0</v>
      </c>
      <c r="H1110" s="831">
        <v>3.24</v>
      </c>
      <c r="I1110" s="846"/>
      <c r="J1110" s="846"/>
      <c r="K1110" s="846"/>
      <c r="L1110" s="846"/>
      <c r="M1110" s="846"/>
      <c r="N1110" s="846"/>
      <c r="O1110" s="846"/>
      <c r="P1110" s="846"/>
      <c r="Q1110" s="846"/>
      <c r="R1110" s="846"/>
      <c r="S1110" s="846"/>
      <c r="T1110" s="846"/>
    </row>
    <row r="1111" spans="2:20" ht="25.5" hidden="1">
      <c r="B1111" s="828" t="s">
        <v>6529</v>
      </c>
      <c r="C1111" s="828">
        <v>93418</v>
      </c>
      <c r="D1111" s="630" t="s">
        <v>2166</v>
      </c>
      <c r="E1111" s="630" t="s">
        <v>902</v>
      </c>
      <c r="F1111" s="829">
        <v>0.57999999999999996</v>
      </c>
      <c r="G1111" s="830">
        <v>0</v>
      </c>
      <c r="H1111" s="831">
        <v>0.57999999999999996</v>
      </c>
      <c r="I1111" s="846"/>
      <c r="J1111" s="846"/>
      <c r="K1111" s="846"/>
      <c r="L1111" s="846"/>
      <c r="M1111" s="846"/>
      <c r="N1111" s="846"/>
      <c r="O1111" s="846"/>
      <c r="P1111" s="846"/>
      <c r="Q1111" s="846"/>
      <c r="R1111" s="846"/>
      <c r="S1111" s="846"/>
      <c r="T1111" s="846"/>
    </row>
    <row r="1112" spans="2:20" ht="25.5" hidden="1">
      <c r="B1112" s="828" t="s">
        <v>6529</v>
      </c>
      <c r="C1112" s="828">
        <v>93419</v>
      </c>
      <c r="D1112" s="630" t="s">
        <v>2167</v>
      </c>
      <c r="E1112" s="630" t="s">
        <v>902</v>
      </c>
      <c r="F1112" s="829">
        <v>2.89</v>
      </c>
      <c r="G1112" s="830">
        <v>0</v>
      </c>
      <c r="H1112" s="831">
        <v>2.89</v>
      </c>
      <c r="I1112" s="846"/>
      <c r="J1112" s="846"/>
      <c r="K1112" s="846"/>
      <c r="L1112" s="846"/>
      <c r="M1112" s="846"/>
      <c r="N1112" s="846"/>
      <c r="O1112" s="846"/>
      <c r="P1112" s="846"/>
      <c r="Q1112" s="846"/>
      <c r="R1112" s="846"/>
      <c r="S1112" s="846"/>
      <c r="T1112" s="846"/>
    </row>
    <row r="1113" spans="2:20" ht="25.5" hidden="1">
      <c r="B1113" s="828" t="s">
        <v>6529</v>
      </c>
      <c r="C1113" s="828">
        <v>93420</v>
      </c>
      <c r="D1113" s="630" t="s">
        <v>2168</v>
      </c>
      <c r="E1113" s="630" t="s">
        <v>902</v>
      </c>
      <c r="F1113" s="829">
        <v>81.94</v>
      </c>
      <c r="G1113" s="830">
        <v>0</v>
      </c>
      <c r="H1113" s="831">
        <v>81.94</v>
      </c>
      <c r="I1113" s="846"/>
      <c r="J1113" s="846"/>
      <c r="K1113" s="846"/>
      <c r="L1113" s="846"/>
      <c r="M1113" s="846"/>
      <c r="N1113" s="846"/>
      <c r="O1113" s="846"/>
      <c r="P1113" s="846"/>
      <c r="Q1113" s="846"/>
      <c r="R1113" s="846"/>
      <c r="S1113" s="846"/>
      <c r="T1113" s="846"/>
    </row>
    <row r="1114" spans="2:20" ht="25.5" hidden="1">
      <c r="B1114" s="828" t="s">
        <v>6529</v>
      </c>
      <c r="C1114" s="828">
        <v>93423</v>
      </c>
      <c r="D1114" s="630" t="s">
        <v>2169</v>
      </c>
      <c r="E1114" s="630" t="s">
        <v>902</v>
      </c>
      <c r="F1114" s="829">
        <v>4.58</v>
      </c>
      <c r="G1114" s="830">
        <v>0</v>
      </c>
      <c r="H1114" s="831">
        <v>4.58</v>
      </c>
      <c r="I1114" s="846"/>
      <c r="J1114" s="846"/>
      <c r="K1114" s="846"/>
      <c r="L1114" s="846"/>
      <c r="M1114" s="846"/>
      <c r="N1114" s="846"/>
      <c r="O1114" s="846"/>
      <c r="P1114" s="846"/>
      <c r="Q1114" s="846"/>
      <c r="R1114" s="846"/>
      <c r="S1114" s="846"/>
      <c r="T1114" s="846"/>
    </row>
    <row r="1115" spans="2:20" ht="25.5" hidden="1">
      <c r="B1115" s="828" t="s">
        <v>6529</v>
      </c>
      <c r="C1115" s="828">
        <v>93424</v>
      </c>
      <c r="D1115" s="630" t="s">
        <v>2170</v>
      </c>
      <c r="E1115" s="630" t="s">
        <v>902</v>
      </c>
      <c r="F1115" s="829">
        <v>0.82</v>
      </c>
      <c r="G1115" s="830">
        <v>0</v>
      </c>
      <c r="H1115" s="831">
        <v>0.82</v>
      </c>
      <c r="I1115" s="846"/>
      <c r="J1115" s="846"/>
      <c r="K1115" s="846"/>
      <c r="L1115" s="846"/>
      <c r="M1115" s="846"/>
      <c r="N1115" s="846"/>
      <c r="O1115" s="846"/>
      <c r="P1115" s="846"/>
      <c r="Q1115" s="846"/>
      <c r="R1115" s="846"/>
      <c r="S1115" s="846"/>
      <c r="T1115" s="846"/>
    </row>
    <row r="1116" spans="2:20" ht="25.5" hidden="1">
      <c r="B1116" s="828" t="s">
        <v>6529</v>
      </c>
      <c r="C1116" s="828">
        <v>93425</v>
      </c>
      <c r="D1116" s="630" t="s">
        <v>2171</v>
      </c>
      <c r="E1116" s="630" t="s">
        <v>902</v>
      </c>
      <c r="F1116" s="829">
        <v>4.09</v>
      </c>
      <c r="G1116" s="830">
        <v>0</v>
      </c>
      <c r="H1116" s="831">
        <v>4.09</v>
      </c>
      <c r="I1116" s="846"/>
      <c r="J1116" s="846"/>
      <c r="K1116" s="846"/>
      <c r="L1116" s="846"/>
      <c r="M1116" s="846"/>
      <c r="N1116" s="846"/>
      <c r="O1116" s="846"/>
      <c r="P1116" s="846"/>
      <c r="Q1116" s="846"/>
      <c r="R1116" s="846"/>
      <c r="S1116" s="846"/>
      <c r="T1116" s="846"/>
    </row>
    <row r="1117" spans="2:20" ht="25.5" hidden="1">
      <c r="B1117" s="828" t="s">
        <v>6529</v>
      </c>
      <c r="C1117" s="828">
        <v>93426</v>
      </c>
      <c r="D1117" s="630" t="s">
        <v>2172</v>
      </c>
      <c r="E1117" s="630" t="s">
        <v>902</v>
      </c>
      <c r="F1117" s="829">
        <v>195.83</v>
      </c>
      <c r="G1117" s="830">
        <v>0</v>
      </c>
      <c r="H1117" s="832">
        <v>195.83</v>
      </c>
      <c r="I1117" s="846"/>
      <c r="J1117" s="846"/>
      <c r="K1117" s="846"/>
      <c r="L1117" s="846"/>
      <c r="M1117" s="846"/>
      <c r="N1117" s="846"/>
      <c r="O1117" s="846"/>
      <c r="P1117" s="846"/>
      <c r="Q1117" s="846"/>
      <c r="R1117" s="846"/>
      <c r="S1117" s="846"/>
      <c r="T1117" s="846"/>
    </row>
    <row r="1118" spans="2:20" ht="25.5" hidden="1">
      <c r="B1118" s="828" t="s">
        <v>6529</v>
      </c>
      <c r="C1118" s="828">
        <v>93429</v>
      </c>
      <c r="D1118" s="630" t="s">
        <v>2049</v>
      </c>
      <c r="E1118" s="630" t="s">
        <v>902</v>
      </c>
      <c r="F1118" s="829">
        <v>106.02</v>
      </c>
      <c r="G1118" s="830">
        <v>0</v>
      </c>
      <c r="H1118" s="831">
        <v>106.02</v>
      </c>
      <c r="I1118" s="846"/>
      <c r="J1118" s="846"/>
      <c r="K1118" s="846"/>
      <c r="L1118" s="846"/>
      <c r="M1118" s="846"/>
      <c r="N1118" s="846"/>
      <c r="O1118" s="846"/>
      <c r="P1118" s="846"/>
      <c r="Q1118" s="846"/>
      <c r="R1118" s="846"/>
      <c r="S1118" s="846"/>
      <c r="T1118" s="846"/>
    </row>
    <row r="1119" spans="2:20" ht="25.5" hidden="1">
      <c r="B1119" s="828" t="s">
        <v>6529</v>
      </c>
      <c r="C1119" s="828">
        <v>93430</v>
      </c>
      <c r="D1119" s="630" t="s">
        <v>2050</v>
      </c>
      <c r="E1119" s="630" t="s">
        <v>902</v>
      </c>
      <c r="F1119" s="829">
        <v>19.079999999999998</v>
      </c>
      <c r="G1119" s="830">
        <v>0</v>
      </c>
      <c r="H1119" s="831">
        <v>19.079999999999998</v>
      </c>
      <c r="I1119" s="846"/>
      <c r="J1119" s="846"/>
      <c r="K1119" s="846"/>
      <c r="L1119" s="846"/>
      <c r="M1119" s="846"/>
      <c r="N1119" s="846"/>
      <c r="O1119" s="846"/>
      <c r="P1119" s="846"/>
      <c r="Q1119" s="846"/>
      <c r="R1119" s="846"/>
      <c r="S1119" s="846"/>
      <c r="T1119" s="846"/>
    </row>
    <row r="1120" spans="2:20" ht="25.5" hidden="1">
      <c r="B1120" s="828" t="s">
        <v>6529</v>
      </c>
      <c r="C1120" s="828">
        <v>93431</v>
      </c>
      <c r="D1120" s="630" t="s">
        <v>2051</v>
      </c>
      <c r="E1120" s="630" t="s">
        <v>902</v>
      </c>
      <c r="F1120" s="829">
        <v>170.42</v>
      </c>
      <c r="G1120" s="830">
        <v>0</v>
      </c>
      <c r="H1120" s="831">
        <v>170.42</v>
      </c>
      <c r="I1120" s="846"/>
      <c r="J1120" s="846"/>
      <c r="K1120" s="846"/>
      <c r="L1120" s="846"/>
      <c r="M1120" s="846"/>
      <c r="N1120" s="846"/>
      <c r="O1120" s="846"/>
      <c r="P1120" s="846"/>
      <c r="Q1120" s="846"/>
      <c r="R1120" s="846"/>
      <c r="S1120" s="846"/>
      <c r="T1120" s="846"/>
    </row>
    <row r="1121" spans="2:20" ht="25.5" hidden="1">
      <c r="B1121" s="828" t="s">
        <v>6529</v>
      </c>
      <c r="C1121" s="828">
        <v>93432</v>
      </c>
      <c r="D1121" s="630" t="s">
        <v>2052</v>
      </c>
      <c r="E1121" s="630" t="s">
        <v>902</v>
      </c>
      <c r="F1121" s="829">
        <v>3508.8</v>
      </c>
      <c r="G1121" s="830">
        <v>0</v>
      </c>
      <c r="H1121" s="831">
        <v>3508.8</v>
      </c>
      <c r="I1121" s="846"/>
      <c r="J1121" s="846"/>
      <c r="K1121" s="846"/>
      <c r="L1121" s="846"/>
      <c r="M1121" s="846"/>
      <c r="N1121" s="846"/>
      <c r="O1121" s="846"/>
      <c r="P1121" s="846"/>
      <c r="Q1121" s="846"/>
      <c r="R1121" s="846"/>
      <c r="S1121" s="846"/>
      <c r="T1121" s="846"/>
    </row>
    <row r="1122" spans="2:20" ht="25.5" hidden="1">
      <c r="B1122" s="828" t="s">
        <v>6529</v>
      </c>
      <c r="C1122" s="828">
        <v>93435</v>
      </c>
      <c r="D1122" s="630" t="s">
        <v>2055</v>
      </c>
      <c r="E1122" s="630" t="s">
        <v>902</v>
      </c>
      <c r="F1122" s="829">
        <v>5.74</v>
      </c>
      <c r="G1122" s="830">
        <v>0</v>
      </c>
      <c r="H1122" s="831">
        <v>5.74</v>
      </c>
      <c r="I1122" s="846"/>
      <c r="J1122" s="846"/>
      <c r="K1122" s="846"/>
      <c r="L1122" s="846"/>
      <c r="M1122" s="846"/>
      <c r="N1122" s="846"/>
      <c r="O1122" s="846"/>
      <c r="P1122" s="846"/>
      <c r="Q1122" s="846"/>
      <c r="R1122" s="846"/>
      <c r="S1122" s="846"/>
      <c r="T1122" s="846"/>
    </row>
    <row r="1123" spans="2:20" ht="25.5" hidden="1">
      <c r="B1123" s="828" t="s">
        <v>6529</v>
      </c>
      <c r="C1123" s="828">
        <v>93436</v>
      </c>
      <c r="D1123" s="630" t="s">
        <v>2056</v>
      </c>
      <c r="E1123" s="630" t="s">
        <v>902</v>
      </c>
      <c r="F1123" s="829">
        <v>1.2</v>
      </c>
      <c r="G1123" s="830">
        <v>0</v>
      </c>
      <c r="H1123" s="831">
        <v>1.2</v>
      </c>
      <c r="I1123" s="846"/>
      <c r="J1123" s="846"/>
      <c r="K1123" s="846"/>
      <c r="L1123" s="846"/>
      <c r="M1123" s="846"/>
      <c r="N1123" s="846"/>
      <c r="O1123" s="846"/>
      <c r="P1123" s="846"/>
      <c r="Q1123" s="846"/>
      <c r="R1123" s="846"/>
      <c r="S1123" s="846"/>
      <c r="T1123" s="846"/>
    </row>
    <row r="1124" spans="2:20" ht="25.5" hidden="1">
      <c r="B1124" s="828" t="s">
        <v>6529</v>
      </c>
      <c r="C1124" s="828">
        <v>93437</v>
      </c>
      <c r="D1124" s="630" t="s">
        <v>2057</v>
      </c>
      <c r="E1124" s="630" t="s">
        <v>902</v>
      </c>
      <c r="F1124" s="829">
        <v>10.76</v>
      </c>
      <c r="G1124" s="830">
        <v>0</v>
      </c>
      <c r="H1124" s="831">
        <v>10.76</v>
      </c>
      <c r="I1124" s="846"/>
      <c r="J1124" s="846"/>
      <c r="K1124" s="846"/>
      <c r="L1124" s="846"/>
      <c r="M1124" s="846"/>
      <c r="N1124" s="846"/>
      <c r="O1124" s="846"/>
      <c r="P1124" s="846"/>
      <c r="Q1124" s="846"/>
      <c r="R1124" s="846"/>
      <c r="S1124" s="846"/>
      <c r="T1124" s="846"/>
    </row>
    <row r="1125" spans="2:20" ht="25.5" hidden="1">
      <c r="B1125" s="828" t="s">
        <v>6529</v>
      </c>
      <c r="C1125" s="828">
        <v>93438</v>
      </c>
      <c r="D1125" s="630" t="s">
        <v>2058</v>
      </c>
      <c r="E1125" s="630" t="s">
        <v>902</v>
      </c>
      <c r="F1125" s="829">
        <v>30.7</v>
      </c>
      <c r="G1125" s="830">
        <v>0</v>
      </c>
      <c r="H1125" s="831">
        <v>30.7</v>
      </c>
      <c r="I1125" s="846"/>
      <c r="J1125" s="846"/>
      <c r="K1125" s="846"/>
      <c r="L1125" s="846"/>
      <c r="M1125" s="846"/>
      <c r="N1125" s="846"/>
      <c r="O1125" s="846"/>
      <c r="P1125" s="846"/>
      <c r="Q1125" s="846"/>
      <c r="R1125" s="846"/>
      <c r="S1125" s="846"/>
      <c r="T1125" s="846"/>
    </row>
    <row r="1126" spans="2:20" ht="25.5" hidden="1">
      <c r="B1126" s="828" t="s">
        <v>6529</v>
      </c>
      <c r="C1126" s="828">
        <v>95114</v>
      </c>
      <c r="D1126" s="630" t="s">
        <v>1649</v>
      </c>
      <c r="E1126" s="630" t="s">
        <v>902</v>
      </c>
      <c r="F1126" s="829">
        <v>1.21</v>
      </c>
      <c r="G1126" s="830">
        <v>0</v>
      </c>
      <c r="H1126" s="831">
        <v>1.21</v>
      </c>
      <c r="I1126" s="846"/>
      <c r="J1126" s="846"/>
      <c r="K1126" s="846"/>
      <c r="L1126" s="846"/>
      <c r="M1126" s="846"/>
      <c r="N1126" s="846"/>
      <c r="O1126" s="846"/>
      <c r="P1126" s="846"/>
      <c r="Q1126" s="846"/>
      <c r="R1126" s="846"/>
      <c r="S1126" s="846"/>
      <c r="T1126" s="846"/>
    </row>
    <row r="1127" spans="2:20" ht="25.5" hidden="1">
      <c r="B1127" s="828" t="s">
        <v>6529</v>
      </c>
      <c r="C1127" s="828">
        <v>95115</v>
      </c>
      <c r="D1127" s="630" t="s">
        <v>1650</v>
      </c>
      <c r="E1127" s="630" t="s">
        <v>902</v>
      </c>
      <c r="F1127" s="829">
        <v>0.14000000000000001</v>
      </c>
      <c r="G1127" s="830">
        <v>0</v>
      </c>
      <c r="H1127" s="831">
        <v>0.14000000000000001</v>
      </c>
      <c r="I1127" s="846"/>
      <c r="J1127" s="846"/>
      <c r="K1127" s="846"/>
      <c r="L1127" s="846"/>
      <c r="M1127" s="846"/>
      <c r="N1127" s="846"/>
      <c r="O1127" s="846"/>
      <c r="P1127" s="846"/>
      <c r="Q1127" s="846"/>
      <c r="R1127" s="846"/>
      <c r="S1127" s="846"/>
      <c r="T1127" s="846"/>
    </row>
    <row r="1128" spans="2:20" ht="25.5" hidden="1">
      <c r="B1128" s="828" t="s">
        <v>6529</v>
      </c>
      <c r="C1128" s="828">
        <v>95116</v>
      </c>
      <c r="D1128" s="630" t="s">
        <v>2061</v>
      </c>
      <c r="E1128" s="630" t="s">
        <v>902</v>
      </c>
      <c r="F1128" s="829">
        <v>31.99</v>
      </c>
      <c r="G1128" s="830">
        <v>0</v>
      </c>
      <c r="H1128" s="831">
        <v>31.99</v>
      </c>
      <c r="I1128" s="846"/>
      <c r="J1128" s="846"/>
      <c r="K1128" s="846"/>
      <c r="L1128" s="846"/>
      <c r="M1128" s="846"/>
      <c r="N1128" s="846"/>
      <c r="O1128" s="846"/>
      <c r="P1128" s="846"/>
      <c r="Q1128" s="846"/>
      <c r="R1128" s="846"/>
      <c r="S1128" s="846"/>
      <c r="T1128" s="846"/>
    </row>
    <row r="1129" spans="2:20" ht="25.5" hidden="1">
      <c r="B1129" s="828" t="s">
        <v>6529</v>
      </c>
      <c r="C1129" s="828">
        <v>95117</v>
      </c>
      <c r="D1129" s="630" t="s">
        <v>2062</v>
      </c>
      <c r="E1129" s="630" t="s">
        <v>902</v>
      </c>
      <c r="F1129" s="829">
        <v>5.04</v>
      </c>
      <c r="G1129" s="830">
        <v>0</v>
      </c>
      <c r="H1129" s="831">
        <v>5.04</v>
      </c>
      <c r="I1129" s="846"/>
      <c r="J1129" s="846"/>
      <c r="K1129" s="846"/>
      <c r="L1129" s="846"/>
      <c r="M1129" s="846"/>
      <c r="N1129" s="846"/>
      <c r="O1129" s="846"/>
      <c r="P1129" s="846"/>
      <c r="Q1129" s="846"/>
      <c r="R1129" s="846"/>
      <c r="S1129" s="846"/>
      <c r="T1129" s="846"/>
    </row>
    <row r="1130" spans="2:20" ht="25.5" hidden="1">
      <c r="B1130" s="828" t="s">
        <v>6529</v>
      </c>
      <c r="C1130" s="828">
        <v>95118</v>
      </c>
      <c r="D1130" s="630" t="s">
        <v>2212</v>
      </c>
      <c r="E1130" s="630" t="s">
        <v>902</v>
      </c>
      <c r="F1130" s="829">
        <v>62.48</v>
      </c>
      <c r="G1130" s="830">
        <v>0</v>
      </c>
      <c r="H1130" s="831">
        <v>62.48</v>
      </c>
      <c r="I1130" s="846"/>
      <c r="J1130" s="846"/>
      <c r="K1130" s="846"/>
      <c r="L1130" s="846"/>
      <c r="M1130" s="846"/>
      <c r="N1130" s="846"/>
      <c r="O1130" s="846"/>
      <c r="P1130" s="846"/>
      <c r="Q1130" s="846"/>
      <c r="R1130" s="846"/>
      <c r="S1130" s="846"/>
      <c r="T1130" s="846"/>
    </row>
    <row r="1131" spans="2:20" ht="25.5" hidden="1">
      <c r="B1131" s="828" t="s">
        <v>6529</v>
      </c>
      <c r="C1131" s="828">
        <v>95119</v>
      </c>
      <c r="D1131" s="630" t="s">
        <v>2213</v>
      </c>
      <c r="E1131" s="630" t="s">
        <v>902</v>
      </c>
      <c r="F1131" s="829">
        <v>9.84</v>
      </c>
      <c r="G1131" s="830">
        <v>0</v>
      </c>
      <c r="H1131" s="831">
        <v>9.84</v>
      </c>
      <c r="I1131" s="846"/>
      <c r="J1131" s="846"/>
      <c r="K1131" s="846"/>
      <c r="L1131" s="846"/>
      <c r="M1131" s="846"/>
      <c r="N1131" s="846"/>
      <c r="O1131" s="846"/>
      <c r="P1131" s="846"/>
      <c r="Q1131" s="846"/>
      <c r="R1131" s="846"/>
      <c r="S1131" s="846"/>
      <c r="T1131" s="846"/>
    </row>
    <row r="1132" spans="2:20" ht="25.5" hidden="1">
      <c r="B1132" s="828" t="s">
        <v>6529</v>
      </c>
      <c r="C1132" s="828">
        <v>95120</v>
      </c>
      <c r="D1132" s="630" t="s">
        <v>2214</v>
      </c>
      <c r="E1132" s="630" t="s">
        <v>902</v>
      </c>
      <c r="F1132" s="829">
        <v>53.55</v>
      </c>
      <c r="G1132" s="830">
        <v>0</v>
      </c>
      <c r="H1132" s="831">
        <v>53.55</v>
      </c>
      <c r="I1132" s="846"/>
      <c r="J1132" s="846"/>
      <c r="K1132" s="846"/>
      <c r="L1132" s="846"/>
      <c r="M1132" s="846"/>
      <c r="N1132" s="846"/>
      <c r="O1132" s="846"/>
      <c r="P1132" s="846"/>
      <c r="Q1132" s="846"/>
      <c r="R1132" s="846"/>
      <c r="S1132" s="846"/>
      <c r="T1132" s="846"/>
    </row>
    <row r="1133" spans="2:20" ht="25.5" hidden="1">
      <c r="B1133" s="828" t="s">
        <v>6529</v>
      </c>
      <c r="C1133" s="828">
        <v>95123</v>
      </c>
      <c r="D1133" s="630" t="s">
        <v>1804</v>
      </c>
      <c r="E1133" s="630" t="s">
        <v>902</v>
      </c>
      <c r="F1133" s="829">
        <v>18.95</v>
      </c>
      <c r="G1133" s="830">
        <v>0</v>
      </c>
      <c r="H1133" s="831">
        <v>18.95</v>
      </c>
      <c r="I1133" s="846"/>
      <c r="J1133" s="846"/>
      <c r="K1133" s="846"/>
      <c r="L1133" s="846"/>
      <c r="M1133" s="846"/>
      <c r="N1133" s="846"/>
      <c r="O1133" s="846"/>
      <c r="P1133" s="846"/>
      <c r="Q1133" s="846"/>
      <c r="R1133" s="846"/>
      <c r="S1133" s="846"/>
      <c r="T1133" s="846"/>
    </row>
    <row r="1134" spans="2:20" ht="25.5" hidden="1">
      <c r="B1134" s="828" t="s">
        <v>6529</v>
      </c>
      <c r="C1134" s="828">
        <v>95124</v>
      </c>
      <c r="D1134" s="630" t="s">
        <v>1805</v>
      </c>
      <c r="E1134" s="630" t="s">
        <v>902</v>
      </c>
      <c r="F1134" s="829">
        <v>2.98</v>
      </c>
      <c r="G1134" s="830">
        <v>0</v>
      </c>
      <c r="H1134" s="831">
        <v>2.98</v>
      </c>
      <c r="I1134" s="846"/>
      <c r="J1134" s="846"/>
      <c r="K1134" s="846"/>
      <c r="L1134" s="846"/>
      <c r="M1134" s="846"/>
      <c r="N1134" s="846"/>
      <c r="O1134" s="846"/>
      <c r="P1134" s="846"/>
      <c r="Q1134" s="846"/>
      <c r="R1134" s="846"/>
      <c r="S1134" s="846"/>
      <c r="T1134" s="846"/>
    </row>
    <row r="1135" spans="2:20" ht="25.5" hidden="1">
      <c r="B1135" s="828" t="s">
        <v>6529</v>
      </c>
      <c r="C1135" s="828">
        <v>95125</v>
      </c>
      <c r="D1135" s="630" t="s">
        <v>1806</v>
      </c>
      <c r="E1135" s="630" t="s">
        <v>902</v>
      </c>
      <c r="F1135" s="829">
        <v>20.74</v>
      </c>
      <c r="G1135" s="830">
        <v>0</v>
      </c>
      <c r="H1135" s="831">
        <v>20.74</v>
      </c>
      <c r="I1135" s="846"/>
      <c r="J1135" s="846"/>
      <c r="K1135" s="846"/>
      <c r="L1135" s="846"/>
      <c r="M1135" s="846"/>
      <c r="N1135" s="846"/>
      <c r="O1135" s="846"/>
      <c r="P1135" s="846"/>
      <c r="Q1135" s="846"/>
      <c r="R1135" s="846"/>
      <c r="S1135" s="846"/>
      <c r="T1135" s="846"/>
    </row>
    <row r="1136" spans="2:20" ht="25.5" hidden="1">
      <c r="B1136" s="828" t="s">
        <v>6529</v>
      </c>
      <c r="C1136" s="828">
        <v>95126</v>
      </c>
      <c r="D1136" s="630" t="s">
        <v>1807</v>
      </c>
      <c r="E1136" s="630" t="s">
        <v>902</v>
      </c>
      <c r="F1136" s="829">
        <v>179.89</v>
      </c>
      <c r="G1136" s="830">
        <v>0</v>
      </c>
      <c r="H1136" s="831">
        <v>179.89</v>
      </c>
      <c r="I1136" s="846"/>
      <c r="J1136" s="846"/>
      <c r="K1136" s="846"/>
      <c r="L1136" s="846"/>
      <c r="M1136" s="846"/>
      <c r="N1136" s="846"/>
      <c r="O1136" s="846"/>
      <c r="P1136" s="846"/>
      <c r="Q1136" s="846"/>
      <c r="R1136" s="846"/>
      <c r="S1136" s="846"/>
      <c r="T1136" s="846"/>
    </row>
    <row r="1137" spans="2:20" ht="25.5" hidden="1">
      <c r="B1137" s="828" t="s">
        <v>6529</v>
      </c>
      <c r="C1137" s="828">
        <v>95129</v>
      </c>
      <c r="D1137" s="630" t="s">
        <v>1622</v>
      </c>
      <c r="E1137" s="630" t="s">
        <v>902</v>
      </c>
      <c r="F1137" s="829">
        <v>50.79</v>
      </c>
      <c r="G1137" s="830">
        <v>0</v>
      </c>
      <c r="H1137" s="831">
        <v>50.79</v>
      </c>
      <c r="I1137" s="846"/>
      <c r="J1137" s="846"/>
      <c r="K1137" s="846"/>
      <c r="L1137" s="846"/>
      <c r="M1137" s="846"/>
      <c r="N1137" s="846"/>
      <c r="O1137" s="846"/>
      <c r="P1137" s="846"/>
      <c r="Q1137" s="846"/>
      <c r="R1137" s="846"/>
      <c r="S1137" s="846"/>
      <c r="T1137" s="846"/>
    </row>
    <row r="1138" spans="2:20" ht="25.5" hidden="1">
      <c r="B1138" s="828" t="s">
        <v>6529</v>
      </c>
      <c r="C1138" s="828">
        <v>95130</v>
      </c>
      <c r="D1138" s="630" t="s">
        <v>1623</v>
      </c>
      <c r="E1138" s="630" t="s">
        <v>902</v>
      </c>
      <c r="F1138" s="829">
        <v>9.41</v>
      </c>
      <c r="G1138" s="830">
        <v>0</v>
      </c>
      <c r="H1138" s="831">
        <v>9.41</v>
      </c>
      <c r="I1138" s="846"/>
      <c r="J1138" s="846"/>
      <c r="K1138" s="846"/>
      <c r="L1138" s="846"/>
      <c r="M1138" s="846"/>
      <c r="N1138" s="846"/>
      <c r="O1138" s="846"/>
      <c r="P1138" s="846"/>
      <c r="Q1138" s="846"/>
      <c r="R1138" s="846"/>
      <c r="S1138" s="846"/>
      <c r="T1138" s="846"/>
    </row>
    <row r="1139" spans="2:20" ht="25.5" hidden="1">
      <c r="B1139" s="828" t="s">
        <v>6529</v>
      </c>
      <c r="C1139" s="828">
        <v>95131</v>
      </c>
      <c r="D1139" s="630" t="s">
        <v>1624</v>
      </c>
      <c r="E1139" s="630" t="s">
        <v>902</v>
      </c>
      <c r="F1139" s="829">
        <v>59.79</v>
      </c>
      <c r="G1139" s="830">
        <v>0</v>
      </c>
      <c r="H1139" s="831">
        <v>59.79</v>
      </c>
      <c r="I1139" s="846"/>
      <c r="J1139" s="846"/>
      <c r="K1139" s="846"/>
      <c r="L1139" s="846"/>
      <c r="M1139" s="846"/>
      <c r="N1139" s="846"/>
      <c r="O1139" s="846"/>
      <c r="P1139" s="846"/>
      <c r="Q1139" s="846"/>
      <c r="R1139" s="846"/>
      <c r="S1139" s="846"/>
      <c r="T1139" s="846"/>
    </row>
    <row r="1140" spans="2:20" ht="25.5" hidden="1">
      <c r="B1140" s="828" t="s">
        <v>6529</v>
      </c>
      <c r="C1140" s="828">
        <v>95132</v>
      </c>
      <c r="D1140" s="630" t="s">
        <v>1625</v>
      </c>
      <c r="E1140" s="630" t="s">
        <v>902</v>
      </c>
      <c r="F1140" s="829">
        <v>39.4</v>
      </c>
      <c r="G1140" s="830">
        <v>0</v>
      </c>
      <c r="H1140" s="831">
        <v>39.4</v>
      </c>
      <c r="I1140" s="846"/>
      <c r="J1140" s="846"/>
      <c r="K1140" s="846"/>
      <c r="L1140" s="846"/>
      <c r="M1140" s="846"/>
      <c r="N1140" s="846"/>
      <c r="O1140" s="846"/>
      <c r="P1140" s="846"/>
      <c r="Q1140" s="846"/>
      <c r="R1140" s="846"/>
      <c r="S1140" s="846"/>
      <c r="T1140" s="846"/>
    </row>
    <row r="1141" spans="2:20" ht="25.5" hidden="1">
      <c r="B1141" s="828" t="s">
        <v>6529</v>
      </c>
      <c r="C1141" s="828">
        <v>95136</v>
      </c>
      <c r="D1141" s="630" t="s">
        <v>2181</v>
      </c>
      <c r="E1141" s="630" t="s">
        <v>902</v>
      </c>
      <c r="F1141" s="829">
        <v>0.03</v>
      </c>
      <c r="G1141" s="830">
        <v>0</v>
      </c>
      <c r="H1141" s="831">
        <v>0.03</v>
      </c>
      <c r="I1141" s="846"/>
      <c r="J1141" s="846"/>
      <c r="K1141" s="846"/>
      <c r="L1141" s="846"/>
      <c r="M1141" s="846"/>
      <c r="N1141" s="846"/>
      <c r="O1141" s="846"/>
      <c r="P1141" s="846"/>
      <c r="Q1141" s="846"/>
      <c r="R1141" s="846"/>
      <c r="S1141" s="846"/>
      <c r="T1141" s="846"/>
    </row>
    <row r="1142" spans="2:20" ht="25.5" hidden="1">
      <c r="B1142" s="828" t="s">
        <v>6529</v>
      </c>
      <c r="C1142" s="828">
        <v>95137</v>
      </c>
      <c r="D1142" s="630" t="s">
        <v>2182</v>
      </c>
      <c r="E1142" s="630" t="s">
        <v>902</v>
      </c>
      <c r="F1142" s="829">
        <v>0</v>
      </c>
      <c r="G1142" s="830">
        <v>0</v>
      </c>
      <c r="H1142" s="831">
        <v>0</v>
      </c>
      <c r="I1142" s="846"/>
      <c r="J1142" s="846"/>
      <c r="K1142" s="846"/>
      <c r="L1142" s="846"/>
      <c r="M1142" s="846"/>
      <c r="N1142" s="846"/>
      <c r="O1142" s="846"/>
      <c r="P1142" s="846"/>
      <c r="Q1142" s="846"/>
      <c r="R1142" s="846"/>
      <c r="S1142" s="846"/>
      <c r="T1142" s="846"/>
    </row>
    <row r="1143" spans="2:20" ht="25.5" hidden="1">
      <c r="B1143" s="828" t="s">
        <v>6529</v>
      </c>
      <c r="C1143" s="828">
        <v>95138</v>
      </c>
      <c r="D1143" s="630" t="s">
        <v>2183</v>
      </c>
      <c r="E1143" s="630" t="s">
        <v>902</v>
      </c>
      <c r="F1143" s="829">
        <v>0.02</v>
      </c>
      <c r="G1143" s="830">
        <v>0</v>
      </c>
      <c r="H1143" s="831">
        <v>0.02</v>
      </c>
      <c r="I1143" s="846"/>
      <c r="J1143" s="846"/>
      <c r="K1143" s="846"/>
      <c r="L1143" s="846"/>
      <c r="M1143" s="846"/>
      <c r="N1143" s="846"/>
      <c r="O1143" s="846"/>
      <c r="P1143" s="846"/>
      <c r="Q1143" s="846"/>
      <c r="R1143" s="846"/>
      <c r="S1143" s="846"/>
      <c r="T1143" s="846"/>
    </row>
    <row r="1144" spans="2:20" ht="25.5" hidden="1">
      <c r="B1144" s="828" t="s">
        <v>6529</v>
      </c>
      <c r="C1144" s="828">
        <v>95208</v>
      </c>
      <c r="D1144" s="630" t="s">
        <v>2084</v>
      </c>
      <c r="E1144" s="630" t="s">
        <v>902</v>
      </c>
      <c r="F1144" s="829">
        <v>51.07</v>
      </c>
      <c r="G1144" s="830">
        <v>0</v>
      </c>
      <c r="H1144" s="831">
        <v>51.07</v>
      </c>
      <c r="I1144" s="846"/>
      <c r="J1144" s="846"/>
      <c r="K1144" s="846"/>
      <c r="L1144" s="846"/>
      <c r="M1144" s="846"/>
      <c r="N1144" s="846"/>
      <c r="O1144" s="846"/>
      <c r="P1144" s="846"/>
      <c r="Q1144" s="846"/>
      <c r="R1144" s="846"/>
      <c r="S1144" s="846"/>
      <c r="T1144" s="846"/>
    </row>
    <row r="1145" spans="2:20" ht="25.5" hidden="1">
      <c r="B1145" s="828" t="s">
        <v>6529</v>
      </c>
      <c r="C1145" s="828">
        <v>95209</v>
      </c>
      <c r="D1145" s="630" t="s">
        <v>2085</v>
      </c>
      <c r="E1145" s="630" t="s">
        <v>902</v>
      </c>
      <c r="F1145" s="829">
        <v>6.06</v>
      </c>
      <c r="G1145" s="830">
        <v>0</v>
      </c>
      <c r="H1145" s="831">
        <v>6.06</v>
      </c>
      <c r="I1145" s="846"/>
      <c r="J1145" s="846"/>
      <c r="K1145" s="846"/>
      <c r="L1145" s="846"/>
      <c r="M1145" s="846"/>
      <c r="N1145" s="846"/>
      <c r="O1145" s="846"/>
      <c r="P1145" s="846"/>
      <c r="Q1145" s="846"/>
      <c r="R1145" s="846"/>
      <c r="S1145" s="846"/>
      <c r="T1145" s="846"/>
    </row>
    <row r="1146" spans="2:20" ht="25.5" hidden="1">
      <c r="B1146" s="828" t="s">
        <v>6529</v>
      </c>
      <c r="C1146" s="828">
        <v>95210</v>
      </c>
      <c r="D1146" s="630" t="s">
        <v>2086</v>
      </c>
      <c r="E1146" s="630" t="s">
        <v>902</v>
      </c>
      <c r="F1146" s="829">
        <v>55.86</v>
      </c>
      <c r="G1146" s="830">
        <v>0</v>
      </c>
      <c r="H1146" s="831">
        <v>55.86</v>
      </c>
      <c r="I1146" s="846"/>
      <c r="J1146" s="846"/>
      <c r="K1146" s="846"/>
      <c r="L1146" s="846"/>
      <c r="M1146" s="846"/>
      <c r="N1146" s="846"/>
      <c r="O1146" s="846"/>
      <c r="P1146" s="846"/>
      <c r="Q1146" s="846"/>
      <c r="R1146" s="846"/>
      <c r="S1146" s="846"/>
      <c r="T1146" s="846"/>
    </row>
    <row r="1147" spans="2:20" ht="25.5" hidden="1">
      <c r="B1147" s="828" t="s">
        <v>6529</v>
      </c>
      <c r="C1147" s="828">
        <v>95211</v>
      </c>
      <c r="D1147" s="630" t="s">
        <v>2087</v>
      </c>
      <c r="E1147" s="630" t="s">
        <v>902</v>
      </c>
      <c r="F1147" s="829">
        <v>7.85</v>
      </c>
      <c r="G1147" s="830">
        <v>0</v>
      </c>
      <c r="H1147" s="831">
        <v>7.85</v>
      </c>
      <c r="I1147" s="846"/>
      <c r="J1147" s="846"/>
      <c r="K1147" s="846"/>
      <c r="L1147" s="846"/>
      <c r="M1147" s="846"/>
      <c r="N1147" s="846"/>
      <c r="O1147" s="846"/>
      <c r="P1147" s="846"/>
      <c r="Q1147" s="846"/>
      <c r="R1147" s="846"/>
      <c r="S1147" s="846"/>
      <c r="T1147" s="846"/>
    </row>
    <row r="1148" spans="2:20" ht="25.5" hidden="1">
      <c r="B1148" s="828" t="s">
        <v>6529</v>
      </c>
      <c r="C1148" s="828">
        <v>95217</v>
      </c>
      <c r="D1148" s="630" t="s">
        <v>1642</v>
      </c>
      <c r="E1148" s="630" t="s">
        <v>902</v>
      </c>
      <c r="F1148" s="829">
        <v>0.52</v>
      </c>
      <c r="G1148" s="830">
        <v>0</v>
      </c>
      <c r="H1148" s="831">
        <v>0.52</v>
      </c>
      <c r="I1148" s="846"/>
      <c r="J1148" s="846"/>
      <c r="K1148" s="846"/>
      <c r="L1148" s="846"/>
      <c r="M1148" s="846"/>
      <c r="N1148" s="846"/>
      <c r="O1148" s="846"/>
      <c r="P1148" s="846"/>
      <c r="Q1148" s="846"/>
      <c r="R1148" s="846"/>
      <c r="S1148" s="846"/>
      <c r="T1148" s="846"/>
    </row>
    <row r="1149" spans="2:20" ht="25.5" hidden="1">
      <c r="B1149" s="828" t="s">
        <v>6529</v>
      </c>
      <c r="C1149" s="828">
        <v>95255</v>
      </c>
      <c r="D1149" s="630" t="s">
        <v>1758</v>
      </c>
      <c r="E1149" s="630" t="s">
        <v>902</v>
      </c>
      <c r="F1149" s="829">
        <v>1.07</v>
      </c>
      <c r="G1149" s="830">
        <v>0</v>
      </c>
      <c r="H1149" s="831">
        <v>1.07</v>
      </c>
      <c r="I1149" s="846"/>
      <c r="J1149" s="846"/>
      <c r="K1149" s="846"/>
      <c r="L1149" s="846"/>
      <c r="M1149" s="846"/>
      <c r="N1149" s="846"/>
      <c r="O1149" s="846"/>
      <c r="P1149" s="846"/>
      <c r="Q1149" s="846"/>
      <c r="R1149" s="846"/>
      <c r="S1149" s="846"/>
      <c r="T1149" s="846"/>
    </row>
    <row r="1150" spans="2:20" hidden="1">
      <c r="B1150" s="828" t="s">
        <v>6529</v>
      </c>
      <c r="C1150" s="828">
        <v>95256</v>
      </c>
      <c r="D1150" s="630" t="s">
        <v>1759</v>
      </c>
      <c r="E1150" s="630" t="s">
        <v>902</v>
      </c>
      <c r="F1150" s="829">
        <v>0.12</v>
      </c>
      <c r="G1150" s="830">
        <v>0</v>
      </c>
      <c r="H1150" s="831">
        <v>0.12</v>
      </c>
      <c r="I1150" s="846"/>
      <c r="J1150" s="846"/>
      <c r="K1150" s="846"/>
      <c r="L1150" s="846"/>
      <c r="M1150" s="846"/>
      <c r="N1150" s="846"/>
      <c r="O1150" s="846"/>
      <c r="P1150" s="846"/>
      <c r="Q1150" s="846"/>
      <c r="R1150" s="846"/>
      <c r="S1150" s="846"/>
      <c r="T1150" s="846"/>
    </row>
    <row r="1151" spans="2:20" ht="25.5" hidden="1">
      <c r="B1151" s="828" t="s">
        <v>6529</v>
      </c>
      <c r="C1151" s="828">
        <v>95257</v>
      </c>
      <c r="D1151" s="630" t="s">
        <v>1760</v>
      </c>
      <c r="E1151" s="630" t="s">
        <v>902</v>
      </c>
      <c r="F1151" s="829">
        <v>1.34</v>
      </c>
      <c r="G1151" s="830">
        <v>0</v>
      </c>
      <c r="H1151" s="831">
        <v>1.34</v>
      </c>
      <c r="I1151" s="846"/>
      <c r="J1151" s="846"/>
      <c r="K1151" s="846"/>
      <c r="L1151" s="846"/>
      <c r="M1151" s="846"/>
      <c r="N1151" s="846"/>
      <c r="O1151" s="846"/>
      <c r="P1151" s="846"/>
      <c r="Q1151" s="846"/>
      <c r="R1151" s="846"/>
      <c r="S1151" s="846"/>
      <c r="T1151" s="846"/>
    </row>
    <row r="1152" spans="2:20" ht="25.5" hidden="1">
      <c r="B1152" s="828" t="s">
        <v>6529</v>
      </c>
      <c r="C1152" s="828">
        <v>95260</v>
      </c>
      <c r="D1152" s="630" t="s">
        <v>2022</v>
      </c>
      <c r="E1152" s="630" t="s">
        <v>902</v>
      </c>
      <c r="F1152" s="829">
        <v>0.61</v>
      </c>
      <c r="G1152" s="830">
        <v>0</v>
      </c>
      <c r="H1152" s="831">
        <v>0.61</v>
      </c>
      <c r="I1152" s="846"/>
      <c r="J1152" s="846"/>
      <c r="K1152" s="846"/>
      <c r="L1152" s="846"/>
      <c r="M1152" s="846"/>
      <c r="N1152" s="846"/>
      <c r="O1152" s="846"/>
      <c r="P1152" s="846"/>
      <c r="Q1152" s="846"/>
      <c r="R1152" s="846"/>
      <c r="S1152" s="846"/>
      <c r="T1152" s="846"/>
    </row>
    <row r="1153" spans="2:20" ht="25.5" hidden="1">
      <c r="B1153" s="828" t="s">
        <v>6529</v>
      </c>
      <c r="C1153" s="828">
        <v>95261</v>
      </c>
      <c r="D1153" s="630" t="s">
        <v>2023</v>
      </c>
      <c r="E1153" s="630" t="s">
        <v>902</v>
      </c>
      <c r="F1153" s="829">
        <v>0.12</v>
      </c>
      <c r="G1153" s="830">
        <v>0</v>
      </c>
      <c r="H1153" s="831">
        <v>0.12</v>
      </c>
      <c r="I1153" s="846"/>
      <c r="J1153" s="846"/>
      <c r="K1153" s="846"/>
      <c r="L1153" s="846"/>
      <c r="M1153" s="846"/>
      <c r="N1153" s="846"/>
      <c r="O1153" s="846"/>
      <c r="P1153" s="846"/>
      <c r="Q1153" s="846"/>
      <c r="R1153" s="846"/>
      <c r="S1153" s="846"/>
      <c r="T1153" s="846"/>
    </row>
    <row r="1154" spans="2:20" ht="25.5" hidden="1">
      <c r="B1154" s="828" t="s">
        <v>6529</v>
      </c>
      <c r="C1154" s="828">
        <v>95262</v>
      </c>
      <c r="D1154" s="630" t="s">
        <v>2024</v>
      </c>
      <c r="E1154" s="630" t="s">
        <v>902</v>
      </c>
      <c r="F1154" s="829">
        <v>1.1200000000000001</v>
      </c>
      <c r="G1154" s="830">
        <v>0</v>
      </c>
      <c r="H1154" s="831">
        <v>1.1200000000000001</v>
      </c>
      <c r="I1154" s="846"/>
      <c r="J1154" s="846"/>
      <c r="K1154" s="846"/>
      <c r="L1154" s="846"/>
      <c r="M1154" s="846"/>
      <c r="N1154" s="846"/>
      <c r="O1154" s="846"/>
      <c r="P1154" s="846"/>
      <c r="Q1154" s="846"/>
      <c r="R1154" s="846"/>
      <c r="S1154" s="846"/>
      <c r="T1154" s="846"/>
    </row>
    <row r="1155" spans="2:20" ht="25.5" hidden="1">
      <c r="B1155" s="828" t="s">
        <v>6529</v>
      </c>
      <c r="C1155" s="828">
        <v>95263</v>
      </c>
      <c r="D1155" s="630" t="s">
        <v>2025</v>
      </c>
      <c r="E1155" s="630" t="s">
        <v>902</v>
      </c>
      <c r="F1155" s="829">
        <v>4.57</v>
      </c>
      <c r="G1155" s="830">
        <v>0</v>
      </c>
      <c r="H1155" s="831">
        <v>4.57</v>
      </c>
      <c r="I1155" s="846"/>
      <c r="J1155" s="846"/>
      <c r="K1155" s="846"/>
      <c r="L1155" s="846"/>
      <c r="M1155" s="846"/>
      <c r="N1155" s="846"/>
      <c r="O1155" s="846"/>
      <c r="P1155" s="846"/>
      <c r="Q1155" s="846"/>
      <c r="R1155" s="846"/>
      <c r="S1155" s="846"/>
      <c r="T1155" s="846"/>
    </row>
    <row r="1156" spans="2:20" ht="38.25" hidden="1">
      <c r="B1156" s="828" t="s">
        <v>6529</v>
      </c>
      <c r="C1156" s="828">
        <v>95266</v>
      </c>
      <c r="D1156" s="630" t="s">
        <v>2034</v>
      </c>
      <c r="E1156" s="630" t="s">
        <v>902</v>
      </c>
      <c r="F1156" s="829">
        <v>0.46</v>
      </c>
      <c r="G1156" s="830">
        <v>0</v>
      </c>
      <c r="H1156" s="831">
        <v>0.46</v>
      </c>
      <c r="I1156" s="846"/>
      <c r="J1156" s="846"/>
      <c r="K1156" s="846"/>
      <c r="L1156" s="846"/>
      <c r="M1156" s="846"/>
      <c r="N1156" s="846"/>
      <c r="O1156" s="846"/>
      <c r="P1156" s="846"/>
      <c r="Q1156" s="846"/>
      <c r="R1156" s="846"/>
      <c r="S1156" s="846"/>
      <c r="T1156" s="846"/>
    </row>
    <row r="1157" spans="2:20" ht="25.5" hidden="1">
      <c r="B1157" s="828" t="s">
        <v>6529</v>
      </c>
      <c r="C1157" s="828">
        <v>95267</v>
      </c>
      <c r="D1157" s="630" t="s">
        <v>2035</v>
      </c>
      <c r="E1157" s="630" t="s">
        <v>902</v>
      </c>
      <c r="F1157" s="829">
        <v>0.04</v>
      </c>
      <c r="G1157" s="830">
        <v>0</v>
      </c>
      <c r="H1157" s="831">
        <v>0.04</v>
      </c>
      <c r="I1157" s="846"/>
      <c r="J1157" s="846"/>
      <c r="K1157" s="846"/>
      <c r="L1157" s="846"/>
      <c r="M1157" s="846"/>
      <c r="N1157" s="846"/>
      <c r="O1157" s="846"/>
      <c r="P1157" s="846"/>
      <c r="Q1157" s="846"/>
      <c r="R1157" s="846"/>
      <c r="S1157" s="846"/>
      <c r="T1157" s="846"/>
    </row>
    <row r="1158" spans="2:20" ht="38.25" hidden="1">
      <c r="B1158" s="828" t="s">
        <v>6529</v>
      </c>
      <c r="C1158" s="828">
        <v>95268</v>
      </c>
      <c r="D1158" s="630" t="s">
        <v>2036</v>
      </c>
      <c r="E1158" s="630" t="s">
        <v>902</v>
      </c>
      <c r="F1158" s="829">
        <v>0.45</v>
      </c>
      <c r="G1158" s="830">
        <v>0</v>
      </c>
      <c r="H1158" s="831">
        <v>0.45</v>
      </c>
      <c r="I1158" s="846"/>
      <c r="J1158" s="846"/>
      <c r="K1158" s="846"/>
      <c r="L1158" s="846"/>
      <c r="M1158" s="846"/>
      <c r="N1158" s="846"/>
      <c r="O1158" s="846"/>
      <c r="P1158" s="846"/>
      <c r="Q1158" s="846"/>
      <c r="R1158" s="846"/>
      <c r="S1158" s="846"/>
      <c r="T1158" s="846"/>
    </row>
    <row r="1159" spans="2:20" ht="38.25" hidden="1">
      <c r="B1159" s="828" t="s">
        <v>6529</v>
      </c>
      <c r="C1159" s="828">
        <v>95269</v>
      </c>
      <c r="D1159" s="630" t="s">
        <v>2037</v>
      </c>
      <c r="E1159" s="630" t="s">
        <v>902</v>
      </c>
      <c r="F1159" s="829">
        <v>8.4499999999999993</v>
      </c>
      <c r="G1159" s="830">
        <v>0</v>
      </c>
      <c r="H1159" s="831">
        <v>8.4499999999999993</v>
      </c>
      <c r="I1159" s="846"/>
      <c r="J1159" s="846"/>
      <c r="K1159" s="846"/>
      <c r="L1159" s="846"/>
      <c r="M1159" s="846"/>
      <c r="N1159" s="846"/>
      <c r="O1159" s="846"/>
      <c r="P1159" s="846"/>
      <c r="Q1159" s="846"/>
      <c r="R1159" s="846"/>
      <c r="S1159" s="846"/>
      <c r="T1159" s="846"/>
    </row>
    <row r="1160" spans="2:20" ht="25.5" hidden="1">
      <c r="B1160" s="828" t="s">
        <v>6529</v>
      </c>
      <c r="C1160" s="828">
        <v>95272</v>
      </c>
      <c r="D1160" s="630" t="s">
        <v>1645</v>
      </c>
      <c r="E1160" s="630" t="s">
        <v>902</v>
      </c>
      <c r="F1160" s="829">
        <v>0.45</v>
      </c>
      <c r="G1160" s="830">
        <v>0</v>
      </c>
      <c r="H1160" s="831">
        <v>0.45</v>
      </c>
      <c r="I1160" s="846"/>
      <c r="J1160" s="846"/>
      <c r="K1160" s="846"/>
      <c r="L1160" s="846"/>
      <c r="M1160" s="846"/>
      <c r="N1160" s="846"/>
      <c r="O1160" s="846"/>
      <c r="P1160" s="846"/>
      <c r="Q1160" s="846"/>
      <c r="R1160" s="846"/>
      <c r="S1160" s="846"/>
      <c r="T1160" s="846"/>
    </row>
    <row r="1161" spans="2:20" ht="25.5" hidden="1">
      <c r="B1161" s="828" t="s">
        <v>6529</v>
      </c>
      <c r="C1161" s="828">
        <v>95273</v>
      </c>
      <c r="D1161" s="630" t="s">
        <v>1646</v>
      </c>
      <c r="E1161" s="630" t="s">
        <v>902</v>
      </c>
      <c r="F1161" s="829">
        <v>0.05</v>
      </c>
      <c r="G1161" s="830">
        <v>0</v>
      </c>
      <c r="H1161" s="831">
        <v>0.05</v>
      </c>
      <c r="I1161" s="846"/>
      <c r="J1161" s="846"/>
      <c r="K1161" s="846"/>
      <c r="L1161" s="846"/>
      <c r="M1161" s="846"/>
      <c r="N1161" s="846"/>
      <c r="O1161" s="846"/>
      <c r="P1161" s="846"/>
      <c r="Q1161" s="846"/>
      <c r="R1161" s="846"/>
      <c r="S1161" s="846"/>
      <c r="T1161" s="846"/>
    </row>
    <row r="1162" spans="2:20" ht="25.5" hidden="1">
      <c r="B1162" s="828" t="s">
        <v>6529</v>
      </c>
      <c r="C1162" s="828">
        <v>95274</v>
      </c>
      <c r="D1162" s="630" t="s">
        <v>1647</v>
      </c>
      <c r="E1162" s="630" t="s">
        <v>902</v>
      </c>
      <c r="F1162" s="829">
        <v>0.35</v>
      </c>
      <c r="G1162" s="830">
        <v>0</v>
      </c>
      <c r="H1162" s="831">
        <v>0.35</v>
      </c>
      <c r="I1162" s="846"/>
      <c r="J1162" s="846"/>
      <c r="K1162" s="846"/>
      <c r="L1162" s="846"/>
      <c r="M1162" s="846"/>
      <c r="N1162" s="846"/>
      <c r="O1162" s="846"/>
      <c r="P1162" s="846"/>
      <c r="Q1162" s="846"/>
      <c r="R1162" s="846"/>
      <c r="S1162" s="846"/>
      <c r="T1162" s="846"/>
    </row>
    <row r="1163" spans="2:20" ht="25.5" hidden="1">
      <c r="B1163" s="828" t="s">
        <v>6529</v>
      </c>
      <c r="C1163" s="828">
        <v>95275</v>
      </c>
      <c r="D1163" s="630" t="s">
        <v>1648</v>
      </c>
      <c r="E1163" s="630" t="s">
        <v>902</v>
      </c>
      <c r="F1163" s="829">
        <v>2.13</v>
      </c>
      <c r="G1163" s="830">
        <v>0</v>
      </c>
      <c r="H1163" s="831">
        <v>2.13</v>
      </c>
      <c r="I1163" s="846"/>
      <c r="J1163" s="846"/>
      <c r="K1163" s="846"/>
      <c r="L1163" s="846"/>
      <c r="M1163" s="846"/>
      <c r="N1163" s="846"/>
      <c r="O1163" s="846"/>
      <c r="P1163" s="846"/>
      <c r="Q1163" s="846"/>
      <c r="R1163" s="846"/>
      <c r="S1163" s="846"/>
      <c r="T1163" s="846"/>
    </row>
    <row r="1164" spans="2:20" ht="25.5" hidden="1">
      <c r="B1164" s="828" t="s">
        <v>6529</v>
      </c>
      <c r="C1164" s="828">
        <v>95278</v>
      </c>
      <c r="D1164" s="630" t="s">
        <v>1784</v>
      </c>
      <c r="E1164" s="630" t="s">
        <v>902</v>
      </c>
      <c r="F1164" s="829">
        <v>0.55000000000000004</v>
      </c>
      <c r="G1164" s="830">
        <v>0</v>
      </c>
      <c r="H1164" s="831">
        <v>0.55000000000000004</v>
      </c>
      <c r="I1164" s="846"/>
      <c r="J1164" s="846"/>
      <c r="K1164" s="846"/>
      <c r="L1164" s="846"/>
      <c r="M1164" s="846"/>
      <c r="N1164" s="846"/>
      <c r="O1164" s="846"/>
      <c r="P1164" s="846"/>
      <c r="Q1164" s="846"/>
      <c r="R1164" s="846"/>
      <c r="S1164" s="846"/>
      <c r="T1164" s="846"/>
    </row>
    <row r="1165" spans="2:20" ht="25.5" hidden="1">
      <c r="B1165" s="828" t="s">
        <v>6529</v>
      </c>
      <c r="C1165" s="828">
        <v>95279</v>
      </c>
      <c r="D1165" s="630" t="s">
        <v>1785</v>
      </c>
      <c r="E1165" s="630" t="s">
        <v>902</v>
      </c>
      <c r="F1165" s="829">
        <v>0.05</v>
      </c>
      <c r="G1165" s="830">
        <v>0</v>
      </c>
      <c r="H1165" s="831">
        <v>0.05</v>
      </c>
      <c r="I1165" s="846"/>
      <c r="J1165" s="846"/>
      <c r="K1165" s="846"/>
      <c r="L1165" s="846"/>
      <c r="M1165" s="846"/>
      <c r="N1165" s="846"/>
      <c r="O1165" s="846"/>
      <c r="P1165" s="846"/>
      <c r="Q1165" s="846"/>
      <c r="R1165" s="846"/>
      <c r="S1165" s="846"/>
      <c r="T1165" s="846"/>
    </row>
    <row r="1166" spans="2:20" ht="25.5" hidden="1">
      <c r="B1166" s="828" t="s">
        <v>6529</v>
      </c>
      <c r="C1166" s="828">
        <v>95280</v>
      </c>
      <c r="D1166" s="630" t="s">
        <v>1786</v>
      </c>
      <c r="E1166" s="630" t="s">
        <v>902</v>
      </c>
      <c r="F1166" s="829">
        <v>0.54</v>
      </c>
      <c r="G1166" s="830">
        <v>0</v>
      </c>
      <c r="H1166" s="831">
        <v>0.54</v>
      </c>
      <c r="I1166" s="846"/>
      <c r="J1166" s="846"/>
      <c r="K1166" s="846"/>
      <c r="L1166" s="846"/>
      <c r="M1166" s="846"/>
      <c r="N1166" s="846"/>
      <c r="O1166" s="846"/>
      <c r="P1166" s="846"/>
      <c r="Q1166" s="846"/>
      <c r="R1166" s="846"/>
      <c r="S1166" s="846"/>
      <c r="T1166" s="846"/>
    </row>
    <row r="1167" spans="2:20" ht="25.5" hidden="1">
      <c r="B1167" s="828" t="s">
        <v>6529</v>
      </c>
      <c r="C1167" s="828">
        <v>95281</v>
      </c>
      <c r="D1167" s="630" t="s">
        <v>1787</v>
      </c>
      <c r="E1167" s="630" t="s">
        <v>902</v>
      </c>
      <c r="F1167" s="829">
        <v>8.4499999999999993</v>
      </c>
      <c r="G1167" s="830">
        <v>0</v>
      </c>
      <c r="H1167" s="831">
        <v>8.4499999999999993</v>
      </c>
      <c r="I1167" s="846"/>
      <c r="J1167" s="846"/>
      <c r="K1167" s="846"/>
      <c r="L1167" s="846"/>
      <c r="M1167" s="846"/>
      <c r="N1167" s="846"/>
      <c r="O1167" s="846"/>
      <c r="P1167" s="846"/>
      <c r="Q1167" s="846"/>
      <c r="R1167" s="846"/>
      <c r="S1167" s="846"/>
      <c r="T1167" s="846"/>
    </row>
    <row r="1168" spans="2:20" ht="38.25" hidden="1">
      <c r="B1168" s="828" t="s">
        <v>6529</v>
      </c>
      <c r="C1168" s="828">
        <v>95617</v>
      </c>
      <c r="D1168" s="630" t="s">
        <v>2089</v>
      </c>
      <c r="E1168" s="630" t="s">
        <v>902</v>
      </c>
      <c r="F1168" s="829">
        <v>0.88</v>
      </c>
      <c r="G1168" s="830">
        <v>0</v>
      </c>
      <c r="H1168" s="831">
        <v>0.88</v>
      </c>
      <c r="I1168" s="846"/>
      <c r="J1168" s="846"/>
      <c r="K1168" s="846"/>
      <c r="L1168" s="846"/>
      <c r="M1168" s="846"/>
      <c r="N1168" s="846"/>
      <c r="O1168" s="846"/>
      <c r="P1168" s="846"/>
      <c r="Q1168" s="846"/>
      <c r="R1168" s="846"/>
      <c r="S1168" s="846"/>
      <c r="T1168" s="846"/>
    </row>
    <row r="1169" spans="2:20" ht="38.25" hidden="1">
      <c r="B1169" s="828" t="s">
        <v>6529</v>
      </c>
      <c r="C1169" s="828">
        <v>95618</v>
      </c>
      <c r="D1169" s="630" t="s">
        <v>2090</v>
      </c>
      <c r="E1169" s="630" t="s">
        <v>902</v>
      </c>
      <c r="F1169" s="829">
        <v>0.1</v>
      </c>
      <c r="G1169" s="830">
        <v>0</v>
      </c>
      <c r="H1169" s="831">
        <v>0.1</v>
      </c>
      <c r="I1169" s="846"/>
      <c r="J1169" s="846"/>
      <c r="K1169" s="846"/>
      <c r="L1169" s="846"/>
      <c r="M1169" s="846"/>
      <c r="N1169" s="846"/>
      <c r="O1169" s="846"/>
      <c r="P1169" s="846"/>
      <c r="Q1169" s="846"/>
      <c r="R1169" s="846"/>
      <c r="S1169" s="846"/>
      <c r="T1169" s="846"/>
    </row>
    <row r="1170" spans="2:20" ht="38.25" hidden="1">
      <c r="B1170" s="828" t="s">
        <v>6529</v>
      </c>
      <c r="C1170" s="828">
        <v>95619</v>
      </c>
      <c r="D1170" s="630" t="s">
        <v>2091</v>
      </c>
      <c r="E1170" s="630" t="s">
        <v>902</v>
      </c>
      <c r="F1170" s="829">
        <v>1.1000000000000001</v>
      </c>
      <c r="G1170" s="830">
        <v>0</v>
      </c>
      <c r="H1170" s="831">
        <v>1.1000000000000001</v>
      </c>
      <c r="I1170" s="846"/>
      <c r="J1170" s="846"/>
      <c r="K1170" s="846"/>
      <c r="L1170" s="846"/>
      <c r="M1170" s="846"/>
      <c r="N1170" s="846"/>
      <c r="O1170" s="846"/>
      <c r="P1170" s="846"/>
      <c r="Q1170" s="846"/>
      <c r="R1170" s="846"/>
      <c r="S1170" s="846"/>
      <c r="T1170" s="846"/>
    </row>
    <row r="1171" spans="2:20" ht="38.25" hidden="1">
      <c r="B1171" s="828" t="s">
        <v>6529</v>
      </c>
      <c r="C1171" s="828">
        <v>95627</v>
      </c>
      <c r="D1171" s="630" t="s">
        <v>2204</v>
      </c>
      <c r="E1171" s="630" t="s">
        <v>902</v>
      </c>
      <c r="F1171" s="829">
        <v>44.69</v>
      </c>
      <c r="G1171" s="830">
        <v>0</v>
      </c>
      <c r="H1171" s="831">
        <v>44.69</v>
      </c>
      <c r="I1171" s="846"/>
      <c r="J1171" s="846"/>
      <c r="K1171" s="846"/>
      <c r="L1171" s="846"/>
      <c r="M1171" s="846"/>
      <c r="N1171" s="846"/>
      <c r="O1171" s="846"/>
      <c r="P1171" s="846"/>
      <c r="Q1171" s="846"/>
      <c r="R1171" s="846"/>
      <c r="S1171" s="846"/>
      <c r="T1171" s="846"/>
    </row>
    <row r="1172" spans="2:20" ht="38.25" hidden="1">
      <c r="B1172" s="828" t="s">
        <v>6529</v>
      </c>
      <c r="C1172" s="828">
        <v>95628</v>
      </c>
      <c r="D1172" s="630" t="s">
        <v>2205</v>
      </c>
      <c r="E1172" s="630" t="s">
        <v>902</v>
      </c>
      <c r="F1172" s="829">
        <v>6.2</v>
      </c>
      <c r="G1172" s="830">
        <v>0</v>
      </c>
      <c r="H1172" s="831">
        <v>6.2</v>
      </c>
      <c r="I1172" s="846"/>
      <c r="J1172" s="846"/>
      <c r="K1172" s="846"/>
      <c r="L1172" s="846"/>
      <c r="M1172" s="846"/>
      <c r="N1172" s="846"/>
      <c r="O1172" s="846"/>
      <c r="P1172" s="846"/>
      <c r="Q1172" s="846"/>
      <c r="R1172" s="846"/>
      <c r="S1172" s="846"/>
      <c r="T1172" s="846"/>
    </row>
    <row r="1173" spans="2:20" ht="38.25" hidden="1">
      <c r="B1173" s="828" t="s">
        <v>6529</v>
      </c>
      <c r="C1173" s="828">
        <v>95629</v>
      </c>
      <c r="D1173" s="630" t="s">
        <v>2206</v>
      </c>
      <c r="E1173" s="630" t="s">
        <v>902</v>
      </c>
      <c r="F1173" s="829">
        <v>55.93</v>
      </c>
      <c r="G1173" s="830">
        <v>0</v>
      </c>
      <c r="H1173" s="831">
        <v>55.93</v>
      </c>
      <c r="I1173" s="846"/>
      <c r="J1173" s="846"/>
      <c r="K1173" s="846"/>
      <c r="L1173" s="846"/>
      <c r="M1173" s="846"/>
      <c r="N1173" s="846"/>
      <c r="O1173" s="846"/>
      <c r="P1173" s="846"/>
      <c r="Q1173" s="846"/>
      <c r="R1173" s="846"/>
      <c r="S1173" s="846"/>
      <c r="T1173" s="846"/>
    </row>
    <row r="1174" spans="2:20" ht="38.25" hidden="1">
      <c r="B1174" s="828" t="s">
        <v>6529</v>
      </c>
      <c r="C1174" s="828">
        <v>95630</v>
      </c>
      <c r="D1174" s="630" t="s">
        <v>2207</v>
      </c>
      <c r="E1174" s="630" t="s">
        <v>902</v>
      </c>
      <c r="F1174" s="829">
        <v>109.06</v>
      </c>
      <c r="G1174" s="830">
        <v>0</v>
      </c>
      <c r="H1174" s="831">
        <v>109.06</v>
      </c>
      <c r="I1174" s="846"/>
      <c r="J1174" s="846"/>
      <c r="K1174" s="846"/>
      <c r="L1174" s="846"/>
      <c r="M1174" s="846"/>
      <c r="N1174" s="846"/>
      <c r="O1174" s="846"/>
      <c r="P1174" s="846"/>
      <c r="Q1174" s="846"/>
      <c r="R1174" s="846"/>
      <c r="S1174" s="846"/>
      <c r="T1174" s="846"/>
    </row>
    <row r="1175" spans="2:20" ht="25.5" hidden="1">
      <c r="B1175" s="828" t="s">
        <v>6529</v>
      </c>
      <c r="C1175" s="828">
        <v>95698</v>
      </c>
      <c r="D1175" s="630" t="s">
        <v>2092</v>
      </c>
      <c r="E1175" s="630" t="s">
        <v>902</v>
      </c>
      <c r="F1175" s="829">
        <v>3.57</v>
      </c>
      <c r="G1175" s="830">
        <v>0</v>
      </c>
      <c r="H1175" s="831">
        <v>3.57</v>
      </c>
      <c r="I1175" s="846"/>
      <c r="J1175" s="846"/>
      <c r="K1175" s="846"/>
      <c r="L1175" s="846"/>
      <c r="M1175" s="846"/>
      <c r="N1175" s="846"/>
      <c r="O1175" s="846"/>
      <c r="P1175" s="846"/>
      <c r="Q1175" s="846"/>
      <c r="R1175" s="846"/>
      <c r="S1175" s="846"/>
      <c r="T1175" s="846"/>
    </row>
    <row r="1176" spans="2:20" ht="25.5" hidden="1">
      <c r="B1176" s="828" t="s">
        <v>6529</v>
      </c>
      <c r="C1176" s="828">
        <v>95699</v>
      </c>
      <c r="D1176" s="630" t="s">
        <v>1789</v>
      </c>
      <c r="E1176" s="630" t="s">
        <v>902</v>
      </c>
      <c r="F1176" s="829">
        <v>0.42</v>
      </c>
      <c r="G1176" s="830">
        <v>0</v>
      </c>
      <c r="H1176" s="831">
        <v>0.42</v>
      </c>
      <c r="I1176" s="846"/>
      <c r="J1176" s="846"/>
      <c r="K1176" s="846"/>
      <c r="L1176" s="846"/>
      <c r="M1176" s="846"/>
      <c r="N1176" s="846"/>
      <c r="O1176" s="846"/>
      <c r="P1176" s="846"/>
      <c r="Q1176" s="846"/>
      <c r="R1176" s="846"/>
      <c r="S1176" s="846"/>
      <c r="T1176" s="846"/>
    </row>
    <row r="1177" spans="2:20" ht="25.5" hidden="1">
      <c r="B1177" s="828" t="s">
        <v>6529</v>
      </c>
      <c r="C1177" s="828">
        <v>95700</v>
      </c>
      <c r="D1177" s="630" t="s">
        <v>1790</v>
      </c>
      <c r="E1177" s="630" t="s">
        <v>902</v>
      </c>
      <c r="F1177" s="829">
        <v>4.47</v>
      </c>
      <c r="G1177" s="830">
        <v>0</v>
      </c>
      <c r="H1177" s="831">
        <v>4.47</v>
      </c>
      <c r="I1177" s="846"/>
      <c r="J1177" s="846"/>
      <c r="K1177" s="846"/>
      <c r="L1177" s="846"/>
      <c r="M1177" s="846"/>
      <c r="N1177" s="846"/>
      <c r="O1177" s="846"/>
      <c r="P1177" s="846"/>
      <c r="Q1177" s="846"/>
      <c r="R1177" s="846"/>
      <c r="S1177" s="846"/>
      <c r="T1177" s="846"/>
    </row>
    <row r="1178" spans="2:20" ht="25.5" hidden="1">
      <c r="B1178" s="828" t="s">
        <v>6529</v>
      </c>
      <c r="C1178" s="828">
        <v>95701</v>
      </c>
      <c r="D1178" s="630" t="s">
        <v>1791</v>
      </c>
      <c r="E1178" s="630" t="s">
        <v>902</v>
      </c>
      <c r="F1178" s="829">
        <v>2.62</v>
      </c>
      <c r="G1178" s="830">
        <v>0</v>
      </c>
      <c r="H1178" s="831">
        <v>2.62</v>
      </c>
      <c r="I1178" s="846"/>
      <c r="J1178" s="846"/>
      <c r="K1178" s="846"/>
      <c r="L1178" s="846"/>
      <c r="M1178" s="846"/>
      <c r="N1178" s="846"/>
      <c r="O1178" s="846"/>
      <c r="P1178" s="846"/>
      <c r="Q1178" s="846"/>
      <c r="R1178" s="846"/>
      <c r="S1178" s="846"/>
      <c r="T1178" s="846"/>
    </row>
    <row r="1179" spans="2:20" ht="25.5" hidden="1">
      <c r="B1179" s="828" t="s">
        <v>6529</v>
      </c>
      <c r="C1179" s="828">
        <v>95704</v>
      </c>
      <c r="D1179" s="630" t="s">
        <v>1792</v>
      </c>
      <c r="E1179" s="630" t="s">
        <v>902</v>
      </c>
      <c r="F1179" s="829">
        <v>50.53</v>
      </c>
      <c r="G1179" s="830">
        <v>0</v>
      </c>
      <c r="H1179" s="831">
        <v>50.53</v>
      </c>
      <c r="I1179" s="846"/>
      <c r="J1179" s="846"/>
      <c r="K1179" s="846"/>
      <c r="L1179" s="846"/>
      <c r="M1179" s="846"/>
      <c r="N1179" s="846"/>
      <c r="O1179" s="846"/>
      <c r="P1179" s="846"/>
      <c r="Q1179" s="846"/>
      <c r="R1179" s="846"/>
      <c r="S1179" s="846"/>
      <c r="T1179" s="846"/>
    </row>
    <row r="1180" spans="2:20" ht="25.5" hidden="1">
      <c r="B1180" s="828" t="s">
        <v>6529</v>
      </c>
      <c r="C1180" s="828">
        <v>95705</v>
      </c>
      <c r="D1180" s="630" t="s">
        <v>1793</v>
      </c>
      <c r="E1180" s="630" t="s">
        <v>902</v>
      </c>
      <c r="F1180" s="829">
        <v>6.92</v>
      </c>
      <c r="G1180" s="830">
        <v>0</v>
      </c>
      <c r="H1180" s="831">
        <v>6.92</v>
      </c>
      <c r="I1180" s="846"/>
      <c r="J1180" s="846"/>
      <c r="K1180" s="846"/>
      <c r="L1180" s="846"/>
      <c r="M1180" s="846"/>
      <c r="N1180" s="846"/>
      <c r="O1180" s="846"/>
      <c r="P1180" s="846"/>
      <c r="Q1180" s="846"/>
      <c r="R1180" s="846"/>
      <c r="S1180" s="846"/>
      <c r="T1180" s="846"/>
    </row>
    <row r="1181" spans="2:20" ht="25.5" hidden="1">
      <c r="B1181" s="828" t="s">
        <v>6529</v>
      </c>
      <c r="C1181" s="828">
        <v>95706</v>
      </c>
      <c r="D1181" s="630" t="s">
        <v>1794</v>
      </c>
      <c r="E1181" s="630" t="s">
        <v>902</v>
      </c>
      <c r="F1181" s="829">
        <v>63.23</v>
      </c>
      <c r="G1181" s="830">
        <v>0</v>
      </c>
      <c r="H1181" s="831">
        <v>63.23</v>
      </c>
      <c r="I1181" s="846"/>
      <c r="J1181" s="846"/>
      <c r="K1181" s="846"/>
      <c r="L1181" s="846"/>
      <c r="M1181" s="846"/>
      <c r="N1181" s="846"/>
      <c r="O1181" s="846"/>
      <c r="P1181" s="846"/>
      <c r="Q1181" s="846"/>
      <c r="R1181" s="846"/>
      <c r="S1181" s="846"/>
      <c r="T1181" s="846"/>
    </row>
    <row r="1182" spans="2:20" ht="38.25" hidden="1">
      <c r="B1182" s="828" t="s">
        <v>6529</v>
      </c>
      <c r="C1182" s="828">
        <v>95707</v>
      </c>
      <c r="D1182" s="630" t="s">
        <v>1795</v>
      </c>
      <c r="E1182" s="630" t="s">
        <v>902</v>
      </c>
      <c r="F1182" s="829">
        <v>3.44</v>
      </c>
      <c r="G1182" s="830">
        <v>0</v>
      </c>
      <c r="H1182" s="831">
        <v>3.44</v>
      </c>
      <c r="I1182" s="846"/>
      <c r="J1182" s="846"/>
      <c r="K1182" s="846"/>
      <c r="L1182" s="846"/>
      <c r="M1182" s="846"/>
      <c r="N1182" s="846"/>
      <c r="O1182" s="846"/>
      <c r="P1182" s="846"/>
      <c r="Q1182" s="846"/>
      <c r="R1182" s="846"/>
      <c r="S1182" s="846"/>
      <c r="T1182" s="846"/>
    </row>
    <row r="1183" spans="2:20" ht="38.25" hidden="1">
      <c r="B1183" s="828" t="s">
        <v>6529</v>
      </c>
      <c r="C1183" s="828">
        <v>95710</v>
      </c>
      <c r="D1183" s="630" t="s">
        <v>2018</v>
      </c>
      <c r="E1183" s="630" t="s">
        <v>902</v>
      </c>
      <c r="F1183" s="829">
        <v>60.73</v>
      </c>
      <c r="G1183" s="830">
        <v>0</v>
      </c>
      <c r="H1183" s="831">
        <v>60.73</v>
      </c>
      <c r="I1183" s="846"/>
      <c r="J1183" s="846"/>
      <c r="K1183" s="846"/>
      <c r="L1183" s="846"/>
      <c r="M1183" s="846"/>
      <c r="N1183" s="846"/>
      <c r="O1183" s="846"/>
      <c r="P1183" s="846"/>
      <c r="Q1183" s="846"/>
      <c r="R1183" s="846"/>
      <c r="S1183" s="846"/>
      <c r="T1183" s="846"/>
    </row>
    <row r="1184" spans="2:20" ht="38.25" hidden="1">
      <c r="B1184" s="828" t="s">
        <v>6529</v>
      </c>
      <c r="C1184" s="828">
        <v>95711</v>
      </c>
      <c r="D1184" s="630" t="s">
        <v>2019</v>
      </c>
      <c r="E1184" s="630" t="s">
        <v>902</v>
      </c>
      <c r="F1184" s="829">
        <v>8.24</v>
      </c>
      <c r="G1184" s="830">
        <v>0</v>
      </c>
      <c r="H1184" s="831">
        <v>8.24</v>
      </c>
      <c r="I1184" s="846"/>
      <c r="J1184" s="846"/>
      <c r="K1184" s="846"/>
      <c r="L1184" s="846"/>
      <c r="M1184" s="846"/>
      <c r="N1184" s="846"/>
      <c r="O1184" s="846"/>
      <c r="P1184" s="846"/>
      <c r="Q1184" s="846"/>
      <c r="R1184" s="846"/>
      <c r="S1184" s="846"/>
      <c r="T1184" s="846"/>
    </row>
    <row r="1185" spans="2:20" ht="38.25" hidden="1">
      <c r="B1185" s="828" t="s">
        <v>6529</v>
      </c>
      <c r="C1185" s="828">
        <v>95712</v>
      </c>
      <c r="D1185" s="630" t="s">
        <v>1737</v>
      </c>
      <c r="E1185" s="630" t="s">
        <v>902</v>
      </c>
      <c r="F1185" s="829">
        <v>75.92</v>
      </c>
      <c r="G1185" s="830">
        <v>0</v>
      </c>
      <c r="H1185" s="831">
        <v>75.92</v>
      </c>
      <c r="I1185" s="846"/>
      <c r="J1185" s="846"/>
      <c r="K1185" s="846"/>
      <c r="L1185" s="846"/>
      <c r="M1185" s="846"/>
      <c r="N1185" s="846"/>
      <c r="O1185" s="846"/>
      <c r="P1185" s="846"/>
      <c r="Q1185" s="846"/>
      <c r="R1185" s="846"/>
      <c r="S1185" s="846"/>
      <c r="T1185" s="846"/>
    </row>
    <row r="1186" spans="2:20" ht="38.25" hidden="1">
      <c r="B1186" s="828" t="s">
        <v>6529</v>
      </c>
      <c r="C1186" s="828">
        <v>95713</v>
      </c>
      <c r="D1186" s="630" t="s">
        <v>1738</v>
      </c>
      <c r="E1186" s="630" t="s">
        <v>902</v>
      </c>
      <c r="F1186" s="829">
        <v>109.86</v>
      </c>
      <c r="G1186" s="830">
        <v>0</v>
      </c>
      <c r="H1186" s="831">
        <v>109.86</v>
      </c>
      <c r="I1186" s="846"/>
      <c r="J1186" s="846"/>
      <c r="K1186" s="846"/>
      <c r="L1186" s="846"/>
      <c r="M1186" s="846"/>
      <c r="N1186" s="846"/>
      <c r="O1186" s="846"/>
      <c r="P1186" s="846"/>
      <c r="Q1186" s="846"/>
      <c r="R1186" s="846"/>
      <c r="S1186" s="846"/>
      <c r="T1186" s="846"/>
    </row>
    <row r="1187" spans="2:20" ht="51" hidden="1">
      <c r="B1187" s="828" t="s">
        <v>6529</v>
      </c>
      <c r="C1187" s="828">
        <v>95716</v>
      </c>
      <c r="D1187" s="630" t="s">
        <v>1739</v>
      </c>
      <c r="E1187" s="630" t="s">
        <v>902</v>
      </c>
      <c r="F1187" s="829">
        <v>58.47</v>
      </c>
      <c r="G1187" s="830">
        <v>0</v>
      </c>
      <c r="H1187" s="831">
        <v>58.47</v>
      </c>
      <c r="I1187" s="846"/>
      <c r="J1187" s="846"/>
      <c r="K1187" s="846"/>
      <c r="L1187" s="846"/>
      <c r="M1187" s="846"/>
      <c r="N1187" s="846"/>
      <c r="O1187" s="846"/>
      <c r="P1187" s="846"/>
      <c r="Q1187" s="846"/>
      <c r="R1187" s="846"/>
      <c r="S1187" s="846"/>
      <c r="T1187" s="846"/>
    </row>
    <row r="1188" spans="2:20" ht="51" hidden="1">
      <c r="B1188" s="828" t="s">
        <v>6529</v>
      </c>
      <c r="C1188" s="828">
        <v>95717</v>
      </c>
      <c r="D1188" s="630" t="s">
        <v>1740</v>
      </c>
      <c r="E1188" s="630" t="s">
        <v>902</v>
      </c>
      <c r="F1188" s="829">
        <v>7.93</v>
      </c>
      <c r="G1188" s="830">
        <v>0</v>
      </c>
      <c r="H1188" s="831">
        <v>7.93</v>
      </c>
      <c r="I1188" s="846"/>
      <c r="J1188" s="846"/>
      <c r="K1188" s="846"/>
      <c r="L1188" s="846"/>
      <c r="M1188" s="846"/>
      <c r="N1188" s="846"/>
      <c r="O1188" s="846"/>
      <c r="P1188" s="846"/>
      <c r="Q1188" s="846"/>
      <c r="R1188" s="846"/>
      <c r="S1188" s="846"/>
      <c r="T1188" s="846"/>
    </row>
    <row r="1189" spans="2:20" ht="51" hidden="1">
      <c r="B1189" s="828" t="s">
        <v>6529</v>
      </c>
      <c r="C1189" s="828">
        <v>95718</v>
      </c>
      <c r="D1189" s="630" t="s">
        <v>1741</v>
      </c>
      <c r="E1189" s="630" t="s">
        <v>902</v>
      </c>
      <c r="F1189" s="829">
        <v>73.08</v>
      </c>
      <c r="G1189" s="830">
        <v>0</v>
      </c>
      <c r="H1189" s="831">
        <v>73.08</v>
      </c>
      <c r="I1189" s="846"/>
      <c r="J1189" s="846"/>
      <c r="K1189" s="846"/>
      <c r="L1189" s="846"/>
      <c r="M1189" s="846"/>
      <c r="N1189" s="846"/>
      <c r="O1189" s="846"/>
      <c r="P1189" s="846"/>
      <c r="Q1189" s="846"/>
      <c r="R1189" s="846"/>
      <c r="S1189" s="846"/>
      <c r="T1189" s="846"/>
    </row>
    <row r="1190" spans="2:20" ht="51" hidden="1">
      <c r="B1190" s="828" t="s">
        <v>6529</v>
      </c>
      <c r="C1190" s="828">
        <v>95719</v>
      </c>
      <c r="D1190" s="630" t="s">
        <v>1742</v>
      </c>
      <c r="E1190" s="630" t="s">
        <v>902</v>
      </c>
      <c r="F1190" s="829">
        <v>109.86</v>
      </c>
      <c r="G1190" s="830">
        <v>0</v>
      </c>
      <c r="H1190" s="831">
        <v>109.86</v>
      </c>
      <c r="I1190" s="846"/>
      <c r="J1190" s="846"/>
      <c r="K1190" s="846"/>
      <c r="L1190" s="846"/>
      <c r="M1190" s="846"/>
      <c r="N1190" s="846"/>
      <c r="O1190" s="846"/>
      <c r="P1190" s="846"/>
      <c r="Q1190" s="846"/>
      <c r="R1190" s="846"/>
      <c r="S1190" s="846"/>
      <c r="T1190" s="846"/>
    </row>
    <row r="1191" spans="2:20" ht="25.5" hidden="1">
      <c r="B1191" s="828" t="s">
        <v>6529</v>
      </c>
      <c r="C1191" s="828">
        <v>95869</v>
      </c>
      <c r="D1191" s="630" t="s">
        <v>2173</v>
      </c>
      <c r="E1191" s="630" t="s">
        <v>902</v>
      </c>
      <c r="F1191" s="829">
        <v>1.31</v>
      </c>
      <c r="G1191" s="830">
        <v>0</v>
      </c>
      <c r="H1191" s="831">
        <v>1.31</v>
      </c>
      <c r="I1191" s="846"/>
      <c r="J1191" s="846"/>
      <c r="K1191" s="846"/>
      <c r="L1191" s="846"/>
      <c r="M1191" s="846"/>
      <c r="N1191" s="846"/>
      <c r="O1191" s="846"/>
      <c r="P1191" s="846"/>
      <c r="Q1191" s="846"/>
      <c r="R1191" s="846"/>
      <c r="S1191" s="846"/>
      <c r="T1191" s="846"/>
    </row>
    <row r="1192" spans="2:20" ht="25.5" hidden="1">
      <c r="B1192" s="828" t="s">
        <v>6529</v>
      </c>
      <c r="C1192" s="828">
        <v>95870</v>
      </c>
      <c r="D1192" s="630" t="s">
        <v>2174</v>
      </c>
      <c r="E1192" s="630" t="s">
        <v>902</v>
      </c>
      <c r="F1192" s="829">
        <v>6.54</v>
      </c>
      <c r="G1192" s="830">
        <v>0</v>
      </c>
      <c r="H1192" s="831">
        <v>6.54</v>
      </c>
      <c r="I1192" s="846"/>
      <c r="J1192" s="846"/>
      <c r="K1192" s="846"/>
      <c r="L1192" s="846"/>
      <c r="M1192" s="846"/>
      <c r="N1192" s="846"/>
      <c r="O1192" s="846"/>
      <c r="P1192" s="846"/>
      <c r="Q1192" s="846"/>
      <c r="R1192" s="846"/>
      <c r="S1192" s="846"/>
      <c r="T1192" s="846"/>
    </row>
    <row r="1193" spans="2:20" ht="25.5" hidden="1">
      <c r="B1193" s="828" t="s">
        <v>6529</v>
      </c>
      <c r="C1193" s="828">
        <v>95871</v>
      </c>
      <c r="D1193" s="630" t="s">
        <v>2175</v>
      </c>
      <c r="E1193" s="630" t="s">
        <v>902</v>
      </c>
      <c r="F1193" s="829">
        <v>333.62</v>
      </c>
      <c r="G1193" s="830">
        <v>0</v>
      </c>
      <c r="H1193" s="831">
        <v>333.62</v>
      </c>
      <c r="I1193" s="846"/>
      <c r="J1193" s="846"/>
      <c r="K1193" s="846"/>
      <c r="L1193" s="846"/>
      <c r="M1193" s="846"/>
      <c r="N1193" s="846"/>
      <c r="O1193" s="846"/>
      <c r="P1193" s="846"/>
      <c r="Q1193" s="846"/>
      <c r="R1193" s="846"/>
      <c r="S1193" s="846"/>
      <c r="T1193" s="846"/>
    </row>
    <row r="1194" spans="2:20" ht="25.5" hidden="1">
      <c r="B1194" s="828" t="s">
        <v>6529</v>
      </c>
      <c r="C1194" s="828">
        <v>95874</v>
      </c>
      <c r="D1194" s="630" t="s">
        <v>2178</v>
      </c>
      <c r="E1194" s="630" t="s">
        <v>902</v>
      </c>
      <c r="F1194" s="829">
        <v>7.33</v>
      </c>
      <c r="G1194" s="830">
        <v>0</v>
      </c>
      <c r="H1194" s="831">
        <v>7.33</v>
      </c>
      <c r="I1194" s="846"/>
      <c r="J1194" s="846"/>
      <c r="K1194" s="846"/>
      <c r="L1194" s="846"/>
      <c r="M1194" s="846"/>
      <c r="N1194" s="846"/>
      <c r="O1194" s="846"/>
      <c r="P1194" s="846"/>
      <c r="Q1194" s="846"/>
      <c r="R1194" s="846"/>
      <c r="S1194" s="846"/>
      <c r="T1194" s="846"/>
    </row>
    <row r="1195" spans="2:20" ht="25.5" hidden="1">
      <c r="B1195" s="828" t="s">
        <v>6529</v>
      </c>
      <c r="C1195" s="828">
        <v>96008</v>
      </c>
      <c r="D1195" s="630" t="s">
        <v>2264</v>
      </c>
      <c r="E1195" s="630" t="s">
        <v>902</v>
      </c>
      <c r="F1195" s="829">
        <v>23.63</v>
      </c>
      <c r="G1195" s="830">
        <v>0</v>
      </c>
      <c r="H1195" s="831">
        <v>23.63</v>
      </c>
      <c r="I1195" s="846"/>
      <c r="J1195" s="846"/>
      <c r="K1195" s="846"/>
      <c r="L1195" s="846"/>
      <c r="M1195" s="846"/>
      <c r="N1195" s="846"/>
      <c r="O1195" s="846"/>
      <c r="P1195" s="846"/>
      <c r="Q1195" s="846"/>
      <c r="R1195" s="846"/>
      <c r="S1195" s="846"/>
      <c r="T1195" s="846"/>
    </row>
    <row r="1196" spans="2:20" ht="25.5" hidden="1">
      <c r="B1196" s="828" t="s">
        <v>6529</v>
      </c>
      <c r="C1196" s="828">
        <v>96009</v>
      </c>
      <c r="D1196" s="630" t="s">
        <v>2265</v>
      </c>
      <c r="E1196" s="630" t="s">
        <v>902</v>
      </c>
      <c r="F1196" s="829">
        <v>3.28</v>
      </c>
      <c r="G1196" s="830">
        <v>0</v>
      </c>
      <c r="H1196" s="831">
        <v>3.28</v>
      </c>
      <c r="I1196" s="846"/>
      <c r="J1196" s="846"/>
      <c r="K1196" s="846"/>
      <c r="L1196" s="846"/>
      <c r="M1196" s="846"/>
      <c r="N1196" s="846"/>
      <c r="O1196" s="846"/>
      <c r="P1196" s="846"/>
      <c r="Q1196" s="846"/>
      <c r="R1196" s="846"/>
      <c r="S1196" s="846"/>
      <c r="T1196" s="846"/>
    </row>
    <row r="1197" spans="2:20" ht="25.5" hidden="1">
      <c r="B1197" s="828" t="s">
        <v>6529</v>
      </c>
      <c r="C1197" s="828">
        <v>96011</v>
      </c>
      <c r="D1197" s="630" t="s">
        <v>2266</v>
      </c>
      <c r="E1197" s="630" t="s">
        <v>902</v>
      </c>
      <c r="F1197" s="829">
        <v>25.84</v>
      </c>
      <c r="G1197" s="830">
        <v>0</v>
      </c>
      <c r="H1197" s="831">
        <v>25.84</v>
      </c>
      <c r="I1197" s="846"/>
      <c r="J1197" s="846"/>
      <c r="K1197" s="846"/>
      <c r="L1197" s="846"/>
      <c r="M1197" s="846"/>
      <c r="N1197" s="846"/>
      <c r="O1197" s="846"/>
      <c r="P1197" s="846"/>
      <c r="Q1197" s="846"/>
      <c r="R1197" s="846"/>
      <c r="S1197" s="846"/>
      <c r="T1197" s="846"/>
    </row>
    <row r="1198" spans="2:20" ht="25.5" hidden="1">
      <c r="B1198" s="828" t="s">
        <v>6529</v>
      </c>
      <c r="C1198" s="828">
        <v>96012</v>
      </c>
      <c r="D1198" s="630" t="s">
        <v>2267</v>
      </c>
      <c r="E1198" s="630" t="s">
        <v>902</v>
      </c>
      <c r="F1198" s="829">
        <v>118.12</v>
      </c>
      <c r="G1198" s="830">
        <v>0</v>
      </c>
      <c r="H1198" s="831">
        <v>118.12</v>
      </c>
      <c r="I1198" s="846"/>
      <c r="J1198" s="846"/>
      <c r="K1198" s="846"/>
      <c r="L1198" s="846"/>
      <c r="M1198" s="846"/>
      <c r="N1198" s="846"/>
      <c r="O1198" s="846"/>
      <c r="P1198" s="846"/>
      <c r="Q1198" s="846"/>
      <c r="R1198" s="846"/>
      <c r="S1198" s="846"/>
      <c r="T1198" s="846"/>
    </row>
    <row r="1199" spans="2:20" ht="25.5" hidden="1">
      <c r="B1199" s="828" t="s">
        <v>6529</v>
      </c>
      <c r="C1199" s="828">
        <v>96015</v>
      </c>
      <c r="D1199" s="630" t="s">
        <v>2268</v>
      </c>
      <c r="E1199" s="630" t="s">
        <v>902</v>
      </c>
      <c r="F1199" s="829">
        <v>23.37</v>
      </c>
      <c r="G1199" s="830">
        <v>0</v>
      </c>
      <c r="H1199" s="831">
        <v>23.37</v>
      </c>
      <c r="I1199" s="846"/>
      <c r="J1199" s="846"/>
      <c r="K1199" s="846"/>
      <c r="L1199" s="846"/>
      <c r="M1199" s="846"/>
      <c r="N1199" s="846"/>
      <c r="O1199" s="846"/>
      <c r="P1199" s="846"/>
      <c r="Q1199" s="846"/>
      <c r="R1199" s="846"/>
      <c r="S1199" s="846"/>
      <c r="T1199" s="846"/>
    </row>
    <row r="1200" spans="2:20" ht="25.5" hidden="1">
      <c r="B1200" s="828" t="s">
        <v>6529</v>
      </c>
      <c r="C1200" s="828">
        <v>96016</v>
      </c>
      <c r="D1200" s="630" t="s">
        <v>2269</v>
      </c>
      <c r="E1200" s="630" t="s">
        <v>902</v>
      </c>
      <c r="F1200" s="829">
        <v>3.24</v>
      </c>
      <c r="G1200" s="830">
        <v>0</v>
      </c>
      <c r="H1200" s="831">
        <v>3.24</v>
      </c>
      <c r="I1200" s="846"/>
      <c r="J1200" s="846"/>
      <c r="K1200" s="846"/>
      <c r="L1200" s="846"/>
      <c r="M1200" s="846"/>
      <c r="N1200" s="846"/>
      <c r="O1200" s="846"/>
      <c r="P1200" s="846"/>
      <c r="Q1200" s="846"/>
      <c r="R1200" s="846"/>
      <c r="S1200" s="846"/>
      <c r="T1200" s="846"/>
    </row>
    <row r="1201" spans="2:20" ht="25.5" hidden="1">
      <c r="B1201" s="828" t="s">
        <v>6529</v>
      </c>
      <c r="C1201" s="828">
        <v>96018</v>
      </c>
      <c r="D1201" s="630" t="s">
        <v>2270</v>
      </c>
      <c r="E1201" s="630" t="s">
        <v>902</v>
      </c>
      <c r="F1201" s="829">
        <v>25.56</v>
      </c>
      <c r="G1201" s="830">
        <v>0</v>
      </c>
      <c r="H1201" s="831">
        <v>25.56</v>
      </c>
      <c r="I1201" s="846"/>
      <c r="J1201" s="846"/>
      <c r="K1201" s="846"/>
      <c r="L1201" s="846"/>
      <c r="M1201" s="846"/>
      <c r="N1201" s="846"/>
      <c r="O1201" s="846"/>
      <c r="P1201" s="846"/>
      <c r="Q1201" s="846"/>
      <c r="R1201" s="846"/>
      <c r="S1201" s="846"/>
      <c r="T1201" s="846"/>
    </row>
    <row r="1202" spans="2:20" ht="25.5" hidden="1">
      <c r="B1202" s="828" t="s">
        <v>6529</v>
      </c>
      <c r="C1202" s="828">
        <v>96019</v>
      </c>
      <c r="D1202" s="630" t="s">
        <v>2271</v>
      </c>
      <c r="E1202" s="630" t="s">
        <v>902</v>
      </c>
      <c r="F1202" s="829">
        <v>118.12</v>
      </c>
      <c r="G1202" s="830">
        <v>0</v>
      </c>
      <c r="H1202" s="831">
        <v>118.12</v>
      </c>
      <c r="I1202" s="846"/>
      <c r="J1202" s="846"/>
      <c r="K1202" s="846"/>
      <c r="L1202" s="846"/>
      <c r="M1202" s="846"/>
      <c r="N1202" s="846"/>
      <c r="O1202" s="846"/>
      <c r="P1202" s="846"/>
      <c r="Q1202" s="846"/>
      <c r="R1202" s="846"/>
      <c r="S1202" s="846"/>
      <c r="T1202" s="846"/>
    </row>
    <row r="1203" spans="2:20" ht="25.5" hidden="1">
      <c r="B1203" s="828" t="s">
        <v>6529</v>
      </c>
      <c r="C1203" s="828">
        <v>96023</v>
      </c>
      <c r="D1203" s="630" t="s">
        <v>2272</v>
      </c>
      <c r="E1203" s="630" t="s">
        <v>902</v>
      </c>
      <c r="F1203" s="829">
        <v>18.27</v>
      </c>
      <c r="G1203" s="830">
        <v>0</v>
      </c>
      <c r="H1203" s="831">
        <v>18.27</v>
      </c>
      <c r="I1203" s="846"/>
      <c r="J1203" s="846"/>
      <c r="K1203" s="846"/>
      <c r="L1203" s="846"/>
      <c r="M1203" s="846"/>
      <c r="N1203" s="846"/>
      <c r="O1203" s="846"/>
      <c r="P1203" s="846"/>
      <c r="Q1203" s="846"/>
      <c r="R1203" s="846"/>
      <c r="S1203" s="846"/>
      <c r="T1203" s="846"/>
    </row>
    <row r="1204" spans="2:20" ht="25.5" hidden="1">
      <c r="B1204" s="828" t="s">
        <v>6529</v>
      </c>
      <c r="C1204" s="828">
        <v>96024</v>
      </c>
      <c r="D1204" s="630" t="s">
        <v>2273</v>
      </c>
      <c r="E1204" s="630" t="s">
        <v>902</v>
      </c>
      <c r="F1204" s="829">
        <v>2.5299999999999998</v>
      </c>
      <c r="G1204" s="830">
        <v>0</v>
      </c>
      <c r="H1204" s="831">
        <v>2.5299999999999998</v>
      </c>
      <c r="I1204" s="846"/>
      <c r="J1204" s="846"/>
      <c r="K1204" s="846"/>
      <c r="L1204" s="846"/>
      <c r="M1204" s="846"/>
      <c r="N1204" s="846"/>
      <c r="O1204" s="846"/>
      <c r="P1204" s="846"/>
      <c r="Q1204" s="846"/>
      <c r="R1204" s="846"/>
      <c r="S1204" s="846"/>
      <c r="T1204" s="846"/>
    </row>
    <row r="1205" spans="2:20" ht="25.5" hidden="1">
      <c r="B1205" s="828" t="s">
        <v>6529</v>
      </c>
      <c r="C1205" s="828">
        <v>96026</v>
      </c>
      <c r="D1205" s="630" t="s">
        <v>2274</v>
      </c>
      <c r="E1205" s="630" t="s">
        <v>902</v>
      </c>
      <c r="F1205" s="829">
        <v>19.98</v>
      </c>
      <c r="G1205" s="830">
        <v>0</v>
      </c>
      <c r="H1205" s="831">
        <v>19.98</v>
      </c>
      <c r="I1205" s="846"/>
      <c r="J1205" s="846"/>
      <c r="K1205" s="846"/>
      <c r="L1205" s="846"/>
      <c r="M1205" s="846"/>
      <c r="N1205" s="846"/>
      <c r="O1205" s="846"/>
      <c r="P1205" s="846"/>
      <c r="Q1205" s="846"/>
      <c r="R1205" s="846"/>
      <c r="S1205" s="846"/>
      <c r="T1205" s="846"/>
    </row>
    <row r="1206" spans="2:20" ht="25.5" hidden="1">
      <c r="B1206" s="828" t="s">
        <v>6529</v>
      </c>
      <c r="C1206" s="828">
        <v>96027</v>
      </c>
      <c r="D1206" s="630" t="s">
        <v>2275</v>
      </c>
      <c r="E1206" s="630" t="s">
        <v>902</v>
      </c>
      <c r="F1206" s="829">
        <v>82.31</v>
      </c>
      <c r="G1206" s="830">
        <v>0</v>
      </c>
      <c r="H1206" s="831">
        <v>82.31</v>
      </c>
      <c r="I1206" s="846"/>
      <c r="J1206" s="846"/>
      <c r="K1206" s="846"/>
      <c r="L1206" s="846"/>
      <c r="M1206" s="846"/>
      <c r="N1206" s="846"/>
      <c r="O1206" s="846"/>
      <c r="P1206" s="846"/>
      <c r="Q1206" s="846"/>
      <c r="R1206" s="846"/>
      <c r="S1206" s="846"/>
      <c r="T1206" s="846"/>
    </row>
    <row r="1207" spans="2:20" ht="38.25" hidden="1">
      <c r="B1207" s="828" t="s">
        <v>6529</v>
      </c>
      <c r="C1207" s="828">
        <v>96030</v>
      </c>
      <c r="D1207" s="630" t="s">
        <v>2276</v>
      </c>
      <c r="E1207" s="630" t="s">
        <v>902</v>
      </c>
      <c r="F1207" s="829">
        <v>29.88</v>
      </c>
      <c r="G1207" s="830">
        <v>0</v>
      </c>
      <c r="H1207" s="831">
        <v>29.88</v>
      </c>
      <c r="I1207" s="846"/>
      <c r="J1207" s="846"/>
      <c r="K1207" s="846"/>
      <c r="L1207" s="846"/>
      <c r="M1207" s="846"/>
      <c r="N1207" s="846"/>
      <c r="O1207" s="846"/>
      <c r="P1207" s="846"/>
      <c r="Q1207" s="846"/>
      <c r="R1207" s="846"/>
      <c r="S1207" s="846"/>
      <c r="T1207" s="846"/>
    </row>
    <row r="1208" spans="2:20" ht="38.25" hidden="1">
      <c r="B1208" s="828" t="s">
        <v>6529</v>
      </c>
      <c r="C1208" s="828">
        <v>96031</v>
      </c>
      <c r="D1208" s="630" t="s">
        <v>2277</v>
      </c>
      <c r="E1208" s="630" t="s">
        <v>902</v>
      </c>
      <c r="F1208" s="829">
        <v>5.59</v>
      </c>
      <c r="G1208" s="830">
        <v>0</v>
      </c>
      <c r="H1208" s="831">
        <v>5.59</v>
      </c>
      <c r="I1208" s="846"/>
      <c r="J1208" s="846"/>
      <c r="K1208" s="846"/>
      <c r="L1208" s="846"/>
      <c r="M1208" s="846"/>
      <c r="N1208" s="846"/>
      <c r="O1208" s="846"/>
      <c r="P1208" s="846"/>
      <c r="Q1208" s="846"/>
      <c r="R1208" s="846"/>
      <c r="S1208" s="846"/>
      <c r="T1208" s="846"/>
    </row>
    <row r="1209" spans="2:20" ht="38.25" hidden="1">
      <c r="B1209" s="828" t="s">
        <v>6529</v>
      </c>
      <c r="C1209" s="828">
        <v>96032</v>
      </c>
      <c r="D1209" s="630" t="s">
        <v>2278</v>
      </c>
      <c r="E1209" s="630" t="s">
        <v>902</v>
      </c>
      <c r="F1209" s="829">
        <v>4.4400000000000004</v>
      </c>
      <c r="G1209" s="830">
        <v>0</v>
      </c>
      <c r="H1209" s="831">
        <v>4.4400000000000004</v>
      </c>
      <c r="I1209" s="846"/>
      <c r="J1209" s="846"/>
      <c r="K1209" s="846"/>
      <c r="L1209" s="846"/>
      <c r="M1209" s="846"/>
      <c r="N1209" s="846"/>
      <c r="O1209" s="846"/>
      <c r="P1209" s="846"/>
      <c r="Q1209" s="846"/>
      <c r="R1209" s="846"/>
      <c r="S1209" s="846"/>
      <c r="T1209" s="846"/>
    </row>
    <row r="1210" spans="2:20" ht="38.25" hidden="1">
      <c r="B1210" s="828" t="s">
        <v>6529</v>
      </c>
      <c r="C1210" s="828">
        <v>96033</v>
      </c>
      <c r="D1210" s="630" t="s">
        <v>2279</v>
      </c>
      <c r="E1210" s="630" t="s">
        <v>902</v>
      </c>
      <c r="F1210" s="829">
        <v>50.27</v>
      </c>
      <c r="G1210" s="830">
        <v>0</v>
      </c>
      <c r="H1210" s="831">
        <v>50.27</v>
      </c>
      <c r="I1210" s="846"/>
      <c r="J1210" s="846"/>
      <c r="K1210" s="846"/>
      <c r="L1210" s="846"/>
      <c r="M1210" s="846"/>
      <c r="N1210" s="846"/>
      <c r="O1210" s="846"/>
      <c r="P1210" s="846"/>
      <c r="Q1210" s="846"/>
      <c r="R1210" s="846"/>
      <c r="S1210" s="846"/>
      <c r="T1210" s="846"/>
    </row>
    <row r="1211" spans="2:20" ht="38.25" hidden="1">
      <c r="B1211" s="828" t="s">
        <v>6529</v>
      </c>
      <c r="C1211" s="828">
        <v>96034</v>
      </c>
      <c r="D1211" s="630" t="s">
        <v>2280</v>
      </c>
      <c r="E1211" s="630" t="s">
        <v>902</v>
      </c>
      <c r="F1211" s="829">
        <v>173.24</v>
      </c>
      <c r="G1211" s="830">
        <v>0</v>
      </c>
      <c r="H1211" s="831">
        <v>173.24</v>
      </c>
      <c r="I1211" s="846"/>
      <c r="J1211" s="846"/>
      <c r="K1211" s="846"/>
      <c r="L1211" s="846"/>
      <c r="M1211" s="846"/>
      <c r="N1211" s="846"/>
      <c r="O1211" s="846"/>
      <c r="P1211" s="846"/>
      <c r="Q1211" s="846"/>
      <c r="R1211" s="846"/>
      <c r="S1211" s="846"/>
      <c r="T1211" s="846"/>
    </row>
    <row r="1212" spans="2:20" ht="25.5" hidden="1">
      <c r="B1212" s="828" t="s">
        <v>6529</v>
      </c>
      <c r="C1212" s="828">
        <v>96053</v>
      </c>
      <c r="D1212" s="630" t="s">
        <v>2281</v>
      </c>
      <c r="E1212" s="630" t="s">
        <v>902</v>
      </c>
      <c r="F1212" s="829">
        <v>18.53</v>
      </c>
      <c r="G1212" s="830">
        <v>0</v>
      </c>
      <c r="H1212" s="831">
        <v>18.53</v>
      </c>
      <c r="I1212" s="846"/>
      <c r="J1212" s="846"/>
      <c r="K1212" s="846"/>
      <c r="L1212" s="846"/>
      <c r="M1212" s="846"/>
      <c r="N1212" s="846"/>
      <c r="O1212" s="846"/>
      <c r="P1212" s="846"/>
      <c r="Q1212" s="846"/>
      <c r="R1212" s="846"/>
      <c r="S1212" s="846"/>
      <c r="T1212" s="846"/>
    </row>
    <row r="1213" spans="2:20" ht="25.5" hidden="1">
      <c r="B1213" s="828" t="s">
        <v>6529</v>
      </c>
      <c r="C1213" s="828">
        <v>96054</v>
      </c>
      <c r="D1213" s="630" t="s">
        <v>2282</v>
      </c>
      <c r="E1213" s="630" t="s">
        <v>902</v>
      </c>
      <c r="F1213" s="829">
        <v>26.41</v>
      </c>
      <c r="G1213" s="830">
        <v>0</v>
      </c>
      <c r="H1213" s="831">
        <v>26.41</v>
      </c>
      <c r="I1213" s="846"/>
      <c r="J1213" s="846"/>
      <c r="K1213" s="846"/>
      <c r="L1213" s="846"/>
      <c r="M1213" s="846"/>
      <c r="N1213" s="846"/>
      <c r="O1213" s="846"/>
      <c r="P1213" s="846"/>
      <c r="Q1213" s="846"/>
      <c r="R1213" s="846"/>
      <c r="S1213" s="846"/>
      <c r="T1213" s="846"/>
    </row>
    <row r="1214" spans="2:20" ht="25.5" hidden="1">
      <c r="B1214" s="828" t="s">
        <v>6529</v>
      </c>
      <c r="C1214" s="828">
        <v>96055</v>
      </c>
      <c r="D1214" s="630" t="s">
        <v>2283</v>
      </c>
      <c r="E1214" s="630" t="s">
        <v>902</v>
      </c>
      <c r="F1214" s="829">
        <v>2.57</v>
      </c>
      <c r="G1214" s="830">
        <v>0</v>
      </c>
      <c r="H1214" s="831">
        <v>2.57</v>
      </c>
      <c r="I1214" s="846"/>
      <c r="J1214" s="846"/>
      <c r="K1214" s="846"/>
      <c r="L1214" s="846"/>
      <c r="M1214" s="846"/>
      <c r="N1214" s="846"/>
      <c r="O1214" s="846"/>
      <c r="P1214" s="846"/>
      <c r="Q1214" s="846"/>
      <c r="R1214" s="846"/>
      <c r="S1214" s="846"/>
      <c r="T1214" s="846"/>
    </row>
    <row r="1215" spans="2:20" ht="25.5" hidden="1">
      <c r="B1215" s="828" t="s">
        <v>6529</v>
      </c>
      <c r="C1215" s="828">
        <v>96056</v>
      </c>
      <c r="D1215" s="630" t="s">
        <v>2284</v>
      </c>
      <c r="E1215" s="630" t="s">
        <v>902</v>
      </c>
      <c r="F1215" s="829">
        <v>20.260000000000002</v>
      </c>
      <c r="G1215" s="830">
        <v>0</v>
      </c>
      <c r="H1215" s="831">
        <v>20.260000000000002</v>
      </c>
      <c r="I1215" s="846"/>
      <c r="J1215" s="846"/>
      <c r="K1215" s="846"/>
      <c r="L1215" s="846"/>
      <c r="M1215" s="846"/>
      <c r="N1215" s="846"/>
      <c r="O1215" s="846"/>
      <c r="P1215" s="846"/>
      <c r="Q1215" s="846"/>
      <c r="R1215" s="846"/>
      <c r="S1215" s="846"/>
      <c r="T1215" s="846"/>
    </row>
    <row r="1216" spans="2:20" ht="25.5" hidden="1">
      <c r="B1216" s="828" t="s">
        <v>6529</v>
      </c>
      <c r="C1216" s="828">
        <v>96057</v>
      </c>
      <c r="D1216" s="630" t="s">
        <v>2285</v>
      </c>
      <c r="E1216" s="630" t="s">
        <v>902</v>
      </c>
      <c r="F1216" s="829">
        <v>82.31</v>
      </c>
      <c r="G1216" s="830">
        <v>0</v>
      </c>
      <c r="H1216" s="831">
        <v>82.31</v>
      </c>
      <c r="I1216" s="846"/>
      <c r="J1216" s="846"/>
      <c r="K1216" s="846"/>
      <c r="L1216" s="846"/>
      <c r="M1216" s="846"/>
      <c r="N1216" s="846"/>
      <c r="O1216" s="846"/>
      <c r="P1216" s="846"/>
      <c r="Q1216" s="846"/>
      <c r="R1216" s="846"/>
      <c r="S1216" s="846"/>
      <c r="T1216" s="846"/>
    </row>
    <row r="1217" spans="2:20" ht="25.5" hidden="1">
      <c r="B1217" s="828" t="s">
        <v>6529</v>
      </c>
      <c r="C1217" s="828">
        <v>96060</v>
      </c>
      <c r="D1217" s="630" t="s">
        <v>2286</v>
      </c>
      <c r="E1217" s="630" t="s">
        <v>902</v>
      </c>
      <c r="F1217" s="829">
        <v>2.66</v>
      </c>
      <c r="G1217" s="830">
        <v>0</v>
      </c>
      <c r="H1217" s="831">
        <v>2.66</v>
      </c>
      <c r="I1217" s="846"/>
      <c r="J1217" s="846"/>
      <c r="K1217" s="846"/>
      <c r="L1217" s="846"/>
      <c r="M1217" s="846"/>
      <c r="N1217" s="846"/>
      <c r="O1217" s="846"/>
      <c r="P1217" s="846"/>
      <c r="Q1217" s="846"/>
      <c r="R1217" s="846"/>
      <c r="S1217" s="846"/>
      <c r="T1217" s="846"/>
    </row>
    <row r="1218" spans="2:20" ht="38.25" hidden="1">
      <c r="B1218" s="828" t="s">
        <v>6529</v>
      </c>
      <c r="C1218" s="828">
        <v>96061</v>
      </c>
      <c r="D1218" s="630" t="s">
        <v>2287</v>
      </c>
      <c r="E1218" s="630" t="s">
        <v>902</v>
      </c>
      <c r="F1218" s="829">
        <v>33.01</v>
      </c>
      <c r="G1218" s="830">
        <v>0</v>
      </c>
      <c r="H1218" s="831">
        <v>33.01</v>
      </c>
      <c r="I1218" s="846"/>
      <c r="J1218" s="846"/>
      <c r="K1218" s="846"/>
      <c r="L1218" s="846"/>
      <c r="M1218" s="846"/>
      <c r="N1218" s="846"/>
      <c r="O1218" s="846"/>
      <c r="P1218" s="846"/>
      <c r="Q1218" s="846"/>
      <c r="R1218" s="846"/>
      <c r="S1218" s="846"/>
      <c r="T1218" s="846"/>
    </row>
    <row r="1219" spans="2:20" ht="38.25" hidden="1">
      <c r="B1219" s="828" t="s">
        <v>6529</v>
      </c>
      <c r="C1219" s="828">
        <v>96062</v>
      </c>
      <c r="D1219" s="630" t="s">
        <v>2288</v>
      </c>
      <c r="E1219" s="630" t="s">
        <v>902</v>
      </c>
      <c r="F1219" s="829">
        <v>48.68</v>
      </c>
      <c r="G1219" s="830">
        <v>0</v>
      </c>
      <c r="H1219" s="831">
        <v>48.68</v>
      </c>
      <c r="I1219" s="846"/>
      <c r="J1219" s="846"/>
      <c r="K1219" s="846"/>
      <c r="L1219" s="846"/>
      <c r="M1219" s="846"/>
      <c r="N1219" s="846"/>
      <c r="O1219" s="846"/>
      <c r="P1219" s="846"/>
      <c r="Q1219" s="846"/>
      <c r="R1219" s="846"/>
      <c r="S1219" s="846"/>
      <c r="T1219" s="846"/>
    </row>
    <row r="1220" spans="2:20" ht="25.5" hidden="1">
      <c r="B1220" s="828" t="s">
        <v>6529</v>
      </c>
      <c r="C1220" s="828">
        <v>96241</v>
      </c>
      <c r="D1220" s="630" t="s">
        <v>2289</v>
      </c>
      <c r="E1220" s="630" t="s">
        <v>902</v>
      </c>
      <c r="F1220" s="829">
        <v>20.82</v>
      </c>
      <c r="G1220" s="830">
        <v>0</v>
      </c>
      <c r="H1220" s="831">
        <v>20.82</v>
      </c>
      <c r="I1220" s="846"/>
      <c r="J1220" s="846"/>
      <c r="K1220" s="846"/>
      <c r="L1220" s="846"/>
      <c r="M1220" s="846"/>
      <c r="N1220" s="846"/>
      <c r="O1220" s="846"/>
      <c r="P1220" s="846"/>
      <c r="Q1220" s="846"/>
      <c r="R1220" s="846"/>
      <c r="S1220" s="846"/>
      <c r="T1220" s="846"/>
    </row>
    <row r="1221" spans="2:20" ht="25.5" hidden="1">
      <c r="B1221" s="828" t="s">
        <v>6529</v>
      </c>
      <c r="C1221" s="828">
        <v>96242</v>
      </c>
      <c r="D1221" s="630" t="s">
        <v>2290</v>
      </c>
      <c r="E1221" s="630" t="s">
        <v>902</v>
      </c>
      <c r="F1221" s="829">
        <v>2.82</v>
      </c>
      <c r="G1221" s="830">
        <v>0</v>
      </c>
      <c r="H1221" s="831">
        <v>2.82</v>
      </c>
      <c r="I1221" s="846"/>
      <c r="J1221" s="846"/>
      <c r="K1221" s="846"/>
      <c r="L1221" s="846"/>
      <c r="M1221" s="846"/>
      <c r="N1221" s="846"/>
      <c r="O1221" s="846"/>
      <c r="P1221" s="846"/>
      <c r="Q1221" s="846"/>
      <c r="R1221" s="846"/>
      <c r="S1221" s="846"/>
      <c r="T1221" s="846"/>
    </row>
    <row r="1222" spans="2:20" ht="25.5" hidden="1">
      <c r="B1222" s="828" t="s">
        <v>6529</v>
      </c>
      <c r="C1222" s="828">
        <v>96243</v>
      </c>
      <c r="D1222" s="630" t="s">
        <v>2291</v>
      </c>
      <c r="E1222" s="630" t="s">
        <v>902</v>
      </c>
      <c r="F1222" s="829">
        <v>26.03</v>
      </c>
      <c r="G1222" s="830">
        <v>0</v>
      </c>
      <c r="H1222" s="831">
        <v>26.03</v>
      </c>
      <c r="I1222" s="846"/>
      <c r="J1222" s="846"/>
      <c r="K1222" s="846"/>
      <c r="L1222" s="846"/>
      <c r="M1222" s="846"/>
      <c r="N1222" s="846"/>
      <c r="O1222" s="846"/>
      <c r="P1222" s="846"/>
      <c r="Q1222" s="846"/>
      <c r="R1222" s="846"/>
      <c r="S1222" s="846"/>
      <c r="T1222" s="846"/>
    </row>
    <row r="1223" spans="2:20" ht="25.5" hidden="1">
      <c r="B1223" s="828" t="s">
        <v>6529</v>
      </c>
      <c r="C1223" s="828">
        <v>96244</v>
      </c>
      <c r="D1223" s="630" t="s">
        <v>2292</v>
      </c>
      <c r="E1223" s="630" t="s">
        <v>902</v>
      </c>
      <c r="F1223" s="829">
        <v>21.27</v>
      </c>
      <c r="G1223" s="830">
        <v>0</v>
      </c>
      <c r="H1223" s="831">
        <v>21.27</v>
      </c>
      <c r="I1223" s="846"/>
      <c r="J1223" s="846"/>
      <c r="K1223" s="846"/>
      <c r="L1223" s="846"/>
      <c r="M1223" s="846"/>
      <c r="N1223" s="846"/>
      <c r="O1223" s="846"/>
      <c r="P1223" s="846"/>
      <c r="Q1223" s="846"/>
      <c r="R1223" s="846"/>
      <c r="S1223" s="846"/>
      <c r="T1223" s="846"/>
    </row>
    <row r="1224" spans="2:20" ht="25.5" hidden="1">
      <c r="B1224" s="828" t="s">
        <v>6529</v>
      </c>
      <c r="C1224" s="828">
        <v>96301</v>
      </c>
      <c r="D1224" s="630" t="s">
        <v>2293</v>
      </c>
      <c r="E1224" s="630" t="s">
        <v>902</v>
      </c>
      <c r="F1224" s="829">
        <v>60.01</v>
      </c>
      <c r="G1224" s="830">
        <v>0</v>
      </c>
      <c r="H1224" s="831">
        <v>60.01</v>
      </c>
      <c r="I1224" s="846"/>
      <c r="J1224" s="846"/>
      <c r="K1224" s="846"/>
      <c r="L1224" s="846"/>
      <c r="M1224" s="846"/>
      <c r="N1224" s="846"/>
      <c r="O1224" s="846"/>
      <c r="P1224" s="846"/>
      <c r="Q1224" s="846"/>
      <c r="R1224" s="846"/>
      <c r="S1224" s="846"/>
      <c r="T1224" s="846"/>
    </row>
    <row r="1225" spans="2:20" ht="38.25" hidden="1">
      <c r="B1225" s="828" t="s">
        <v>6529</v>
      </c>
      <c r="C1225" s="828">
        <v>96457</v>
      </c>
      <c r="D1225" s="630" t="s">
        <v>2294</v>
      </c>
      <c r="E1225" s="630" t="s">
        <v>902</v>
      </c>
      <c r="F1225" s="829">
        <v>77.989999999999995</v>
      </c>
      <c r="G1225" s="830">
        <v>0</v>
      </c>
      <c r="H1225" s="831">
        <v>77.989999999999995</v>
      </c>
      <c r="I1225" s="846"/>
      <c r="J1225" s="846"/>
      <c r="K1225" s="846"/>
      <c r="L1225" s="846"/>
      <c r="M1225" s="846"/>
      <c r="N1225" s="846"/>
      <c r="O1225" s="846"/>
      <c r="P1225" s="846"/>
      <c r="Q1225" s="846"/>
      <c r="R1225" s="846"/>
      <c r="S1225" s="846"/>
      <c r="T1225" s="846"/>
    </row>
    <row r="1226" spans="2:20" ht="38.25" hidden="1">
      <c r="B1226" s="828" t="s">
        <v>6529</v>
      </c>
      <c r="C1226" s="828">
        <v>96458</v>
      </c>
      <c r="D1226" s="630" t="s">
        <v>2295</v>
      </c>
      <c r="E1226" s="630" t="s">
        <v>902</v>
      </c>
      <c r="F1226" s="829">
        <v>62.03</v>
      </c>
      <c r="G1226" s="830">
        <v>0</v>
      </c>
      <c r="H1226" s="831">
        <v>62.03</v>
      </c>
      <c r="I1226" s="846"/>
      <c r="J1226" s="846"/>
      <c r="K1226" s="846"/>
      <c r="L1226" s="846"/>
      <c r="M1226" s="846"/>
      <c r="N1226" s="846"/>
      <c r="O1226" s="846"/>
      <c r="P1226" s="846"/>
      <c r="Q1226" s="846"/>
      <c r="R1226" s="846"/>
      <c r="S1226" s="846"/>
      <c r="T1226" s="846"/>
    </row>
    <row r="1227" spans="2:20" ht="38.25" hidden="1">
      <c r="B1227" s="828" t="s">
        <v>6529</v>
      </c>
      <c r="C1227" s="828">
        <v>96459</v>
      </c>
      <c r="D1227" s="630" t="s">
        <v>2296</v>
      </c>
      <c r="E1227" s="630" t="s">
        <v>902</v>
      </c>
      <c r="F1227" s="829">
        <v>6.88</v>
      </c>
      <c r="G1227" s="830">
        <v>0</v>
      </c>
      <c r="H1227" s="831">
        <v>6.88</v>
      </c>
      <c r="I1227" s="846"/>
      <c r="J1227" s="846"/>
      <c r="K1227" s="846"/>
      <c r="L1227" s="846"/>
      <c r="M1227" s="846"/>
      <c r="N1227" s="846"/>
      <c r="O1227" s="846"/>
      <c r="P1227" s="846"/>
      <c r="Q1227" s="846"/>
      <c r="R1227" s="846"/>
      <c r="S1227" s="846"/>
      <c r="T1227" s="846"/>
    </row>
    <row r="1228" spans="2:20" ht="38.25" hidden="1">
      <c r="B1228" s="828" t="s">
        <v>6529</v>
      </c>
      <c r="C1228" s="828">
        <v>96460</v>
      </c>
      <c r="D1228" s="630" t="s">
        <v>2297</v>
      </c>
      <c r="E1228" s="630" t="s">
        <v>902</v>
      </c>
      <c r="F1228" s="829">
        <v>49.57</v>
      </c>
      <c r="G1228" s="830">
        <v>0</v>
      </c>
      <c r="H1228" s="831">
        <v>49.57</v>
      </c>
      <c r="I1228" s="846"/>
      <c r="J1228" s="846"/>
      <c r="K1228" s="846"/>
      <c r="L1228" s="846"/>
      <c r="M1228" s="846"/>
      <c r="N1228" s="846"/>
      <c r="O1228" s="846"/>
      <c r="P1228" s="846"/>
      <c r="Q1228" s="846"/>
      <c r="R1228" s="846"/>
      <c r="S1228" s="846"/>
      <c r="T1228" s="846"/>
    </row>
    <row r="1229" spans="2:20" ht="38.25" hidden="1">
      <c r="B1229" s="828" t="s">
        <v>6529</v>
      </c>
      <c r="C1229" s="828">
        <v>98760</v>
      </c>
      <c r="D1229" s="630" t="s">
        <v>2955</v>
      </c>
      <c r="E1229" s="630" t="s">
        <v>902</v>
      </c>
      <c r="F1229" s="829">
        <v>0.06</v>
      </c>
      <c r="G1229" s="830">
        <v>0</v>
      </c>
      <c r="H1229" s="831">
        <v>0.06</v>
      </c>
      <c r="I1229" s="846"/>
      <c r="J1229" s="846"/>
      <c r="K1229" s="846"/>
      <c r="L1229" s="846"/>
      <c r="M1229" s="846"/>
      <c r="N1229" s="846"/>
      <c r="O1229" s="846"/>
      <c r="P1229" s="846"/>
      <c r="Q1229" s="846"/>
      <c r="R1229" s="846"/>
      <c r="S1229" s="846"/>
      <c r="T1229" s="846"/>
    </row>
    <row r="1230" spans="2:20" ht="38.25" hidden="1">
      <c r="B1230" s="828" t="s">
        <v>6529</v>
      </c>
      <c r="C1230" s="828">
        <v>98761</v>
      </c>
      <c r="D1230" s="630" t="s">
        <v>2956</v>
      </c>
      <c r="E1230" s="630" t="s">
        <v>902</v>
      </c>
      <c r="F1230" s="829">
        <v>0</v>
      </c>
      <c r="G1230" s="830">
        <v>0</v>
      </c>
      <c r="H1230" s="831">
        <v>0</v>
      </c>
      <c r="I1230" s="846"/>
      <c r="J1230" s="846"/>
      <c r="K1230" s="846"/>
      <c r="L1230" s="846"/>
      <c r="M1230" s="846"/>
      <c r="N1230" s="846"/>
      <c r="O1230" s="846"/>
      <c r="P1230" s="846"/>
      <c r="Q1230" s="846"/>
      <c r="R1230" s="846"/>
      <c r="S1230" s="846"/>
      <c r="T1230" s="846"/>
    </row>
    <row r="1231" spans="2:20" ht="38.25" hidden="1">
      <c r="B1231" s="828" t="s">
        <v>6529</v>
      </c>
      <c r="C1231" s="828">
        <v>98762</v>
      </c>
      <c r="D1231" s="630" t="s">
        <v>2957</v>
      </c>
      <c r="E1231" s="630" t="s">
        <v>902</v>
      </c>
      <c r="F1231" s="829">
        <v>0.08</v>
      </c>
      <c r="G1231" s="830">
        <v>0</v>
      </c>
      <c r="H1231" s="831">
        <v>0.08</v>
      </c>
      <c r="I1231" s="846"/>
      <c r="J1231" s="846"/>
      <c r="K1231" s="846"/>
      <c r="L1231" s="846"/>
      <c r="M1231" s="846"/>
      <c r="N1231" s="846"/>
      <c r="O1231" s="846"/>
      <c r="P1231" s="846"/>
      <c r="Q1231" s="846"/>
      <c r="R1231" s="846"/>
      <c r="S1231" s="846"/>
      <c r="T1231" s="846"/>
    </row>
    <row r="1232" spans="2:20" ht="38.25" hidden="1">
      <c r="B1232" s="828" t="s">
        <v>6529</v>
      </c>
      <c r="C1232" s="828">
        <v>98763</v>
      </c>
      <c r="D1232" s="630" t="s">
        <v>2958</v>
      </c>
      <c r="E1232" s="630" t="s">
        <v>902</v>
      </c>
      <c r="F1232" s="829">
        <v>3.85</v>
      </c>
      <c r="G1232" s="830">
        <v>0</v>
      </c>
      <c r="H1232" s="831">
        <v>3.85</v>
      </c>
      <c r="I1232" s="846"/>
      <c r="J1232" s="846"/>
      <c r="K1232" s="846"/>
      <c r="L1232" s="846"/>
      <c r="M1232" s="846"/>
      <c r="N1232" s="846"/>
      <c r="O1232" s="846"/>
      <c r="P1232" s="846"/>
      <c r="Q1232" s="846"/>
      <c r="R1232" s="846"/>
      <c r="S1232" s="846"/>
      <c r="T1232" s="846"/>
    </row>
    <row r="1233" spans="2:20" ht="38.25" hidden="1">
      <c r="B1233" s="828" t="s">
        <v>6529</v>
      </c>
      <c r="C1233" s="828">
        <v>99829</v>
      </c>
      <c r="D1233" s="630" t="s">
        <v>3114</v>
      </c>
      <c r="E1233" s="630" t="s">
        <v>902</v>
      </c>
      <c r="F1233" s="829">
        <v>0.18</v>
      </c>
      <c r="G1233" s="830">
        <v>0</v>
      </c>
      <c r="H1233" s="831">
        <v>0.18</v>
      </c>
      <c r="I1233" s="846"/>
      <c r="J1233" s="846"/>
      <c r="K1233" s="846"/>
      <c r="L1233" s="846"/>
      <c r="M1233" s="846"/>
      <c r="N1233" s="846"/>
      <c r="O1233" s="846"/>
      <c r="P1233" s="846"/>
      <c r="Q1233" s="846"/>
      <c r="R1233" s="846"/>
      <c r="S1233" s="846"/>
      <c r="T1233" s="846"/>
    </row>
    <row r="1234" spans="2:20" ht="38.25" hidden="1">
      <c r="B1234" s="828" t="s">
        <v>6529</v>
      </c>
      <c r="C1234" s="828">
        <v>99830</v>
      </c>
      <c r="D1234" s="630" t="s">
        <v>3115</v>
      </c>
      <c r="E1234" s="630" t="s">
        <v>902</v>
      </c>
      <c r="F1234" s="829">
        <v>0.01</v>
      </c>
      <c r="G1234" s="830">
        <v>0</v>
      </c>
      <c r="H1234" s="831">
        <v>0.01</v>
      </c>
      <c r="I1234" s="846"/>
      <c r="J1234" s="846"/>
      <c r="K1234" s="846"/>
      <c r="L1234" s="846"/>
      <c r="M1234" s="846"/>
      <c r="N1234" s="846"/>
      <c r="O1234" s="846"/>
      <c r="P1234" s="846"/>
      <c r="Q1234" s="846"/>
      <c r="R1234" s="846"/>
      <c r="S1234" s="846"/>
      <c r="T1234" s="846"/>
    </row>
    <row r="1235" spans="2:20" ht="38.25" hidden="1">
      <c r="B1235" s="828" t="s">
        <v>6529</v>
      </c>
      <c r="C1235" s="828">
        <v>99831</v>
      </c>
      <c r="D1235" s="630" t="s">
        <v>3116</v>
      </c>
      <c r="E1235" s="630" t="s">
        <v>902</v>
      </c>
      <c r="F1235" s="829">
        <v>0.22</v>
      </c>
      <c r="G1235" s="830">
        <v>0</v>
      </c>
      <c r="H1235" s="831">
        <v>0.22</v>
      </c>
      <c r="I1235" s="846"/>
      <c r="J1235" s="846"/>
      <c r="K1235" s="846"/>
      <c r="L1235" s="846"/>
      <c r="M1235" s="846"/>
      <c r="N1235" s="846"/>
      <c r="O1235" s="846"/>
      <c r="P1235" s="846"/>
      <c r="Q1235" s="846"/>
      <c r="R1235" s="846"/>
      <c r="S1235" s="846"/>
      <c r="T1235" s="846"/>
    </row>
    <row r="1236" spans="2:20" ht="38.25" hidden="1">
      <c r="B1236" s="828" t="s">
        <v>6529</v>
      </c>
      <c r="C1236" s="828">
        <v>99832</v>
      </c>
      <c r="D1236" s="630" t="s">
        <v>3117</v>
      </c>
      <c r="E1236" s="630" t="s">
        <v>902</v>
      </c>
      <c r="F1236" s="829">
        <v>3.71</v>
      </c>
      <c r="G1236" s="830">
        <v>0</v>
      </c>
      <c r="H1236" s="831">
        <v>3.71</v>
      </c>
      <c r="I1236" s="846"/>
      <c r="J1236" s="846"/>
      <c r="K1236" s="846"/>
      <c r="L1236" s="846"/>
      <c r="M1236" s="846"/>
      <c r="N1236" s="846"/>
      <c r="O1236" s="846"/>
      <c r="P1236" s="846"/>
      <c r="Q1236" s="846"/>
      <c r="R1236" s="846"/>
      <c r="S1236" s="846"/>
      <c r="T1236" s="846"/>
    </row>
    <row r="1237" spans="2:20" ht="25.5" hidden="1">
      <c r="B1237" s="828" t="s">
        <v>6529</v>
      </c>
      <c r="C1237" s="828">
        <v>100637</v>
      </c>
      <c r="D1237" s="630" t="s">
        <v>3752</v>
      </c>
      <c r="E1237" s="630" t="s">
        <v>902</v>
      </c>
      <c r="F1237" s="829">
        <v>130.22</v>
      </c>
      <c r="G1237" s="830">
        <v>0</v>
      </c>
      <c r="H1237" s="831">
        <v>130.22</v>
      </c>
      <c r="I1237" s="846"/>
      <c r="J1237" s="846"/>
      <c r="K1237" s="846"/>
      <c r="L1237" s="846"/>
      <c r="M1237" s="846"/>
      <c r="N1237" s="846"/>
      <c r="O1237" s="846"/>
      <c r="P1237" s="846"/>
      <c r="Q1237" s="846"/>
      <c r="R1237" s="846"/>
      <c r="S1237" s="846"/>
      <c r="T1237" s="846"/>
    </row>
    <row r="1238" spans="2:20" ht="25.5" hidden="1">
      <c r="B1238" s="828" t="s">
        <v>6529</v>
      </c>
      <c r="C1238" s="828">
        <v>100638</v>
      </c>
      <c r="D1238" s="630" t="s">
        <v>3753</v>
      </c>
      <c r="E1238" s="630" t="s">
        <v>902</v>
      </c>
      <c r="F1238" s="829">
        <v>23.44</v>
      </c>
      <c r="G1238" s="830">
        <v>0</v>
      </c>
      <c r="H1238" s="831">
        <v>23.44</v>
      </c>
      <c r="I1238" s="846"/>
      <c r="J1238" s="846"/>
      <c r="K1238" s="846"/>
      <c r="L1238" s="846"/>
      <c r="M1238" s="846"/>
      <c r="N1238" s="846"/>
      <c r="O1238" s="846"/>
      <c r="P1238" s="846"/>
      <c r="Q1238" s="846"/>
      <c r="R1238" s="846"/>
      <c r="S1238" s="846"/>
      <c r="T1238" s="846"/>
    </row>
    <row r="1239" spans="2:20" ht="25.5" hidden="1">
      <c r="B1239" s="828" t="s">
        <v>6529</v>
      </c>
      <c r="C1239" s="828">
        <v>100639</v>
      </c>
      <c r="D1239" s="630" t="s">
        <v>3754</v>
      </c>
      <c r="E1239" s="630" t="s">
        <v>902</v>
      </c>
      <c r="F1239" s="829">
        <v>209.34</v>
      </c>
      <c r="G1239" s="830">
        <v>0</v>
      </c>
      <c r="H1239" s="831">
        <v>209.34</v>
      </c>
      <c r="I1239" s="846"/>
      <c r="J1239" s="846"/>
      <c r="K1239" s="846"/>
      <c r="L1239" s="846"/>
      <c r="M1239" s="846"/>
      <c r="N1239" s="846"/>
      <c r="O1239" s="846"/>
      <c r="P1239" s="846"/>
      <c r="Q1239" s="846"/>
      <c r="R1239" s="846"/>
      <c r="S1239" s="846"/>
      <c r="T1239" s="846"/>
    </row>
    <row r="1240" spans="2:20" ht="25.5" hidden="1">
      <c r="B1240" s="828" t="s">
        <v>6529</v>
      </c>
      <c r="C1240" s="828">
        <v>100640</v>
      </c>
      <c r="D1240" s="630" t="s">
        <v>3755</v>
      </c>
      <c r="E1240" s="630" t="s">
        <v>902</v>
      </c>
      <c r="F1240" s="829">
        <v>199.92</v>
      </c>
      <c r="G1240" s="830">
        <v>0</v>
      </c>
      <c r="H1240" s="831">
        <v>199.92</v>
      </c>
      <c r="I1240" s="846"/>
      <c r="J1240" s="846"/>
      <c r="K1240" s="846"/>
      <c r="L1240" s="846"/>
      <c r="M1240" s="846"/>
      <c r="N1240" s="846"/>
      <c r="O1240" s="846"/>
      <c r="P1240" s="846"/>
      <c r="Q1240" s="846"/>
      <c r="R1240" s="846"/>
      <c r="S1240" s="846"/>
      <c r="T1240" s="846"/>
    </row>
    <row r="1241" spans="2:20" ht="25.5" hidden="1">
      <c r="B1241" s="828" t="s">
        <v>6529</v>
      </c>
      <c r="C1241" s="828">
        <v>100643</v>
      </c>
      <c r="D1241" s="630" t="s">
        <v>3756</v>
      </c>
      <c r="E1241" s="630" t="s">
        <v>902</v>
      </c>
      <c r="F1241" s="829">
        <v>342.88</v>
      </c>
      <c r="G1241" s="830">
        <v>0</v>
      </c>
      <c r="H1241" s="831">
        <v>342.88</v>
      </c>
      <c r="I1241" s="846"/>
      <c r="J1241" s="846"/>
      <c r="K1241" s="846"/>
      <c r="L1241" s="846"/>
      <c r="M1241" s="846"/>
      <c r="N1241" s="846"/>
      <c r="O1241" s="846"/>
      <c r="P1241" s="846"/>
      <c r="Q1241" s="846"/>
      <c r="R1241" s="846"/>
      <c r="S1241" s="846"/>
      <c r="T1241" s="846"/>
    </row>
    <row r="1242" spans="2:20" ht="25.5" hidden="1">
      <c r="B1242" s="828" t="s">
        <v>6529</v>
      </c>
      <c r="C1242" s="828">
        <v>100644</v>
      </c>
      <c r="D1242" s="630" t="s">
        <v>3757</v>
      </c>
      <c r="E1242" s="630" t="s">
        <v>902</v>
      </c>
      <c r="F1242" s="829">
        <v>61.71</v>
      </c>
      <c r="G1242" s="830">
        <v>0</v>
      </c>
      <c r="H1242" s="831">
        <v>61.71</v>
      </c>
      <c r="I1242" s="846"/>
      <c r="J1242" s="846"/>
      <c r="K1242" s="846"/>
      <c r="L1242" s="846"/>
      <c r="M1242" s="846"/>
      <c r="N1242" s="846"/>
      <c r="O1242" s="846"/>
      <c r="P1242" s="846"/>
      <c r="Q1242" s="846"/>
      <c r="R1242" s="846"/>
      <c r="S1242" s="846"/>
      <c r="T1242" s="846"/>
    </row>
    <row r="1243" spans="2:20" ht="25.5" hidden="1">
      <c r="B1243" s="828" t="s">
        <v>6529</v>
      </c>
      <c r="C1243" s="828">
        <v>100645</v>
      </c>
      <c r="D1243" s="630" t="s">
        <v>3758</v>
      </c>
      <c r="E1243" s="630" t="s">
        <v>902</v>
      </c>
      <c r="F1243" s="829">
        <v>551.17999999999995</v>
      </c>
      <c r="G1243" s="830">
        <v>0</v>
      </c>
      <c r="H1243" s="831">
        <v>551.17999999999995</v>
      </c>
      <c r="I1243" s="846"/>
      <c r="J1243" s="846"/>
      <c r="K1243" s="846"/>
      <c r="L1243" s="846"/>
      <c r="M1243" s="846"/>
      <c r="N1243" s="846"/>
      <c r="O1243" s="846"/>
      <c r="P1243" s="846"/>
      <c r="Q1243" s="846"/>
      <c r="R1243" s="846"/>
      <c r="S1243" s="846"/>
      <c r="T1243" s="846"/>
    </row>
    <row r="1244" spans="2:20" ht="25.5" hidden="1">
      <c r="B1244" s="828" t="s">
        <v>6529</v>
      </c>
      <c r="C1244" s="828">
        <v>100646</v>
      </c>
      <c r="D1244" s="630" t="s">
        <v>3759</v>
      </c>
      <c r="E1244" s="630" t="s">
        <v>902</v>
      </c>
      <c r="F1244" s="829">
        <v>285.60000000000002</v>
      </c>
      <c r="G1244" s="830">
        <v>0</v>
      </c>
      <c r="H1244" s="831">
        <v>285.60000000000002</v>
      </c>
      <c r="I1244" s="846"/>
      <c r="J1244" s="846"/>
      <c r="K1244" s="846"/>
      <c r="L1244" s="846"/>
      <c r="M1244" s="846"/>
      <c r="N1244" s="846"/>
      <c r="O1244" s="846"/>
      <c r="P1244" s="846"/>
      <c r="Q1244" s="846"/>
      <c r="R1244" s="846"/>
      <c r="S1244" s="846"/>
      <c r="T1244" s="846"/>
    </row>
    <row r="1245" spans="2:20" ht="25.5" hidden="1">
      <c r="B1245" s="828" t="s">
        <v>6529</v>
      </c>
      <c r="C1245" s="828">
        <v>102270</v>
      </c>
      <c r="D1245" s="630" t="s">
        <v>6109</v>
      </c>
      <c r="E1245" s="630" t="s">
        <v>902</v>
      </c>
      <c r="F1245" s="829">
        <v>0.53</v>
      </c>
      <c r="G1245" s="830">
        <v>0</v>
      </c>
      <c r="H1245" s="831">
        <v>0.53</v>
      </c>
      <c r="I1245" s="846"/>
      <c r="J1245" s="846"/>
      <c r="K1245" s="846"/>
      <c r="L1245" s="846"/>
      <c r="M1245" s="846"/>
      <c r="N1245" s="846"/>
      <c r="O1245" s="846"/>
      <c r="P1245" s="846"/>
      <c r="Q1245" s="846"/>
      <c r="R1245" s="846"/>
      <c r="S1245" s="846"/>
      <c r="T1245" s="846"/>
    </row>
    <row r="1246" spans="2:20" ht="25.5" hidden="1">
      <c r="B1246" s="828" t="s">
        <v>6529</v>
      </c>
      <c r="C1246" s="828">
        <v>102271</v>
      </c>
      <c r="D1246" s="630" t="s">
        <v>6110</v>
      </c>
      <c r="E1246" s="630" t="s">
        <v>902</v>
      </c>
      <c r="F1246" s="829">
        <v>0.06</v>
      </c>
      <c r="G1246" s="830">
        <v>0</v>
      </c>
      <c r="H1246" s="831">
        <v>0.06</v>
      </c>
      <c r="I1246" s="846"/>
      <c r="J1246" s="846"/>
      <c r="K1246" s="846"/>
      <c r="L1246" s="846"/>
      <c r="M1246" s="846"/>
      <c r="N1246" s="846"/>
      <c r="O1246" s="846"/>
      <c r="P1246" s="846"/>
      <c r="Q1246" s="846"/>
      <c r="R1246" s="846"/>
      <c r="S1246" s="846"/>
      <c r="T1246" s="846"/>
    </row>
    <row r="1247" spans="2:20" ht="25.5" hidden="1">
      <c r="B1247" s="828" t="s">
        <v>6529</v>
      </c>
      <c r="C1247" s="828">
        <v>102272</v>
      </c>
      <c r="D1247" s="630" t="s">
        <v>6111</v>
      </c>
      <c r="E1247" s="630" t="s">
        <v>902</v>
      </c>
      <c r="F1247" s="829">
        <v>0.66</v>
      </c>
      <c r="G1247" s="830">
        <v>0</v>
      </c>
      <c r="H1247" s="831">
        <v>0.66</v>
      </c>
      <c r="I1247" s="846"/>
      <c r="J1247" s="846"/>
      <c r="K1247" s="846"/>
      <c r="L1247" s="846"/>
      <c r="M1247" s="846"/>
      <c r="N1247" s="846"/>
      <c r="O1247" s="846"/>
      <c r="P1247" s="846"/>
      <c r="Q1247" s="846"/>
      <c r="R1247" s="846"/>
      <c r="S1247" s="846"/>
      <c r="T1247" s="846"/>
    </row>
    <row r="1248" spans="2:20" ht="38.25" hidden="1">
      <c r="B1248" s="828" t="s">
        <v>6529</v>
      </c>
      <c r="C1248" s="828">
        <v>102273</v>
      </c>
      <c r="D1248" s="630" t="s">
        <v>6112</v>
      </c>
      <c r="E1248" s="630" t="s">
        <v>902</v>
      </c>
      <c r="F1248" s="829">
        <v>1.42</v>
      </c>
      <c r="G1248" s="830">
        <v>0</v>
      </c>
      <c r="H1248" s="831">
        <v>1.42</v>
      </c>
      <c r="I1248" s="846"/>
      <c r="J1248" s="846"/>
      <c r="K1248" s="846"/>
      <c r="L1248" s="846"/>
      <c r="M1248" s="846"/>
      <c r="N1248" s="846"/>
      <c r="O1248" s="846"/>
      <c r="P1248" s="846"/>
      <c r="Q1248" s="846"/>
      <c r="R1248" s="846"/>
      <c r="S1248" s="846"/>
      <c r="T1248" s="846"/>
    </row>
    <row r="1249" spans="2:20" ht="25.5" hidden="1">
      <c r="B1249" s="828" t="s">
        <v>6529</v>
      </c>
      <c r="C1249" s="828">
        <v>102809</v>
      </c>
      <c r="D1249" s="630" t="s">
        <v>6681</v>
      </c>
      <c r="E1249" s="630" t="s">
        <v>902</v>
      </c>
      <c r="F1249" s="829">
        <v>18.420000000000002</v>
      </c>
      <c r="G1249" s="830">
        <v>0</v>
      </c>
      <c r="H1249" s="831">
        <v>18.420000000000002</v>
      </c>
      <c r="I1249" s="846"/>
      <c r="J1249" s="846"/>
      <c r="K1249" s="846"/>
      <c r="L1249" s="846"/>
      <c r="M1249" s="846"/>
      <c r="N1249" s="846"/>
      <c r="O1249" s="846"/>
      <c r="P1249" s="846"/>
      <c r="Q1249" s="846"/>
      <c r="R1249" s="846"/>
      <c r="S1249" s="846"/>
      <c r="T1249" s="846"/>
    </row>
    <row r="1250" spans="2:20" ht="51" hidden="1">
      <c r="B1250" s="828" t="s">
        <v>6529</v>
      </c>
      <c r="C1250" s="828">
        <v>102815</v>
      </c>
      <c r="D1250" s="630" t="s">
        <v>6682</v>
      </c>
      <c r="E1250" s="630" t="s">
        <v>902</v>
      </c>
      <c r="F1250" s="829">
        <v>2.85</v>
      </c>
      <c r="G1250" s="830">
        <v>0</v>
      </c>
      <c r="H1250" s="831">
        <v>2.85</v>
      </c>
      <c r="I1250" s="846"/>
      <c r="J1250" s="846"/>
      <c r="K1250" s="846"/>
      <c r="L1250" s="846"/>
      <c r="M1250" s="846"/>
      <c r="N1250" s="846"/>
      <c r="O1250" s="846"/>
      <c r="P1250" s="846"/>
      <c r="Q1250" s="846"/>
      <c r="R1250" s="846"/>
      <c r="S1250" s="846"/>
      <c r="T1250" s="846"/>
    </row>
    <row r="1251" spans="2:20" ht="38.25" hidden="1">
      <c r="B1251" s="828" t="s">
        <v>6529</v>
      </c>
      <c r="C1251" s="828">
        <v>102826</v>
      </c>
      <c r="D1251" s="630" t="s">
        <v>6683</v>
      </c>
      <c r="E1251" s="630" t="s">
        <v>902</v>
      </c>
      <c r="F1251" s="829">
        <v>5.35</v>
      </c>
      <c r="G1251" s="830">
        <v>0</v>
      </c>
      <c r="H1251" s="831">
        <v>5.35</v>
      </c>
      <c r="I1251" s="846"/>
      <c r="J1251" s="846"/>
      <c r="K1251" s="846"/>
      <c r="L1251" s="846"/>
      <c r="M1251" s="846"/>
      <c r="N1251" s="846"/>
      <c r="O1251" s="846"/>
      <c r="P1251" s="846"/>
      <c r="Q1251" s="846"/>
      <c r="R1251" s="846"/>
      <c r="S1251" s="846"/>
      <c r="T1251" s="846"/>
    </row>
    <row r="1252" spans="2:20" ht="38.25" hidden="1">
      <c r="B1252" s="828" t="s">
        <v>6529</v>
      </c>
      <c r="C1252" s="828">
        <v>102832</v>
      </c>
      <c r="D1252" s="630" t="s">
        <v>6684</v>
      </c>
      <c r="E1252" s="630" t="s">
        <v>902</v>
      </c>
      <c r="F1252" s="829">
        <v>7.14</v>
      </c>
      <c r="G1252" s="830">
        <v>0</v>
      </c>
      <c r="H1252" s="831">
        <v>7.14</v>
      </c>
      <c r="I1252" s="846"/>
      <c r="J1252" s="846"/>
      <c r="K1252" s="846"/>
      <c r="L1252" s="846"/>
      <c r="M1252" s="846"/>
      <c r="N1252" s="846"/>
      <c r="O1252" s="846"/>
      <c r="P1252" s="846"/>
      <c r="Q1252" s="846"/>
      <c r="R1252" s="846"/>
      <c r="S1252" s="846"/>
      <c r="T1252" s="846"/>
    </row>
    <row r="1253" spans="2:20" ht="38.25" hidden="1">
      <c r="B1253" s="828" t="s">
        <v>6529</v>
      </c>
      <c r="C1253" s="828">
        <v>102843</v>
      </c>
      <c r="D1253" s="630" t="s">
        <v>6685</v>
      </c>
      <c r="E1253" s="630" t="s">
        <v>902</v>
      </c>
      <c r="F1253" s="829">
        <v>164.47</v>
      </c>
      <c r="G1253" s="830">
        <v>0</v>
      </c>
      <c r="H1253" s="831">
        <v>164.47</v>
      </c>
      <c r="I1253" s="846"/>
      <c r="J1253" s="846"/>
      <c r="K1253" s="846"/>
      <c r="L1253" s="846"/>
      <c r="M1253" s="846"/>
      <c r="N1253" s="846"/>
      <c r="O1253" s="846"/>
      <c r="P1253" s="846"/>
      <c r="Q1253" s="846"/>
      <c r="R1253" s="846"/>
      <c r="S1253" s="846"/>
      <c r="T1253" s="846"/>
    </row>
    <row r="1254" spans="2:20" ht="25.5" hidden="1">
      <c r="B1254" s="828" t="s">
        <v>6529</v>
      </c>
      <c r="C1254" s="828">
        <v>102849</v>
      </c>
      <c r="D1254" s="630" t="s">
        <v>6686</v>
      </c>
      <c r="E1254" s="630" t="s">
        <v>902</v>
      </c>
      <c r="F1254" s="829">
        <v>80.41</v>
      </c>
      <c r="G1254" s="830">
        <v>0</v>
      </c>
      <c r="H1254" s="831">
        <v>80.41</v>
      </c>
      <c r="I1254" s="846"/>
      <c r="J1254" s="846"/>
      <c r="K1254" s="846"/>
      <c r="L1254" s="846"/>
      <c r="M1254" s="846"/>
      <c r="N1254" s="846"/>
      <c r="O1254" s="846"/>
      <c r="P1254" s="846"/>
      <c r="Q1254" s="846"/>
      <c r="R1254" s="846"/>
      <c r="S1254" s="846"/>
      <c r="T1254" s="846"/>
    </row>
    <row r="1255" spans="2:20" ht="38.25" hidden="1">
      <c r="B1255" s="828" t="s">
        <v>6529</v>
      </c>
      <c r="C1255" s="828">
        <v>102855</v>
      </c>
      <c r="D1255" s="630" t="s">
        <v>6687</v>
      </c>
      <c r="E1255" s="630" t="s">
        <v>902</v>
      </c>
      <c r="F1255" s="829">
        <v>80.41</v>
      </c>
      <c r="G1255" s="830">
        <v>0</v>
      </c>
      <c r="H1255" s="831">
        <v>80.41</v>
      </c>
      <c r="I1255" s="846"/>
      <c r="J1255" s="846"/>
      <c r="K1255" s="846"/>
      <c r="L1255" s="846"/>
      <c r="M1255" s="846"/>
      <c r="N1255" s="846"/>
      <c r="O1255" s="846"/>
      <c r="P1255" s="846"/>
      <c r="Q1255" s="846"/>
      <c r="R1255" s="846"/>
      <c r="S1255" s="846"/>
      <c r="T1255" s="846"/>
    </row>
    <row r="1256" spans="2:20" ht="38.25" hidden="1">
      <c r="B1256" s="828" t="s">
        <v>6529</v>
      </c>
      <c r="C1256" s="828">
        <v>102861</v>
      </c>
      <c r="D1256" s="630" t="s">
        <v>6688</v>
      </c>
      <c r="E1256" s="630" t="s">
        <v>902</v>
      </c>
      <c r="F1256" s="829">
        <v>1.05</v>
      </c>
      <c r="G1256" s="830">
        <v>0</v>
      </c>
      <c r="H1256" s="831">
        <v>1.05</v>
      </c>
      <c r="I1256" s="846"/>
      <c r="J1256" s="846"/>
      <c r="K1256" s="846"/>
      <c r="L1256" s="846"/>
      <c r="M1256" s="846"/>
      <c r="N1256" s="846"/>
      <c r="O1256" s="846"/>
      <c r="P1256" s="846"/>
      <c r="Q1256" s="846"/>
      <c r="R1256" s="846"/>
      <c r="S1256" s="846"/>
      <c r="T1256" s="846"/>
    </row>
    <row r="1257" spans="2:20" ht="25.5" hidden="1">
      <c r="B1257" s="828" t="s">
        <v>6529</v>
      </c>
      <c r="C1257" s="828">
        <v>102867</v>
      </c>
      <c r="D1257" s="630" t="s">
        <v>6689</v>
      </c>
      <c r="E1257" s="630" t="s">
        <v>902</v>
      </c>
      <c r="F1257" s="829">
        <v>0.56999999999999995</v>
      </c>
      <c r="G1257" s="830">
        <v>0</v>
      </c>
      <c r="H1257" s="831">
        <v>0.56999999999999995</v>
      </c>
      <c r="I1257" s="846"/>
      <c r="J1257" s="846"/>
      <c r="K1257" s="846"/>
      <c r="L1257" s="846"/>
      <c r="M1257" s="846"/>
      <c r="N1257" s="846"/>
      <c r="O1257" s="846"/>
      <c r="P1257" s="846"/>
      <c r="Q1257" s="846"/>
      <c r="R1257" s="846"/>
      <c r="S1257" s="846"/>
      <c r="T1257" s="846"/>
    </row>
    <row r="1258" spans="2:20" ht="38.25" hidden="1">
      <c r="B1258" s="828" t="s">
        <v>6529</v>
      </c>
      <c r="C1258" s="828">
        <v>102873</v>
      </c>
      <c r="D1258" s="630" t="s">
        <v>6690</v>
      </c>
      <c r="E1258" s="630" t="s">
        <v>902</v>
      </c>
      <c r="F1258" s="829">
        <v>146.12</v>
      </c>
      <c r="G1258" s="830">
        <v>0</v>
      </c>
      <c r="H1258" s="831">
        <v>146.12</v>
      </c>
      <c r="I1258" s="846"/>
      <c r="J1258" s="846"/>
      <c r="K1258" s="846"/>
      <c r="L1258" s="846"/>
      <c r="M1258" s="846"/>
      <c r="N1258" s="846"/>
      <c r="O1258" s="846"/>
      <c r="P1258" s="846"/>
      <c r="Q1258" s="846"/>
      <c r="R1258" s="846"/>
      <c r="S1258" s="846"/>
      <c r="T1258" s="846"/>
    </row>
    <row r="1259" spans="2:20" ht="38.25" hidden="1">
      <c r="B1259" s="828" t="s">
        <v>6529</v>
      </c>
      <c r="C1259" s="828">
        <v>102879</v>
      </c>
      <c r="D1259" s="630" t="s">
        <v>6691</v>
      </c>
      <c r="E1259" s="630" t="s">
        <v>902</v>
      </c>
      <c r="F1259" s="829">
        <v>219.3</v>
      </c>
      <c r="G1259" s="830">
        <v>0</v>
      </c>
      <c r="H1259" s="831">
        <v>219.3</v>
      </c>
      <c r="I1259" s="846"/>
      <c r="J1259" s="846"/>
      <c r="K1259" s="846"/>
      <c r="L1259" s="846"/>
      <c r="M1259" s="846"/>
      <c r="N1259" s="846"/>
      <c r="O1259" s="846"/>
      <c r="P1259" s="846"/>
      <c r="Q1259" s="846"/>
      <c r="R1259" s="846"/>
      <c r="S1259" s="846"/>
      <c r="T1259" s="846"/>
    </row>
    <row r="1260" spans="2:20" hidden="1">
      <c r="B1260" s="828" t="s">
        <v>6529</v>
      </c>
      <c r="C1260" s="828">
        <v>102885</v>
      </c>
      <c r="D1260" s="630" t="s">
        <v>6692</v>
      </c>
      <c r="E1260" s="630" t="s">
        <v>902</v>
      </c>
      <c r="F1260" s="829">
        <v>1.07</v>
      </c>
      <c r="G1260" s="830">
        <v>0</v>
      </c>
      <c r="H1260" s="831">
        <v>1.07</v>
      </c>
      <c r="I1260" s="846"/>
      <c r="J1260" s="846"/>
      <c r="K1260" s="846"/>
      <c r="L1260" s="846"/>
      <c r="M1260" s="846"/>
      <c r="N1260" s="846"/>
      <c r="O1260" s="846"/>
      <c r="P1260" s="846"/>
      <c r="Q1260" s="846"/>
      <c r="R1260" s="846"/>
      <c r="S1260" s="846"/>
      <c r="T1260" s="846"/>
    </row>
    <row r="1261" spans="2:20" ht="25.5" hidden="1">
      <c r="B1261" s="828" t="s">
        <v>6529</v>
      </c>
      <c r="C1261" s="828">
        <v>102891</v>
      </c>
      <c r="D1261" s="630" t="s">
        <v>6693</v>
      </c>
      <c r="E1261" s="630" t="s">
        <v>902</v>
      </c>
      <c r="F1261" s="829">
        <v>1.07</v>
      </c>
      <c r="G1261" s="830">
        <v>0</v>
      </c>
      <c r="H1261" s="831">
        <v>1.07</v>
      </c>
      <c r="I1261" s="846"/>
      <c r="J1261" s="846"/>
      <c r="K1261" s="846"/>
      <c r="L1261" s="846"/>
      <c r="M1261" s="846"/>
      <c r="N1261" s="846"/>
      <c r="O1261" s="846"/>
      <c r="P1261" s="846"/>
      <c r="Q1261" s="846"/>
      <c r="R1261" s="846"/>
      <c r="S1261" s="846"/>
      <c r="T1261" s="846"/>
    </row>
    <row r="1262" spans="2:20" ht="38.25" hidden="1">
      <c r="B1262" s="828" t="s">
        <v>6529</v>
      </c>
      <c r="C1262" s="828">
        <v>102897</v>
      </c>
      <c r="D1262" s="630" t="s">
        <v>6694</v>
      </c>
      <c r="E1262" s="630" t="s">
        <v>902</v>
      </c>
      <c r="F1262" s="829">
        <v>109.86</v>
      </c>
      <c r="G1262" s="830">
        <v>0</v>
      </c>
      <c r="H1262" s="831">
        <v>109.86</v>
      </c>
      <c r="I1262" s="846"/>
      <c r="J1262" s="846"/>
      <c r="K1262" s="846"/>
      <c r="L1262" s="846"/>
      <c r="M1262" s="846"/>
      <c r="N1262" s="846"/>
      <c r="O1262" s="846"/>
      <c r="P1262" s="846"/>
      <c r="Q1262" s="846"/>
      <c r="R1262" s="846"/>
      <c r="S1262" s="846"/>
      <c r="T1262" s="846"/>
    </row>
    <row r="1263" spans="2:20" ht="25.5" hidden="1">
      <c r="B1263" s="828" t="s">
        <v>6529</v>
      </c>
      <c r="C1263" s="828">
        <v>102903</v>
      </c>
      <c r="D1263" s="630" t="s">
        <v>6695</v>
      </c>
      <c r="E1263" s="630" t="s">
        <v>902</v>
      </c>
      <c r="F1263" s="829">
        <v>14.25</v>
      </c>
      <c r="G1263" s="830">
        <v>0</v>
      </c>
      <c r="H1263" s="831">
        <v>14.25</v>
      </c>
      <c r="I1263" s="846"/>
      <c r="J1263" s="846"/>
      <c r="K1263" s="846"/>
      <c r="L1263" s="846"/>
      <c r="M1263" s="846"/>
      <c r="N1263" s="846"/>
      <c r="O1263" s="846"/>
      <c r="P1263" s="846"/>
      <c r="Q1263" s="846"/>
      <c r="R1263" s="846"/>
      <c r="S1263" s="846"/>
      <c r="T1263" s="846"/>
    </row>
    <row r="1264" spans="2:20" ht="25.5" hidden="1">
      <c r="B1264" s="828" t="s">
        <v>6529</v>
      </c>
      <c r="C1264" s="828">
        <v>102909</v>
      </c>
      <c r="D1264" s="630" t="s">
        <v>6696</v>
      </c>
      <c r="E1264" s="630" t="s">
        <v>902</v>
      </c>
      <c r="F1264" s="829">
        <v>82.11</v>
      </c>
      <c r="G1264" s="830">
        <v>0</v>
      </c>
      <c r="H1264" s="831">
        <v>82.11</v>
      </c>
      <c r="I1264" s="846"/>
      <c r="J1264" s="846"/>
      <c r="K1264" s="846"/>
      <c r="L1264" s="846"/>
      <c r="M1264" s="846"/>
      <c r="N1264" s="846"/>
      <c r="O1264" s="846"/>
      <c r="P1264" s="846"/>
      <c r="Q1264" s="846"/>
      <c r="R1264" s="846"/>
      <c r="S1264" s="846"/>
      <c r="T1264" s="846"/>
    </row>
    <row r="1265" spans="2:20" ht="25.5" hidden="1">
      <c r="B1265" s="828" t="s">
        <v>6529</v>
      </c>
      <c r="C1265" s="828">
        <v>102915</v>
      </c>
      <c r="D1265" s="630" t="s">
        <v>6697</v>
      </c>
      <c r="E1265" s="630" t="s">
        <v>902</v>
      </c>
      <c r="F1265" s="829">
        <v>0.52</v>
      </c>
      <c r="G1265" s="830">
        <v>0</v>
      </c>
      <c r="H1265" s="831">
        <v>0.52</v>
      </c>
      <c r="I1265" s="846"/>
      <c r="J1265" s="846"/>
      <c r="K1265" s="846"/>
      <c r="L1265" s="846"/>
      <c r="M1265" s="846"/>
      <c r="N1265" s="846"/>
      <c r="O1265" s="846"/>
      <c r="P1265" s="846"/>
      <c r="Q1265" s="846"/>
      <c r="R1265" s="846"/>
      <c r="S1265" s="846"/>
      <c r="T1265" s="846"/>
    </row>
    <row r="1266" spans="2:20" ht="38.25" hidden="1">
      <c r="B1266" s="828" t="s">
        <v>6529</v>
      </c>
      <c r="C1266" s="828">
        <v>102927</v>
      </c>
      <c r="D1266" s="630" t="s">
        <v>6698</v>
      </c>
      <c r="E1266" s="630" t="s">
        <v>902</v>
      </c>
      <c r="F1266" s="829">
        <v>0.78</v>
      </c>
      <c r="G1266" s="830">
        <v>0</v>
      </c>
      <c r="H1266" s="831">
        <v>0.78</v>
      </c>
      <c r="I1266" s="846"/>
      <c r="J1266" s="846"/>
      <c r="K1266" s="846"/>
      <c r="L1266" s="846"/>
      <c r="M1266" s="846"/>
      <c r="N1266" s="846"/>
      <c r="O1266" s="846"/>
      <c r="P1266" s="846"/>
      <c r="Q1266" s="846"/>
      <c r="R1266" s="846"/>
      <c r="S1266" s="846"/>
      <c r="T1266" s="846"/>
    </row>
    <row r="1267" spans="2:20" ht="51" hidden="1">
      <c r="B1267" s="828" t="s">
        <v>6529</v>
      </c>
      <c r="C1267" s="828">
        <v>102933</v>
      </c>
      <c r="D1267" s="630" t="s">
        <v>6699</v>
      </c>
      <c r="E1267" s="630" t="s">
        <v>902</v>
      </c>
      <c r="F1267" s="829">
        <v>0.78</v>
      </c>
      <c r="G1267" s="830">
        <v>0</v>
      </c>
      <c r="H1267" s="831">
        <v>0.78</v>
      </c>
      <c r="I1267" s="846"/>
      <c r="J1267" s="846"/>
      <c r="K1267" s="846"/>
      <c r="L1267" s="846"/>
      <c r="M1267" s="846"/>
      <c r="N1267" s="846"/>
      <c r="O1267" s="846"/>
      <c r="P1267" s="846"/>
      <c r="Q1267" s="846"/>
      <c r="R1267" s="846"/>
      <c r="S1267" s="846"/>
      <c r="T1267" s="846"/>
    </row>
    <row r="1268" spans="2:20" ht="25.5" hidden="1">
      <c r="B1268" s="828" t="s">
        <v>6529</v>
      </c>
      <c r="C1268" s="828">
        <v>102939</v>
      </c>
      <c r="D1268" s="630" t="s">
        <v>6700</v>
      </c>
      <c r="E1268" s="630" t="s">
        <v>902</v>
      </c>
      <c r="F1268" s="829">
        <v>7.85</v>
      </c>
      <c r="G1268" s="830">
        <v>0</v>
      </c>
      <c r="H1268" s="831">
        <v>7.85</v>
      </c>
      <c r="I1268" s="846"/>
      <c r="J1268" s="846"/>
      <c r="K1268" s="846"/>
      <c r="L1268" s="846"/>
      <c r="M1268" s="846"/>
      <c r="N1268" s="846"/>
      <c r="O1268" s="846"/>
      <c r="P1268" s="846"/>
      <c r="Q1268" s="846"/>
      <c r="R1268" s="846"/>
      <c r="S1268" s="846"/>
      <c r="T1268" s="846"/>
    </row>
    <row r="1269" spans="2:20" ht="38.25" hidden="1">
      <c r="B1269" s="828" t="s">
        <v>6529</v>
      </c>
      <c r="C1269" s="828">
        <v>102945</v>
      </c>
      <c r="D1269" s="630" t="s">
        <v>6701</v>
      </c>
      <c r="E1269" s="630" t="s">
        <v>902</v>
      </c>
      <c r="F1269" s="829">
        <v>0.01</v>
      </c>
      <c r="G1269" s="830">
        <v>0</v>
      </c>
      <c r="H1269" s="831">
        <v>0.01</v>
      </c>
      <c r="I1269" s="846"/>
      <c r="J1269" s="846"/>
      <c r="K1269" s="846"/>
      <c r="L1269" s="846"/>
      <c r="M1269" s="846"/>
      <c r="N1269" s="846"/>
      <c r="O1269" s="846"/>
      <c r="P1269" s="846"/>
      <c r="Q1269" s="846"/>
      <c r="R1269" s="846"/>
      <c r="S1269" s="846"/>
      <c r="T1269" s="846"/>
    </row>
    <row r="1270" spans="2:20" ht="38.25" hidden="1">
      <c r="B1270" s="828" t="s">
        <v>6529</v>
      </c>
      <c r="C1270" s="828">
        <v>102951</v>
      </c>
      <c r="D1270" s="630" t="s">
        <v>6702</v>
      </c>
      <c r="E1270" s="630" t="s">
        <v>902</v>
      </c>
      <c r="F1270" s="829">
        <v>0.52</v>
      </c>
      <c r="G1270" s="830">
        <v>0</v>
      </c>
      <c r="H1270" s="831">
        <v>0.52</v>
      </c>
      <c r="I1270" s="846"/>
      <c r="J1270" s="846"/>
      <c r="K1270" s="846"/>
      <c r="L1270" s="846"/>
      <c r="M1270" s="846"/>
      <c r="N1270" s="846"/>
      <c r="O1270" s="846"/>
      <c r="P1270" s="846"/>
      <c r="Q1270" s="846"/>
      <c r="R1270" s="846"/>
      <c r="S1270" s="846"/>
      <c r="T1270" s="846"/>
    </row>
    <row r="1271" spans="2:20" ht="38.25" hidden="1">
      <c r="B1271" s="828" t="s">
        <v>6529</v>
      </c>
      <c r="C1271" s="828">
        <v>102957</v>
      </c>
      <c r="D1271" s="630" t="s">
        <v>6703</v>
      </c>
      <c r="E1271" s="630" t="s">
        <v>902</v>
      </c>
      <c r="F1271" s="829">
        <v>62.35</v>
      </c>
      <c r="G1271" s="830">
        <v>0</v>
      </c>
      <c r="H1271" s="831">
        <v>62.35</v>
      </c>
      <c r="I1271" s="846"/>
      <c r="J1271" s="846"/>
      <c r="K1271" s="846"/>
      <c r="L1271" s="846"/>
      <c r="M1271" s="846"/>
      <c r="N1271" s="846"/>
      <c r="O1271" s="846"/>
      <c r="P1271" s="846"/>
      <c r="Q1271" s="846"/>
      <c r="R1271" s="846"/>
      <c r="S1271" s="846"/>
      <c r="T1271" s="846"/>
    </row>
    <row r="1272" spans="2:20" ht="38.25" hidden="1">
      <c r="B1272" s="828" t="s">
        <v>6529</v>
      </c>
      <c r="C1272" s="828">
        <v>102963</v>
      </c>
      <c r="D1272" s="630" t="s">
        <v>6704</v>
      </c>
      <c r="E1272" s="630" t="s">
        <v>902</v>
      </c>
      <c r="F1272" s="829">
        <v>103.58</v>
      </c>
      <c r="G1272" s="830">
        <v>0</v>
      </c>
      <c r="H1272" s="831">
        <v>103.58</v>
      </c>
      <c r="I1272" s="846"/>
      <c r="J1272" s="846"/>
      <c r="K1272" s="846"/>
      <c r="L1272" s="846"/>
      <c r="M1272" s="846"/>
      <c r="N1272" s="846"/>
      <c r="O1272" s="846"/>
      <c r="P1272" s="846"/>
      <c r="Q1272" s="846"/>
      <c r="R1272" s="846"/>
      <c r="S1272" s="846"/>
      <c r="T1272" s="846"/>
    </row>
    <row r="1273" spans="2:20" ht="38.25" hidden="1">
      <c r="B1273" s="828" t="s">
        <v>6529</v>
      </c>
      <c r="C1273" s="828">
        <v>102969</v>
      </c>
      <c r="D1273" s="630" t="s">
        <v>6705</v>
      </c>
      <c r="E1273" s="630" t="s">
        <v>902</v>
      </c>
      <c r="F1273" s="829">
        <v>1.06</v>
      </c>
      <c r="G1273" s="830">
        <v>0</v>
      </c>
      <c r="H1273" s="831">
        <v>1.06</v>
      </c>
      <c r="I1273" s="846"/>
      <c r="J1273" s="846"/>
      <c r="K1273" s="846"/>
      <c r="L1273" s="846"/>
      <c r="M1273" s="846"/>
      <c r="N1273" s="846"/>
      <c r="O1273" s="846"/>
      <c r="P1273" s="846"/>
      <c r="Q1273" s="846"/>
      <c r="R1273" s="846"/>
      <c r="S1273" s="846"/>
      <c r="T1273" s="846"/>
    </row>
    <row r="1274" spans="2:20" ht="38.25" hidden="1">
      <c r="B1274" s="828" t="s">
        <v>6529</v>
      </c>
      <c r="C1274" s="828">
        <v>102985</v>
      </c>
      <c r="D1274" s="630" t="s">
        <v>6706</v>
      </c>
      <c r="E1274" s="630" t="s">
        <v>902</v>
      </c>
      <c r="F1274" s="829">
        <v>3.65</v>
      </c>
      <c r="G1274" s="830">
        <v>0</v>
      </c>
      <c r="H1274" s="831">
        <v>3.65</v>
      </c>
      <c r="I1274" s="846"/>
      <c r="J1274" s="846"/>
      <c r="K1274" s="846"/>
      <c r="L1274" s="846"/>
      <c r="M1274" s="846"/>
      <c r="N1274" s="846"/>
      <c r="O1274" s="846"/>
      <c r="P1274" s="846"/>
      <c r="Q1274" s="846"/>
      <c r="R1274" s="846"/>
      <c r="S1274" s="846"/>
      <c r="T1274" s="846"/>
    </row>
    <row r="1275" spans="2:20" ht="38.25" hidden="1">
      <c r="B1275" s="828" t="s">
        <v>6529</v>
      </c>
      <c r="C1275" s="828">
        <v>103156</v>
      </c>
      <c r="D1275" s="630" t="s">
        <v>6708</v>
      </c>
      <c r="E1275" s="630" t="s">
        <v>902</v>
      </c>
      <c r="F1275" s="829">
        <v>1.99</v>
      </c>
      <c r="G1275" s="830">
        <v>0</v>
      </c>
      <c r="H1275" s="831">
        <v>1.99</v>
      </c>
      <c r="I1275" s="846"/>
      <c r="J1275" s="846"/>
      <c r="K1275" s="846"/>
      <c r="L1275" s="846"/>
      <c r="M1275" s="846"/>
      <c r="N1275" s="846"/>
      <c r="O1275" s="846"/>
      <c r="P1275" s="846"/>
      <c r="Q1275" s="846"/>
      <c r="R1275" s="846"/>
      <c r="S1275" s="846"/>
      <c r="T1275" s="846"/>
    </row>
    <row r="1276" spans="2:20" ht="38.25" hidden="1">
      <c r="B1276" s="828" t="s">
        <v>6529</v>
      </c>
      <c r="C1276" s="828">
        <v>103162</v>
      </c>
      <c r="D1276" s="630" t="s">
        <v>6709</v>
      </c>
      <c r="E1276" s="630" t="s">
        <v>902</v>
      </c>
      <c r="F1276" s="829">
        <v>2.5</v>
      </c>
      <c r="G1276" s="830">
        <v>0</v>
      </c>
      <c r="H1276" s="831">
        <v>2.5</v>
      </c>
      <c r="I1276" s="846"/>
      <c r="J1276" s="846"/>
      <c r="K1276" s="846"/>
      <c r="L1276" s="846"/>
      <c r="M1276" s="846"/>
      <c r="N1276" s="846"/>
      <c r="O1276" s="846"/>
      <c r="P1276" s="846"/>
      <c r="Q1276" s="846"/>
      <c r="R1276" s="846"/>
      <c r="S1276" s="846"/>
      <c r="T1276" s="846"/>
    </row>
    <row r="1277" spans="2:20" ht="38.25" hidden="1">
      <c r="B1277" s="828" t="s">
        <v>6529</v>
      </c>
      <c r="C1277" s="828">
        <v>103168</v>
      </c>
      <c r="D1277" s="630" t="s">
        <v>6710</v>
      </c>
      <c r="E1277" s="630" t="s">
        <v>902</v>
      </c>
      <c r="F1277" s="829">
        <v>2.85</v>
      </c>
      <c r="G1277" s="830">
        <v>0</v>
      </c>
      <c r="H1277" s="831">
        <v>2.85</v>
      </c>
      <c r="I1277" s="846"/>
      <c r="J1277" s="846"/>
      <c r="K1277" s="846"/>
      <c r="L1277" s="846"/>
      <c r="M1277" s="846"/>
      <c r="N1277" s="846"/>
      <c r="O1277" s="846"/>
      <c r="P1277" s="846"/>
      <c r="Q1277" s="846"/>
      <c r="R1277" s="846"/>
      <c r="S1277" s="846"/>
      <c r="T1277" s="846"/>
    </row>
    <row r="1278" spans="2:20" ht="38.25" hidden="1">
      <c r="B1278" s="828" t="s">
        <v>6529</v>
      </c>
      <c r="C1278" s="828">
        <v>103174</v>
      </c>
      <c r="D1278" s="630" t="s">
        <v>6711</v>
      </c>
      <c r="E1278" s="630" t="s">
        <v>902</v>
      </c>
      <c r="F1278" s="829">
        <v>7.14</v>
      </c>
      <c r="G1278" s="830">
        <v>0</v>
      </c>
      <c r="H1278" s="831">
        <v>7.14</v>
      </c>
      <c r="I1278" s="846"/>
      <c r="J1278" s="846"/>
      <c r="K1278" s="846"/>
      <c r="L1278" s="846"/>
      <c r="M1278" s="846"/>
      <c r="N1278" s="846"/>
      <c r="O1278" s="846"/>
      <c r="P1278" s="846"/>
      <c r="Q1278" s="846"/>
      <c r="R1278" s="846"/>
      <c r="S1278" s="846"/>
      <c r="T1278" s="846"/>
    </row>
    <row r="1279" spans="2:20" ht="51" hidden="1">
      <c r="B1279" s="828" t="s">
        <v>6529</v>
      </c>
      <c r="C1279" s="828">
        <v>103180</v>
      </c>
      <c r="D1279" s="630" t="s">
        <v>6712</v>
      </c>
      <c r="E1279" s="630" t="s">
        <v>902</v>
      </c>
      <c r="F1279" s="829">
        <v>16.420000000000002</v>
      </c>
      <c r="G1279" s="830">
        <v>0</v>
      </c>
      <c r="H1279" s="831">
        <v>16.420000000000002</v>
      </c>
      <c r="I1279" s="846"/>
      <c r="J1279" s="846"/>
      <c r="K1279" s="846"/>
      <c r="L1279" s="846"/>
      <c r="M1279" s="846"/>
      <c r="N1279" s="846"/>
      <c r="O1279" s="846"/>
      <c r="P1279" s="846"/>
      <c r="Q1279" s="846"/>
      <c r="R1279" s="846"/>
      <c r="S1279" s="846"/>
      <c r="T1279" s="846"/>
    </row>
    <row r="1280" spans="2:20" ht="38.25" hidden="1">
      <c r="B1280" s="828" t="s">
        <v>6529</v>
      </c>
      <c r="C1280" s="828">
        <v>103223</v>
      </c>
      <c r="D1280" s="630" t="s">
        <v>6714</v>
      </c>
      <c r="E1280" s="630" t="s">
        <v>902</v>
      </c>
      <c r="F1280" s="829">
        <v>42.83</v>
      </c>
      <c r="G1280" s="830">
        <v>0</v>
      </c>
      <c r="H1280" s="831">
        <v>42.83</v>
      </c>
      <c r="I1280" s="846"/>
      <c r="J1280" s="846"/>
      <c r="K1280" s="846"/>
      <c r="L1280" s="846"/>
      <c r="M1280" s="846"/>
      <c r="N1280" s="846"/>
      <c r="O1280" s="846"/>
      <c r="P1280" s="846"/>
      <c r="Q1280" s="846"/>
      <c r="R1280" s="846"/>
      <c r="S1280" s="846"/>
      <c r="T1280" s="846"/>
    </row>
    <row r="1281" spans="2:20" ht="38.25" hidden="1">
      <c r="B1281" s="828" t="s">
        <v>6529</v>
      </c>
      <c r="C1281" s="828">
        <v>103229</v>
      </c>
      <c r="D1281" s="630" t="s">
        <v>6715</v>
      </c>
      <c r="E1281" s="630" t="s">
        <v>902</v>
      </c>
      <c r="F1281" s="829">
        <v>106.36</v>
      </c>
      <c r="G1281" s="830">
        <v>0</v>
      </c>
      <c r="H1281" s="831">
        <v>106.36</v>
      </c>
      <c r="I1281" s="846"/>
      <c r="J1281" s="846"/>
      <c r="K1281" s="846"/>
      <c r="L1281" s="846"/>
      <c r="M1281" s="846"/>
      <c r="N1281" s="846"/>
      <c r="O1281" s="846"/>
      <c r="P1281" s="846"/>
      <c r="Q1281" s="846"/>
      <c r="R1281" s="846"/>
      <c r="S1281" s="846"/>
      <c r="T1281" s="846"/>
    </row>
    <row r="1282" spans="2:20" ht="38.25" hidden="1">
      <c r="B1282" s="828" t="s">
        <v>6529</v>
      </c>
      <c r="C1282" s="828">
        <v>103235</v>
      </c>
      <c r="D1282" s="630" t="s">
        <v>6716</v>
      </c>
      <c r="E1282" s="630" t="s">
        <v>902</v>
      </c>
      <c r="F1282" s="829">
        <v>188.15</v>
      </c>
      <c r="G1282" s="830">
        <v>0</v>
      </c>
      <c r="H1282" s="831">
        <v>188.15</v>
      </c>
      <c r="I1282" s="846"/>
      <c r="J1282" s="846"/>
      <c r="K1282" s="846"/>
      <c r="L1282" s="846"/>
      <c r="M1282" s="846"/>
      <c r="N1282" s="846"/>
      <c r="O1282" s="846"/>
      <c r="P1282" s="846"/>
      <c r="Q1282" s="846"/>
      <c r="R1282" s="846"/>
      <c r="S1282" s="846"/>
      <c r="T1282" s="846"/>
    </row>
    <row r="1283" spans="2:20" ht="38.25" hidden="1">
      <c r="B1283" s="828" t="s">
        <v>6529</v>
      </c>
      <c r="C1283" s="828">
        <v>103241</v>
      </c>
      <c r="D1283" s="630" t="s">
        <v>6717</v>
      </c>
      <c r="E1283" s="630" t="s">
        <v>902</v>
      </c>
      <c r="F1283" s="829">
        <v>7.61</v>
      </c>
      <c r="G1283" s="830">
        <v>0</v>
      </c>
      <c r="H1283" s="831">
        <v>7.61</v>
      </c>
      <c r="I1283" s="846"/>
      <c r="J1283" s="846"/>
      <c r="K1283" s="846"/>
      <c r="L1283" s="846"/>
      <c r="M1283" s="846"/>
      <c r="N1283" s="846"/>
      <c r="O1283" s="846"/>
      <c r="P1283" s="846"/>
      <c r="Q1283" s="846"/>
      <c r="R1283" s="846"/>
      <c r="S1283" s="846"/>
      <c r="T1283" s="846"/>
    </row>
    <row r="1284" spans="2:20" ht="25.5" hidden="1">
      <c r="B1284" s="828" t="s">
        <v>6529</v>
      </c>
      <c r="C1284" s="828">
        <v>103660</v>
      </c>
      <c r="D1284" s="630" t="s">
        <v>7071</v>
      </c>
      <c r="E1284" s="630" t="s">
        <v>902</v>
      </c>
      <c r="F1284" s="829">
        <v>8.8000000000000007</v>
      </c>
      <c r="G1284" s="830">
        <v>0</v>
      </c>
      <c r="H1284" s="831">
        <v>8.8000000000000007</v>
      </c>
      <c r="I1284" s="846"/>
      <c r="J1284" s="846"/>
      <c r="K1284" s="846"/>
      <c r="L1284" s="846"/>
      <c r="M1284" s="846"/>
      <c r="N1284" s="846"/>
      <c r="O1284" s="846"/>
      <c r="P1284" s="846"/>
      <c r="Q1284" s="846"/>
      <c r="R1284" s="846"/>
      <c r="S1284" s="846"/>
      <c r="T1284" s="846"/>
    </row>
    <row r="1285" spans="2:20" ht="25.5" hidden="1">
      <c r="B1285" s="828" t="s">
        <v>6529</v>
      </c>
      <c r="C1285" s="828">
        <v>103666</v>
      </c>
      <c r="D1285" s="630" t="s">
        <v>7072</v>
      </c>
      <c r="E1285" s="630" t="s">
        <v>902</v>
      </c>
      <c r="F1285" s="829">
        <v>113.45</v>
      </c>
      <c r="G1285" s="830">
        <v>0</v>
      </c>
      <c r="H1285" s="831">
        <v>113.45</v>
      </c>
      <c r="I1285" s="846"/>
      <c r="J1285" s="846"/>
      <c r="K1285" s="846"/>
      <c r="L1285" s="846"/>
      <c r="M1285" s="846"/>
      <c r="N1285" s="846"/>
      <c r="O1285" s="846"/>
      <c r="P1285" s="846"/>
      <c r="Q1285" s="846"/>
      <c r="R1285" s="846"/>
      <c r="S1285" s="846"/>
      <c r="T1285" s="846"/>
    </row>
    <row r="1286" spans="2:20" ht="63.75" hidden="1">
      <c r="B1286" s="828" t="s">
        <v>6529</v>
      </c>
      <c r="C1286" s="828">
        <v>103792</v>
      </c>
      <c r="D1286" s="630" t="s">
        <v>7195</v>
      </c>
      <c r="E1286" s="630" t="s">
        <v>902</v>
      </c>
      <c r="F1286" s="829">
        <v>0.23</v>
      </c>
      <c r="G1286" s="830">
        <v>0</v>
      </c>
      <c r="H1286" s="831">
        <v>0.23</v>
      </c>
      <c r="I1286" s="846"/>
      <c r="J1286" s="846"/>
      <c r="K1286" s="846"/>
      <c r="L1286" s="846"/>
      <c r="M1286" s="846"/>
      <c r="N1286" s="846"/>
      <c r="O1286" s="846"/>
      <c r="P1286" s="846"/>
      <c r="Q1286" s="846"/>
      <c r="R1286" s="846"/>
      <c r="S1286" s="846"/>
      <c r="T1286" s="846"/>
    </row>
    <row r="1287" spans="2:20" ht="51" hidden="1">
      <c r="B1287" s="828" t="s">
        <v>6529</v>
      </c>
      <c r="C1287" s="828">
        <v>103937</v>
      </c>
      <c r="D1287" s="630" t="s">
        <v>7673</v>
      </c>
      <c r="E1287" s="630" t="s">
        <v>902</v>
      </c>
      <c r="F1287" s="829">
        <v>1.28</v>
      </c>
      <c r="G1287" s="830">
        <v>0</v>
      </c>
      <c r="H1287" s="831">
        <v>1.28</v>
      </c>
      <c r="I1287" s="846"/>
      <c r="J1287" s="846"/>
      <c r="K1287" s="846"/>
      <c r="L1287" s="846"/>
      <c r="M1287" s="846"/>
      <c r="N1287" s="846"/>
      <c r="O1287" s="846"/>
      <c r="P1287" s="846"/>
      <c r="Q1287" s="846"/>
      <c r="R1287" s="846"/>
      <c r="S1287" s="846"/>
      <c r="T1287" s="846"/>
    </row>
    <row r="1288" spans="2:20" ht="51" hidden="1">
      <c r="B1288" s="828" t="s">
        <v>6529</v>
      </c>
      <c r="C1288" s="828">
        <v>103943</v>
      </c>
      <c r="D1288" s="630" t="s">
        <v>7674</v>
      </c>
      <c r="E1288" s="630" t="s">
        <v>902</v>
      </c>
      <c r="F1288" s="829">
        <v>1.28</v>
      </c>
      <c r="G1288" s="830">
        <v>0</v>
      </c>
      <c r="H1288" s="831">
        <v>1.28</v>
      </c>
      <c r="I1288" s="846"/>
      <c r="J1288" s="846"/>
      <c r="K1288" s="846"/>
      <c r="L1288" s="846"/>
      <c r="M1288" s="846"/>
      <c r="N1288" s="846"/>
      <c r="O1288" s="846"/>
      <c r="P1288" s="846"/>
      <c r="Q1288" s="846"/>
      <c r="R1288" s="846"/>
      <c r="S1288" s="846"/>
      <c r="T1288" s="846"/>
    </row>
    <row r="1289" spans="2:20" ht="25.5" hidden="1">
      <c r="B1289" s="828" t="s">
        <v>6529</v>
      </c>
      <c r="C1289" s="828">
        <v>104087</v>
      </c>
      <c r="D1289" s="630" t="s">
        <v>7675</v>
      </c>
      <c r="E1289" s="630" t="s">
        <v>902</v>
      </c>
      <c r="F1289" s="829">
        <v>0.05</v>
      </c>
      <c r="G1289" s="830">
        <v>0</v>
      </c>
      <c r="H1289" s="831">
        <v>0.05</v>
      </c>
      <c r="I1289" s="846"/>
      <c r="J1289" s="846"/>
      <c r="K1289" s="846"/>
      <c r="L1289" s="846"/>
      <c r="M1289" s="846"/>
      <c r="N1289" s="846"/>
      <c r="O1289" s="846"/>
      <c r="P1289" s="846"/>
      <c r="Q1289" s="846"/>
      <c r="R1289" s="846"/>
      <c r="S1289" s="846"/>
      <c r="T1289" s="846"/>
    </row>
    <row r="1290" spans="2:20" ht="25.5" hidden="1">
      <c r="B1290" s="828" t="s">
        <v>6529</v>
      </c>
      <c r="C1290" s="828">
        <v>104088</v>
      </c>
      <c r="D1290" s="630" t="s">
        <v>7676</v>
      </c>
      <c r="E1290" s="630" t="s">
        <v>902</v>
      </c>
      <c r="F1290" s="829">
        <v>0.06</v>
      </c>
      <c r="G1290" s="830">
        <v>0</v>
      </c>
      <c r="H1290" s="831">
        <v>0.06</v>
      </c>
      <c r="I1290" s="846"/>
      <c r="J1290" s="846"/>
      <c r="K1290" s="846"/>
      <c r="L1290" s="846"/>
      <c r="M1290" s="846"/>
      <c r="N1290" s="846"/>
      <c r="O1290" s="846"/>
      <c r="P1290" s="846"/>
      <c r="Q1290" s="846"/>
      <c r="R1290" s="846"/>
      <c r="S1290" s="846"/>
      <c r="T1290" s="846"/>
    </row>
    <row r="1291" spans="2:20" ht="25.5" hidden="1">
      <c r="B1291" s="828" t="s">
        <v>6529</v>
      </c>
      <c r="C1291" s="828">
        <v>104089</v>
      </c>
      <c r="D1291" s="630" t="s">
        <v>7677</v>
      </c>
      <c r="E1291" s="630" t="s">
        <v>902</v>
      </c>
      <c r="F1291" s="829">
        <v>0.06</v>
      </c>
      <c r="G1291" s="830">
        <v>0</v>
      </c>
      <c r="H1291" s="831">
        <v>0.06</v>
      </c>
      <c r="I1291" s="846"/>
      <c r="J1291" s="846"/>
      <c r="K1291" s="846"/>
      <c r="L1291" s="846"/>
      <c r="M1291" s="846"/>
      <c r="N1291" s="846"/>
      <c r="O1291" s="846"/>
      <c r="P1291" s="846"/>
      <c r="Q1291" s="846"/>
      <c r="R1291" s="846"/>
      <c r="S1291" s="846"/>
      <c r="T1291" s="846"/>
    </row>
    <row r="1292" spans="2:20" ht="38.25" hidden="1">
      <c r="B1292" s="828" t="s">
        <v>6529</v>
      </c>
      <c r="C1292" s="828">
        <v>104090</v>
      </c>
      <c r="D1292" s="630" t="s">
        <v>7678</v>
      </c>
      <c r="E1292" s="630" t="s">
        <v>902</v>
      </c>
      <c r="F1292" s="829">
        <v>0.56999999999999995</v>
      </c>
      <c r="G1292" s="830">
        <v>0</v>
      </c>
      <c r="H1292" s="832">
        <v>0.56999999999999995</v>
      </c>
      <c r="I1292" s="846"/>
      <c r="J1292" s="846"/>
      <c r="K1292" s="846"/>
      <c r="L1292" s="846"/>
      <c r="M1292" s="846"/>
      <c r="N1292" s="846"/>
      <c r="O1292" s="846"/>
      <c r="P1292" s="846"/>
      <c r="Q1292" s="846"/>
      <c r="R1292" s="846"/>
      <c r="S1292" s="846"/>
      <c r="T1292" s="846"/>
    </row>
    <row r="1293" spans="2:20" ht="38.25" hidden="1">
      <c r="B1293" s="828" t="s">
        <v>6529</v>
      </c>
      <c r="C1293" s="828">
        <v>104093</v>
      </c>
      <c r="D1293" s="630" t="s">
        <v>7679</v>
      </c>
      <c r="E1293" s="630" t="s">
        <v>902</v>
      </c>
      <c r="F1293" s="829">
        <v>7.0000000000000007E-2</v>
      </c>
      <c r="G1293" s="830">
        <v>0</v>
      </c>
      <c r="H1293" s="832">
        <v>7.0000000000000007E-2</v>
      </c>
      <c r="I1293" s="846"/>
      <c r="J1293" s="846"/>
      <c r="K1293" s="846"/>
      <c r="L1293" s="846"/>
      <c r="M1293" s="846"/>
      <c r="N1293" s="846"/>
      <c r="O1293" s="846"/>
      <c r="P1293" s="846"/>
      <c r="Q1293" s="846"/>
      <c r="R1293" s="846"/>
      <c r="S1293" s="846"/>
      <c r="T1293" s="846"/>
    </row>
    <row r="1294" spans="2:20" ht="25.5" hidden="1">
      <c r="B1294" s="828" t="s">
        <v>6529</v>
      </c>
      <c r="C1294" s="828">
        <v>104094</v>
      </c>
      <c r="D1294" s="630" t="s">
        <v>7680</v>
      </c>
      <c r="E1294" s="630" t="s">
        <v>902</v>
      </c>
      <c r="F1294" s="829">
        <v>0.08</v>
      </c>
      <c r="G1294" s="830">
        <v>0</v>
      </c>
      <c r="H1294" s="832">
        <v>0.08</v>
      </c>
      <c r="I1294" s="846"/>
      <c r="J1294" s="846"/>
      <c r="K1294" s="846"/>
      <c r="L1294" s="846"/>
      <c r="M1294" s="846"/>
      <c r="N1294" s="846"/>
      <c r="O1294" s="846"/>
      <c r="P1294" s="846"/>
      <c r="Q1294" s="846"/>
      <c r="R1294" s="846"/>
      <c r="S1294" s="846"/>
      <c r="T1294" s="846"/>
    </row>
    <row r="1295" spans="2:20" ht="38.25" hidden="1">
      <c r="B1295" s="828" t="s">
        <v>6529</v>
      </c>
      <c r="C1295" s="828">
        <v>104095</v>
      </c>
      <c r="D1295" s="630" t="s">
        <v>7681</v>
      </c>
      <c r="E1295" s="630" t="s">
        <v>902</v>
      </c>
      <c r="F1295" s="829">
        <v>0.09</v>
      </c>
      <c r="G1295" s="830">
        <v>0</v>
      </c>
      <c r="H1295" s="832">
        <v>0.09</v>
      </c>
      <c r="I1295" s="846"/>
      <c r="J1295" s="846"/>
      <c r="K1295" s="846"/>
      <c r="L1295" s="846"/>
      <c r="M1295" s="846"/>
      <c r="N1295" s="846"/>
      <c r="O1295" s="846"/>
      <c r="P1295" s="846"/>
      <c r="Q1295" s="846"/>
      <c r="R1295" s="846"/>
      <c r="S1295" s="846"/>
      <c r="T1295" s="846"/>
    </row>
    <row r="1296" spans="2:20" ht="38.25" hidden="1">
      <c r="B1296" s="828" t="s">
        <v>6529</v>
      </c>
      <c r="C1296" s="828">
        <v>104096</v>
      </c>
      <c r="D1296" s="630" t="s">
        <v>7682</v>
      </c>
      <c r="E1296" s="630" t="s">
        <v>902</v>
      </c>
      <c r="F1296" s="829">
        <v>0.78</v>
      </c>
      <c r="G1296" s="830">
        <v>0</v>
      </c>
      <c r="H1296" s="832">
        <v>0.78</v>
      </c>
      <c r="I1296" s="846"/>
      <c r="J1296" s="846"/>
      <c r="K1296" s="846"/>
      <c r="L1296" s="846"/>
      <c r="M1296" s="846"/>
      <c r="N1296" s="846"/>
      <c r="O1296" s="846"/>
      <c r="P1296" s="846"/>
      <c r="Q1296" s="846"/>
      <c r="R1296" s="846"/>
      <c r="S1296" s="846"/>
      <c r="T1296" s="846"/>
    </row>
    <row r="1297" spans="2:20" ht="38.25" hidden="1">
      <c r="B1297" s="828" t="s">
        <v>6566</v>
      </c>
      <c r="C1297" s="828">
        <v>92259</v>
      </c>
      <c r="D1297" s="630" t="s">
        <v>3118</v>
      </c>
      <c r="E1297" s="630" t="s">
        <v>646</v>
      </c>
      <c r="F1297" s="829">
        <v>440.57000000000005</v>
      </c>
      <c r="G1297" s="830">
        <v>125.26</v>
      </c>
      <c r="H1297" s="832">
        <v>565.83000000000004</v>
      </c>
      <c r="I1297" s="846"/>
      <c r="J1297" s="846"/>
      <c r="K1297" s="846"/>
      <c r="L1297" s="846"/>
      <c r="M1297" s="846"/>
      <c r="N1297" s="846"/>
      <c r="O1297" s="846"/>
      <c r="P1297" s="846"/>
      <c r="Q1297" s="846"/>
      <c r="R1297" s="846"/>
      <c r="S1297" s="846"/>
      <c r="T1297" s="846"/>
    </row>
    <row r="1298" spans="2:20" ht="38.25" hidden="1">
      <c r="B1298" s="828" t="s">
        <v>6566</v>
      </c>
      <c r="C1298" s="828">
        <v>92260</v>
      </c>
      <c r="D1298" s="630" t="s">
        <v>3119</v>
      </c>
      <c r="E1298" s="630" t="s">
        <v>646</v>
      </c>
      <c r="F1298" s="829">
        <v>456.6</v>
      </c>
      <c r="G1298" s="830">
        <v>182.11</v>
      </c>
      <c r="H1298" s="832">
        <v>638.71</v>
      </c>
      <c r="I1298" s="846"/>
      <c r="J1298" s="846"/>
      <c r="K1298" s="846"/>
      <c r="L1298" s="846"/>
      <c r="M1298" s="846"/>
      <c r="N1298" s="846"/>
      <c r="O1298" s="846"/>
      <c r="P1298" s="846"/>
      <c r="Q1298" s="846"/>
      <c r="R1298" s="846"/>
      <c r="S1298" s="846"/>
      <c r="T1298" s="846"/>
    </row>
    <row r="1299" spans="2:20" ht="38.25" hidden="1">
      <c r="B1299" s="828" t="s">
        <v>6566</v>
      </c>
      <c r="C1299" s="828">
        <v>92261</v>
      </c>
      <c r="D1299" s="630" t="s">
        <v>3120</v>
      </c>
      <c r="E1299" s="630" t="s">
        <v>646</v>
      </c>
      <c r="F1299" s="829">
        <v>472.13</v>
      </c>
      <c r="G1299" s="830">
        <v>237.23</v>
      </c>
      <c r="H1299" s="832">
        <v>709.36</v>
      </c>
      <c r="I1299" s="846"/>
      <c r="J1299" s="846"/>
      <c r="K1299" s="846"/>
      <c r="L1299" s="846"/>
      <c r="M1299" s="846"/>
      <c r="N1299" s="846"/>
      <c r="O1299" s="846"/>
      <c r="P1299" s="846"/>
      <c r="Q1299" s="846"/>
      <c r="R1299" s="846"/>
      <c r="S1299" s="846"/>
      <c r="T1299" s="846"/>
    </row>
    <row r="1300" spans="2:20" ht="38.25" hidden="1">
      <c r="B1300" s="828" t="s">
        <v>6566</v>
      </c>
      <c r="C1300" s="828">
        <v>92262</v>
      </c>
      <c r="D1300" s="630" t="s">
        <v>3121</v>
      </c>
      <c r="E1300" s="630" t="s">
        <v>646</v>
      </c>
      <c r="F1300" s="829">
        <v>497.17000000000007</v>
      </c>
      <c r="G1300" s="830">
        <v>325.95</v>
      </c>
      <c r="H1300" s="832">
        <v>823.12</v>
      </c>
      <c r="I1300" s="846"/>
      <c r="J1300" s="846"/>
      <c r="K1300" s="846"/>
      <c r="L1300" s="846"/>
      <c r="M1300" s="846"/>
      <c r="N1300" s="846"/>
      <c r="O1300" s="846"/>
      <c r="P1300" s="846"/>
      <c r="Q1300" s="846"/>
      <c r="R1300" s="846"/>
      <c r="S1300" s="846"/>
      <c r="T1300" s="846"/>
    </row>
    <row r="1301" spans="2:20" ht="38.25" hidden="1">
      <c r="B1301" s="828" t="s">
        <v>6566</v>
      </c>
      <c r="C1301" s="828">
        <v>92539</v>
      </c>
      <c r="D1301" s="630" t="s">
        <v>3122</v>
      </c>
      <c r="E1301" s="630" t="s">
        <v>649</v>
      </c>
      <c r="F1301" s="829">
        <v>77.72</v>
      </c>
      <c r="G1301" s="830">
        <v>18.73</v>
      </c>
      <c r="H1301" s="832">
        <v>96.45</v>
      </c>
      <c r="I1301" s="846"/>
      <c r="J1301" s="846"/>
      <c r="K1301" s="846"/>
      <c r="L1301" s="846"/>
      <c r="M1301" s="846"/>
      <c r="N1301" s="846"/>
      <c r="O1301" s="846"/>
      <c r="P1301" s="846"/>
      <c r="Q1301" s="846"/>
      <c r="R1301" s="846"/>
      <c r="S1301" s="846"/>
      <c r="T1301" s="846"/>
    </row>
    <row r="1302" spans="2:20" ht="38.25" hidden="1">
      <c r="B1302" s="828" t="s">
        <v>6566</v>
      </c>
      <c r="C1302" s="828">
        <v>92540</v>
      </c>
      <c r="D1302" s="630" t="s">
        <v>3123</v>
      </c>
      <c r="E1302" s="630" t="s">
        <v>649</v>
      </c>
      <c r="F1302" s="829">
        <v>80.59</v>
      </c>
      <c r="G1302" s="830">
        <v>26.81</v>
      </c>
      <c r="H1302" s="832">
        <v>107.4</v>
      </c>
      <c r="I1302" s="846"/>
      <c r="J1302" s="846"/>
      <c r="K1302" s="846"/>
      <c r="L1302" s="846"/>
      <c r="M1302" s="846"/>
      <c r="N1302" s="846"/>
      <c r="O1302" s="846"/>
      <c r="P1302" s="846"/>
      <c r="Q1302" s="846"/>
      <c r="R1302" s="846"/>
      <c r="S1302" s="846"/>
      <c r="T1302" s="846"/>
    </row>
    <row r="1303" spans="2:20" ht="38.25" hidden="1">
      <c r="B1303" s="828" t="s">
        <v>6566</v>
      </c>
      <c r="C1303" s="828">
        <v>92541</v>
      </c>
      <c r="D1303" s="630" t="s">
        <v>3124</v>
      </c>
      <c r="E1303" s="630" t="s">
        <v>649</v>
      </c>
      <c r="F1303" s="829">
        <v>84.92</v>
      </c>
      <c r="G1303" s="830">
        <v>19.32</v>
      </c>
      <c r="H1303" s="832">
        <v>104.24</v>
      </c>
      <c r="I1303" s="846"/>
      <c r="J1303" s="846"/>
      <c r="K1303" s="846"/>
      <c r="L1303" s="846"/>
      <c r="M1303" s="846"/>
      <c r="N1303" s="846"/>
      <c r="O1303" s="846"/>
      <c r="P1303" s="846"/>
      <c r="Q1303" s="846"/>
      <c r="R1303" s="846"/>
      <c r="S1303" s="846"/>
      <c r="T1303" s="846"/>
    </row>
    <row r="1304" spans="2:20" ht="38.25" hidden="1">
      <c r="B1304" s="828" t="s">
        <v>6566</v>
      </c>
      <c r="C1304" s="828">
        <v>92542</v>
      </c>
      <c r="D1304" s="630" t="s">
        <v>3125</v>
      </c>
      <c r="E1304" s="630" t="s">
        <v>649</v>
      </c>
      <c r="F1304" s="829">
        <v>98.1</v>
      </c>
      <c r="G1304" s="830">
        <v>27.84</v>
      </c>
      <c r="H1304" s="832">
        <v>125.94</v>
      </c>
      <c r="I1304" s="846"/>
      <c r="J1304" s="846"/>
      <c r="K1304" s="846"/>
      <c r="L1304" s="846"/>
      <c r="M1304" s="846"/>
      <c r="N1304" s="846"/>
      <c r="O1304" s="846"/>
      <c r="P1304" s="846"/>
      <c r="Q1304" s="846"/>
      <c r="R1304" s="846"/>
      <c r="S1304" s="846"/>
      <c r="T1304" s="846"/>
    </row>
    <row r="1305" spans="2:20" ht="38.25" hidden="1">
      <c r="B1305" s="828" t="s">
        <v>6566</v>
      </c>
      <c r="C1305" s="828">
        <v>92543</v>
      </c>
      <c r="D1305" s="630" t="s">
        <v>3126</v>
      </c>
      <c r="E1305" s="630" t="s">
        <v>649</v>
      </c>
      <c r="F1305" s="829">
        <v>25.08</v>
      </c>
      <c r="G1305" s="830">
        <v>4.29</v>
      </c>
      <c r="H1305" s="832">
        <v>29.37</v>
      </c>
      <c r="I1305" s="846"/>
      <c r="J1305" s="846"/>
      <c r="K1305" s="846"/>
      <c r="L1305" s="846"/>
      <c r="M1305" s="846"/>
      <c r="N1305" s="846"/>
      <c r="O1305" s="846"/>
      <c r="P1305" s="846"/>
      <c r="Q1305" s="846"/>
      <c r="R1305" s="846"/>
      <c r="S1305" s="846"/>
      <c r="T1305" s="846"/>
    </row>
    <row r="1306" spans="2:20" ht="38.25" hidden="1">
      <c r="B1306" s="828" t="s">
        <v>6566</v>
      </c>
      <c r="C1306" s="828">
        <v>92544</v>
      </c>
      <c r="D1306" s="630" t="s">
        <v>3127</v>
      </c>
      <c r="E1306" s="630" t="s">
        <v>649</v>
      </c>
      <c r="F1306" s="829">
        <v>19.96</v>
      </c>
      <c r="G1306" s="830">
        <v>3.43</v>
      </c>
      <c r="H1306" s="832">
        <v>23.39</v>
      </c>
      <c r="I1306" s="846"/>
      <c r="J1306" s="846"/>
      <c r="K1306" s="846"/>
      <c r="L1306" s="846"/>
      <c r="M1306" s="846"/>
      <c r="N1306" s="846"/>
      <c r="O1306" s="846"/>
      <c r="P1306" s="846"/>
      <c r="Q1306" s="846"/>
      <c r="R1306" s="846"/>
      <c r="S1306" s="846"/>
      <c r="T1306" s="846"/>
    </row>
    <row r="1307" spans="2:20" ht="38.25" hidden="1">
      <c r="B1307" s="828" t="s">
        <v>6566</v>
      </c>
      <c r="C1307" s="828">
        <v>92545</v>
      </c>
      <c r="D1307" s="630" t="s">
        <v>3128</v>
      </c>
      <c r="E1307" s="630" t="s">
        <v>646</v>
      </c>
      <c r="F1307" s="829">
        <v>891.21</v>
      </c>
      <c r="G1307" s="830">
        <v>338.36</v>
      </c>
      <c r="H1307" s="832">
        <v>1229.57</v>
      </c>
      <c r="I1307" s="846"/>
      <c r="J1307" s="846"/>
      <c r="K1307" s="846"/>
      <c r="L1307" s="846"/>
      <c r="M1307" s="846"/>
      <c r="N1307" s="846"/>
      <c r="O1307" s="846"/>
      <c r="P1307" s="846"/>
      <c r="Q1307" s="846"/>
      <c r="R1307" s="846"/>
      <c r="S1307" s="846"/>
      <c r="T1307" s="846"/>
    </row>
    <row r="1308" spans="2:20" ht="38.25" hidden="1">
      <c r="B1308" s="828" t="s">
        <v>6566</v>
      </c>
      <c r="C1308" s="828">
        <v>92546</v>
      </c>
      <c r="D1308" s="630" t="s">
        <v>3129</v>
      </c>
      <c r="E1308" s="630" t="s">
        <v>646</v>
      </c>
      <c r="F1308" s="829">
        <v>1069.04</v>
      </c>
      <c r="G1308" s="830">
        <v>444.93</v>
      </c>
      <c r="H1308" s="832">
        <v>1513.97</v>
      </c>
      <c r="I1308" s="846"/>
      <c r="J1308" s="846"/>
      <c r="K1308" s="846"/>
      <c r="L1308" s="846"/>
      <c r="M1308" s="846"/>
      <c r="N1308" s="846"/>
      <c r="O1308" s="846"/>
      <c r="P1308" s="846"/>
      <c r="Q1308" s="846"/>
      <c r="R1308" s="846"/>
      <c r="S1308" s="846"/>
      <c r="T1308" s="846"/>
    </row>
    <row r="1309" spans="2:20" ht="38.25" hidden="1">
      <c r="B1309" s="828" t="s">
        <v>6566</v>
      </c>
      <c r="C1309" s="828">
        <v>92547</v>
      </c>
      <c r="D1309" s="630" t="s">
        <v>3130</v>
      </c>
      <c r="E1309" s="630" t="s">
        <v>646</v>
      </c>
      <c r="F1309" s="829">
        <v>1161.77</v>
      </c>
      <c r="G1309" s="830">
        <v>444.92</v>
      </c>
      <c r="H1309" s="832">
        <v>1606.69</v>
      </c>
      <c r="I1309" s="846"/>
      <c r="J1309" s="846"/>
      <c r="K1309" s="846"/>
      <c r="L1309" s="846"/>
      <c r="M1309" s="846"/>
      <c r="N1309" s="846"/>
      <c r="O1309" s="846"/>
      <c r="P1309" s="846"/>
      <c r="Q1309" s="846"/>
      <c r="R1309" s="846"/>
      <c r="S1309" s="846"/>
      <c r="T1309" s="846"/>
    </row>
    <row r="1310" spans="2:20" ht="38.25" hidden="1">
      <c r="B1310" s="828" t="s">
        <v>6566</v>
      </c>
      <c r="C1310" s="828">
        <v>92548</v>
      </c>
      <c r="D1310" s="630" t="s">
        <v>3131</v>
      </c>
      <c r="E1310" s="630" t="s">
        <v>646</v>
      </c>
      <c r="F1310" s="829">
        <v>1288.83</v>
      </c>
      <c r="G1310" s="830">
        <v>501.76</v>
      </c>
      <c r="H1310" s="832">
        <v>1790.59</v>
      </c>
      <c r="I1310" s="846"/>
      <c r="J1310" s="846"/>
      <c r="K1310" s="846"/>
      <c r="L1310" s="846"/>
      <c r="M1310" s="846"/>
      <c r="N1310" s="846"/>
      <c r="O1310" s="846"/>
      <c r="P1310" s="846"/>
      <c r="Q1310" s="846"/>
      <c r="R1310" s="846"/>
      <c r="S1310" s="846"/>
      <c r="T1310" s="846"/>
    </row>
    <row r="1311" spans="2:20" ht="38.25" hidden="1">
      <c r="B1311" s="828" t="s">
        <v>6566</v>
      </c>
      <c r="C1311" s="828">
        <v>92549</v>
      </c>
      <c r="D1311" s="630" t="s">
        <v>3132</v>
      </c>
      <c r="E1311" s="630" t="s">
        <v>646</v>
      </c>
      <c r="F1311" s="829">
        <v>1519.6399999999999</v>
      </c>
      <c r="G1311" s="830">
        <v>714.86</v>
      </c>
      <c r="H1311" s="832">
        <v>2234.5</v>
      </c>
      <c r="I1311" s="846"/>
      <c r="J1311" s="846"/>
      <c r="K1311" s="846"/>
      <c r="L1311" s="846"/>
      <c r="M1311" s="846"/>
      <c r="N1311" s="846"/>
      <c r="O1311" s="846"/>
      <c r="P1311" s="846"/>
      <c r="Q1311" s="846"/>
      <c r="R1311" s="846"/>
      <c r="S1311" s="846"/>
      <c r="T1311" s="846"/>
    </row>
    <row r="1312" spans="2:20" ht="38.25" hidden="1">
      <c r="B1312" s="828" t="s">
        <v>6566</v>
      </c>
      <c r="C1312" s="828">
        <v>92550</v>
      </c>
      <c r="D1312" s="630" t="s">
        <v>3133</v>
      </c>
      <c r="E1312" s="630" t="s">
        <v>646</v>
      </c>
      <c r="F1312" s="829">
        <v>1945.79</v>
      </c>
      <c r="G1312" s="830">
        <v>769.96</v>
      </c>
      <c r="H1312" s="831">
        <v>2715.75</v>
      </c>
      <c r="I1312" s="846"/>
      <c r="J1312" s="846"/>
      <c r="K1312" s="846"/>
      <c r="L1312" s="846"/>
      <c r="M1312" s="846"/>
      <c r="N1312" s="846"/>
      <c r="O1312" s="846"/>
      <c r="P1312" s="846"/>
      <c r="Q1312" s="846"/>
      <c r="R1312" s="846"/>
      <c r="S1312" s="846"/>
      <c r="T1312" s="846"/>
    </row>
    <row r="1313" spans="2:20" ht="38.25" hidden="1">
      <c r="B1313" s="828" t="s">
        <v>6566</v>
      </c>
      <c r="C1313" s="828">
        <v>92551</v>
      </c>
      <c r="D1313" s="630" t="s">
        <v>3134</v>
      </c>
      <c r="E1313" s="630" t="s">
        <v>646</v>
      </c>
      <c r="F1313" s="829">
        <v>2065.2000000000003</v>
      </c>
      <c r="G1313" s="830">
        <v>769.95</v>
      </c>
      <c r="H1313" s="831">
        <v>2835.15</v>
      </c>
      <c r="I1313" s="846"/>
      <c r="J1313" s="846"/>
      <c r="K1313" s="846"/>
      <c r="L1313" s="846"/>
      <c r="M1313" s="846"/>
      <c r="N1313" s="846"/>
      <c r="O1313" s="846"/>
      <c r="P1313" s="846"/>
      <c r="Q1313" s="846"/>
      <c r="R1313" s="846"/>
      <c r="S1313" s="846"/>
      <c r="T1313" s="846"/>
    </row>
    <row r="1314" spans="2:20" ht="38.25" hidden="1">
      <c r="B1314" s="828" t="s">
        <v>6566</v>
      </c>
      <c r="C1314" s="828">
        <v>92552</v>
      </c>
      <c r="D1314" s="630" t="s">
        <v>3135</v>
      </c>
      <c r="E1314" s="630" t="s">
        <v>646</v>
      </c>
      <c r="F1314" s="829">
        <v>2227.9499999999998</v>
      </c>
      <c r="G1314" s="830">
        <v>858.66</v>
      </c>
      <c r="H1314" s="831">
        <v>3086.61</v>
      </c>
      <c r="I1314" s="846"/>
      <c r="J1314" s="846"/>
      <c r="K1314" s="846"/>
      <c r="L1314" s="846"/>
      <c r="M1314" s="846"/>
      <c r="N1314" s="846"/>
      <c r="O1314" s="846"/>
      <c r="P1314" s="846"/>
      <c r="Q1314" s="846"/>
      <c r="R1314" s="846"/>
      <c r="S1314" s="846"/>
      <c r="T1314" s="846"/>
    </row>
    <row r="1315" spans="2:20" ht="38.25" hidden="1">
      <c r="B1315" s="828" t="s">
        <v>6566</v>
      </c>
      <c r="C1315" s="828">
        <v>92553</v>
      </c>
      <c r="D1315" s="630" t="s">
        <v>3136</v>
      </c>
      <c r="E1315" s="630" t="s">
        <v>646</v>
      </c>
      <c r="F1315" s="829">
        <v>2470.21</v>
      </c>
      <c r="G1315" s="830">
        <v>1071.79</v>
      </c>
      <c r="H1315" s="831">
        <v>3542</v>
      </c>
      <c r="I1315" s="846"/>
      <c r="J1315" s="846"/>
      <c r="K1315" s="846"/>
      <c r="L1315" s="846"/>
      <c r="M1315" s="846"/>
      <c r="N1315" s="846"/>
      <c r="O1315" s="846"/>
      <c r="P1315" s="846"/>
      <c r="Q1315" s="846"/>
      <c r="R1315" s="846"/>
      <c r="S1315" s="846"/>
      <c r="T1315" s="846"/>
    </row>
    <row r="1316" spans="2:20" ht="38.25" hidden="1">
      <c r="B1316" s="828" t="s">
        <v>6566</v>
      </c>
      <c r="C1316" s="828">
        <v>92554</v>
      </c>
      <c r="D1316" s="630" t="s">
        <v>3137</v>
      </c>
      <c r="E1316" s="630" t="s">
        <v>646</v>
      </c>
      <c r="F1316" s="829">
        <v>2607.16</v>
      </c>
      <c r="G1316" s="830">
        <v>1071.79</v>
      </c>
      <c r="H1316" s="831">
        <v>3678.95</v>
      </c>
      <c r="I1316" s="846"/>
      <c r="J1316" s="846"/>
      <c r="K1316" s="846"/>
      <c r="L1316" s="846"/>
      <c r="M1316" s="846"/>
      <c r="N1316" s="846"/>
      <c r="O1316" s="846"/>
      <c r="P1316" s="846"/>
      <c r="Q1316" s="846"/>
      <c r="R1316" s="846"/>
      <c r="S1316" s="846"/>
      <c r="T1316" s="846"/>
    </row>
    <row r="1317" spans="2:20" ht="38.25" hidden="1">
      <c r="B1317" s="828" t="s">
        <v>6566</v>
      </c>
      <c r="C1317" s="828">
        <v>92555</v>
      </c>
      <c r="D1317" s="630" t="s">
        <v>3138</v>
      </c>
      <c r="E1317" s="630" t="s">
        <v>646</v>
      </c>
      <c r="F1317" s="829">
        <v>872.92000000000007</v>
      </c>
      <c r="G1317" s="830">
        <v>338.36</v>
      </c>
      <c r="H1317" s="831">
        <v>1211.28</v>
      </c>
      <c r="I1317" s="846"/>
      <c r="J1317" s="846"/>
      <c r="K1317" s="846"/>
      <c r="L1317" s="846"/>
      <c r="M1317" s="846"/>
      <c r="N1317" s="846"/>
      <c r="O1317" s="846"/>
      <c r="P1317" s="846"/>
      <c r="Q1317" s="846"/>
      <c r="R1317" s="846"/>
      <c r="S1317" s="846"/>
      <c r="T1317" s="846"/>
    </row>
    <row r="1318" spans="2:20" ht="38.25" hidden="1">
      <c r="B1318" s="828" t="s">
        <v>6566</v>
      </c>
      <c r="C1318" s="828">
        <v>92556</v>
      </c>
      <c r="D1318" s="630" t="s">
        <v>3139</v>
      </c>
      <c r="E1318" s="630" t="s">
        <v>646</v>
      </c>
      <c r="F1318" s="829">
        <v>1036.99</v>
      </c>
      <c r="G1318" s="830">
        <v>444.93</v>
      </c>
      <c r="H1318" s="831">
        <v>1481.92</v>
      </c>
      <c r="I1318" s="846"/>
      <c r="J1318" s="846"/>
      <c r="K1318" s="846"/>
      <c r="L1318" s="846"/>
      <c r="M1318" s="846"/>
      <c r="N1318" s="846"/>
      <c r="O1318" s="846"/>
      <c r="P1318" s="846"/>
      <c r="Q1318" s="846"/>
      <c r="R1318" s="846"/>
      <c r="S1318" s="846"/>
      <c r="T1318" s="846"/>
    </row>
    <row r="1319" spans="2:20" ht="38.25" hidden="1">
      <c r="B1319" s="828" t="s">
        <v>6566</v>
      </c>
      <c r="C1319" s="828">
        <v>92557</v>
      </c>
      <c r="D1319" s="630" t="s">
        <v>3140</v>
      </c>
      <c r="E1319" s="630" t="s">
        <v>646</v>
      </c>
      <c r="F1319" s="829">
        <v>1129.71</v>
      </c>
      <c r="G1319" s="830">
        <v>444.92</v>
      </c>
      <c r="H1319" s="831">
        <v>1574.63</v>
      </c>
      <c r="I1319" s="846"/>
      <c r="J1319" s="846"/>
      <c r="K1319" s="846"/>
      <c r="L1319" s="846"/>
      <c r="M1319" s="846"/>
      <c r="N1319" s="846"/>
      <c r="O1319" s="846"/>
      <c r="P1319" s="846"/>
      <c r="Q1319" s="846"/>
      <c r="R1319" s="846"/>
      <c r="S1319" s="846"/>
      <c r="T1319" s="846"/>
    </row>
    <row r="1320" spans="2:20" ht="38.25" hidden="1">
      <c r="B1320" s="828" t="s">
        <v>6566</v>
      </c>
      <c r="C1320" s="828">
        <v>92558</v>
      </c>
      <c r="D1320" s="630" t="s">
        <v>3141</v>
      </c>
      <c r="E1320" s="630" t="s">
        <v>646</v>
      </c>
      <c r="F1320" s="829">
        <v>1270.53</v>
      </c>
      <c r="G1320" s="830">
        <v>501.76</v>
      </c>
      <c r="H1320" s="831">
        <v>1772.29</v>
      </c>
      <c r="I1320" s="846"/>
      <c r="J1320" s="846"/>
      <c r="K1320" s="846"/>
      <c r="L1320" s="846"/>
      <c r="M1320" s="846"/>
      <c r="N1320" s="846"/>
      <c r="O1320" s="846"/>
      <c r="P1320" s="846"/>
      <c r="Q1320" s="846"/>
      <c r="R1320" s="846"/>
      <c r="S1320" s="846"/>
      <c r="T1320" s="846"/>
    </row>
    <row r="1321" spans="2:20" ht="38.25" hidden="1">
      <c r="B1321" s="828" t="s">
        <v>6566</v>
      </c>
      <c r="C1321" s="828">
        <v>92559</v>
      </c>
      <c r="D1321" s="630" t="s">
        <v>3142</v>
      </c>
      <c r="E1321" s="630" t="s">
        <v>646</v>
      </c>
      <c r="F1321" s="829">
        <v>1485.57</v>
      </c>
      <c r="G1321" s="830">
        <v>714.86</v>
      </c>
      <c r="H1321" s="831">
        <v>2200.4299999999998</v>
      </c>
      <c r="I1321" s="846"/>
      <c r="J1321" s="846"/>
      <c r="K1321" s="846"/>
      <c r="L1321" s="846"/>
      <c r="M1321" s="846"/>
      <c r="N1321" s="846"/>
      <c r="O1321" s="846"/>
      <c r="P1321" s="846"/>
      <c r="Q1321" s="846"/>
      <c r="R1321" s="846"/>
      <c r="S1321" s="846"/>
      <c r="T1321" s="846"/>
    </row>
    <row r="1322" spans="2:20" ht="38.25" hidden="1">
      <c r="B1322" s="828" t="s">
        <v>6566</v>
      </c>
      <c r="C1322" s="828">
        <v>92560</v>
      </c>
      <c r="D1322" s="630" t="s">
        <v>3143</v>
      </c>
      <c r="E1322" s="630" t="s">
        <v>646</v>
      </c>
      <c r="F1322" s="829">
        <v>1899.3899999999999</v>
      </c>
      <c r="G1322" s="830">
        <v>769.96</v>
      </c>
      <c r="H1322" s="831">
        <v>2669.35</v>
      </c>
      <c r="I1322" s="846"/>
      <c r="J1322" s="846"/>
      <c r="K1322" s="846"/>
      <c r="L1322" s="846"/>
      <c r="M1322" s="846"/>
      <c r="N1322" s="846"/>
      <c r="O1322" s="846"/>
      <c r="P1322" s="846"/>
      <c r="Q1322" s="846"/>
      <c r="R1322" s="846"/>
      <c r="S1322" s="846"/>
      <c r="T1322" s="846"/>
    </row>
    <row r="1323" spans="2:20" ht="38.25" hidden="1">
      <c r="B1323" s="828" t="s">
        <v>6566</v>
      </c>
      <c r="C1323" s="828">
        <v>92561</v>
      </c>
      <c r="D1323" s="630" t="s">
        <v>3144</v>
      </c>
      <c r="E1323" s="630" t="s">
        <v>646</v>
      </c>
      <c r="F1323" s="829">
        <v>2020.05</v>
      </c>
      <c r="G1323" s="830">
        <v>769.95</v>
      </c>
      <c r="H1323" s="831">
        <v>2790</v>
      </c>
      <c r="I1323" s="846"/>
      <c r="J1323" s="846"/>
      <c r="K1323" s="846"/>
      <c r="L1323" s="846"/>
      <c r="M1323" s="846"/>
      <c r="N1323" s="846"/>
      <c r="O1323" s="846"/>
      <c r="P1323" s="846"/>
      <c r="Q1323" s="846"/>
      <c r="R1323" s="846"/>
      <c r="S1323" s="846"/>
      <c r="T1323" s="846"/>
    </row>
    <row r="1324" spans="2:20" ht="38.25" hidden="1">
      <c r="B1324" s="828" t="s">
        <v>6566</v>
      </c>
      <c r="C1324" s="828">
        <v>92562</v>
      </c>
      <c r="D1324" s="630" t="s">
        <v>3145</v>
      </c>
      <c r="E1324" s="630" t="s">
        <v>646</v>
      </c>
      <c r="F1324" s="829">
        <v>2150.7399999999998</v>
      </c>
      <c r="G1324" s="830">
        <v>858.67</v>
      </c>
      <c r="H1324" s="831">
        <v>3009.41</v>
      </c>
      <c r="I1324" s="846"/>
      <c r="J1324" s="846"/>
      <c r="K1324" s="846"/>
      <c r="L1324" s="846"/>
      <c r="M1324" s="846"/>
      <c r="N1324" s="846"/>
      <c r="O1324" s="846"/>
      <c r="P1324" s="846"/>
      <c r="Q1324" s="846"/>
      <c r="R1324" s="846"/>
      <c r="S1324" s="846"/>
      <c r="T1324" s="846"/>
    </row>
    <row r="1325" spans="2:20" ht="38.25" hidden="1">
      <c r="B1325" s="828" t="s">
        <v>6566</v>
      </c>
      <c r="C1325" s="828">
        <v>92563</v>
      </c>
      <c r="D1325" s="630" t="s">
        <v>3146</v>
      </c>
      <c r="E1325" s="630" t="s">
        <v>646</v>
      </c>
      <c r="F1325" s="829">
        <v>2379.9299999999998</v>
      </c>
      <c r="G1325" s="830">
        <v>1071.79</v>
      </c>
      <c r="H1325" s="831">
        <v>3451.72</v>
      </c>
      <c r="I1325" s="846"/>
      <c r="J1325" s="846"/>
      <c r="K1325" s="846"/>
      <c r="L1325" s="846"/>
      <c r="M1325" s="846"/>
      <c r="N1325" s="846"/>
      <c r="O1325" s="846"/>
      <c r="P1325" s="846"/>
      <c r="Q1325" s="846"/>
      <c r="R1325" s="846"/>
      <c r="S1325" s="846"/>
      <c r="T1325" s="846"/>
    </row>
    <row r="1326" spans="2:20" ht="38.25" hidden="1">
      <c r="B1326" s="828" t="s">
        <v>6566</v>
      </c>
      <c r="C1326" s="828">
        <v>92564</v>
      </c>
      <c r="D1326" s="630" t="s">
        <v>3147</v>
      </c>
      <c r="E1326" s="630" t="s">
        <v>646</v>
      </c>
      <c r="F1326" s="829">
        <v>2496.58</v>
      </c>
      <c r="G1326" s="830">
        <v>1071.79</v>
      </c>
      <c r="H1326" s="831">
        <v>3568.37</v>
      </c>
      <c r="I1326" s="846"/>
      <c r="J1326" s="846"/>
      <c r="K1326" s="846"/>
      <c r="L1326" s="846"/>
      <c r="M1326" s="846"/>
      <c r="N1326" s="846"/>
      <c r="O1326" s="846"/>
      <c r="P1326" s="846"/>
      <c r="Q1326" s="846"/>
      <c r="R1326" s="846"/>
      <c r="S1326" s="846"/>
      <c r="T1326" s="846"/>
    </row>
    <row r="1327" spans="2:20" ht="38.25" hidden="1">
      <c r="B1327" s="828" t="s">
        <v>6566</v>
      </c>
      <c r="C1327" s="828">
        <v>92565</v>
      </c>
      <c r="D1327" s="630" t="s">
        <v>973</v>
      </c>
      <c r="E1327" s="630" t="s">
        <v>649</v>
      </c>
      <c r="F1327" s="829">
        <v>34.65</v>
      </c>
      <c r="G1327" s="830">
        <v>11.95</v>
      </c>
      <c r="H1327" s="831">
        <v>46.6</v>
      </c>
      <c r="I1327" s="846"/>
      <c r="J1327" s="846"/>
      <c r="K1327" s="846"/>
      <c r="L1327" s="846"/>
      <c r="M1327" s="846"/>
      <c r="N1327" s="846"/>
      <c r="O1327" s="846"/>
      <c r="P1327" s="846"/>
      <c r="Q1327" s="846"/>
      <c r="R1327" s="846"/>
      <c r="S1327" s="846"/>
      <c r="T1327" s="846"/>
    </row>
    <row r="1328" spans="2:20" ht="51" hidden="1">
      <c r="B1328" s="828" t="s">
        <v>6566</v>
      </c>
      <c r="C1328" s="828">
        <v>92566</v>
      </c>
      <c r="D1328" s="630" t="s">
        <v>974</v>
      </c>
      <c r="E1328" s="630" t="s">
        <v>649</v>
      </c>
      <c r="F1328" s="829">
        <v>24.96</v>
      </c>
      <c r="G1328" s="830">
        <v>4.4800000000000004</v>
      </c>
      <c r="H1328" s="831">
        <v>29.44</v>
      </c>
      <c r="I1328" s="846"/>
      <c r="J1328" s="846"/>
      <c r="K1328" s="846"/>
      <c r="L1328" s="846"/>
      <c r="M1328" s="846"/>
      <c r="N1328" s="846"/>
      <c r="O1328" s="846"/>
      <c r="P1328" s="846"/>
      <c r="Q1328" s="846"/>
      <c r="R1328" s="846"/>
      <c r="S1328" s="846"/>
      <c r="T1328" s="846"/>
    </row>
    <row r="1329" spans="2:20" ht="38.25" hidden="1">
      <c r="B1329" s="828" t="s">
        <v>6566</v>
      </c>
      <c r="C1329" s="828">
        <v>92567</v>
      </c>
      <c r="D1329" s="630" t="s">
        <v>975</v>
      </c>
      <c r="E1329" s="630" t="s">
        <v>649</v>
      </c>
      <c r="F1329" s="829">
        <v>33.119999999999997</v>
      </c>
      <c r="G1329" s="830">
        <v>8.9</v>
      </c>
      <c r="H1329" s="831">
        <v>42.02</v>
      </c>
      <c r="I1329" s="846"/>
      <c r="J1329" s="846"/>
      <c r="K1329" s="846"/>
      <c r="L1329" s="846"/>
      <c r="M1329" s="846"/>
      <c r="N1329" s="846"/>
      <c r="O1329" s="846"/>
      <c r="P1329" s="846"/>
      <c r="Q1329" s="846"/>
      <c r="R1329" s="846"/>
      <c r="S1329" s="846"/>
      <c r="T1329" s="846"/>
    </row>
    <row r="1330" spans="2:20" ht="51" hidden="1">
      <c r="B1330" s="828" t="s">
        <v>6566</v>
      </c>
      <c r="C1330" s="828">
        <v>100379</v>
      </c>
      <c r="D1330" s="630" t="s">
        <v>3148</v>
      </c>
      <c r="E1330" s="630" t="s">
        <v>649</v>
      </c>
      <c r="F1330" s="829">
        <v>34.65</v>
      </c>
      <c r="G1330" s="830">
        <v>11.95</v>
      </c>
      <c r="H1330" s="831">
        <v>46.6</v>
      </c>
      <c r="I1330" s="846"/>
      <c r="J1330" s="846"/>
      <c r="K1330" s="846"/>
      <c r="L1330" s="846"/>
      <c r="M1330" s="846"/>
      <c r="N1330" s="846"/>
      <c r="O1330" s="846"/>
      <c r="P1330" s="846"/>
      <c r="Q1330" s="846"/>
      <c r="R1330" s="846"/>
      <c r="S1330" s="846"/>
      <c r="T1330" s="846"/>
    </row>
    <row r="1331" spans="2:20" ht="51" hidden="1">
      <c r="B1331" s="828" t="s">
        <v>6566</v>
      </c>
      <c r="C1331" s="828">
        <v>100380</v>
      </c>
      <c r="D1331" s="630" t="s">
        <v>3149</v>
      </c>
      <c r="E1331" s="630" t="s">
        <v>649</v>
      </c>
      <c r="F1331" s="829">
        <v>42.360000000000007</v>
      </c>
      <c r="G1331" s="830">
        <v>19.2</v>
      </c>
      <c r="H1331" s="831">
        <v>61.56</v>
      </c>
      <c r="I1331" s="846"/>
      <c r="J1331" s="846"/>
      <c r="K1331" s="846"/>
      <c r="L1331" s="846"/>
      <c r="M1331" s="846"/>
      <c r="N1331" s="846"/>
      <c r="O1331" s="846"/>
      <c r="P1331" s="846"/>
      <c r="Q1331" s="846"/>
      <c r="R1331" s="846"/>
      <c r="S1331" s="846"/>
      <c r="T1331" s="846"/>
    </row>
    <row r="1332" spans="2:20" ht="51" hidden="1">
      <c r="B1332" s="828" t="s">
        <v>6566</v>
      </c>
      <c r="C1332" s="828">
        <v>100381</v>
      </c>
      <c r="D1332" s="630" t="s">
        <v>3150</v>
      </c>
      <c r="E1332" s="630" t="s">
        <v>649</v>
      </c>
      <c r="F1332" s="829">
        <v>44.68</v>
      </c>
      <c r="G1332" s="830">
        <v>23.75</v>
      </c>
      <c r="H1332" s="831">
        <v>68.430000000000007</v>
      </c>
      <c r="I1332" s="846"/>
      <c r="J1332" s="846"/>
      <c r="K1332" s="846"/>
      <c r="L1332" s="846"/>
      <c r="M1332" s="846"/>
      <c r="N1332" s="846"/>
      <c r="O1332" s="846"/>
      <c r="P1332" s="846"/>
      <c r="Q1332" s="846"/>
      <c r="R1332" s="846"/>
      <c r="S1332" s="846"/>
      <c r="T1332" s="846"/>
    </row>
    <row r="1333" spans="2:20" ht="51" hidden="1">
      <c r="B1333" s="828" t="s">
        <v>6566</v>
      </c>
      <c r="C1333" s="828">
        <v>100383</v>
      </c>
      <c r="D1333" s="630" t="s">
        <v>3151</v>
      </c>
      <c r="E1333" s="630" t="s">
        <v>649</v>
      </c>
      <c r="F1333" s="829">
        <v>26.759999999999998</v>
      </c>
      <c r="G1333" s="830">
        <v>5.36</v>
      </c>
      <c r="H1333" s="831">
        <v>32.119999999999997</v>
      </c>
      <c r="I1333" s="846"/>
      <c r="J1333" s="846"/>
      <c r="K1333" s="846"/>
      <c r="L1333" s="846"/>
      <c r="M1333" s="846"/>
      <c r="N1333" s="846"/>
      <c r="O1333" s="846"/>
      <c r="P1333" s="846"/>
      <c r="Q1333" s="846"/>
      <c r="R1333" s="846"/>
      <c r="S1333" s="846"/>
      <c r="T1333" s="846"/>
    </row>
    <row r="1334" spans="2:20" ht="51" hidden="1">
      <c r="B1334" s="828" t="s">
        <v>6566</v>
      </c>
      <c r="C1334" s="828">
        <v>100384</v>
      </c>
      <c r="D1334" s="630" t="s">
        <v>3152</v>
      </c>
      <c r="E1334" s="630" t="s">
        <v>649</v>
      </c>
      <c r="F1334" s="829">
        <v>26.8</v>
      </c>
      <c r="G1334" s="830">
        <v>6.57</v>
      </c>
      <c r="H1334" s="831">
        <v>33.369999999999997</v>
      </c>
      <c r="I1334" s="846"/>
      <c r="J1334" s="846"/>
      <c r="K1334" s="846"/>
      <c r="L1334" s="846"/>
      <c r="M1334" s="846"/>
      <c r="N1334" s="846"/>
      <c r="O1334" s="846"/>
      <c r="P1334" s="846"/>
      <c r="Q1334" s="846"/>
      <c r="R1334" s="846"/>
      <c r="S1334" s="846"/>
      <c r="T1334" s="846"/>
    </row>
    <row r="1335" spans="2:20" ht="51" hidden="1">
      <c r="B1335" s="828" t="s">
        <v>6566</v>
      </c>
      <c r="C1335" s="828">
        <v>100385</v>
      </c>
      <c r="D1335" s="630" t="s">
        <v>3153</v>
      </c>
      <c r="E1335" s="630" t="s">
        <v>649</v>
      </c>
      <c r="F1335" s="829">
        <v>33.119999999999997</v>
      </c>
      <c r="G1335" s="830">
        <v>8.9</v>
      </c>
      <c r="H1335" s="831">
        <v>42.02</v>
      </c>
      <c r="I1335" s="846"/>
      <c r="J1335" s="846"/>
      <c r="K1335" s="846"/>
      <c r="L1335" s="846"/>
      <c r="M1335" s="846"/>
      <c r="N1335" s="846"/>
      <c r="O1335" s="846"/>
      <c r="P1335" s="846"/>
      <c r="Q1335" s="846"/>
      <c r="R1335" s="846"/>
      <c r="S1335" s="846"/>
      <c r="T1335" s="846"/>
    </row>
    <row r="1336" spans="2:20" ht="51" hidden="1">
      <c r="B1336" s="828" t="s">
        <v>6566</v>
      </c>
      <c r="C1336" s="828">
        <v>100386</v>
      </c>
      <c r="D1336" s="630" t="s">
        <v>3154</v>
      </c>
      <c r="E1336" s="630" t="s">
        <v>649</v>
      </c>
      <c r="F1336" s="829">
        <v>40.43</v>
      </c>
      <c r="G1336" s="830">
        <v>13.69</v>
      </c>
      <c r="H1336" s="831">
        <v>54.12</v>
      </c>
      <c r="I1336" s="846"/>
      <c r="J1336" s="846"/>
      <c r="K1336" s="846"/>
      <c r="L1336" s="846"/>
      <c r="M1336" s="846"/>
      <c r="N1336" s="846"/>
      <c r="O1336" s="846"/>
      <c r="P1336" s="846"/>
      <c r="Q1336" s="846"/>
      <c r="R1336" s="846"/>
      <c r="S1336" s="846"/>
      <c r="T1336" s="846"/>
    </row>
    <row r="1337" spans="2:20" ht="51" hidden="1">
      <c r="B1337" s="828" t="s">
        <v>6566</v>
      </c>
      <c r="C1337" s="828">
        <v>100387</v>
      </c>
      <c r="D1337" s="630" t="s">
        <v>3155</v>
      </c>
      <c r="E1337" s="630" t="s">
        <v>649</v>
      </c>
      <c r="F1337" s="829">
        <v>48.67</v>
      </c>
      <c r="G1337" s="830">
        <v>17.21</v>
      </c>
      <c r="H1337" s="831">
        <v>65.88</v>
      </c>
      <c r="I1337" s="846"/>
      <c r="J1337" s="846"/>
      <c r="K1337" s="846"/>
      <c r="L1337" s="846"/>
      <c r="M1337" s="846"/>
      <c r="N1337" s="846"/>
      <c r="O1337" s="846"/>
      <c r="P1337" s="846"/>
      <c r="Q1337" s="846"/>
      <c r="R1337" s="846"/>
      <c r="S1337" s="846"/>
      <c r="T1337" s="846"/>
    </row>
    <row r="1338" spans="2:20" ht="38.25" hidden="1">
      <c r="B1338" s="828" t="s">
        <v>6566</v>
      </c>
      <c r="C1338" s="828">
        <v>100388</v>
      </c>
      <c r="D1338" s="630" t="s">
        <v>3156</v>
      </c>
      <c r="E1338" s="630" t="s">
        <v>649</v>
      </c>
      <c r="F1338" s="829">
        <v>14.34</v>
      </c>
      <c r="G1338" s="830">
        <v>9.08</v>
      </c>
      <c r="H1338" s="831">
        <v>23.42</v>
      </c>
      <c r="I1338" s="846"/>
      <c r="J1338" s="846"/>
      <c r="K1338" s="846"/>
      <c r="L1338" s="846"/>
      <c r="M1338" s="846"/>
      <c r="N1338" s="846"/>
      <c r="O1338" s="846"/>
      <c r="P1338" s="846"/>
      <c r="Q1338" s="846"/>
      <c r="R1338" s="846"/>
      <c r="S1338" s="846"/>
      <c r="T1338" s="846"/>
    </row>
    <row r="1339" spans="2:20" ht="38.25" hidden="1">
      <c r="B1339" s="828" t="s">
        <v>6566</v>
      </c>
      <c r="C1339" s="828">
        <v>100389</v>
      </c>
      <c r="D1339" s="630" t="s">
        <v>3157</v>
      </c>
      <c r="E1339" s="630" t="s">
        <v>649</v>
      </c>
      <c r="F1339" s="829">
        <v>10.73</v>
      </c>
      <c r="G1339" s="830">
        <v>9.83</v>
      </c>
      <c r="H1339" s="831">
        <v>20.56</v>
      </c>
      <c r="I1339" s="846"/>
      <c r="J1339" s="846"/>
      <c r="K1339" s="846"/>
      <c r="L1339" s="846"/>
      <c r="M1339" s="846"/>
      <c r="N1339" s="846"/>
      <c r="O1339" s="846"/>
      <c r="P1339" s="846"/>
      <c r="Q1339" s="846"/>
      <c r="R1339" s="846"/>
      <c r="S1339" s="846"/>
      <c r="T1339" s="846"/>
    </row>
    <row r="1340" spans="2:20" ht="38.25" hidden="1">
      <c r="B1340" s="828" t="s">
        <v>6566</v>
      </c>
      <c r="C1340" s="828">
        <v>100390</v>
      </c>
      <c r="D1340" s="630" t="s">
        <v>3158</v>
      </c>
      <c r="E1340" s="630" t="s">
        <v>649</v>
      </c>
      <c r="F1340" s="829">
        <v>15.33</v>
      </c>
      <c r="G1340" s="830">
        <v>12.39</v>
      </c>
      <c r="H1340" s="831">
        <v>27.72</v>
      </c>
      <c r="I1340" s="846"/>
      <c r="J1340" s="846"/>
      <c r="K1340" s="846"/>
      <c r="L1340" s="846"/>
      <c r="M1340" s="846"/>
      <c r="N1340" s="846"/>
      <c r="O1340" s="846"/>
      <c r="P1340" s="846"/>
      <c r="Q1340" s="846"/>
      <c r="R1340" s="846"/>
      <c r="S1340" s="846"/>
      <c r="T1340" s="846"/>
    </row>
    <row r="1341" spans="2:20" ht="38.25" hidden="1">
      <c r="B1341" s="828" t="s">
        <v>6566</v>
      </c>
      <c r="C1341" s="828">
        <v>100391</v>
      </c>
      <c r="D1341" s="630" t="s">
        <v>3159</v>
      </c>
      <c r="E1341" s="630" t="s">
        <v>649</v>
      </c>
      <c r="F1341" s="829">
        <v>11.4</v>
      </c>
      <c r="G1341" s="830">
        <v>12.02</v>
      </c>
      <c r="H1341" s="831">
        <v>23.42</v>
      </c>
      <c r="I1341" s="846"/>
      <c r="J1341" s="846"/>
      <c r="K1341" s="846"/>
      <c r="L1341" s="846"/>
      <c r="M1341" s="846"/>
      <c r="N1341" s="846"/>
      <c r="O1341" s="846"/>
      <c r="P1341" s="846"/>
      <c r="Q1341" s="846"/>
      <c r="R1341" s="846"/>
      <c r="S1341" s="846"/>
      <c r="T1341" s="846"/>
    </row>
    <row r="1342" spans="2:20" ht="25.5" hidden="1">
      <c r="B1342" s="828" t="s">
        <v>6566</v>
      </c>
      <c r="C1342" s="828">
        <v>100392</v>
      </c>
      <c r="D1342" s="630" t="s">
        <v>3160</v>
      </c>
      <c r="E1342" s="630" t="s">
        <v>649</v>
      </c>
      <c r="F1342" s="829">
        <v>11.35</v>
      </c>
      <c r="G1342" s="830">
        <v>7.09</v>
      </c>
      <c r="H1342" s="831">
        <v>18.440000000000001</v>
      </c>
      <c r="I1342" s="846"/>
      <c r="J1342" s="846"/>
      <c r="K1342" s="846"/>
      <c r="L1342" s="846"/>
      <c r="M1342" s="846"/>
      <c r="N1342" s="846"/>
      <c r="O1342" s="846"/>
      <c r="P1342" s="846"/>
      <c r="Q1342" s="846"/>
      <c r="R1342" s="846"/>
      <c r="S1342" s="846"/>
      <c r="T1342" s="846"/>
    </row>
    <row r="1343" spans="2:20" ht="25.5" hidden="1">
      <c r="B1343" s="828" t="s">
        <v>6566</v>
      </c>
      <c r="C1343" s="828">
        <v>100393</v>
      </c>
      <c r="D1343" s="630" t="s">
        <v>3161</v>
      </c>
      <c r="E1343" s="630" t="s">
        <v>649</v>
      </c>
      <c r="F1343" s="829">
        <v>12.44</v>
      </c>
      <c r="G1343" s="830">
        <v>11.16</v>
      </c>
      <c r="H1343" s="831">
        <v>23.6</v>
      </c>
      <c r="I1343" s="846"/>
      <c r="J1343" s="846"/>
      <c r="K1343" s="846"/>
      <c r="L1343" s="846"/>
      <c r="M1343" s="846"/>
      <c r="N1343" s="846"/>
      <c r="O1343" s="846"/>
      <c r="P1343" s="846"/>
      <c r="Q1343" s="846"/>
      <c r="R1343" s="846"/>
      <c r="S1343" s="846"/>
      <c r="T1343" s="846"/>
    </row>
    <row r="1344" spans="2:20" ht="38.25" hidden="1">
      <c r="B1344" s="828" t="s">
        <v>6566</v>
      </c>
      <c r="C1344" s="828">
        <v>100394</v>
      </c>
      <c r="D1344" s="630" t="s">
        <v>3162</v>
      </c>
      <c r="E1344" s="630" t="s">
        <v>649</v>
      </c>
      <c r="F1344" s="829">
        <v>12.14</v>
      </c>
      <c r="G1344" s="830">
        <v>9.68</v>
      </c>
      <c r="H1344" s="831">
        <v>21.82</v>
      </c>
      <c r="I1344" s="846"/>
      <c r="J1344" s="846"/>
      <c r="K1344" s="846"/>
      <c r="L1344" s="846"/>
      <c r="M1344" s="846"/>
      <c r="N1344" s="846"/>
      <c r="O1344" s="846"/>
      <c r="P1344" s="846"/>
      <c r="Q1344" s="846"/>
      <c r="R1344" s="846"/>
      <c r="S1344" s="846"/>
      <c r="T1344" s="846"/>
    </row>
    <row r="1345" spans="2:20" ht="38.25" hidden="1">
      <c r="B1345" s="828" t="s">
        <v>6566</v>
      </c>
      <c r="C1345" s="828">
        <v>100395</v>
      </c>
      <c r="D1345" s="630" t="s">
        <v>3163</v>
      </c>
      <c r="E1345" s="630" t="s">
        <v>649</v>
      </c>
      <c r="F1345" s="829">
        <v>13.47</v>
      </c>
      <c r="G1345" s="830">
        <v>14.46</v>
      </c>
      <c r="H1345" s="831">
        <v>27.93</v>
      </c>
      <c r="I1345" s="846"/>
      <c r="J1345" s="846"/>
      <c r="K1345" s="846"/>
      <c r="L1345" s="846"/>
      <c r="M1345" s="846"/>
      <c r="N1345" s="846"/>
      <c r="O1345" s="846"/>
      <c r="P1345" s="846"/>
      <c r="Q1345" s="846"/>
      <c r="R1345" s="846"/>
      <c r="S1345" s="846"/>
      <c r="T1345" s="846"/>
    </row>
    <row r="1346" spans="2:20" ht="25.5" hidden="1">
      <c r="B1346" s="828" t="s">
        <v>6578</v>
      </c>
      <c r="C1346" s="828">
        <v>94189</v>
      </c>
      <c r="D1346" s="630" t="s">
        <v>3164</v>
      </c>
      <c r="E1346" s="630" t="s">
        <v>649</v>
      </c>
      <c r="F1346" s="829">
        <v>29.3</v>
      </c>
      <c r="G1346" s="830">
        <v>4.4400000000000004</v>
      </c>
      <c r="H1346" s="831">
        <v>33.74</v>
      </c>
      <c r="I1346" s="846"/>
      <c r="J1346" s="846"/>
      <c r="K1346" s="846"/>
      <c r="L1346" s="846"/>
      <c r="M1346" s="846"/>
      <c r="N1346" s="846"/>
      <c r="O1346" s="846"/>
      <c r="P1346" s="846"/>
      <c r="Q1346" s="846"/>
      <c r="R1346" s="846"/>
      <c r="S1346" s="846"/>
      <c r="T1346" s="846"/>
    </row>
    <row r="1347" spans="2:20" ht="25.5" hidden="1">
      <c r="B1347" s="828" t="s">
        <v>6578</v>
      </c>
      <c r="C1347" s="828">
        <v>94192</v>
      </c>
      <c r="D1347" s="630" t="s">
        <v>3165</v>
      </c>
      <c r="E1347" s="630" t="s">
        <v>649</v>
      </c>
      <c r="F1347" s="829">
        <v>29.990000000000002</v>
      </c>
      <c r="G1347" s="830">
        <v>6.67</v>
      </c>
      <c r="H1347" s="831">
        <v>36.659999999999997</v>
      </c>
      <c r="I1347" s="846"/>
      <c r="J1347" s="846"/>
      <c r="K1347" s="846"/>
      <c r="L1347" s="846"/>
      <c r="M1347" s="846"/>
      <c r="N1347" s="846"/>
      <c r="O1347" s="846"/>
      <c r="P1347" s="846"/>
      <c r="Q1347" s="846"/>
      <c r="R1347" s="846"/>
      <c r="S1347" s="846"/>
      <c r="T1347" s="846"/>
    </row>
    <row r="1348" spans="2:20" ht="25.5" hidden="1">
      <c r="B1348" s="828" t="s">
        <v>6578</v>
      </c>
      <c r="C1348" s="828">
        <v>94195</v>
      </c>
      <c r="D1348" s="630" t="s">
        <v>3166</v>
      </c>
      <c r="E1348" s="630" t="s">
        <v>649</v>
      </c>
      <c r="F1348" s="829">
        <v>30.060000000000002</v>
      </c>
      <c r="G1348" s="830">
        <v>7.58</v>
      </c>
      <c r="H1348" s="831">
        <v>37.64</v>
      </c>
      <c r="I1348" s="846"/>
      <c r="J1348" s="846"/>
      <c r="K1348" s="846"/>
      <c r="L1348" s="846"/>
      <c r="M1348" s="846"/>
      <c r="N1348" s="846"/>
      <c r="O1348" s="846"/>
      <c r="P1348" s="846"/>
      <c r="Q1348" s="846"/>
      <c r="R1348" s="846"/>
      <c r="S1348" s="846"/>
      <c r="T1348" s="846"/>
    </row>
    <row r="1349" spans="2:20" ht="25.5" hidden="1">
      <c r="B1349" s="828" t="s">
        <v>6578</v>
      </c>
      <c r="C1349" s="828">
        <v>94198</v>
      </c>
      <c r="D1349" s="630" t="s">
        <v>3167</v>
      </c>
      <c r="E1349" s="630" t="s">
        <v>649</v>
      </c>
      <c r="F1349" s="829">
        <v>30.970000000000002</v>
      </c>
      <c r="G1349" s="830">
        <v>10.53</v>
      </c>
      <c r="H1349" s="831">
        <v>41.5</v>
      </c>
      <c r="I1349" s="846"/>
      <c r="J1349" s="846"/>
      <c r="K1349" s="846"/>
      <c r="L1349" s="846"/>
      <c r="M1349" s="846"/>
      <c r="N1349" s="846"/>
      <c r="O1349" s="846"/>
      <c r="P1349" s="846"/>
      <c r="Q1349" s="846"/>
      <c r="R1349" s="846"/>
      <c r="S1349" s="846"/>
      <c r="T1349" s="846"/>
    </row>
    <row r="1350" spans="2:20" ht="25.5" hidden="1">
      <c r="B1350" s="828" t="s">
        <v>6578</v>
      </c>
      <c r="C1350" s="828">
        <v>94201</v>
      </c>
      <c r="D1350" s="630" t="s">
        <v>3168</v>
      </c>
      <c r="E1350" s="630" t="s">
        <v>649</v>
      </c>
      <c r="F1350" s="829">
        <v>41.860000000000007</v>
      </c>
      <c r="G1350" s="830">
        <v>12.04</v>
      </c>
      <c r="H1350" s="831">
        <v>53.9</v>
      </c>
      <c r="I1350" s="846"/>
      <c r="J1350" s="846"/>
      <c r="K1350" s="846"/>
      <c r="L1350" s="846"/>
      <c r="M1350" s="846"/>
      <c r="N1350" s="846"/>
      <c r="O1350" s="846"/>
      <c r="P1350" s="846"/>
      <c r="Q1350" s="846"/>
      <c r="R1350" s="846"/>
      <c r="S1350" s="846"/>
      <c r="T1350" s="846"/>
    </row>
    <row r="1351" spans="2:20" ht="25.5" hidden="1">
      <c r="B1351" s="828" t="s">
        <v>6578</v>
      </c>
      <c r="C1351" s="828">
        <v>94204</v>
      </c>
      <c r="D1351" s="630" t="s">
        <v>3169</v>
      </c>
      <c r="E1351" s="630" t="s">
        <v>649</v>
      </c>
      <c r="F1351" s="829">
        <v>43.430000000000007</v>
      </c>
      <c r="G1351" s="830">
        <v>17.03</v>
      </c>
      <c r="H1351" s="831">
        <v>60.46</v>
      </c>
      <c r="I1351" s="846"/>
      <c r="J1351" s="846"/>
      <c r="K1351" s="846"/>
      <c r="L1351" s="846"/>
      <c r="M1351" s="846"/>
      <c r="N1351" s="846"/>
      <c r="O1351" s="846"/>
      <c r="P1351" s="846"/>
      <c r="Q1351" s="846"/>
      <c r="R1351" s="846"/>
      <c r="S1351" s="846"/>
      <c r="T1351" s="846"/>
    </row>
    <row r="1352" spans="2:20" ht="25.5" hidden="1">
      <c r="B1352" s="828" t="s">
        <v>6578</v>
      </c>
      <c r="C1352" s="828">
        <v>94224</v>
      </c>
      <c r="D1352" s="630" t="s">
        <v>3170</v>
      </c>
      <c r="E1352" s="630" t="s">
        <v>648</v>
      </c>
      <c r="F1352" s="829">
        <v>8.8699999999999992</v>
      </c>
      <c r="G1352" s="830">
        <v>18.66</v>
      </c>
      <c r="H1352" s="831">
        <v>27.53</v>
      </c>
      <c r="I1352" s="846"/>
      <c r="J1352" s="846"/>
      <c r="K1352" s="846"/>
      <c r="L1352" s="846"/>
      <c r="M1352" s="846"/>
      <c r="N1352" s="846"/>
      <c r="O1352" s="846"/>
      <c r="P1352" s="846"/>
      <c r="Q1352" s="846"/>
      <c r="R1352" s="846"/>
      <c r="S1352" s="846"/>
      <c r="T1352" s="846"/>
    </row>
    <row r="1353" spans="2:20" ht="25.5" hidden="1">
      <c r="B1353" s="828" t="s">
        <v>6578</v>
      </c>
      <c r="C1353" s="828">
        <v>94226</v>
      </c>
      <c r="D1353" s="630" t="s">
        <v>3171</v>
      </c>
      <c r="E1353" s="630" t="s">
        <v>649</v>
      </c>
      <c r="F1353" s="829">
        <v>13.41</v>
      </c>
      <c r="G1353" s="830">
        <v>7.52</v>
      </c>
      <c r="H1353" s="831">
        <v>20.93</v>
      </c>
      <c r="I1353" s="846"/>
      <c r="J1353" s="846"/>
      <c r="K1353" s="846"/>
      <c r="L1353" s="846"/>
      <c r="M1353" s="846"/>
      <c r="N1353" s="846"/>
      <c r="O1353" s="846"/>
      <c r="P1353" s="846"/>
      <c r="Q1353" s="846"/>
      <c r="R1353" s="846"/>
      <c r="S1353" s="846"/>
      <c r="T1353" s="846"/>
    </row>
    <row r="1354" spans="2:20" hidden="1">
      <c r="B1354" s="828" t="s">
        <v>6578</v>
      </c>
      <c r="C1354" s="828">
        <v>94232</v>
      </c>
      <c r="D1354" s="630" t="s">
        <v>3172</v>
      </c>
      <c r="E1354" s="630" t="s">
        <v>646</v>
      </c>
      <c r="F1354" s="829">
        <v>0.79</v>
      </c>
      <c r="G1354" s="830">
        <v>2.4900000000000002</v>
      </c>
      <c r="H1354" s="831">
        <v>3.28</v>
      </c>
      <c r="I1354" s="846"/>
      <c r="J1354" s="846"/>
      <c r="K1354" s="846"/>
      <c r="L1354" s="846"/>
      <c r="M1354" s="846"/>
      <c r="N1354" s="846"/>
      <c r="O1354" s="846"/>
      <c r="P1354" s="846"/>
      <c r="Q1354" s="846"/>
      <c r="R1354" s="846"/>
      <c r="S1354" s="846"/>
      <c r="T1354" s="846"/>
    </row>
    <row r="1355" spans="2:20" ht="25.5" hidden="1">
      <c r="B1355" s="828" t="s">
        <v>6578</v>
      </c>
      <c r="C1355" s="828">
        <v>94440</v>
      </c>
      <c r="D1355" s="630" t="s">
        <v>3173</v>
      </c>
      <c r="E1355" s="630" t="s">
        <v>649</v>
      </c>
      <c r="F1355" s="829">
        <v>30.060000000000002</v>
      </c>
      <c r="G1355" s="830">
        <v>7.58</v>
      </c>
      <c r="H1355" s="831">
        <v>37.64</v>
      </c>
      <c r="I1355" s="846"/>
      <c r="J1355" s="846"/>
      <c r="K1355" s="846"/>
      <c r="L1355" s="846"/>
      <c r="M1355" s="846"/>
      <c r="N1355" s="846"/>
      <c r="O1355" s="846"/>
      <c r="P1355" s="846"/>
      <c r="Q1355" s="846"/>
      <c r="R1355" s="846"/>
      <c r="S1355" s="846"/>
      <c r="T1355" s="846"/>
    </row>
    <row r="1356" spans="2:20" ht="25.5" hidden="1">
      <c r="B1356" s="833" t="s">
        <v>6578</v>
      </c>
      <c r="C1356" s="828">
        <v>94441</v>
      </c>
      <c r="D1356" s="630" t="s">
        <v>3174</v>
      </c>
      <c r="E1356" s="630" t="s">
        <v>649</v>
      </c>
      <c r="F1356" s="829">
        <v>30.970000000000002</v>
      </c>
      <c r="G1356" s="830">
        <v>10.53</v>
      </c>
      <c r="H1356" s="831">
        <v>41.5</v>
      </c>
      <c r="I1356" s="846"/>
      <c r="J1356" s="846"/>
      <c r="K1356" s="846"/>
      <c r="L1356" s="846"/>
      <c r="M1356" s="846"/>
      <c r="N1356" s="846"/>
      <c r="O1356" s="846"/>
      <c r="P1356" s="846"/>
      <c r="Q1356" s="846"/>
      <c r="R1356" s="846"/>
      <c r="S1356" s="846"/>
      <c r="T1356" s="846"/>
    </row>
    <row r="1357" spans="2:20" ht="25.5" hidden="1">
      <c r="B1357" s="833" t="s">
        <v>6578</v>
      </c>
      <c r="C1357" s="828">
        <v>94442</v>
      </c>
      <c r="D1357" s="630" t="s">
        <v>3175</v>
      </c>
      <c r="E1357" s="630" t="s">
        <v>649</v>
      </c>
      <c r="F1357" s="829">
        <v>30.060000000000002</v>
      </c>
      <c r="G1357" s="830">
        <v>7.58</v>
      </c>
      <c r="H1357" s="831">
        <v>37.64</v>
      </c>
      <c r="I1357" s="846"/>
      <c r="J1357" s="846"/>
      <c r="K1357" s="846"/>
      <c r="L1357" s="846"/>
      <c r="M1357" s="846"/>
      <c r="N1357" s="846"/>
      <c r="O1357" s="846"/>
      <c r="P1357" s="846"/>
      <c r="Q1357" s="846"/>
      <c r="R1357" s="846"/>
      <c r="S1357" s="846"/>
      <c r="T1357" s="846"/>
    </row>
    <row r="1358" spans="2:20" ht="25.5" hidden="1">
      <c r="B1358" s="828" t="s">
        <v>6578</v>
      </c>
      <c r="C1358" s="828">
        <v>94443</v>
      </c>
      <c r="D1358" s="630" t="s">
        <v>3176</v>
      </c>
      <c r="E1358" s="630" t="s">
        <v>649</v>
      </c>
      <c r="F1358" s="829">
        <v>30.970000000000002</v>
      </c>
      <c r="G1358" s="830">
        <v>10.53</v>
      </c>
      <c r="H1358" s="831">
        <v>41.5</v>
      </c>
      <c r="I1358" s="846"/>
      <c r="J1358" s="846"/>
      <c r="K1358" s="846"/>
      <c r="L1358" s="846"/>
      <c r="M1358" s="846"/>
      <c r="N1358" s="846"/>
      <c r="O1358" s="846"/>
      <c r="P1358" s="846"/>
      <c r="Q1358" s="846"/>
      <c r="R1358" s="846"/>
      <c r="S1358" s="846"/>
      <c r="T1358" s="846"/>
    </row>
    <row r="1359" spans="2:20" ht="25.5" hidden="1">
      <c r="B1359" s="828" t="s">
        <v>6578</v>
      </c>
      <c r="C1359" s="828">
        <v>94445</v>
      </c>
      <c r="D1359" s="630" t="s">
        <v>3177</v>
      </c>
      <c r="E1359" s="630" t="s">
        <v>649</v>
      </c>
      <c r="F1359" s="829">
        <v>41.860000000000007</v>
      </c>
      <c r="G1359" s="830">
        <v>12.04</v>
      </c>
      <c r="H1359" s="831">
        <v>53.9</v>
      </c>
      <c r="I1359" s="846"/>
      <c r="J1359" s="846"/>
      <c r="K1359" s="846"/>
      <c r="L1359" s="846"/>
      <c r="M1359" s="846"/>
      <c r="N1359" s="846"/>
      <c r="O1359" s="846"/>
      <c r="P1359" s="846"/>
      <c r="Q1359" s="846"/>
      <c r="R1359" s="846"/>
      <c r="S1359" s="846"/>
      <c r="T1359" s="846"/>
    </row>
    <row r="1360" spans="2:20" ht="25.5" hidden="1">
      <c r="B1360" s="828" t="s">
        <v>6578</v>
      </c>
      <c r="C1360" s="828">
        <v>94446</v>
      </c>
      <c r="D1360" s="630" t="s">
        <v>3178</v>
      </c>
      <c r="E1360" s="630" t="s">
        <v>649</v>
      </c>
      <c r="F1360" s="829">
        <v>43.430000000000007</v>
      </c>
      <c r="G1360" s="830">
        <v>17.03</v>
      </c>
      <c r="H1360" s="831">
        <v>60.46</v>
      </c>
      <c r="I1360" s="846"/>
      <c r="J1360" s="846"/>
      <c r="K1360" s="846"/>
      <c r="L1360" s="846"/>
      <c r="M1360" s="846"/>
      <c r="N1360" s="846"/>
      <c r="O1360" s="846"/>
      <c r="P1360" s="846"/>
      <c r="Q1360" s="846"/>
      <c r="R1360" s="846"/>
      <c r="S1360" s="846"/>
      <c r="T1360" s="846"/>
    </row>
    <row r="1361" spans="2:20" ht="25.5" hidden="1">
      <c r="B1361" s="828" t="s">
        <v>6578</v>
      </c>
      <c r="C1361" s="828">
        <v>94447</v>
      </c>
      <c r="D1361" s="630" t="s">
        <v>3179</v>
      </c>
      <c r="E1361" s="630" t="s">
        <v>649</v>
      </c>
      <c r="F1361" s="829">
        <v>41.860000000000007</v>
      </c>
      <c r="G1361" s="830">
        <v>12.04</v>
      </c>
      <c r="H1361" s="831">
        <v>53.9</v>
      </c>
      <c r="I1361" s="846"/>
      <c r="J1361" s="846"/>
      <c r="K1361" s="846"/>
      <c r="L1361" s="846"/>
      <c r="M1361" s="846"/>
      <c r="N1361" s="846"/>
      <c r="O1361" s="846"/>
      <c r="P1361" s="846"/>
      <c r="Q1361" s="846"/>
      <c r="R1361" s="846"/>
      <c r="S1361" s="846"/>
      <c r="T1361" s="846"/>
    </row>
    <row r="1362" spans="2:20" ht="25.5" hidden="1">
      <c r="B1362" s="828" t="s">
        <v>6578</v>
      </c>
      <c r="C1362" s="828">
        <v>94448</v>
      </c>
      <c r="D1362" s="630" t="s">
        <v>3180</v>
      </c>
      <c r="E1362" s="630" t="s">
        <v>649</v>
      </c>
      <c r="F1362" s="829">
        <v>43.430000000000007</v>
      </c>
      <c r="G1362" s="830">
        <v>17.03</v>
      </c>
      <c r="H1362" s="831">
        <v>60.46</v>
      </c>
      <c r="I1362" s="846"/>
      <c r="J1362" s="846"/>
      <c r="K1362" s="846"/>
      <c r="L1362" s="846"/>
      <c r="M1362" s="846"/>
      <c r="N1362" s="846"/>
      <c r="O1362" s="846"/>
      <c r="P1362" s="846"/>
      <c r="Q1362" s="846"/>
      <c r="R1362" s="846"/>
      <c r="S1362" s="846"/>
      <c r="T1362" s="846"/>
    </row>
    <row r="1363" spans="2:20" ht="38.25" hidden="1">
      <c r="B1363" s="828" t="s">
        <v>6579</v>
      </c>
      <c r="C1363" s="828">
        <v>94207</v>
      </c>
      <c r="D1363" s="630" t="s">
        <v>3181</v>
      </c>
      <c r="E1363" s="630" t="s">
        <v>649</v>
      </c>
      <c r="F1363" s="829">
        <v>42.24</v>
      </c>
      <c r="G1363" s="830">
        <v>5.57</v>
      </c>
      <c r="H1363" s="831">
        <v>47.81</v>
      </c>
      <c r="I1363" s="846"/>
      <c r="J1363" s="846"/>
      <c r="K1363" s="846"/>
      <c r="L1363" s="846"/>
      <c r="M1363" s="846"/>
      <c r="N1363" s="846"/>
      <c r="O1363" s="846"/>
      <c r="P1363" s="846"/>
      <c r="Q1363" s="846"/>
      <c r="R1363" s="846"/>
      <c r="S1363" s="846"/>
      <c r="T1363" s="846"/>
    </row>
    <row r="1364" spans="2:20" ht="51" hidden="1">
      <c r="B1364" s="828" t="s">
        <v>6579</v>
      </c>
      <c r="C1364" s="828">
        <v>94210</v>
      </c>
      <c r="D1364" s="630" t="s">
        <v>3182</v>
      </c>
      <c r="E1364" s="630" t="s">
        <v>649</v>
      </c>
      <c r="F1364" s="829">
        <v>44.75</v>
      </c>
      <c r="G1364" s="830">
        <v>6.16</v>
      </c>
      <c r="H1364" s="831">
        <v>50.91</v>
      </c>
      <c r="I1364" s="846"/>
      <c r="J1364" s="846"/>
      <c r="K1364" s="846"/>
      <c r="L1364" s="846"/>
      <c r="M1364" s="846"/>
      <c r="N1364" s="846"/>
      <c r="O1364" s="846"/>
      <c r="P1364" s="846"/>
      <c r="Q1364" s="846"/>
      <c r="R1364" s="846"/>
      <c r="S1364" s="846"/>
      <c r="T1364" s="846"/>
    </row>
    <row r="1365" spans="2:20" ht="25.5" hidden="1">
      <c r="B1365" s="828" t="s">
        <v>6579</v>
      </c>
      <c r="C1365" s="828">
        <v>94218</v>
      </c>
      <c r="D1365" s="630" t="s">
        <v>5483</v>
      </c>
      <c r="E1365" s="630" t="s">
        <v>649</v>
      </c>
      <c r="F1365" s="829">
        <v>118.86</v>
      </c>
      <c r="G1365" s="830">
        <v>6.12</v>
      </c>
      <c r="H1365" s="831">
        <v>124.98</v>
      </c>
      <c r="I1365" s="846"/>
      <c r="J1365" s="846"/>
      <c r="K1365" s="846"/>
      <c r="L1365" s="846"/>
      <c r="M1365" s="846"/>
      <c r="N1365" s="846"/>
      <c r="O1365" s="846"/>
      <c r="P1365" s="846"/>
      <c r="Q1365" s="846"/>
      <c r="R1365" s="846"/>
      <c r="S1365" s="846"/>
      <c r="T1365" s="846"/>
    </row>
    <row r="1366" spans="2:20" ht="25.5" hidden="1">
      <c r="B1366" s="828" t="s">
        <v>6580</v>
      </c>
      <c r="C1366" s="828">
        <v>94213</v>
      </c>
      <c r="D1366" s="630" t="s">
        <v>3183</v>
      </c>
      <c r="E1366" s="630" t="s">
        <v>649</v>
      </c>
      <c r="F1366" s="829">
        <v>90.09</v>
      </c>
      <c r="G1366" s="830">
        <v>3.86</v>
      </c>
      <c r="H1366" s="831">
        <v>93.95</v>
      </c>
      <c r="I1366" s="846"/>
      <c r="J1366" s="846"/>
      <c r="K1366" s="846"/>
      <c r="L1366" s="846"/>
      <c r="M1366" s="846"/>
      <c r="N1366" s="846"/>
      <c r="O1366" s="846"/>
      <c r="P1366" s="846"/>
      <c r="Q1366" s="846"/>
      <c r="R1366" s="846"/>
      <c r="S1366" s="846"/>
      <c r="T1366" s="846"/>
    </row>
    <row r="1367" spans="2:20" ht="25.5" hidden="1">
      <c r="B1367" s="828" t="s">
        <v>6580</v>
      </c>
      <c r="C1367" s="828">
        <v>94216</v>
      </c>
      <c r="D1367" s="630" t="s">
        <v>3184</v>
      </c>
      <c r="E1367" s="630" t="s">
        <v>649</v>
      </c>
      <c r="F1367" s="829">
        <v>278.43</v>
      </c>
      <c r="G1367" s="830">
        <v>2.42</v>
      </c>
      <c r="H1367" s="831">
        <v>280.85000000000002</v>
      </c>
      <c r="I1367" s="846"/>
      <c r="J1367" s="846"/>
      <c r="K1367" s="846"/>
      <c r="L1367" s="846"/>
      <c r="M1367" s="846"/>
      <c r="N1367" s="846"/>
      <c r="O1367" s="846"/>
      <c r="P1367" s="846"/>
      <c r="Q1367" s="846"/>
      <c r="R1367" s="846"/>
      <c r="S1367" s="846"/>
      <c r="T1367" s="846"/>
    </row>
    <row r="1368" spans="2:20" ht="38.25" hidden="1">
      <c r="B1368" s="828" t="s">
        <v>6581</v>
      </c>
      <c r="C1368" s="828">
        <v>94219</v>
      </c>
      <c r="D1368" s="630" t="s">
        <v>3185</v>
      </c>
      <c r="E1368" s="630" t="s">
        <v>648</v>
      </c>
      <c r="F1368" s="829">
        <v>19.060000000000002</v>
      </c>
      <c r="G1368" s="830">
        <v>14.67</v>
      </c>
      <c r="H1368" s="831">
        <v>33.729999999999997</v>
      </c>
      <c r="I1368" s="846"/>
      <c r="J1368" s="846"/>
      <c r="K1368" s="846"/>
      <c r="L1368" s="846"/>
      <c r="M1368" s="846"/>
      <c r="N1368" s="846"/>
      <c r="O1368" s="846"/>
      <c r="P1368" s="846"/>
      <c r="Q1368" s="846"/>
      <c r="R1368" s="846"/>
      <c r="S1368" s="846"/>
      <c r="T1368" s="846"/>
    </row>
    <row r="1369" spans="2:20" ht="38.25" hidden="1">
      <c r="B1369" s="828" t="s">
        <v>6581</v>
      </c>
      <c r="C1369" s="828">
        <v>94220</v>
      </c>
      <c r="D1369" s="630" t="s">
        <v>3186</v>
      </c>
      <c r="E1369" s="630" t="s">
        <v>648</v>
      </c>
      <c r="F1369" s="829">
        <v>34.65</v>
      </c>
      <c r="G1369" s="830">
        <v>14.65</v>
      </c>
      <c r="H1369" s="831">
        <v>49.3</v>
      </c>
      <c r="I1369" s="846"/>
      <c r="J1369" s="846"/>
      <c r="K1369" s="846"/>
      <c r="L1369" s="846"/>
      <c r="M1369" s="846"/>
      <c r="N1369" s="846"/>
      <c r="O1369" s="846"/>
      <c r="P1369" s="846"/>
      <c r="Q1369" s="846"/>
      <c r="R1369" s="846"/>
      <c r="S1369" s="846"/>
      <c r="T1369" s="846"/>
    </row>
    <row r="1370" spans="2:20" ht="38.25" hidden="1">
      <c r="B1370" s="828" t="s">
        <v>6581</v>
      </c>
      <c r="C1370" s="828">
        <v>94221</v>
      </c>
      <c r="D1370" s="630" t="s">
        <v>3187</v>
      </c>
      <c r="E1370" s="630" t="s">
        <v>648</v>
      </c>
      <c r="F1370" s="829">
        <v>17.240000000000002</v>
      </c>
      <c r="G1370" s="830">
        <v>8.8699999999999992</v>
      </c>
      <c r="H1370" s="831">
        <v>26.11</v>
      </c>
      <c r="I1370" s="846"/>
      <c r="J1370" s="846"/>
      <c r="K1370" s="846"/>
      <c r="L1370" s="846"/>
      <c r="M1370" s="846"/>
      <c r="N1370" s="846"/>
      <c r="O1370" s="846"/>
      <c r="P1370" s="846"/>
      <c r="Q1370" s="846"/>
      <c r="R1370" s="846"/>
      <c r="S1370" s="846"/>
      <c r="T1370" s="846"/>
    </row>
    <row r="1371" spans="2:20" ht="38.25" hidden="1">
      <c r="B1371" s="828" t="s">
        <v>6581</v>
      </c>
      <c r="C1371" s="828">
        <v>94222</v>
      </c>
      <c r="D1371" s="630" t="s">
        <v>3188</v>
      </c>
      <c r="E1371" s="630" t="s">
        <v>648</v>
      </c>
      <c r="F1371" s="829">
        <v>32.83</v>
      </c>
      <c r="G1371" s="830">
        <v>8.85</v>
      </c>
      <c r="H1371" s="831">
        <v>41.68</v>
      </c>
      <c r="I1371" s="846"/>
      <c r="J1371" s="846"/>
      <c r="K1371" s="846"/>
      <c r="L1371" s="846"/>
      <c r="M1371" s="846"/>
      <c r="N1371" s="846"/>
      <c r="O1371" s="846"/>
      <c r="P1371" s="846"/>
      <c r="Q1371" s="846"/>
      <c r="R1371" s="846"/>
      <c r="S1371" s="846"/>
      <c r="T1371" s="846"/>
    </row>
    <row r="1372" spans="2:20" ht="25.5" hidden="1">
      <c r="B1372" s="828" t="s">
        <v>6582</v>
      </c>
      <c r="C1372" s="828">
        <v>94223</v>
      </c>
      <c r="D1372" s="630" t="s">
        <v>3189</v>
      </c>
      <c r="E1372" s="630" t="s">
        <v>648</v>
      </c>
      <c r="F1372" s="829">
        <v>76.61</v>
      </c>
      <c r="G1372" s="830">
        <v>2.76</v>
      </c>
      <c r="H1372" s="831">
        <v>79.37</v>
      </c>
      <c r="I1372" s="846"/>
      <c r="J1372" s="846"/>
      <c r="K1372" s="846"/>
      <c r="L1372" s="846"/>
      <c r="M1372" s="846"/>
      <c r="N1372" s="846"/>
      <c r="O1372" s="846"/>
      <c r="P1372" s="846"/>
      <c r="Q1372" s="846"/>
      <c r="R1372" s="846"/>
      <c r="S1372" s="846"/>
      <c r="T1372" s="846"/>
    </row>
    <row r="1373" spans="2:20" ht="25.5" hidden="1">
      <c r="B1373" s="828" t="s">
        <v>6582</v>
      </c>
      <c r="C1373" s="828">
        <v>94451</v>
      </c>
      <c r="D1373" s="630" t="s">
        <v>3190</v>
      </c>
      <c r="E1373" s="630" t="s">
        <v>648</v>
      </c>
      <c r="F1373" s="829">
        <v>86.19</v>
      </c>
      <c r="G1373" s="830">
        <v>2.82</v>
      </c>
      <c r="H1373" s="831">
        <v>89.01</v>
      </c>
      <c r="I1373" s="846"/>
      <c r="J1373" s="846"/>
      <c r="K1373" s="846"/>
      <c r="L1373" s="846"/>
      <c r="M1373" s="846"/>
      <c r="N1373" s="846"/>
      <c r="O1373" s="846"/>
      <c r="P1373" s="846"/>
      <c r="Q1373" s="846"/>
      <c r="R1373" s="846"/>
      <c r="S1373" s="846"/>
      <c r="T1373" s="846"/>
    </row>
    <row r="1374" spans="2:20" ht="25.5" hidden="1">
      <c r="B1374" s="828" t="s">
        <v>6582</v>
      </c>
      <c r="C1374" s="828">
        <v>100325</v>
      </c>
      <c r="D1374" s="630" t="s">
        <v>3191</v>
      </c>
      <c r="E1374" s="630" t="s">
        <v>648</v>
      </c>
      <c r="F1374" s="829">
        <v>84.27</v>
      </c>
      <c r="G1374" s="830">
        <v>1.98</v>
      </c>
      <c r="H1374" s="831">
        <v>86.25</v>
      </c>
      <c r="I1374" s="846"/>
      <c r="J1374" s="846"/>
      <c r="K1374" s="846"/>
      <c r="L1374" s="846"/>
      <c r="M1374" s="846"/>
      <c r="N1374" s="846"/>
      <c r="O1374" s="846"/>
      <c r="P1374" s="846"/>
      <c r="Q1374" s="846"/>
      <c r="R1374" s="846"/>
      <c r="S1374" s="846"/>
      <c r="T1374" s="846"/>
    </row>
    <row r="1375" spans="2:20" ht="25.5" hidden="1">
      <c r="B1375" s="828" t="s">
        <v>6582</v>
      </c>
      <c r="C1375" s="828">
        <v>100327</v>
      </c>
      <c r="D1375" s="630" t="s">
        <v>3192</v>
      </c>
      <c r="E1375" s="630" t="s">
        <v>648</v>
      </c>
      <c r="F1375" s="829">
        <v>61.98</v>
      </c>
      <c r="G1375" s="830">
        <v>8.25</v>
      </c>
      <c r="H1375" s="831">
        <v>70.23</v>
      </c>
      <c r="I1375" s="846"/>
      <c r="J1375" s="846"/>
      <c r="K1375" s="846"/>
      <c r="L1375" s="846"/>
      <c r="M1375" s="846"/>
      <c r="N1375" s="846"/>
      <c r="O1375" s="846"/>
      <c r="P1375" s="846"/>
      <c r="Q1375" s="846"/>
      <c r="R1375" s="846"/>
      <c r="S1375" s="846"/>
      <c r="T1375" s="846"/>
    </row>
    <row r="1376" spans="2:20" ht="25.5" hidden="1">
      <c r="B1376" s="828" t="s">
        <v>6582</v>
      </c>
      <c r="C1376" s="828">
        <v>100328</v>
      </c>
      <c r="D1376" s="630" t="s">
        <v>3193</v>
      </c>
      <c r="E1376" s="630" t="s">
        <v>649</v>
      </c>
      <c r="F1376" s="829">
        <v>7.82</v>
      </c>
      <c r="G1376" s="830">
        <v>7.21</v>
      </c>
      <c r="H1376" s="831">
        <v>15.03</v>
      </c>
      <c r="I1376" s="846"/>
      <c r="J1376" s="846"/>
      <c r="K1376" s="846"/>
      <c r="L1376" s="846"/>
      <c r="M1376" s="846"/>
      <c r="N1376" s="846"/>
      <c r="O1376" s="846"/>
      <c r="P1376" s="846"/>
      <c r="Q1376" s="846"/>
      <c r="R1376" s="846"/>
      <c r="S1376" s="846"/>
      <c r="T1376" s="846"/>
    </row>
    <row r="1377" spans="2:20" ht="25.5" hidden="1">
      <c r="B1377" s="828" t="s">
        <v>6582</v>
      </c>
      <c r="C1377" s="828">
        <v>100329</v>
      </c>
      <c r="D1377" s="630" t="s">
        <v>3194</v>
      </c>
      <c r="E1377" s="630" t="s">
        <v>649</v>
      </c>
      <c r="F1377" s="829">
        <v>8.75</v>
      </c>
      <c r="G1377" s="830">
        <v>10.15</v>
      </c>
      <c r="H1377" s="831">
        <v>18.899999999999999</v>
      </c>
      <c r="I1377" s="846"/>
      <c r="J1377" s="846"/>
      <c r="K1377" s="846"/>
      <c r="L1377" s="846"/>
      <c r="M1377" s="846"/>
      <c r="N1377" s="846"/>
      <c r="O1377" s="846"/>
      <c r="P1377" s="846"/>
      <c r="Q1377" s="846"/>
      <c r="R1377" s="846"/>
      <c r="S1377" s="846"/>
      <c r="T1377" s="846"/>
    </row>
    <row r="1378" spans="2:20" ht="25.5" hidden="1">
      <c r="B1378" s="828" t="s">
        <v>6582</v>
      </c>
      <c r="C1378" s="828">
        <v>100330</v>
      </c>
      <c r="D1378" s="630" t="s">
        <v>3195</v>
      </c>
      <c r="E1378" s="630" t="s">
        <v>649</v>
      </c>
      <c r="F1378" s="829">
        <v>10.67</v>
      </c>
      <c r="G1378" s="830">
        <v>9.69</v>
      </c>
      <c r="H1378" s="831">
        <v>20.36</v>
      </c>
      <c r="I1378" s="846"/>
      <c r="J1378" s="846"/>
      <c r="K1378" s="846"/>
      <c r="L1378" s="846"/>
      <c r="M1378" s="846"/>
      <c r="N1378" s="846"/>
      <c r="O1378" s="846"/>
      <c r="P1378" s="846"/>
      <c r="Q1378" s="846"/>
      <c r="R1378" s="846"/>
      <c r="S1378" s="846"/>
      <c r="T1378" s="846"/>
    </row>
    <row r="1379" spans="2:20" ht="25.5" hidden="1">
      <c r="B1379" s="828" t="s">
        <v>6582</v>
      </c>
      <c r="C1379" s="828">
        <v>100331</v>
      </c>
      <c r="D1379" s="630" t="s">
        <v>3196</v>
      </c>
      <c r="E1379" s="630" t="s">
        <v>649</v>
      </c>
      <c r="F1379" s="829">
        <v>12.24</v>
      </c>
      <c r="G1379" s="830">
        <v>14.72</v>
      </c>
      <c r="H1379" s="831">
        <v>26.96</v>
      </c>
      <c r="I1379" s="846"/>
      <c r="J1379" s="846"/>
      <c r="K1379" s="846"/>
      <c r="L1379" s="846"/>
      <c r="M1379" s="846"/>
      <c r="N1379" s="846"/>
      <c r="O1379" s="846"/>
      <c r="P1379" s="846"/>
      <c r="Q1379" s="846"/>
      <c r="R1379" s="846"/>
      <c r="S1379" s="846"/>
      <c r="T1379" s="846"/>
    </row>
    <row r="1380" spans="2:20" ht="38.25" hidden="1">
      <c r="B1380" s="828" t="s">
        <v>6634</v>
      </c>
      <c r="C1380" s="828">
        <v>100434</v>
      </c>
      <c r="D1380" s="630" t="s">
        <v>3197</v>
      </c>
      <c r="E1380" s="630" t="s">
        <v>648</v>
      </c>
      <c r="F1380" s="829">
        <v>63.22</v>
      </c>
      <c r="G1380" s="830">
        <v>8.7100000000000009</v>
      </c>
      <c r="H1380" s="831">
        <v>71.930000000000007</v>
      </c>
      <c r="I1380" s="846"/>
      <c r="J1380" s="846"/>
      <c r="K1380" s="846"/>
      <c r="L1380" s="846"/>
      <c r="M1380" s="846"/>
      <c r="N1380" s="846"/>
      <c r="O1380" s="846"/>
      <c r="P1380" s="846"/>
      <c r="Q1380" s="846"/>
      <c r="R1380" s="846"/>
      <c r="S1380" s="846"/>
      <c r="T1380" s="846"/>
    </row>
    <row r="1381" spans="2:20" ht="25.5" hidden="1">
      <c r="B1381" s="828" t="s">
        <v>6634</v>
      </c>
      <c r="C1381" s="828">
        <v>100435</v>
      </c>
      <c r="D1381" s="630" t="s">
        <v>3198</v>
      </c>
      <c r="E1381" s="630" t="s">
        <v>648</v>
      </c>
      <c r="F1381" s="829">
        <v>58.62</v>
      </c>
      <c r="G1381" s="830">
        <v>5.81</v>
      </c>
      <c r="H1381" s="831">
        <v>64.430000000000007</v>
      </c>
      <c r="I1381" s="846"/>
      <c r="J1381" s="846"/>
      <c r="K1381" s="846"/>
      <c r="L1381" s="846"/>
      <c r="M1381" s="846"/>
      <c r="N1381" s="846"/>
      <c r="O1381" s="846"/>
      <c r="P1381" s="846"/>
      <c r="Q1381" s="846"/>
      <c r="R1381" s="846"/>
      <c r="S1381" s="846"/>
      <c r="T1381" s="846"/>
    </row>
    <row r="1382" spans="2:20" ht="25.5" hidden="1">
      <c r="B1382" s="828" t="s">
        <v>6583</v>
      </c>
      <c r="C1382" s="828">
        <v>94227</v>
      </c>
      <c r="D1382" s="630" t="s">
        <v>3199</v>
      </c>
      <c r="E1382" s="630" t="s">
        <v>648</v>
      </c>
      <c r="F1382" s="829">
        <v>68.540000000000006</v>
      </c>
      <c r="G1382" s="830">
        <v>10.029999999999999</v>
      </c>
      <c r="H1382" s="831">
        <v>78.569999999999993</v>
      </c>
      <c r="I1382" s="846"/>
      <c r="J1382" s="846"/>
      <c r="K1382" s="846"/>
      <c r="L1382" s="846"/>
      <c r="M1382" s="846"/>
      <c r="N1382" s="846"/>
      <c r="O1382" s="846"/>
      <c r="P1382" s="846"/>
      <c r="Q1382" s="846"/>
      <c r="R1382" s="846"/>
      <c r="S1382" s="846"/>
      <c r="T1382" s="846"/>
    </row>
    <row r="1383" spans="2:20" ht="25.5" hidden="1">
      <c r="B1383" s="828" t="s">
        <v>6583</v>
      </c>
      <c r="C1383" s="828">
        <v>94228</v>
      </c>
      <c r="D1383" s="630" t="s">
        <v>3200</v>
      </c>
      <c r="E1383" s="630" t="s">
        <v>648</v>
      </c>
      <c r="F1383" s="829">
        <v>92.94</v>
      </c>
      <c r="G1383" s="830">
        <v>13.67</v>
      </c>
      <c r="H1383" s="831">
        <v>106.61</v>
      </c>
      <c r="I1383" s="846"/>
      <c r="J1383" s="846"/>
      <c r="K1383" s="846"/>
      <c r="L1383" s="846"/>
      <c r="M1383" s="846"/>
      <c r="N1383" s="846"/>
      <c r="O1383" s="846"/>
      <c r="P1383" s="846"/>
      <c r="Q1383" s="846"/>
      <c r="R1383" s="846"/>
      <c r="S1383" s="846"/>
      <c r="T1383" s="846"/>
    </row>
    <row r="1384" spans="2:20" ht="25.5" hidden="1">
      <c r="B1384" s="828" t="s">
        <v>6583</v>
      </c>
      <c r="C1384" s="828">
        <v>94229</v>
      </c>
      <c r="D1384" s="630" t="s">
        <v>3201</v>
      </c>
      <c r="E1384" s="630" t="s">
        <v>648</v>
      </c>
      <c r="F1384" s="829">
        <v>181.98</v>
      </c>
      <c r="G1384" s="830">
        <v>24.43</v>
      </c>
      <c r="H1384" s="831">
        <v>206.41</v>
      </c>
      <c r="I1384" s="846"/>
      <c r="J1384" s="846"/>
      <c r="K1384" s="846"/>
      <c r="L1384" s="846"/>
      <c r="M1384" s="846"/>
      <c r="N1384" s="846"/>
      <c r="O1384" s="846"/>
      <c r="P1384" s="846"/>
      <c r="Q1384" s="846"/>
      <c r="R1384" s="846"/>
      <c r="S1384" s="846"/>
      <c r="T1384" s="846"/>
    </row>
    <row r="1385" spans="2:20" ht="25.5" hidden="1">
      <c r="B1385" s="828" t="s">
        <v>6584</v>
      </c>
      <c r="C1385" s="828">
        <v>94231</v>
      </c>
      <c r="D1385" s="630" t="s">
        <v>3202</v>
      </c>
      <c r="E1385" s="630" t="s">
        <v>648</v>
      </c>
      <c r="F1385" s="829">
        <v>55.24</v>
      </c>
      <c r="G1385" s="830">
        <v>6.92</v>
      </c>
      <c r="H1385" s="831">
        <v>62.16</v>
      </c>
      <c r="I1385" s="846"/>
      <c r="J1385" s="846"/>
      <c r="K1385" s="846"/>
      <c r="L1385" s="846"/>
      <c r="M1385" s="846"/>
      <c r="N1385" s="846"/>
      <c r="O1385" s="846"/>
      <c r="P1385" s="846"/>
      <c r="Q1385" s="846"/>
      <c r="R1385" s="846"/>
      <c r="S1385" s="846"/>
      <c r="T1385" s="846"/>
    </row>
    <row r="1386" spans="2:20" ht="38.25" hidden="1">
      <c r="B1386" s="828" t="s">
        <v>6588</v>
      </c>
      <c r="C1386" s="828">
        <v>94449</v>
      </c>
      <c r="D1386" s="630" t="s">
        <v>3203</v>
      </c>
      <c r="E1386" s="630" t="s">
        <v>649</v>
      </c>
      <c r="F1386" s="829">
        <v>72.900000000000006</v>
      </c>
      <c r="G1386" s="830">
        <v>5.56</v>
      </c>
      <c r="H1386" s="831">
        <v>78.459999999999994</v>
      </c>
      <c r="I1386" s="846"/>
      <c r="J1386" s="846"/>
      <c r="K1386" s="846"/>
      <c r="L1386" s="846"/>
      <c r="M1386" s="846"/>
      <c r="N1386" s="846"/>
      <c r="O1386" s="846"/>
      <c r="P1386" s="846"/>
      <c r="Q1386" s="846"/>
      <c r="R1386" s="846"/>
      <c r="S1386" s="846"/>
      <c r="T1386" s="846"/>
    </row>
    <row r="1387" spans="2:20" ht="38.25" hidden="1">
      <c r="B1387" s="828" t="s">
        <v>6565</v>
      </c>
      <c r="C1387" s="828">
        <v>92255</v>
      </c>
      <c r="D1387" s="630" t="s">
        <v>3204</v>
      </c>
      <c r="E1387" s="630" t="s">
        <v>646</v>
      </c>
      <c r="F1387" s="829">
        <v>102.5</v>
      </c>
      <c r="G1387" s="830">
        <v>97.5</v>
      </c>
      <c r="H1387" s="831">
        <v>200</v>
      </c>
      <c r="I1387" s="846"/>
      <c r="J1387" s="846"/>
      <c r="K1387" s="846"/>
      <c r="L1387" s="846"/>
      <c r="M1387" s="846"/>
      <c r="N1387" s="846"/>
      <c r="O1387" s="846"/>
      <c r="P1387" s="846"/>
      <c r="Q1387" s="846"/>
      <c r="R1387" s="846"/>
      <c r="S1387" s="846"/>
      <c r="T1387" s="846"/>
    </row>
    <row r="1388" spans="2:20" ht="38.25" hidden="1">
      <c r="B1388" s="828" t="s">
        <v>6565</v>
      </c>
      <c r="C1388" s="828">
        <v>92256</v>
      </c>
      <c r="D1388" s="630" t="s">
        <v>3205</v>
      </c>
      <c r="E1388" s="630" t="s">
        <v>646</v>
      </c>
      <c r="F1388" s="829">
        <v>113.04</v>
      </c>
      <c r="G1388" s="830">
        <v>137.26</v>
      </c>
      <c r="H1388" s="831">
        <v>250.3</v>
      </c>
      <c r="I1388" s="846"/>
      <c r="J1388" s="846"/>
      <c r="K1388" s="846"/>
      <c r="L1388" s="846"/>
      <c r="M1388" s="846"/>
      <c r="N1388" s="846"/>
      <c r="O1388" s="846"/>
      <c r="P1388" s="846"/>
      <c r="Q1388" s="846"/>
      <c r="R1388" s="846"/>
      <c r="S1388" s="846"/>
      <c r="T1388" s="846"/>
    </row>
    <row r="1389" spans="2:20" ht="38.25" hidden="1">
      <c r="B1389" s="828" t="s">
        <v>6565</v>
      </c>
      <c r="C1389" s="828">
        <v>92257</v>
      </c>
      <c r="D1389" s="630" t="s">
        <v>3206</v>
      </c>
      <c r="E1389" s="630" t="s">
        <v>646</v>
      </c>
      <c r="F1389" s="829">
        <v>123.52000000000001</v>
      </c>
      <c r="G1389" s="830">
        <v>176.5</v>
      </c>
      <c r="H1389" s="831">
        <v>300.02</v>
      </c>
      <c r="I1389" s="846"/>
      <c r="J1389" s="846"/>
      <c r="K1389" s="846"/>
      <c r="L1389" s="846"/>
      <c r="M1389" s="846"/>
      <c r="N1389" s="846"/>
      <c r="O1389" s="846"/>
      <c r="P1389" s="846"/>
      <c r="Q1389" s="846"/>
      <c r="R1389" s="846"/>
      <c r="S1389" s="846"/>
      <c r="T1389" s="846"/>
    </row>
    <row r="1390" spans="2:20" ht="38.25" hidden="1">
      <c r="B1390" s="828" t="s">
        <v>6565</v>
      </c>
      <c r="C1390" s="828">
        <v>92258</v>
      </c>
      <c r="D1390" s="630" t="s">
        <v>3207</v>
      </c>
      <c r="E1390" s="630" t="s">
        <v>646</v>
      </c>
      <c r="F1390" s="829">
        <v>140.38</v>
      </c>
      <c r="G1390" s="830">
        <v>239.62</v>
      </c>
      <c r="H1390" s="831">
        <v>380</v>
      </c>
      <c r="I1390" s="846"/>
      <c r="J1390" s="846"/>
      <c r="K1390" s="846"/>
      <c r="L1390" s="846"/>
      <c r="M1390" s="846"/>
      <c r="N1390" s="846"/>
      <c r="O1390" s="846"/>
      <c r="P1390" s="846"/>
      <c r="Q1390" s="846"/>
      <c r="R1390" s="846"/>
      <c r="S1390" s="846"/>
      <c r="T1390" s="846"/>
    </row>
    <row r="1391" spans="2:20" ht="38.25" hidden="1">
      <c r="B1391" s="828" t="s">
        <v>6565</v>
      </c>
      <c r="C1391" s="828">
        <v>92568</v>
      </c>
      <c r="D1391" s="630" t="s">
        <v>3208</v>
      </c>
      <c r="E1391" s="630" t="s">
        <v>649</v>
      </c>
      <c r="F1391" s="829">
        <v>155.27000000000001</v>
      </c>
      <c r="G1391" s="830">
        <v>11.75</v>
      </c>
      <c r="H1391" s="832">
        <v>167.02</v>
      </c>
      <c r="I1391" s="846"/>
      <c r="J1391" s="846"/>
      <c r="K1391" s="846"/>
      <c r="L1391" s="846"/>
      <c r="M1391" s="846"/>
      <c r="N1391" s="846"/>
      <c r="O1391" s="846"/>
      <c r="P1391" s="846"/>
      <c r="Q1391" s="846"/>
      <c r="R1391" s="846"/>
      <c r="S1391" s="846"/>
      <c r="T1391" s="846"/>
    </row>
    <row r="1392" spans="2:20" ht="38.25" hidden="1">
      <c r="B1392" s="828" t="s">
        <v>6565</v>
      </c>
      <c r="C1392" s="828">
        <v>92569</v>
      </c>
      <c r="D1392" s="630" t="s">
        <v>3209</v>
      </c>
      <c r="E1392" s="630" t="s">
        <v>649</v>
      </c>
      <c r="F1392" s="829">
        <v>88.27</v>
      </c>
      <c r="G1392" s="830">
        <v>5.09</v>
      </c>
      <c r="H1392" s="832">
        <v>93.36</v>
      </c>
      <c r="I1392" s="846"/>
      <c r="J1392" s="846"/>
      <c r="K1392" s="846"/>
      <c r="L1392" s="846"/>
      <c r="M1392" s="846"/>
      <c r="N1392" s="846"/>
      <c r="O1392" s="846"/>
      <c r="P1392" s="846"/>
      <c r="Q1392" s="846"/>
      <c r="R1392" s="846"/>
      <c r="S1392" s="846"/>
      <c r="T1392" s="846"/>
    </row>
    <row r="1393" spans="2:20" ht="38.25" hidden="1">
      <c r="B1393" s="828" t="s">
        <v>6565</v>
      </c>
      <c r="C1393" s="828">
        <v>92570</v>
      </c>
      <c r="D1393" s="630" t="s">
        <v>3210</v>
      </c>
      <c r="E1393" s="630" t="s">
        <v>649</v>
      </c>
      <c r="F1393" s="829">
        <v>56.93</v>
      </c>
      <c r="G1393" s="830">
        <v>2.4</v>
      </c>
      <c r="H1393" s="832">
        <v>59.33</v>
      </c>
      <c r="I1393" s="846"/>
      <c r="J1393" s="846"/>
      <c r="K1393" s="846"/>
      <c r="L1393" s="846"/>
      <c r="M1393" s="846"/>
      <c r="N1393" s="846"/>
      <c r="O1393" s="846"/>
      <c r="P1393" s="846"/>
      <c r="Q1393" s="846"/>
      <c r="R1393" s="846"/>
      <c r="S1393" s="846"/>
      <c r="T1393" s="846"/>
    </row>
    <row r="1394" spans="2:20" ht="38.25" hidden="1">
      <c r="B1394" s="828" t="s">
        <v>6565</v>
      </c>
      <c r="C1394" s="828">
        <v>92571</v>
      </c>
      <c r="D1394" s="630" t="s">
        <v>3211</v>
      </c>
      <c r="E1394" s="630" t="s">
        <v>649</v>
      </c>
      <c r="F1394" s="829">
        <v>158.41</v>
      </c>
      <c r="G1394" s="830">
        <v>18.53</v>
      </c>
      <c r="H1394" s="832">
        <v>176.94</v>
      </c>
      <c r="I1394" s="846"/>
      <c r="J1394" s="846"/>
      <c r="K1394" s="846"/>
      <c r="L1394" s="846"/>
      <c r="M1394" s="846"/>
      <c r="N1394" s="846"/>
      <c r="O1394" s="846"/>
      <c r="P1394" s="846"/>
      <c r="Q1394" s="846"/>
      <c r="R1394" s="846"/>
      <c r="S1394" s="846"/>
      <c r="T1394" s="846"/>
    </row>
    <row r="1395" spans="2:20" ht="38.25" hidden="1">
      <c r="B1395" s="828" t="s">
        <v>6565</v>
      </c>
      <c r="C1395" s="828">
        <v>92572</v>
      </c>
      <c r="D1395" s="630" t="s">
        <v>3212</v>
      </c>
      <c r="E1395" s="630" t="s">
        <v>649</v>
      </c>
      <c r="F1395" s="829">
        <v>97.15</v>
      </c>
      <c r="G1395" s="830">
        <v>9.43</v>
      </c>
      <c r="H1395" s="832">
        <v>106.58</v>
      </c>
      <c r="I1395" s="846"/>
      <c r="J1395" s="846"/>
      <c r="K1395" s="846"/>
      <c r="L1395" s="846"/>
      <c r="M1395" s="846"/>
      <c r="N1395" s="846"/>
      <c r="O1395" s="846"/>
      <c r="P1395" s="846"/>
      <c r="Q1395" s="846"/>
      <c r="R1395" s="846"/>
      <c r="S1395" s="846"/>
      <c r="T1395" s="846"/>
    </row>
    <row r="1396" spans="2:20" ht="38.25" hidden="1">
      <c r="B1396" s="828" t="s">
        <v>6565</v>
      </c>
      <c r="C1396" s="828">
        <v>92573</v>
      </c>
      <c r="D1396" s="630" t="s">
        <v>3213</v>
      </c>
      <c r="E1396" s="630" t="s">
        <v>649</v>
      </c>
      <c r="F1396" s="829">
        <v>58.07</v>
      </c>
      <c r="G1396" s="830">
        <v>5.45</v>
      </c>
      <c r="H1396" s="831">
        <v>63.52</v>
      </c>
      <c r="I1396" s="846"/>
      <c r="J1396" s="846"/>
      <c r="K1396" s="846"/>
      <c r="L1396" s="846"/>
      <c r="M1396" s="846"/>
      <c r="N1396" s="846"/>
      <c r="O1396" s="846"/>
      <c r="P1396" s="846"/>
      <c r="Q1396" s="846"/>
      <c r="R1396" s="846"/>
      <c r="S1396" s="846"/>
      <c r="T1396" s="846"/>
    </row>
    <row r="1397" spans="2:20" ht="38.25" hidden="1">
      <c r="B1397" s="828" t="s">
        <v>6565</v>
      </c>
      <c r="C1397" s="828">
        <v>92574</v>
      </c>
      <c r="D1397" s="630" t="s">
        <v>3214</v>
      </c>
      <c r="E1397" s="630" t="s">
        <v>649</v>
      </c>
      <c r="F1397" s="829">
        <v>156.91999999999999</v>
      </c>
      <c r="G1397" s="830">
        <v>12.75</v>
      </c>
      <c r="H1397" s="832">
        <v>169.67</v>
      </c>
      <c r="I1397" s="846"/>
      <c r="J1397" s="846"/>
      <c r="K1397" s="846"/>
      <c r="L1397" s="846"/>
      <c r="M1397" s="846"/>
      <c r="N1397" s="846"/>
      <c r="O1397" s="846"/>
      <c r="P1397" s="846"/>
      <c r="Q1397" s="846"/>
      <c r="R1397" s="846"/>
      <c r="S1397" s="846"/>
      <c r="T1397" s="846"/>
    </row>
    <row r="1398" spans="2:20" ht="38.25" hidden="1">
      <c r="B1398" s="828" t="s">
        <v>6565</v>
      </c>
      <c r="C1398" s="828">
        <v>92575</v>
      </c>
      <c r="D1398" s="630" t="s">
        <v>3215</v>
      </c>
      <c r="E1398" s="630" t="s">
        <v>649</v>
      </c>
      <c r="F1398" s="829">
        <v>80.239999999999995</v>
      </c>
      <c r="G1398" s="830">
        <v>5.0199999999999996</v>
      </c>
      <c r="H1398" s="832">
        <v>85.26</v>
      </c>
      <c r="I1398" s="846"/>
      <c r="J1398" s="846"/>
      <c r="K1398" s="846"/>
      <c r="L1398" s="846"/>
      <c r="M1398" s="846"/>
      <c r="N1398" s="846"/>
      <c r="O1398" s="846"/>
      <c r="P1398" s="846"/>
      <c r="Q1398" s="846"/>
      <c r="R1398" s="846"/>
      <c r="S1398" s="846"/>
      <c r="T1398" s="846"/>
    </row>
    <row r="1399" spans="2:20" ht="38.25" hidden="1">
      <c r="B1399" s="828" t="s">
        <v>6565</v>
      </c>
      <c r="C1399" s="828">
        <v>92576</v>
      </c>
      <c r="D1399" s="630" t="s">
        <v>3216</v>
      </c>
      <c r="E1399" s="630" t="s">
        <v>649</v>
      </c>
      <c r="F1399" s="829">
        <v>44.8</v>
      </c>
      <c r="G1399" s="830">
        <v>1.9</v>
      </c>
      <c r="H1399" s="832">
        <v>46.7</v>
      </c>
      <c r="I1399" s="846"/>
      <c r="J1399" s="846"/>
      <c r="K1399" s="846"/>
      <c r="L1399" s="846"/>
      <c r="M1399" s="846"/>
      <c r="N1399" s="846"/>
      <c r="O1399" s="846"/>
      <c r="P1399" s="846"/>
      <c r="Q1399" s="846"/>
      <c r="R1399" s="846"/>
      <c r="S1399" s="846"/>
      <c r="T1399" s="846"/>
    </row>
    <row r="1400" spans="2:20" ht="38.25" hidden="1">
      <c r="B1400" s="828" t="s">
        <v>6565</v>
      </c>
      <c r="C1400" s="828">
        <v>92577</v>
      </c>
      <c r="D1400" s="630" t="s">
        <v>3217</v>
      </c>
      <c r="E1400" s="630" t="s">
        <v>649</v>
      </c>
      <c r="F1400" s="829">
        <v>160.75</v>
      </c>
      <c r="G1400" s="830">
        <v>19.46</v>
      </c>
      <c r="H1400" s="832">
        <v>180.21</v>
      </c>
      <c r="I1400" s="846"/>
      <c r="J1400" s="846"/>
      <c r="K1400" s="846"/>
      <c r="L1400" s="846"/>
      <c r="M1400" s="846"/>
      <c r="N1400" s="846"/>
      <c r="O1400" s="846"/>
      <c r="P1400" s="846"/>
      <c r="Q1400" s="846"/>
      <c r="R1400" s="846"/>
      <c r="S1400" s="846"/>
      <c r="T1400" s="846"/>
    </row>
    <row r="1401" spans="2:20" ht="38.25" hidden="1">
      <c r="B1401" s="828" t="s">
        <v>6565</v>
      </c>
      <c r="C1401" s="828">
        <v>92578</v>
      </c>
      <c r="D1401" s="630" t="s">
        <v>3218</v>
      </c>
      <c r="E1401" s="630" t="s">
        <v>649</v>
      </c>
      <c r="F1401" s="829">
        <v>82.24</v>
      </c>
      <c r="G1401" s="830">
        <v>8.8800000000000008</v>
      </c>
      <c r="H1401" s="831">
        <v>91.12</v>
      </c>
      <c r="I1401" s="846"/>
      <c r="J1401" s="846"/>
      <c r="K1401" s="846"/>
      <c r="L1401" s="846"/>
      <c r="M1401" s="846"/>
      <c r="N1401" s="846"/>
      <c r="O1401" s="846"/>
      <c r="P1401" s="846"/>
      <c r="Q1401" s="846"/>
      <c r="R1401" s="846"/>
      <c r="S1401" s="846"/>
      <c r="T1401" s="846"/>
    </row>
    <row r="1402" spans="2:20" ht="38.25" hidden="1">
      <c r="B1402" s="828" t="s">
        <v>6565</v>
      </c>
      <c r="C1402" s="828">
        <v>92579</v>
      </c>
      <c r="D1402" s="630" t="s">
        <v>3219</v>
      </c>
      <c r="E1402" s="630" t="s">
        <v>649</v>
      </c>
      <c r="F1402" s="829">
        <v>45.71</v>
      </c>
      <c r="G1402" s="830">
        <v>4.34</v>
      </c>
      <c r="H1402" s="832">
        <v>50.05</v>
      </c>
      <c r="I1402" s="846"/>
      <c r="J1402" s="846"/>
      <c r="K1402" s="846"/>
      <c r="L1402" s="846"/>
      <c r="M1402" s="846"/>
      <c r="N1402" s="846"/>
      <c r="O1402" s="846"/>
      <c r="P1402" s="846"/>
      <c r="Q1402" s="846"/>
      <c r="R1402" s="846"/>
      <c r="S1402" s="846"/>
      <c r="T1402" s="846"/>
    </row>
    <row r="1403" spans="2:20" ht="38.25" hidden="1">
      <c r="B1403" s="828" t="s">
        <v>6565</v>
      </c>
      <c r="C1403" s="828">
        <v>92580</v>
      </c>
      <c r="D1403" s="630" t="s">
        <v>3220</v>
      </c>
      <c r="E1403" s="630" t="s">
        <v>649</v>
      </c>
      <c r="F1403" s="829">
        <v>55.65</v>
      </c>
      <c r="G1403" s="830">
        <v>6.98</v>
      </c>
      <c r="H1403" s="832">
        <v>62.63</v>
      </c>
      <c r="I1403" s="846"/>
      <c r="J1403" s="846"/>
      <c r="K1403" s="846"/>
      <c r="L1403" s="846"/>
      <c r="M1403" s="846"/>
      <c r="N1403" s="846"/>
      <c r="O1403" s="846"/>
      <c r="P1403" s="846"/>
      <c r="Q1403" s="846"/>
      <c r="R1403" s="846"/>
      <c r="S1403" s="846"/>
      <c r="T1403" s="846"/>
    </row>
    <row r="1404" spans="2:20" ht="38.25" hidden="1">
      <c r="B1404" s="828" t="s">
        <v>6565</v>
      </c>
      <c r="C1404" s="828">
        <v>92581</v>
      </c>
      <c r="D1404" s="630" t="s">
        <v>3221</v>
      </c>
      <c r="E1404" s="630" t="s">
        <v>649</v>
      </c>
      <c r="F1404" s="829">
        <v>59.1</v>
      </c>
      <c r="G1404" s="830">
        <v>6.38</v>
      </c>
      <c r="H1404" s="832">
        <v>65.48</v>
      </c>
      <c r="I1404" s="846"/>
      <c r="J1404" s="846"/>
      <c r="K1404" s="846"/>
      <c r="L1404" s="846"/>
      <c r="M1404" s="846"/>
      <c r="N1404" s="846"/>
      <c r="O1404" s="846"/>
      <c r="P1404" s="846"/>
      <c r="Q1404" s="846"/>
      <c r="R1404" s="846"/>
      <c r="S1404" s="846"/>
      <c r="T1404" s="846"/>
    </row>
    <row r="1405" spans="2:20" ht="25.5" hidden="1">
      <c r="B1405" s="828" t="s">
        <v>6565</v>
      </c>
      <c r="C1405" s="828">
        <v>92582</v>
      </c>
      <c r="D1405" s="630" t="s">
        <v>984</v>
      </c>
      <c r="E1405" s="630" t="s">
        <v>646</v>
      </c>
      <c r="F1405" s="829">
        <v>754.87</v>
      </c>
      <c r="G1405" s="830">
        <v>135.1</v>
      </c>
      <c r="H1405" s="832">
        <v>889.97</v>
      </c>
      <c r="I1405" s="846"/>
      <c r="J1405" s="846"/>
      <c r="K1405" s="846"/>
      <c r="L1405" s="846"/>
      <c r="M1405" s="846"/>
      <c r="N1405" s="846"/>
      <c r="O1405" s="846"/>
      <c r="P1405" s="846"/>
      <c r="Q1405" s="846"/>
      <c r="R1405" s="846"/>
      <c r="S1405" s="846"/>
      <c r="T1405" s="846"/>
    </row>
    <row r="1406" spans="2:20" ht="25.5" hidden="1">
      <c r="B1406" s="828" t="s">
        <v>6565</v>
      </c>
      <c r="C1406" s="828">
        <v>92584</v>
      </c>
      <c r="D1406" s="630" t="s">
        <v>985</v>
      </c>
      <c r="E1406" s="630" t="s">
        <v>646</v>
      </c>
      <c r="F1406" s="829">
        <v>917.34</v>
      </c>
      <c r="G1406" s="830">
        <v>135.1</v>
      </c>
      <c r="H1406" s="832">
        <v>1052.44</v>
      </c>
      <c r="I1406" s="846"/>
      <c r="J1406" s="846"/>
      <c r="K1406" s="846"/>
      <c r="L1406" s="846"/>
      <c r="M1406" s="846"/>
      <c r="N1406" s="846"/>
      <c r="O1406" s="846"/>
      <c r="P1406" s="846"/>
      <c r="Q1406" s="846"/>
      <c r="R1406" s="846"/>
      <c r="S1406" s="846"/>
      <c r="T1406" s="846"/>
    </row>
    <row r="1407" spans="2:20" ht="25.5" hidden="1">
      <c r="B1407" s="828" t="s">
        <v>6565</v>
      </c>
      <c r="C1407" s="828">
        <v>92586</v>
      </c>
      <c r="D1407" s="630" t="s">
        <v>986</v>
      </c>
      <c r="E1407" s="630" t="s">
        <v>646</v>
      </c>
      <c r="F1407" s="829">
        <v>1079.83</v>
      </c>
      <c r="G1407" s="830">
        <v>135.09</v>
      </c>
      <c r="H1407" s="832">
        <v>1214.92</v>
      </c>
      <c r="I1407" s="846"/>
      <c r="J1407" s="846"/>
      <c r="K1407" s="846"/>
      <c r="L1407" s="846"/>
      <c r="M1407" s="846"/>
      <c r="N1407" s="846"/>
      <c r="O1407" s="846"/>
      <c r="P1407" s="846"/>
      <c r="Q1407" s="846"/>
      <c r="R1407" s="846"/>
      <c r="S1407" s="846"/>
      <c r="T1407" s="846"/>
    </row>
    <row r="1408" spans="2:20" ht="25.5" hidden="1">
      <c r="B1408" s="828" t="s">
        <v>6565</v>
      </c>
      <c r="C1408" s="828">
        <v>92588</v>
      </c>
      <c r="D1408" s="630" t="s">
        <v>987</v>
      </c>
      <c r="E1408" s="630" t="s">
        <v>646</v>
      </c>
      <c r="F1408" s="829">
        <v>1346.83</v>
      </c>
      <c r="G1408" s="830">
        <v>193.7</v>
      </c>
      <c r="H1408" s="832">
        <v>1540.53</v>
      </c>
      <c r="I1408" s="846"/>
      <c r="J1408" s="846"/>
      <c r="K1408" s="846"/>
      <c r="L1408" s="846"/>
      <c r="M1408" s="846"/>
      <c r="N1408" s="846"/>
      <c r="O1408" s="846"/>
      <c r="P1408" s="846"/>
      <c r="Q1408" s="846"/>
      <c r="R1408" s="846"/>
      <c r="S1408" s="846"/>
      <c r="T1408" s="846"/>
    </row>
    <row r="1409" spans="2:20" ht="25.5" hidden="1">
      <c r="B1409" s="828" t="s">
        <v>6565</v>
      </c>
      <c r="C1409" s="828">
        <v>92590</v>
      </c>
      <c r="D1409" s="630" t="s">
        <v>988</v>
      </c>
      <c r="E1409" s="630" t="s">
        <v>646</v>
      </c>
      <c r="F1409" s="829">
        <v>1509.31</v>
      </c>
      <c r="G1409" s="830">
        <v>193.69</v>
      </c>
      <c r="H1409" s="832">
        <v>1703</v>
      </c>
      <c r="I1409" s="846"/>
      <c r="J1409" s="846"/>
      <c r="K1409" s="846"/>
      <c r="L1409" s="846"/>
      <c r="M1409" s="846"/>
      <c r="N1409" s="846"/>
      <c r="O1409" s="846"/>
      <c r="P1409" s="846"/>
      <c r="Q1409" s="846"/>
      <c r="R1409" s="846"/>
      <c r="S1409" s="846"/>
      <c r="T1409" s="846"/>
    </row>
    <row r="1410" spans="2:20" ht="25.5" hidden="1">
      <c r="B1410" s="828" t="s">
        <v>6565</v>
      </c>
      <c r="C1410" s="828">
        <v>92592</v>
      </c>
      <c r="D1410" s="630" t="s">
        <v>989</v>
      </c>
      <c r="E1410" s="630" t="s">
        <v>646</v>
      </c>
      <c r="F1410" s="829">
        <v>1682.26</v>
      </c>
      <c r="G1410" s="830">
        <v>232.94</v>
      </c>
      <c r="H1410" s="832">
        <v>1915.2</v>
      </c>
      <c r="I1410" s="846"/>
      <c r="J1410" s="846"/>
      <c r="K1410" s="846"/>
      <c r="L1410" s="846"/>
      <c r="M1410" s="846"/>
      <c r="N1410" s="846"/>
      <c r="O1410" s="846"/>
      <c r="P1410" s="846"/>
      <c r="Q1410" s="846"/>
      <c r="R1410" s="846"/>
      <c r="S1410" s="846"/>
      <c r="T1410" s="846"/>
    </row>
    <row r="1411" spans="2:20" ht="38.25" hidden="1">
      <c r="B1411" s="828" t="s">
        <v>6565</v>
      </c>
      <c r="C1411" s="828">
        <v>92593</v>
      </c>
      <c r="D1411" s="630" t="s">
        <v>990</v>
      </c>
      <c r="E1411" s="630" t="s">
        <v>645</v>
      </c>
      <c r="F1411" s="829">
        <v>12.8</v>
      </c>
      <c r="G1411" s="830">
        <v>1.76</v>
      </c>
      <c r="H1411" s="832">
        <v>14.56</v>
      </c>
      <c r="I1411" s="846"/>
      <c r="J1411" s="846"/>
      <c r="K1411" s="846"/>
      <c r="L1411" s="846"/>
      <c r="M1411" s="846"/>
      <c r="N1411" s="846"/>
      <c r="O1411" s="846"/>
      <c r="P1411" s="846"/>
      <c r="Q1411" s="846"/>
      <c r="R1411" s="846"/>
      <c r="S1411" s="846"/>
      <c r="T1411" s="846"/>
    </row>
    <row r="1412" spans="2:20" ht="25.5" hidden="1">
      <c r="B1412" s="828" t="s">
        <v>6565</v>
      </c>
      <c r="C1412" s="828">
        <v>92594</v>
      </c>
      <c r="D1412" s="630" t="s">
        <v>991</v>
      </c>
      <c r="E1412" s="630" t="s">
        <v>646</v>
      </c>
      <c r="F1412" s="829">
        <v>1979.85</v>
      </c>
      <c r="G1412" s="830">
        <v>251.77</v>
      </c>
      <c r="H1412" s="832">
        <v>2231.62</v>
      </c>
      <c r="I1412" s="846"/>
      <c r="J1412" s="846"/>
      <c r="K1412" s="846"/>
      <c r="L1412" s="846"/>
      <c r="M1412" s="846"/>
      <c r="N1412" s="846"/>
      <c r="O1412" s="846"/>
      <c r="P1412" s="846"/>
      <c r="Q1412" s="846"/>
      <c r="R1412" s="846"/>
      <c r="S1412" s="846"/>
      <c r="T1412" s="846"/>
    </row>
    <row r="1413" spans="2:20" ht="25.5" hidden="1">
      <c r="B1413" s="828" t="s">
        <v>6565</v>
      </c>
      <c r="C1413" s="828">
        <v>92596</v>
      </c>
      <c r="D1413" s="630" t="s">
        <v>992</v>
      </c>
      <c r="E1413" s="630" t="s">
        <v>646</v>
      </c>
      <c r="F1413" s="829">
        <v>2166.16</v>
      </c>
      <c r="G1413" s="830">
        <v>314.88</v>
      </c>
      <c r="H1413" s="832">
        <v>2481.04</v>
      </c>
      <c r="I1413" s="846"/>
      <c r="J1413" s="846"/>
      <c r="K1413" s="846"/>
      <c r="L1413" s="846"/>
      <c r="M1413" s="846"/>
      <c r="N1413" s="846"/>
      <c r="O1413" s="846"/>
      <c r="P1413" s="846"/>
      <c r="Q1413" s="846"/>
      <c r="R1413" s="846"/>
      <c r="S1413" s="846"/>
      <c r="T1413" s="846"/>
    </row>
    <row r="1414" spans="2:20" ht="25.5" hidden="1">
      <c r="B1414" s="828" t="s">
        <v>6565</v>
      </c>
      <c r="C1414" s="828">
        <v>92598</v>
      </c>
      <c r="D1414" s="630" t="s">
        <v>993</v>
      </c>
      <c r="E1414" s="630" t="s">
        <v>646</v>
      </c>
      <c r="F1414" s="829">
        <v>2328.64</v>
      </c>
      <c r="G1414" s="830">
        <v>314.88</v>
      </c>
      <c r="H1414" s="832">
        <v>2643.52</v>
      </c>
      <c r="I1414" s="846"/>
      <c r="J1414" s="846"/>
      <c r="K1414" s="846"/>
      <c r="L1414" s="846"/>
      <c r="M1414" s="846"/>
      <c r="N1414" s="846"/>
      <c r="O1414" s="846"/>
      <c r="P1414" s="846"/>
      <c r="Q1414" s="846"/>
      <c r="R1414" s="846"/>
      <c r="S1414" s="846"/>
      <c r="T1414" s="846"/>
    </row>
    <row r="1415" spans="2:20" ht="25.5" hidden="1">
      <c r="B1415" s="828" t="s">
        <v>6565</v>
      </c>
      <c r="C1415" s="828">
        <v>92600</v>
      </c>
      <c r="D1415" s="630" t="s">
        <v>994</v>
      </c>
      <c r="E1415" s="630" t="s">
        <v>646</v>
      </c>
      <c r="F1415" s="829">
        <v>2532.23</v>
      </c>
      <c r="G1415" s="830">
        <v>314.87</v>
      </c>
      <c r="H1415" s="832">
        <v>2847.1</v>
      </c>
      <c r="I1415" s="846"/>
      <c r="J1415" s="846"/>
      <c r="K1415" s="846"/>
      <c r="L1415" s="846"/>
      <c r="M1415" s="846"/>
      <c r="N1415" s="846"/>
      <c r="O1415" s="846"/>
      <c r="P1415" s="846"/>
      <c r="Q1415" s="846"/>
      <c r="R1415" s="846"/>
      <c r="S1415" s="846"/>
      <c r="T1415" s="846"/>
    </row>
    <row r="1416" spans="2:20" ht="38.25" hidden="1">
      <c r="B1416" s="828" t="s">
        <v>6565</v>
      </c>
      <c r="C1416" s="828">
        <v>92602</v>
      </c>
      <c r="D1416" s="630" t="s">
        <v>995</v>
      </c>
      <c r="E1416" s="630" t="s">
        <v>646</v>
      </c>
      <c r="F1416" s="829">
        <v>754.87</v>
      </c>
      <c r="G1416" s="830">
        <v>135.1</v>
      </c>
      <c r="H1416" s="832">
        <v>889.97</v>
      </c>
      <c r="I1416" s="846"/>
      <c r="J1416" s="846"/>
      <c r="K1416" s="846"/>
      <c r="L1416" s="846"/>
      <c r="M1416" s="846"/>
      <c r="N1416" s="846"/>
      <c r="O1416" s="846"/>
      <c r="P1416" s="846"/>
      <c r="Q1416" s="846"/>
      <c r="R1416" s="846"/>
      <c r="S1416" s="846"/>
      <c r="T1416" s="846"/>
    </row>
    <row r="1417" spans="2:20" ht="38.25" hidden="1">
      <c r="B1417" s="828" t="s">
        <v>6565</v>
      </c>
      <c r="C1417" s="828">
        <v>92604</v>
      </c>
      <c r="D1417" s="630" t="s">
        <v>996</v>
      </c>
      <c r="E1417" s="630" t="s">
        <v>646</v>
      </c>
      <c r="F1417" s="829">
        <v>876.24</v>
      </c>
      <c r="G1417" s="830">
        <v>135.1</v>
      </c>
      <c r="H1417" s="832">
        <v>1011.34</v>
      </c>
      <c r="I1417" s="846"/>
      <c r="J1417" s="846"/>
      <c r="K1417" s="846"/>
      <c r="L1417" s="846"/>
      <c r="M1417" s="846"/>
      <c r="N1417" s="846"/>
      <c r="O1417" s="846"/>
      <c r="P1417" s="846"/>
      <c r="Q1417" s="846"/>
      <c r="R1417" s="846"/>
      <c r="S1417" s="846"/>
      <c r="T1417" s="846"/>
    </row>
    <row r="1418" spans="2:20" ht="38.25" hidden="1">
      <c r="B1418" s="828" t="s">
        <v>6565</v>
      </c>
      <c r="C1418" s="828">
        <v>92606</v>
      </c>
      <c r="D1418" s="630" t="s">
        <v>997</v>
      </c>
      <c r="E1418" s="630" t="s">
        <v>646</v>
      </c>
      <c r="F1418" s="829">
        <v>1038.73</v>
      </c>
      <c r="G1418" s="830">
        <v>135.09</v>
      </c>
      <c r="H1418" s="832">
        <v>1173.82</v>
      </c>
      <c r="I1418" s="846"/>
      <c r="J1418" s="846"/>
      <c r="K1418" s="846"/>
      <c r="L1418" s="846"/>
      <c r="M1418" s="846"/>
      <c r="N1418" s="846"/>
      <c r="O1418" s="846"/>
      <c r="P1418" s="846"/>
      <c r="Q1418" s="846"/>
      <c r="R1418" s="846"/>
      <c r="S1418" s="846"/>
      <c r="T1418" s="846"/>
    </row>
    <row r="1419" spans="2:20" ht="38.25" hidden="1">
      <c r="B1419" s="828" t="s">
        <v>6565</v>
      </c>
      <c r="C1419" s="828">
        <v>92608</v>
      </c>
      <c r="D1419" s="630" t="s">
        <v>998</v>
      </c>
      <c r="E1419" s="630" t="s">
        <v>646</v>
      </c>
      <c r="F1419" s="829">
        <v>1264.6299999999999</v>
      </c>
      <c r="G1419" s="843">
        <v>193.7</v>
      </c>
      <c r="H1419" s="832">
        <v>1458.33</v>
      </c>
      <c r="I1419" s="846"/>
      <c r="J1419" s="846"/>
      <c r="K1419" s="846"/>
      <c r="L1419" s="846"/>
      <c r="M1419" s="846"/>
      <c r="N1419" s="846"/>
      <c r="O1419" s="846"/>
      <c r="P1419" s="846"/>
      <c r="Q1419" s="846"/>
      <c r="R1419" s="846"/>
      <c r="S1419" s="846"/>
      <c r="T1419" s="846"/>
    </row>
    <row r="1420" spans="2:20" ht="38.25" hidden="1">
      <c r="B1420" s="828" t="s">
        <v>6565</v>
      </c>
      <c r="C1420" s="828">
        <v>92610</v>
      </c>
      <c r="D1420" s="630" t="s">
        <v>999</v>
      </c>
      <c r="E1420" s="630" t="s">
        <v>646</v>
      </c>
      <c r="F1420" s="829">
        <v>1427.11</v>
      </c>
      <c r="G1420" s="843">
        <v>193.69</v>
      </c>
      <c r="H1420" s="832">
        <v>1620.8</v>
      </c>
      <c r="I1420" s="846"/>
      <c r="J1420" s="846"/>
      <c r="K1420" s="846"/>
      <c r="L1420" s="846"/>
      <c r="M1420" s="846"/>
      <c r="N1420" s="846"/>
      <c r="O1420" s="846"/>
      <c r="P1420" s="846"/>
      <c r="Q1420" s="846"/>
      <c r="R1420" s="846"/>
      <c r="S1420" s="846"/>
      <c r="T1420" s="846"/>
    </row>
    <row r="1421" spans="2:20" ht="38.25" hidden="1">
      <c r="B1421" s="828" t="s">
        <v>6565</v>
      </c>
      <c r="C1421" s="828">
        <v>92612</v>
      </c>
      <c r="D1421" s="630" t="s">
        <v>1000</v>
      </c>
      <c r="E1421" s="630" t="s">
        <v>646</v>
      </c>
      <c r="F1421" s="829">
        <v>1600.06</v>
      </c>
      <c r="G1421" s="830">
        <v>232.94</v>
      </c>
      <c r="H1421" s="832">
        <v>1833</v>
      </c>
      <c r="I1421" s="846"/>
      <c r="J1421" s="846"/>
      <c r="K1421" s="846"/>
      <c r="L1421" s="846"/>
      <c r="M1421" s="846"/>
      <c r="N1421" s="846"/>
      <c r="O1421" s="846"/>
      <c r="P1421" s="846"/>
      <c r="Q1421" s="846"/>
      <c r="R1421" s="846"/>
      <c r="S1421" s="846"/>
      <c r="T1421" s="846"/>
    </row>
    <row r="1422" spans="2:20" ht="38.25" hidden="1">
      <c r="B1422" s="828" t="s">
        <v>6565</v>
      </c>
      <c r="C1422" s="828">
        <v>92614</v>
      </c>
      <c r="D1422" s="630" t="s">
        <v>1001</v>
      </c>
      <c r="E1422" s="630" t="s">
        <v>646</v>
      </c>
      <c r="F1422" s="829">
        <v>1815.4299999999998</v>
      </c>
      <c r="G1422" s="830">
        <v>251.78</v>
      </c>
      <c r="H1422" s="832">
        <v>2067.21</v>
      </c>
      <c r="I1422" s="846"/>
      <c r="J1422" s="846"/>
      <c r="K1422" s="846"/>
      <c r="L1422" s="846"/>
      <c r="M1422" s="846"/>
      <c r="N1422" s="846"/>
      <c r="O1422" s="846"/>
      <c r="P1422" s="846"/>
      <c r="Q1422" s="846"/>
      <c r="R1422" s="846"/>
      <c r="S1422" s="846"/>
      <c r="T1422" s="846"/>
    </row>
    <row r="1423" spans="2:20" ht="38.25" hidden="1">
      <c r="B1423" s="828" t="s">
        <v>6565</v>
      </c>
      <c r="C1423" s="828">
        <v>92616</v>
      </c>
      <c r="D1423" s="630" t="s">
        <v>1002</v>
      </c>
      <c r="E1423" s="630" t="s">
        <v>646</v>
      </c>
      <c r="F1423" s="829">
        <v>2042.86</v>
      </c>
      <c r="G1423" s="830">
        <v>314.88</v>
      </c>
      <c r="H1423" s="832">
        <v>2357.7399999999998</v>
      </c>
      <c r="I1423" s="846"/>
      <c r="J1423" s="846"/>
      <c r="K1423" s="846"/>
      <c r="L1423" s="846"/>
      <c r="M1423" s="846"/>
      <c r="N1423" s="846"/>
      <c r="O1423" s="846"/>
      <c r="P1423" s="846"/>
      <c r="Q1423" s="846"/>
      <c r="R1423" s="846"/>
      <c r="S1423" s="846"/>
      <c r="T1423" s="846"/>
    </row>
    <row r="1424" spans="2:20" ht="38.25" hidden="1">
      <c r="B1424" s="828" t="s">
        <v>6565</v>
      </c>
      <c r="C1424" s="828">
        <v>92618</v>
      </c>
      <c r="D1424" s="630" t="s">
        <v>1003</v>
      </c>
      <c r="E1424" s="630" t="s">
        <v>646</v>
      </c>
      <c r="F1424" s="829">
        <v>2205.33</v>
      </c>
      <c r="G1424" s="830">
        <v>314.88</v>
      </c>
      <c r="H1424" s="832">
        <v>2520.21</v>
      </c>
      <c r="I1424" s="846"/>
      <c r="J1424" s="846"/>
      <c r="K1424" s="846"/>
      <c r="L1424" s="846"/>
      <c r="M1424" s="846"/>
      <c r="N1424" s="846"/>
      <c r="O1424" s="846"/>
      <c r="P1424" s="846"/>
      <c r="Q1424" s="846"/>
      <c r="R1424" s="846"/>
      <c r="S1424" s="846"/>
      <c r="T1424" s="846"/>
    </row>
    <row r="1425" spans="2:20" ht="38.25" hidden="1">
      <c r="B1425" s="828" t="s">
        <v>6565</v>
      </c>
      <c r="C1425" s="828">
        <v>92620</v>
      </c>
      <c r="D1425" s="630" t="s">
        <v>1004</v>
      </c>
      <c r="E1425" s="630" t="s">
        <v>646</v>
      </c>
      <c r="F1425" s="829">
        <v>2367.81</v>
      </c>
      <c r="G1425" s="830">
        <v>314.88</v>
      </c>
      <c r="H1425" s="832">
        <v>2682.69</v>
      </c>
      <c r="I1425" s="846"/>
      <c r="J1425" s="846"/>
      <c r="K1425" s="846"/>
      <c r="L1425" s="846"/>
      <c r="M1425" s="846"/>
      <c r="N1425" s="846"/>
      <c r="O1425" s="846"/>
      <c r="P1425" s="846"/>
      <c r="Q1425" s="846"/>
      <c r="R1425" s="846"/>
      <c r="S1425" s="846"/>
      <c r="T1425" s="846"/>
    </row>
    <row r="1426" spans="2:20" ht="38.25" hidden="1">
      <c r="B1426" s="828" t="s">
        <v>6565</v>
      </c>
      <c r="C1426" s="828">
        <v>100357</v>
      </c>
      <c r="D1426" s="630" t="s">
        <v>3222</v>
      </c>
      <c r="E1426" s="630" t="s">
        <v>646</v>
      </c>
      <c r="F1426" s="829">
        <v>943.12</v>
      </c>
      <c r="G1426" s="830">
        <v>338.36</v>
      </c>
      <c r="H1426" s="832">
        <v>1281.48</v>
      </c>
      <c r="I1426" s="846"/>
      <c r="J1426" s="846"/>
      <c r="K1426" s="846"/>
      <c r="L1426" s="846"/>
      <c r="M1426" s="846"/>
      <c r="N1426" s="846"/>
      <c r="O1426" s="846"/>
      <c r="P1426" s="846"/>
      <c r="Q1426" s="846"/>
      <c r="R1426" s="846"/>
      <c r="S1426" s="846"/>
      <c r="T1426" s="846"/>
    </row>
    <row r="1427" spans="2:20" ht="38.25" hidden="1">
      <c r="B1427" s="828" t="s">
        <v>6565</v>
      </c>
      <c r="C1427" s="828">
        <v>100358</v>
      </c>
      <c r="D1427" s="630" t="s">
        <v>3223</v>
      </c>
      <c r="E1427" s="630" t="s">
        <v>646</v>
      </c>
      <c r="F1427" s="829">
        <v>1180.6699999999998</v>
      </c>
      <c r="G1427" s="830">
        <v>551.48</v>
      </c>
      <c r="H1427" s="832">
        <v>1732.15</v>
      </c>
      <c r="I1427" s="846"/>
      <c r="J1427" s="846"/>
      <c r="K1427" s="846"/>
      <c r="L1427" s="846"/>
      <c r="M1427" s="846"/>
      <c r="N1427" s="846"/>
      <c r="O1427" s="846"/>
      <c r="P1427" s="846"/>
      <c r="Q1427" s="846"/>
      <c r="R1427" s="846"/>
      <c r="S1427" s="846"/>
      <c r="T1427" s="846"/>
    </row>
    <row r="1428" spans="2:20" ht="38.25" hidden="1">
      <c r="B1428" s="828" t="s">
        <v>6565</v>
      </c>
      <c r="C1428" s="828">
        <v>100359</v>
      </c>
      <c r="D1428" s="630" t="s">
        <v>3224</v>
      </c>
      <c r="E1428" s="630" t="s">
        <v>646</v>
      </c>
      <c r="F1428" s="829">
        <v>1275.6099999999999</v>
      </c>
      <c r="G1428" s="830">
        <v>551.48</v>
      </c>
      <c r="H1428" s="832">
        <v>1827.09</v>
      </c>
      <c r="I1428" s="846"/>
      <c r="J1428" s="846"/>
      <c r="K1428" s="846"/>
      <c r="L1428" s="846"/>
      <c r="M1428" s="846"/>
      <c r="N1428" s="846"/>
      <c r="O1428" s="846"/>
      <c r="P1428" s="846"/>
      <c r="Q1428" s="846"/>
      <c r="R1428" s="846"/>
      <c r="S1428" s="846"/>
      <c r="T1428" s="846"/>
    </row>
    <row r="1429" spans="2:20" ht="38.25" hidden="1">
      <c r="B1429" s="828" t="s">
        <v>6565</v>
      </c>
      <c r="C1429" s="828">
        <v>100360</v>
      </c>
      <c r="D1429" s="630" t="s">
        <v>3225</v>
      </c>
      <c r="E1429" s="630" t="s">
        <v>646</v>
      </c>
      <c r="F1429" s="829">
        <v>1421.9299999999998</v>
      </c>
      <c r="G1429" s="843">
        <v>608.30999999999995</v>
      </c>
      <c r="H1429" s="832">
        <v>2030.24</v>
      </c>
      <c r="I1429" s="846"/>
      <c r="J1429" s="846"/>
      <c r="K1429" s="846"/>
      <c r="L1429" s="846"/>
      <c r="M1429" s="846"/>
      <c r="N1429" s="846"/>
      <c r="O1429" s="846"/>
      <c r="P1429" s="846"/>
      <c r="Q1429" s="846"/>
      <c r="R1429" s="846"/>
      <c r="S1429" s="846"/>
      <c r="T1429" s="846"/>
    </row>
    <row r="1430" spans="2:20" ht="38.25" hidden="1">
      <c r="B1430" s="828" t="s">
        <v>6565</v>
      </c>
      <c r="C1430" s="828">
        <v>100361</v>
      </c>
      <c r="D1430" s="630" t="s">
        <v>3226</v>
      </c>
      <c r="E1430" s="630" t="s">
        <v>646</v>
      </c>
      <c r="F1430" s="829">
        <v>1700.09</v>
      </c>
      <c r="G1430" s="843">
        <v>821.41</v>
      </c>
      <c r="H1430" s="832">
        <v>2521.5</v>
      </c>
      <c r="I1430" s="846"/>
      <c r="J1430" s="846"/>
      <c r="K1430" s="846"/>
      <c r="L1430" s="846"/>
      <c r="M1430" s="846"/>
      <c r="N1430" s="846"/>
      <c r="O1430" s="846"/>
      <c r="P1430" s="846"/>
      <c r="Q1430" s="846"/>
      <c r="R1430" s="846"/>
      <c r="S1430" s="846"/>
      <c r="T1430" s="846"/>
    </row>
    <row r="1431" spans="2:20" ht="38.25" hidden="1">
      <c r="B1431" s="828" t="s">
        <v>6565</v>
      </c>
      <c r="C1431" s="828">
        <v>100362</v>
      </c>
      <c r="D1431" s="630" t="s">
        <v>3227</v>
      </c>
      <c r="E1431" s="630" t="s">
        <v>646</v>
      </c>
      <c r="F1431" s="829">
        <v>2410.7399999999998</v>
      </c>
      <c r="G1431" s="830">
        <v>876.5</v>
      </c>
      <c r="H1431" s="831">
        <v>3287.24</v>
      </c>
      <c r="I1431" s="846"/>
      <c r="J1431" s="846"/>
      <c r="K1431" s="846"/>
      <c r="L1431" s="846"/>
      <c r="M1431" s="846"/>
      <c r="N1431" s="846"/>
      <c r="O1431" s="846"/>
      <c r="P1431" s="846"/>
      <c r="Q1431" s="846"/>
      <c r="R1431" s="846"/>
      <c r="S1431" s="846"/>
      <c r="T1431" s="846"/>
    </row>
    <row r="1432" spans="2:20" ht="38.25" hidden="1">
      <c r="B1432" s="828" t="s">
        <v>6565</v>
      </c>
      <c r="C1432" s="828">
        <v>100363</v>
      </c>
      <c r="D1432" s="630" t="s">
        <v>3228</v>
      </c>
      <c r="E1432" s="630" t="s">
        <v>646</v>
      </c>
      <c r="F1432" s="829">
        <v>2526.31</v>
      </c>
      <c r="G1432" s="830">
        <v>876.5</v>
      </c>
      <c r="H1432" s="831">
        <v>3402.81</v>
      </c>
      <c r="I1432" s="846"/>
      <c r="J1432" s="846"/>
      <c r="K1432" s="846"/>
      <c r="L1432" s="846"/>
      <c r="M1432" s="846"/>
      <c r="N1432" s="846"/>
      <c r="O1432" s="846"/>
      <c r="P1432" s="846"/>
      <c r="Q1432" s="846"/>
      <c r="R1432" s="846"/>
      <c r="S1432" s="846"/>
      <c r="T1432" s="846"/>
    </row>
    <row r="1433" spans="2:20" ht="38.25" hidden="1">
      <c r="B1433" s="833" t="s">
        <v>6565</v>
      </c>
      <c r="C1433" s="828">
        <v>100364</v>
      </c>
      <c r="D1433" s="630" t="s">
        <v>3229</v>
      </c>
      <c r="E1433" s="630" t="s">
        <v>646</v>
      </c>
      <c r="F1433" s="829">
        <v>2738.18</v>
      </c>
      <c r="G1433" s="830">
        <v>965.21</v>
      </c>
      <c r="H1433" s="831">
        <v>3703.39</v>
      </c>
      <c r="I1433" s="846"/>
      <c r="J1433" s="846"/>
      <c r="K1433" s="846"/>
      <c r="L1433" s="846"/>
      <c r="M1433" s="846"/>
      <c r="N1433" s="846"/>
      <c r="O1433" s="846"/>
      <c r="P1433" s="846"/>
      <c r="Q1433" s="846"/>
      <c r="R1433" s="846"/>
      <c r="S1433" s="846"/>
      <c r="T1433" s="846"/>
    </row>
    <row r="1434" spans="2:20" ht="38.25" hidden="1">
      <c r="B1434" s="833" t="s">
        <v>6565</v>
      </c>
      <c r="C1434" s="828">
        <v>100365</v>
      </c>
      <c r="D1434" s="630" t="s">
        <v>3230</v>
      </c>
      <c r="E1434" s="630" t="s">
        <v>646</v>
      </c>
      <c r="F1434" s="829">
        <v>3086.24</v>
      </c>
      <c r="G1434" s="830">
        <v>1178.33</v>
      </c>
      <c r="H1434" s="831">
        <v>4264.57</v>
      </c>
      <c r="I1434" s="846"/>
      <c r="J1434" s="846"/>
      <c r="K1434" s="846"/>
      <c r="L1434" s="846"/>
      <c r="M1434" s="846"/>
      <c r="N1434" s="846"/>
      <c r="O1434" s="846"/>
      <c r="P1434" s="846"/>
      <c r="Q1434" s="846"/>
      <c r="R1434" s="846"/>
      <c r="S1434" s="846"/>
      <c r="T1434" s="846"/>
    </row>
    <row r="1435" spans="2:20" ht="38.25" hidden="1">
      <c r="B1435" s="833" t="s">
        <v>6565</v>
      </c>
      <c r="C1435" s="828">
        <v>100366</v>
      </c>
      <c r="D1435" s="630" t="s">
        <v>3231</v>
      </c>
      <c r="E1435" s="630" t="s">
        <v>646</v>
      </c>
      <c r="F1435" s="829">
        <v>3398.31</v>
      </c>
      <c r="G1435" s="830">
        <v>1178.33</v>
      </c>
      <c r="H1435" s="831">
        <v>4576.6400000000003</v>
      </c>
      <c r="I1435" s="846"/>
      <c r="J1435" s="846"/>
      <c r="K1435" s="846"/>
      <c r="L1435" s="846"/>
      <c r="M1435" s="846"/>
      <c r="N1435" s="846"/>
      <c r="O1435" s="846"/>
      <c r="P1435" s="846"/>
      <c r="Q1435" s="846"/>
      <c r="R1435" s="846"/>
      <c r="S1435" s="846"/>
      <c r="T1435" s="846"/>
    </row>
    <row r="1436" spans="2:20" ht="51" hidden="1">
      <c r="B1436" s="833" t="s">
        <v>6565</v>
      </c>
      <c r="C1436" s="828">
        <v>100367</v>
      </c>
      <c r="D1436" s="630" t="s">
        <v>3232</v>
      </c>
      <c r="E1436" s="630" t="s">
        <v>646</v>
      </c>
      <c r="F1436" s="829">
        <v>906.53000000000009</v>
      </c>
      <c r="G1436" s="830">
        <v>338.36</v>
      </c>
      <c r="H1436" s="831">
        <v>1244.8900000000001</v>
      </c>
      <c r="I1436" s="846"/>
      <c r="J1436" s="846"/>
      <c r="K1436" s="846"/>
      <c r="L1436" s="846"/>
      <c r="M1436" s="846"/>
      <c r="N1436" s="846"/>
      <c r="O1436" s="846"/>
      <c r="P1436" s="846"/>
      <c r="Q1436" s="846"/>
      <c r="R1436" s="846"/>
      <c r="S1436" s="846"/>
      <c r="T1436" s="846"/>
    </row>
    <row r="1437" spans="2:20" ht="51" hidden="1">
      <c r="B1437" s="833" t="s">
        <v>6565</v>
      </c>
      <c r="C1437" s="828">
        <v>100368</v>
      </c>
      <c r="D1437" s="630" t="s">
        <v>3233</v>
      </c>
      <c r="E1437" s="630" t="s">
        <v>646</v>
      </c>
      <c r="F1437" s="829">
        <v>1135.52</v>
      </c>
      <c r="G1437" s="830">
        <v>551.48</v>
      </c>
      <c r="H1437" s="831">
        <v>1687</v>
      </c>
      <c r="I1437" s="846"/>
      <c r="J1437" s="846"/>
      <c r="K1437" s="846"/>
      <c r="L1437" s="846"/>
      <c r="M1437" s="846"/>
      <c r="N1437" s="846"/>
      <c r="O1437" s="846"/>
      <c r="P1437" s="846"/>
      <c r="Q1437" s="846"/>
      <c r="R1437" s="846"/>
      <c r="S1437" s="846"/>
      <c r="T1437" s="846"/>
    </row>
    <row r="1438" spans="2:20" ht="51" hidden="1">
      <c r="B1438" s="833" t="s">
        <v>6565</v>
      </c>
      <c r="C1438" s="828">
        <v>100369</v>
      </c>
      <c r="D1438" s="630" t="s">
        <v>3234</v>
      </c>
      <c r="E1438" s="630" t="s">
        <v>646</v>
      </c>
      <c r="F1438" s="829">
        <v>1230.47</v>
      </c>
      <c r="G1438" s="830">
        <v>551.48</v>
      </c>
      <c r="H1438" s="831">
        <v>1781.95</v>
      </c>
      <c r="I1438" s="846"/>
      <c r="J1438" s="846"/>
      <c r="K1438" s="846"/>
      <c r="L1438" s="846"/>
      <c r="M1438" s="846"/>
      <c r="N1438" s="846"/>
      <c r="O1438" s="846"/>
      <c r="P1438" s="846"/>
      <c r="Q1438" s="846"/>
      <c r="R1438" s="846"/>
      <c r="S1438" s="846"/>
      <c r="T1438" s="846"/>
    </row>
    <row r="1439" spans="2:20" ht="51" hidden="1">
      <c r="B1439" s="833" t="s">
        <v>6565</v>
      </c>
      <c r="C1439" s="828">
        <v>100370</v>
      </c>
      <c r="D1439" s="630" t="s">
        <v>3235</v>
      </c>
      <c r="E1439" s="630" t="s">
        <v>646</v>
      </c>
      <c r="F1439" s="829">
        <v>1516.62</v>
      </c>
      <c r="G1439" s="830">
        <v>608.30999999999995</v>
      </c>
      <c r="H1439" s="831">
        <v>2124.9299999999998</v>
      </c>
      <c r="I1439" s="846"/>
      <c r="J1439" s="846"/>
      <c r="K1439" s="846"/>
      <c r="L1439" s="846"/>
      <c r="M1439" s="846"/>
      <c r="N1439" s="846"/>
      <c r="O1439" s="846"/>
      <c r="P1439" s="846"/>
      <c r="Q1439" s="846"/>
      <c r="R1439" s="846"/>
      <c r="S1439" s="846"/>
      <c r="T1439" s="846"/>
    </row>
    <row r="1440" spans="2:20" ht="51" hidden="1">
      <c r="B1440" s="833" t="s">
        <v>6565</v>
      </c>
      <c r="C1440" s="828">
        <v>100371</v>
      </c>
      <c r="D1440" s="630" t="s">
        <v>3236</v>
      </c>
      <c r="E1440" s="630" t="s">
        <v>646</v>
      </c>
      <c r="F1440" s="829">
        <v>1579.7</v>
      </c>
      <c r="G1440" s="830">
        <v>821.41</v>
      </c>
      <c r="H1440" s="831">
        <v>2401.11</v>
      </c>
      <c r="I1440" s="846"/>
      <c r="J1440" s="846"/>
      <c r="K1440" s="846"/>
      <c r="L1440" s="846"/>
      <c r="M1440" s="846"/>
      <c r="N1440" s="846"/>
      <c r="O1440" s="846"/>
      <c r="P1440" s="846"/>
      <c r="Q1440" s="846"/>
      <c r="R1440" s="846"/>
      <c r="S1440" s="846"/>
      <c r="T1440" s="846"/>
    </row>
    <row r="1441" spans="2:20" ht="51" hidden="1">
      <c r="B1441" s="833" t="s">
        <v>6565</v>
      </c>
      <c r="C1441" s="828">
        <v>100372</v>
      </c>
      <c r="D1441" s="630" t="s">
        <v>3237</v>
      </c>
      <c r="E1441" s="630" t="s">
        <v>646</v>
      </c>
      <c r="F1441" s="829">
        <v>2204.4699999999998</v>
      </c>
      <c r="G1441" s="830">
        <v>876.51</v>
      </c>
      <c r="H1441" s="831">
        <v>3080.98</v>
      </c>
      <c r="I1441" s="846"/>
      <c r="J1441" s="846"/>
      <c r="K1441" s="846"/>
      <c r="L1441" s="846"/>
      <c r="M1441" s="846"/>
      <c r="N1441" s="846"/>
      <c r="O1441" s="846"/>
      <c r="P1441" s="846"/>
      <c r="Q1441" s="846"/>
      <c r="R1441" s="846"/>
      <c r="S1441" s="846"/>
      <c r="T1441" s="846"/>
    </row>
    <row r="1442" spans="2:20" ht="51" hidden="1">
      <c r="B1442" s="833" t="s">
        <v>6565</v>
      </c>
      <c r="C1442" s="828">
        <v>100373</v>
      </c>
      <c r="D1442" s="630" t="s">
        <v>3238</v>
      </c>
      <c r="E1442" s="630" t="s">
        <v>646</v>
      </c>
      <c r="F1442" s="829">
        <v>2319.56</v>
      </c>
      <c r="G1442" s="830">
        <v>876.5</v>
      </c>
      <c r="H1442" s="831">
        <v>3196.06</v>
      </c>
      <c r="I1442" s="846"/>
      <c r="J1442" s="846"/>
      <c r="K1442" s="846"/>
      <c r="L1442" s="846"/>
      <c r="M1442" s="846"/>
      <c r="N1442" s="846"/>
      <c r="O1442" s="846"/>
      <c r="P1442" s="846"/>
      <c r="Q1442" s="846"/>
      <c r="R1442" s="846"/>
      <c r="S1442" s="846"/>
      <c r="T1442" s="846"/>
    </row>
    <row r="1443" spans="2:20" ht="51" hidden="1">
      <c r="B1443" s="833" t="s">
        <v>6565</v>
      </c>
      <c r="C1443" s="828">
        <v>100374</v>
      </c>
      <c r="D1443" s="630" t="s">
        <v>3239</v>
      </c>
      <c r="E1443" s="630" t="s">
        <v>646</v>
      </c>
      <c r="F1443" s="829">
        <v>2466.2199999999998</v>
      </c>
      <c r="G1443" s="830">
        <v>965.22</v>
      </c>
      <c r="H1443" s="831">
        <v>3431.44</v>
      </c>
      <c r="I1443" s="846"/>
      <c r="J1443" s="846"/>
      <c r="K1443" s="846"/>
      <c r="L1443" s="846"/>
      <c r="M1443" s="846"/>
      <c r="N1443" s="846"/>
      <c r="O1443" s="846"/>
      <c r="P1443" s="846"/>
      <c r="Q1443" s="846"/>
      <c r="R1443" s="846"/>
      <c r="S1443" s="846"/>
      <c r="T1443" s="846"/>
    </row>
    <row r="1444" spans="2:20" ht="51" hidden="1">
      <c r="B1444" s="833" t="s">
        <v>6565</v>
      </c>
      <c r="C1444" s="828">
        <v>100375</v>
      </c>
      <c r="D1444" s="630" t="s">
        <v>3240</v>
      </c>
      <c r="E1444" s="630" t="s">
        <v>646</v>
      </c>
      <c r="F1444" s="829">
        <v>2680.61</v>
      </c>
      <c r="G1444" s="830">
        <v>1178.3399999999999</v>
      </c>
      <c r="H1444" s="831">
        <v>3858.95</v>
      </c>
      <c r="I1444" s="846"/>
      <c r="J1444" s="846"/>
      <c r="K1444" s="846"/>
      <c r="L1444" s="846"/>
      <c r="M1444" s="846"/>
      <c r="N1444" s="846"/>
      <c r="O1444" s="846"/>
      <c r="P1444" s="846"/>
      <c r="Q1444" s="846"/>
      <c r="R1444" s="846"/>
      <c r="S1444" s="846"/>
      <c r="T1444" s="846"/>
    </row>
    <row r="1445" spans="2:20" ht="51" hidden="1">
      <c r="B1445" s="833" t="s">
        <v>6565</v>
      </c>
      <c r="C1445" s="828">
        <v>100376</v>
      </c>
      <c r="D1445" s="630" t="s">
        <v>3241</v>
      </c>
      <c r="E1445" s="630" t="s">
        <v>646</v>
      </c>
      <c r="F1445" s="829">
        <v>2591.25</v>
      </c>
      <c r="G1445" s="830">
        <v>1178.3399999999999</v>
      </c>
      <c r="H1445" s="831">
        <v>3769.59</v>
      </c>
      <c r="I1445" s="846"/>
      <c r="J1445" s="846"/>
      <c r="K1445" s="846"/>
      <c r="L1445" s="846"/>
      <c r="M1445" s="846"/>
      <c r="N1445" s="846"/>
      <c r="O1445" s="846"/>
      <c r="P1445" s="846"/>
      <c r="Q1445" s="846"/>
      <c r="R1445" s="846"/>
      <c r="S1445" s="846"/>
      <c r="T1445" s="846"/>
    </row>
    <row r="1446" spans="2:20" ht="38.25" hidden="1">
      <c r="B1446" s="833" t="s">
        <v>6565</v>
      </c>
      <c r="C1446" s="828">
        <v>100377</v>
      </c>
      <c r="D1446" s="630" t="s">
        <v>3242</v>
      </c>
      <c r="E1446" s="630" t="s">
        <v>645</v>
      </c>
      <c r="F1446" s="829">
        <v>13.309999999999999</v>
      </c>
      <c r="G1446" s="830">
        <v>1.72</v>
      </c>
      <c r="H1446" s="831">
        <v>15.03</v>
      </c>
      <c r="I1446" s="846"/>
      <c r="J1446" s="846"/>
      <c r="K1446" s="846"/>
      <c r="L1446" s="846"/>
      <c r="M1446" s="846"/>
      <c r="N1446" s="846"/>
      <c r="O1446" s="846"/>
      <c r="P1446" s="846"/>
      <c r="Q1446" s="846"/>
      <c r="R1446" s="846"/>
      <c r="S1446" s="846"/>
      <c r="T1446" s="846"/>
    </row>
    <row r="1447" spans="2:20" ht="38.25" hidden="1">
      <c r="B1447" s="833" t="s">
        <v>6565</v>
      </c>
      <c r="C1447" s="828">
        <v>100378</v>
      </c>
      <c r="D1447" s="630" t="s">
        <v>3243</v>
      </c>
      <c r="E1447" s="630" t="s">
        <v>645</v>
      </c>
      <c r="F1447" s="829">
        <v>12.639999999999999</v>
      </c>
      <c r="G1447" s="830">
        <v>1.52</v>
      </c>
      <c r="H1447" s="831">
        <v>14.16</v>
      </c>
      <c r="I1447" s="846"/>
      <c r="J1447" s="846"/>
      <c r="K1447" s="846"/>
      <c r="L1447" s="846"/>
      <c r="M1447" s="846"/>
      <c r="N1447" s="846"/>
      <c r="O1447" s="846"/>
      <c r="P1447" s="846"/>
      <c r="Q1447" s="846"/>
      <c r="R1447" s="846"/>
      <c r="S1447" s="846"/>
      <c r="T1447" s="846"/>
    </row>
    <row r="1448" spans="2:20" ht="51" hidden="1">
      <c r="B1448" s="833" t="s">
        <v>6565</v>
      </c>
      <c r="C1448" s="828">
        <v>100382</v>
      </c>
      <c r="D1448" s="630" t="s">
        <v>3244</v>
      </c>
      <c r="E1448" s="630" t="s">
        <v>649</v>
      </c>
      <c r="F1448" s="829">
        <v>24.96</v>
      </c>
      <c r="G1448" s="830">
        <v>4.4800000000000004</v>
      </c>
      <c r="H1448" s="831">
        <v>29.44</v>
      </c>
      <c r="I1448" s="846"/>
      <c r="J1448" s="846"/>
      <c r="K1448" s="846"/>
      <c r="L1448" s="846"/>
      <c r="M1448" s="846"/>
      <c r="N1448" s="846"/>
      <c r="O1448" s="846"/>
      <c r="P1448" s="846"/>
      <c r="Q1448" s="846"/>
      <c r="R1448" s="846"/>
      <c r="S1448" s="846"/>
      <c r="T1448" s="846"/>
    </row>
    <row r="1449" spans="2:20" ht="25.5" hidden="1">
      <c r="B1449" s="833" t="s">
        <v>6587</v>
      </c>
      <c r="C1449" s="828">
        <v>94444</v>
      </c>
      <c r="D1449" s="630" t="s">
        <v>3245</v>
      </c>
      <c r="E1449" s="630" t="s">
        <v>649</v>
      </c>
      <c r="F1449" s="829">
        <v>649.53</v>
      </c>
      <c r="G1449" s="830">
        <v>7.55</v>
      </c>
      <c r="H1449" s="831">
        <v>657.08</v>
      </c>
      <c r="I1449" s="846"/>
      <c r="J1449" s="846"/>
      <c r="K1449" s="846"/>
      <c r="L1449" s="846"/>
      <c r="M1449" s="846"/>
      <c r="N1449" s="846"/>
      <c r="O1449" s="846"/>
      <c r="P1449" s="846"/>
      <c r="Q1449" s="846"/>
      <c r="R1449" s="846"/>
      <c r="S1449" s="846"/>
      <c r="T1449" s="846"/>
    </row>
    <row r="1450" spans="2:20" ht="38.25" hidden="1">
      <c r="B1450" s="828" t="s">
        <v>6679</v>
      </c>
      <c r="C1450" s="828">
        <v>102661</v>
      </c>
      <c r="D1450" s="630" t="s">
        <v>6246</v>
      </c>
      <c r="E1450" s="630" t="s">
        <v>648</v>
      </c>
      <c r="F1450" s="829">
        <v>27.82</v>
      </c>
      <c r="G1450" s="830">
        <v>5.34</v>
      </c>
      <c r="H1450" s="831">
        <v>33.159999999999997</v>
      </c>
      <c r="I1450" s="846"/>
      <c r="J1450" s="846"/>
      <c r="K1450" s="846"/>
      <c r="L1450" s="846"/>
      <c r="M1450" s="846"/>
      <c r="N1450" s="846"/>
      <c r="O1450" s="846"/>
      <c r="P1450" s="846"/>
      <c r="Q1450" s="846"/>
      <c r="R1450" s="846"/>
      <c r="S1450" s="846"/>
      <c r="T1450" s="846"/>
    </row>
    <row r="1451" spans="2:20" ht="25.5" hidden="1">
      <c r="B1451" s="828" t="s">
        <v>6679</v>
      </c>
      <c r="C1451" s="828">
        <v>102663</v>
      </c>
      <c r="D1451" s="630" t="s">
        <v>6247</v>
      </c>
      <c r="E1451" s="630" t="s">
        <v>648</v>
      </c>
      <c r="F1451" s="829">
        <v>33.83</v>
      </c>
      <c r="G1451" s="830">
        <v>8.24</v>
      </c>
      <c r="H1451" s="831">
        <v>42.07</v>
      </c>
      <c r="I1451" s="846"/>
      <c r="J1451" s="846"/>
      <c r="K1451" s="846"/>
      <c r="L1451" s="846"/>
      <c r="M1451" s="846"/>
      <c r="N1451" s="846"/>
      <c r="O1451" s="846"/>
      <c r="P1451" s="846"/>
      <c r="Q1451" s="846"/>
      <c r="R1451" s="846"/>
      <c r="S1451" s="846"/>
      <c r="T1451" s="846"/>
    </row>
    <row r="1452" spans="2:20" ht="25.5" hidden="1">
      <c r="B1452" s="828" t="s">
        <v>6679</v>
      </c>
      <c r="C1452" s="828">
        <v>102664</v>
      </c>
      <c r="D1452" s="630" t="s">
        <v>6248</v>
      </c>
      <c r="E1452" s="630" t="s">
        <v>648</v>
      </c>
      <c r="F1452" s="829">
        <v>35.729999999999997</v>
      </c>
      <c r="G1452" s="830">
        <v>5.26</v>
      </c>
      <c r="H1452" s="831">
        <v>40.99</v>
      </c>
      <c r="I1452" s="846"/>
      <c r="J1452" s="846"/>
      <c r="K1452" s="846"/>
      <c r="L1452" s="846"/>
      <c r="M1452" s="846"/>
      <c r="N1452" s="846"/>
      <c r="O1452" s="846"/>
      <c r="P1452" s="846"/>
      <c r="Q1452" s="846"/>
      <c r="R1452" s="846"/>
      <c r="S1452" s="846"/>
      <c r="T1452" s="846"/>
    </row>
    <row r="1453" spans="2:20" ht="25.5" hidden="1">
      <c r="B1453" s="828" t="s">
        <v>6679</v>
      </c>
      <c r="C1453" s="828">
        <v>102665</v>
      </c>
      <c r="D1453" s="630" t="s">
        <v>6249</v>
      </c>
      <c r="E1453" s="630" t="s">
        <v>648</v>
      </c>
      <c r="F1453" s="829">
        <v>12.25</v>
      </c>
      <c r="G1453" s="830">
        <v>4.92</v>
      </c>
      <c r="H1453" s="831">
        <v>17.170000000000002</v>
      </c>
      <c r="I1453" s="846"/>
      <c r="J1453" s="846"/>
      <c r="K1453" s="846"/>
      <c r="L1453" s="846"/>
      <c r="M1453" s="846"/>
      <c r="N1453" s="846"/>
      <c r="O1453" s="846"/>
      <c r="P1453" s="846"/>
      <c r="Q1453" s="846"/>
      <c r="R1453" s="846"/>
      <c r="S1453" s="846"/>
      <c r="T1453" s="846"/>
    </row>
    <row r="1454" spans="2:20" ht="38.25" hidden="1">
      <c r="B1454" s="828" t="s">
        <v>6679</v>
      </c>
      <c r="C1454" s="828">
        <v>102666</v>
      </c>
      <c r="D1454" s="630" t="s">
        <v>6250</v>
      </c>
      <c r="E1454" s="630" t="s">
        <v>648</v>
      </c>
      <c r="F1454" s="829">
        <v>46.81</v>
      </c>
      <c r="G1454" s="830">
        <v>5.7</v>
      </c>
      <c r="H1454" s="831">
        <v>52.51</v>
      </c>
      <c r="I1454" s="846"/>
      <c r="J1454" s="846"/>
      <c r="K1454" s="846"/>
      <c r="L1454" s="846"/>
      <c r="M1454" s="846"/>
      <c r="N1454" s="846"/>
      <c r="O1454" s="846"/>
      <c r="P1454" s="846"/>
      <c r="Q1454" s="846"/>
      <c r="R1454" s="846"/>
      <c r="S1454" s="846"/>
      <c r="T1454" s="846"/>
    </row>
    <row r="1455" spans="2:20" ht="38.25" hidden="1">
      <c r="B1455" s="828" t="s">
        <v>6679</v>
      </c>
      <c r="C1455" s="828">
        <v>102669</v>
      </c>
      <c r="D1455" s="630" t="s">
        <v>6251</v>
      </c>
      <c r="E1455" s="630" t="s">
        <v>648</v>
      </c>
      <c r="F1455" s="829">
        <v>53.5</v>
      </c>
      <c r="G1455" s="830">
        <v>8.61</v>
      </c>
      <c r="H1455" s="831">
        <v>62.11</v>
      </c>
      <c r="I1455" s="846"/>
      <c r="J1455" s="846"/>
      <c r="K1455" s="846"/>
      <c r="L1455" s="846"/>
      <c r="M1455" s="846"/>
      <c r="N1455" s="846"/>
      <c r="O1455" s="846"/>
      <c r="P1455" s="846"/>
      <c r="Q1455" s="846"/>
      <c r="R1455" s="846"/>
      <c r="S1455" s="846"/>
      <c r="T1455" s="846"/>
    </row>
    <row r="1456" spans="2:20" ht="38.25" hidden="1">
      <c r="B1456" s="828" t="s">
        <v>6679</v>
      </c>
      <c r="C1456" s="828">
        <v>102670</v>
      </c>
      <c r="D1456" s="630" t="s">
        <v>6252</v>
      </c>
      <c r="E1456" s="630" t="s">
        <v>648</v>
      </c>
      <c r="F1456" s="829">
        <v>83.48</v>
      </c>
      <c r="G1456" s="830">
        <v>12.58</v>
      </c>
      <c r="H1456" s="831">
        <v>96.06</v>
      </c>
      <c r="I1456" s="846"/>
      <c r="J1456" s="846"/>
      <c r="K1456" s="846"/>
      <c r="L1456" s="846"/>
      <c r="M1456" s="846"/>
      <c r="N1456" s="846"/>
      <c r="O1456" s="846"/>
      <c r="P1456" s="846"/>
      <c r="Q1456" s="846"/>
      <c r="R1456" s="846"/>
      <c r="S1456" s="846"/>
      <c r="T1456" s="846"/>
    </row>
    <row r="1457" spans="2:20" ht="38.25" hidden="1">
      <c r="B1457" s="828" t="s">
        <v>6679</v>
      </c>
      <c r="C1457" s="828">
        <v>102673</v>
      </c>
      <c r="D1457" s="630" t="s">
        <v>6253</v>
      </c>
      <c r="E1457" s="630" t="s">
        <v>648</v>
      </c>
      <c r="F1457" s="829">
        <v>105.29</v>
      </c>
      <c r="G1457" s="830">
        <v>27.8</v>
      </c>
      <c r="H1457" s="831">
        <v>133.09</v>
      </c>
      <c r="I1457" s="846"/>
      <c r="J1457" s="846"/>
      <c r="K1457" s="846"/>
      <c r="L1457" s="846"/>
      <c r="M1457" s="846"/>
      <c r="N1457" s="846"/>
      <c r="O1457" s="846"/>
      <c r="P1457" s="846"/>
      <c r="Q1457" s="846"/>
      <c r="R1457" s="846"/>
      <c r="S1457" s="846"/>
      <c r="T1457" s="846"/>
    </row>
    <row r="1458" spans="2:20" ht="38.25" hidden="1">
      <c r="B1458" s="828" t="s">
        <v>6679</v>
      </c>
      <c r="C1458" s="828">
        <v>102674</v>
      </c>
      <c r="D1458" s="630" t="s">
        <v>6254</v>
      </c>
      <c r="E1458" s="630" t="s">
        <v>648</v>
      </c>
      <c r="F1458" s="829">
        <v>92.15</v>
      </c>
      <c r="G1458" s="830">
        <v>9.32</v>
      </c>
      <c r="H1458" s="831">
        <v>101.47</v>
      </c>
      <c r="I1458" s="846"/>
      <c r="J1458" s="846"/>
      <c r="K1458" s="846"/>
      <c r="L1458" s="846"/>
      <c r="M1458" s="846"/>
      <c r="N1458" s="846"/>
      <c r="O1458" s="846"/>
      <c r="P1458" s="846"/>
      <c r="Q1458" s="846"/>
      <c r="R1458" s="846"/>
      <c r="S1458" s="846"/>
      <c r="T1458" s="846"/>
    </row>
    <row r="1459" spans="2:20" ht="25.5" hidden="1">
      <c r="B1459" s="828" t="s">
        <v>6679</v>
      </c>
      <c r="C1459" s="828">
        <v>102677</v>
      </c>
      <c r="D1459" s="630" t="s">
        <v>6255</v>
      </c>
      <c r="E1459" s="630" t="s">
        <v>648</v>
      </c>
      <c r="F1459" s="829">
        <v>101.5</v>
      </c>
      <c r="G1459" s="830">
        <v>14.93</v>
      </c>
      <c r="H1459" s="831">
        <v>116.43</v>
      </c>
      <c r="I1459" s="846"/>
      <c r="J1459" s="846"/>
      <c r="K1459" s="846"/>
      <c r="L1459" s="846"/>
      <c r="M1459" s="846"/>
      <c r="N1459" s="846"/>
      <c r="O1459" s="846"/>
      <c r="P1459" s="846"/>
      <c r="Q1459" s="846"/>
      <c r="R1459" s="846"/>
      <c r="S1459" s="846"/>
      <c r="T1459" s="846"/>
    </row>
    <row r="1460" spans="2:20" ht="25.5" hidden="1">
      <c r="B1460" s="828" t="s">
        <v>6679</v>
      </c>
      <c r="C1460" s="828">
        <v>102678</v>
      </c>
      <c r="D1460" s="630" t="s">
        <v>6256</v>
      </c>
      <c r="E1460" s="630" t="s">
        <v>648</v>
      </c>
      <c r="F1460" s="829">
        <v>98.62</v>
      </c>
      <c r="G1460" s="830">
        <v>12.98</v>
      </c>
      <c r="H1460" s="831">
        <v>111.6</v>
      </c>
      <c r="I1460" s="846"/>
      <c r="J1460" s="846"/>
      <c r="K1460" s="846"/>
      <c r="L1460" s="846"/>
      <c r="M1460" s="846"/>
      <c r="N1460" s="846"/>
      <c r="O1460" s="846"/>
      <c r="P1460" s="846"/>
      <c r="Q1460" s="846"/>
      <c r="R1460" s="846"/>
      <c r="S1460" s="846"/>
      <c r="T1460" s="846"/>
    </row>
    <row r="1461" spans="2:20" ht="25.5" hidden="1">
      <c r="B1461" s="828" t="s">
        <v>6679</v>
      </c>
      <c r="C1461" s="828">
        <v>102679</v>
      </c>
      <c r="D1461" s="630" t="s">
        <v>6257</v>
      </c>
      <c r="E1461" s="630" t="s">
        <v>648</v>
      </c>
      <c r="F1461" s="829">
        <v>105.75999999999999</v>
      </c>
      <c r="G1461" s="830">
        <v>8.91</v>
      </c>
      <c r="H1461" s="831">
        <v>114.67</v>
      </c>
      <c r="I1461" s="846"/>
      <c r="J1461" s="846"/>
      <c r="K1461" s="846"/>
      <c r="L1461" s="846"/>
      <c r="M1461" s="846"/>
      <c r="N1461" s="846"/>
      <c r="O1461" s="846"/>
      <c r="P1461" s="846"/>
      <c r="Q1461" s="846"/>
      <c r="R1461" s="846"/>
      <c r="S1461" s="846"/>
      <c r="T1461" s="846"/>
    </row>
    <row r="1462" spans="2:20" ht="38.25" hidden="1">
      <c r="B1462" s="828" t="s">
        <v>6679</v>
      </c>
      <c r="C1462" s="828">
        <v>102680</v>
      </c>
      <c r="D1462" s="630" t="s">
        <v>6258</v>
      </c>
      <c r="E1462" s="630" t="s">
        <v>648</v>
      </c>
      <c r="F1462" s="829">
        <v>110.34</v>
      </c>
      <c r="G1462" s="830">
        <v>14</v>
      </c>
      <c r="H1462" s="831">
        <v>124.34</v>
      </c>
      <c r="I1462" s="846"/>
      <c r="J1462" s="846"/>
      <c r="K1462" s="846"/>
      <c r="L1462" s="846"/>
      <c r="M1462" s="846"/>
      <c r="N1462" s="846"/>
      <c r="O1462" s="846"/>
      <c r="P1462" s="846"/>
      <c r="Q1462" s="846"/>
      <c r="R1462" s="846"/>
      <c r="S1462" s="846"/>
      <c r="T1462" s="846"/>
    </row>
    <row r="1463" spans="2:20" ht="38.25" hidden="1">
      <c r="B1463" s="828" t="s">
        <v>6679</v>
      </c>
      <c r="C1463" s="828">
        <v>102683</v>
      </c>
      <c r="D1463" s="630" t="s">
        <v>6259</v>
      </c>
      <c r="E1463" s="630" t="s">
        <v>648</v>
      </c>
      <c r="F1463" s="829">
        <v>123.77000000000001</v>
      </c>
      <c r="G1463" s="830">
        <v>20.68</v>
      </c>
      <c r="H1463" s="831">
        <v>144.44999999999999</v>
      </c>
      <c r="I1463" s="846"/>
      <c r="J1463" s="846"/>
      <c r="K1463" s="846"/>
      <c r="L1463" s="846"/>
      <c r="M1463" s="846"/>
      <c r="N1463" s="846"/>
      <c r="O1463" s="846"/>
      <c r="P1463" s="846"/>
      <c r="Q1463" s="846"/>
      <c r="R1463" s="846"/>
      <c r="S1463" s="846"/>
      <c r="T1463" s="846"/>
    </row>
    <row r="1464" spans="2:20" ht="38.25" hidden="1">
      <c r="B1464" s="828" t="s">
        <v>6679</v>
      </c>
      <c r="C1464" s="828">
        <v>102684</v>
      </c>
      <c r="D1464" s="630" t="s">
        <v>6260</v>
      </c>
      <c r="E1464" s="630" t="s">
        <v>648</v>
      </c>
      <c r="F1464" s="829">
        <v>117.48</v>
      </c>
      <c r="G1464" s="830">
        <v>9.93</v>
      </c>
      <c r="H1464" s="831">
        <v>127.41</v>
      </c>
      <c r="I1464" s="846"/>
      <c r="J1464" s="846"/>
      <c r="K1464" s="846"/>
      <c r="L1464" s="846"/>
      <c r="M1464" s="846"/>
      <c r="N1464" s="846"/>
      <c r="O1464" s="846"/>
      <c r="P1464" s="846"/>
      <c r="Q1464" s="846"/>
      <c r="R1464" s="846"/>
      <c r="S1464" s="846"/>
      <c r="T1464" s="846"/>
    </row>
    <row r="1465" spans="2:20" ht="38.25" hidden="1">
      <c r="B1465" s="828" t="s">
        <v>6679</v>
      </c>
      <c r="C1465" s="828">
        <v>102687</v>
      </c>
      <c r="D1465" s="630" t="s">
        <v>6261</v>
      </c>
      <c r="E1465" s="630" t="s">
        <v>648</v>
      </c>
      <c r="F1465" s="829">
        <v>127.54</v>
      </c>
      <c r="G1465" s="830">
        <v>15.54</v>
      </c>
      <c r="H1465" s="831">
        <v>143.08000000000001</v>
      </c>
      <c r="I1465" s="846"/>
      <c r="J1465" s="846"/>
      <c r="K1465" s="846"/>
      <c r="L1465" s="846"/>
      <c r="M1465" s="846"/>
      <c r="N1465" s="846"/>
      <c r="O1465" s="846"/>
      <c r="P1465" s="846"/>
      <c r="Q1465" s="846"/>
      <c r="R1465" s="846"/>
      <c r="S1465" s="846"/>
      <c r="T1465" s="846"/>
    </row>
    <row r="1466" spans="2:20" ht="38.25" hidden="1">
      <c r="B1466" s="828" t="s">
        <v>6679</v>
      </c>
      <c r="C1466" s="828">
        <v>102688</v>
      </c>
      <c r="D1466" s="630" t="s">
        <v>6262</v>
      </c>
      <c r="E1466" s="630" t="s">
        <v>648</v>
      </c>
      <c r="F1466" s="829">
        <v>31.91</v>
      </c>
      <c r="G1466" s="830">
        <v>8.17</v>
      </c>
      <c r="H1466" s="831">
        <v>40.08</v>
      </c>
      <c r="I1466" s="846"/>
      <c r="J1466" s="846"/>
      <c r="K1466" s="846"/>
      <c r="L1466" s="846"/>
      <c r="M1466" s="846"/>
      <c r="N1466" s="846"/>
      <c r="O1466" s="846"/>
      <c r="P1466" s="846"/>
      <c r="Q1466" s="846"/>
      <c r="R1466" s="846"/>
      <c r="S1466" s="846"/>
      <c r="T1466" s="846"/>
    </row>
    <row r="1467" spans="2:20" ht="38.25" hidden="1">
      <c r="B1467" s="828" t="s">
        <v>6679</v>
      </c>
      <c r="C1467" s="828">
        <v>102690</v>
      </c>
      <c r="D1467" s="630" t="s">
        <v>6263</v>
      </c>
      <c r="E1467" s="630" t="s">
        <v>648</v>
      </c>
      <c r="F1467" s="829">
        <v>50.9</v>
      </c>
      <c r="G1467" s="830">
        <v>8.5299999999999994</v>
      </c>
      <c r="H1467" s="831">
        <v>59.43</v>
      </c>
      <c r="I1467" s="846"/>
      <c r="J1467" s="846"/>
      <c r="K1467" s="846"/>
      <c r="L1467" s="846"/>
      <c r="M1467" s="846"/>
      <c r="N1467" s="846"/>
      <c r="O1467" s="846"/>
      <c r="P1467" s="846"/>
      <c r="Q1467" s="846"/>
      <c r="R1467" s="846"/>
      <c r="S1467" s="846"/>
      <c r="T1467" s="846"/>
    </row>
    <row r="1468" spans="2:20" ht="38.25" hidden="1">
      <c r="B1468" s="828" t="s">
        <v>6679</v>
      </c>
      <c r="C1468" s="828">
        <v>102694</v>
      </c>
      <c r="D1468" s="630" t="s">
        <v>6264</v>
      </c>
      <c r="E1468" s="630" t="s">
        <v>648</v>
      </c>
      <c r="F1468" s="829">
        <v>61.38</v>
      </c>
      <c r="G1468" s="830">
        <v>10.09</v>
      </c>
      <c r="H1468" s="831">
        <v>71.47</v>
      </c>
      <c r="I1468" s="846"/>
      <c r="J1468" s="846"/>
      <c r="K1468" s="846"/>
      <c r="L1468" s="846"/>
      <c r="M1468" s="846"/>
      <c r="N1468" s="846"/>
      <c r="O1468" s="846"/>
      <c r="P1468" s="846"/>
      <c r="Q1468" s="846"/>
      <c r="R1468" s="846"/>
      <c r="S1468" s="846"/>
      <c r="T1468" s="846"/>
    </row>
    <row r="1469" spans="2:20" ht="38.25" hidden="1">
      <c r="B1469" s="828" t="s">
        <v>6679</v>
      </c>
      <c r="C1469" s="828">
        <v>102697</v>
      </c>
      <c r="D1469" s="630" t="s">
        <v>6265</v>
      </c>
      <c r="E1469" s="630" t="s">
        <v>648</v>
      </c>
      <c r="F1469" s="829">
        <v>81.88</v>
      </c>
      <c r="G1469" s="830">
        <v>10.71</v>
      </c>
      <c r="H1469" s="831">
        <v>92.59</v>
      </c>
      <c r="I1469" s="846"/>
      <c r="J1469" s="846"/>
      <c r="K1469" s="846"/>
      <c r="L1469" s="846"/>
      <c r="M1469" s="846"/>
      <c r="N1469" s="846"/>
      <c r="O1469" s="846"/>
      <c r="P1469" s="846"/>
      <c r="Q1469" s="846"/>
      <c r="R1469" s="846"/>
      <c r="S1469" s="846"/>
      <c r="T1469" s="846"/>
    </row>
    <row r="1470" spans="2:20" ht="25.5" hidden="1">
      <c r="B1470" s="828" t="s">
        <v>6679</v>
      </c>
      <c r="C1470" s="828">
        <v>102704</v>
      </c>
      <c r="D1470" s="630" t="s">
        <v>6266</v>
      </c>
      <c r="E1470" s="630" t="s">
        <v>648</v>
      </c>
      <c r="F1470" s="829">
        <v>11.54</v>
      </c>
      <c r="G1470" s="830">
        <v>0.36</v>
      </c>
      <c r="H1470" s="831">
        <v>11.9</v>
      </c>
      <c r="I1470" s="846"/>
      <c r="J1470" s="846"/>
      <c r="K1470" s="846"/>
      <c r="L1470" s="846"/>
      <c r="M1470" s="846"/>
      <c r="N1470" s="846"/>
      <c r="O1470" s="846"/>
      <c r="P1470" s="846"/>
      <c r="Q1470" s="846"/>
      <c r="R1470" s="846"/>
      <c r="S1470" s="846"/>
      <c r="T1470" s="846"/>
    </row>
    <row r="1471" spans="2:20" ht="25.5" hidden="1">
      <c r="B1471" s="828" t="s">
        <v>6679</v>
      </c>
      <c r="C1471" s="828">
        <v>102706</v>
      </c>
      <c r="D1471" s="630" t="s">
        <v>6267</v>
      </c>
      <c r="E1471" s="630" t="s">
        <v>648</v>
      </c>
      <c r="F1471" s="829">
        <v>13.36</v>
      </c>
      <c r="G1471" s="830">
        <v>0.36</v>
      </c>
      <c r="H1471" s="831">
        <v>13.72</v>
      </c>
      <c r="I1471" s="846"/>
      <c r="J1471" s="846"/>
      <c r="K1471" s="846"/>
      <c r="L1471" s="846"/>
      <c r="M1471" s="846"/>
      <c r="N1471" s="846"/>
      <c r="O1471" s="846"/>
      <c r="P1471" s="846"/>
      <c r="Q1471" s="846"/>
      <c r="R1471" s="846"/>
      <c r="S1471" s="846"/>
      <c r="T1471" s="846"/>
    </row>
    <row r="1472" spans="2:20" ht="25.5" hidden="1">
      <c r="B1472" s="828" t="s">
        <v>6679</v>
      </c>
      <c r="C1472" s="828">
        <v>102707</v>
      </c>
      <c r="D1472" s="630" t="s">
        <v>6268</v>
      </c>
      <c r="E1472" s="630" t="s">
        <v>648</v>
      </c>
      <c r="F1472" s="829">
        <v>20.03</v>
      </c>
      <c r="G1472" s="830">
        <v>4.22</v>
      </c>
      <c r="H1472" s="831">
        <v>24.25</v>
      </c>
      <c r="I1472" s="846"/>
      <c r="J1472" s="846"/>
      <c r="K1472" s="846"/>
      <c r="L1472" s="846"/>
      <c r="M1472" s="846"/>
      <c r="N1472" s="846"/>
      <c r="O1472" s="846"/>
      <c r="P1472" s="846"/>
      <c r="Q1472" s="846"/>
      <c r="R1472" s="846"/>
      <c r="S1472" s="846"/>
      <c r="T1472" s="846"/>
    </row>
    <row r="1473" spans="2:20" ht="25.5" hidden="1">
      <c r="B1473" s="828" t="s">
        <v>6679</v>
      </c>
      <c r="C1473" s="828">
        <v>102708</v>
      </c>
      <c r="D1473" s="630" t="s">
        <v>6269</v>
      </c>
      <c r="E1473" s="630" t="s">
        <v>646</v>
      </c>
      <c r="F1473" s="829">
        <v>13.56</v>
      </c>
      <c r="G1473" s="830">
        <v>14.53</v>
      </c>
      <c r="H1473" s="831">
        <v>28.09</v>
      </c>
      <c r="I1473" s="846"/>
      <c r="J1473" s="846"/>
      <c r="K1473" s="846"/>
      <c r="L1473" s="846"/>
      <c r="M1473" s="846"/>
      <c r="N1473" s="846"/>
      <c r="O1473" s="846"/>
      <c r="P1473" s="846"/>
      <c r="Q1473" s="846"/>
      <c r="R1473" s="846"/>
      <c r="S1473" s="846"/>
      <c r="T1473" s="846"/>
    </row>
    <row r="1474" spans="2:20" ht="38.25" hidden="1">
      <c r="B1474" s="828" t="s">
        <v>6679</v>
      </c>
      <c r="C1474" s="828">
        <v>102710</v>
      </c>
      <c r="D1474" s="630" t="s">
        <v>6270</v>
      </c>
      <c r="E1474" s="630" t="s">
        <v>646</v>
      </c>
      <c r="F1474" s="829">
        <v>39.299999999999997</v>
      </c>
      <c r="G1474" s="830">
        <v>29.02</v>
      </c>
      <c r="H1474" s="831">
        <v>68.319999999999993</v>
      </c>
      <c r="I1474" s="846"/>
      <c r="J1474" s="846"/>
      <c r="K1474" s="846"/>
      <c r="L1474" s="846"/>
      <c r="M1474" s="846"/>
      <c r="N1474" s="846"/>
      <c r="O1474" s="846"/>
      <c r="P1474" s="846"/>
      <c r="Q1474" s="846"/>
      <c r="R1474" s="846"/>
      <c r="S1474" s="846"/>
      <c r="T1474" s="846"/>
    </row>
    <row r="1475" spans="2:20" ht="38.25" hidden="1">
      <c r="B1475" s="828" t="s">
        <v>6679</v>
      </c>
      <c r="C1475" s="828">
        <v>102711</v>
      </c>
      <c r="D1475" s="630" t="s">
        <v>6271</v>
      </c>
      <c r="E1475" s="630" t="s">
        <v>646</v>
      </c>
      <c r="F1475" s="829">
        <v>63.39</v>
      </c>
      <c r="G1475" s="830">
        <v>29.01</v>
      </c>
      <c r="H1475" s="831">
        <v>92.4</v>
      </c>
      <c r="I1475" s="846"/>
      <c r="J1475" s="846"/>
      <c r="K1475" s="846"/>
      <c r="L1475" s="846"/>
      <c r="M1475" s="846"/>
      <c r="N1475" s="846"/>
      <c r="O1475" s="846"/>
      <c r="P1475" s="846"/>
      <c r="Q1475" s="846"/>
      <c r="R1475" s="846"/>
      <c r="S1475" s="846"/>
      <c r="T1475" s="846"/>
    </row>
    <row r="1476" spans="2:20" ht="38.25" hidden="1">
      <c r="B1476" s="828" t="s">
        <v>6679</v>
      </c>
      <c r="C1476" s="828">
        <v>102712</v>
      </c>
      <c r="D1476" s="630" t="s">
        <v>6272</v>
      </c>
      <c r="E1476" s="630" t="s">
        <v>649</v>
      </c>
      <c r="F1476" s="829">
        <v>8.9499999999999993</v>
      </c>
      <c r="G1476" s="830">
        <v>0.36</v>
      </c>
      <c r="H1476" s="831">
        <v>9.31</v>
      </c>
      <c r="I1476" s="846"/>
      <c r="J1476" s="846"/>
      <c r="K1476" s="846"/>
      <c r="L1476" s="846"/>
      <c r="M1476" s="846"/>
      <c r="N1476" s="846"/>
      <c r="O1476" s="846"/>
      <c r="P1476" s="846"/>
      <c r="Q1476" s="846"/>
      <c r="R1476" s="846"/>
      <c r="S1476" s="846"/>
      <c r="T1476" s="846"/>
    </row>
    <row r="1477" spans="2:20" ht="38.25" hidden="1">
      <c r="B1477" s="828" t="s">
        <v>6679</v>
      </c>
      <c r="C1477" s="828">
        <v>102713</v>
      </c>
      <c r="D1477" s="630" t="s">
        <v>6273</v>
      </c>
      <c r="E1477" s="630" t="s">
        <v>649</v>
      </c>
      <c r="F1477" s="829">
        <v>12.41</v>
      </c>
      <c r="G1477" s="830">
        <v>0.36</v>
      </c>
      <c r="H1477" s="831">
        <v>12.77</v>
      </c>
      <c r="I1477" s="846"/>
      <c r="J1477" s="846"/>
      <c r="K1477" s="846"/>
      <c r="L1477" s="846"/>
      <c r="M1477" s="846"/>
      <c r="N1477" s="846"/>
      <c r="O1477" s="846"/>
      <c r="P1477" s="846"/>
      <c r="Q1477" s="846"/>
      <c r="R1477" s="846"/>
      <c r="S1477" s="846"/>
      <c r="T1477" s="846"/>
    </row>
    <row r="1478" spans="2:20" ht="38.25" hidden="1">
      <c r="B1478" s="828" t="s">
        <v>6679</v>
      </c>
      <c r="C1478" s="828">
        <v>102715</v>
      </c>
      <c r="D1478" s="630" t="s">
        <v>6274</v>
      </c>
      <c r="E1478" s="630" t="s">
        <v>649</v>
      </c>
      <c r="F1478" s="829">
        <v>24.85</v>
      </c>
      <c r="G1478" s="830">
        <v>0.36</v>
      </c>
      <c r="H1478" s="831">
        <v>25.21</v>
      </c>
      <c r="I1478" s="846"/>
      <c r="J1478" s="846"/>
      <c r="K1478" s="846"/>
      <c r="L1478" s="846"/>
      <c r="M1478" s="846"/>
      <c r="N1478" s="846"/>
      <c r="O1478" s="846"/>
      <c r="P1478" s="846"/>
      <c r="Q1478" s="846"/>
      <c r="R1478" s="846"/>
      <c r="S1478" s="846"/>
      <c r="T1478" s="846"/>
    </row>
    <row r="1479" spans="2:20" ht="25.5" hidden="1">
      <c r="B1479" s="828" t="s">
        <v>6679</v>
      </c>
      <c r="C1479" s="828">
        <v>102716</v>
      </c>
      <c r="D1479" s="630" t="s">
        <v>6275</v>
      </c>
      <c r="E1479" s="630" t="s">
        <v>644</v>
      </c>
      <c r="F1479" s="829">
        <v>105.8</v>
      </c>
      <c r="G1479" s="830">
        <v>10.93</v>
      </c>
      <c r="H1479" s="831">
        <v>116.73</v>
      </c>
      <c r="I1479" s="846"/>
      <c r="J1479" s="846"/>
      <c r="K1479" s="846"/>
      <c r="L1479" s="846"/>
      <c r="M1479" s="846"/>
      <c r="N1479" s="846"/>
      <c r="O1479" s="846"/>
      <c r="P1479" s="846"/>
      <c r="Q1479" s="846"/>
      <c r="R1479" s="846"/>
      <c r="S1479" s="846"/>
      <c r="T1479" s="846"/>
    </row>
    <row r="1480" spans="2:20" ht="25.5" hidden="1">
      <c r="B1480" s="828" t="s">
        <v>6679</v>
      </c>
      <c r="C1480" s="828">
        <v>102717</v>
      </c>
      <c r="D1480" s="630" t="s">
        <v>6276</v>
      </c>
      <c r="E1480" s="630" t="s">
        <v>644</v>
      </c>
      <c r="F1480" s="829">
        <v>76.41</v>
      </c>
      <c r="G1480" s="830">
        <v>10.94</v>
      </c>
      <c r="H1480" s="831">
        <v>87.35</v>
      </c>
      <c r="I1480" s="846"/>
      <c r="J1480" s="846"/>
      <c r="K1480" s="846"/>
      <c r="L1480" s="846"/>
      <c r="M1480" s="846"/>
      <c r="N1480" s="846"/>
      <c r="O1480" s="846"/>
      <c r="P1480" s="846"/>
      <c r="Q1480" s="846"/>
      <c r="R1480" s="846"/>
      <c r="S1480" s="846"/>
      <c r="T1480" s="846"/>
    </row>
    <row r="1481" spans="2:20" hidden="1">
      <c r="B1481" s="828" t="s">
        <v>6679</v>
      </c>
      <c r="C1481" s="828">
        <v>102718</v>
      </c>
      <c r="D1481" s="630" t="s">
        <v>6277</v>
      </c>
      <c r="E1481" s="630" t="s">
        <v>644</v>
      </c>
      <c r="F1481" s="829">
        <v>100.7</v>
      </c>
      <c r="G1481" s="830">
        <v>28.17</v>
      </c>
      <c r="H1481" s="832">
        <v>128.87</v>
      </c>
      <c r="I1481" s="846"/>
      <c r="J1481" s="846"/>
      <c r="K1481" s="846"/>
      <c r="L1481" s="846"/>
      <c r="M1481" s="846"/>
      <c r="N1481" s="846"/>
      <c r="O1481" s="846"/>
      <c r="P1481" s="846"/>
      <c r="Q1481" s="846"/>
      <c r="R1481" s="846"/>
      <c r="S1481" s="846"/>
      <c r="T1481" s="846"/>
    </row>
    <row r="1482" spans="2:20" hidden="1">
      <c r="B1482" s="828" t="s">
        <v>6679</v>
      </c>
      <c r="C1482" s="828">
        <v>102719</v>
      </c>
      <c r="D1482" s="630" t="s">
        <v>6278</v>
      </c>
      <c r="E1482" s="630" t="s">
        <v>644</v>
      </c>
      <c r="F1482" s="829">
        <v>71.319999999999993</v>
      </c>
      <c r="G1482" s="830">
        <v>28.17</v>
      </c>
      <c r="H1482" s="832">
        <v>99.49</v>
      </c>
      <c r="I1482" s="846"/>
      <c r="J1482" s="846"/>
      <c r="K1482" s="846"/>
      <c r="L1482" s="846"/>
      <c r="M1482" s="846"/>
      <c r="N1482" s="846"/>
      <c r="O1482" s="846"/>
      <c r="P1482" s="846"/>
      <c r="Q1482" s="846"/>
      <c r="R1482" s="846"/>
      <c r="S1482" s="846"/>
      <c r="T1482" s="846"/>
    </row>
    <row r="1483" spans="2:20" ht="38.25" hidden="1">
      <c r="B1483" s="828" t="s">
        <v>6679</v>
      </c>
      <c r="C1483" s="828">
        <v>102722</v>
      </c>
      <c r="D1483" s="630" t="s">
        <v>6279</v>
      </c>
      <c r="E1483" s="630" t="s">
        <v>648</v>
      </c>
      <c r="F1483" s="829">
        <v>42.7</v>
      </c>
      <c r="G1483" s="830">
        <v>9.17</v>
      </c>
      <c r="H1483" s="832">
        <v>51.87</v>
      </c>
      <c r="I1483" s="846"/>
      <c r="J1483" s="846"/>
      <c r="K1483" s="846"/>
      <c r="L1483" s="846"/>
      <c r="M1483" s="846"/>
      <c r="N1483" s="846"/>
      <c r="O1483" s="846"/>
      <c r="P1483" s="846"/>
      <c r="Q1483" s="846"/>
      <c r="R1483" s="846"/>
      <c r="S1483" s="846"/>
      <c r="T1483" s="846"/>
    </row>
    <row r="1484" spans="2:20" ht="38.25" hidden="1">
      <c r="B1484" s="828" t="s">
        <v>6679</v>
      </c>
      <c r="C1484" s="828">
        <v>102723</v>
      </c>
      <c r="D1484" s="630" t="s">
        <v>6280</v>
      </c>
      <c r="E1484" s="630" t="s">
        <v>648</v>
      </c>
      <c r="F1484" s="829">
        <v>43.23</v>
      </c>
      <c r="G1484" s="830">
        <v>9.17</v>
      </c>
      <c r="H1484" s="831">
        <v>52.4</v>
      </c>
      <c r="I1484" s="846"/>
      <c r="J1484" s="846"/>
      <c r="K1484" s="846"/>
      <c r="L1484" s="846"/>
      <c r="M1484" s="846"/>
      <c r="N1484" s="846"/>
      <c r="O1484" s="846"/>
      <c r="P1484" s="846"/>
      <c r="Q1484" s="846"/>
      <c r="R1484" s="846"/>
      <c r="S1484" s="846"/>
      <c r="T1484" s="846"/>
    </row>
    <row r="1485" spans="2:20" hidden="1">
      <c r="B1485" s="828" t="s">
        <v>6679</v>
      </c>
      <c r="C1485" s="828">
        <v>102724</v>
      </c>
      <c r="D1485" s="630" t="s">
        <v>6281</v>
      </c>
      <c r="E1485" s="630" t="s">
        <v>646</v>
      </c>
      <c r="F1485" s="829">
        <v>23.26</v>
      </c>
      <c r="G1485" s="830">
        <v>8.7899999999999991</v>
      </c>
      <c r="H1485" s="831">
        <v>32.049999999999997</v>
      </c>
      <c r="I1485" s="846"/>
      <c r="J1485" s="846"/>
      <c r="K1485" s="846"/>
      <c r="L1485" s="846"/>
      <c r="M1485" s="846"/>
      <c r="N1485" s="846"/>
      <c r="O1485" s="846"/>
      <c r="P1485" s="846"/>
      <c r="Q1485" s="846"/>
      <c r="R1485" s="846"/>
      <c r="S1485" s="846"/>
      <c r="T1485" s="846"/>
    </row>
    <row r="1486" spans="2:20" hidden="1">
      <c r="B1486" s="828" t="s">
        <v>6679</v>
      </c>
      <c r="C1486" s="828">
        <v>102725</v>
      </c>
      <c r="D1486" s="630" t="s">
        <v>6282</v>
      </c>
      <c r="E1486" s="630" t="s">
        <v>646</v>
      </c>
      <c r="F1486" s="829">
        <v>21.82</v>
      </c>
      <c r="G1486" s="830">
        <v>8.7899999999999991</v>
      </c>
      <c r="H1486" s="831">
        <v>30.61</v>
      </c>
      <c r="I1486" s="846"/>
      <c r="J1486" s="846"/>
      <c r="K1486" s="846"/>
      <c r="L1486" s="846"/>
      <c r="M1486" s="846"/>
      <c r="N1486" s="846"/>
      <c r="O1486" s="846"/>
      <c r="P1486" s="846"/>
      <c r="Q1486" s="846"/>
      <c r="R1486" s="846"/>
      <c r="S1486" s="846"/>
      <c r="T1486" s="846"/>
    </row>
    <row r="1487" spans="2:20" hidden="1">
      <c r="B1487" s="828" t="s">
        <v>6679</v>
      </c>
      <c r="C1487" s="828">
        <v>102726</v>
      </c>
      <c r="D1487" s="630" t="s">
        <v>6283</v>
      </c>
      <c r="E1487" s="630" t="s">
        <v>646</v>
      </c>
      <c r="F1487" s="829">
        <v>18.829999999999998</v>
      </c>
      <c r="G1487" s="830">
        <v>8.7899999999999991</v>
      </c>
      <c r="H1487" s="831">
        <v>27.62</v>
      </c>
      <c r="I1487" s="846"/>
      <c r="J1487" s="846"/>
      <c r="K1487" s="846"/>
      <c r="L1487" s="846"/>
      <c r="M1487" s="846"/>
      <c r="N1487" s="846"/>
      <c r="O1487" s="846"/>
      <c r="P1487" s="846"/>
      <c r="Q1487" s="846"/>
      <c r="R1487" s="846"/>
      <c r="S1487" s="846"/>
      <c r="T1487" s="846"/>
    </row>
    <row r="1488" spans="2:20" ht="38.25" hidden="1">
      <c r="B1488" s="828" t="s">
        <v>6679</v>
      </c>
      <c r="C1488" s="828">
        <v>103653</v>
      </c>
      <c r="D1488" s="630" t="s">
        <v>7073</v>
      </c>
      <c r="E1488" s="630" t="s">
        <v>649</v>
      </c>
      <c r="F1488" s="829">
        <v>29.74</v>
      </c>
      <c r="G1488" s="830">
        <v>0.36</v>
      </c>
      <c r="H1488" s="831">
        <v>30.1</v>
      </c>
      <c r="I1488" s="846"/>
      <c r="J1488" s="846"/>
      <c r="K1488" s="846"/>
      <c r="L1488" s="846"/>
      <c r="M1488" s="846"/>
      <c r="N1488" s="846"/>
      <c r="O1488" s="846"/>
      <c r="P1488" s="846"/>
      <c r="Q1488" s="846"/>
      <c r="R1488" s="846"/>
      <c r="S1488" s="846"/>
      <c r="T1488" s="846"/>
    </row>
    <row r="1489" spans="2:20" ht="51" hidden="1">
      <c r="B1489" s="828" t="s">
        <v>6569</v>
      </c>
      <c r="C1489" s="828">
        <v>92743</v>
      </c>
      <c r="D1489" s="630" t="s">
        <v>2959</v>
      </c>
      <c r="E1489" s="630" t="s">
        <v>644</v>
      </c>
      <c r="F1489" s="829">
        <v>548.6</v>
      </c>
      <c r="G1489" s="830">
        <v>127.75</v>
      </c>
      <c r="H1489" s="831">
        <v>676.35</v>
      </c>
      <c r="I1489" s="846"/>
      <c r="J1489" s="846"/>
      <c r="K1489" s="846"/>
      <c r="L1489" s="846"/>
      <c r="M1489" s="846"/>
      <c r="N1489" s="846"/>
      <c r="O1489" s="846"/>
      <c r="P1489" s="846"/>
      <c r="Q1489" s="846"/>
      <c r="R1489" s="846"/>
      <c r="S1489" s="846"/>
      <c r="T1489" s="846"/>
    </row>
    <row r="1490" spans="2:20" ht="51" hidden="1">
      <c r="B1490" s="828" t="s">
        <v>6569</v>
      </c>
      <c r="C1490" s="828">
        <v>92744</v>
      </c>
      <c r="D1490" s="630" t="s">
        <v>2960</v>
      </c>
      <c r="E1490" s="630" t="s">
        <v>644</v>
      </c>
      <c r="F1490" s="829">
        <v>578.57999999999993</v>
      </c>
      <c r="G1490" s="830">
        <v>61.69</v>
      </c>
      <c r="H1490" s="831">
        <v>640.27</v>
      </c>
      <c r="I1490" s="846"/>
      <c r="J1490" s="846"/>
      <c r="K1490" s="846"/>
      <c r="L1490" s="846"/>
      <c r="M1490" s="846"/>
      <c r="N1490" s="846"/>
      <c r="O1490" s="846"/>
      <c r="P1490" s="846"/>
      <c r="Q1490" s="846"/>
      <c r="R1490" s="846"/>
      <c r="S1490" s="846"/>
      <c r="T1490" s="846"/>
    </row>
    <row r="1491" spans="2:20" ht="51" hidden="1">
      <c r="B1491" s="828" t="s">
        <v>6569</v>
      </c>
      <c r="C1491" s="828">
        <v>92745</v>
      </c>
      <c r="D1491" s="630" t="s">
        <v>2961</v>
      </c>
      <c r="E1491" s="630" t="s">
        <v>644</v>
      </c>
      <c r="F1491" s="829">
        <v>700.26</v>
      </c>
      <c r="G1491" s="830">
        <v>153.76</v>
      </c>
      <c r="H1491" s="831">
        <v>854.02</v>
      </c>
      <c r="I1491" s="846"/>
      <c r="J1491" s="846"/>
      <c r="K1491" s="846"/>
      <c r="L1491" s="846"/>
      <c r="M1491" s="846"/>
      <c r="N1491" s="846"/>
      <c r="O1491" s="846"/>
      <c r="P1491" s="846"/>
      <c r="Q1491" s="846"/>
      <c r="R1491" s="846"/>
      <c r="S1491" s="846"/>
      <c r="T1491" s="846"/>
    </row>
    <row r="1492" spans="2:20" ht="51" hidden="1">
      <c r="B1492" s="828" t="s">
        <v>6569</v>
      </c>
      <c r="C1492" s="828">
        <v>92746</v>
      </c>
      <c r="D1492" s="630" t="s">
        <v>3053</v>
      </c>
      <c r="E1492" s="630" t="s">
        <v>644</v>
      </c>
      <c r="F1492" s="829">
        <v>685.71</v>
      </c>
      <c r="G1492" s="830">
        <v>86.78</v>
      </c>
      <c r="H1492" s="831">
        <v>772.49</v>
      </c>
      <c r="I1492" s="846"/>
      <c r="J1492" s="846"/>
      <c r="K1492" s="846"/>
      <c r="L1492" s="846"/>
      <c r="M1492" s="846"/>
      <c r="N1492" s="846"/>
      <c r="O1492" s="846"/>
      <c r="P1492" s="846"/>
      <c r="Q1492" s="846"/>
      <c r="R1492" s="846"/>
      <c r="S1492" s="846"/>
      <c r="T1492" s="846"/>
    </row>
    <row r="1493" spans="2:20" ht="51" hidden="1">
      <c r="B1493" s="828" t="s">
        <v>6569</v>
      </c>
      <c r="C1493" s="828">
        <v>92747</v>
      </c>
      <c r="D1493" s="630" t="s">
        <v>3054</v>
      </c>
      <c r="E1493" s="630" t="s">
        <v>644</v>
      </c>
      <c r="F1493" s="829">
        <v>786.43</v>
      </c>
      <c r="G1493" s="830">
        <v>168.76</v>
      </c>
      <c r="H1493" s="831">
        <v>955.19</v>
      </c>
      <c r="I1493" s="846"/>
      <c r="J1493" s="846"/>
      <c r="K1493" s="846"/>
      <c r="L1493" s="846"/>
      <c r="M1493" s="846"/>
      <c r="N1493" s="846"/>
      <c r="O1493" s="846"/>
      <c r="P1493" s="846"/>
      <c r="Q1493" s="846"/>
      <c r="R1493" s="846"/>
      <c r="S1493" s="846"/>
      <c r="T1493" s="846"/>
    </row>
    <row r="1494" spans="2:20" ht="51" hidden="1">
      <c r="B1494" s="828" t="s">
        <v>6569</v>
      </c>
      <c r="C1494" s="828">
        <v>92748</v>
      </c>
      <c r="D1494" s="630" t="s">
        <v>2962</v>
      </c>
      <c r="E1494" s="630" t="s">
        <v>644</v>
      </c>
      <c r="F1494" s="829">
        <v>746.57999999999993</v>
      </c>
      <c r="G1494" s="830">
        <v>101.69</v>
      </c>
      <c r="H1494" s="831">
        <v>848.27</v>
      </c>
      <c r="I1494" s="846"/>
      <c r="J1494" s="846"/>
      <c r="K1494" s="846"/>
      <c r="L1494" s="846"/>
      <c r="M1494" s="846"/>
      <c r="N1494" s="846"/>
      <c r="O1494" s="846"/>
      <c r="P1494" s="846"/>
      <c r="Q1494" s="846"/>
      <c r="R1494" s="846"/>
      <c r="S1494" s="846"/>
      <c r="T1494" s="846"/>
    </row>
    <row r="1495" spans="2:20" ht="38.25" hidden="1">
      <c r="B1495" s="828" t="s">
        <v>6569</v>
      </c>
      <c r="C1495" s="828">
        <v>92749</v>
      </c>
      <c r="D1495" s="630" t="s">
        <v>3055</v>
      </c>
      <c r="E1495" s="630" t="s">
        <v>644</v>
      </c>
      <c r="F1495" s="829">
        <v>865.09999999999991</v>
      </c>
      <c r="G1495" s="830">
        <v>126.3</v>
      </c>
      <c r="H1495" s="831">
        <v>991.4</v>
      </c>
      <c r="I1495" s="846"/>
      <c r="J1495" s="846"/>
      <c r="K1495" s="846"/>
      <c r="L1495" s="846"/>
      <c r="M1495" s="846"/>
      <c r="N1495" s="846"/>
      <c r="O1495" s="846"/>
      <c r="P1495" s="846"/>
      <c r="Q1495" s="846"/>
      <c r="R1495" s="846"/>
      <c r="S1495" s="846"/>
      <c r="T1495" s="846"/>
    </row>
    <row r="1496" spans="2:20" ht="38.25" hidden="1">
      <c r="B1496" s="828" t="s">
        <v>6569</v>
      </c>
      <c r="C1496" s="828">
        <v>92750</v>
      </c>
      <c r="D1496" s="630" t="s">
        <v>3056</v>
      </c>
      <c r="E1496" s="630" t="s">
        <v>644</v>
      </c>
      <c r="F1496" s="829">
        <v>1573.85</v>
      </c>
      <c r="G1496" s="830">
        <v>173.63</v>
      </c>
      <c r="H1496" s="831">
        <v>1747.48</v>
      </c>
      <c r="I1496" s="846"/>
      <c r="J1496" s="846"/>
      <c r="K1496" s="846"/>
      <c r="L1496" s="846"/>
      <c r="M1496" s="846"/>
      <c r="N1496" s="846"/>
      <c r="O1496" s="846"/>
      <c r="P1496" s="846"/>
      <c r="Q1496" s="846"/>
      <c r="R1496" s="846"/>
      <c r="S1496" s="846"/>
      <c r="T1496" s="846"/>
    </row>
    <row r="1497" spans="2:20" ht="38.25" hidden="1">
      <c r="B1497" s="828" t="s">
        <v>6569</v>
      </c>
      <c r="C1497" s="828">
        <v>92751</v>
      </c>
      <c r="D1497" s="630" t="s">
        <v>3057</v>
      </c>
      <c r="E1497" s="630" t="s">
        <v>644</v>
      </c>
      <c r="F1497" s="829">
        <v>1986.3899999999999</v>
      </c>
      <c r="G1497" s="830">
        <v>200.3</v>
      </c>
      <c r="H1497" s="831">
        <v>2186.69</v>
      </c>
      <c r="I1497" s="846"/>
      <c r="J1497" s="846"/>
      <c r="K1497" s="846"/>
      <c r="L1497" s="846"/>
      <c r="M1497" s="846"/>
      <c r="N1497" s="846"/>
      <c r="O1497" s="846"/>
      <c r="P1497" s="846"/>
      <c r="Q1497" s="846"/>
      <c r="R1497" s="846"/>
      <c r="S1497" s="846"/>
      <c r="T1497" s="846"/>
    </row>
    <row r="1498" spans="2:20" ht="38.25" hidden="1">
      <c r="B1498" s="828" t="s">
        <v>6569</v>
      </c>
      <c r="C1498" s="828">
        <v>92752</v>
      </c>
      <c r="D1498" s="630" t="s">
        <v>3058</v>
      </c>
      <c r="E1498" s="630" t="s">
        <v>644</v>
      </c>
      <c r="F1498" s="829">
        <v>2398.0500000000002</v>
      </c>
      <c r="G1498" s="830">
        <v>226.05</v>
      </c>
      <c r="H1498" s="831">
        <v>2624.1</v>
      </c>
      <c r="I1498" s="846"/>
      <c r="J1498" s="846"/>
      <c r="K1498" s="846"/>
      <c r="L1498" s="846"/>
      <c r="M1498" s="846"/>
      <c r="N1498" s="846"/>
      <c r="O1498" s="846"/>
      <c r="P1498" s="846"/>
      <c r="Q1498" s="846"/>
      <c r="R1498" s="846"/>
      <c r="S1498" s="846"/>
      <c r="T1498" s="846"/>
    </row>
    <row r="1499" spans="2:20" ht="51" hidden="1">
      <c r="B1499" s="828" t="s">
        <v>6569</v>
      </c>
      <c r="C1499" s="828">
        <v>92753</v>
      </c>
      <c r="D1499" s="630" t="s">
        <v>3059</v>
      </c>
      <c r="E1499" s="630" t="s">
        <v>644</v>
      </c>
      <c r="F1499" s="829">
        <v>577.48</v>
      </c>
      <c r="G1499" s="830">
        <v>89.1</v>
      </c>
      <c r="H1499" s="831">
        <v>666.58</v>
      </c>
      <c r="I1499" s="846"/>
      <c r="J1499" s="846"/>
      <c r="K1499" s="846"/>
      <c r="L1499" s="846"/>
      <c r="M1499" s="846"/>
      <c r="N1499" s="846"/>
      <c r="O1499" s="846"/>
      <c r="P1499" s="846"/>
      <c r="Q1499" s="846"/>
      <c r="R1499" s="846"/>
      <c r="S1499" s="846"/>
      <c r="T1499" s="846"/>
    </row>
    <row r="1500" spans="2:20" ht="51" hidden="1">
      <c r="B1500" s="828" t="s">
        <v>6569</v>
      </c>
      <c r="C1500" s="828">
        <v>92754</v>
      </c>
      <c r="D1500" s="630" t="s">
        <v>3060</v>
      </c>
      <c r="E1500" s="630" t="s">
        <v>644</v>
      </c>
      <c r="F1500" s="829">
        <v>523.46</v>
      </c>
      <c r="G1500" s="830">
        <v>82.02</v>
      </c>
      <c r="H1500" s="831">
        <v>605.48</v>
      </c>
      <c r="I1500" s="846"/>
      <c r="J1500" s="846"/>
      <c r="K1500" s="846"/>
      <c r="L1500" s="846"/>
      <c r="M1500" s="846"/>
      <c r="N1500" s="846"/>
      <c r="O1500" s="846"/>
      <c r="P1500" s="846"/>
      <c r="Q1500" s="846"/>
      <c r="R1500" s="846"/>
      <c r="S1500" s="846"/>
      <c r="T1500" s="846"/>
    </row>
    <row r="1501" spans="2:20" ht="38.25" hidden="1">
      <c r="B1501" s="828" t="s">
        <v>6569</v>
      </c>
      <c r="C1501" s="828">
        <v>92755</v>
      </c>
      <c r="D1501" s="630" t="s">
        <v>1761</v>
      </c>
      <c r="E1501" s="630" t="s">
        <v>649</v>
      </c>
      <c r="F1501" s="829">
        <v>217.24</v>
      </c>
      <c r="G1501" s="830">
        <v>42.11</v>
      </c>
      <c r="H1501" s="831">
        <v>259.35000000000002</v>
      </c>
      <c r="I1501" s="846"/>
      <c r="J1501" s="846"/>
      <c r="K1501" s="846"/>
      <c r="L1501" s="846"/>
      <c r="M1501" s="846"/>
      <c r="N1501" s="846"/>
      <c r="O1501" s="846"/>
      <c r="P1501" s="846"/>
      <c r="Q1501" s="846"/>
      <c r="R1501" s="846"/>
      <c r="S1501" s="846"/>
      <c r="T1501" s="846"/>
    </row>
    <row r="1502" spans="2:20" ht="38.25" hidden="1">
      <c r="B1502" s="828" t="s">
        <v>6569</v>
      </c>
      <c r="C1502" s="828">
        <v>92756</v>
      </c>
      <c r="D1502" s="630" t="s">
        <v>1762</v>
      </c>
      <c r="E1502" s="630" t="s">
        <v>649</v>
      </c>
      <c r="F1502" s="829">
        <v>242.34</v>
      </c>
      <c r="G1502" s="830">
        <v>49.97</v>
      </c>
      <c r="H1502" s="831">
        <v>292.31</v>
      </c>
      <c r="I1502" s="846"/>
      <c r="J1502" s="846"/>
      <c r="K1502" s="846"/>
      <c r="L1502" s="846"/>
      <c r="M1502" s="846"/>
      <c r="N1502" s="846"/>
      <c r="O1502" s="846"/>
      <c r="P1502" s="846"/>
      <c r="Q1502" s="846"/>
      <c r="R1502" s="846"/>
      <c r="S1502" s="846"/>
      <c r="T1502" s="846"/>
    </row>
    <row r="1503" spans="2:20" ht="38.25" hidden="1">
      <c r="B1503" s="828" t="s">
        <v>6569</v>
      </c>
      <c r="C1503" s="828">
        <v>92757</v>
      </c>
      <c r="D1503" s="630" t="s">
        <v>1763</v>
      </c>
      <c r="E1503" s="630" t="s">
        <v>649</v>
      </c>
      <c r="F1503" s="829">
        <v>273.33</v>
      </c>
      <c r="G1503" s="830">
        <v>59.18</v>
      </c>
      <c r="H1503" s="831">
        <v>332.51</v>
      </c>
      <c r="I1503" s="846"/>
      <c r="J1503" s="846"/>
      <c r="K1503" s="846"/>
      <c r="L1503" s="846"/>
      <c r="M1503" s="846"/>
      <c r="N1503" s="846"/>
      <c r="O1503" s="846"/>
      <c r="P1503" s="846"/>
      <c r="Q1503" s="846"/>
      <c r="R1503" s="846"/>
      <c r="S1503" s="846"/>
      <c r="T1503" s="846"/>
    </row>
    <row r="1504" spans="2:20" ht="38.25" hidden="1">
      <c r="B1504" s="828" t="s">
        <v>6569</v>
      </c>
      <c r="C1504" s="828">
        <v>92758</v>
      </c>
      <c r="D1504" s="630" t="s">
        <v>1764</v>
      </c>
      <c r="E1504" s="630" t="s">
        <v>644</v>
      </c>
      <c r="F1504" s="829">
        <v>671.2</v>
      </c>
      <c r="G1504" s="830">
        <v>95.66</v>
      </c>
      <c r="H1504" s="831">
        <v>766.86</v>
      </c>
      <c r="I1504" s="846"/>
      <c r="J1504" s="846"/>
      <c r="K1504" s="846"/>
      <c r="L1504" s="846"/>
      <c r="M1504" s="846"/>
      <c r="N1504" s="846"/>
      <c r="O1504" s="846"/>
      <c r="P1504" s="846"/>
      <c r="Q1504" s="846"/>
      <c r="R1504" s="846"/>
      <c r="S1504" s="846"/>
      <c r="T1504" s="846"/>
    </row>
    <row r="1505" spans="2:20" ht="51" hidden="1">
      <c r="B1505" s="828" t="s">
        <v>6557</v>
      </c>
      <c r="C1505" s="828">
        <v>91069</v>
      </c>
      <c r="D1505" s="630" t="s">
        <v>1626</v>
      </c>
      <c r="E1505" s="630" t="s">
        <v>649</v>
      </c>
      <c r="F1505" s="829">
        <v>96.9</v>
      </c>
      <c r="G1505" s="830">
        <v>24.66</v>
      </c>
      <c r="H1505" s="831">
        <v>121.56</v>
      </c>
      <c r="I1505" s="846"/>
      <c r="J1505" s="846"/>
      <c r="K1505" s="846"/>
      <c r="L1505" s="846"/>
      <c r="M1505" s="846"/>
      <c r="N1505" s="846"/>
      <c r="O1505" s="846"/>
      <c r="P1505" s="846"/>
      <c r="Q1505" s="846"/>
      <c r="R1505" s="846"/>
      <c r="S1505" s="846"/>
      <c r="T1505" s="846"/>
    </row>
    <row r="1506" spans="2:20" ht="51" hidden="1">
      <c r="B1506" s="828" t="s">
        <v>6557</v>
      </c>
      <c r="C1506" s="828">
        <v>91070</v>
      </c>
      <c r="D1506" s="630" t="s">
        <v>1627</v>
      </c>
      <c r="E1506" s="630" t="s">
        <v>649</v>
      </c>
      <c r="F1506" s="829">
        <v>107.12</v>
      </c>
      <c r="G1506" s="830">
        <v>26.14</v>
      </c>
      <c r="H1506" s="831">
        <v>133.26</v>
      </c>
      <c r="I1506" s="846"/>
      <c r="J1506" s="846"/>
      <c r="K1506" s="846"/>
      <c r="L1506" s="846"/>
      <c r="M1506" s="846"/>
      <c r="N1506" s="846"/>
      <c r="O1506" s="846"/>
      <c r="P1506" s="846"/>
      <c r="Q1506" s="846"/>
      <c r="R1506" s="846"/>
      <c r="S1506" s="846"/>
      <c r="T1506" s="846"/>
    </row>
    <row r="1507" spans="2:20" ht="51" hidden="1">
      <c r="B1507" s="828" t="s">
        <v>6557</v>
      </c>
      <c r="C1507" s="828">
        <v>91071</v>
      </c>
      <c r="D1507" s="630" t="s">
        <v>1628</v>
      </c>
      <c r="E1507" s="630" t="s">
        <v>649</v>
      </c>
      <c r="F1507" s="829">
        <v>112.03</v>
      </c>
      <c r="G1507" s="830">
        <v>58.83</v>
      </c>
      <c r="H1507" s="831">
        <v>170.86</v>
      </c>
      <c r="I1507" s="846"/>
      <c r="J1507" s="846"/>
      <c r="K1507" s="846"/>
      <c r="L1507" s="846"/>
      <c r="M1507" s="846"/>
      <c r="N1507" s="846"/>
      <c r="O1507" s="846"/>
      <c r="P1507" s="846"/>
      <c r="Q1507" s="846"/>
      <c r="R1507" s="846"/>
      <c r="S1507" s="846"/>
      <c r="T1507" s="846"/>
    </row>
    <row r="1508" spans="2:20" ht="51" hidden="1">
      <c r="B1508" s="828" t="s">
        <v>6557</v>
      </c>
      <c r="C1508" s="828">
        <v>91072</v>
      </c>
      <c r="D1508" s="630" t="s">
        <v>1629</v>
      </c>
      <c r="E1508" s="630" t="s">
        <v>649</v>
      </c>
      <c r="F1508" s="829">
        <v>122.13</v>
      </c>
      <c r="G1508" s="830">
        <v>60.42</v>
      </c>
      <c r="H1508" s="831">
        <v>182.55</v>
      </c>
      <c r="I1508" s="846"/>
      <c r="J1508" s="846"/>
      <c r="K1508" s="846"/>
      <c r="L1508" s="846"/>
      <c r="M1508" s="846"/>
      <c r="N1508" s="846"/>
      <c r="O1508" s="846"/>
      <c r="P1508" s="846"/>
      <c r="Q1508" s="846"/>
      <c r="R1508" s="846"/>
      <c r="S1508" s="846"/>
      <c r="T1508" s="846"/>
    </row>
    <row r="1509" spans="2:20" ht="51" hidden="1">
      <c r="B1509" s="828" t="s">
        <v>6557</v>
      </c>
      <c r="C1509" s="828">
        <v>91073</v>
      </c>
      <c r="D1509" s="630" t="s">
        <v>1630</v>
      </c>
      <c r="E1509" s="630" t="s">
        <v>649</v>
      </c>
      <c r="F1509" s="829">
        <v>101.01</v>
      </c>
      <c r="G1509" s="830">
        <v>37.659999999999997</v>
      </c>
      <c r="H1509" s="831">
        <v>138.66999999999999</v>
      </c>
      <c r="I1509" s="846"/>
      <c r="J1509" s="846"/>
      <c r="K1509" s="846"/>
      <c r="L1509" s="846"/>
      <c r="M1509" s="846"/>
      <c r="N1509" s="846"/>
      <c r="O1509" s="846"/>
      <c r="P1509" s="846"/>
      <c r="Q1509" s="846"/>
      <c r="R1509" s="846"/>
      <c r="S1509" s="846"/>
      <c r="T1509" s="846"/>
    </row>
    <row r="1510" spans="2:20" ht="51" hidden="1">
      <c r="B1510" s="828" t="s">
        <v>6557</v>
      </c>
      <c r="C1510" s="828">
        <v>91074</v>
      </c>
      <c r="D1510" s="630" t="s">
        <v>1631</v>
      </c>
      <c r="E1510" s="630" t="s">
        <v>649</v>
      </c>
      <c r="F1510" s="829">
        <v>111.71</v>
      </c>
      <c r="G1510" s="830">
        <v>40.44</v>
      </c>
      <c r="H1510" s="831">
        <v>152.15</v>
      </c>
      <c r="I1510" s="846"/>
      <c r="J1510" s="846"/>
      <c r="K1510" s="846"/>
      <c r="L1510" s="846"/>
      <c r="M1510" s="846"/>
      <c r="N1510" s="846"/>
      <c r="O1510" s="846"/>
      <c r="P1510" s="846"/>
      <c r="Q1510" s="846"/>
      <c r="R1510" s="846"/>
      <c r="S1510" s="846"/>
      <c r="T1510" s="846"/>
    </row>
    <row r="1511" spans="2:20" ht="51" hidden="1">
      <c r="B1511" s="828" t="s">
        <v>6557</v>
      </c>
      <c r="C1511" s="828">
        <v>91075</v>
      </c>
      <c r="D1511" s="630" t="s">
        <v>1632</v>
      </c>
      <c r="E1511" s="630" t="s">
        <v>649</v>
      </c>
      <c r="F1511" s="829">
        <v>115.64</v>
      </c>
      <c r="G1511" s="830">
        <v>75.650000000000006</v>
      </c>
      <c r="H1511" s="831">
        <v>191.29</v>
      </c>
      <c r="I1511" s="846"/>
      <c r="J1511" s="846"/>
      <c r="K1511" s="846"/>
      <c r="L1511" s="846"/>
      <c r="M1511" s="846"/>
      <c r="N1511" s="846"/>
      <c r="O1511" s="846"/>
      <c r="P1511" s="846"/>
      <c r="Q1511" s="846"/>
      <c r="R1511" s="846"/>
      <c r="S1511" s="846"/>
      <c r="T1511" s="846"/>
    </row>
    <row r="1512" spans="2:20" ht="51" hidden="1">
      <c r="B1512" s="828" t="s">
        <v>6557</v>
      </c>
      <c r="C1512" s="828">
        <v>91076</v>
      </c>
      <c r="D1512" s="630" t="s">
        <v>1633</v>
      </c>
      <c r="E1512" s="630" t="s">
        <v>649</v>
      </c>
      <c r="F1512" s="829">
        <v>126.22999999999999</v>
      </c>
      <c r="G1512" s="830">
        <v>78.599999999999994</v>
      </c>
      <c r="H1512" s="831">
        <v>204.83</v>
      </c>
      <c r="I1512" s="846"/>
      <c r="J1512" s="846"/>
      <c r="K1512" s="846"/>
      <c r="L1512" s="846"/>
      <c r="M1512" s="846"/>
      <c r="N1512" s="846"/>
      <c r="O1512" s="846"/>
      <c r="P1512" s="846"/>
      <c r="Q1512" s="846"/>
      <c r="R1512" s="846"/>
      <c r="S1512" s="846"/>
      <c r="T1512" s="846"/>
    </row>
    <row r="1513" spans="2:20" ht="51" hidden="1">
      <c r="B1513" s="828" t="s">
        <v>6557</v>
      </c>
      <c r="C1513" s="828">
        <v>91077</v>
      </c>
      <c r="D1513" s="630" t="s">
        <v>1634</v>
      </c>
      <c r="E1513" s="630" t="s">
        <v>649</v>
      </c>
      <c r="F1513" s="829">
        <v>116.5</v>
      </c>
      <c r="G1513" s="830">
        <v>16.97</v>
      </c>
      <c r="H1513" s="831">
        <v>133.47</v>
      </c>
      <c r="I1513" s="846"/>
      <c r="J1513" s="846"/>
      <c r="K1513" s="846"/>
      <c r="L1513" s="846"/>
      <c r="M1513" s="846"/>
      <c r="N1513" s="846"/>
      <c r="O1513" s="846"/>
      <c r="P1513" s="846"/>
      <c r="Q1513" s="846"/>
      <c r="R1513" s="846"/>
      <c r="S1513" s="846"/>
      <c r="T1513" s="846"/>
    </row>
    <row r="1514" spans="2:20" ht="51" hidden="1">
      <c r="B1514" s="828" t="s">
        <v>6557</v>
      </c>
      <c r="C1514" s="828">
        <v>91078</v>
      </c>
      <c r="D1514" s="630" t="s">
        <v>1812</v>
      </c>
      <c r="E1514" s="630" t="s">
        <v>649</v>
      </c>
      <c r="F1514" s="829">
        <v>137.67000000000002</v>
      </c>
      <c r="G1514" s="830">
        <v>18.27</v>
      </c>
      <c r="H1514" s="831">
        <v>155.94</v>
      </c>
      <c r="I1514" s="846"/>
      <c r="J1514" s="846"/>
      <c r="K1514" s="846"/>
      <c r="L1514" s="846"/>
      <c r="M1514" s="846"/>
      <c r="N1514" s="846"/>
      <c r="O1514" s="846"/>
      <c r="P1514" s="846"/>
      <c r="Q1514" s="846"/>
      <c r="R1514" s="846"/>
      <c r="S1514" s="846"/>
      <c r="T1514" s="846"/>
    </row>
    <row r="1515" spans="2:20" ht="51" hidden="1">
      <c r="B1515" s="828" t="s">
        <v>6557</v>
      </c>
      <c r="C1515" s="828">
        <v>91079</v>
      </c>
      <c r="D1515" s="630" t="s">
        <v>1813</v>
      </c>
      <c r="E1515" s="630" t="s">
        <v>649</v>
      </c>
      <c r="F1515" s="829">
        <v>118.93</v>
      </c>
      <c r="G1515" s="830">
        <v>21.79</v>
      </c>
      <c r="H1515" s="831">
        <v>140.72</v>
      </c>
      <c r="I1515" s="846"/>
      <c r="J1515" s="846"/>
      <c r="K1515" s="846"/>
      <c r="L1515" s="846"/>
      <c r="M1515" s="846"/>
      <c r="N1515" s="846"/>
      <c r="O1515" s="846"/>
      <c r="P1515" s="846"/>
      <c r="Q1515" s="846"/>
      <c r="R1515" s="846"/>
      <c r="S1515" s="846"/>
      <c r="T1515" s="846"/>
    </row>
    <row r="1516" spans="2:20" ht="51" hidden="1">
      <c r="B1516" s="828" t="s">
        <v>6557</v>
      </c>
      <c r="C1516" s="828">
        <v>91080</v>
      </c>
      <c r="D1516" s="630" t="s">
        <v>1814</v>
      </c>
      <c r="E1516" s="630" t="s">
        <v>649</v>
      </c>
      <c r="F1516" s="829">
        <v>139.88000000000002</v>
      </c>
      <c r="G1516" s="830">
        <v>23.06</v>
      </c>
      <c r="H1516" s="831">
        <v>162.94</v>
      </c>
      <c r="I1516" s="846"/>
      <c r="J1516" s="846"/>
      <c r="K1516" s="846"/>
      <c r="L1516" s="846"/>
      <c r="M1516" s="846"/>
      <c r="N1516" s="846"/>
      <c r="O1516" s="846"/>
      <c r="P1516" s="846"/>
      <c r="Q1516" s="846"/>
      <c r="R1516" s="846"/>
      <c r="S1516" s="846"/>
      <c r="T1516" s="846"/>
    </row>
    <row r="1517" spans="2:20" ht="51" hidden="1">
      <c r="B1517" s="828" t="s">
        <v>6557</v>
      </c>
      <c r="C1517" s="828">
        <v>91081</v>
      </c>
      <c r="D1517" s="630" t="s">
        <v>1815</v>
      </c>
      <c r="E1517" s="630" t="s">
        <v>649</v>
      </c>
      <c r="F1517" s="829">
        <v>121.58</v>
      </c>
      <c r="G1517" s="830">
        <v>30.95</v>
      </c>
      <c r="H1517" s="831">
        <v>152.53</v>
      </c>
      <c r="I1517" s="846"/>
      <c r="J1517" s="846"/>
      <c r="K1517" s="846"/>
      <c r="L1517" s="846"/>
      <c r="M1517" s="846"/>
      <c r="N1517" s="846"/>
      <c r="O1517" s="846"/>
      <c r="P1517" s="846"/>
      <c r="Q1517" s="846"/>
      <c r="R1517" s="846"/>
      <c r="S1517" s="846"/>
      <c r="T1517" s="846"/>
    </row>
    <row r="1518" spans="2:20" ht="51" hidden="1">
      <c r="B1518" s="828" t="s">
        <v>6557</v>
      </c>
      <c r="C1518" s="828">
        <v>91082</v>
      </c>
      <c r="D1518" s="630" t="s">
        <v>1816</v>
      </c>
      <c r="E1518" s="630" t="s">
        <v>649</v>
      </c>
      <c r="F1518" s="829">
        <v>143.16</v>
      </c>
      <c r="G1518" s="830">
        <v>33.380000000000003</v>
      </c>
      <c r="H1518" s="831">
        <v>176.54</v>
      </c>
      <c r="I1518" s="846"/>
      <c r="J1518" s="846"/>
      <c r="K1518" s="846"/>
      <c r="L1518" s="846"/>
      <c r="M1518" s="846"/>
      <c r="N1518" s="846"/>
      <c r="O1518" s="846"/>
      <c r="P1518" s="846"/>
      <c r="Q1518" s="846"/>
      <c r="R1518" s="846"/>
      <c r="S1518" s="846"/>
      <c r="T1518" s="846"/>
    </row>
    <row r="1519" spans="2:20" ht="51" hidden="1">
      <c r="B1519" s="828" t="s">
        <v>6557</v>
      </c>
      <c r="C1519" s="828">
        <v>91083</v>
      </c>
      <c r="D1519" s="630" t="s">
        <v>1817</v>
      </c>
      <c r="E1519" s="630" t="s">
        <v>649</v>
      </c>
      <c r="F1519" s="829">
        <v>125.24000000000001</v>
      </c>
      <c r="G1519" s="830">
        <v>39.96</v>
      </c>
      <c r="H1519" s="831">
        <v>165.2</v>
      </c>
      <c r="I1519" s="846"/>
      <c r="J1519" s="846"/>
      <c r="K1519" s="846"/>
      <c r="L1519" s="846"/>
      <c r="M1519" s="846"/>
      <c r="N1519" s="846"/>
      <c r="O1519" s="846"/>
      <c r="P1519" s="846"/>
      <c r="Q1519" s="846"/>
      <c r="R1519" s="846"/>
      <c r="S1519" s="846"/>
      <c r="T1519" s="846"/>
    </row>
    <row r="1520" spans="2:20" ht="51" hidden="1">
      <c r="B1520" s="828" t="s">
        <v>6557</v>
      </c>
      <c r="C1520" s="828">
        <v>91084</v>
      </c>
      <c r="D1520" s="630" t="s">
        <v>1818</v>
      </c>
      <c r="E1520" s="630" t="s">
        <v>649</v>
      </c>
      <c r="F1520" s="829">
        <v>146.58999999999997</v>
      </c>
      <c r="G1520" s="830">
        <v>42.35</v>
      </c>
      <c r="H1520" s="831">
        <v>188.94</v>
      </c>
      <c r="I1520" s="846"/>
      <c r="J1520" s="846"/>
      <c r="K1520" s="846"/>
      <c r="L1520" s="846"/>
      <c r="M1520" s="846"/>
      <c r="N1520" s="846"/>
      <c r="O1520" s="846"/>
      <c r="P1520" s="846"/>
      <c r="Q1520" s="846"/>
      <c r="R1520" s="846"/>
      <c r="S1520" s="846"/>
      <c r="T1520" s="846"/>
    </row>
    <row r="1521" spans="2:20" ht="51" hidden="1">
      <c r="B1521" s="828" t="s">
        <v>6557</v>
      </c>
      <c r="C1521" s="828">
        <v>91086</v>
      </c>
      <c r="D1521" s="630" t="s">
        <v>1819</v>
      </c>
      <c r="E1521" s="630" t="s">
        <v>649</v>
      </c>
      <c r="F1521" s="829">
        <v>100.96</v>
      </c>
      <c r="G1521" s="830">
        <v>33.22</v>
      </c>
      <c r="H1521" s="831">
        <v>134.18</v>
      </c>
      <c r="I1521" s="846"/>
      <c r="J1521" s="846"/>
      <c r="K1521" s="846"/>
      <c r="L1521" s="846"/>
      <c r="M1521" s="846"/>
      <c r="N1521" s="846"/>
      <c r="O1521" s="846"/>
      <c r="P1521" s="846"/>
      <c r="Q1521" s="846"/>
      <c r="R1521" s="846"/>
      <c r="S1521" s="846"/>
      <c r="T1521" s="846"/>
    </row>
    <row r="1522" spans="2:20" ht="51" hidden="1">
      <c r="B1522" s="828" t="s">
        <v>6557</v>
      </c>
      <c r="C1522" s="828">
        <v>91087</v>
      </c>
      <c r="D1522" s="630" t="s">
        <v>1820</v>
      </c>
      <c r="E1522" s="630" t="s">
        <v>649</v>
      </c>
      <c r="F1522" s="829">
        <v>111.44</v>
      </c>
      <c r="G1522" s="830">
        <v>34.880000000000003</v>
      </c>
      <c r="H1522" s="831">
        <v>146.32</v>
      </c>
      <c r="I1522" s="846"/>
      <c r="J1522" s="846"/>
      <c r="K1522" s="846"/>
      <c r="L1522" s="846"/>
      <c r="M1522" s="846"/>
      <c r="N1522" s="846"/>
      <c r="O1522" s="846"/>
      <c r="P1522" s="846"/>
      <c r="Q1522" s="846"/>
      <c r="R1522" s="846"/>
      <c r="S1522" s="846"/>
      <c r="T1522" s="846"/>
    </row>
    <row r="1523" spans="2:20" ht="51" hidden="1">
      <c r="B1523" s="828" t="s">
        <v>6557</v>
      </c>
      <c r="C1523" s="828">
        <v>91088</v>
      </c>
      <c r="D1523" s="630" t="s">
        <v>1821</v>
      </c>
      <c r="E1523" s="630" t="s">
        <v>649</v>
      </c>
      <c r="F1523" s="829">
        <v>116.37</v>
      </c>
      <c r="G1523" s="830">
        <v>68.94</v>
      </c>
      <c r="H1523" s="831">
        <v>185.31</v>
      </c>
      <c r="I1523" s="846"/>
      <c r="J1523" s="846"/>
      <c r="K1523" s="846"/>
      <c r="L1523" s="846"/>
      <c r="M1523" s="846"/>
      <c r="N1523" s="846"/>
      <c r="O1523" s="846"/>
      <c r="P1523" s="846"/>
      <c r="Q1523" s="846"/>
      <c r="R1523" s="846"/>
      <c r="S1523" s="846"/>
      <c r="T1523" s="846"/>
    </row>
    <row r="1524" spans="2:20" ht="51" hidden="1">
      <c r="B1524" s="828" t="s">
        <v>6557</v>
      </c>
      <c r="C1524" s="828">
        <v>91089</v>
      </c>
      <c r="D1524" s="630" t="s">
        <v>1822</v>
      </c>
      <c r="E1524" s="630" t="s">
        <v>649</v>
      </c>
      <c r="F1524" s="829">
        <v>126.78999999999999</v>
      </c>
      <c r="G1524" s="830">
        <v>70.81</v>
      </c>
      <c r="H1524" s="831">
        <v>197.6</v>
      </c>
      <c r="I1524" s="846"/>
      <c r="J1524" s="846"/>
      <c r="K1524" s="846"/>
      <c r="L1524" s="846"/>
      <c r="M1524" s="846"/>
      <c r="N1524" s="846"/>
      <c r="O1524" s="846"/>
      <c r="P1524" s="846"/>
      <c r="Q1524" s="846"/>
      <c r="R1524" s="846"/>
      <c r="S1524" s="846"/>
      <c r="T1524" s="846"/>
    </row>
    <row r="1525" spans="2:20" ht="51" hidden="1">
      <c r="B1525" s="828" t="s">
        <v>6557</v>
      </c>
      <c r="C1525" s="828">
        <v>91090</v>
      </c>
      <c r="D1525" s="630" t="s">
        <v>1823</v>
      </c>
      <c r="E1525" s="630" t="s">
        <v>649</v>
      </c>
      <c r="F1525" s="829">
        <v>103.96</v>
      </c>
      <c r="G1525" s="830">
        <v>45.04</v>
      </c>
      <c r="H1525" s="831">
        <v>149</v>
      </c>
      <c r="I1525" s="846"/>
      <c r="J1525" s="846"/>
      <c r="K1525" s="846"/>
      <c r="L1525" s="846"/>
      <c r="M1525" s="846"/>
      <c r="N1525" s="846"/>
      <c r="O1525" s="846"/>
      <c r="P1525" s="846"/>
      <c r="Q1525" s="846"/>
      <c r="R1525" s="846"/>
      <c r="S1525" s="846"/>
      <c r="T1525" s="846"/>
    </row>
    <row r="1526" spans="2:20" ht="51" hidden="1">
      <c r="B1526" s="828" t="s">
        <v>6557</v>
      </c>
      <c r="C1526" s="828">
        <v>91091</v>
      </c>
      <c r="D1526" s="630" t="s">
        <v>1824</v>
      </c>
      <c r="E1526" s="630" t="s">
        <v>649</v>
      </c>
      <c r="F1526" s="829">
        <v>114.97</v>
      </c>
      <c r="G1526" s="830">
        <v>48.15</v>
      </c>
      <c r="H1526" s="831">
        <v>163.12</v>
      </c>
      <c r="I1526" s="846"/>
      <c r="J1526" s="846"/>
      <c r="K1526" s="846"/>
      <c r="L1526" s="846"/>
      <c r="M1526" s="846"/>
      <c r="N1526" s="846"/>
      <c r="O1526" s="846"/>
      <c r="P1526" s="846"/>
      <c r="Q1526" s="846"/>
      <c r="R1526" s="846"/>
      <c r="S1526" s="846"/>
      <c r="T1526" s="846"/>
    </row>
    <row r="1527" spans="2:20" ht="51" hidden="1">
      <c r="B1527" s="828" t="s">
        <v>6557</v>
      </c>
      <c r="C1527" s="828">
        <v>91092</v>
      </c>
      <c r="D1527" s="630" t="s">
        <v>1825</v>
      </c>
      <c r="E1527" s="630" t="s">
        <v>649</v>
      </c>
      <c r="F1527" s="829">
        <v>118.71</v>
      </c>
      <c r="G1527" s="830">
        <v>84.12</v>
      </c>
      <c r="H1527" s="831">
        <v>202.83</v>
      </c>
      <c r="I1527" s="846"/>
      <c r="J1527" s="846"/>
      <c r="K1527" s="846"/>
      <c r="L1527" s="846"/>
      <c r="M1527" s="846"/>
      <c r="N1527" s="846"/>
      <c r="O1527" s="846"/>
      <c r="P1527" s="846"/>
      <c r="Q1527" s="846"/>
      <c r="R1527" s="846"/>
      <c r="S1527" s="846"/>
      <c r="T1527" s="846"/>
    </row>
    <row r="1528" spans="2:20" ht="51" hidden="1">
      <c r="B1528" s="828" t="s">
        <v>6557</v>
      </c>
      <c r="C1528" s="828">
        <v>91093</v>
      </c>
      <c r="D1528" s="630" t="s">
        <v>1826</v>
      </c>
      <c r="E1528" s="630" t="s">
        <v>649</v>
      </c>
      <c r="F1528" s="829">
        <v>129.72999999999999</v>
      </c>
      <c r="G1528" s="830">
        <v>87.64</v>
      </c>
      <c r="H1528" s="831">
        <v>217.37</v>
      </c>
      <c r="I1528" s="846"/>
      <c r="J1528" s="846"/>
      <c r="K1528" s="846"/>
      <c r="L1528" s="846"/>
      <c r="M1528" s="846"/>
      <c r="N1528" s="846"/>
      <c r="O1528" s="846"/>
      <c r="P1528" s="846"/>
      <c r="Q1528" s="846"/>
      <c r="R1528" s="846"/>
      <c r="S1528" s="846"/>
      <c r="T1528" s="846"/>
    </row>
    <row r="1529" spans="2:20" ht="51" hidden="1">
      <c r="B1529" s="828" t="s">
        <v>6557</v>
      </c>
      <c r="C1529" s="828">
        <v>91094</v>
      </c>
      <c r="D1529" s="630" t="s">
        <v>1827</v>
      </c>
      <c r="E1529" s="630" t="s">
        <v>649</v>
      </c>
      <c r="F1529" s="829">
        <v>118.2</v>
      </c>
      <c r="G1529" s="830">
        <v>22.78</v>
      </c>
      <c r="H1529" s="831">
        <v>140.97999999999999</v>
      </c>
      <c r="I1529" s="846"/>
      <c r="J1529" s="846"/>
      <c r="K1529" s="846"/>
      <c r="L1529" s="846"/>
      <c r="M1529" s="846"/>
      <c r="N1529" s="846"/>
      <c r="O1529" s="846"/>
      <c r="P1529" s="846"/>
      <c r="Q1529" s="846"/>
      <c r="R1529" s="846"/>
      <c r="S1529" s="846"/>
      <c r="T1529" s="846"/>
    </row>
    <row r="1530" spans="2:20" ht="51" hidden="1">
      <c r="B1530" s="828" t="s">
        <v>6557</v>
      </c>
      <c r="C1530" s="828">
        <v>91095</v>
      </c>
      <c r="D1530" s="630" t="s">
        <v>1635</v>
      </c>
      <c r="E1530" s="630" t="s">
        <v>649</v>
      </c>
      <c r="F1530" s="829">
        <v>139.66000000000003</v>
      </c>
      <c r="G1530" s="830">
        <v>24.3</v>
      </c>
      <c r="H1530" s="831">
        <v>163.96</v>
      </c>
      <c r="I1530" s="846"/>
      <c r="J1530" s="846"/>
      <c r="K1530" s="846"/>
      <c r="L1530" s="846"/>
      <c r="M1530" s="846"/>
      <c r="N1530" s="846"/>
      <c r="O1530" s="846"/>
      <c r="P1530" s="846"/>
      <c r="Q1530" s="846"/>
      <c r="R1530" s="846"/>
      <c r="S1530" s="846"/>
      <c r="T1530" s="846"/>
    </row>
    <row r="1531" spans="2:20" ht="51" hidden="1">
      <c r="B1531" s="828" t="s">
        <v>6557</v>
      </c>
      <c r="C1531" s="828">
        <v>91096</v>
      </c>
      <c r="D1531" s="630" t="s">
        <v>1636</v>
      </c>
      <c r="E1531" s="630" t="s">
        <v>649</v>
      </c>
      <c r="F1531" s="829">
        <v>119.32</v>
      </c>
      <c r="G1531" s="830">
        <v>25.43</v>
      </c>
      <c r="H1531" s="831">
        <v>144.75</v>
      </c>
      <c r="I1531" s="846"/>
      <c r="J1531" s="846"/>
      <c r="K1531" s="846"/>
      <c r="L1531" s="846"/>
      <c r="M1531" s="846"/>
      <c r="N1531" s="846"/>
      <c r="O1531" s="846"/>
      <c r="P1531" s="846"/>
      <c r="Q1531" s="846"/>
      <c r="R1531" s="846"/>
      <c r="S1531" s="846"/>
      <c r="T1531" s="846"/>
    </row>
    <row r="1532" spans="2:20" ht="51" hidden="1">
      <c r="B1532" s="828" t="s">
        <v>6557</v>
      </c>
      <c r="C1532" s="828">
        <v>91097</v>
      </c>
      <c r="D1532" s="630" t="s">
        <v>1637</v>
      </c>
      <c r="E1532" s="630" t="s">
        <v>649</v>
      </c>
      <c r="F1532" s="829">
        <v>140.59</v>
      </c>
      <c r="G1532" s="830">
        <v>26.95</v>
      </c>
      <c r="H1532" s="831">
        <v>167.54</v>
      </c>
      <c r="I1532" s="846"/>
      <c r="J1532" s="846"/>
      <c r="K1532" s="846"/>
      <c r="L1532" s="846"/>
      <c r="M1532" s="846"/>
      <c r="N1532" s="846"/>
      <c r="O1532" s="846"/>
      <c r="P1532" s="846"/>
      <c r="Q1532" s="846"/>
      <c r="R1532" s="846"/>
      <c r="S1532" s="846"/>
      <c r="T1532" s="846"/>
    </row>
    <row r="1533" spans="2:20" ht="51" hidden="1">
      <c r="B1533" s="828" t="s">
        <v>6557</v>
      </c>
      <c r="C1533" s="828">
        <v>91098</v>
      </c>
      <c r="D1533" s="630" t="s">
        <v>1638</v>
      </c>
      <c r="E1533" s="630" t="s">
        <v>649</v>
      </c>
      <c r="F1533" s="829">
        <v>122.92</v>
      </c>
      <c r="G1533" s="830">
        <v>36.96</v>
      </c>
      <c r="H1533" s="831">
        <v>159.88</v>
      </c>
      <c r="I1533" s="846"/>
      <c r="J1533" s="846"/>
      <c r="K1533" s="846"/>
      <c r="L1533" s="846"/>
      <c r="M1533" s="846"/>
      <c r="N1533" s="846"/>
      <c r="O1533" s="846"/>
      <c r="P1533" s="846"/>
      <c r="Q1533" s="846"/>
      <c r="R1533" s="846"/>
      <c r="S1533" s="846"/>
      <c r="T1533" s="846"/>
    </row>
    <row r="1534" spans="2:20" ht="51" hidden="1">
      <c r="B1534" s="828" t="s">
        <v>6557</v>
      </c>
      <c r="C1534" s="828">
        <v>91099</v>
      </c>
      <c r="D1534" s="630" t="s">
        <v>1639</v>
      </c>
      <c r="E1534" s="630" t="s">
        <v>649</v>
      </c>
      <c r="F1534" s="829">
        <v>144.86000000000001</v>
      </c>
      <c r="G1534" s="830">
        <v>39.71</v>
      </c>
      <c r="H1534" s="831">
        <v>184.57</v>
      </c>
      <c r="I1534" s="846"/>
      <c r="J1534" s="846"/>
      <c r="K1534" s="846"/>
      <c r="L1534" s="846"/>
      <c r="M1534" s="846"/>
      <c r="N1534" s="846"/>
      <c r="O1534" s="846"/>
      <c r="P1534" s="846"/>
      <c r="Q1534" s="846"/>
      <c r="R1534" s="846"/>
      <c r="S1534" s="846"/>
      <c r="T1534" s="846"/>
    </row>
    <row r="1535" spans="2:20" ht="51" hidden="1">
      <c r="B1535" s="828" t="s">
        <v>6557</v>
      </c>
      <c r="C1535" s="828">
        <v>91100</v>
      </c>
      <c r="D1535" s="630" t="s">
        <v>1640</v>
      </c>
      <c r="E1535" s="630" t="s">
        <v>649</v>
      </c>
      <c r="F1535" s="829">
        <v>125.66</v>
      </c>
      <c r="G1535" s="830">
        <v>44.38</v>
      </c>
      <c r="H1535" s="831">
        <v>170.04</v>
      </c>
      <c r="I1535" s="846"/>
      <c r="J1535" s="846"/>
      <c r="K1535" s="846"/>
      <c r="L1535" s="846"/>
      <c r="M1535" s="846"/>
      <c r="N1535" s="846"/>
      <c r="O1535" s="846"/>
      <c r="P1535" s="846"/>
      <c r="Q1535" s="846"/>
      <c r="R1535" s="846"/>
      <c r="S1535" s="846"/>
      <c r="T1535" s="846"/>
    </row>
    <row r="1536" spans="2:20" ht="51" hidden="1">
      <c r="B1536" s="828" t="s">
        <v>6557</v>
      </c>
      <c r="C1536" s="828">
        <v>91101</v>
      </c>
      <c r="D1536" s="630" t="s">
        <v>1641</v>
      </c>
      <c r="E1536" s="630" t="s">
        <v>649</v>
      </c>
      <c r="F1536" s="829">
        <v>147.4</v>
      </c>
      <c r="G1536" s="830">
        <v>47.17</v>
      </c>
      <c r="H1536" s="831">
        <v>194.57</v>
      </c>
      <c r="I1536" s="846"/>
      <c r="J1536" s="846"/>
      <c r="K1536" s="846"/>
      <c r="L1536" s="846"/>
      <c r="M1536" s="846"/>
      <c r="N1536" s="846"/>
      <c r="O1536" s="846"/>
      <c r="P1536" s="846"/>
      <c r="Q1536" s="846"/>
      <c r="R1536" s="846"/>
      <c r="S1536" s="846"/>
      <c r="T1536" s="846"/>
    </row>
    <row r="1537" spans="2:20" ht="51" hidden="1">
      <c r="B1537" s="828" t="s">
        <v>6557</v>
      </c>
      <c r="C1537" s="828">
        <v>93952</v>
      </c>
      <c r="D1537" s="630" t="s">
        <v>1765</v>
      </c>
      <c r="E1537" s="630" t="s">
        <v>648</v>
      </c>
      <c r="F1537" s="829">
        <v>138.09</v>
      </c>
      <c r="G1537" s="830">
        <v>100.12</v>
      </c>
      <c r="H1537" s="831">
        <v>238.21</v>
      </c>
      <c r="I1537" s="846"/>
      <c r="J1537" s="846"/>
      <c r="K1537" s="846"/>
      <c r="L1537" s="846"/>
      <c r="M1537" s="846"/>
      <c r="N1537" s="846"/>
      <c r="O1537" s="846"/>
      <c r="P1537" s="846"/>
      <c r="Q1537" s="846"/>
      <c r="R1537" s="846"/>
      <c r="S1537" s="846"/>
      <c r="T1537" s="846"/>
    </row>
    <row r="1538" spans="2:20" ht="51" hidden="1">
      <c r="B1538" s="828" t="s">
        <v>6557</v>
      </c>
      <c r="C1538" s="828">
        <v>93953</v>
      </c>
      <c r="D1538" s="630" t="s">
        <v>1766</v>
      </c>
      <c r="E1538" s="630" t="s">
        <v>648</v>
      </c>
      <c r="F1538" s="829">
        <v>131.63999999999999</v>
      </c>
      <c r="G1538" s="830">
        <v>89.21</v>
      </c>
      <c r="H1538" s="831">
        <v>220.85</v>
      </c>
      <c r="I1538" s="846"/>
      <c r="J1538" s="846"/>
      <c r="K1538" s="846"/>
      <c r="L1538" s="846"/>
      <c r="M1538" s="846"/>
      <c r="N1538" s="846"/>
      <c r="O1538" s="846"/>
      <c r="P1538" s="846"/>
      <c r="Q1538" s="846"/>
      <c r="R1538" s="846"/>
      <c r="S1538" s="846"/>
      <c r="T1538" s="846"/>
    </row>
    <row r="1539" spans="2:20" ht="51" hidden="1">
      <c r="B1539" s="828" t="s">
        <v>6557</v>
      </c>
      <c r="C1539" s="828">
        <v>93954</v>
      </c>
      <c r="D1539" s="630" t="s">
        <v>1767</v>
      </c>
      <c r="E1539" s="630" t="s">
        <v>648</v>
      </c>
      <c r="F1539" s="829">
        <v>127.56</v>
      </c>
      <c r="G1539" s="830">
        <v>82.85</v>
      </c>
      <c r="H1539" s="831">
        <v>210.41</v>
      </c>
      <c r="I1539" s="846"/>
      <c r="J1539" s="846"/>
      <c r="K1539" s="846"/>
      <c r="L1539" s="846"/>
      <c r="M1539" s="846"/>
      <c r="N1539" s="846"/>
      <c r="O1539" s="846"/>
      <c r="P1539" s="846"/>
      <c r="Q1539" s="846"/>
      <c r="R1539" s="846"/>
      <c r="S1539" s="846"/>
      <c r="T1539" s="846"/>
    </row>
    <row r="1540" spans="2:20" ht="51" hidden="1">
      <c r="B1540" s="828" t="s">
        <v>6557</v>
      </c>
      <c r="C1540" s="828">
        <v>93955</v>
      </c>
      <c r="D1540" s="630" t="s">
        <v>1768</v>
      </c>
      <c r="E1540" s="630" t="s">
        <v>648</v>
      </c>
      <c r="F1540" s="829">
        <v>124.68</v>
      </c>
      <c r="G1540" s="830">
        <v>78.36</v>
      </c>
      <c r="H1540" s="831">
        <v>203.04</v>
      </c>
      <c r="I1540" s="846"/>
      <c r="J1540" s="846"/>
      <c r="K1540" s="846"/>
      <c r="L1540" s="846"/>
      <c r="M1540" s="846"/>
      <c r="N1540" s="846"/>
      <c r="O1540" s="846"/>
      <c r="P1540" s="846"/>
      <c r="Q1540" s="846"/>
      <c r="R1540" s="846"/>
      <c r="S1540" s="846"/>
      <c r="T1540" s="846"/>
    </row>
    <row r="1541" spans="2:20" ht="38.25" hidden="1">
      <c r="B1541" s="828" t="s">
        <v>6557</v>
      </c>
      <c r="C1541" s="828">
        <v>93956</v>
      </c>
      <c r="D1541" s="630" t="s">
        <v>1595</v>
      </c>
      <c r="E1541" s="630" t="s">
        <v>648</v>
      </c>
      <c r="F1541" s="829">
        <v>122.27999999999999</v>
      </c>
      <c r="G1541" s="830">
        <v>74.87</v>
      </c>
      <c r="H1541" s="831">
        <v>197.15</v>
      </c>
      <c r="I1541" s="846"/>
      <c r="J1541" s="846"/>
      <c r="K1541" s="846"/>
      <c r="L1541" s="846"/>
      <c r="M1541" s="846"/>
      <c r="N1541" s="846"/>
      <c r="O1541" s="846"/>
      <c r="P1541" s="846"/>
      <c r="Q1541" s="846"/>
      <c r="R1541" s="846"/>
      <c r="S1541" s="846"/>
      <c r="T1541" s="846"/>
    </row>
    <row r="1542" spans="2:20" ht="51" hidden="1">
      <c r="B1542" s="828" t="s">
        <v>6557</v>
      </c>
      <c r="C1542" s="828">
        <v>93957</v>
      </c>
      <c r="D1542" s="630" t="s">
        <v>1596</v>
      </c>
      <c r="E1542" s="630" t="s">
        <v>648</v>
      </c>
      <c r="F1542" s="829">
        <v>151.13999999999999</v>
      </c>
      <c r="G1542" s="830">
        <v>101.98</v>
      </c>
      <c r="H1542" s="831">
        <v>253.12</v>
      </c>
      <c r="I1542" s="846"/>
      <c r="J1542" s="846"/>
      <c r="K1542" s="846"/>
      <c r="L1542" s="846"/>
      <c r="M1542" s="846"/>
      <c r="N1542" s="846"/>
      <c r="O1542" s="846"/>
      <c r="P1542" s="846"/>
      <c r="Q1542" s="846"/>
      <c r="R1542" s="846"/>
      <c r="S1542" s="846"/>
      <c r="T1542" s="846"/>
    </row>
    <row r="1543" spans="2:20" ht="51" hidden="1">
      <c r="B1543" s="828" t="s">
        <v>6557</v>
      </c>
      <c r="C1543" s="828">
        <v>93958</v>
      </c>
      <c r="D1543" s="630" t="s">
        <v>1597</v>
      </c>
      <c r="E1543" s="630" t="s">
        <v>648</v>
      </c>
      <c r="F1543" s="829">
        <v>144.22999999999999</v>
      </c>
      <c r="G1543" s="830">
        <v>90.55</v>
      </c>
      <c r="H1543" s="832">
        <v>234.78</v>
      </c>
      <c r="I1543" s="846"/>
      <c r="J1543" s="846"/>
      <c r="K1543" s="846"/>
      <c r="L1543" s="846"/>
      <c r="M1543" s="846"/>
      <c r="N1543" s="846"/>
      <c r="O1543" s="846"/>
      <c r="P1543" s="846"/>
      <c r="Q1543" s="846"/>
      <c r="R1543" s="846"/>
      <c r="S1543" s="846"/>
      <c r="T1543" s="846"/>
    </row>
    <row r="1544" spans="2:20" ht="51" hidden="1">
      <c r="B1544" s="828" t="s">
        <v>6557</v>
      </c>
      <c r="C1544" s="828">
        <v>93959</v>
      </c>
      <c r="D1544" s="630" t="s">
        <v>1598</v>
      </c>
      <c r="E1544" s="630" t="s">
        <v>648</v>
      </c>
      <c r="F1544" s="829">
        <v>139.94</v>
      </c>
      <c r="G1544" s="830">
        <v>83.88</v>
      </c>
      <c r="H1544" s="831">
        <v>223.82</v>
      </c>
      <c r="I1544" s="846"/>
      <c r="J1544" s="846"/>
      <c r="K1544" s="846"/>
      <c r="L1544" s="846"/>
      <c r="M1544" s="846"/>
      <c r="N1544" s="846"/>
      <c r="O1544" s="846"/>
      <c r="P1544" s="846"/>
      <c r="Q1544" s="846"/>
      <c r="R1544" s="846"/>
      <c r="S1544" s="846"/>
      <c r="T1544" s="846"/>
    </row>
    <row r="1545" spans="2:20" ht="51" hidden="1">
      <c r="B1545" s="828" t="s">
        <v>6557</v>
      </c>
      <c r="C1545" s="828">
        <v>93960</v>
      </c>
      <c r="D1545" s="630" t="s">
        <v>1599</v>
      </c>
      <c r="E1545" s="630" t="s">
        <v>648</v>
      </c>
      <c r="F1545" s="829">
        <v>136.91999999999999</v>
      </c>
      <c r="G1545" s="830">
        <v>79.209999999999994</v>
      </c>
      <c r="H1545" s="831">
        <v>216.13</v>
      </c>
      <c r="I1545" s="846"/>
      <c r="J1545" s="846"/>
      <c r="K1545" s="846"/>
      <c r="L1545" s="846"/>
      <c r="M1545" s="846"/>
      <c r="N1545" s="846"/>
      <c r="O1545" s="846"/>
      <c r="P1545" s="846"/>
      <c r="Q1545" s="846"/>
      <c r="R1545" s="846"/>
      <c r="S1545" s="846"/>
      <c r="T1545" s="846"/>
    </row>
    <row r="1546" spans="2:20" ht="38.25" hidden="1">
      <c r="B1546" s="828" t="s">
        <v>6557</v>
      </c>
      <c r="C1546" s="828">
        <v>93961</v>
      </c>
      <c r="D1546" s="630" t="s">
        <v>1600</v>
      </c>
      <c r="E1546" s="630" t="s">
        <v>648</v>
      </c>
      <c r="F1546" s="829">
        <v>134.42000000000002</v>
      </c>
      <c r="G1546" s="830">
        <v>75.67</v>
      </c>
      <c r="H1546" s="831">
        <v>210.09</v>
      </c>
      <c r="I1546" s="846"/>
      <c r="J1546" s="846"/>
      <c r="K1546" s="846"/>
      <c r="L1546" s="846"/>
      <c r="M1546" s="846"/>
      <c r="N1546" s="846"/>
      <c r="O1546" s="846"/>
      <c r="P1546" s="846"/>
      <c r="Q1546" s="846"/>
      <c r="R1546" s="846"/>
      <c r="S1546" s="846"/>
      <c r="T1546" s="846"/>
    </row>
    <row r="1547" spans="2:20" ht="51" hidden="1">
      <c r="B1547" s="828" t="s">
        <v>6557</v>
      </c>
      <c r="C1547" s="828">
        <v>93962</v>
      </c>
      <c r="D1547" s="630" t="s">
        <v>1601</v>
      </c>
      <c r="E1547" s="630" t="s">
        <v>648</v>
      </c>
      <c r="F1547" s="829">
        <v>128.35</v>
      </c>
      <c r="G1547" s="830">
        <v>96.64</v>
      </c>
      <c r="H1547" s="831">
        <v>224.99</v>
      </c>
      <c r="I1547" s="846"/>
      <c r="J1547" s="846"/>
      <c r="K1547" s="846"/>
      <c r="L1547" s="846"/>
      <c r="M1547" s="846"/>
      <c r="N1547" s="846"/>
      <c r="O1547" s="846"/>
      <c r="P1547" s="846"/>
      <c r="Q1547" s="846"/>
      <c r="R1547" s="846"/>
      <c r="S1547" s="846"/>
      <c r="T1547" s="846"/>
    </row>
    <row r="1548" spans="2:20" ht="51" hidden="1">
      <c r="B1548" s="828" t="s">
        <v>6557</v>
      </c>
      <c r="C1548" s="828">
        <v>93963</v>
      </c>
      <c r="D1548" s="630" t="s">
        <v>1602</v>
      </c>
      <c r="E1548" s="630" t="s">
        <v>648</v>
      </c>
      <c r="F1548" s="829">
        <v>121.94</v>
      </c>
      <c r="G1548" s="830">
        <v>85.74</v>
      </c>
      <c r="H1548" s="831">
        <v>207.68</v>
      </c>
      <c r="I1548" s="846"/>
      <c r="J1548" s="846"/>
      <c r="K1548" s="846"/>
      <c r="L1548" s="846"/>
      <c r="M1548" s="846"/>
      <c r="N1548" s="846"/>
      <c r="O1548" s="846"/>
      <c r="P1548" s="846"/>
      <c r="Q1548" s="846"/>
      <c r="R1548" s="846"/>
      <c r="S1548" s="846"/>
      <c r="T1548" s="846"/>
    </row>
    <row r="1549" spans="2:20" ht="51" hidden="1">
      <c r="B1549" s="828" t="s">
        <v>6557</v>
      </c>
      <c r="C1549" s="828">
        <v>93964</v>
      </c>
      <c r="D1549" s="630" t="s">
        <v>1603</v>
      </c>
      <c r="E1549" s="630" t="s">
        <v>648</v>
      </c>
      <c r="F1549" s="829">
        <v>117.91</v>
      </c>
      <c r="G1549" s="830">
        <v>79.37</v>
      </c>
      <c r="H1549" s="831">
        <v>197.28</v>
      </c>
      <c r="I1549" s="846"/>
      <c r="J1549" s="846"/>
      <c r="K1549" s="846"/>
      <c r="L1549" s="846"/>
      <c r="M1549" s="846"/>
      <c r="N1549" s="846"/>
      <c r="O1549" s="846"/>
      <c r="P1549" s="846"/>
      <c r="Q1549" s="846"/>
      <c r="R1549" s="846"/>
      <c r="S1549" s="846"/>
      <c r="T1549" s="846"/>
    </row>
    <row r="1550" spans="2:20" ht="51" hidden="1">
      <c r="B1550" s="828" t="s">
        <v>6557</v>
      </c>
      <c r="C1550" s="828">
        <v>93965</v>
      </c>
      <c r="D1550" s="630" t="s">
        <v>1604</v>
      </c>
      <c r="E1550" s="630" t="s">
        <v>648</v>
      </c>
      <c r="F1550" s="829">
        <v>114.46</v>
      </c>
      <c r="G1550" s="830">
        <v>72.489999999999995</v>
      </c>
      <c r="H1550" s="831">
        <v>186.95</v>
      </c>
      <c r="I1550" s="846"/>
      <c r="J1550" s="846"/>
      <c r="K1550" s="846"/>
      <c r="L1550" s="846"/>
      <c r="M1550" s="846"/>
      <c r="N1550" s="846"/>
      <c r="O1550" s="846"/>
      <c r="P1550" s="846"/>
      <c r="Q1550" s="846"/>
      <c r="R1550" s="846"/>
      <c r="S1550" s="846"/>
      <c r="T1550" s="846"/>
    </row>
    <row r="1551" spans="2:20" ht="38.25" hidden="1">
      <c r="B1551" s="828" t="s">
        <v>6557</v>
      </c>
      <c r="C1551" s="828">
        <v>93966</v>
      </c>
      <c r="D1551" s="630" t="s">
        <v>1605</v>
      </c>
      <c r="E1551" s="630" t="s">
        <v>648</v>
      </c>
      <c r="F1551" s="829">
        <v>112.61</v>
      </c>
      <c r="G1551" s="830">
        <v>71.5</v>
      </c>
      <c r="H1551" s="831">
        <v>184.11</v>
      </c>
      <c r="I1551" s="846"/>
      <c r="J1551" s="846"/>
      <c r="K1551" s="846"/>
      <c r="L1551" s="846"/>
      <c r="M1551" s="846"/>
      <c r="N1551" s="846"/>
      <c r="O1551" s="846"/>
      <c r="P1551" s="846"/>
      <c r="Q1551" s="846"/>
      <c r="R1551" s="846"/>
      <c r="S1551" s="846"/>
      <c r="T1551" s="846"/>
    </row>
    <row r="1552" spans="2:20" ht="51" hidden="1">
      <c r="B1552" s="828" t="s">
        <v>6557</v>
      </c>
      <c r="C1552" s="828">
        <v>93967</v>
      </c>
      <c r="D1552" s="630" t="s">
        <v>1606</v>
      </c>
      <c r="E1552" s="630" t="s">
        <v>648</v>
      </c>
      <c r="F1552" s="829">
        <v>141.4</v>
      </c>
      <c r="G1552" s="830">
        <v>98.5</v>
      </c>
      <c r="H1552" s="831">
        <v>239.9</v>
      </c>
      <c r="I1552" s="846"/>
      <c r="J1552" s="846"/>
      <c r="K1552" s="846"/>
      <c r="L1552" s="846"/>
      <c r="M1552" s="846"/>
      <c r="N1552" s="846"/>
      <c r="O1552" s="846"/>
      <c r="P1552" s="846"/>
      <c r="Q1552" s="846"/>
      <c r="R1552" s="846"/>
      <c r="S1552" s="846"/>
      <c r="T1552" s="846"/>
    </row>
    <row r="1553" spans="2:20" ht="51" hidden="1">
      <c r="B1553" s="828" t="s">
        <v>6557</v>
      </c>
      <c r="C1553" s="828">
        <v>93968</v>
      </c>
      <c r="D1553" s="630" t="s">
        <v>1607</v>
      </c>
      <c r="E1553" s="630" t="s">
        <v>648</v>
      </c>
      <c r="F1553" s="829">
        <v>134.53</v>
      </c>
      <c r="G1553" s="830">
        <v>87.05</v>
      </c>
      <c r="H1553" s="831">
        <v>221.58</v>
      </c>
      <c r="I1553" s="846"/>
      <c r="J1553" s="846"/>
      <c r="K1553" s="846"/>
      <c r="L1553" s="846"/>
      <c r="M1553" s="846"/>
      <c r="N1553" s="846"/>
      <c r="O1553" s="846"/>
      <c r="P1553" s="846"/>
      <c r="Q1553" s="846"/>
      <c r="R1553" s="846"/>
      <c r="S1553" s="846"/>
      <c r="T1553" s="846"/>
    </row>
    <row r="1554" spans="2:20" ht="51" hidden="1">
      <c r="B1554" s="828" t="s">
        <v>6557</v>
      </c>
      <c r="C1554" s="828">
        <v>93969</v>
      </c>
      <c r="D1554" s="630" t="s">
        <v>1608</v>
      </c>
      <c r="E1554" s="630" t="s">
        <v>648</v>
      </c>
      <c r="F1554" s="829">
        <v>130.28</v>
      </c>
      <c r="G1554" s="830">
        <v>80.42</v>
      </c>
      <c r="H1554" s="831">
        <v>210.7</v>
      </c>
      <c r="I1554" s="846"/>
      <c r="J1554" s="846"/>
      <c r="K1554" s="846"/>
      <c r="L1554" s="846"/>
      <c r="M1554" s="846"/>
      <c r="N1554" s="846"/>
      <c r="O1554" s="846"/>
      <c r="P1554" s="846"/>
      <c r="Q1554" s="846"/>
      <c r="R1554" s="846"/>
      <c r="S1554" s="846"/>
      <c r="T1554" s="846"/>
    </row>
    <row r="1555" spans="2:20" ht="51" hidden="1">
      <c r="B1555" s="828" t="s">
        <v>6557</v>
      </c>
      <c r="C1555" s="828">
        <v>93970</v>
      </c>
      <c r="D1555" s="630" t="s">
        <v>1609</v>
      </c>
      <c r="E1555" s="630" t="s">
        <v>648</v>
      </c>
      <c r="F1555" s="829">
        <v>127.24</v>
      </c>
      <c r="G1555" s="830">
        <v>75.819999999999993</v>
      </c>
      <c r="H1555" s="831">
        <v>203.06</v>
      </c>
      <c r="I1555" s="846"/>
      <c r="J1555" s="846"/>
      <c r="K1555" s="846"/>
      <c r="L1555" s="846"/>
      <c r="M1555" s="846"/>
      <c r="N1555" s="846"/>
      <c r="O1555" s="846"/>
      <c r="P1555" s="846"/>
      <c r="Q1555" s="846"/>
      <c r="R1555" s="846"/>
      <c r="S1555" s="846"/>
      <c r="T1555" s="846"/>
    </row>
    <row r="1556" spans="2:20" ht="38.25" hidden="1">
      <c r="B1556" s="828" t="s">
        <v>6557</v>
      </c>
      <c r="C1556" s="828">
        <v>93971</v>
      </c>
      <c r="D1556" s="630" t="s">
        <v>1610</v>
      </c>
      <c r="E1556" s="630" t="s">
        <v>648</v>
      </c>
      <c r="F1556" s="829">
        <v>120.07999999999998</v>
      </c>
      <c r="G1556" s="830">
        <v>70.709999999999994</v>
      </c>
      <c r="H1556" s="831">
        <v>190.79</v>
      </c>
      <c r="I1556" s="846"/>
      <c r="J1556" s="846"/>
      <c r="K1556" s="846"/>
      <c r="L1556" s="846"/>
      <c r="M1556" s="846"/>
      <c r="N1556" s="846"/>
      <c r="O1556" s="846"/>
      <c r="P1556" s="846"/>
      <c r="Q1556" s="846"/>
      <c r="R1556" s="846"/>
      <c r="S1556" s="846"/>
      <c r="T1556" s="846"/>
    </row>
    <row r="1557" spans="2:20" ht="38.25" hidden="1">
      <c r="B1557" s="828" t="s">
        <v>6557</v>
      </c>
      <c r="C1557" s="828">
        <v>95108</v>
      </c>
      <c r="D1557" s="630" t="s">
        <v>1022</v>
      </c>
      <c r="E1557" s="630" t="s">
        <v>646</v>
      </c>
      <c r="F1557" s="829">
        <v>12.44</v>
      </c>
      <c r="G1557" s="830">
        <v>21.97</v>
      </c>
      <c r="H1557" s="831">
        <v>34.409999999999997</v>
      </c>
      <c r="I1557" s="846"/>
      <c r="J1557" s="846"/>
      <c r="K1557" s="846"/>
      <c r="L1557" s="846"/>
      <c r="M1557" s="846"/>
      <c r="N1557" s="846"/>
      <c r="O1557" s="846"/>
      <c r="P1557" s="846"/>
      <c r="Q1557" s="846"/>
      <c r="R1557" s="846"/>
      <c r="S1557" s="846"/>
      <c r="T1557" s="846"/>
    </row>
    <row r="1558" spans="2:20" ht="25.5" hidden="1">
      <c r="B1558" s="828" t="s">
        <v>6557</v>
      </c>
      <c r="C1558" s="828">
        <v>100332</v>
      </c>
      <c r="D1558" s="630" t="s">
        <v>3246</v>
      </c>
      <c r="E1558" s="630" t="s">
        <v>649</v>
      </c>
      <c r="F1558" s="829">
        <v>995.43</v>
      </c>
      <c r="G1558" s="830">
        <v>71.25</v>
      </c>
      <c r="H1558" s="831">
        <v>1066.68</v>
      </c>
      <c r="I1558" s="846"/>
      <c r="J1558" s="846"/>
      <c r="K1558" s="846"/>
      <c r="L1558" s="846"/>
      <c r="M1558" s="846"/>
      <c r="N1558" s="846"/>
      <c r="O1558" s="846"/>
      <c r="P1558" s="846"/>
      <c r="Q1558" s="846"/>
      <c r="R1558" s="846"/>
      <c r="S1558" s="846"/>
      <c r="T1558" s="846"/>
    </row>
    <row r="1559" spans="2:20" ht="25.5" hidden="1">
      <c r="B1559" s="828" t="s">
        <v>6557</v>
      </c>
      <c r="C1559" s="828">
        <v>100333</v>
      </c>
      <c r="D1559" s="630" t="s">
        <v>3247</v>
      </c>
      <c r="E1559" s="630" t="s">
        <v>649</v>
      </c>
      <c r="F1559" s="829">
        <v>581.53</v>
      </c>
      <c r="G1559" s="830">
        <v>54.06</v>
      </c>
      <c r="H1559" s="831">
        <v>635.59</v>
      </c>
      <c r="I1559" s="846"/>
      <c r="J1559" s="846"/>
      <c r="K1559" s="846"/>
      <c r="L1559" s="846"/>
      <c r="M1559" s="846"/>
      <c r="N1559" s="846"/>
      <c r="O1559" s="846"/>
      <c r="P1559" s="846"/>
      <c r="Q1559" s="846"/>
      <c r="R1559" s="846"/>
      <c r="S1559" s="846"/>
      <c r="T1559" s="846"/>
    </row>
    <row r="1560" spans="2:20" ht="25.5" hidden="1">
      <c r="B1560" s="828" t="s">
        <v>6557</v>
      </c>
      <c r="C1560" s="828">
        <v>100334</v>
      </c>
      <c r="D1560" s="630" t="s">
        <v>3248</v>
      </c>
      <c r="E1560" s="630" t="s">
        <v>649</v>
      </c>
      <c r="F1560" s="829">
        <v>772.81000000000006</v>
      </c>
      <c r="G1560" s="830">
        <v>60.48</v>
      </c>
      <c r="H1560" s="831">
        <v>833.29</v>
      </c>
      <c r="I1560" s="846"/>
      <c r="J1560" s="846"/>
      <c r="K1560" s="846"/>
      <c r="L1560" s="846"/>
      <c r="M1560" s="846"/>
      <c r="N1560" s="846"/>
      <c r="O1560" s="846"/>
      <c r="P1560" s="846"/>
      <c r="Q1560" s="846"/>
      <c r="R1560" s="846"/>
      <c r="S1560" s="846"/>
      <c r="T1560" s="846"/>
    </row>
    <row r="1561" spans="2:20" ht="25.5" hidden="1">
      <c r="B1561" s="828" t="s">
        <v>6557</v>
      </c>
      <c r="C1561" s="828">
        <v>100335</v>
      </c>
      <c r="D1561" s="630" t="s">
        <v>3249</v>
      </c>
      <c r="E1561" s="630" t="s">
        <v>649</v>
      </c>
      <c r="F1561" s="829">
        <v>462.38</v>
      </c>
      <c r="G1561" s="830">
        <v>47.59</v>
      </c>
      <c r="H1561" s="831">
        <v>509.97</v>
      </c>
      <c r="I1561" s="846"/>
      <c r="J1561" s="846"/>
      <c r="K1561" s="846"/>
      <c r="L1561" s="846"/>
      <c r="M1561" s="846"/>
      <c r="N1561" s="846"/>
      <c r="O1561" s="846"/>
      <c r="P1561" s="846"/>
      <c r="Q1561" s="846"/>
      <c r="R1561" s="846"/>
      <c r="S1561" s="846"/>
      <c r="T1561" s="846"/>
    </row>
    <row r="1562" spans="2:20" ht="38.25" hidden="1">
      <c r="B1562" s="828" t="s">
        <v>6557</v>
      </c>
      <c r="C1562" s="828">
        <v>100341</v>
      </c>
      <c r="D1562" s="630" t="s">
        <v>3250</v>
      </c>
      <c r="E1562" s="630" t="s">
        <v>649</v>
      </c>
      <c r="F1562" s="829">
        <v>21.11</v>
      </c>
      <c r="G1562" s="830">
        <v>16.54</v>
      </c>
      <c r="H1562" s="831">
        <v>37.65</v>
      </c>
      <c r="I1562" s="846"/>
      <c r="J1562" s="846"/>
      <c r="K1562" s="846"/>
      <c r="L1562" s="846"/>
      <c r="M1562" s="846"/>
      <c r="N1562" s="846"/>
      <c r="O1562" s="846"/>
      <c r="P1562" s="846"/>
      <c r="Q1562" s="846"/>
      <c r="R1562" s="846"/>
      <c r="S1562" s="846"/>
      <c r="T1562" s="846"/>
    </row>
    <row r="1563" spans="2:20" ht="25.5" hidden="1">
      <c r="B1563" s="828" t="s">
        <v>6557</v>
      </c>
      <c r="C1563" s="828">
        <v>100342</v>
      </c>
      <c r="D1563" s="630" t="s">
        <v>3251</v>
      </c>
      <c r="E1563" s="630" t="s">
        <v>645</v>
      </c>
      <c r="F1563" s="829">
        <v>12.64</v>
      </c>
      <c r="G1563" s="830">
        <v>3.76</v>
      </c>
      <c r="H1563" s="831">
        <v>16.399999999999999</v>
      </c>
      <c r="I1563" s="846"/>
      <c r="J1563" s="846"/>
      <c r="K1563" s="846"/>
      <c r="L1563" s="846"/>
      <c r="M1563" s="846"/>
      <c r="N1563" s="846"/>
      <c r="O1563" s="846"/>
      <c r="P1563" s="846"/>
      <c r="Q1563" s="846"/>
      <c r="R1563" s="846"/>
      <c r="S1563" s="846"/>
      <c r="T1563" s="846"/>
    </row>
    <row r="1564" spans="2:20" ht="25.5" hidden="1">
      <c r="B1564" s="828" t="s">
        <v>6557</v>
      </c>
      <c r="C1564" s="828">
        <v>100343</v>
      </c>
      <c r="D1564" s="630" t="s">
        <v>3252</v>
      </c>
      <c r="E1564" s="630" t="s">
        <v>645</v>
      </c>
      <c r="F1564" s="829">
        <v>12.76</v>
      </c>
      <c r="G1564" s="830">
        <v>2.6</v>
      </c>
      <c r="H1564" s="831">
        <v>15.36</v>
      </c>
      <c r="I1564" s="846"/>
      <c r="J1564" s="846"/>
      <c r="K1564" s="846"/>
      <c r="L1564" s="846"/>
      <c r="M1564" s="846"/>
      <c r="N1564" s="846"/>
      <c r="O1564" s="846"/>
      <c r="P1564" s="846"/>
      <c r="Q1564" s="846"/>
      <c r="R1564" s="846"/>
      <c r="S1564" s="846"/>
      <c r="T1564" s="846"/>
    </row>
    <row r="1565" spans="2:20" ht="25.5" hidden="1">
      <c r="B1565" s="828" t="s">
        <v>6557</v>
      </c>
      <c r="C1565" s="828">
        <v>100344</v>
      </c>
      <c r="D1565" s="630" t="s">
        <v>3253</v>
      </c>
      <c r="E1565" s="630" t="s">
        <v>645</v>
      </c>
      <c r="F1565" s="829">
        <v>11.86</v>
      </c>
      <c r="G1565" s="830">
        <v>1.86</v>
      </c>
      <c r="H1565" s="831">
        <v>13.72</v>
      </c>
      <c r="I1565" s="846"/>
      <c r="J1565" s="846"/>
      <c r="K1565" s="846"/>
      <c r="L1565" s="846"/>
      <c r="M1565" s="846"/>
      <c r="N1565" s="846"/>
      <c r="O1565" s="846"/>
      <c r="P1565" s="846"/>
      <c r="Q1565" s="846"/>
      <c r="R1565" s="846"/>
      <c r="S1565" s="846"/>
      <c r="T1565" s="846"/>
    </row>
    <row r="1566" spans="2:20" ht="25.5" hidden="1">
      <c r="B1566" s="828" t="s">
        <v>6557</v>
      </c>
      <c r="C1566" s="828">
        <v>100345</v>
      </c>
      <c r="D1566" s="630" t="s">
        <v>3254</v>
      </c>
      <c r="E1566" s="630" t="s">
        <v>645</v>
      </c>
      <c r="F1566" s="829">
        <v>10.26</v>
      </c>
      <c r="G1566" s="830">
        <v>1.32</v>
      </c>
      <c r="H1566" s="831">
        <v>11.58</v>
      </c>
      <c r="I1566" s="846"/>
      <c r="J1566" s="846"/>
      <c r="K1566" s="846"/>
      <c r="L1566" s="846"/>
      <c r="M1566" s="846"/>
      <c r="N1566" s="846"/>
      <c r="O1566" s="846"/>
      <c r="P1566" s="846"/>
      <c r="Q1566" s="846"/>
      <c r="R1566" s="846"/>
      <c r="S1566" s="846"/>
      <c r="T1566" s="846"/>
    </row>
    <row r="1567" spans="2:20" ht="25.5" hidden="1">
      <c r="B1567" s="828" t="s">
        <v>6557</v>
      </c>
      <c r="C1567" s="828">
        <v>100346</v>
      </c>
      <c r="D1567" s="630" t="s">
        <v>3255</v>
      </c>
      <c r="E1567" s="630" t="s">
        <v>645</v>
      </c>
      <c r="F1567" s="829">
        <v>10.119999999999999</v>
      </c>
      <c r="G1567" s="830">
        <v>0.85</v>
      </c>
      <c r="H1567" s="831">
        <v>10.97</v>
      </c>
      <c r="I1567" s="846"/>
      <c r="J1567" s="846"/>
      <c r="K1567" s="846"/>
      <c r="L1567" s="846"/>
      <c r="M1567" s="846"/>
      <c r="N1567" s="846"/>
      <c r="O1567" s="846"/>
      <c r="P1567" s="846"/>
      <c r="Q1567" s="846"/>
      <c r="R1567" s="846"/>
      <c r="S1567" s="846"/>
      <c r="T1567" s="846"/>
    </row>
    <row r="1568" spans="2:20" ht="25.5" hidden="1">
      <c r="B1568" s="828" t="s">
        <v>6557</v>
      </c>
      <c r="C1568" s="828">
        <v>100347</v>
      </c>
      <c r="D1568" s="630" t="s">
        <v>3256</v>
      </c>
      <c r="E1568" s="630" t="s">
        <v>645</v>
      </c>
      <c r="F1568" s="829">
        <v>11.7</v>
      </c>
      <c r="G1568" s="830">
        <v>0.55000000000000004</v>
      </c>
      <c r="H1568" s="831">
        <v>12.25</v>
      </c>
      <c r="I1568" s="846"/>
      <c r="J1568" s="846"/>
      <c r="K1568" s="846"/>
      <c r="L1568" s="846"/>
      <c r="M1568" s="846"/>
      <c r="N1568" s="846"/>
      <c r="O1568" s="846"/>
      <c r="P1568" s="846"/>
      <c r="Q1568" s="846"/>
      <c r="R1568" s="846"/>
      <c r="S1568" s="846"/>
      <c r="T1568" s="846"/>
    </row>
    <row r="1569" spans="2:20" ht="25.5" hidden="1">
      <c r="B1569" s="828" t="s">
        <v>6557</v>
      </c>
      <c r="C1569" s="828">
        <v>100348</v>
      </c>
      <c r="D1569" s="630" t="s">
        <v>3257</v>
      </c>
      <c r="E1569" s="630" t="s">
        <v>645</v>
      </c>
      <c r="F1569" s="829">
        <v>11.61</v>
      </c>
      <c r="G1569" s="830">
        <v>0.33</v>
      </c>
      <c r="H1569" s="831">
        <v>11.94</v>
      </c>
      <c r="I1569" s="846"/>
      <c r="J1569" s="846"/>
      <c r="K1569" s="846"/>
      <c r="L1569" s="846"/>
      <c r="M1569" s="846"/>
      <c r="N1569" s="846"/>
      <c r="O1569" s="846"/>
      <c r="P1569" s="846"/>
      <c r="Q1569" s="846"/>
      <c r="R1569" s="846"/>
      <c r="S1569" s="846"/>
      <c r="T1569" s="846"/>
    </row>
    <row r="1570" spans="2:20" ht="25.5" hidden="1">
      <c r="B1570" s="828" t="s">
        <v>6557</v>
      </c>
      <c r="C1570" s="828">
        <v>100349</v>
      </c>
      <c r="D1570" s="630" t="s">
        <v>3258</v>
      </c>
      <c r="E1570" s="630" t="s">
        <v>644</v>
      </c>
      <c r="F1570" s="829">
        <v>494.99</v>
      </c>
      <c r="G1570" s="830">
        <v>26.4</v>
      </c>
      <c r="H1570" s="831">
        <v>521.39</v>
      </c>
      <c r="I1570" s="846"/>
      <c r="J1570" s="846"/>
      <c r="K1570" s="846"/>
      <c r="L1570" s="846"/>
      <c r="M1570" s="846"/>
      <c r="N1570" s="846"/>
      <c r="O1570" s="846"/>
      <c r="P1570" s="846"/>
      <c r="Q1570" s="846"/>
      <c r="R1570" s="846"/>
      <c r="S1570" s="846"/>
      <c r="T1570" s="846"/>
    </row>
    <row r="1571" spans="2:20" ht="25.5" hidden="1">
      <c r="B1571" s="828" t="s">
        <v>6707</v>
      </c>
      <c r="C1571" s="828">
        <v>102989</v>
      </c>
      <c r="D1571" s="630" t="s">
        <v>6366</v>
      </c>
      <c r="E1571" s="630" t="s">
        <v>648</v>
      </c>
      <c r="F1571" s="829">
        <v>15.63</v>
      </c>
      <c r="G1571" s="830">
        <v>10.130000000000001</v>
      </c>
      <c r="H1571" s="831">
        <v>25.76</v>
      </c>
      <c r="I1571" s="846"/>
      <c r="J1571" s="846"/>
      <c r="K1571" s="846"/>
      <c r="L1571" s="846"/>
      <c r="M1571" s="846"/>
      <c r="N1571" s="846"/>
      <c r="O1571" s="846"/>
      <c r="P1571" s="846"/>
      <c r="Q1571" s="846"/>
      <c r="R1571" s="846"/>
      <c r="S1571" s="846"/>
      <c r="T1571" s="846"/>
    </row>
    <row r="1572" spans="2:20" ht="25.5" hidden="1">
      <c r="B1572" s="828" t="s">
        <v>6707</v>
      </c>
      <c r="C1572" s="828">
        <v>102990</v>
      </c>
      <c r="D1572" s="630" t="s">
        <v>6367</v>
      </c>
      <c r="E1572" s="630" t="s">
        <v>648</v>
      </c>
      <c r="F1572" s="829">
        <v>19.13</v>
      </c>
      <c r="G1572" s="830">
        <v>11.99</v>
      </c>
      <c r="H1572" s="831">
        <v>31.12</v>
      </c>
      <c r="I1572" s="846"/>
      <c r="J1572" s="846"/>
      <c r="K1572" s="846"/>
      <c r="L1572" s="846"/>
      <c r="M1572" s="846"/>
      <c r="N1572" s="846"/>
      <c r="O1572" s="846"/>
      <c r="P1572" s="846"/>
      <c r="Q1572" s="846"/>
      <c r="R1572" s="846"/>
      <c r="S1572" s="846"/>
      <c r="T1572" s="846"/>
    </row>
    <row r="1573" spans="2:20" ht="25.5" hidden="1">
      <c r="B1573" s="828" t="s">
        <v>6707</v>
      </c>
      <c r="C1573" s="828">
        <v>102991</v>
      </c>
      <c r="D1573" s="630" t="s">
        <v>6368</v>
      </c>
      <c r="E1573" s="630" t="s">
        <v>648</v>
      </c>
      <c r="F1573" s="829">
        <v>24.91</v>
      </c>
      <c r="G1573" s="830">
        <v>15.13</v>
      </c>
      <c r="H1573" s="832">
        <v>40.04</v>
      </c>
      <c r="I1573" s="846"/>
      <c r="J1573" s="846"/>
      <c r="K1573" s="846"/>
      <c r="L1573" s="846"/>
      <c r="M1573" s="846"/>
      <c r="N1573" s="846"/>
      <c r="O1573" s="846"/>
      <c r="P1573" s="846"/>
      <c r="Q1573" s="846"/>
      <c r="R1573" s="846"/>
      <c r="S1573" s="846"/>
      <c r="T1573" s="846"/>
    </row>
    <row r="1574" spans="2:20" ht="25.5" hidden="1">
      <c r="B1574" s="828" t="s">
        <v>6707</v>
      </c>
      <c r="C1574" s="828">
        <v>102992</v>
      </c>
      <c r="D1574" s="630" t="s">
        <v>6369</v>
      </c>
      <c r="E1574" s="630" t="s">
        <v>648</v>
      </c>
      <c r="F1574" s="829">
        <v>37.74</v>
      </c>
      <c r="G1574" s="830">
        <v>17.03</v>
      </c>
      <c r="H1574" s="831">
        <v>54.77</v>
      </c>
      <c r="I1574" s="846"/>
      <c r="J1574" s="846"/>
      <c r="K1574" s="846"/>
      <c r="L1574" s="846"/>
      <c r="M1574" s="846"/>
      <c r="N1574" s="846"/>
      <c r="O1574" s="846"/>
      <c r="P1574" s="846"/>
      <c r="Q1574" s="846"/>
      <c r="R1574" s="846"/>
      <c r="S1574" s="846"/>
      <c r="T1574" s="846"/>
    </row>
    <row r="1575" spans="2:20" ht="25.5" hidden="1">
      <c r="B1575" s="828" t="s">
        <v>6707</v>
      </c>
      <c r="C1575" s="828">
        <v>102993</v>
      </c>
      <c r="D1575" s="630" t="s">
        <v>6370</v>
      </c>
      <c r="E1575" s="630" t="s">
        <v>648</v>
      </c>
      <c r="F1575" s="829">
        <v>48.99</v>
      </c>
      <c r="G1575" s="830">
        <v>22.76</v>
      </c>
      <c r="H1575" s="832">
        <v>71.75</v>
      </c>
      <c r="I1575" s="846"/>
      <c r="J1575" s="846"/>
      <c r="K1575" s="846"/>
      <c r="L1575" s="846"/>
      <c r="M1575" s="846"/>
      <c r="N1575" s="846"/>
      <c r="O1575" s="846"/>
      <c r="P1575" s="846"/>
      <c r="Q1575" s="846"/>
      <c r="R1575" s="846"/>
      <c r="S1575" s="846"/>
      <c r="T1575" s="846"/>
    </row>
    <row r="1576" spans="2:20" ht="25.5" hidden="1">
      <c r="B1576" s="828" t="s">
        <v>6707</v>
      </c>
      <c r="C1576" s="828">
        <v>102994</v>
      </c>
      <c r="D1576" s="630" t="s">
        <v>6371</v>
      </c>
      <c r="E1576" s="630" t="s">
        <v>648</v>
      </c>
      <c r="F1576" s="829">
        <v>86.14</v>
      </c>
      <c r="G1576" s="830">
        <v>26.73</v>
      </c>
      <c r="H1576" s="831">
        <v>112.87</v>
      </c>
      <c r="I1576" s="846"/>
      <c r="J1576" s="846"/>
      <c r="K1576" s="846"/>
      <c r="L1576" s="846"/>
      <c r="M1576" s="846"/>
      <c r="N1576" s="846"/>
      <c r="O1576" s="846"/>
      <c r="P1576" s="846"/>
      <c r="Q1576" s="846"/>
      <c r="R1576" s="846"/>
      <c r="S1576" s="846"/>
      <c r="T1576" s="846"/>
    </row>
    <row r="1577" spans="2:20" ht="38.25" hidden="1">
      <c r="B1577" s="828" t="s">
        <v>6707</v>
      </c>
      <c r="C1577" s="828">
        <v>102995</v>
      </c>
      <c r="D1577" s="630" t="s">
        <v>6372</v>
      </c>
      <c r="E1577" s="630" t="s">
        <v>648</v>
      </c>
      <c r="F1577" s="829">
        <v>31.179999999999996</v>
      </c>
      <c r="G1577" s="830">
        <v>17.77</v>
      </c>
      <c r="H1577" s="832">
        <v>48.95</v>
      </c>
      <c r="I1577" s="846"/>
      <c r="J1577" s="846"/>
      <c r="K1577" s="846"/>
      <c r="L1577" s="846"/>
      <c r="M1577" s="846"/>
      <c r="N1577" s="846"/>
      <c r="O1577" s="846"/>
      <c r="P1577" s="846"/>
      <c r="Q1577" s="846"/>
      <c r="R1577" s="846"/>
      <c r="S1577" s="846"/>
      <c r="T1577" s="846"/>
    </row>
    <row r="1578" spans="2:20" ht="38.25" hidden="1">
      <c r="B1578" s="828" t="s">
        <v>6707</v>
      </c>
      <c r="C1578" s="828">
        <v>102996</v>
      </c>
      <c r="D1578" s="630" t="s">
        <v>6373</v>
      </c>
      <c r="E1578" s="630" t="s">
        <v>648</v>
      </c>
      <c r="F1578" s="829">
        <v>44.350000000000009</v>
      </c>
      <c r="G1578" s="830">
        <v>24.73</v>
      </c>
      <c r="H1578" s="832">
        <v>69.08</v>
      </c>
      <c r="I1578" s="846"/>
      <c r="J1578" s="846"/>
      <c r="K1578" s="846"/>
      <c r="L1578" s="846"/>
      <c r="M1578" s="846"/>
      <c r="N1578" s="846"/>
      <c r="O1578" s="846"/>
      <c r="P1578" s="846"/>
      <c r="Q1578" s="846"/>
      <c r="R1578" s="846"/>
      <c r="S1578" s="846"/>
      <c r="T1578" s="846"/>
    </row>
    <row r="1579" spans="2:20" ht="38.25" hidden="1">
      <c r="B1579" s="828" t="s">
        <v>6707</v>
      </c>
      <c r="C1579" s="828">
        <v>102997</v>
      </c>
      <c r="D1579" s="630" t="s">
        <v>6374</v>
      </c>
      <c r="E1579" s="630" t="s">
        <v>648</v>
      </c>
      <c r="F1579" s="829">
        <v>61.03</v>
      </c>
      <c r="G1579" s="830">
        <v>30.03</v>
      </c>
      <c r="H1579" s="832">
        <v>91.06</v>
      </c>
      <c r="I1579" s="846"/>
      <c r="J1579" s="846"/>
      <c r="K1579" s="846"/>
      <c r="L1579" s="846"/>
      <c r="M1579" s="846"/>
      <c r="N1579" s="846"/>
      <c r="O1579" s="846"/>
      <c r="P1579" s="846"/>
      <c r="Q1579" s="846"/>
      <c r="R1579" s="846"/>
      <c r="S1579" s="846"/>
      <c r="T1579" s="846"/>
    </row>
    <row r="1580" spans="2:20" ht="38.25" hidden="1">
      <c r="B1580" s="828" t="s">
        <v>6707</v>
      </c>
      <c r="C1580" s="828">
        <v>102998</v>
      </c>
      <c r="D1580" s="630" t="s">
        <v>6375</v>
      </c>
      <c r="E1580" s="630" t="s">
        <v>648</v>
      </c>
      <c r="F1580" s="829">
        <v>57.730000000000004</v>
      </c>
      <c r="G1580" s="830">
        <v>29.66</v>
      </c>
      <c r="H1580" s="832">
        <v>87.39</v>
      </c>
      <c r="I1580" s="846"/>
      <c r="J1580" s="846"/>
      <c r="K1580" s="846"/>
      <c r="L1580" s="846"/>
      <c r="M1580" s="846"/>
      <c r="N1580" s="846"/>
      <c r="O1580" s="846"/>
      <c r="P1580" s="846"/>
      <c r="Q1580" s="846"/>
      <c r="R1580" s="846"/>
      <c r="S1580" s="846"/>
      <c r="T1580" s="846"/>
    </row>
    <row r="1581" spans="2:20" ht="38.25" hidden="1">
      <c r="B1581" s="828" t="s">
        <v>6707</v>
      </c>
      <c r="C1581" s="828">
        <v>102999</v>
      </c>
      <c r="D1581" s="630" t="s">
        <v>6376</v>
      </c>
      <c r="E1581" s="630" t="s">
        <v>648</v>
      </c>
      <c r="F1581" s="829">
        <v>73.200000000000017</v>
      </c>
      <c r="G1581" s="843">
        <v>37.299999999999997</v>
      </c>
      <c r="H1581" s="832">
        <v>110.5</v>
      </c>
      <c r="I1581" s="846"/>
      <c r="J1581" s="846"/>
      <c r="K1581" s="846"/>
      <c r="L1581" s="846"/>
      <c r="M1581" s="846"/>
      <c r="N1581" s="846"/>
      <c r="O1581" s="846"/>
      <c r="P1581" s="846"/>
      <c r="Q1581" s="846"/>
      <c r="R1581" s="846"/>
      <c r="S1581" s="846"/>
      <c r="T1581" s="846"/>
    </row>
    <row r="1582" spans="2:20" ht="38.25" hidden="1">
      <c r="B1582" s="828" t="s">
        <v>6707</v>
      </c>
      <c r="C1582" s="828">
        <v>103000</v>
      </c>
      <c r="D1582" s="630" t="s">
        <v>6377</v>
      </c>
      <c r="E1582" s="630" t="s">
        <v>648</v>
      </c>
      <c r="F1582" s="829">
        <v>73.530000000000015</v>
      </c>
      <c r="G1582" s="830">
        <v>37.42</v>
      </c>
      <c r="H1582" s="832">
        <v>110.95</v>
      </c>
      <c r="I1582" s="846"/>
      <c r="J1582" s="846"/>
      <c r="K1582" s="846"/>
      <c r="L1582" s="846"/>
      <c r="M1582" s="846"/>
      <c r="N1582" s="846"/>
      <c r="O1582" s="846"/>
      <c r="P1582" s="846"/>
      <c r="Q1582" s="846"/>
      <c r="R1582" s="846"/>
      <c r="S1582" s="846"/>
      <c r="T1582" s="846"/>
    </row>
    <row r="1583" spans="2:20" ht="38.25" hidden="1">
      <c r="B1583" s="828" t="s">
        <v>6707</v>
      </c>
      <c r="C1583" s="828">
        <v>103001</v>
      </c>
      <c r="D1583" s="630" t="s">
        <v>6378</v>
      </c>
      <c r="E1583" s="630" t="s">
        <v>646</v>
      </c>
      <c r="F1583" s="829">
        <v>236.95</v>
      </c>
      <c r="G1583" s="843">
        <v>19.59</v>
      </c>
      <c r="H1583" s="832">
        <v>256.54000000000002</v>
      </c>
      <c r="I1583" s="846"/>
      <c r="J1583" s="846"/>
      <c r="K1583" s="846"/>
      <c r="L1583" s="846"/>
      <c r="M1583" s="846"/>
      <c r="N1583" s="846"/>
      <c r="O1583" s="846"/>
      <c r="P1583" s="846"/>
      <c r="Q1583" s="846"/>
      <c r="R1583" s="846"/>
      <c r="S1583" s="846"/>
      <c r="T1583" s="846"/>
    </row>
    <row r="1584" spans="2:20" ht="38.25" hidden="1">
      <c r="B1584" s="828" t="s">
        <v>6707</v>
      </c>
      <c r="C1584" s="828">
        <v>103002</v>
      </c>
      <c r="D1584" s="630" t="s">
        <v>6379</v>
      </c>
      <c r="E1584" s="630" t="s">
        <v>646</v>
      </c>
      <c r="F1584" s="829">
        <v>299.17</v>
      </c>
      <c r="G1584" s="830">
        <v>20.420000000000002</v>
      </c>
      <c r="H1584" s="832">
        <v>319.58999999999997</v>
      </c>
      <c r="I1584" s="846"/>
      <c r="J1584" s="846"/>
      <c r="K1584" s="846"/>
      <c r="L1584" s="846"/>
      <c r="M1584" s="846"/>
      <c r="N1584" s="846"/>
      <c r="O1584" s="846"/>
      <c r="P1584" s="846"/>
      <c r="Q1584" s="846"/>
      <c r="R1584" s="846"/>
      <c r="S1584" s="846"/>
      <c r="T1584" s="846"/>
    </row>
    <row r="1585" spans="2:20" ht="38.25" hidden="1">
      <c r="B1585" s="828" t="s">
        <v>6707</v>
      </c>
      <c r="C1585" s="828">
        <v>103003</v>
      </c>
      <c r="D1585" s="630" t="s">
        <v>6380</v>
      </c>
      <c r="E1585" s="630" t="s">
        <v>646</v>
      </c>
      <c r="F1585" s="829">
        <v>423.68</v>
      </c>
      <c r="G1585" s="830">
        <v>22.09</v>
      </c>
      <c r="H1585" s="832">
        <v>445.77</v>
      </c>
      <c r="I1585" s="846"/>
      <c r="J1585" s="846"/>
      <c r="K1585" s="846"/>
      <c r="L1585" s="846"/>
      <c r="M1585" s="846"/>
      <c r="N1585" s="846"/>
      <c r="O1585" s="846"/>
      <c r="P1585" s="846"/>
      <c r="Q1585" s="846"/>
      <c r="R1585" s="846"/>
      <c r="S1585" s="846"/>
      <c r="T1585" s="846"/>
    </row>
    <row r="1586" spans="2:20" ht="38.25" hidden="1">
      <c r="B1586" s="828" t="s">
        <v>6707</v>
      </c>
      <c r="C1586" s="828">
        <v>103005</v>
      </c>
      <c r="D1586" s="630" t="s">
        <v>6381</v>
      </c>
      <c r="E1586" s="630" t="s">
        <v>646</v>
      </c>
      <c r="F1586" s="829">
        <v>471.26</v>
      </c>
      <c r="G1586" s="830">
        <v>160.33000000000001</v>
      </c>
      <c r="H1586" s="832">
        <v>631.59</v>
      </c>
      <c r="I1586" s="846"/>
      <c r="J1586" s="846"/>
      <c r="K1586" s="846"/>
      <c r="L1586" s="846"/>
      <c r="M1586" s="846"/>
      <c r="N1586" s="846"/>
      <c r="O1586" s="846"/>
      <c r="P1586" s="846"/>
      <c r="Q1586" s="846"/>
      <c r="R1586" s="846"/>
      <c r="S1586" s="846"/>
      <c r="T1586" s="846"/>
    </row>
    <row r="1587" spans="2:20" ht="38.25" hidden="1">
      <c r="B1587" s="828" t="s">
        <v>6707</v>
      </c>
      <c r="C1587" s="828">
        <v>103006</v>
      </c>
      <c r="D1587" s="630" t="s">
        <v>6382</v>
      </c>
      <c r="E1587" s="630" t="s">
        <v>646</v>
      </c>
      <c r="F1587" s="829">
        <v>641.17999999999995</v>
      </c>
      <c r="G1587" s="830">
        <v>219.83</v>
      </c>
      <c r="H1587" s="832">
        <v>861.01</v>
      </c>
      <c r="I1587" s="846"/>
      <c r="J1587" s="846"/>
      <c r="K1587" s="846"/>
      <c r="L1587" s="846"/>
      <c r="M1587" s="846"/>
      <c r="N1587" s="846"/>
      <c r="O1587" s="846"/>
      <c r="P1587" s="846"/>
      <c r="Q1587" s="846"/>
      <c r="R1587" s="846"/>
      <c r="S1587" s="846"/>
      <c r="T1587" s="846"/>
    </row>
    <row r="1588" spans="2:20" ht="38.25" hidden="1">
      <c r="B1588" s="828" t="s">
        <v>6707</v>
      </c>
      <c r="C1588" s="828">
        <v>103007</v>
      </c>
      <c r="D1588" s="630" t="s">
        <v>6383</v>
      </c>
      <c r="E1588" s="630" t="s">
        <v>646</v>
      </c>
      <c r="F1588" s="829">
        <v>860.93000000000006</v>
      </c>
      <c r="G1588" s="830">
        <v>279.47000000000003</v>
      </c>
      <c r="H1588" s="832">
        <v>1140.4000000000001</v>
      </c>
      <c r="I1588" s="846"/>
      <c r="J1588" s="846"/>
      <c r="K1588" s="846"/>
      <c r="L1588" s="846"/>
      <c r="M1588" s="846"/>
      <c r="N1588" s="846"/>
      <c r="O1588" s="846"/>
      <c r="P1588" s="846"/>
      <c r="Q1588" s="846"/>
      <c r="R1588" s="846"/>
      <c r="S1588" s="846"/>
      <c r="T1588" s="846"/>
    </row>
    <row r="1589" spans="2:20" ht="25.5" hidden="1">
      <c r="B1589" s="828" t="s">
        <v>6615</v>
      </c>
      <c r="C1589" s="828">
        <v>97933</v>
      </c>
      <c r="D1589" s="630" t="s">
        <v>5628</v>
      </c>
      <c r="E1589" s="630" t="s">
        <v>646</v>
      </c>
      <c r="F1589" s="829">
        <v>696.24</v>
      </c>
      <c r="G1589" s="843">
        <v>30.69</v>
      </c>
      <c r="H1589" s="832">
        <v>726.93</v>
      </c>
      <c r="I1589" s="846"/>
      <c r="J1589" s="846"/>
      <c r="K1589" s="846"/>
      <c r="L1589" s="846"/>
      <c r="M1589" s="846"/>
      <c r="N1589" s="846"/>
      <c r="O1589" s="846"/>
      <c r="P1589" s="846"/>
      <c r="Q1589" s="846"/>
      <c r="R1589" s="846"/>
      <c r="S1589" s="846"/>
      <c r="T1589" s="846"/>
    </row>
    <row r="1590" spans="2:20" ht="25.5" hidden="1">
      <c r="B1590" s="828" t="s">
        <v>6615</v>
      </c>
      <c r="C1590" s="828">
        <v>97934</v>
      </c>
      <c r="D1590" s="630" t="s">
        <v>7683</v>
      </c>
      <c r="E1590" s="630" t="s">
        <v>646</v>
      </c>
      <c r="F1590" s="829">
        <v>1551.6299999999999</v>
      </c>
      <c r="G1590" s="830">
        <v>486.08</v>
      </c>
      <c r="H1590" s="831">
        <v>2037.71</v>
      </c>
      <c r="I1590" s="846"/>
      <c r="J1590" s="846"/>
      <c r="K1590" s="846"/>
      <c r="L1590" s="846"/>
      <c r="M1590" s="846"/>
      <c r="N1590" s="846"/>
      <c r="O1590" s="846"/>
      <c r="P1590" s="846"/>
      <c r="Q1590" s="846"/>
      <c r="R1590" s="846"/>
      <c r="S1590" s="846"/>
      <c r="T1590" s="846"/>
    </row>
    <row r="1591" spans="2:20" ht="25.5" hidden="1">
      <c r="B1591" s="828" t="s">
        <v>6615</v>
      </c>
      <c r="C1591" s="828">
        <v>97935</v>
      </c>
      <c r="D1591" s="630" t="s">
        <v>5629</v>
      </c>
      <c r="E1591" s="630" t="s">
        <v>646</v>
      </c>
      <c r="F1591" s="829">
        <v>550.02</v>
      </c>
      <c r="G1591" s="830">
        <v>143.44999999999999</v>
      </c>
      <c r="H1591" s="831">
        <v>693.47</v>
      </c>
      <c r="I1591" s="846"/>
      <c r="J1591" s="846"/>
      <c r="K1591" s="846"/>
      <c r="L1591" s="846"/>
      <c r="M1591" s="846"/>
      <c r="N1591" s="846"/>
      <c r="O1591" s="846"/>
      <c r="P1591" s="846"/>
      <c r="Q1591" s="846"/>
      <c r="R1591" s="846"/>
      <c r="S1591" s="846"/>
      <c r="T1591" s="846"/>
    </row>
    <row r="1592" spans="2:20" ht="25.5" hidden="1">
      <c r="B1592" s="828" t="s">
        <v>6615</v>
      </c>
      <c r="C1592" s="828">
        <v>97936</v>
      </c>
      <c r="D1592" s="630" t="s">
        <v>5630</v>
      </c>
      <c r="E1592" s="630" t="s">
        <v>646</v>
      </c>
      <c r="F1592" s="829">
        <v>1273.8899999999999</v>
      </c>
      <c r="G1592" s="830">
        <v>725.75</v>
      </c>
      <c r="H1592" s="832">
        <v>1999.64</v>
      </c>
      <c r="I1592" s="846"/>
      <c r="J1592" s="846"/>
      <c r="K1592" s="846"/>
      <c r="L1592" s="846"/>
      <c r="M1592" s="846"/>
      <c r="N1592" s="846"/>
      <c r="O1592" s="846"/>
      <c r="P1592" s="846"/>
      <c r="Q1592" s="846"/>
      <c r="R1592" s="846"/>
      <c r="S1592" s="846"/>
      <c r="T1592" s="846"/>
    </row>
    <row r="1593" spans="2:20" ht="25.5" hidden="1">
      <c r="B1593" s="828" t="s">
        <v>6615</v>
      </c>
      <c r="C1593" s="828">
        <v>97947</v>
      </c>
      <c r="D1593" s="630" t="s">
        <v>5631</v>
      </c>
      <c r="E1593" s="630" t="s">
        <v>646</v>
      </c>
      <c r="F1593" s="829">
        <v>1163.75</v>
      </c>
      <c r="G1593" s="830">
        <v>513.84</v>
      </c>
      <c r="H1593" s="832">
        <v>1677.59</v>
      </c>
      <c r="I1593" s="846"/>
      <c r="J1593" s="846"/>
      <c r="K1593" s="846"/>
      <c r="L1593" s="846"/>
      <c r="M1593" s="846"/>
      <c r="N1593" s="846"/>
      <c r="O1593" s="846"/>
      <c r="P1593" s="846"/>
      <c r="Q1593" s="846"/>
      <c r="R1593" s="846"/>
      <c r="S1593" s="846"/>
      <c r="T1593" s="846"/>
    </row>
    <row r="1594" spans="2:20" ht="25.5" hidden="1">
      <c r="B1594" s="828" t="s">
        <v>6615</v>
      </c>
      <c r="C1594" s="828">
        <v>97948</v>
      </c>
      <c r="D1594" s="630" t="s">
        <v>5632</v>
      </c>
      <c r="E1594" s="630" t="s">
        <v>646</v>
      </c>
      <c r="F1594" s="829">
        <v>2123.23</v>
      </c>
      <c r="G1594" s="830">
        <v>934.15</v>
      </c>
      <c r="H1594" s="831">
        <v>3057.38</v>
      </c>
      <c r="I1594" s="846"/>
      <c r="J1594" s="846"/>
      <c r="K1594" s="846"/>
      <c r="L1594" s="846"/>
      <c r="M1594" s="846"/>
      <c r="N1594" s="846"/>
      <c r="O1594" s="846"/>
      <c r="P1594" s="846"/>
      <c r="Q1594" s="846"/>
      <c r="R1594" s="846"/>
      <c r="S1594" s="846"/>
      <c r="T1594" s="846"/>
    </row>
    <row r="1595" spans="2:20" ht="38.25" hidden="1">
      <c r="B1595" s="828" t="s">
        <v>6615</v>
      </c>
      <c r="C1595" s="828">
        <v>97949</v>
      </c>
      <c r="D1595" s="630" t="s">
        <v>5633</v>
      </c>
      <c r="E1595" s="630" t="s">
        <v>646</v>
      </c>
      <c r="F1595" s="829">
        <v>1147.77</v>
      </c>
      <c r="G1595" s="830">
        <v>699.29</v>
      </c>
      <c r="H1595" s="832">
        <v>1847.06</v>
      </c>
      <c r="I1595" s="846"/>
      <c r="J1595" s="846"/>
      <c r="K1595" s="846"/>
      <c r="L1595" s="846"/>
      <c r="M1595" s="846"/>
      <c r="N1595" s="846"/>
      <c r="O1595" s="846"/>
      <c r="P1595" s="846"/>
      <c r="Q1595" s="846"/>
      <c r="R1595" s="846"/>
      <c r="S1595" s="846"/>
      <c r="T1595" s="846"/>
    </row>
    <row r="1596" spans="2:20" ht="38.25" hidden="1">
      <c r="B1596" s="828" t="s">
        <v>6615</v>
      </c>
      <c r="C1596" s="828">
        <v>97950</v>
      </c>
      <c r="D1596" s="630" t="s">
        <v>5634</v>
      </c>
      <c r="E1596" s="630" t="s">
        <v>646</v>
      </c>
      <c r="F1596" s="829">
        <v>1993.6200000000001</v>
      </c>
      <c r="G1596" s="830">
        <v>1245.22</v>
      </c>
      <c r="H1596" s="832">
        <v>3238.84</v>
      </c>
      <c r="I1596" s="846"/>
      <c r="J1596" s="846"/>
      <c r="K1596" s="846"/>
      <c r="L1596" s="846"/>
      <c r="M1596" s="846"/>
      <c r="N1596" s="846"/>
      <c r="O1596" s="846"/>
      <c r="P1596" s="846"/>
      <c r="Q1596" s="846"/>
      <c r="R1596" s="846"/>
      <c r="S1596" s="846"/>
      <c r="T1596" s="846"/>
    </row>
    <row r="1597" spans="2:20" ht="38.25" hidden="1">
      <c r="B1597" s="828" t="s">
        <v>6615</v>
      </c>
      <c r="C1597" s="828">
        <v>97951</v>
      </c>
      <c r="D1597" s="630" t="s">
        <v>5635</v>
      </c>
      <c r="E1597" s="630" t="s">
        <v>646</v>
      </c>
      <c r="F1597" s="829">
        <v>1837.21</v>
      </c>
      <c r="G1597" s="830">
        <v>949.57</v>
      </c>
      <c r="H1597" s="831">
        <v>2786.78</v>
      </c>
      <c r="I1597" s="846"/>
      <c r="J1597" s="846"/>
      <c r="K1597" s="846"/>
      <c r="L1597" s="846"/>
      <c r="M1597" s="846"/>
      <c r="N1597" s="846"/>
      <c r="O1597" s="846"/>
      <c r="P1597" s="846"/>
      <c r="Q1597" s="846"/>
      <c r="R1597" s="846"/>
      <c r="S1597" s="846"/>
      <c r="T1597" s="846"/>
    </row>
    <row r="1598" spans="2:20" ht="38.25" hidden="1">
      <c r="B1598" s="828" t="s">
        <v>6615</v>
      </c>
      <c r="C1598" s="828">
        <v>97952</v>
      </c>
      <c r="D1598" s="630" t="s">
        <v>5636</v>
      </c>
      <c r="E1598" s="630" t="s">
        <v>646</v>
      </c>
      <c r="F1598" s="829">
        <v>3136.15</v>
      </c>
      <c r="G1598" s="830">
        <v>1620.32</v>
      </c>
      <c r="H1598" s="832">
        <v>4756.47</v>
      </c>
      <c r="I1598" s="846"/>
      <c r="J1598" s="846"/>
      <c r="K1598" s="846"/>
      <c r="L1598" s="846"/>
      <c r="M1598" s="846"/>
      <c r="N1598" s="846"/>
      <c r="O1598" s="846"/>
      <c r="P1598" s="846"/>
      <c r="Q1598" s="846"/>
      <c r="R1598" s="846"/>
      <c r="S1598" s="846"/>
      <c r="T1598" s="846"/>
    </row>
    <row r="1599" spans="2:20" ht="25.5" hidden="1">
      <c r="B1599" s="828" t="s">
        <v>6615</v>
      </c>
      <c r="C1599" s="828">
        <v>97953</v>
      </c>
      <c r="D1599" s="630" t="s">
        <v>5637</v>
      </c>
      <c r="E1599" s="630" t="s">
        <v>646</v>
      </c>
      <c r="F1599" s="829">
        <v>822.82</v>
      </c>
      <c r="G1599" s="830">
        <v>349.23</v>
      </c>
      <c r="H1599" s="831">
        <v>1172.05</v>
      </c>
      <c r="I1599" s="846"/>
      <c r="J1599" s="846"/>
      <c r="K1599" s="846"/>
      <c r="L1599" s="846"/>
      <c r="M1599" s="846"/>
      <c r="N1599" s="846"/>
      <c r="O1599" s="846"/>
      <c r="P1599" s="846"/>
      <c r="Q1599" s="846"/>
      <c r="R1599" s="846"/>
      <c r="S1599" s="846"/>
      <c r="T1599" s="846"/>
    </row>
    <row r="1600" spans="2:20" ht="25.5" hidden="1">
      <c r="B1600" s="828" t="s">
        <v>6615</v>
      </c>
      <c r="C1600" s="828">
        <v>97955</v>
      </c>
      <c r="D1600" s="630" t="s">
        <v>5638</v>
      </c>
      <c r="E1600" s="630" t="s">
        <v>646</v>
      </c>
      <c r="F1600" s="829">
        <v>1833.3200000000002</v>
      </c>
      <c r="G1600" s="843">
        <v>719.77</v>
      </c>
      <c r="H1600" s="832">
        <v>2553.09</v>
      </c>
      <c r="I1600" s="846"/>
      <c r="J1600" s="846"/>
      <c r="K1600" s="846"/>
      <c r="L1600" s="846"/>
      <c r="M1600" s="846"/>
      <c r="N1600" s="846"/>
      <c r="O1600" s="846"/>
      <c r="P1600" s="846"/>
      <c r="Q1600" s="846"/>
      <c r="R1600" s="846"/>
      <c r="S1600" s="846"/>
      <c r="T1600" s="846"/>
    </row>
    <row r="1601" spans="2:20" ht="25.5" hidden="1">
      <c r="B1601" s="828" t="s">
        <v>6615</v>
      </c>
      <c r="C1601" s="828">
        <v>97956</v>
      </c>
      <c r="D1601" s="630" t="s">
        <v>5639</v>
      </c>
      <c r="E1601" s="630" t="s">
        <v>646</v>
      </c>
      <c r="F1601" s="829">
        <v>868.7</v>
      </c>
      <c r="G1601" s="830">
        <v>531.04</v>
      </c>
      <c r="H1601" s="832">
        <v>1399.74</v>
      </c>
      <c r="I1601" s="846"/>
      <c r="J1601" s="846"/>
      <c r="K1601" s="846"/>
      <c r="L1601" s="846"/>
      <c r="M1601" s="846"/>
      <c r="N1601" s="846"/>
      <c r="O1601" s="846"/>
      <c r="P1601" s="846"/>
      <c r="Q1601" s="846"/>
      <c r="R1601" s="846"/>
      <c r="S1601" s="846"/>
      <c r="T1601" s="846"/>
    </row>
    <row r="1602" spans="2:20" ht="25.5" hidden="1">
      <c r="B1602" s="828" t="s">
        <v>6615</v>
      </c>
      <c r="C1602" s="828">
        <v>97957</v>
      </c>
      <c r="D1602" s="630" t="s">
        <v>5640</v>
      </c>
      <c r="E1602" s="630" t="s">
        <v>646</v>
      </c>
      <c r="F1602" s="829">
        <v>1539.15</v>
      </c>
      <c r="G1602" s="830">
        <v>979.93</v>
      </c>
      <c r="H1602" s="831">
        <v>2519.08</v>
      </c>
      <c r="I1602" s="846"/>
      <c r="J1602" s="846"/>
      <c r="K1602" s="846"/>
      <c r="L1602" s="846"/>
      <c r="M1602" s="846"/>
      <c r="N1602" s="846"/>
      <c r="O1602" s="846"/>
      <c r="P1602" s="846"/>
      <c r="Q1602" s="846"/>
      <c r="R1602" s="846"/>
      <c r="S1602" s="846"/>
      <c r="T1602" s="846"/>
    </row>
    <row r="1603" spans="2:20" ht="38.25" hidden="1">
      <c r="B1603" s="828" t="s">
        <v>6615</v>
      </c>
      <c r="C1603" s="828">
        <v>97961</v>
      </c>
      <c r="D1603" s="630" t="s">
        <v>5641</v>
      </c>
      <c r="E1603" s="630" t="s">
        <v>646</v>
      </c>
      <c r="F1603" s="829">
        <v>1427.97</v>
      </c>
      <c r="G1603" s="843">
        <v>718.63</v>
      </c>
      <c r="H1603" s="832">
        <v>2146.6</v>
      </c>
      <c r="I1603" s="846"/>
      <c r="J1603" s="846"/>
      <c r="K1603" s="846"/>
      <c r="L1603" s="846"/>
      <c r="M1603" s="846"/>
      <c r="N1603" s="846"/>
      <c r="O1603" s="846"/>
      <c r="P1603" s="846"/>
      <c r="Q1603" s="846"/>
      <c r="R1603" s="846"/>
      <c r="S1603" s="846"/>
      <c r="T1603" s="846"/>
    </row>
    <row r="1604" spans="2:20" ht="38.25" hidden="1">
      <c r="B1604" s="828" t="s">
        <v>6615</v>
      </c>
      <c r="C1604" s="828">
        <v>97973</v>
      </c>
      <c r="D1604" s="630" t="s">
        <v>5642</v>
      </c>
      <c r="E1604" s="630" t="s">
        <v>646</v>
      </c>
      <c r="F1604" s="829">
        <v>2699.29</v>
      </c>
      <c r="G1604" s="830">
        <v>1310.03</v>
      </c>
      <c r="H1604" s="832">
        <v>4009.32</v>
      </c>
      <c r="I1604" s="846"/>
      <c r="J1604" s="846"/>
      <c r="K1604" s="846"/>
      <c r="L1604" s="846"/>
      <c r="M1604" s="846"/>
      <c r="N1604" s="846"/>
      <c r="O1604" s="846"/>
      <c r="P1604" s="846"/>
      <c r="Q1604" s="846"/>
      <c r="R1604" s="846"/>
      <c r="S1604" s="846"/>
      <c r="T1604" s="846"/>
    </row>
    <row r="1605" spans="2:20" ht="38.25" hidden="1">
      <c r="B1605" s="828" t="s">
        <v>6615</v>
      </c>
      <c r="C1605" s="828">
        <v>97974</v>
      </c>
      <c r="D1605" s="630" t="s">
        <v>7684</v>
      </c>
      <c r="E1605" s="630" t="s">
        <v>646</v>
      </c>
      <c r="F1605" s="829">
        <v>309.32</v>
      </c>
      <c r="G1605" s="830">
        <v>90.37</v>
      </c>
      <c r="H1605" s="832">
        <v>399.69</v>
      </c>
      <c r="I1605" s="846"/>
      <c r="J1605" s="846"/>
      <c r="K1605" s="846"/>
      <c r="L1605" s="846"/>
      <c r="M1605" s="846"/>
      <c r="N1605" s="846"/>
      <c r="O1605" s="846"/>
      <c r="P1605" s="846"/>
      <c r="Q1605" s="846"/>
      <c r="R1605" s="846"/>
      <c r="S1605" s="846"/>
      <c r="T1605" s="846"/>
    </row>
    <row r="1606" spans="2:20" ht="38.25" hidden="1">
      <c r="B1606" s="828" t="s">
        <v>6615</v>
      </c>
      <c r="C1606" s="828">
        <v>97975</v>
      </c>
      <c r="D1606" s="630" t="s">
        <v>7685</v>
      </c>
      <c r="E1606" s="630" t="s">
        <v>646</v>
      </c>
      <c r="F1606" s="829">
        <v>403.83</v>
      </c>
      <c r="G1606" s="830">
        <v>100.14</v>
      </c>
      <c r="H1606" s="832">
        <v>503.97</v>
      </c>
      <c r="I1606" s="846"/>
      <c r="J1606" s="846"/>
      <c r="K1606" s="846"/>
      <c r="L1606" s="846"/>
      <c r="M1606" s="846"/>
      <c r="N1606" s="846"/>
      <c r="O1606" s="846"/>
      <c r="P1606" s="846"/>
      <c r="Q1606" s="846"/>
      <c r="R1606" s="846"/>
      <c r="S1606" s="846"/>
      <c r="T1606" s="846"/>
    </row>
    <row r="1607" spans="2:20" ht="38.25" hidden="1">
      <c r="B1607" s="828" t="s">
        <v>6615</v>
      </c>
      <c r="C1607" s="828">
        <v>97976</v>
      </c>
      <c r="D1607" s="630" t="s">
        <v>7686</v>
      </c>
      <c r="E1607" s="630" t="s">
        <v>646</v>
      </c>
      <c r="F1607" s="829">
        <v>715.89</v>
      </c>
      <c r="G1607" s="843">
        <v>434.24</v>
      </c>
      <c r="H1607" s="832">
        <v>1150.1300000000001</v>
      </c>
      <c r="I1607" s="846"/>
      <c r="J1607" s="846"/>
      <c r="K1607" s="846"/>
      <c r="L1607" s="846"/>
      <c r="M1607" s="846"/>
      <c r="N1607" s="846"/>
      <c r="O1607" s="846"/>
      <c r="P1607" s="846"/>
      <c r="Q1607" s="846"/>
      <c r="R1607" s="846"/>
      <c r="S1607" s="846"/>
      <c r="T1607" s="846"/>
    </row>
    <row r="1608" spans="2:20" ht="38.25" hidden="1">
      <c r="B1608" s="828" t="s">
        <v>6615</v>
      </c>
      <c r="C1608" s="828">
        <v>97977</v>
      </c>
      <c r="D1608" s="630" t="s">
        <v>7687</v>
      </c>
      <c r="E1608" s="630" t="s">
        <v>646</v>
      </c>
      <c r="F1608" s="829">
        <v>1012.0400000000001</v>
      </c>
      <c r="G1608" s="830">
        <v>637.96</v>
      </c>
      <c r="H1608" s="832">
        <v>1650</v>
      </c>
      <c r="I1608" s="846"/>
      <c r="J1608" s="846"/>
      <c r="K1608" s="846"/>
      <c r="L1608" s="846"/>
      <c r="M1608" s="846"/>
      <c r="N1608" s="846"/>
      <c r="O1608" s="846"/>
      <c r="P1608" s="846"/>
      <c r="Q1608" s="846"/>
      <c r="R1608" s="846"/>
      <c r="S1608" s="846"/>
      <c r="T1608" s="846"/>
    </row>
    <row r="1609" spans="2:20" ht="38.25" hidden="1">
      <c r="B1609" s="828" t="s">
        <v>6615</v>
      </c>
      <c r="C1609" s="828">
        <v>97978</v>
      </c>
      <c r="D1609" s="630" t="s">
        <v>7688</v>
      </c>
      <c r="E1609" s="630" t="s">
        <v>646</v>
      </c>
      <c r="F1609" s="829">
        <v>596.02999999999986</v>
      </c>
      <c r="G1609" s="830">
        <v>229.4</v>
      </c>
      <c r="H1609" s="832">
        <v>825.43</v>
      </c>
      <c r="I1609" s="846"/>
      <c r="J1609" s="846"/>
      <c r="K1609" s="846"/>
      <c r="L1609" s="846"/>
      <c r="M1609" s="846"/>
      <c r="N1609" s="846"/>
      <c r="O1609" s="846"/>
      <c r="P1609" s="846"/>
      <c r="Q1609" s="846"/>
      <c r="R1609" s="846"/>
      <c r="S1609" s="846"/>
      <c r="T1609" s="846"/>
    </row>
    <row r="1610" spans="2:20" ht="38.25" hidden="1">
      <c r="B1610" s="828" t="s">
        <v>6615</v>
      </c>
      <c r="C1610" s="828">
        <v>97980</v>
      </c>
      <c r="D1610" s="630" t="s">
        <v>7689</v>
      </c>
      <c r="E1610" s="630" t="s">
        <v>646</v>
      </c>
      <c r="F1610" s="829">
        <v>1317.22</v>
      </c>
      <c r="G1610" s="830">
        <v>797.25</v>
      </c>
      <c r="H1610" s="832">
        <v>2114.4699999999998</v>
      </c>
      <c r="I1610" s="846"/>
      <c r="J1610" s="846"/>
      <c r="K1610" s="846"/>
      <c r="L1610" s="846"/>
      <c r="M1610" s="846"/>
      <c r="N1610" s="846"/>
      <c r="O1610" s="846"/>
      <c r="P1610" s="846"/>
      <c r="Q1610" s="846"/>
      <c r="R1610" s="846"/>
      <c r="S1610" s="846"/>
      <c r="T1610" s="846"/>
    </row>
    <row r="1611" spans="2:20" ht="38.25" hidden="1">
      <c r="B1611" s="828" t="s">
        <v>6615</v>
      </c>
      <c r="C1611" s="828">
        <v>97981</v>
      </c>
      <c r="D1611" s="630" t="s">
        <v>5643</v>
      </c>
      <c r="E1611" s="630" t="s">
        <v>648</v>
      </c>
      <c r="F1611" s="829">
        <v>724.12</v>
      </c>
      <c r="G1611" s="843">
        <v>517.61</v>
      </c>
      <c r="H1611" s="832">
        <v>1241.73</v>
      </c>
      <c r="I1611" s="846"/>
      <c r="J1611" s="846"/>
      <c r="K1611" s="846"/>
      <c r="L1611" s="846"/>
      <c r="M1611" s="846"/>
      <c r="N1611" s="846"/>
      <c r="O1611" s="846"/>
      <c r="P1611" s="846"/>
      <c r="Q1611" s="846"/>
      <c r="R1611" s="846"/>
      <c r="S1611" s="846"/>
      <c r="T1611" s="846"/>
    </row>
    <row r="1612" spans="2:20" ht="25.5" hidden="1">
      <c r="B1612" s="828" t="s">
        <v>6615</v>
      </c>
      <c r="C1612" s="828">
        <v>97983</v>
      </c>
      <c r="D1612" s="630" t="s">
        <v>5644</v>
      </c>
      <c r="E1612" s="630" t="s">
        <v>648</v>
      </c>
      <c r="F1612" s="829">
        <v>333.3</v>
      </c>
      <c r="G1612" s="830">
        <v>33.6</v>
      </c>
      <c r="H1612" s="832">
        <v>366.9</v>
      </c>
      <c r="I1612" s="846"/>
      <c r="J1612" s="846"/>
      <c r="K1612" s="846"/>
      <c r="L1612" s="846"/>
      <c r="M1612" s="846"/>
      <c r="N1612" s="846"/>
      <c r="O1612" s="846"/>
      <c r="P1612" s="846"/>
      <c r="Q1612" s="846"/>
      <c r="R1612" s="846"/>
      <c r="S1612" s="846"/>
      <c r="T1612" s="846"/>
    </row>
    <row r="1613" spans="2:20" ht="38.25" hidden="1">
      <c r="B1613" s="828" t="s">
        <v>6615</v>
      </c>
      <c r="C1613" s="828">
        <v>97985</v>
      </c>
      <c r="D1613" s="630" t="s">
        <v>5645</v>
      </c>
      <c r="E1613" s="630" t="s">
        <v>648</v>
      </c>
      <c r="F1613" s="829">
        <v>868.53000000000009</v>
      </c>
      <c r="G1613" s="843">
        <v>632.79999999999995</v>
      </c>
      <c r="H1613" s="832">
        <v>1501.33</v>
      </c>
      <c r="I1613" s="846"/>
      <c r="J1613" s="846"/>
      <c r="K1613" s="846"/>
      <c r="L1613" s="846"/>
      <c r="M1613" s="846"/>
      <c r="N1613" s="846"/>
      <c r="O1613" s="846"/>
      <c r="P1613" s="846"/>
      <c r="Q1613" s="846"/>
      <c r="R1613" s="846"/>
      <c r="S1613" s="846"/>
      <c r="T1613" s="846"/>
    </row>
    <row r="1614" spans="2:20" ht="25.5" hidden="1">
      <c r="B1614" s="828" t="s">
        <v>6615</v>
      </c>
      <c r="C1614" s="828">
        <v>97987</v>
      </c>
      <c r="D1614" s="630" t="s">
        <v>5646</v>
      </c>
      <c r="E1614" s="630" t="s">
        <v>648</v>
      </c>
      <c r="F1614" s="829">
        <v>443.96</v>
      </c>
      <c r="G1614" s="843">
        <v>39.49</v>
      </c>
      <c r="H1614" s="832">
        <v>483.45</v>
      </c>
      <c r="I1614" s="846"/>
      <c r="J1614" s="846"/>
      <c r="K1614" s="846"/>
      <c r="L1614" s="846"/>
      <c r="M1614" s="846"/>
      <c r="N1614" s="846"/>
      <c r="O1614" s="846"/>
      <c r="P1614" s="846"/>
      <c r="Q1614" s="846"/>
      <c r="R1614" s="846"/>
      <c r="S1614" s="846"/>
      <c r="T1614" s="846"/>
    </row>
    <row r="1615" spans="2:20" ht="38.25" hidden="1">
      <c r="B1615" s="828" t="s">
        <v>6615</v>
      </c>
      <c r="C1615" s="828">
        <v>97988</v>
      </c>
      <c r="D1615" s="630" t="s">
        <v>7690</v>
      </c>
      <c r="E1615" s="630" t="s">
        <v>646</v>
      </c>
      <c r="F1615" s="829">
        <v>1966.02</v>
      </c>
      <c r="G1615" s="843">
        <v>1123.3399999999999</v>
      </c>
      <c r="H1615" s="832">
        <v>3089.36</v>
      </c>
      <c r="I1615" s="846"/>
      <c r="J1615" s="846"/>
      <c r="K1615" s="846"/>
      <c r="L1615" s="846"/>
      <c r="M1615" s="846"/>
      <c r="N1615" s="846"/>
      <c r="O1615" s="846"/>
      <c r="P1615" s="846"/>
      <c r="Q1615" s="846"/>
      <c r="R1615" s="846"/>
      <c r="S1615" s="846"/>
      <c r="T1615" s="846"/>
    </row>
    <row r="1616" spans="2:20" ht="38.25" hidden="1">
      <c r="B1616" s="828" t="s">
        <v>6615</v>
      </c>
      <c r="C1616" s="828">
        <v>97989</v>
      </c>
      <c r="D1616" s="630" t="s">
        <v>5647</v>
      </c>
      <c r="E1616" s="630" t="s">
        <v>648</v>
      </c>
      <c r="F1616" s="829">
        <v>1012.88</v>
      </c>
      <c r="G1616" s="843">
        <v>747.98</v>
      </c>
      <c r="H1616" s="832">
        <v>1760.86</v>
      </c>
      <c r="I1616" s="846"/>
      <c r="J1616" s="846"/>
      <c r="K1616" s="846"/>
      <c r="L1616" s="846"/>
      <c r="M1616" s="846"/>
      <c r="N1616" s="846"/>
      <c r="O1616" s="846"/>
      <c r="P1616" s="846"/>
      <c r="Q1616" s="846"/>
      <c r="R1616" s="846"/>
      <c r="S1616" s="846"/>
      <c r="T1616" s="846"/>
    </row>
    <row r="1617" spans="2:20" ht="25.5" hidden="1">
      <c r="B1617" s="828" t="s">
        <v>6615</v>
      </c>
      <c r="C1617" s="828">
        <v>97991</v>
      </c>
      <c r="D1617" s="630" t="s">
        <v>5648</v>
      </c>
      <c r="E1617" s="630" t="s">
        <v>648</v>
      </c>
      <c r="F1617" s="829">
        <v>609.08999999999992</v>
      </c>
      <c r="G1617" s="830">
        <v>50.39</v>
      </c>
      <c r="H1617" s="832">
        <v>659.48</v>
      </c>
      <c r="I1617" s="846"/>
      <c r="J1617" s="846"/>
      <c r="K1617" s="846"/>
      <c r="L1617" s="846"/>
      <c r="M1617" s="846"/>
      <c r="N1617" s="846"/>
      <c r="O1617" s="846"/>
      <c r="P1617" s="846"/>
      <c r="Q1617" s="846"/>
      <c r="R1617" s="846"/>
      <c r="S1617" s="846"/>
      <c r="T1617" s="846"/>
    </row>
    <row r="1618" spans="2:20" ht="38.25" hidden="1">
      <c r="B1618" s="828" t="s">
        <v>6615</v>
      </c>
      <c r="C1618" s="828">
        <v>97992</v>
      </c>
      <c r="D1618" s="630" t="s">
        <v>7691</v>
      </c>
      <c r="E1618" s="630" t="s">
        <v>646</v>
      </c>
      <c r="F1618" s="829">
        <v>2557.73</v>
      </c>
      <c r="G1618" s="843">
        <v>1390.92</v>
      </c>
      <c r="H1618" s="832">
        <v>3948.65</v>
      </c>
      <c r="I1618" s="846"/>
      <c r="J1618" s="846"/>
      <c r="K1618" s="846"/>
      <c r="L1618" s="846"/>
      <c r="M1618" s="846"/>
      <c r="N1618" s="846"/>
      <c r="O1618" s="846"/>
      <c r="P1618" s="846"/>
      <c r="Q1618" s="846"/>
      <c r="R1618" s="846"/>
      <c r="S1618" s="846"/>
      <c r="T1618" s="846"/>
    </row>
    <row r="1619" spans="2:20" ht="38.25" hidden="1">
      <c r="B1619" s="828" t="s">
        <v>6615</v>
      </c>
      <c r="C1619" s="828">
        <v>97993</v>
      </c>
      <c r="D1619" s="630" t="s">
        <v>5649</v>
      </c>
      <c r="E1619" s="630" t="s">
        <v>648</v>
      </c>
      <c r="F1619" s="829">
        <v>1229.52</v>
      </c>
      <c r="G1619" s="830">
        <v>920.73</v>
      </c>
      <c r="H1619" s="832">
        <v>2150.25</v>
      </c>
      <c r="I1619" s="846"/>
      <c r="J1619" s="846"/>
      <c r="K1619" s="846"/>
      <c r="L1619" s="846"/>
      <c r="M1619" s="846"/>
      <c r="N1619" s="846"/>
      <c r="O1619" s="846"/>
      <c r="P1619" s="846"/>
      <c r="Q1619" s="846"/>
      <c r="R1619" s="846"/>
      <c r="S1619" s="846"/>
      <c r="T1619" s="846"/>
    </row>
    <row r="1620" spans="2:20" ht="38.25" hidden="1">
      <c r="B1620" s="828" t="s">
        <v>6615</v>
      </c>
      <c r="C1620" s="828">
        <v>97994</v>
      </c>
      <c r="D1620" s="630" t="s">
        <v>7692</v>
      </c>
      <c r="E1620" s="630" t="s">
        <v>646</v>
      </c>
      <c r="F1620" s="829">
        <v>1590.82</v>
      </c>
      <c r="G1620" s="843">
        <v>952.89</v>
      </c>
      <c r="H1620" s="832">
        <v>2543.71</v>
      </c>
      <c r="I1620" s="846"/>
      <c r="J1620" s="846"/>
      <c r="K1620" s="846"/>
      <c r="L1620" s="846"/>
      <c r="M1620" s="846"/>
      <c r="N1620" s="846"/>
      <c r="O1620" s="846"/>
      <c r="P1620" s="846"/>
      <c r="Q1620" s="846"/>
      <c r="R1620" s="846"/>
      <c r="S1620" s="846"/>
      <c r="T1620" s="846"/>
    </row>
    <row r="1621" spans="2:20" ht="38.25" hidden="1">
      <c r="B1621" s="828" t="s">
        <v>6615</v>
      </c>
      <c r="C1621" s="828">
        <v>97995</v>
      </c>
      <c r="D1621" s="630" t="s">
        <v>5650</v>
      </c>
      <c r="E1621" s="630" t="s">
        <v>648</v>
      </c>
      <c r="F1621" s="829">
        <v>720.36</v>
      </c>
      <c r="G1621" s="830">
        <v>567.67999999999995</v>
      </c>
      <c r="H1621" s="832">
        <v>1288.04</v>
      </c>
      <c r="I1621" s="846"/>
      <c r="J1621" s="846"/>
      <c r="K1621" s="846"/>
      <c r="L1621" s="846"/>
      <c r="M1621" s="846"/>
      <c r="N1621" s="846"/>
      <c r="O1621" s="846"/>
      <c r="P1621" s="846"/>
      <c r="Q1621" s="846"/>
      <c r="R1621" s="846"/>
      <c r="S1621" s="846"/>
      <c r="T1621" s="846"/>
    </row>
    <row r="1622" spans="2:20" ht="38.25" hidden="1">
      <c r="B1622" s="828" t="s">
        <v>6615</v>
      </c>
      <c r="C1622" s="828">
        <v>97996</v>
      </c>
      <c r="D1622" s="630" t="s">
        <v>7693</v>
      </c>
      <c r="E1622" s="630" t="s">
        <v>646</v>
      </c>
      <c r="F1622" s="829">
        <v>2019.66</v>
      </c>
      <c r="G1622" s="843">
        <v>1194.67</v>
      </c>
      <c r="H1622" s="832">
        <v>3214.33</v>
      </c>
      <c r="I1622" s="846"/>
      <c r="J1622" s="846"/>
      <c r="K1622" s="846"/>
      <c r="L1622" s="846"/>
      <c r="M1622" s="846"/>
      <c r="N1622" s="846"/>
      <c r="O1622" s="846"/>
      <c r="P1622" s="846"/>
      <c r="Q1622" s="846"/>
      <c r="R1622" s="846"/>
      <c r="S1622" s="846"/>
      <c r="T1622" s="846"/>
    </row>
    <row r="1623" spans="2:20" ht="38.25" hidden="1">
      <c r="B1623" s="828" t="s">
        <v>6615</v>
      </c>
      <c r="C1623" s="828">
        <v>97997</v>
      </c>
      <c r="D1623" s="630" t="s">
        <v>5651</v>
      </c>
      <c r="E1623" s="630" t="s">
        <v>648</v>
      </c>
      <c r="F1623" s="829">
        <v>859</v>
      </c>
      <c r="G1623" s="843">
        <v>680.24</v>
      </c>
      <c r="H1623" s="832">
        <v>1539.24</v>
      </c>
      <c r="I1623" s="846"/>
      <c r="J1623" s="846"/>
      <c r="K1623" s="846"/>
      <c r="L1623" s="846"/>
      <c r="M1623" s="846"/>
      <c r="N1623" s="846"/>
      <c r="O1623" s="846"/>
      <c r="P1623" s="846"/>
      <c r="Q1623" s="846"/>
      <c r="R1623" s="846"/>
      <c r="S1623" s="846"/>
      <c r="T1623" s="846"/>
    </row>
    <row r="1624" spans="2:20" ht="38.25" hidden="1">
      <c r="B1624" s="828" t="s">
        <v>6615</v>
      </c>
      <c r="C1624" s="828">
        <v>97999</v>
      </c>
      <c r="D1624" s="630" t="s">
        <v>5652</v>
      </c>
      <c r="E1624" s="630" t="s">
        <v>648</v>
      </c>
      <c r="F1624" s="829">
        <v>997.72</v>
      </c>
      <c r="G1624" s="843">
        <v>792.78</v>
      </c>
      <c r="H1624" s="832">
        <v>1790.5</v>
      </c>
      <c r="I1624" s="846"/>
      <c r="J1624" s="846"/>
      <c r="K1624" s="846"/>
      <c r="L1624" s="846"/>
      <c r="M1624" s="846"/>
      <c r="N1624" s="846"/>
      <c r="O1624" s="846"/>
      <c r="P1624" s="846"/>
      <c r="Q1624" s="846"/>
      <c r="R1624" s="846"/>
      <c r="S1624" s="846"/>
      <c r="T1624" s="846"/>
    </row>
    <row r="1625" spans="2:20" ht="38.25" hidden="1">
      <c r="B1625" s="828" t="s">
        <v>6615</v>
      </c>
      <c r="C1625" s="828">
        <v>98001</v>
      </c>
      <c r="D1625" s="630" t="s">
        <v>5653</v>
      </c>
      <c r="E1625" s="630" t="s">
        <v>648</v>
      </c>
      <c r="F1625" s="829">
        <v>1136.3800000000001</v>
      </c>
      <c r="G1625" s="843">
        <v>905.33</v>
      </c>
      <c r="H1625" s="832">
        <v>2041.71</v>
      </c>
      <c r="I1625" s="846"/>
      <c r="J1625" s="846"/>
      <c r="K1625" s="846"/>
      <c r="L1625" s="846"/>
      <c r="M1625" s="846"/>
      <c r="N1625" s="846"/>
      <c r="O1625" s="846"/>
      <c r="P1625" s="846"/>
      <c r="Q1625" s="846"/>
      <c r="R1625" s="846"/>
      <c r="S1625" s="846"/>
      <c r="T1625" s="846"/>
    </row>
    <row r="1626" spans="2:20" ht="38.25" hidden="1">
      <c r="B1626" s="828" t="s">
        <v>6615</v>
      </c>
      <c r="C1626" s="828">
        <v>98002</v>
      </c>
      <c r="D1626" s="630" t="s">
        <v>7694</v>
      </c>
      <c r="E1626" s="630" t="s">
        <v>646</v>
      </c>
      <c r="F1626" s="829">
        <v>3343.82</v>
      </c>
      <c r="G1626" s="843">
        <v>1920.04</v>
      </c>
      <c r="H1626" s="832">
        <v>5263.86</v>
      </c>
      <c r="I1626" s="846"/>
      <c r="J1626" s="846"/>
      <c r="K1626" s="846"/>
      <c r="L1626" s="846"/>
      <c r="M1626" s="846"/>
      <c r="N1626" s="846"/>
      <c r="O1626" s="846"/>
      <c r="P1626" s="846"/>
      <c r="Q1626" s="846"/>
      <c r="R1626" s="846"/>
      <c r="S1626" s="846"/>
      <c r="T1626" s="846"/>
    </row>
    <row r="1627" spans="2:20" ht="38.25" hidden="1">
      <c r="B1627" s="828" t="s">
        <v>6615</v>
      </c>
      <c r="C1627" s="828">
        <v>98003</v>
      </c>
      <c r="D1627" s="630" t="s">
        <v>5654</v>
      </c>
      <c r="E1627" s="630" t="s">
        <v>648</v>
      </c>
      <c r="F1627" s="829">
        <v>1275.0899999999999</v>
      </c>
      <c r="G1627" s="843">
        <v>1017.87</v>
      </c>
      <c r="H1627" s="832">
        <v>2292.96</v>
      </c>
      <c r="I1627" s="846"/>
      <c r="J1627" s="846"/>
      <c r="K1627" s="846"/>
      <c r="L1627" s="846"/>
      <c r="M1627" s="846"/>
      <c r="N1627" s="846"/>
      <c r="O1627" s="846"/>
      <c r="P1627" s="846"/>
      <c r="Q1627" s="846"/>
      <c r="R1627" s="846"/>
      <c r="S1627" s="846"/>
      <c r="T1627" s="846"/>
    </row>
    <row r="1628" spans="2:20" ht="38.25" hidden="1">
      <c r="B1628" s="828" t="s">
        <v>6615</v>
      </c>
      <c r="C1628" s="828">
        <v>98005</v>
      </c>
      <c r="D1628" s="630" t="s">
        <v>5655</v>
      </c>
      <c r="E1628" s="630" t="s">
        <v>648</v>
      </c>
      <c r="F1628" s="829">
        <v>1413.8100000000002</v>
      </c>
      <c r="G1628" s="843">
        <v>1130.42</v>
      </c>
      <c r="H1628" s="832">
        <v>2544.23</v>
      </c>
      <c r="I1628" s="846"/>
      <c r="J1628" s="846"/>
      <c r="K1628" s="846"/>
      <c r="L1628" s="846"/>
      <c r="M1628" s="846"/>
      <c r="N1628" s="846"/>
      <c r="O1628" s="846"/>
      <c r="P1628" s="846"/>
      <c r="Q1628" s="846"/>
      <c r="R1628" s="846"/>
      <c r="S1628" s="846"/>
      <c r="T1628" s="846"/>
    </row>
    <row r="1629" spans="2:20" ht="38.25" hidden="1">
      <c r="B1629" s="828" t="s">
        <v>6615</v>
      </c>
      <c r="C1629" s="828">
        <v>98006</v>
      </c>
      <c r="D1629" s="630" t="s">
        <v>7695</v>
      </c>
      <c r="E1629" s="630" t="s">
        <v>646</v>
      </c>
      <c r="F1629" s="829">
        <v>4211.0199999999995</v>
      </c>
      <c r="G1629" s="830">
        <v>2403.58</v>
      </c>
      <c r="H1629" s="832">
        <v>6614.6</v>
      </c>
      <c r="I1629" s="846"/>
      <c r="J1629" s="846"/>
      <c r="K1629" s="846"/>
      <c r="L1629" s="846"/>
      <c r="M1629" s="846"/>
      <c r="N1629" s="846"/>
      <c r="O1629" s="846"/>
      <c r="P1629" s="846"/>
      <c r="Q1629" s="846"/>
      <c r="R1629" s="846"/>
      <c r="S1629" s="846"/>
      <c r="T1629" s="846"/>
    </row>
    <row r="1630" spans="2:20" ht="38.25" hidden="1">
      <c r="B1630" s="828" t="s">
        <v>6615</v>
      </c>
      <c r="C1630" s="828">
        <v>98007</v>
      </c>
      <c r="D1630" s="630" t="s">
        <v>5656</v>
      </c>
      <c r="E1630" s="630" t="s">
        <v>648</v>
      </c>
      <c r="F1630" s="829">
        <v>1552.4299999999998</v>
      </c>
      <c r="G1630" s="843">
        <v>1242.99</v>
      </c>
      <c r="H1630" s="832">
        <v>2795.42</v>
      </c>
      <c r="I1630" s="846"/>
      <c r="J1630" s="846"/>
      <c r="K1630" s="846"/>
      <c r="L1630" s="846"/>
      <c r="M1630" s="846"/>
      <c r="N1630" s="846"/>
      <c r="O1630" s="846"/>
      <c r="P1630" s="846"/>
      <c r="Q1630" s="846"/>
      <c r="R1630" s="846"/>
      <c r="S1630" s="846"/>
      <c r="T1630" s="846"/>
    </row>
    <row r="1631" spans="2:20" ht="38.25" hidden="1">
      <c r="B1631" s="828" t="s">
        <v>6615</v>
      </c>
      <c r="C1631" s="828">
        <v>98008</v>
      </c>
      <c r="D1631" s="630" t="s">
        <v>5657</v>
      </c>
      <c r="E1631" s="630" t="s">
        <v>646</v>
      </c>
      <c r="F1631" s="829">
        <v>2536</v>
      </c>
      <c r="G1631" s="843">
        <v>1429.6</v>
      </c>
      <c r="H1631" s="832">
        <v>3965.6</v>
      </c>
      <c r="I1631" s="846"/>
      <c r="J1631" s="846"/>
      <c r="K1631" s="846"/>
      <c r="L1631" s="846"/>
      <c r="M1631" s="846"/>
      <c r="N1631" s="846"/>
      <c r="O1631" s="846"/>
      <c r="P1631" s="846"/>
      <c r="Q1631" s="846"/>
      <c r="R1631" s="846"/>
      <c r="S1631" s="846"/>
      <c r="T1631" s="846"/>
    </row>
    <row r="1632" spans="2:20" ht="38.25" hidden="1">
      <c r="B1632" s="828" t="s">
        <v>6615</v>
      </c>
      <c r="C1632" s="828">
        <v>98009</v>
      </c>
      <c r="D1632" s="630" t="s">
        <v>5658</v>
      </c>
      <c r="E1632" s="630" t="s">
        <v>648</v>
      </c>
      <c r="F1632" s="829">
        <v>997.72</v>
      </c>
      <c r="G1632" s="843">
        <v>792.78</v>
      </c>
      <c r="H1632" s="832">
        <v>1790.5</v>
      </c>
      <c r="I1632" s="846"/>
      <c r="J1632" s="846"/>
      <c r="K1632" s="846"/>
      <c r="L1632" s="846"/>
      <c r="M1632" s="846"/>
      <c r="N1632" s="846"/>
      <c r="O1632" s="846"/>
      <c r="P1632" s="846"/>
      <c r="Q1632" s="846"/>
      <c r="R1632" s="846"/>
      <c r="S1632" s="846"/>
      <c r="T1632" s="846"/>
    </row>
    <row r="1633" spans="2:20" ht="38.25" hidden="1">
      <c r="B1633" s="828" t="s">
        <v>6615</v>
      </c>
      <c r="C1633" s="828">
        <v>98010</v>
      </c>
      <c r="D1633" s="630" t="s">
        <v>7696</v>
      </c>
      <c r="E1633" s="630" t="s">
        <v>646</v>
      </c>
      <c r="F1633" s="829">
        <v>3123.18</v>
      </c>
      <c r="G1633" s="843">
        <v>1715.15</v>
      </c>
      <c r="H1633" s="832">
        <v>4838.33</v>
      </c>
      <c r="I1633" s="846"/>
      <c r="J1633" s="846"/>
      <c r="K1633" s="846"/>
      <c r="L1633" s="846"/>
      <c r="M1633" s="846"/>
      <c r="N1633" s="846"/>
      <c r="O1633" s="846"/>
      <c r="P1633" s="846"/>
      <c r="Q1633" s="846"/>
      <c r="R1633" s="846"/>
      <c r="S1633" s="846"/>
      <c r="T1633" s="846"/>
    </row>
    <row r="1634" spans="2:20" ht="38.25" hidden="1">
      <c r="B1634" s="828" t="s">
        <v>6615</v>
      </c>
      <c r="C1634" s="828">
        <v>98011</v>
      </c>
      <c r="D1634" s="630" t="s">
        <v>5659</v>
      </c>
      <c r="E1634" s="630" t="s">
        <v>648</v>
      </c>
      <c r="F1634" s="829">
        <v>1136.3800000000001</v>
      </c>
      <c r="G1634" s="843">
        <v>905.33</v>
      </c>
      <c r="H1634" s="832">
        <v>2041.71</v>
      </c>
      <c r="I1634" s="846"/>
      <c r="J1634" s="846"/>
      <c r="K1634" s="846"/>
      <c r="L1634" s="846"/>
      <c r="M1634" s="846"/>
      <c r="N1634" s="846"/>
      <c r="O1634" s="846"/>
      <c r="P1634" s="846"/>
      <c r="Q1634" s="846"/>
      <c r="R1634" s="846"/>
      <c r="S1634" s="846"/>
      <c r="T1634" s="846"/>
    </row>
    <row r="1635" spans="2:20" ht="38.25" hidden="1">
      <c r="B1635" s="828" t="s">
        <v>6615</v>
      </c>
      <c r="C1635" s="828">
        <v>98012</v>
      </c>
      <c r="D1635" s="630" t="s">
        <v>7697</v>
      </c>
      <c r="E1635" s="630" t="s">
        <v>646</v>
      </c>
      <c r="F1635" s="829">
        <v>3680.33</v>
      </c>
      <c r="G1635" s="843">
        <v>2000.79</v>
      </c>
      <c r="H1635" s="832">
        <v>5681.12</v>
      </c>
      <c r="I1635" s="846"/>
      <c r="J1635" s="846"/>
      <c r="K1635" s="846"/>
      <c r="L1635" s="846"/>
      <c r="M1635" s="846"/>
      <c r="N1635" s="846"/>
      <c r="O1635" s="846"/>
      <c r="P1635" s="846"/>
      <c r="Q1635" s="846"/>
      <c r="R1635" s="846"/>
      <c r="S1635" s="846"/>
      <c r="T1635" s="846"/>
    </row>
    <row r="1636" spans="2:20" ht="38.25" hidden="1">
      <c r="B1636" s="828" t="s">
        <v>6615</v>
      </c>
      <c r="C1636" s="828">
        <v>98013</v>
      </c>
      <c r="D1636" s="630" t="s">
        <v>5660</v>
      </c>
      <c r="E1636" s="630" t="s">
        <v>648</v>
      </c>
      <c r="F1636" s="829">
        <v>1275.0899999999999</v>
      </c>
      <c r="G1636" s="843">
        <v>1017.87</v>
      </c>
      <c r="H1636" s="832">
        <v>2292.96</v>
      </c>
      <c r="I1636" s="846"/>
      <c r="J1636" s="846"/>
      <c r="K1636" s="846"/>
      <c r="L1636" s="846"/>
      <c r="M1636" s="846"/>
      <c r="N1636" s="846"/>
      <c r="O1636" s="846"/>
      <c r="P1636" s="846"/>
      <c r="Q1636" s="846"/>
      <c r="R1636" s="846"/>
      <c r="S1636" s="846"/>
      <c r="T1636" s="846"/>
    </row>
    <row r="1637" spans="2:20" ht="38.25" hidden="1">
      <c r="B1637" s="828" t="s">
        <v>6615</v>
      </c>
      <c r="C1637" s="828">
        <v>98014</v>
      </c>
      <c r="D1637" s="630" t="s">
        <v>7698</v>
      </c>
      <c r="E1637" s="630" t="s">
        <v>646</v>
      </c>
      <c r="F1637" s="829">
        <v>4237.5300000000007</v>
      </c>
      <c r="G1637" s="843">
        <v>2286.29</v>
      </c>
      <c r="H1637" s="832">
        <v>6523.82</v>
      </c>
      <c r="I1637" s="846"/>
      <c r="J1637" s="846"/>
      <c r="K1637" s="846"/>
      <c r="L1637" s="846"/>
      <c r="M1637" s="846"/>
      <c r="N1637" s="846"/>
      <c r="O1637" s="846"/>
      <c r="P1637" s="846"/>
      <c r="Q1637" s="846"/>
      <c r="R1637" s="846"/>
      <c r="S1637" s="846"/>
      <c r="T1637" s="846"/>
    </row>
    <row r="1638" spans="2:20" ht="38.25" hidden="1">
      <c r="B1638" s="828" t="s">
        <v>6615</v>
      </c>
      <c r="C1638" s="828">
        <v>98015</v>
      </c>
      <c r="D1638" s="630" t="s">
        <v>5661</v>
      </c>
      <c r="E1638" s="630" t="s">
        <v>648</v>
      </c>
      <c r="F1638" s="829">
        <v>1413.8100000000002</v>
      </c>
      <c r="G1638" s="843">
        <v>1130.42</v>
      </c>
      <c r="H1638" s="832">
        <v>2544.23</v>
      </c>
      <c r="I1638" s="846"/>
      <c r="J1638" s="846"/>
      <c r="K1638" s="846"/>
      <c r="L1638" s="846"/>
      <c r="M1638" s="846"/>
      <c r="N1638" s="846"/>
      <c r="O1638" s="846"/>
      <c r="P1638" s="846"/>
      <c r="Q1638" s="846"/>
      <c r="R1638" s="846"/>
      <c r="S1638" s="846"/>
      <c r="T1638" s="846"/>
    </row>
    <row r="1639" spans="2:20" ht="38.25" hidden="1">
      <c r="B1639" s="828" t="s">
        <v>6615</v>
      </c>
      <c r="C1639" s="828">
        <v>98016</v>
      </c>
      <c r="D1639" s="630" t="s">
        <v>7699</v>
      </c>
      <c r="E1639" s="630" t="s">
        <v>646</v>
      </c>
      <c r="F1639" s="829">
        <v>4794.7299999999996</v>
      </c>
      <c r="G1639" s="843">
        <v>2571.9299999999998</v>
      </c>
      <c r="H1639" s="832">
        <v>7366.66</v>
      </c>
      <c r="I1639" s="846"/>
      <c r="J1639" s="846"/>
      <c r="K1639" s="846"/>
      <c r="L1639" s="846"/>
      <c r="M1639" s="846"/>
      <c r="N1639" s="846"/>
      <c r="O1639" s="846"/>
      <c r="P1639" s="846"/>
      <c r="Q1639" s="846"/>
      <c r="R1639" s="846"/>
      <c r="S1639" s="846"/>
      <c r="T1639" s="846"/>
    </row>
    <row r="1640" spans="2:20" ht="38.25" hidden="1">
      <c r="B1640" s="828" t="s">
        <v>6615</v>
      </c>
      <c r="C1640" s="828">
        <v>98017</v>
      </c>
      <c r="D1640" s="630" t="s">
        <v>5662</v>
      </c>
      <c r="E1640" s="630" t="s">
        <v>648</v>
      </c>
      <c r="F1640" s="829">
        <v>1552.4299999999998</v>
      </c>
      <c r="G1640" s="843">
        <v>1242.99</v>
      </c>
      <c r="H1640" s="832">
        <v>2795.42</v>
      </c>
      <c r="I1640" s="846"/>
      <c r="J1640" s="846"/>
      <c r="K1640" s="846"/>
      <c r="L1640" s="846"/>
      <c r="M1640" s="846"/>
      <c r="N1640" s="846"/>
      <c r="O1640" s="846"/>
      <c r="P1640" s="846"/>
      <c r="Q1640" s="846"/>
      <c r="R1640" s="846"/>
      <c r="S1640" s="846"/>
      <c r="T1640" s="846"/>
    </row>
    <row r="1641" spans="2:20" ht="38.25" hidden="1">
      <c r="B1641" s="828" t="s">
        <v>6615</v>
      </c>
      <c r="C1641" s="828">
        <v>98018</v>
      </c>
      <c r="D1641" s="630" t="s">
        <v>7700</v>
      </c>
      <c r="E1641" s="630" t="s">
        <v>646</v>
      </c>
      <c r="F1641" s="829">
        <v>5351.89</v>
      </c>
      <c r="G1641" s="843">
        <v>2857.53</v>
      </c>
      <c r="H1641" s="832">
        <v>8209.42</v>
      </c>
      <c r="I1641" s="846"/>
      <c r="J1641" s="846"/>
      <c r="K1641" s="846"/>
      <c r="L1641" s="846"/>
      <c r="M1641" s="846"/>
      <c r="N1641" s="846"/>
      <c r="O1641" s="846"/>
      <c r="P1641" s="846"/>
      <c r="Q1641" s="846"/>
      <c r="R1641" s="846"/>
      <c r="S1641" s="846"/>
      <c r="T1641" s="846"/>
    </row>
    <row r="1642" spans="2:20" ht="38.25" hidden="1">
      <c r="B1642" s="828" t="s">
        <v>6615</v>
      </c>
      <c r="C1642" s="828">
        <v>98019</v>
      </c>
      <c r="D1642" s="630" t="s">
        <v>5663</v>
      </c>
      <c r="E1642" s="630" t="s">
        <v>648</v>
      </c>
      <c r="F1642" s="829">
        <v>1705.4099999999999</v>
      </c>
      <c r="G1642" s="843">
        <v>1364.34</v>
      </c>
      <c r="H1642" s="832">
        <v>3069.75</v>
      </c>
      <c r="I1642" s="846"/>
      <c r="J1642" s="846"/>
      <c r="K1642" s="846"/>
      <c r="L1642" s="846"/>
      <c r="M1642" s="846"/>
      <c r="N1642" s="846"/>
      <c r="O1642" s="846"/>
      <c r="P1642" s="846"/>
      <c r="Q1642" s="846"/>
      <c r="R1642" s="846"/>
      <c r="S1642" s="846"/>
      <c r="T1642" s="846"/>
    </row>
    <row r="1643" spans="2:20" ht="38.25" hidden="1">
      <c r="B1643" s="828" t="s">
        <v>6615</v>
      </c>
      <c r="C1643" s="828">
        <v>98020</v>
      </c>
      <c r="D1643" s="630" t="s">
        <v>7701</v>
      </c>
      <c r="E1643" s="630" t="s">
        <v>646</v>
      </c>
      <c r="F1643" s="829">
        <v>3780.2000000000003</v>
      </c>
      <c r="G1643" s="843">
        <v>2048.5</v>
      </c>
      <c r="H1643" s="832">
        <v>5828.7</v>
      </c>
      <c r="I1643" s="846"/>
      <c r="J1643" s="846"/>
      <c r="K1643" s="846"/>
      <c r="L1643" s="846"/>
      <c r="M1643" s="846"/>
      <c r="N1643" s="846"/>
      <c r="O1643" s="846"/>
      <c r="P1643" s="846"/>
      <c r="Q1643" s="846"/>
      <c r="R1643" s="846"/>
      <c r="S1643" s="846"/>
      <c r="T1643" s="846"/>
    </row>
    <row r="1644" spans="2:20" ht="38.25" hidden="1">
      <c r="B1644" s="828" t="s">
        <v>6615</v>
      </c>
      <c r="C1644" s="828">
        <v>98021</v>
      </c>
      <c r="D1644" s="630" t="s">
        <v>5664</v>
      </c>
      <c r="E1644" s="630" t="s">
        <v>648</v>
      </c>
      <c r="F1644" s="829">
        <v>1289.43</v>
      </c>
      <c r="G1644" s="843">
        <v>1026.67</v>
      </c>
      <c r="H1644" s="832">
        <v>2316.1</v>
      </c>
      <c r="I1644" s="846"/>
      <c r="J1644" s="846"/>
      <c r="K1644" s="846"/>
      <c r="L1644" s="846"/>
      <c r="M1644" s="846"/>
      <c r="N1644" s="846"/>
      <c r="O1644" s="846"/>
      <c r="P1644" s="846"/>
      <c r="Q1644" s="846"/>
      <c r="R1644" s="846"/>
      <c r="S1644" s="846"/>
      <c r="T1644" s="846"/>
    </row>
    <row r="1645" spans="2:20" ht="38.25" hidden="1">
      <c r="B1645" s="828" t="s">
        <v>6615</v>
      </c>
      <c r="C1645" s="828">
        <v>98022</v>
      </c>
      <c r="D1645" s="630" t="s">
        <v>7702</v>
      </c>
      <c r="E1645" s="630" t="s">
        <v>646</v>
      </c>
      <c r="F1645" s="829">
        <v>4448.43</v>
      </c>
      <c r="G1645" s="843">
        <v>2377.56</v>
      </c>
      <c r="H1645" s="832">
        <v>6825.99</v>
      </c>
      <c r="I1645" s="846"/>
      <c r="J1645" s="846"/>
      <c r="K1645" s="846"/>
      <c r="L1645" s="846"/>
      <c r="M1645" s="846"/>
      <c r="N1645" s="846"/>
      <c r="O1645" s="846"/>
      <c r="P1645" s="846"/>
      <c r="Q1645" s="846"/>
      <c r="R1645" s="846"/>
      <c r="S1645" s="846"/>
      <c r="T1645" s="846"/>
    </row>
    <row r="1646" spans="2:20" ht="38.25" hidden="1">
      <c r="B1646" s="828" t="s">
        <v>6615</v>
      </c>
      <c r="C1646" s="828">
        <v>98023</v>
      </c>
      <c r="D1646" s="630" t="s">
        <v>5665</v>
      </c>
      <c r="E1646" s="630" t="s">
        <v>648</v>
      </c>
      <c r="F1646" s="829">
        <v>1428.0700000000002</v>
      </c>
      <c r="G1646" s="843">
        <v>1139.22</v>
      </c>
      <c r="H1646" s="832">
        <v>2567.29</v>
      </c>
      <c r="I1646" s="846"/>
      <c r="J1646" s="846"/>
      <c r="K1646" s="846"/>
      <c r="L1646" s="846"/>
      <c r="M1646" s="846"/>
      <c r="N1646" s="846"/>
      <c r="O1646" s="846"/>
      <c r="P1646" s="846"/>
      <c r="Q1646" s="846"/>
      <c r="R1646" s="846"/>
      <c r="S1646" s="846"/>
      <c r="T1646" s="846"/>
    </row>
    <row r="1647" spans="2:20" ht="38.25" hidden="1">
      <c r="B1647" s="828" t="s">
        <v>6615</v>
      </c>
      <c r="C1647" s="828">
        <v>98024</v>
      </c>
      <c r="D1647" s="630" t="s">
        <v>7703</v>
      </c>
      <c r="E1647" s="630" t="s">
        <v>646</v>
      </c>
      <c r="F1647" s="829">
        <v>5182.7300000000005</v>
      </c>
      <c r="G1647" s="843">
        <v>2706.76</v>
      </c>
      <c r="H1647" s="832">
        <v>7889.49</v>
      </c>
      <c r="I1647" s="846"/>
      <c r="J1647" s="846"/>
      <c r="K1647" s="846"/>
      <c r="L1647" s="846"/>
      <c r="M1647" s="846"/>
      <c r="N1647" s="846"/>
      <c r="O1647" s="846"/>
      <c r="P1647" s="846"/>
      <c r="Q1647" s="846"/>
      <c r="R1647" s="846"/>
      <c r="S1647" s="846"/>
      <c r="T1647" s="846"/>
    </row>
    <row r="1648" spans="2:20" ht="38.25" hidden="1">
      <c r="B1648" s="828" t="s">
        <v>6615</v>
      </c>
      <c r="C1648" s="828">
        <v>98025</v>
      </c>
      <c r="D1648" s="630" t="s">
        <v>5666</v>
      </c>
      <c r="E1648" s="630" t="s">
        <v>648</v>
      </c>
      <c r="F1648" s="829">
        <v>1566.7700000000002</v>
      </c>
      <c r="G1648" s="843">
        <v>1251.77</v>
      </c>
      <c r="H1648" s="832">
        <v>2818.54</v>
      </c>
      <c r="I1648" s="846"/>
      <c r="J1648" s="846"/>
      <c r="K1648" s="846"/>
      <c r="L1648" s="846"/>
      <c r="M1648" s="846"/>
      <c r="N1648" s="846"/>
      <c r="O1648" s="846"/>
      <c r="P1648" s="846"/>
      <c r="Q1648" s="846"/>
      <c r="R1648" s="846"/>
      <c r="S1648" s="846"/>
      <c r="T1648" s="846"/>
    </row>
    <row r="1649" spans="2:20" ht="38.25" hidden="1">
      <c r="B1649" s="828" t="s">
        <v>6615</v>
      </c>
      <c r="C1649" s="828">
        <v>98026</v>
      </c>
      <c r="D1649" s="630" t="s">
        <v>7704</v>
      </c>
      <c r="E1649" s="630" t="s">
        <v>646</v>
      </c>
      <c r="F1649" s="829">
        <v>5859.170000000001</v>
      </c>
      <c r="G1649" s="843">
        <v>3035.98</v>
      </c>
      <c r="H1649" s="832">
        <v>8895.15</v>
      </c>
      <c r="I1649" s="846"/>
      <c r="J1649" s="846"/>
      <c r="K1649" s="846"/>
      <c r="L1649" s="846"/>
      <c r="M1649" s="846"/>
      <c r="N1649" s="846"/>
      <c r="O1649" s="846"/>
      <c r="P1649" s="846"/>
      <c r="Q1649" s="846"/>
      <c r="R1649" s="846"/>
      <c r="S1649" s="846"/>
      <c r="T1649" s="846"/>
    </row>
    <row r="1650" spans="2:20" ht="38.25" hidden="1">
      <c r="B1650" s="828" t="s">
        <v>6615</v>
      </c>
      <c r="C1650" s="828">
        <v>98027</v>
      </c>
      <c r="D1650" s="630" t="s">
        <v>5667</v>
      </c>
      <c r="E1650" s="630" t="s">
        <v>648</v>
      </c>
      <c r="F1650" s="829">
        <v>1705.4099999999999</v>
      </c>
      <c r="G1650" s="843">
        <v>1364.34</v>
      </c>
      <c r="H1650" s="832">
        <v>3069.75</v>
      </c>
      <c r="I1650" s="846"/>
      <c r="J1650" s="846"/>
      <c r="K1650" s="846"/>
      <c r="L1650" s="846"/>
      <c r="M1650" s="846"/>
      <c r="N1650" s="846"/>
      <c r="O1650" s="846"/>
      <c r="P1650" s="846"/>
      <c r="Q1650" s="846"/>
      <c r="R1650" s="846"/>
      <c r="S1650" s="846"/>
      <c r="T1650" s="846"/>
    </row>
    <row r="1651" spans="2:20" ht="38.25" hidden="1">
      <c r="B1651" s="828" t="s">
        <v>6615</v>
      </c>
      <c r="C1651" s="828">
        <v>98028</v>
      </c>
      <c r="D1651" s="630" t="s">
        <v>7705</v>
      </c>
      <c r="E1651" s="630" t="s">
        <v>646</v>
      </c>
      <c r="F1651" s="829">
        <v>6535.67</v>
      </c>
      <c r="G1651" s="843">
        <v>3365.16</v>
      </c>
      <c r="H1651" s="832">
        <v>9900.83</v>
      </c>
      <c r="I1651" s="846"/>
      <c r="J1651" s="846"/>
      <c r="K1651" s="846"/>
      <c r="L1651" s="846"/>
      <c r="M1651" s="846"/>
      <c r="N1651" s="846"/>
      <c r="O1651" s="846"/>
      <c r="P1651" s="846"/>
      <c r="Q1651" s="846"/>
      <c r="R1651" s="846"/>
      <c r="S1651" s="846"/>
      <c r="T1651" s="846"/>
    </row>
    <row r="1652" spans="2:20" ht="38.25" hidden="1">
      <c r="B1652" s="828" t="s">
        <v>6615</v>
      </c>
      <c r="C1652" s="828">
        <v>98029</v>
      </c>
      <c r="D1652" s="630" t="s">
        <v>5668</v>
      </c>
      <c r="E1652" s="630" t="s">
        <v>648</v>
      </c>
      <c r="F1652" s="829">
        <v>1847.0500000000002</v>
      </c>
      <c r="G1652" s="843">
        <v>1478.69</v>
      </c>
      <c r="H1652" s="832">
        <v>3325.74</v>
      </c>
      <c r="I1652" s="846"/>
      <c r="J1652" s="846"/>
      <c r="K1652" s="846"/>
      <c r="L1652" s="846"/>
      <c r="M1652" s="846"/>
      <c r="N1652" s="846"/>
      <c r="O1652" s="846"/>
      <c r="P1652" s="846"/>
      <c r="Q1652" s="846"/>
      <c r="R1652" s="846"/>
      <c r="S1652" s="846"/>
      <c r="T1652" s="846"/>
    </row>
    <row r="1653" spans="2:20" ht="38.25" hidden="1">
      <c r="B1653" s="828" t="s">
        <v>6615</v>
      </c>
      <c r="C1653" s="828">
        <v>98030</v>
      </c>
      <c r="D1653" s="630" t="s">
        <v>7706</v>
      </c>
      <c r="E1653" s="630" t="s">
        <v>646</v>
      </c>
      <c r="F1653" s="829">
        <v>5363.86</v>
      </c>
      <c r="G1653" s="843">
        <v>2682.35</v>
      </c>
      <c r="H1653" s="832">
        <v>8046.21</v>
      </c>
      <c r="I1653" s="846"/>
      <c r="J1653" s="846"/>
      <c r="K1653" s="846"/>
      <c r="L1653" s="846"/>
      <c r="M1653" s="846"/>
      <c r="N1653" s="846"/>
      <c r="O1653" s="846"/>
      <c r="P1653" s="846"/>
      <c r="Q1653" s="846"/>
      <c r="R1653" s="846"/>
      <c r="S1653" s="846"/>
      <c r="T1653" s="846"/>
    </row>
    <row r="1654" spans="2:20" ht="38.25" hidden="1">
      <c r="B1654" s="828" t="s">
        <v>6615</v>
      </c>
      <c r="C1654" s="828">
        <v>98031</v>
      </c>
      <c r="D1654" s="630" t="s">
        <v>5669</v>
      </c>
      <c r="E1654" s="630" t="s">
        <v>648</v>
      </c>
      <c r="F1654" s="829">
        <v>1569.74</v>
      </c>
      <c r="G1654" s="843">
        <v>1253.6199999999999</v>
      </c>
      <c r="H1654" s="832">
        <v>2823.36</v>
      </c>
      <c r="I1654" s="846"/>
      <c r="J1654" s="846"/>
      <c r="K1654" s="846"/>
      <c r="L1654" s="846"/>
      <c r="M1654" s="846"/>
      <c r="N1654" s="846"/>
      <c r="O1654" s="846"/>
      <c r="P1654" s="846"/>
      <c r="Q1654" s="846"/>
      <c r="R1654" s="846"/>
      <c r="S1654" s="846"/>
      <c r="T1654" s="846"/>
    </row>
    <row r="1655" spans="2:20" ht="38.25" hidden="1">
      <c r="B1655" s="828" t="s">
        <v>6615</v>
      </c>
      <c r="C1655" s="828">
        <v>98032</v>
      </c>
      <c r="D1655" s="630" t="s">
        <v>7707</v>
      </c>
      <c r="E1655" s="630" t="s">
        <v>646</v>
      </c>
      <c r="F1655" s="829">
        <v>6194.17</v>
      </c>
      <c r="G1655" s="843">
        <v>3056.09</v>
      </c>
      <c r="H1655" s="832">
        <v>9250.26</v>
      </c>
      <c r="I1655" s="846"/>
      <c r="J1655" s="846"/>
      <c r="K1655" s="846"/>
      <c r="L1655" s="846"/>
      <c r="M1655" s="846"/>
      <c r="N1655" s="846"/>
      <c r="O1655" s="846"/>
      <c r="P1655" s="846"/>
      <c r="Q1655" s="846"/>
      <c r="R1655" s="846"/>
      <c r="S1655" s="846"/>
      <c r="T1655" s="846"/>
    </row>
    <row r="1656" spans="2:20" ht="38.25" hidden="1">
      <c r="B1656" s="828" t="s">
        <v>6615</v>
      </c>
      <c r="C1656" s="828">
        <v>98033</v>
      </c>
      <c r="D1656" s="630" t="s">
        <v>5670</v>
      </c>
      <c r="E1656" s="630" t="s">
        <v>648</v>
      </c>
      <c r="F1656" s="829">
        <v>1708.4299999999998</v>
      </c>
      <c r="G1656" s="843">
        <v>1366.15</v>
      </c>
      <c r="H1656" s="832">
        <v>3074.58</v>
      </c>
      <c r="I1656" s="846"/>
      <c r="J1656" s="846"/>
      <c r="K1656" s="846"/>
      <c r="L1656" s="846"/>
      <c r="M1656" s="846"/>
      <c r="N1656" s="846"/>
      <c r="O1656" s="846"/>
      <c r="P1656" s="846"/>
      <c r="Q1656" s="846"/>
      <c r="R1656" s="846"/>
      <c r="S1656" s="846"/>
      <c r="T1656" s="846"/>
    </row>
    <row r="1657" spans="2:20" ht="38.25" hidden="1">
      <c r="B1657" s="828" t="s">
        <v>6615</v>
      </c>
      <c r="C1657" s="828">
        <v>98034</v>
      </c>
      <c r="D1657" s="630" t="s">
        <v>7708</v>
      </c>
      <c r="E1657" s="630" t="s">
        <v>646</v>
      </c>
      <c r="F1657" s="829">
        <v>7024.52</v>
      </c>
      <c r="G1657" s="843">
        <v>3429.78</v>
      </c>
      <c r="H1657" s="832">
        <v>10454.299999999999</v>
      </c>
      <c r="I1657" s="846"/>
      <c r="J1657" s="846"/>
      <c r="K1657" s="846"/>
      <c r="L1657" s="846"/>
      <c r="M1657" s="846"/>
      <c r="N1657" s="846"/>
      <c r="O1657" s="846"/>
      <c r="P1657" s="846"/>
      <c r="Q1657" s="846"/>
      <c r="R1657" s="846"/>
      <c r="S1657" s="846"/>
      <c r="T1657" s="846"/>
    </row>
    <row r="1658" spans="2:20" ht="38.25" hidden="1">
      <c r="B1658" s="828" t="s">
        <v>6615</v>
      </c>
      <c r="C1658" s="828">
        <v>98035</v>
      </c>
      <c r="D1658" s="630" t="s">
        <v>5671</v>
      </c>
      <c r="E1658" s="630" t="s">
        <v>648</v>
      </c>
      <c r="F1658" s="829">
        <v>1847.0500000000002</v>
      </c>
      <c r="G1658" s="830">
        <v>1478.69</v>
      </c>
      <c r="H1658" s="831">
        <v>3325.74</v>
      </c>
      <c r="I1658" s="846"/>
      <c r="J1658" s="846"/>
      <c r="K1658" s="846"/>
      <c r="L1658" s="846"/>
      <c r="M1658" s="846"/>
      <c r="N1658" s="846"/>
      <c r="O1658" s="846"/>
      <c r="P1658" s="846"/>
      <c r="Q1658" s="846"/>
      <c r="R1658" s="846"/>
      <c r="S1658" s="846"/>
      <c r="T1658" s="846"/>
    </row>
    <row r="1659" spans="2:20" ht="38.25" hidden="1">
      <c r="B1659" s="828" t="s">
        <v>6615</v>
      </c>
      <c r="C1659" s="828">
        <v>98036</v>
      </c>
      <c r="D1659" s="630" t="s">
        <v>7709</v>
      </c>
      <c r="E1659" s="630" t="s">
        <v>646</v>
      </c>
      <c r="F1659" s="829">
        <v>7854.84</v>
      </c>
      <c r="G1659" s="830">
        <v>3803.52</v>
      </c>
      <c r="H1659" s="831">
        <v>11658.36</v>
      </c>
      <c r="I1659" s="846"/>
      <c r="J1659" s="846"/>
      <c r="K1659" s="846"/>
      <c r="L1659" s="846"/>
      <c r="M1659" s="846"/>
      <c r="N1659" s="846"/>
      <c r="O1659" s="846"/>
      <c r="P1659" s="846"/>
      <c r="Q1659" s="846"/>
      <c r="R1659" s="846"/>
      <c r="S1659" s="846"/>
      <c r="T1659" s="846"/>
    </row>
    <row r="1660" spans="2:20" ht="38.25" hidden="1">
      <c r="B1660" s="828" t="s">
        <v>6615</v>
      </c>
      <c r="C1660" s="828">
        <v>98037</v>
      </c>
      <c r="D1660" s="630" t="s">
        <v>5672</v>
      </c>
      <c r="E1660" s="630" t="s">
        <v>648</v>
      </c>
      <c r="F1660" s="829">
        <v>1988.72</v>
      </c>
      <c r="G1660" s="830">
        <v>1593.05</v>
      </c>
      <c r="H1660" s="832">
        <v>3581.77</v>
      </c>
      <c r="I1660" s="846"/>
      <c r="J1660" s="846"/>
      <c r="K1660" s="846"/>
      <c r="L1660" s="846"/>
      <c r="M1660" s="846"/>
      <c r="N1660" s="846"/>
      <c r="O1660" s="846"/>
      <c r="P1660" s="846"/>
      <c r="Q1660" s="846"/>
      <c r="R1660" s="846"/>
      <c r="S1660" s="846"/>
      <c r="T1660" s="846"/>
    </row>
    <row r="1661" spans="2:20" ht="38.25" hidden="1">
      <c r="B1661" s="828" t="s">
        <v>6615</v>
      </c>
      <c r="C1661" s="828">
        <v>98038</v>
      </c>
      <c r="D1661" s="630" t="s">
        <v>7710</v>
      </c>
      <c r="E1661" s="630" t="s">
        <v>646</v>
      </c>
      <c r="F1661" s="829">
        <v>7191.52</v>
      </c>
      <c r="G1661" s="843">
        <v>3474.3</v>
      </c>
      <c r="H1661" s="832">
        <v>10665.82</v>
      </c>
      <c r="I1661" s="846"/>
      <c r="J1661" s="846"/>
      <c r="K1661" s="846"/>
      <c r="L1661" s="846"/>
      <c r="M1661" s="846"/>
      <c r="N1661" s="846"/>
      <c r="O1661" s="846"/>
      <c r="P1661" s="846"/>
      <c r="Q1661" s="846"/>
      <c r="R1661" s="846"/>
      <c r="S1661" s="846"/>
      <c r="T1661" s="846"/>
    </row>
    <row r="1662" spans="2:20" ht="38.25" hidden="1">
      <c r="B1662" s="828" t="s">
        <v>6615</v>
      </c>
      <c r="C1662" s="828">
        <v>98039</v>
      </c>
      <c r="D1662" s="630" t="s">
        <v>5673</v>
      </c>
      <c r="E1662" s="630" t="s">
        <v>648</v>
      </c>
      <c r="F1662" s="829">
        <v>1850.0400000000002</v>
      </c>
      <c r="G1662" s="843">
        <v>1480.53</v>
      </c>
      <c r="H1662" s="832">
        <v>3330.57</v>
      </c>
      <c r="I1662" s="846"/>
      <c r="J1662" s="846"/>
      <c r="K1662" s="846"/>
      <c r="L1662" s="846"/>
      <c r="M1662" s="846"/>
      <c r="N1662" s="846"/>
      <c r="O1662" s="846"/>
      <c r="P1662" s="846"/>
      <c r="Q1662" s="846"/>
      <c r="R1662" s="846"/>
      <c r="S1662" s="846"/>
      <c r="T1662" s="846"/>
    </row>
    <row r="1663" spans="2:20" ht="38.25" hidden="1">
      <c r="B1663" s="828" t="s">
        <v>6615</v>
      </c>
      <c r="C1663" s="828">
        <v>98040</v>
      </c>
      <c r="D1663" s="630" t="s">
        <v>7711</v>
      </c>
      <c r="E1663" s="630" t="s">
        <v>646</v>
      </c>
      <c r="F1663" s="829">
        <v>8154.2000000000007</v>
      </c>
      <c r="G1663" s="843">
        <v>3891.91</v>
      </c>
      <c r="H1663" s="832">
        <v>12046.11</v>
      </c>
      <c r="I1663" s="846"/>
      <c r="J1663" s="846"/>
      <c r="K1663" s="846"/>
      <c r="L1663" s="846"/>
      <c r="M1663" s="846"/>
      <c r="N1663" s="846"/>
      <c r="O1663" s="846"/>
      <c r="P1663" s="846"/>
      <c r="Q1663" s="846"/>
      <c r="R1663" s="846"/>
      <c r="S1663" s="846"/>
      <c r="T1663" s="846"/>
    </row>
    <row r="1664" spans="2:20" ht="38.25" hidden="1">
      <c r="B1664" s="828" t="s">
        <v>6615</v>
      </c>
      <c r="C1664" s="828">
        <v>98041</v>
      </c>
      <c r="D1664" s="630" t="s">
        <v>5674</v>
      </c>
      <c r="E1664" s="630" t="s">
        <v>648</v>
      </c>
      <c r="F1664" s="829">
        <v>1988.72</v>
      </c>
      <c r="G1664" s="830">
        <v>1593.05</v>
      </c>
      <c r="H1664" s="831">
        <v>3581.77</v>
      </c>
      <c r="I1664" s="846"/>
      <c r="J1664" s="846"/>
      <c r="K1664" s="846"/>
      <c r="L1664" s="846"/>
      <c r="M1664" s="846"/>
      <c r="N1664" s="846"/>
      <c r="O1664" s="846"/>
      <c r="P1664" s="846"/>
      <c r="Q1664" s="846"/>
      <c r="R1664" s="846"/>
      <c r="S1664" s="846"/>
      <c r="T1664" s="846"/>
    </row>
    <row r="1665" spans="2:20" ht="38.25" hidden="1">
      <c r="B1665" s="828" t="s">
        <v>6615</v>
      </c>
      <c r="C1665" s="828">
        <v>98042</v>
      </c>
      <c r="D1665" s="630" t="s">
        <v>7712</v>
      </c>
      <c r="E1665" s="630" t="s">
        <v>646</v>
      </c>
      <c r="F1665" s="829">
        <v>9116.9700000000012</v>
      </c>
      <c r="G1665" s="830">
        <v>4309.46</v>
      </c>
      <c r="H1665" s="831">
        <v>13426.43</v>
      </c>
      <c r="I1665" s="846"/>
      <c r="J1665" s="846"/>
      <c r="K1665" s="846"/>
      <c r="L1665" s="846"/>
      <c r="M1665" s="846"/>
      <c r="N1665" s="846"/>
      <c r="O1665" s="846"/>
      <c r="P1665" s="846"/>
      <c r="Q1665" s="846"/>
      <c r="R1665" s="846"/>
      <c r="S1665" s="846"/>
      <c r="T1665" s="846"/>
    </row>
    <row r="1666" spans="2:20" ht="38.25" hidden="1">
      <c r="B1666" s="828" t="s">
        <v>6615</v>
      </c>
      <c r="C1666" s="828">
        <v>98043</v>
      </c>
      <c r="D1666" s="630" t="s">
        <v>5675</v>
      </c>
      <c r="E1666" s="630" t="s">
        <v>648</v>
      </c>
      <c r="F1666" s="829">
        <v>2130.4300000000003</v>
      </c>
      <c r="G1666" s="830">
        <v>1707.43</v>
      </c>
      <c r="H1666" s="831">
        <v>3837.86</v>
      </c>
      <c r="I1666" s="846"/>
      <c r="J1666" s="846"/>
      <c r="K1666" s="846"/>
      <c r="L1666" s="846"/>
      <c r="M1666" s="846"/>
      <c r="N1666" s="846"/>
      <c r="O1666" s="846"/>
      <c r="P1666" s="846"/>
      <c r="Q1666" s="846"/>
      <c r="R1666" s="846"/>
      <c r="S1666" s="846"/>
      <c r="T1666" s="846"/>
    </row>
    <row r="1667" spans="2:20" ht="38.25" hidden="1">
      <c r="B1667" s="828" t="s">
        <v>6615</v>
      </c>
      <c r="C1667" s="828">
        <v>98044</v>
      </c>
      <c r="D1667" s="630" t="s">
        <v>7713</v>
      </c>
      <c r="E1667" s="630" t="s">
        <v>646</v>
      </c>
      <c r="F1667" s="829">
        <v>9283.94</v>
      </c>
      <c r="G1667" s="830">
        <v>4354.05</v>
      </c>
      <c r="H1667" s="832">
        <v>13637.99</v>
      </c>
      <c r="I1667" s="846"/>
      <c r="J1667" s="846"/>
      <c r="K1667" s="846"/>
      <c r="L1667" s="846"/>
      <c r="M1667" s="846"/>
      <c r="N1667" s="846"/>
      <c r="O1667" s="846"/>
      <c r="P1667" s="846"/>
      <c r="Q1667" s="846"/>
      <c r="R1667" s="846"/>
      <c r="S1667" s="846"/>
      <c r="T1667" s="846"/>
    </row>
    <row r="1668" spans="2:20" ht="38.25" hidden="1">
      <c r="B1668" s="828" t="s">
        <v>6615</v>
      </c>
      <c r="C1668" s="828">
        <v>98045</v>
      </c>
      <c r="D1668" s="630" t="s">
        <v>5676</v>
      </c>
      <c r="E1668" s="630" t="s">
        <v>648</v>
      </c>
      <c r="F1668" s="829">
        <v>2130.4300000000003</v>
      </c>
      <c r="G1668" s="830">
        <v>1707.43</v>
      </c>
      <c r="H1668" s="832">
        <v>3837.86</v>
      </c>
      <c r="I1668" s="846"/>
      <c r="J1668" s="846"/>
      <c r="K1668" s="846"/>
      <c r="L1668" s="846"/>
      <c r="M1668" s="846"/>
      <c r="N1668" s="846"/>
      <c r="O1668" s="846"/>
      <c r="P1668" s="846"/>
      <c r="Q1668" s="846"/>
      <c r="R1668" s="846"/>
      <c r="S1668" s="846"/>
      <c r="T1668" s="846"/>
    </row>
    <row r="1669" spans="2:20" ht="38.25" hidden="1">
      <c r="B1669" s="828" t="s">
        <v>6615</v>
      </c>
      <c r="C1669" s="828">
        <v>98046</v>
      </c>
      <c r="D1669" s="630" t="s">
        <v>7714</v>
      </c>
      <c r="E1669" s="630" t="s">
        <v>646</v>
      </c>
      <c r="F1669" s="829">
        <v>10378.92</v>
      </c>
      <c r="G1669" s="830">
        <v>4815.46</v>
      </c>
      <c r="H1669" s="832">
        <v>15194.38</v>
      </c>
      <c r="I1669" s="846"/>
      <c r="J1669" s="846"/>
      <c r="K1669" s="846"/>
      <c r="L1669" s="846"/>
      <c r="M1669" s="846"/>
      <c r="N1669" s="846"/>
      <c r="O1669" s="846"/>
      <c r="P1669" s="846"/>
      <c r="Q1669" s="846"/>
      <c r="R1669" s="846"/>
      <c r="S1669" s="846"/>
      <c r="T1669" s="846"/>
    </row>
    <row r="1670" spans="2:20" ht="38.25" hidden="1">
      <c r="B1670" s="828" t="s">
        <v>6615</v>
      </c>
      <c r="C1670" s="828">
        <v>98047</v>
      </c>
      <c r="D1670" s="630" t="s">
        <v>5677</v>
      </c>
      <c r="E1670" s="630" t="s">
        <v>648</v>
      </c>
      <c r="F1670" s="829">
        <v>2272.0400000000004</v>
      </c>
      <c r="G1670" s="830">
        <v>1821.83</v>
      </c>
      <c r="H1670" s="832">
        <v>4093.87</v>
      </c>
      <c r="I1670" s="846"/>
      <c r="J1670" s="846"/>
      <c r="K1670" s="846"/>
      <c r="L1670" s="846"/>
      <c r="M1670" s="846"/>
      <c r="N1670" s="846"/>
      <c r="O1670" s="846"/>
      <c r="P1670" s="846"/>
      <c r="Q1670" s="846"/>
      <c r="R1670" s="846"/>
      <c r="S1670" s="846"/>
      <c r="T1670" s="846"/>
    </row>
    <row r="1671" spans="2:20" ht="38.25" hidden="1">
      <c r="B1671" s="828" t="s">
        <v>6615</v>
      </c>
      <c r="C1671" s="828">
        <v>98048</v>
      </c>
      <c r="D1671" s="630" t="s">
        <v>5678</v>
      </c>
      <c r="E1671" s="630" t="s">
        <v>646</v>
      </c>
      <c r="F1671" s="829">
        <v>11640.96</v>
      </c>
      <c r="G1671" s="830">
        <v>5321.46</v>
      </c>
      <c r="H1671" s="832">
        <v>16962.419999999998</v>
      </c>
      <c r="I1671" s="846"/>
      <c r="J1671" s="846"/>
      <c r="K1671" s="846"/>
      <c r="L1671" s="846"/>
      <c r="M1671" s="846"/>
      <c r="N1671" s="846"/>
      <c r="O1671" s="846"/>
      <c r="P1671" s="846"/>
      <c r="Q1671" s="846"/>
      <c r="R1671" s="846"/>
      <c r="S1671" s="846"/>
      <c r="T1671" s="846"/>
    </row>
    <row r="1672" spans="2:20" ht="38.25" hidden="1">
      <c r="B1672" s="828" t="s">
        <v>6615</v>
      </c>
      <c r="C1672" s="828">
        <v>98049</v>
      </c>
      <c r="D1672" s="630" t="s">
        <v>5679</v>
      </c>
      <c r="E1672" s="630" t="s">
        <v>648</v>
      </c>
      <c r="F1672" s="829">
        <v>2384.52</v>
      </c>
      <c r="G1672" s="830">
        <v>1918.25</v>
      </c>
      <c r="H1672" s="832">
        <v>4302.7700000000004</v>
      </c>
      <c r="I1672" s="846"/>
      <c r="J1672" s="846"/>
      <c r="K1672" s="846"/>
      <c r="L1672" s="846"/>
      <c r="M1672" s="846"/>
      <c r="N1672" s="846"/>
      <c r="O1672" s="846"/>
      <c r="P1672" s="846"/>
      <c r="Q1672" s="846"/>
      <c r="R1672" s="846"/>
      <c r="S1672" s="846"/>
      <c r="T1672" s="846"/>
    </row>
    <row r="1673" spans="2:20" ht="25.5" hidden="1">
      <c r="B1673" s="828" t="s">
        <v>6615</v>
      </c>
      <c r="C1673" s="828">
        <v>98050</v>
      </c>
      <c r="D1673" s="630" t="s">
        <v>5680</v>
      </c>
      <c r="E1673" s="630" t="s">
        <v>648</v>
      </c>
      <c r="F1673" s="829">
        <v>183.82000000000002</v>
      </c>
      <c r="G1673" s="830">
        <v>17.28</v>
      </c>
      <c r="H1673" s="832">
        <v>201.1</v>
      </c>
      <c r="I1673" s="846"/>
      <c r="J1673" s="846"/>
      <c r="K1673" s="846"/>
      <c r="L1673" s="846"/>
      <c r="M1673" s="846"/>
      <c r="N1673" s="846"/>
      <c r="O1673" s="846"/>
      <c r="P1673" s="846"/>
      <c r="Q1673" s="846"/>
      <c r="R1673" s="846"/>
      <c r="S1673" s="846"/>
      <c r="T1673" s="846"/>
    </row>
    <row r="1674" spans="2:20" ht="38.25" hidden="1">
      <c r="B1674" s="828" t="s">
        <v>6615</v>
      </c>
      <c r="C1674" s="828">
        <v>98051</v>
      </c>
      <c r="D1674" s="630" t="s">
        <v>5681</v>
      </c>
      <c r="E1674" s="630" t="s">
        <v>648</v>
      </c>
      <c r="F1674" s="829">
        <v>584.11</v>
      </c>
      <c r="G1674" s="830">
        <v>405.87</v>
      </c>
      <c r="H1674" s="832">
        <v>989.98</v>
      </c>
      <c r="I1674" s="846"/>
      <c r="J1674" s="846"/>
      <c r="K1674" s="846"/>
      <c r="L1674" s="846"/>
      <c r="M1674" s="846"/>
      <c r="N1674" s="846"/>
      <c r="O1674" s="846"/>
      <c r="P1674" s="846"/>
      <c r="Q1674" s="846"/>
      <c r="R1674" s="846"/>
      <c r="S1674" s="846"/>
      <c r="T1674" s="846"/>
    </row>
    <row r="1675" spans="2:20" ht="38.25" hidden="1">
      <c r="B1675" s="828" t="s">
        <v>6615</v>
      </c>
      <c r="C1675" s="828">
        <v>98405</v>
      </c>
      <c r="D1675" s="630" t="s">
        <v>7715</v>
      </c>
      <c r="E1675" s="630" t="s">
        <v>646</v>
      </c>
      <c r="F1675" s="829">
        <v>1638.01</v>
      </c>
      <c r="G1675" s="830">
        <v>965.32</v>
      </c>
      <c r="H1675" s="832">
        <v>2603.33</v>
      </c>
      <c r="I1675" s="846"/>
      <c r="J1675" s="846"/>
      <c r="K1675" s="846"/>
      <c r="L1675" s="846"/>
      <c r="M1675" s="846"/>
      <c r="N1675" s="846"/>
      <c r="O1675" s="846"/>
      <c r="P1675" s="846"/>
      <c r="Q1675" s="846"/>
      <c r="R1675" s="846"/>
      <c r="S1675" s="846"/>
      <c r="T1675" s="846"/>
    </row>
    <row r="1676" spans="2:20" ht="38.25" hidden="1">
      <c r="B1676" s="828" t="s">
        <v>6615</v>
      </c>
      <c r="C1676" s="828">
        <v>98406</v>
      </c>
      <c r="D1676" s="630" t="s">
        <v>7716</v>
      </c>
      <c r="E1676" s="630" t="s">
        <v>646</v>
      </c>
      <c r="F1676" s="829">
        <v>3777.36</v>
      </c>
      <c r="G1676" s="830">
        <v>2161.84</v>
      </c>
      <c r="H1676" s="832">
        <v>5939.2</v>
      </c>
      <c r="I1676" s="846"/>
      <c r="J1676" s="846"/>
      <c r="K1676" s="846"/>
      <c r="L1676" s="846"/>
      <c r="M1676" s="846"/>
      <c r="N1676" s="846"/>
      <c r="O1676" s="846"/>
      <c r="P1676" s="846"/>
      <c r="Q1676" s="846"/>
      <c r="R1676" s="846"/>
      <c r="S1676" s="846"/>
      <c r="T1676" s="846"/>
    </row>
    <row r="1677" spans="2:20" ht="38.25" hidden="1">
      <c r="B1677" s="828" t="s">
        <v>6615</v>
      </c>
      <c r="C1677" s="828">
        <v>98407</v>
      </c>
      <c r="D1677" s="630" t="s">
        <v>7717</v>
      </c>
      <c r="E1677" s="630" t="s">
        <v>646</v>
      </c>
      <c r="F1677" s="829">
        <v>2448.44</v>
      </c>
      <c r="G1677" s="843">
        <v>1436.43</v>
      </c>
      <c r="H1677" s="832">
        <v>3884.87</v>
      </c>
      <c r="I1677" s="846"/>
      <c r="J1677" s="846"/>
      <c r="K1677" s="846"/>
      <c r="L1677" s="846"/>
      <c r="M1677" s="846"/>
      <c r="N1677" s="846"/>
      <c r="O1677" s="846"/>
      <c r="P1677" s="846"/>
      <c r="Q1677" s="846"/>
      <c r="R1677" s="846"/>
      <c r="S1677" s="846"/>
      <c r="T1677" s="846"/>
    </row>
    <row r="1678" spans="2:20" ht="38.25" hidden="1">
      <c r="B1678" s="828" t="s">
        <v>6615</v>
      </c>
      <c r="C1678" s="828">
        <v>98408</v>
      </c>
      <c r="D1678" s="630" t="s">
        <v>7718</v>
      </c>
      <c r="E1678" s="630" t="s">
        <v>646</v>
      </c>
      <c r="F1678" s="829">
        <v>2877.23</v>
      </c>
      <c r="G1678" s="843">
        <v>1678.26</v>
      </c>
      <c r="H1678" s="832">
        <v>4555.49</v>
      </c>
      <c r="I1678" s="846"/>
      <c r="J1678" s="846"/>
      <c r="K1678" s="846"/>
      <c r="L1678" s="846"/>
      <c r="M1678" s="846"/>
      <c r="N1678" s="846"/>
      <c r="O1678" s="846"/>
      <c r="P1678" s="846"/>
      <c r="Q1678" s="846"/>
      <c r="R1678" s="846"/>
      <c r="S1678" s="846"/>
      <c r="T1678" s="846"/>
    </row>
    <row r="1679" spans="2:20" ht="25.5" hidden="1">
      <c r="B1679" s="828" t="s">
        <v>6615</v>
      </c>
      <c r="C1679" s="828">
        <v>98409</v>
      </c>
      <c r="D1679" s="630" t="s">
        <v>5707</v>
      </c>
      <c r="E1679" s="630" t="s">
        <v>648</v>
      </c>
      <c r="F1679" s="829">
        <v>252.35</v>
      </c>
      <c r="G1679" s="843">
        <v>28.18</v>
      </c>
      <c r="H1679" s="832">
        <v>280.52999999999997</v>
      </c>
      <c r="I1679" s="846"/>
      <c r="J1679" s="846"/>
      <c r="K1679" s="846"/>
      <c r="L1679" s="846"/>
      <c r="M1679" s="846"/>
      <c r="N1679" s="846"/>
      <c r="O1679" s="846"/>
      <c r="P1679" s="846"/>
      <c r="Q1679" s="846"/>
      <c r="R1679" s="846"/>
      <c r="S1679" s="846"/>
      <c r="T1679" s="846"/>
    </row>
    <row r="1680" spans="2:20" ht="38.25" hidden="1">
      <c r="B1680" s="828" t="s">
        <v>6615</v>
      </c>
      <c r="C1680" s="828">
        <v>98410</v>
      </c>
      <c r="D1680" s="630" t="s">
        <v>7719</v>
      </c>
      <c r="E1680" s="630" t="s">
        <v>646</v>
      </c>
      <c r="F1680" s="829">
        <v>815.46</v>
      </c>
      <c r="G1680" s="843">
        <v>237.08</v>
      </c>
      <c r="H1680" s="832">
        <v>1052.54</v>
      </c>
      <c r="I1680" s="846"/>
      <c r="J1680" s="846"/>
      <c r="K1680" s="846"/>
      <c r="L1680" s="846"/>
      <c r="M1680" s="846"/>
      <c r="N1680" s="846"/>
      <c r="O1680" s="846"/>
      <c r="P1680" s="846"/>
      <c r="Q1680" s="846"/>
      <c r="R1680" s="846"/>
      <c r="S1680" s="846"/>
      <c r="T1680" s="846"/>
    </row>
    <row r="1681" spans="2:20" ht="25.5" hidden="1">
      <c r="B1681" s="828" t="s">
        <v>6615</v>
      </c>
      <c r="C1681" s="828">
        <v>99240</v>
      </c>
      <c r="D1681" s="630" t="s">
        <v>5711</v>
      </c>
      <c r="E1681" s="630" t="s">
        <v>648</v>
      </c>
      <c r="F1681" s="829">
        <v>440.84</v>
      </c>
      <c r="G1681" s="843">
        <v>39.36</v>
      </c>
      <c r="H1681" s="832">
        <v>480.2</v>
      </c>
      <c r="I1681" s="846"/>
      <c r="J1681" s="846"/>
      <c r="K1681" s="846"/>
      <c r="L1681" s="846"/>
      <c r="M1681" s="846"/>
      <c r="N1681" s="846"/>
      <c r="O1681" s="846"/>
      <c r="P1681" s="846"/>
      <c r="Q1681" s="846"/>
      <c r="R1681" s="846"/>
      <c r="S1681" s="846"/>
      <c r="T1681" s="846"/>
    </row>
    <row r="1682" spans="2:20" ht="38.25" hidden="1">
      <c r="B1682" s="828" t="s">
        <v>6615</v>
      </c>
      <c r="C1682" s="828">
        <v>99241</v>
      </c>
      <c r="D1682" s="630" t="s">
        <v>5712</v>
      </c>
      <c r="E1682" s="630" t="s">
        <v>648</v>
      </c>
      <c r="F1682" s="829">
        <v>932.35</v>
      </c>
      <c r="G1682" s="843">
        <v>790.03</v>
      </c>
      <c r="H1682" s="832">
        <v>1722.38</v>
      </c>
      <c r="I1682" s="846"/>
      <c r="J1682" s="846"/>
      <c r="K1682" s="846"/>
      <c r="L1682" s="846"/>
      <c r="M1682" s="846"/>
      <c r="N1682" s="846"/>
      <c r="O1682" s="846"/>
      <c r="P1682" s="846"/>
      <c r="Q1682" s="846"/>
      <c r="R1682" s="846"/>
      <c r="S1682" s="846"/>
      <c r="T1682" s="846"/>
    </row>
    <row r="1683" spans="2:20" ht="38.25" hidden="1">
      <c r="B1683" s="828" t="s">
        <v>6615</v>
      </c>
      <c r="C1683" s="828">
        <v>99242</v>
      </c>
      <c r="D1683" s="630" t="s">
        <v>7720</v>
      </c>
      <c r="E1683" s="630" t="s">
        <v>646</v>
      </c>
      <c r="F1683" s="829">
        <v>1877.1</v>
      </c>
      <c r="G1683" s="843">
        <v>1119.6300000000001</v>
      </c>
      <c r="H1683" s="832">
        <v>2996.73</v>
      </c>
      <c r="I1683" s="846"/>
      <c r="J1683" s="846"/>
      <c r="K1683" s="846"/>
      <c r="L1683" s="846"/>
      <c r="M1683" s="846"/>
      <c r="N1683" s="846"/>
      <c r="O1683" s="846"/>
      <c r="P1683" s="846"/>
      <c r="Q1683" s="846"/>
      <c r="R1683" s="846"/>
      <c r="S1683" s="846"/>
      <c r="T1683" s="846"/>
    </row>
    <row r="1684" spans="2:20" ht="38.25" hidden="1">
      <c r="B1684" s="828" t="s">
        <v>6615</v>
      </c>
      <c r="C1684" s="828">
        <v>99243</v>
      </c>
      <c r="D1684" s="630" t="s">
        <v>5713</v>
      </c>
      <c r="E1684" s="630" t="s">
        <v>648</v>
      </c>
      <c r="F1684" s="829">
        <v>928.71</v>
      </c>
      <c r="G1684" s="843">
        <v>744.43</v>
      </c>
      <c r="H1684" s="832">
        <v>1673.14</v>
      </c>
      <c r="I1684" s="846"/>
      <c r="J1684" s="846"/>
      <c r="K1684" s="846"/>
      <c r="L1684" s="846"/>
      <c r="M1684" s="846"/>
      <c r="N1684" s="846"/>
      <c r="O1684" s="846"/>
      <c r="P1684" s="846"/>
      <c r="Q1684" s="846"/>
      <c r="R1684" s="846"/>
      <c r="S1684" s="846"/>
      <c r="T1684" s="846"/>
    </row>
    <row r="1685" spans="2:20" ht="38.25" hidden="1">
      <c r="B1685" s="828" t="s">
        <v>6615</v>
      </c>
      <c r="C1685" s="828">
        <v>99244</v>
      </c>
      <c r="D1685" s="630" t="s">
        <v>7721</v>
      </c>
      <c r="E1685" s="630" t="s">
        <v>646</v>
      </c>
      <c r="F1685" s="829">
        <v>3016.34</v>
      </c>
      <c r="G1685" s="843">
        <v>1710.7</v>
      </c>
      <c r="H1685" s="832">
        <v>4727.04</v>
      </c>
      <c r="I1685" s="846"/>
      <c r="J1685" s="846"/>
      <c r="K1685" s="846"/>
      <c r="L1685" s="846"/>
      <c r="M1685" s="846"/>
      <c r="N1685" s="846"/>
      <c r="O1685" s="846"/>
      <c r="P1685" s="846"/>
      <c r="Q1685" s="846"/>
      <c r="R1685" s="846"/>
      <c r="S1685" s="846"/>
      <c r="T1685" s="846"/>
    </row>
    <row r="1686" spans="2:20" ht="25.5" hidden="1">
      <c r="B1686" s="828" t="s">
        <v>6615</v>
      </c>
      <c r="C1686" s="828">
        <v>99246</v>
      </c>
      <c r="D1686" s="630" t="s">
        <v>5714</v>
      </c>
      <c r="E1686" s="630" t="s">
        <v>648</v>
      </c>
      <c r="F1686" s="829">
        <v>604.81999999999994</v>
      </c>
      <c r="G1686" s="843">
        <v>50.22</v>
      </c>
      <c r="H1686" s="832">
        <v>655.04</v>
      </c>
      <c r="I1686" s="846"/>
      <c r="J1686" s="846"/>
      <c r="K1686" s="846"/>
      <c r="L1686" s="846"/>
      <c r="M1686" s="846"/>
      <c r="N1686" s="846"/>
      <c r="O1686" s="846"/>
      <c r="P1686" s="846"/>
      <c r="Q1686" s="846"/>
      <c r="R1686" s="846"/>
      <c r="S1686" s="846"/>
      <c r="T1686" s="846"/>
    </row>
    <row r="1687" spans="2:20" ht="38.25" hidden="1">
      <c r="B1687" s="828" t="s">
        <v>6615</v>
      </c>
      <c r="C1687" s="828">
        <v>99247</v>
      </c>
      <c r="D1687" s="630" t="s">
        <v>5715</v>
      </c>
      <c r="E1687" s="630" t="s">
        <v>648</v>
      </c>
      <c r="F1687" s="829">
        <v>1061.4100000000001</v>
      </c>
      <c r="G1687" s="830">
        <v>902.17</v>
      </c>
      <c r="H1687" s="831">
        <v>1963.58</v>
      </c>
      <c r="I1687" s="846"/>
      <c r="J1687" s="846"/>
      <c r="K1687" s="846"/>
      <c r="L1687" s="846"/>
      <c r="M1687" s="846"/>
      <c r="N1687" s="846"/>
      <c r="O1687" s="846"/>
      <c r="P1687" s="846"/>
      <c r="Q1687" s="846"/>
      <c r="R1687" s="846"/>
      <c r="S1687" s="846"/>
      <c r="T1687" s="846"/>
    </row>
    <row r="1688" spans="2:20" ht="38.25" hidden="1">
      <c r="B1688" s="828" t="s">
        <v>6615</v>
      </c>
      <c r="C1688" s="828">
        <v>99248</v>
      </c>
      <c r="D1688" s="630" t="s">
        <v>7722</v>
      </c>
      <c r="E1688" s="630" t="s">
        <v>646</v>
      </c>
      <c r="F1688" s="829">
        <v>2450.4199999999996</v>
      </c>
      <c r="G1688" s="830">
        <v>1386.44</v>
      </c>
      <c r="H1688" s="832">
        <v>3836.86</v>
      </c>
      <c r="I1688" s="846"/>
      <c r="J1688" s="846"/>
      <c r="K1688" s="846"/>
      <c r="L1688" s="846"/>
      <c r="M1688" s="846"/>
      <c r="N1688" s="846"/>
      <c r="O1688" s="846"/>
      <c r="P1688" s="846"/>
      <c r="Q1688" s="846"/>
      <c r="R1688" s="846"/>
      <c r="S1688" s="846"/>
      <c r="T1688" s="846"/>
    </row>
    <row r="1689" spans="2:20" ht="38.25" hidden="1">
      <c r="B1689" s="833" t="s">
        <v>6615</v>
      </c>
      <c r="C1689" s="828">
        <v>99249</v>
      </c>
      <c r="D1689" s="630" t="s">
        <v>5716</v>
      </c>
      <c r="E1689" s="630" t="s">
        <v>648</v>
      </c>
      <c r="F1689" s="829">
        <v>1132.24</v>
      </c>
      <c r="G1689" s="843">
        <v>916.63</v>
      </c>
      <c r="H1689" s="832">
        <v>2048.87</v>
      </c>
      <c r="I1689" s="846"/>
      <c r="J1689" s="846"/>
      <c r="K1689" s="846"/>
      <c r="L1689" s="846"/>
      <c r="M1689" s="846"/>
      <c r="N1689" s="846"/>
      <c r="O1689" s="846"/>
      <c r="P1689" s="846"/>
      <c r="Q1689" s="846"/>
      <c r="R1689" s="846"/>
      <c r="S1689" s="846"/>
      <c r="T1689" s="846"/>
    </row>
    <row r="1690" spans="2:20" ht="38.25" hidden="1">
      <c r="B1690" s="828" t="s">
        <v>6615</v>
      </c>
      <c r="C1690" s="828">
        <v>99252</v>
      </c>
      <c r="D1690" s="630" t="s">
        <v>7723</v>
      </c>
      <c r="E1690" s="630" t="s">
        <v>646</v>
      </c>
      <c r="F1690" s="829">
        <v>1535.1200000000001</v>
      </c>
      <c r="G1690" s="830">
        <v>950.58</v>
      </c>
      <c r="H1690" s="832">
        <v>2485.6999999999998</v>
      </c>
      <c r="I1690" s="846"/>
      <c r="J1690" s="846"/>
      <c r="K1690" s="846"/>
      <c r="L1690" s="846"/>
      <c r="M1690" s="846"/>
      <c r="N1690" s="846"/>
      <c r="O1690" s="846"/>
      <c r="P1690" s="846"/>
      <c r="Q1690" s="846"/>
      <c r="R1690" s="846"/>
      <c r="S1690" s="846"/>
      <c r="T1690" s="846"/>
    </row>
    <row r="1691" spans="2:20" ht="38.25" hidden="1">
      <c r="B1691" s="828" t="s">
        <v>6615</v>
      </c>
      <c r="C1691" s="828">
        <v>99254</v>
      </c>
      <c r="D1691" s="630" t="s">
        <v>5720</v>
      </c>
      <c r="E1691" s="630" t="s">
        <v>648</v>
      </c>
      <c r="F1691" s="829">
        <v>674.21</v>
      </c>
      <c r="G1691" s="843">
        <v>565.74</v>
      </c>
      <c r="H1691" s="832">
        <v>1239.95</v>
      </c>
      <c r="I1691" s="846"/>
      <c r="J1691" s="846"/>
      <c r="K1691" s="846"/>
      <c r="L1691" s="846"/>
      <c r="M1691" s="846"/>
      <c r="N1691" s="846"/>
      <c r="O1691" s="846"/>
      <c r="P1691" s="846"/>
      <c r="Q1691" s="846"/>
      <c r="R1691" s="846"/>
      <c r="S1691" s="846"/>
      <c r="T1691" s="846"/>
    </row>
    <row r="1692" spans="2:20" ht="38.25" hidden="1">
      <c r="B1692" s="828" t="s">
        <v>6615</v>
      </c>
      <c r="C1692" s="828">
        <v>99256</v>
      </c>
      <c r="D1692" s="630" t="s">
        <v>7724</v>
      </c>
      <c r="E1692" s="630" t="s">
        <v>646</v>
      </c>
      <c r="F1692" s="829">
        <v>3554.25</v>
      </c>
      <c r="G1692" s="830">
        <v>1995.52</v>
      </c>
      <c r="H1692" s="831">
        <v>5549.77</v>
      </c>
      <c r="I1692" s="846"/>
      <c r="J1692" s="846"/>
      <c r="K1692" s="846"/>
      <c r="L1692" s="846"/>
      <c r="M1692" s="846"/>
      <c r="N1692" s="846"/>
      <c r="O1692" s="846"/>
      <c r="P1692" s="846"/>
      <c r="Q1692" s="846"/>
      <c r="R1692" s="846"/>
      <c r="S1692" s="846"/>
      <c r="T1692" s="846"/>
    </row>
    <row r="1693" spans="2:20" ht="38.25" hidden="1">
      <c r="B1693" s="828" t="s">
        <v>6615</v>
      </c>
      <c r="C1693" s="828">
        <v>99259</v>
      </c>
      <c r="D1693" s="630" t="s">
        <v>7725</v>
      </c>
      <c r="E1693" s="630" t="s">
        <v>646</v>
      </c>
      <c r="F1693" s="829">
        <v>1948.59</v>
      </c>
      <c r="G1693" s="830">
        <v>1191.72</v>
      </c>
      <c r="H1693" s="832">
        <v>3140.31</v>
      </c>
      <c r="I1693" s="846"/>
      <c r="J1693" s="846"/>
      <c r="K1693" s="846"/>
      <c r="L1693" s="846"/>
      <c r="M1693" s="846"/>
      <c r="N1693" s="846"/>
      <c r="O1693" s="846"/>
      <c r="P1693" s="846"/>
      <c r="Q1693" s="846"/>
      <c r="R1693" s="846"/>
      <c r="S1693" s="846"/>
      <c r="T1693" s="846"/>
    </row>
    <row r="1694" spans="2:20" ht="38.25" hidden="1">
      <c r="B1694" s="828" t="s">
        <v>6615</v>
      </c>
      <c r="C1694" s="828">
        <v>99261</v>
      </c>
      <c r="D1694" s="630" t="s">
        <v>5725</v>
      </c>
      <c r="E1694" s="630" t="s">
        <v>648</v>
      </c>
      <c r="F1694" s="829">
        <v>803.25</v>
      </c>
      <c r="G1694" s="843">
        <v>677.9</v>
      </c>
      <c r="H1694" s="832">
        <v>1481.15</v>
      </c>
      <c r="I1694" s="846"/>
      <c r="J1694" s="846"/>
      <c r="K1694" s="846"/>
      <c r="L1694" s="846"/>
      <c r="M1694" s="846"/>
      <c r="N1694" s="846"/>
      <c r="O1694" s="846"/>
      <c r="P1694" s="846"/>
      <c r="Q1694" s="846"/>
      <c r="R1694" s="846"/>
      <c r="S1694" s="846"/>
      <c r="T1694" s="846"/>
    </row>
    <row r="1695" spans="2:20" ht="38.25" hidden="1">
      <c r="B1695" s="828" t="s">
        <v>6615</v>
      </c>
      <c r="C1695" s="828">
        <v>99263</v>
      </c>
      <c r="D1695" s="630" t="s">
        <v>5727</v>
      </c>
      <c r="E1695" s="630" t="s">
        <v>648</v>
      </c>
      <c r="F1695" s="829">
        <v>1190.5</v>
      </c>
      <c r="G1695" s="830">
        <v>1014.31</v>
      </c>
      <c r="H1695" s="832">
        <v>2204.81</v>
      </c>
      <c r="I1695" s="846"/>
      <c r="J1695" s="846"/>
      <c r="K1695" s="846"/>
      <c r="L1695" s="846"/>
      <c r="M1695" s="846"/>
      <c r="N1695" s="846"/>
      <c r="O1695" s="846"/>
      <c r="P1695" s="846"/>
      <c r="Q1695" s="846"/>
      <c r="R1695" s="846"/>
      <c r="S1695" s="846"/>
      <c r="T1695" s="846"/>
    </row>
    <row r="1696" spans="2:20" ht="38.25" hidden="1">
      <c r="B1696" s="833" t="s">
        <v>6615</v>
      </c>
      <c r="C1696" s="828">
        <v>99265</v>
      </c>
      <c r="D1696" s="630" t="s">
        <v>7726</v>
      </c>
      <c r="E1696" s="630" t="s">
        <v>646</v>
      </c>
      <c r="F1696" s="829">
        <v>2362</v>
      </c>
      <c r="G1696" s="830">
        <v>1432.84</v>
      </c>
      <c r="H1696" s="832">
        <v>3794.84</v>
      </c>
      <c r="I1696" s="846"/>
      <c r="J1696" s="846"/>
      <c r="K1696" s="846"/>
      <c r="L1696" s="846"/>
      <c r="M1696" s="846"/>
      <c r="N1696" s="846"/>
      <c r="O1696" s="846"/>
      <c r="P1696" s="846"/>
      <c r="Q1696" s="846"/>
      <c r="R1696" s="846"/>
      <c r="S1696" s="846"/>
      <c r="T1696" s="846"/>
    </row>
    <row r="1697" spans="2:20" ht="38.25" hidden="1">
      <c r="B1697" s="833" t="s">
        <v>6615</v>
      </c>
      <c r="C1697" s="828">
        <v>99266</v>
      </c>
      <c r="D1697" s="630" t="s">
        <v>5729</v>
      </c>
      <c r="E1697" s="630" t="s">
        <v>648</v>
      </c>
      <c r="F1697" s="829">
        <v>932.35</v>
      </c>
      <c r="G1697" s="830">
        <v>790.03</v>
      </c>
      <c r="H1697" s="832">
        <v>1722.38</v>
      </c>
      <c r="I1697" s="846"/>
      <c r="J1697" s="846"/>
      <c r="K1697" s="846"/>
      <c r="L1697" s="846"/>
      <c r="M1697" s="846"/>
      <c r="N1697" s="846"/>
      <c r="O1697" s="846"/>
      <c r="P1697" s="846"/>
      <c r="Q1697" s="846"/>
      <c r="R1697" s="846"/>
      <c r="S1697" s="846"/>
      <c r="T1697" s="846"/>
    </row>
    <row r="1698" spans="2:20" ht="38.25" hidden="1">
      <c r="B1698" s="833" t="s">
        <v>6615</v>
      </c>
      <c r="C1698" s="828">
        <v>99267</v>
      </c>
      <c r="D1698" s="630" t="s">
        <v>7727</v>
      </c>
      <c r="E1698" s="630" t="s">
        <v>646</v>
      </c>
      <c r="F1698" s="829">
        <v>2775.43</v>
      </c>
      <c r="G1698" s="843">
        <v>1674.02</v>
      </c>
      <c r="H1698" s="832">
        <v>4449.45</v>
      </c>
      <c r="I1698" s="846"/>
      <c r="J1698" s="846"/>
      <c r="K1698" s="846"/>
      <c r="L1698" s="846"/>
      <c r="M1698" s="846"/>
      <c r="N1698" s="846"/>
      <c r="O1698" s="846"/>
      <c r="P1698" s="846"/>
      <c r="Q1698" s="846"/>
      <c r="R1698" s="846"/>
      <c r="S1698" s="846"/>
      <c r="T1698" s="846"/>
    </row>
    <row r="1699" spans="2:20" ht="38.25" hidden="1">
      <c r="B1699" s="828" t="s">
        <v>6615</v>
      </c>
      <c r="C1699" s="828">
        <v>99268</v>
      </c>
      <c r="D1699" s="630" t="s">
        <v>7728</v>
      </c>
      <c r="E1699" s="630" t="s">
        <v>646</v>
      </c>
      <c r="F1699" s="829">
        <v>305.34999999999997</v>
      </c>
      <c r="G1699" s="843">
        <v>90.2</v>
      </c>
      <c r="H1699" s="832">
        <v>395.55</v>
      </c>
      <c r="I1699" s="846"/>
      <c r="J1699" s="846"/>
      <c r="K1699" s="846"/>
      <c r="L1699" s="846"/>
      <c r="M1699" s="846"/>
      <c r="N1699" s="846"/>
      <c r="O1699" s="846"/>
      <c r="P1699" s="846"/>
      <c r="Q1699" s="846"/>
      <c r="R1699" s="846"/>
      <c r="S1699" s="846"/>
      <c r="T1699" s="846"/>
    </row>
    <row r="1700" spans="2:20" ht="38.25" hidden="1">
      <c r="B1700" s="828" t="s">
        <v>6615</v>
      </c>
      <c r="C1700" s="828">
        <v>99269</v>
      </c>
      <c r="D1700" s="630" t="s">
        <v>5730</v>
      </c>
      <c r="E1700" s="630" t="s">
        <v>648</v>
      </c>
      <c r="F1700" s="829">
        <v>1061.4100000000001</v>
      </c>
      <c r="G1700" s="830">
        <v>902.17</v>
      </c>
      <c r="H1700" s="832">
        <v>1963.58</v>
      </c>
      <c r="I1700" s="846"/>
      <c r="J1700" s="846"/>
      <c r="K1700" s="846"/>
      <c r="L1700" s="846"/>
      <c r="M1700" s="846"/>
      <c r="N1700" s="846"/>
      <c r="O1700" s="846"/>
      <c r="P1700" s="846"/>
      <c r="Q1700" s="846"/>
      <c r="R1700" s="846"/>
      <c r="S1700" s="846"/>
      <c r="T1700" s="846"/>
    </row>
    <row r="1701" spans="2:20" ht="38.25" hidden="1">
      <c r="B1701" s="828" t="s">
        <v>6615</v>
      </c>
      <c r="C1701" s="828">
        <v>99270</v>
      </c>
      <c r="D1701" s="630" t="s">
        <v>7729</v>
      </c>
      <c r="E1701" s="630" t="s">
        <v>646</v>
      </c>
      <c r="F1701" s="829">
        <v>399.17999999999995</v>
      </c>
      <c r="G1701" s="830">
        <v>99.94</v>
      </c>
      <c r="H1701" s="832">
        <v>499.12</v>
      </c>
      <c r="I1701" s="846"/>
      <c r="J1701" s="846"/>
      <c r="K1701" s="846"/>
      <c r="L1701" s="846"/>
      <c r="M1701" s="846"/>
      <c r="N1701" s="846"/>
      <c r="O1701" s="846"/>
      <c r="P1701" s="846"/>
      <c r="Q1701" s="846"/>
      <c r="R1701" s="846"/>
      <c r="S1701" s="846"/>
      <c r="T1701" s="846"/>
    </row>
    <row r="1702" spans="2:20" ht="38.25" hidden="1">
      <c r="B1702" s="828" t="s">
        <v>6615</v>
      </c>
      <c r="C1702" s="828">
        <v>99271</v>
      </c>
      <c r="D1702" s="630" t="s">
        <v>7730</v>
      </c>
      <c r="E1702" s="630" t="s">
        <v>646</v>
      </c>
      <c r="F1702" s="829">
        <v>4092.17</v>
      </c>
      <c r="G1702" s="843">
        <v>2280.2199999999998</v>
      </c>
      <c r="H1702" s="832">
        <v>6372.39</v>
      </c>
      <c r="I1702" s="846"/>
      <c r="J1702" s="846"/>
      <c r="K1702" s="846"/>
      <c r="L1702" s="846"/>
      <c r="M1702" s="846"/>
      <c r="N1702" s="846"/>
      <c r="O1702" s="846"/>
      <c r="P1702" s="846"/>
      <c r="Q1702" s="846"/>
      <c r="R1702" s="846"/>
      <c r="S1702" s="846"/>
      <c r="T1702" s="846"/>
    </row>
    <row r="1703" spans="2:20" ht="38.25" hidden="1">
      <c r="B1703" s="828" t="s">
        <v>6615</v>
      </c>
      <c r="C1703" s="828">
        <v>99272</v>
      </c>
      <c r="D1703" s="630" t="s">
        <v>7731</v>
      </c>
      <c r="E1703" s="630" t="s">
        <v>646</v>
      </c>
      <c r="F1703" s="829">
        <v>675.84</v>
      </c>
      <c r="G1703" s="830">
        <v>432.59</v>
      </c>
      <c r="H1703" s="832">
        <v>1108.43</v>
      </c>
      <c r="I1703" s="846"/>
      <c r="J1703" s="846"/>
      <c r="K1703" s="846"/>
      <c r="L1703" s="846"/>
      <c r="M1703" s="846"/>
      <c r="N1703" s="846"/>
      <c r="O1703" s="846"/>
      <c r="P1703" s="846"/>
      <c r="Q1703" s="846"/>
      <c r="R1703" s="846"/>
      <c r="S1703" s="846"/>
      <c r="T1703" s="846"/>
    </row>
    <row r="1704" spans="2:20" ht="38.25" hidden="1">
      <c r="B1704" s="828" t="s">
        <v>6615</v>
      </c>
      <c r="C1704" s="828">
        <v>99273</v>
      </c>
      <c r="D1704" s="630" t="s">
        <v>7732</v>
      </c>
      <c r="E1704" s="630" t="s">
        <v>646</v>
      </c>
      <c r="F1704" s="829">
        <v>941.08999999999992</v>
      </c>
      <c r="G1704" s="843">
        <v>634.99</v>
      </c>
      <c r="H1704" s="832">
        <v>1576.08</v>
      </c>
      <c r="I1704" s="846"/>
      <c r="J1704" s="846"/>
      <c r="K1704" s="846"/>
      <c r="L1704" s="846"/>
      <c r="M1704" s="846"/>
      <c r="N1704" s="846"/>
      <c r="O1704" s="846"/>
      <c r="P1704" s="846"/>
      <c r="Q1704" s="846"/>
      <c r="R1704" s="846"/>
      <c r="S1704" s="846"/>
      <c r="T1704" s="846"/>
    </row>
    <row r="1705" spans="2:20" ht="38.25" hidden="1">
      <c r="B1705" s="828" t="s">
        <v>6615</v>
      </c>
      <c r="C1705" s="828">
        <v>99274</v>
      </c>
      <c r="D1705" s="630" t="s">
        <v>7733</v>
      </c>
      <c r="E1705" s="630" t="s">
        <v>646</v>
      </c>
      <c r="F1705" s="829">
        <v>3226.66</v>
      </c>
      <c r="G1705" s="830">
        <v>1915.16</v>
      </c>
      <c r="H1705" s="831">
        <v>5141.82</v>
      </c>
      <c r="I1705" s="846"/>
      <c r="J1705" s="846"/>
      <c r="K1705" s="846"/>
      <c r="L1705" s="846"/>
      <c r="M1705" s="846"/>
      <c r="N1705" s="846"/>
      <c r="O1705" s="846"/>
      <c r="P1705" s="846"/>
      <c r="Q1705" s="846"/>
      <c r="R1705" s="846"/>
      <c r="S1705" s="846"/>
      <c r="T1705" s="846"/>
    </row>
    <row r="1706" spans="2:20" ht="38.25" hidden="1">
      <c r="B1706" s="828" t="s">
        <v>6615</v>
      </c>
      <c r="C1706" s="828">
        <v>99275</v>
      </c>
      <c r="D1706" s="630" t="s">
        <v>7734</v>
      </c>
      <c r="E1706" s="630" t="s">
        <v>646</v>
      </c>
      <c r="F1706" s="829">
        <v>588.21999999999991</v>
      </c>
      <c r="G1706" s="830">
        <v>229.08</v>
      </c>
      <c r="H1706" s="832">
        <v>817.3</v>
      </c>
      <c r="I1706" s="846"/>
      <c r="J1706" s="846"/>
      <c r="K1706" s="846"/>
      <c r="L1706" s="846"/>
      <c r="M1706" s="846"/>
      <c r="N1706" s="846"/>
      <c r="O1706" s="846"/>
      <c r="P1706" s="846"/>
      <c r="Q1706" s="846"/>
      <c r="R1706" s="846"/>
      <c r="S1706" s="846"/>
      <c r="T1706" s="846"/>
    </row>
    <row r="1707" spans="2:20" ht="38.25" hidden="1">
      <c r="B1707" s="828" t="s">
        <v>6615</v>
      </c>
      <c r="C1707" s="828">
        <v>99276</v>
      </c>
      <c r="D1707" s="630" t="s">
        <v>5731</v>
      </c>
      <c r="E1707" s="630" t="s">
        <v>648</v>
      </c>
      <c r="F1707" s="829">
        <v>1319.59</v>
      </c>
      <c r="G1707" s="830">
        <v>1126.47</v>
      </c>
      <c r="H1707" s="831">
        <v>2446.06</v>
      </c>
      <c r="I1707" s="846"/>
      <c r="J1707" s="846"/>
      <c r="K1707" s="846"/>
      <c r="L1707" s="846"/>
      <c r="M1707" s="846"/>
      <c r="N1707" s="846"/>
      <c r="O1707" s="846"/>
      <c r="P1707" s="846"/>
      <c r="Q1707" s="846"/>
      <c r="R1707" s="846"/>
      <c r="S1707" s="846"/>
      <c r="T1707" s="846"/>
    </row>
    <row r="1708" spans="2:20" ht="38.25" hidden="1">
      <c r="B1708" s="828" t="s">
        <v>6615</v>
      </c>
      <c r="C1708" s="828">
        <v>99277</v>
      </c>
      <c r="D1708" s="630" t="s">
        <v>5732</v>
      </c>
      <c r="E1708" s="630" t="s">
        <v>648</v>
      </c>
      <c r="F1708" s="829">
        <v>1190.5</v>
      </c>
      <c r="G1708" s="843">
        <v>1014.31</v>
      </c>
      <c r="H1708" s="832">
        <v>2204.81</v>
      </c>
      <c r="I1708" s="846"/>
      <c r="J1708" s="846"/>
      <c r="K1708" s="846"/>
      <c r="L1708" s="846"/>
      <c r="M1708" s="846"/>
      <c r="N1708" s="846"/>
      <c r="O1708" s="846"/>
      <c r="P1708" s="846"/>
      <c r="Q1708" s="846"/>
      <c r="R1708" s="846"/>
      <c r="S1708" s="846"/>
      <c r="T1708" s="846"/>
    </row>
    <row r="1709" spans="2:20" ht="25.5" hidden="1">
      <c r="B1709" s="828" t="s">
        <v>6615</v>
      </c>
      <c r="C1709" s="828">
        <v>99278</v>
      </c>
      <c r="D1709" s="630" t="s">
        <v>5733</v>
      </c>
      <c r="E1709" s="630" t="s">
        <v>648</v>
      </c>
      <c r="F1709" s="829">
        <v>250.46</v>
      </c>
      <c r="G1709" s="830">
        <v>28.1</v>
      </c>
      <c r="H1709" s="832">
        <v>278.56</v>
      </c>
      <c r="I1709" s="846"/>
      <c r="J1709" s="846"/>
      <c r="K1709" s="846"/>
      <c r="L1709" s="846"/>
      <c r="M1709" s="846"/>
      <c r="N1709" s="846"/>
      <c r="O1709" s="846"/>
      <c r="P1709" s="846"/>
      <c r="Q1709" s="846"/>
      <c r="R1709" s="846"/>
      <c r="S1709" s="846"/>
      <c r="T1709" s="846"/>
    </row>
    <row r="1710" spans="2:20" ht="38.25" hidden="1">
      <c r="B1710" s="828" t="s">
        <v>6615</v>
      </c>
      <c r="C1710" s="828">
        <v>99279</v>
      </c>
      <c r="D1710" s="630" t="s">
        <v>7735</v>
      </c>
      <c r="E1710" s="630" t="s">
        <v>646</v>
      </c>
      <c r="F1710" s="829">
        <v>3644.8399999999997</v>
      </c>
      <c r="G1710" s="830">
        <v>2156.3000000000002</v>
      </c>
      <c r="H1710" s="832">
        <v>5801.14</v>
      </c>
      <c r="I1710" s="846"/>
      <c r="J1710" s="846"/>
      <c r="K1710" s="846"/>
      <c r="L1710" s="846"/>
      <c r="M1710" s="846"/>
      <c r="N1710" s="846"/>
      <c r="O1710" s="846"/>
      <c r="P1710" s="846"/>
      <c r="Q1710" s="846"/>
      <c r="R1710" s="846"/>
      <c r="S1710" s="846"/>
      <c r="T1710" s="846"/>
    </row>
    <row r="1711" spans="2:20" ht="38.25" hidden="1">
      <c r="B1711" s="828" t="s">
        <v>6615</v>
      </c>
      <c r="C1711" s="828">
        <v>99280</v>
      </c>
      <c r="D1711" s="630" t="s">
        <v>7736</v>
      </c>
      <c r="E1711" s="630" t="s">
        <v>646</v>
      </c>
      <c r="F1711" s="829">
        <v>1247.08</v>
      </c>
      <c r="G1711" s="843">
        <v>794.34</v>
      </c>
      <c r="H1711" s="832">
        <v>2041.42</v>
      </c>
      <c r="I1711" s="846"/>
      <c r="J1711" s="846"/>
      <c r="K1711" s="846"/>
      <c r="L1711" s="846"/>
      <c r="M1711" s="846"/>
      <c r="N1711" s="846"/>
      <c r="O1711" s="846"/>
      <c r="P1711" s="846"/>
      <c r="Q1711" s="846"/>
      <c r="R1711" s="846"/>
      <c r="S1711" s="846"/>
      <c r="T1711" s="846"/>
    </row>
    <row r="1712" spans="2:20" ht="38.25" hidden="1">
      <c r="B1712" s="828" t="s">
        <v>6615</v>
      </c>
      <c r="C1712" s="828">
        <v>99281</v>
      </c>
      <c r="D1712" s="630" t="s">
        <v>5734</v>
      </c>
      <c r="E1712" s="630" t="s">
        <v>648</v>
      </c>
      <c r="F1712" s="829">
        <v>1319.59</v>
      </c>
      <c r="G1712" s="830">
        <v>1126.47</v>
      </c>
      <c r="H1712" s="831">
        <v>2446.06</v>
      </c>
      <c r="I1712" s="846"/>
      <c r="J1712" s="846"/>
      <c r="K1712" s="846"/>
      <c r="L1712" s="846"/>
      <c r="M1712" s="846"/>
      <c r="N1712" s="846"/>
      <c r="O1712" s="846"/>
      <c r="P1712" s="846"/>
      <c r="Q1712" s="846"/>
      <c r="R1712" s="846"/>
      <c r="S1712" s="846"/>
      <c r="T1712" s="846"/>
    </row>
    <row r="1713" spans="2:20" ht="38.25" hidden="1">
      <c r="B1713" s="828" t="s">
        <v>6615</v>
      </c>
      <c r="C1713" s="828">
        <v>99282</v>
      </c>
      <c r="D1713" s="630" t="s">
        <v>5735</v>
      </c>
      <c r="E1713" s="630" t="s">
        <v>648</v>
      </c>
      <c r="F1713" s="829">
        <v>1462.44</v>
      </c>
      <c r="G1713" s="843">
        <v>1249.0899999999999</v>
      </c>
      <c r="H1713" s="832">
        <v>2711.53</v>
      </c>
      <c r="I1713" s="846"/>
      <c r="J1713" s="846"/>
      <c r="K1713" s="846"/>
      <c r="L1713" s="846"/>
      <c r="M1713" s="846"/>
      <c r="N1713" s="846"/>
      <c r="O1713" s="846"/>
      <c r="P1713" s="846"/>
      <c r="Q1713" s="846"/>
      <c r="R1713" s="846"/>
      <c r="S1713" s="846"/>
      <c r="T1713" s="846"/>
    </row>
    <row r="1714" spans="2:20" ht="38.25" hidden="1">
      <c r="B1714" s="828" t="s">
        <v>6615</v>
      </c>
      <c r="C1714" s="828">
        <v>99283</v>
      </c>
      <c r="D1714" s="630" t="s">
        <v>5736</v>
      </c>
      <c r="E1714" s="630" t="s">
        <v>648</v>
      </c>
      <c r="F1714" s="829">
        <v>657.38</v>
      </c>
      <c r="G1714" s="830">
        <v>514.80999999999995</v>
      </c>
      <c r="H1714" s="832">
        <v>1172.19</v>
      </c>
      <c r="I1714" s="846"/>
      <c r="J1714" s="846"/>
      <c r="K1714" s="846"/>
      <c r="L1714" s="846"/>
      <c r="M1714" s="846"/>
      <c r="N1714" s="846"/>
      <c r="O1714" s="846"/>
      <c r="P1714" s="846"/>
      <c r="Q1714" s="846"/>
      <c r="R1714" s="846"/>
      <c r="S1714" s="846"/>
      <c r="T1714" s="846"/>
    </row>
    <row r="1715" spans="2:20" ht="38.25" hidden="1">
      <c r="B1715" s="828" t="s">
        <v>6615</v>
      </c>
      <c r="C1715" s="828">
        <v>99284</v>
      </c>
      <c r="D1715" s="630" t="s">
        <v>7737</v>
      </c>
      <c r="E1715" s="630" t="s">
        <v>646</v>
      </c>
      <c r="F1715" s="829">
        <v>4630.09</v>
      </c>
      <c r="G1715" s="830">
        <v>2565.06</v>
      </c>
      <c r="H1715" s="831">
        <v>7195.15</v>
      </c>
      <c r="I1715" s="846"/>
      <c r="J1715" s="846"/>
      <c r="K1715" s="846"/>
      <c r="L1715" s="846"/>
      <c r="M1715" s="846"/>
      <c r="N1715" s="846"/>
      <c r="O1715" s="846"/>
      <c r="P1715" s="846"/>
      <c r="Q1715" s="846"/>
      <c r="R1715" s="846"/>
      <c r="S1715" s="846"/>
      <c r="T1715" s="846"/>
    </row>
    <row r="1716" spans="2:20" ht="38.25" hidden="1">
      <c r="B1716" s="828" t="s">
        <v>6615</v>
      </c>
      <c r="C1716" s="828">
        <v>99285</v>
      </c>
      <c r="D1716" s="630" t="s">
        <v>7738</v>
      </c>
      <c r="E1716" s="630" t="s">
        <v>646</v>
      </c>
      <c r="F1716" s="829">
        <v>851.52</v>
      </c>
      <c r="G1716" s="843">
        <v>273.45</v>
      </c>
      <c r="H1716" s="832">
        <v>1124.97</v>
      </c>
      <c r="I1716" s="846"/>
      <c r="J1716" s="846"/>
      <c r="K1716" s="846"/>
      <c r="L1716" s="846"/>
      <c r="M1716" s="846"/>
      <c r="N1716" s="846"/>
      <c r="O1716" s="846"/>
      <c r="P1716" s="846"/>
      <c r="Q1716" s="846"/>
      <c r="R1716" s="846"/>
      <c r="S1716" s="846"/>
      <c r="T1716" s="846"/>
    </row>
    <row r="1717" spans="2:20" ht="38.25" hidden="1">
      <c r="B1717" s="828" t="s">
        <v>6615</v>
      </c>
      <c r="C1717" s="828">
        <v>99286</v>
      </c>
      <c r="D1717" s="630" t="s">
        <v>7739</v>
      </c>
      <c r="E1717" s="630" t="s">
        <v>646</v>
      </c>
      <c r="F1717" s="829">
        <v>4063.12</v>
      </c>
      <c r="G1717" s="830">
        <v>2397.42</v>
      </c>
      <c r="H1717" s="832">
        <v>6460.54</v>
      </c>
      <c r="I1717" s="846"/>
      <c r="J1717" s="846"/>
      <c r="K1717" s="846"/>
      <c r="L1717" s="846"/>
      <c r="M1717" s="846"/>
      <c r="N1717" s="846"/>
      <c r="O1717" s="846"/>
      <c r="P1717" s="846"/>
      <c r="Q1717" s="846"/>
      <c r="R1717" s="846"/>
      <c r="S1717" s="846"/>
      <c r="T1717" s="846"/>
    </row>
    <row r="1718" spans="2:20" ht="38.25" hidden="1">
      <c r="B1718" s="833" t="s">
        <v>6615</v>
      </c>
      <c r="C1718" s="828">
        <v>99287</v>
      </c>
      <c r="D1718" s="630" t="s">
        <v>7740</v>
      </c>
      <c r="E1718" s="630" t="s">
        <v>646</v>
      </c>
      <c r="F1718" s="829">
        <v>5984.64</v>
      </c>
      <c r="G1718" s="843">
        <v>3047.34</v>
      </c>
      <c r="H1718" s="832">
        <v>9031.98</v>
      </c>
      <c r="I1718" s="846"/>
      <c r="J1718" s="846"/>
      <c r="K1718" s="846"/>
      <c r="L1718" s="846"/>
      <c r="M1718" s="846"/>
      <c r="N1718" s="846"/>
      <c r="O1718" s="846"/>
      <c r="P1718" s="846"/>
      <c r="Q1718" s="846"/>
      <c r="R1718" s="846"/>
      <c r="S1718" s="846"/>
      <c r="T1718" s="846"/>
    </row>
    <row r="1719" spans="2:20" ht="25.5" hidden="1">
      <c r="B1719" s="833" t="s">
        <v>6615</v>
      </c>
      <c r="C1719" s="828">
        <v>99288</v>
      </c>
      <c r="D1719" s="630" t="s">
        <v>5737</v>
      </c>
      <c r="E1719" s="630" t="s">
        <v>648</v>
      </c>
      <c r="F1719" s="829">
        <v>330.82</v>
      </c>
      <c r="G1719" s="843">
        <v>33.5</v>
      </c>
      <c r="H1719" s="832">
        <v>364.32</v>
      </c>
      <c r="I1719" s="846"/>
      <c r="J1719" s="846"/>
      <c r="K1719" s="846"/>
      <c r="L1719" s="846"/>
      <c r="M1719" s="846"/>
      <c r="N1719" s="846"/>
      <c r="O1719" s="846"/>
      <c r="P1719" s="846"/>
      <c r="Q1719" s="846"/>
      <c r="R1719" s="846"/>
      <c r="S1719" s="846"/>
      <c r="T1719" s="846"/>
    </row>
    <row r="1720" spans="2:20" ht="38.25" hidden="1">
      <c r="B1720" s="828" t="s">
        <v>6615</v>
      </c>
      <c r="C1720" s="828">
        <v>99289</v>
      </c>
      <c r="D1720" s="630" t="s">
        <v>5738</v>
      </c>
      <c r="E1720" s="630" t="s">
        <v>648</v>
      </c>
      <c r="F1720" s="829">
        <v>1448.63</v>
      </c>
      <c r="G1720" s="830">
        <v>1238.5999999999999</v>
      </c>
      <c r="H1720" s="832">
        <v>2687.23</v>
      </c>
      <c r="I1720" s="846"/>
      <c r="J1720" s="846"/>
      <c r="K1720" s="846"/>
      <c r="L1720" s="846"/>
      <c r="M1720" s="846"/>
      <c r="N1720" s="846"/>
      <c r="O1720" s="846"/>
      <c r="P1720" s="846"/>
      <c r="Q1720" s="846"/>
      <c r="R1720" s="846"/>
      <c r="S1720" s="846"/>
      <c r="T1720" s="846"/>
    </row>
    <row r="1721" spans="2:20" ht="38.25" hidden="1">
      <c r="B1721" s="828" t="s">
        <v>6615</v>
      </c>
      <c r="C1721" s="828">
        <v>99290</v>
      </c>
      <c r="D1721" s="630" t="s">
        <v>7741</v>
      </c>
      <c r="E1721" s="630" t="s">
        <v>646</v>
      </c>
      <c r="F1721" s="829">
        <v>2448.4299999999998</v>
      </c>
      <c r="G1721" s="843">
        <v>1425.95</v>
      </c>
      <c r="H1721" s="832">
        <v>3874.38</v>
      </c>
      <c r="I1721" s="846"/>
      <c r="J1721" s="846"/>
      <c r="K1721" s="846"/>
      <c r="L1721" s="846"/>
      <c r="M1721" s="846"/>
      <c r="N1721" s="846"/>
      <c r="O1721" s="846"/>
      <c r="P1721" s="846"/>
      <c r="Q1721" s="846"/>
      <c r="R1721" s="846"/>
      <c r="S1721" s="846"/>
      <c r="T1721" s="846"/>
    </row>
    <row r="1722" spans="2:20" ht="38.25" hidden="1">
      <c r="B1722" s="828" t="s">
        <v>6615</v>
      </c>
      <c r="C1722" s="828">
        <v>99291</v>
      </c>
      <c r="D1722" s="630" t="s">
        <v>5739</v>
      </c>
      <c r="E1722" s="630" t="s">
        <v>648</v>
      </c>
      <c r="F1722" s="829">
        <v>1448.63</v>
      </c>
      <c r="G1722" s="830">
        <v>1238.5999999999999</v>
      </c>
      <c r="H1722" s="832">
        <v>2687.23</v>
      </c>
      <c r="I1722" s="846"/>
      <c r="J1722" s="846"/>
      <c r="K1722" s="846"/>
      <c r="L1722" s="846"/>
      <c r="M1722" s="846"/>
      <c r="N1722" s="846"/>
      <c r="O1722" s="846"/>
      <c r="P1722" s="846"/>
      <c r="Q1722" s="846"/>
      <c r="R1722" s="846"/>
      <c r="S1722" s="846"/>
      <c r="T1722" s="846"/>
    </row>
    <row r="1723" spans="2:20" ht="38.25" hidden="1">
      <c r="B1723" s="828" t="s">
        <v>6615</v>
      </c>
      <c r="C1723" s="828">
        <v>99292</v>
      </c>
      <c r="D1723" s="630" t="s">
        <v>7742</v>
      </c>
      <c r="E1723" s="630" t="s">
        <v>646</v>
      </c>
      <c r="F1723" s="829">
        <v>1558.04</v>
      </c>
      <c r="G1723" s="843">
        <v>962</v>
      </c>
      <c r="H1723" s="832">
        <v>2520.04</v>
      </c>
      <c r="I1723" s="846"/>
      <c r="J1723" s="846"/>
      <c r="K1723" s="846"/>
      <c r="L1723" s="846"/>
      <c r="M1723" s="846"/>
      <c r="N1723" s="846"/>
      <c r="O1723" s="846"/>
      <c r="P1723" s="846"/>
      <c r="Q1723" s="846"/>
      <c r="R1723" s="846"/>
      <c r="S1723" s="846"/>
      <c r="T1723" s="846"/>
    </row>
    <row r="1724" spans="2:20" ht="38.25" hidden="1">
      <c r="B1724" s="828" t="s">
        <v>6615</v>
      </c>
      <c r="C1724" s="828">
        <v>99293</v>
      </c>
      <c r="D1724" s="630" t="s">
        <v>5740</v>
      </c>
      <c r="E1724" s="630" t="s">
        <v>648</v>
      </c>
      <c r="F1724" s="829">
        <v>793.06</v>
      </c>
      <c r="G1724" s="843">
        <v>629.64</v>
      </c>
      <c r="H1724" s="832">
        <v>1422.7</v>
      </c>
      <c r="I1724" s="846"/>
      <c r="J1724" s="846"/>
      <c r="K1724" s="846"/>
      <c r="L1724" s="846"/>
      <c r="M1724" s="846"/>
      <c r="N1724" s="846"/>
      <c r="O1724" s="846"/>
      <c r="P1724" s="846"/>
      <c r="Q1724" s="846"/>
      <c r="R1724" s="846"/>
      <c r="S1724" s="846"/>
      <c r="T1724" s="846"/>
    </row>
    <row r="1725" spans="2:20" ht="38.25" hidden="1">
      <c r="B1725" s="828" t="s">
        <v>6615</v>
      </c>
      <c r="C1725" s="828">
        <v>99294</v>
      </c>
      <c r="D1725" s="630" t="s">
        <v>7743</v>
      </c>
      <c r="E1725" s="630" t="s">
        <v>646</v>
      </c>
      <c r="F1725" s="829">
        <v>5168.0100000000011</v>
      </c>
      <c r="G1725" s="830">
        <v>2849.85</v>
      </c>
      <c r="H1725" s="831">
        <v>8017.86</v>
      </c>
      <c r="I1725" s="846"/>
      <c r="J1725" s="846"/>
      <c r="K1725" s="846"/>
      <c r="L1725" s="846"/>
      <c r="M1725" s="846"/>
      <c r="N1725" s="846"/>
      <c r="O1725" s="846"/>
      <c r="P1725" s="846"/>
      <c r="Q1725" s="846"/>
      <c r="R1725" s="846"/>
      <c r="S1725" s="846"/>
      <c r="T1725" s="846"/>
    </row>
    <row r="1726" spans="2:20" ht="38.25" hidden="1">
      <c r="B1726" s="828" t="s">
        <v>6615</v>
      </c>
      <c r="C1726" s="828">
        <v>99296</v>
      </c>
      <c r="D1726" s="630" t="s">
        <v>5741</v>
      </c>
      <c r="E1726" s="630" t="s">
        <v>648</v>
      </c>
      <c r="F1726" s="829">
        <v>1591.51</v>
      </c>
      <c r="G1726" s="843">
        <v>1361.23</v>
      </c>
      <c r="H1726" s="832">
        <v>2952.74</v>
      </c>
      <c r="I1726" s="846"/>
      <c r="J1726" s="846"/>
      <c r="K1726" s="846"/>
      <c r="L1726" s="846"/>
      <c r="M1726" s="846"/>
      <c r="N1726" s="846"/>
      <c r="O1726" s="846"/>
      <c r="P1726" s="846"/>
      <c r="Q1726" s="846"/>
      <c r="R1726" s="846"/>
      <c r="S1726" s="846"/>
      <c r="T1726" s="846"/>
    </row>
    <row r="1727" spans="2:20" ht="38.25" hidden="1">
      <c r="B1727" s="828" t="s">
        <v>6615</v>
      </c>
      <c r="C1727" s="828">
        <v>99297</v>
      </c>
      <c r="D1727" s="630" t="s">
        <v>5742</v>
      </c>
      <c r="E1727" s="630" t="s">
        <v>648</v>
      </c>
      <c r="F1727" s="829">
        <v>1589.1000000000001</v>
      </c>
      <c r="G1727" s="843">
        <v>1359.44</v>
      </c>
      <c r="H1727" s="832">
        <v>2948.54</v>
      </c>
      <c r="I1727" s="846"/>
      <c r="J1727" s="846"/>
      <c r="K1727" s="846"/>
      <c r="L1727" s="846"/>
      <c r="M1727" s="846"/>
      <c r="N1727" s="846"/>
      <c r="O1727" s="846"/>
      <c r="P1727" s="846"/>
      <c r="Q1727" s="846"/>
      <c r="R1727" s="846"/>
      <c r="S1727" s="846"/>
      <c r="T1727" s="846"/>
    </row>
    <row r="1728" spans="2:20" ht="38.25" hidden="1">
      <c r="B1728" s="828" t="s">
        <v>6615</v>
      </c>
      <c r="C1728" s="828">
        <v>99298</v>
      </c>
      <c r="D1728" s="630" t="s">
        <v>7744</v>
      </c>
      <c r="E1728" s="630" t="s">
        <v>646</v>
      </c>
      <c r="F1728" s="829">
        <v>6786.8499999999995</v>
      </c>
      <c r="G1728" s="843">
        <v>3419.85</v>
      </c>
      <c r="H1728" s="832">
        <v>10206.700000000001</v>
      </c>
      <c r="I1728" s="846"/>
      <c r="J1728" s="846"/>
      <c r="K1728" s="846"/>
      <c r="L1728" s="846"/>
      <c r="M1728" s="846"/>
      <c r="N1728" s="846"/>
      <c r="O1728" s="846"/>
      <c r="P1728" s="846"/>
      <c r="Q1728" s="846"/>
      <c r="R1728" s="846"/>
      <c r="S1728" s="846"/>
      <c r="T1728" s="846"/>
    </row>
    <row r="1729" spans="2:20" ht="38.25" hidden="1">
      <c r="B1729" s="828" t="s">
        <v>6615</v>
      </c>
      <c r="C1729" s="828">
        <v>99299</v>
      </c>
      <c r="D1729" s="630" t="s">
        <v>5743</v>
      </c>
      <c r="E1729" s="630" t="s">
        <v>648</v>
      </c>
      <c r="F1729" s="829">
        <v>1720.4999999999998</v>
      </c>
      <c r="G1729" s="830">
        <v>1473.37</v>
      </c>
      <c r="H1729" s="832">
        <v>3193.87</v>
      </c>
      <c r="I1729" s="846"/>
      <c r="J1729" s="846"/>
      <c r="K1729" s="846"/>
      <c r="L1729" s="846"/>
      <c r="M1729" s="846"/>
      <c r="N1729" s="846"/>
      <c r="O1729" s="846"/>
      <c r="P1729" s="846"/>
      <c r="Q1729" s="846"/>
      <c r="R1729" s="846"/>
      <c r="S1729" s="846"/>
      <c r="T1729" s="846"/>
    </row>
    <row r="1730" spans="2:20" ht="38.25" hidden="1">
      <c r="B1730" s="828" t="s">
        <v>6615</v>
      </c>
      <c r="C1730" s="828">
        <v>99300</v>
      </c>
      <c r="D1730" s="630" t="s">
        <v>7745</v>
      </c>
      <c r="E1730" s="630" t="s">
        <v>646</v>
      </c>
      <c r="F1730" s="829">
        <v>7589.0199999999995</v>
      </c>
      <c r="G1730" s="830">
        <v>3792.41</v>
      </c>
      <c r="H1730" s="832">
        <v>11381.43</v>
      </c>
      <c r="I1730" s="846"/>
      <c r="J1730" s="846"/>
      <c r="K1730" s="846"/>
      <c r="L1730" s="846"/>
      <c r="M1730" s="846"/>
      <c r="N1730" s="846"/>
      <c r="O1730" s="846"/>
      <c r="P1730" s="846"/>
      <c r="Q1730" s="846"/>
      <c r="R1730" s="846"/>
      <c r="S1730" s="846"/>
      <c r="T1730" s="846"/>
    </row>
    <row r="1731" spans="2:20" ht="38.25" hidden="1">
      <c r="B1731" s="828" t="s">
        <v>6615</v>
      </c>
      <c r="C1731" s="828">
        <v>99301</v>
      </c>
      <c r="D1731" s="630" t="s">
        <v>7746</v>
      </c>
      <c r="E1731" s="630" t="s">
        <v>646</v>
      </c>
      <c r="F1731" s="829">
        <v>3650.04</v>
      </c>
      <c r="G1731" s="843">
        <v>2043.09</v>
      </c>
      <c r="H1731" s="832">
        <v>5693.13</v>
      </c>
      <c r="I1731" s="846"/>
      <c r="J1731" s="846"/>
      <c r="K1731" s="846"/>
      <c r="L1731" s="846"/>
      <c r="M1731" s="846"/>
      <c r="N1731" s="846"/>
      <c r="O1731" s="846"/>
      <c r="P1731" s="846"/>
      <c r="Q1731" s="846"/>
      <c r="R1731" s="846"/>
      <c r="S1731" s="846"/>
      <c r="T1731" s="846"/>
    </row>
    <row r="1732" spans="2:20" ht="38.25" hidden="1">
      <c r="B1732" s="828" t="s">
        <v>6615</v>
      </c>
      <c r="C1732" s="828">
        <v>99302</v>
      </c>
      <c r="D1732" s="630" t="s">
        <v>5744</v>
      </c>
      <c r="E1732" s="630" t="s">
        <v>648</v>
      </c>
      <c r="F1732" s="829">
        <v>1851.9800000000002</v>
      </c>
      <c r="G1732" s="843">
        <v>1587.29</v>
      </c>
      <c r="H1732" s="832">
        <v>3439.27</v>
      </c>
      <c r="I1732" s="846"/>
      <c r="J1732" s="846"/>
      <c r="K1732" s="846"/>
      <c r="L1732" s="846"/>
      <c r="M1732" s="846"/>
      <c r="N1732" s="846"/>
      <c r="O1732" s="846"/>
      <c r="P1732" s="846"/>
      <c r="Q1732" s="846"/>
      <c r="R1732" s="846"/>
      <c r="S1732" s="846"/>
      <c r="T1732" s="846"/>
    </row>
    <row r="1733" spans="2:20" ht="38.25" hidden="1">
      <c r="B1733" s="828" t="s">
        <v>6615</v>
      </c>
      <c r="C1733" s="828">
        <v>99303</v>
      </c>
      <c r="D1733" s="630" t="s">
        <v>7747</v>
      </c>
      <c r="E1733" s="630" t="s">
        <v>646</v>
      </c>
      <c r="F1733" s="829">
        <v>6948.4699999999993</v>
      </c>
      <c r="G1733" s="843">
        <v>3464.14</v>
      </c>
      <c r="H1733" s="832">
        <v>10412.61</v>
      </c>
      <c r="I1733" s="846"/>
      <c r="J1733" s="846"/>
      <c r="K1733" s="846"/>
      <c r="L1733" s="846"/>
      <c r="M1733" s="846"/>
      <c r="N1733" s="846"/>
      <c r="O1733" s="846"/>
      <c r="P1733" s="846"/>
      <c r="Q1733" s="846"/>
      <c r="R1733" s="846"/>
      <c r="S1733" s="846"/>
      <c r="T1733" s="846"/>
    </row>
    <row r="1734" spans="2:20" ht="38.25" hidden="1">
      <c r="B1734" s="828" t="s">
        <v>6615</v>
      </c>
      <c r="C1734" s="828">
        <v>99304</v>
      </c>
      <c r="D1734" s="630" t="s">
        <v>5745</v>
      </c>
      <c r="E1734" s="630" t="s">
        <v>648</v>
      </c>
      <c r="F1734" s="829">
        <v>1722.8999999999999</v>
      </c>
      <c r="G1734" s="843">
        <v>1475.17</v>
      </c>
      <c r="H1734" s="832">
        <v>3198.07</v>
      </c>
      <c r="I1734" s="846"/>
      <c r="J1734" s="846"/>
      <c r="K1734" s="846"/>
      <c r="L1734" s="846"/>
      <c r="M1734" s="846"/>
      <c r="N1734" s="846"/>
      <c r="O1734" s="846"/>
      <c r="P1734" s="846"/>
      <c r="Q1734" s="846"/>
      <c r="R1734" s="846"/>
      <c r="S1734" s="846"/>
      <c r="T1734" s="846"/>
    </row>
    <row r="1735" spans="2:20" ht="38.25" hidden="1">
      <c r="B1735" s="828" t="s">
        <v>6615</v>
      </c>
      <c r="C1735" s="828">
        <v>99305</v>
      </c>
      <c r="D1735" s="630" t="s">
        <v>7748</v>
      </c>
      <c r="E1735" s="630" t="s">
        <v>646</v>
      </c>
      <c r="F1735" s="829">
        <v>7878.89</v>
      </c>
      <c r="G1735" s="843">
        <v>3880.41</v>
      </c>
      <c r="H1735" s="832">
        <v>11759.3</v>
      </c>
      <c r="I1735" s="846"/>
      <c r="J1735" s="846"/>
      <c r="K1735" s="846"/>
      <c r="L1735" s="846"/>
      <c r="M1735" s="846"/>
      <c r="N1735" s="846"/>
      <c r="O1735" s="846"/>
      <c r="P1735" s="846"/>
      <c r="Q1735" s="846"/>
      <c r="R1735" s="846"/>
      <c r="S1735" s="846"/>
      <c r="T1735" s="846"/>
    </row>
    <row r="1736" spans="2:20" ht="38.25" hidden="1">
      <c r="B1736" s="828" t="s">
        <v>6615</v>
      </c>
      <c r="C1736" s="828">
        <v>99306</v>
      </c>
      <c r="D1736" s="630" t="s">
        <v>5746</v>
      </c>
      <c r="E1736" s="630" t="s">
        <v>648</v>
      </c>
      <c r="F1736" s="829">
        <v>1851.9800000000002</v>
      </c>
      <c r="G1736" s="843">
        <v>1587.29</v>
      </c>
      <c r="H1736" s="832">
        <v>3439.27</v>
      </c>
      <c r="I1736" s="846"/>
      <c r="J1736" s="846"/>
      <c r="K1736" s="846"/>
      <c r="L1736" s="846"/>
      <c r="M1736" s="846"/>
      <c r="N1736" s="846"/>
      <c r="O1736" s="846"/>
      <c r="P1736" s="846"/>
      <c r="Q1736" s="846"/>
      <c r="R1736" s="846"/>
      <c r="S1736" s="846"/>
      <c r="T1736" s="846"/>
    </row>
    <row r="1737" spans="2:20" ht="38.25" hidden="1">
      <c r="B1737" s="828" t="s">
        <v>6615</v>
      </c>
      <c r="C1737" s="828">
        <v>99307</v>
      </c>
      <c r="D1737" s="630" t="s">
        <v>5747</v>
      </c>
      <c r="E1737" s="630" t="s">
        <v>648</v>
      </c>
      <c r="F1737" s="829">
        <v>1201.9399999999998</v>
      </c>
      <c r="G1737" s="843">
        <v>1022.99</v>
      </c>
      <c r="H1737" s="832">
        <v>2224.9299999999998</v>
      </c>
      <c r="I1737" s="846"/>
      <c r="J1737" s="846"/>
      <c r="K1737" s="846"/>
      <c r="L1737" s="846"/>
      <c r="M1737" s="846"/>
      <c r="N1737" s="846"/>
      <c r="O1737" s="846"/>
      <c r="P1737" s="846"/>
      <c r="Q1737" s="846"/>
      <c r="R1737" s="846"/>
      <c r="S1737" s="846"/>
      <c r="T1737" s="846"/>
    </row>
    <row r="1738" spans="2:20" ht="38.25" hidden="1">
      <c r="B1738" s="828" t="s">
        <v>6615</v>
      </c>
      <c r="C1738" s="828">
        <v>99308</v>
      </c>
      <c r="D1738" s="630" t="s">
        <v>7749</v>
      </c>
      <c r="E1738" s="630" t="s">
        <v>646</v>
      </c>
      <c r="F1738" s="829">
        <v>8809.42</v>
      </c>
      <c r="G1738" s="843">
        <v>4296.6000000000004</v>
      </c>
      <c r="H1738" s="832">
        <v>13106.02</v>
      </c>
      <c r="I1738" s="846"/>
      <c r="J1738" s="846"/>
      <c r="K1738" s="846"/>
      <c r="L1738" s="846"/>
      <c r="M1738" s="846"/>
      <c r="N1738" s="846"/>
      <c r="O1738" s="846"/>
      <c r="P1738" s="846"/>
      <c r="Q1738" s="846"/>
      <c r="R1738" s="846"/>
      <c r="S1738" s="846"/>
      <c r="T1738" s="846"/>
    </row>
    <row r="1739" spans="2:20" ht="38.25" hidden="1">
      <c r="B1739" s="828" t="s">
        <v>6615</v>
      </c>
      <c r="C1739" s="828">
        <v>99309</v>
      </c>
      <c r="D1739" s="630" t="s">
        <v>5748</v>
      </c>
      <c r="E1739" s="630" t="s">
        <v>648</v>
      </c>
      <c r="F1739" s="829">
        <v>1983.46</v>
      </c>
      <c r="G1739" s="843">
        <v>1701.24</v>
      </c>
      <c r="H1739" s="832">
        <v>3684.7</v>
      </c>
      <c r="I1739" s="846"/>
      <c r="J1739" s="846"/>
      <c r="K1739" s="846"/>
      <c r="L1739" s="846"/>
      <c r="M1739" s="846"/>
      <c r="N1739" s="846"/>
      <c r="O1739" s="846"/>
      <c r="P1739" s="846"/>
      <c r="Q1739" s="846"/>
      <c r="R1739" s="846"/>
      <c r="S1739" s="846"/>
      <c r="T1739" s="846"/>
    </row>
    <row r="1740" spans="2:20" ht="38.25" hidden="1">
      <c r="B1740" s="833" t="s">
        <v>6615</v>
      </c>
      <c r="C1740" s="828">
        <v>99310</v>
      </c>
      <c r="D1740" s="630" t="s">
        <v>7750</v>
      </c>
      <c r="E1740" s="630" t="s">
        <v>646</v>
      </c>
      <c r="F1740" s="829">
        <v>8970.9800000000014</v>
      </c>
      <c r="G1740" s="843">
        <v>4340.97</v>
      </c>
      <c r="H1740" s="832">
        <v>13311.95</v>
      </c>
      <c r="I1740" s="846"/>
      <c r="J1740" s="846"/>
      <c r="K1740" s="846"/>
      <c r="L1740" s="846"/>
      <c r="M1740" s="846"/>
      <c r="N1740" s="846"/>
      <c r="O1740" s="846"/>
      <c r="P1740" s="846"/>
      <c r="Q1740" s="846"/>
      <c r="R1740" s="846"/>
      <c r="S1740" s="846"/>
      <c r="T1740" s="846"/>
    </row>
    <row r="1741" spans="2:20" ht="38.25" hidden="1">
      <c r="B1741" s="828" t="s">
        <v>6615</v>
      </c>
      <c r="C1741" s="828">
        <v>99311</v>
      </c>
      <c r="D1741" s="630" t="s">
        <v>5749</v>
      </c>
      <c r="E1741" s="630" t="s">
        <v>648</v>
      </c>
      <c r="F1741" s="829">
        <v>1983.46</v>
      </c>
      <c r="G1741" s="843">
        <v>1701.24</v>
      </c>
      <c r="H1741" s="832">
        <v>3684.7</v>
      </c>
      <c r="I1741" s="846"/>
      <c r="J1741" s="846"/>
      <c r="K1741" s="846"/>
      <c r="L1741" s="846"/>
      <c r="M1741" s="846"/>
      <c r="N1741" s="846"/>
      <c r="O1741" s="846"/>
      <c r="P1741" s="846"/>
      <c r="Q1741" s="846"/>
      <c r="R1741" s="846"/>
      <c r="S1741" s="846"/>
      <c r="T1741" s="846"/>
    </row>
    <row r="1742" spans="2:20" ht="38.25" hidden="1">
      <c r="B1742" s="828" t="s">
        <v>6615</v>
      </c>
      <c r="C1742" s="828">
        <v>99312</v>
      </c>
      <c r="D1742" s="630" t="s">
        <v>7751</v>
      </c>
      <c r="E1742" s="630" t="s">
        <v>646</v>
      </c>
      <c r="F1742" s="829">
        <v>4295.59</v>
      </c>
      <c r="G1742" s="843">
        <v>2371.19</v>
      </c>
      <c r="H1742" s="832">
        <v>6666.78</v>
      </c>
      <c r="I1742" s="846"/>
      <c r="J1742" s="846"/>
      <c r="K1742" s="846"/>
      <c r="L1742" s="846"/>
      <c r="M1742" s="846"/>
      <c r="N1742" s="846"/>
      <c r="O1742" s="846"/>
      <c r="P1742" s="846"/>
      <c r="Q1742" s="846"/>
      <c r="R1742" s="846"/>
      <c r="S1742" s="846"/>
      <c r="T1742" s="846"/>
    </row>
    <row r="1743" spans="2:20" ht="38.25" hidden="1">
      <c r="B1743" s="828" t="s">
        <v>6615</v>
      </c>
      <c r="C1743" s="828">
        <v>99313</v>
      </c>
      <c r="D1743" s="630" t="s">
        <v>7752</v>
      </c>
      <c r="E1743" s="630" t="s">
        <v>646</v>
      </c>
      <c r="F1743" s="829">
        <v>10029.630000000001</v>
      </c>
      <c r="G1743" s="830">
        <v>4800.8500000000004</v>
      </c>
      <c r="H1743" s="832">
        <v>14830.48</v>
      </c>
      <c r="I1743" s="846"/>
      <c r="J1743" s="846"/>
      <c r="K1743" s="846"/>
      <c r="L1743" s="846"/>
      <c r="M1743" s="846"/>
      <c r="N1743" s="846"/>
      <c r="O1743" s="846"/>
      <c r="P1743" s="846"/>
      <c r="Q1743" s="846"/>
      <c r="R1743" s="846"/>
      <c r="S1743" s="846"/>
      <c r="T1743" s="846"/>
    </row>
    <row r="1744" spans="2:20" ht="38.25" hidden="1">
      <c r="B1744" s="828" t="s">
        <v>6615</v>
      </c>
      <c r="C1744" s="828">
        <v>99314</v>
      </c>
      <c r="D1744" s="630" t="s">
        <v>5750</v>
      </c>
      <c r="E1744" s="630" t="s">
        <v>648</v>
      </c>
      <c r="F1744" s="829">
        <v>2114.8700000000003</v>
      </c>
      <c r="G1744" s="843">
        <v>1815.2</v>
      </c>
      <c r="H1744" s="832">
        <v>3930.07</v>
      </c>
      <c r="I1744" s="846"/>
      <c r="J1744" s="846"/>
      <c r="K1744" s="846"/>
      <c r="L1744" s="846"/>
      <c r="M1744" s="846"/>
      <c r="N1744" s="846"/>
      <c r="O1744" s="846"/>
      <c r="P1744" s="846"/>
      <c r="Q1744" s="846"/>
      <c r="R1744" s="846"/>
      <c r="S1744" s="846"/>
      <c r="T1744" s="846"/>
    </row>
    <row r="1745" spans="2:20" ht="38.25" hidden="1">
      <c r="B1745" s="828" t="s">
        <v>6615</v>
      </c>
      <c r="C1745" s="828">
        <v>99315</v>
      </c>
      <c r="D1745" s="630" t="s">
        <v>7753</v>
      </c>
      <c r="E1745" s="630" t="s">
        <v>646</v>
      </c>
      <c r="F1745" s="829">
        <v>11249.93</v>
      </c>
      <c r="G1745" s="843">
        <v>5305.11</v>
      </c>
      <c r="H1745" s="832">
        <v>16555.04</v>
      </c>
      <c r="I1745" s="846"/>
      <c r="J1745" s="846"/>
      <c r="K1745" s="846"/>
      <c r="L1745" s="846"/>
      <c r="M1745" s="846"/>
      <c r="N1745" s="846"/>
      <c r="O1745" s="846"/>
      <c r="P1745" s="846"/>
      <c r="Q1745" s="846"/>
      <c r="R1745" s="846"/>
      <c r="S1745" s="846"/>
      <c r="T1745" s="846"/>
    </row>
    <row r="1746" spans="2:20" ht="38.25" hidden="1">
      <c r="B1746" s="828" t="s">
        <v>6615</v>
      </c>
      <c r="C1746" s="828">
        <v>99317</v>
      </c>
      <c r="D1746" s="630" t="s">
        <v>5751</v>
      </c>
      <c r="E1746" s="630" t="s">
        <v>648</v>
      </c>
      <c r="F1746" s="829">
        <v>1330.99</v>
      </c>
      <c r="G1746" s="843">
        <v>1135.1199999999999</v>
      </c>
      <c r="H1746" s="832">
        <v>2466.11</v>
      </c>
      <c r="I1746" s="846"/>
      <c r="J1746" s="846"/>
      <c r="K1746" s="846"/>
      <c r="L1746" s="846"/>
      <c r="M1746" s="846"/>
      <c r="N1746" s="846"/>
      <c r="O1746" s="846"/>
      <c r="P1746" s="846"/>
      <c r="Q1746" s="846"/>
      <c r="R1746" s="846"/>
      <c r="S1746" s="846"/>
      <c r="T1746" s="846"/>
    </row>
    <row r="1747" spans="2:20" ht="25.5" hidden="1">
      <c r="B1747" s="828" t="s">
        <v>6615</v>
      </c>
      <c r="C1747" s="828">
        <v>99318</v>
      </c>
      <c r="D1747" s="630" t="s">
        <v>5752</v>
      </c>
      <c r="E1747" s="630" t="s">
        <v>648</v>
      </c>
      <c r="F1747" s="829">
        <v>182.95999999999998</v>
      </c>
      <c r="G1747" s="843">
        <v>17.25</v>
      </c>
      <c r="H1747" s="832">
        <v>200.21</v>
      </c>
      <c r="I1747" s="846"/>
      <c r="J1747" s="846"/>
      <c r="K1747" s="846"/>
      <c r="L1747" s="846"/>
      <c r="M1747" s="846"/>
      <c r="N1747" s="846"/>
      <c r="O1747" s="846"/>
      <c r="P1747" s="846"/>
      <c r="Q1747" s="846"/>
      <c r="R1747" s="846"/>
      <c r="S1747" s="846"/>
      <c r="T1747" s="846"/>
    </row>
    <row r="1748" spans="2:20" ht="38.25" hidden="1">
      <c r="B1748" s="828" t="s">
        <v>6615</v>
      </c>
      <c r="C1748" s="828">
        <v>99319</v>
      </c>
      <c r="D1748" s="630" t="s">
        <v>5753</v>
      </c>
      <c r="E1748" s="630" t="s">
        <v>648</v>
      </c>
      <c r="F1748" s="829">
        <v>528.27999999999986</v>
      </c>
      <c r="G1748" s="843">
        <v>403.53</v>
      </c>
      <c r="H1748" s="832">
        <v>931.81</v>
      </c>
      <c r="I1748" s="846"/>
      <c r="J1748" s="846"/>
      <c r="K1748" s="846"/>
      <c r="L1748" s="846"/>
      <c r="M1748" s="846"/>
      <c r="N1748" s="846"/>
      <c r="O1748" s="846"/>
      <c r="P1748" s="846"/>
      <c r="Q1748" s="846"/>
      <c r="R1748" s="846"/>
      <c r="S1748" s="846"/>
      <c r="T1748" s="846"/>
    </row>
    <row r="1749" spans="2:20" ht="38.25" hidden="1">
      <c r="B1749" s="828" t="s">
        <v>6615</v>
      </c>
      <c r="C1749" s="828">
        <v>99320</v>
      </c>
      <c r="D1749" s="630" t="s">
        <v>7754</v>
      </c>
      <c r="E1749" s="630" t="s">
        <v>646</v>
      </c>
      <c r="F1749" s="829">
        <v>5007.2</v>
      </c>
      <c r="G1749" s="843">
        <v>2699.43</v>
      </c>
      <c r="H1749" s="832">
        <v>7706.63</v>
      </c>
      <c r="I1749" s="846"/>
      <c r="J1749" s="846"/>
      <c r="K1749" s="846"/>
      <c r="L1749" s="846"/>
      <c r="M1749" s="846"/>
      <c r="N1749" s="846"/>
      <c r="O1749" s="846"/>
      <c r="P1749" s="846"/>
      <c r="Q1749" s="846"/>
      <c r="R1749" s="846"/>
      <c r="S1749" s="846"/>
      <c r="T1749" s="846"/>
    </row>
    <row r="1750" spans="2:20" ht="38.25" hidden="1">
      <c r="B1750" s="828" t="s">
        <v>6615</v>
      </c>
      <c r="C1750" s="828">
        <v>99321</v>
      </c>
      <c r="D1750" s="630" t="s">
        <v>5754</v>
      </c>
      <c r="E1750" s="630" t="s">
        <v>648</v>
      </c>
      <c r="F1750" s="829">
        <v>1460.05</v>
      </c>
      <c r="G1750" s="843">
        <v>1247.29</v>
      </c>
      <c r="H1750" s="832">
        <v>2707.34</v>
      </c>
      <c r="I1750" s="846"/>
      <c r="J1750" s="846"/>
      <c r="K1750" s="846"/>
      <c r="L1750" s="846"/>
      <c r="M1750" s="846"/>
      <c r="N1750" s="846"/>
      <c r="O1750" s="846"/>
      <c r="P1750" s="846"/>
      <c r="Q1750" s="846"/>
      <c r="R1750" s="846"/>
      <c r="S1750" s="846"/>
      <c r="T1750" s="846"/>
    </row>
    <row r="1751" spans="2:20" ht="38.25" hidden="1">
      <c r="B1751" s="828" t="s">
        <v>6615</v>
      </c>
      <c r="C1751" s="828">
        <v>99322</v>
      </c>
      <c r="D1751" s="630" t="s">
        <v>7755</v>
      </c>
      <c r="E1751" s="630" t="s">
        <v>646</v>
      </c>
      <c r="F1751" s="829">
        <v>5660.95</v>
      </c>
      <c r="G1751" s="843">
        <v>3027.71</v>
      </c>
      <c r="H1751" s="832">
        <v>8688.66</v>
      </c>
      <c r="I1751" s="846"/>
      <c r="J1751" s="846"/>
      <c r="K1751" s="846"/>
      <c r="L1751" s="846"/>
      <c r="M1751" s="846"/>
      <c r="N1751" s="846"/>
      <c r="O1751" s="846"/>
      <c r="P1751" s="846"/>
      <c r="Q1751" s="846"/>
      <c r="R1751" s="846"/>
      <c r="S1751" s="846"/>
      <c r="T1751" s="846"/>
    </row>
    <row r="1752" spans="2:20" ht="38.25" hidden="1">
      <c r="B1752" s="828" t="s">
        <v>6615</v>
      </c>
      <c r="C1752" s="828">
        <v>99323</v>
      </c>
      <c r="D1752" s="630" t="s">
        <v>5755</v>
      </c>
      <c r="E1752" s="630" t="s">
        <v>648</v>
      </c>
      <c r="F1752" s="829">
        <v>1589.1000000000001</v>
      </c>
      <c r="G1752" s="843">
        <v>1359.44</v>
      </c>
      <c r="H1752" s="832">
        <v>2948.54</v>
      </c>
      <c r="I1752" s="846"/>
      <c r="J1752" s="846"/>
      <c r="K1752" s="846"/>
      <c r="L1752" s="846"/>
      <c r="M1752" s="846"/>
      <c r="N1752" s="846"/>
      <c r="O1752" s="846"/>
      <c r="P1752" s="846"/>
      <c r="Q1752" s="846"/>
      <c r="R1752" s="846"/>
      <c r="S1752" s="846"/>
      <c r="T1752" s="846"/>
    </row>
    <row r="1753" spans="2:20" ht="38.25" hidden="1">
      <c r="B1753" s="828" t="s">
        <v>6615</v>
      </c>
      <c r="C1753" s="828">
        <v>99324</v>
      </c>
      <c r="D1753" s="630" t="s">
        <v>7756</v>
      </c>
      <c r="E1753" s="630" t="s">
        <v>646</v>
      </c>
      <c r="F1753" s="829">
        <v>6314.7499999999991</v>
      </c>
      <c r="G1753" s="830">
        <v>3355.94</v>
      </c>
      <c r="H1753" s="831">
        <v>9670.69</v>
      </c>
      <c r="I1753" s="846"/>
      <c r="J1753" s="846"/>
      <c r="K1753" s="846"/>
      <c r="L1753" s="846"/>
      <c r="M1753" s="846"/>
      <c r="N1753" s="846"/>
      <c r="O1753" s="846"/>
      <c r="P1753" s="846"/>
      <c r="Q1753" s="846"/>
      <c r="R1753" s="846"/>
      <c r="S1753" s="846"/>
      <c r="T1753" s="846"/>
    </row>
    <row r="1754" spans="2:20" ht="38.25" hidden="1">
      <c r="B1754" s="828" t="s">
        <v>6615</v>
      </c>
      <c r="C1754" s="828">
        <v>99325</v>
      </c>
      <c r="D1754" s="630" t="s">
        <v>5756</v>
      </c>
      <c r="E1754" s="630" t="s">
        <v>648</v>
      </c>
      <c r="F1754" s="829">
        <v>1720.4999999999998</v>
      </c>
      <c r="G1754" s="830">
        <v>1473.37</v>
      </c>
      <c r="H1754" s="831">
        <v>3193.87</v>
      </c>
      <c r="I1754" s="846"/>
      <c r="J1754" s="846"/>
      <c r="K1754" s="846"/>
      <c r="L1754" s="846"/>
      <c r="M1754" s="846"/>
      <c r="N1754" s="846"/>
      <c r="O1754" s="846"/>
      <c r="P1754" s="846"/>
      <c r="Q1754" s="846"/>
      <c r="R1754" s="846"/>
      <c r="S1754" s="846"/>
      <c r="T1754" s="846"/>
    </row>
    <row r="1755" spans="2:20" ht="38.25" hidden="1">
      <c r="B1755" s="828" t="s">
        <v>6615</v>
      </c>
      <c r="C1755" s="828">
        <v>99326</v>
      </c>
      <c r="D1755" s="630" t="s">
        <v>7757</v>
      </c>
      <c r="E1755" s="630" t="s">
        <v>646</v>
      </c>
      <c r="F1755" s="829">
        <v>5182.5</v>
      </c>
      <c r="G1755" s="843">
        <v>2674.77</v>
      </c>
      <c r="H1755" s="832">
        <v>7857.27</v>
      </c>
      <c r="I1755" s="846"/>
      <c r="J1755" s="846"/>
      <c r="K1755" s="846"/>
      <c r="L1755" s="846"/>
      <c r="M1755" s="846"/>
      <c r="N1755" s="846"/>
      <c r="O1755" s="846"/>
      <c r="P1755" s="846"/>
      <c r="Q1755" s="846"/>
      <c r="R1755" s="846"/>
      <c r="S1755" s="846"/>
      <c r="T1755" s="846"/>
    </row>
    <row r="1756" spans="2:20" ht="38.25" hidden="1">
      <c r="B1756" s="828" t="s">
        <v>6615</v>
      </c>
      <c r="C1756" s="828">
        <v>99327</v>
      </c>
      <c r="D1756" s="630" t="s">
        <v>5757</v>
      </c>
      <c r="E1756" s="630" t="s">
        <v>648</v>
      </c>
      <c r="F1756" s="829">
        <v>2223.0300000000002</v>
      </c>
      <c r="G1756" s="843">
        <v>1911.44</v>
      </c>
      <c r="H1756" s="832">
        <v>4134.47</v>
      </c>
      <c r="I1756" s="846"/>
      <c r="J1756" s="846"/>
      <c r="K1756" s="846"/>
      <c r="L1756" s="846"/>
      <c r="M1756" s="846"/>
      <c r="N1756" s="846"/>
      <c r="O1756" s="846"/>
      <c r="P1756" s="846"/>
      <c r="Q1756" s="846"/>
      <c r="R1756" s="846"/>
      <c r="S1756" s="846"/>
      <c r="T1756" s="846"/>
    </row>
    <row r="1757" spans="2:20" ht="38.25" hidden="1">
      <c r="B1757" s="828" t="s">
        <v>6615</v>
      </c>
      <c r="C1757" s="828">
        <v>101800</v>
      </c>
      <c r="D1757" s="630" t="s">
        <v>5847</v>
      </c>
      <c r="E1757" s="630" t="s">
        <v>646</v>
      </c>
      <c r="F1757" s="829">
        <v>1146.21</v>
      </c>
      <c r="G1757" s="843">
        <v>432.47</v>
      </c>
      <c r="H1757" s="832">
        <v>1578.68</v>
      </c>
      <c r="I1757" s="846"/>
      <c r="J1757" s="846"/>
      <c r="K1757" s="846"/>
      <c r="L1757" s="846"/>
      <c r="M1757" s="846"/>
      <c r="N1757" s="846"/>
      <c r="O1757" s="846"/>
      <c r="P1757" s="846"/>
      <c r="Q1757" s="846"/>
      <c r="R1757" s="846"/>
      <c r="S1757" s="846"/>
      <c r="T1757" s="846"/>
    </row>
    <row r="1758" spans="2:20" ht="38.25" hidden="1">
      <c r="B1758" s="828" t="s">
        <v>6615</v>
      </c>
      <c r="C1758" s="828">
        <v>101801</v>
      </c>
      <c r="D1758" s="630" t="s">
        <v>5848</v>
      </c>
      <c r="E1758" s="630" t="s">
        <v>646</v>
      </c>
      <c r="F1758" s="829">
        <v>810.92</v>
      </c>
      <c r="G1758" s="843">
        <v>268.99</v>
      </c>
      <c r="H1758" s="832">
        <v>1079.9100000000001</v>
      </c>
      <c r="I1758" s="846"/>
      <c r="J1758" s="846"/>
      <c r="K1758" s="846"/>
      <c r="L1758" s="846"/>
      <c r="M1758" s="846"/>
      <c r="N1758" s="846"/>
      <c r="O1758" s="846"/>
      <c r="P1758" s="846"/>
      <c r="Q1758" s="846"/>
      <c r="R1758" s="846"/>
      <c r="S1758" s="846"/>
      <c r="T1758" s="846"/>
    </row>
    <row r="1759" spans="2:20" ht="38.25" hidden="1">
      <c r="B1759" s="828" t="s">
        <v>6615</v>
      </c>
      <c r="C1759" s="828">
        <v>101806</v>
      </c>
      <c r="D1759" s="630" t="s">
        <v>9294</v>
      </c>
      <c r="E1759" s="630" t="s">
        <v>646</v>
      </c>
      <c r="F1759" s="829">
        <v>293.29000000000002</v>
      </c>
      <c r="G1759" s="843">
        <v>273.36</v>
      </c>
      <c r="H1759" s="832">
        <v>566.65</v>
      </c>
      <c r="I1759" s="846"/>
      <c r="J1759" s="846"/>
      <c r="K1759" s="846"/>
      <c r="L1759" s="846"/>
      <c r="M1759" s="846"/>
      <c r="N1759" s="846"/>
      <c r="O1759" s="846"/>
      <c r="P1759" s="846"/>
      <c r="Q1759" s="846"/>
      <c r="R1759" s="846"/>
      <c r="S1759" s="846"/>
      <c r="T1759" s="846"/>
    </row>
    <row r="1760" spans="2:20" ht="38.25" hidden="1">
      <c r="B1760" s="828" t="s">
        <v>6615</v>
      </c>
      <c r="C1760" s="828">
        <v>101807</v>
      </c>
      <c r="D1760" s="630" t="s">
        <v>9295</v>
      </c>
      <c r="E1760" s="630" t="s">
        <v>646</v>
      </c>
      <c r="F1760" s="829">
        <v>250.77</v>
      </c>
      <c r="G1760" s="843">
        <v>248.27</v>
      </c>
      <c r="H1760" s="832">
        <v>499.04</v>
      </c>
      <c r="I1760" s="846"/>
      <c r="J1760" s="846"/>
      <c r="K1760" s="846"/>
      <c r="L1760" s="846"/>
      <c r="M1760" s="846"/>
      <c r="N1760" s="846"/>
      <c r="O1760" s="846"/>
      <c r="P1760" s="846"/>
      <c r="Q1760" s="846"/>
      <c r="R1760" s="846"/>
      <c r="S1760" s="846"/>
      <c r="T1760" s="846"/>
    </row>
    <row r="1761" spans="2:20" ht="38.25" hidden="1">
      <c r="B1761" s="828" t="s">
        <v>6615</v>
      </c>
      <c r="C1761" s="828">
        <v>101808</v>
      </c>
      <c r="D1761" s="630" t="s">
        <v>9296</v>
      </c>
      <c r="E1761" s="630" t="s">
        <v>646</v>
      </c>
      <c r="F1761" s="829">
        <v>332.23</v>
      </c>
      <c r="G1761" s="843">
        <v>60.74</v>
      </c>
      <c r="H1761" s="832">
        <v>392.97</v>
      </c>
      <c r="I1761" s="846"/>
      <c r="J1761" s="846"/>
      <c r="K1761" s="846"/>
      <c r="L1761" s="846"/>
      <c r="M1761" s="846"/>
      <c r="N1761" s="846"/>
      <c r="O1761" s="846"/>
      <c r="P1761" s="846"/>
      <c r="Q1761" s="846"/>
      <c r="R1761" s="846"/>
      <c r="S1761" s="846"/>
      <c r="T1761" s="846"/>
    </row>
    <row r="1762" spans="2:20" ht="38.25" hidden="1">
      <c r="B1762" s="828" t="s">
        <v>6615</v>
      </c>
      <c r="C1762" s="828">
        <v>101809</v>
      </c>
      <c r="D1762" s="630" t="s">
        <v>5853</v>
      </c>
      <c r="E1762" s="630" t="s">
        <v>646</v>
      </c>
      <c r="F1762" s="829">
        <v>1959.44</v>
      </c>
      <c r="G1762" s="843">
        <v>980.35</v>
      </c>
      <c r="H1762" s="832">
        <v>2939.79</v>
      </c>
      <c r="I1762" s="846"/>
      <c r="J1762" s="846"/>
      <c r="K1762" s="846"/>
      <c r="L1762" s="846"/>
      <c r="M1762" s="846"/>
      <c r="N1762" s="846"/>
      <c r="O1762" s="846"/>
      <c r="P1762" s="846"/>
      <c r="Q1762" s="846"/>
      <c r="R1762" s="846"/>
      <c r="S1762" s="846"/>
      <c r="T1762" s="846"/>
    </row>
    <row r="1763" spans="2:20" ht="38.25" hidden="1">
      <c r="B1763" s="828" t="s">
        <v>6615</v>
      </c>
      <c r="C1763" s="828">
        <v>102139</v>
      </c>
      <c r="D1763" s="630" t="s">
        <v>7758</v>
      </c>
      <c r="E1763" s="630" t="s">
        <v>646</v>
      </c>
      <c r="F1763" s="829">
        <v>1135.3700000000001</v>
      </c>
      <c r="G1763" s="830">
        <v>310.04000000000002</v>
      </c>
      <c r="H1763" s="832">
        <v>1445.41</v>
      </c>
      <c r="I1763" s="846"/>
      <c r="J1763" s="846"/>
      <c r="K1763" s="846"/>
      <c r="L1763" s="846"/>
      <c r="M1763" s="846"/>
      <c r="N1763" s="846"/>
      <c r="O1763" s="846"/>
      <c r="P1763" s="846"/>
      <c r="Q1763" s="846"/>
      <c r="R1763" s="846"/>
      <c r="S1763" s="846"/>
      <c r="T1763" s="846"/>
    </row>
    <row r="1764" spans="2:20" ht="38.25" hidden="1">
      <c r="B1764" s="828" t="s">
        <v>6615</v>
      </c>
      <c r="C1764" s="828">
        <v>102141</v>
      </c>
      <c r="D1764" s="630" t="s">
        <v>7759</v>
      </c>
      <c r="E1764" s="630" t="s">
        <v>646</v>
      </c>
      <c r="F1764" s="829">
        <v>1778.31</v>
      </c>
      <c r="G1764" s="830">
        <v>446.12</v>
      </c>
      <c r="H1764" s="832">
        <v>2224.4299999999998</v>
      </c>
      <c r="I1764" s="846"/>
      <c r="J1764" s="846"/>
      <c r="K1764" s="846"/>
      <c r="L1764" s="846"/>
      <c r="M1764" s="846"/>
      <c r="N1764" s="846"/>
      <c r="O1764" s="846"/>
      <c r="P1764" s="846"/>
      <c r="Q1764" s="846"/>
      <c r="R1764" s="846"/>
      <c r="S1764" s="846"/>
      <c r="T1764" s="846"/>
    </row>
    <row r="1765" spans="2:20" ht="38.25" hidden="1">
      <c r="B1765" s="828" t="s">
        <v>6615</v>
      </c>
      <c r="C1765" s="828">
        <v>102142</v>
      </c>
      <c r="D1765" s="630" t="s">
        <v>7760</v>
      </c>
      <c r="E1765" s="630" t="s">
        <v>646</v>
      </c>
      <c r="F1765" s="829">
        <v>1743.05</v>
      </c>
      <c r="G1765" s="830">
        <v>444.63</v>
      </c>
      <c r="H1765" s="831">
        <v>2187.6799999999998</v>
      </c>
      <c r="I1765" s="846"/>
      <c r="J1765" s="846"/>
      <c r="K1765" s="846"/>
      <c r="L1765" s="846"/>
      <c r="M1765" s="846"/>
      <c r="N1765" s="846"/>
      <c r="O1765" s="846"/>
      <c r="P1765" s="846"/>
      <c r="Q1765" s="846"/>
      <c r="R1765" s="846"/>
      <c r="S1765" s="846"/>
      <c r="T1765" s="846"/>
    </row>
    <row r="1766" spans="2:20" ht="38.25" hidden="1">
      <c r="B1766" s="828" t="s">
        <v>6615</v>
      </c>
      <c r="C1766" s="828">
        <v>102457</v>
      </c>
      <c r="D1766" s="630" t="s">
        <v>7761</v>
      </c>
      <c r="E1766" s="630" t="s">
        <v>646</v>
      </c>
      <c r="F1766" s="829">
        <v>1109.0800000000002</v>
      </c>
      <c r="G1766" s="830">
        <v>291.41000000000003</v>
      </c>
      <c r="H1766" s="831">
        <v>1400.49</v>
      </c>
      <c r="I1766" s="846"/>
      <c r="J1766" s="846"/>
      <c r="K1766" s="846"/>
      <c r="L1766" s="846"/>
      <c r="M1766" s="846"/>
      <c r="N1766" s="846"/>
      <c r="O1766" s="846"/>
      <c r="P1766" s="846"/>
      <c r="Q1766" s="846"/>
      <c r="R1766" s="846"/>
      <c r="S1766" s="846"/>
      <c r="T1766" s="846"/>
    </row>
    <row r="1767" spans="2:20" ht="25.5" hidden="1">
      <c r="B1767" s="828" t="s">
        <v>6585</v>
      </c>
      <c r="C1767" s="828">
        <v>94263</v>
      </c>
      <c r="D1767" s="630" t="s">
        <v>3080</v>
      </c>
      <c r="E1767" s="630" t="s">
        <v>648</v>
      </c>
      <c r="F1767" s="829">
        <v>18.439999999999998</v>
      </c>
      <c r="G1767" s="830">
        <v>14.91</v>
      </c>
      <c r="H1767" s="831">
        <v>33.35</v>
      </c>
      <c r="I1767" s="846"/>
      <c r="J1767" s="846"/>
      <c r="K1767" s="846"/>
      <c r="L1767" s="846"/>
      <c r="M1767" s="846"/>
      <c r="N1767" s="846"/>
      <c r="O1767" s="846"/>
      <c r="P1767" s="846"/>
      <c r="Q1767" s="846"/>
      <c r="R1767" s="846"/>
      <c r="S1767" s="846"/>
      <c r="T1767" s="846"/>
    </row>
    <row r="1768" spans="2:20" ht="25.5" hidden="1">
      <c r="B1768" s="828" t="s">
        <v>6585</v>
      </c>
      <c r="C1768" s="828">
        <v>94264</v>
      </c>
      <c r="D1768" s="630" t="s">
        <v>3081</v>
      </c>
      <c r="E1768" s="630" t="s">
        <v>648</v>
      </c>
      <c r="F1768" s="829">
        <v>19.73</v>
      </c>
      <c r="G1768" s="830">
        <v>17.760000000000002</v>
      </c>
      <c r="H1768" s="832">
        <v>37.49</v>
      </c>
      <c r="I1768" s="846"/>
      <c r="J1768" s="846"/>
      <c r="K1768" s="846"/>
      <c r="L1768" s="846"/>
      <c r="M1768" s="846"/>
      <c r="N1768" s="846"/>
      <c r="O1768" s="846"/>
      <c r="P1768" s="846"/>
      <c r="Q1768" s="846"/>
      <c r="R1768" s="846"/>
      <c r="S1768" s="846"/>
      <c r="T1768" s="846"/>
    </row>
    <row r="1769" spans="2:20" ht="25.5" hidden="1">
      <c r="B1769" s="828" t="s">
        <v>6585</v>
      </c>
      <c r="C1769" s="828">
        <v>94265</v>
      </c>
      <c r="D1769" s="630" t="s">
        <v>3082</v>
      </c>
      <c r="E1769" s="630" t="s">
        <v>648</v>
      </c>
      <c r="F1769" s="829">
        <v>26.61</v>
      </c>
      <c r="G1769" s="830">
        <v>15.87</v>
      </c>
      <c r="H1769" s="832">
        <v>42.48</v>
      </c>
      <c r="I1769" s="846"/>
      <c r="J1769" s="846"/>
      <c r="K1769" s="846"/>
      <c r="L1769" s="846"/>
      <c r="M1769" s="846"/>
      <c r="N1769" s="846"/>
      <c r="O1769" s="846"/>
      <c r="P1769" s="846"/>
      <c r="Q1769" s="846"/>
      <c r="R1769" s="846"/>
      <c r="S1769" s="846"/>
      <c r="T1769" s="846"/>
    </row>
    <row r="1770" spans="2:20" ht="25.5" hidden="1">
      <c r="B1770" s="828" t="s">
        <v>6585</v>
      </c>
      <c r="C1770" s="828">
        <v>94266</v>
      </c>
      <c r="D1770" s="630" t="s">
        <v>3083</v>
      </c>
      <c r="E1770" s="630" t="s">
        <v>648</v>
      </c>
      <c r="F1770" s="829">
        <v>28.049999999999997</v>
      </c>
      <c r="G1770" s="830">
        <v>19.149999999999999</v>
      </c>
      <c r="H1770" s="832">
        <v>47.2</v>
      </c>
      <c r="I1770" s="846"/>
      <c r="J1770" s="846"/>
      <c r="K1770" s="846"/>
      <c r="L1770" s="846"/>
      <c r="M1770" s="846"/>
      <c r="N1770" s="846"/>
      <c r="O1770" s="846"/>
      <c r="P1770" s="846"/>
      <c r="Q1770" s="846"/>
      <c r="R1770" s="846"/>
      <c r="S1770" s="846"/>
      <c r="T1770" s="846"/>
    </row>
    <row r="1771" spans="2:20" ht="38.25" hidden="1">
      <c r="B1771" s="828" t="s">
        <v>6585</v>
      </c>
      <c r="C1771" s="828">
        <v>94267</v>
      </c>
      <c r="D1771" s="630" t="s">
        <v>3084</v>
      </c>
      <c r="E1771" s="630" t="s">
        <v>648</v>
      </c>
      <c r="F1771" s="829">
        <v>33</v>
      </c>
      <c r="G1771" s="830">
        <v>16.77</v>
      </c>
      <c r="H1771" s="832">
        <v>49.77</v>
      </c>
      <c r="I1771" s="846"/>
      <c r="J1771" s="846"/>
      <c r="K1771" s="846"/>
      <c r="L1771" s="846"/>
      <c r="M1771" s="846"/>
      <c r="N1771" s="846"/>
      <c r="O1771" s="846"/>
      <c r="P1771" s="846"/>
      <c r="Q1771" s="846"/>
      <c r="R1771" s="846"/>
      <c r="S1771" s="846"/>
      <c r="T1771" s="846"/>
    </row>
    <row r="1772" spans="2:20" ht="38.25" hidden="1">
      <c r="B1772" s="828" t="s">
        <v>6585</v>
      </c>
      <c r="C1772" s="828">
        <v>94268</v>
      </c>
      <c r="D1772" s="630" t="s">
        <v>3085</v>
      </c>
      <c r="E1772" s="630" t="s">
        <v>648</v>
      </c>
      <c r="F1772" s="829">
        <v>34.6</v>
      </c>
      <c r="G1772" s="830">
        <v>20.37</v>
      </c>
      <c r="H1772" s="832">
        <v>54.97</v>
      </c>
      <c r="I1772" s="846"/>
      <c r="J1772" s="846"/>
      <c r="K1772" s="846"/>
      <c r="L1772" s="846"/>
      <c r="M1772" s="846"/>
      <c r="N1772" s="846"/>
      <c r="O1772" s="846"/>
      <c r="P1772" s="846"/>
      <c r="Q1772" s="846"/>
      <c r="R1772" s="846"/>
      <c r="S1772" s="846"/>
      <c r="T1772" s="846"/>
    </row>
    <row r="1773" spans="2:20" ht="38.25" hidden="1">
      <c r="B1773" s="828" t="s">
        <v>6585</v>
      </c>
      <c r="C1773" s="828">
        <v>94269</v>
      </c>
      <c r="D1773" s="630" t="s">
        <v>3086</v>
      </c>
      <c r="E1773" s="630" t="s">
        <v>648</v>
      </c>
      <c r="F1773" s="829">
        <v>49.54</v>
      </c>
      <c r="G1773" s="830">
        <v>20.2</v>
      </c>
      <c r="H1773" s="831">
        <v>69.739999999999995</v>
      </c>
      <c r="I1773" s="846"/>
      <c r="J1773" s="846"/>
      <c r="K1773" s="846"/>
      <c r="L1773" s="846"/>
      <c r="M1773" s="846"/>
      <c r="N1773" s="846"/>
      <c r="O1773" s="846"/>
      <c r="P1773" s="846"/>
      <c r="Q1773" s="846"/>
      <c r="R1773" s="846"/>
      <c r="S1773" s="846"/>
      <c r="T1773" s="846"/>
    </row>
    <row r="1774" spans="2:20" ht="38.25" hidden="1">
      <c r="B1774" s="828" t="s">
        <v>6585</v>
      </c>
      <c r="C1774" s="828">
        <v>94270</v>
      </c>
      <c r="D1774" s="630" t="s">
        <v>3087</v>
      </c>
      <c r="E1774" s="630" t="s">
        <v>648</v>
      </c>
      <c r="F1774" s="829">
        <v>51.730000000000004</v>
      </c>
      <c r="G1774" s="830">
        <v>25.25</v>
      </c>
      <c r="H1774" s="831">
        <v>76.98</v>
      </c>
      <c r="I1774" s="846"/>
      <c r="J1774" s="846"/>
      <c r="K1774" s="846"/>
      <c r="L1774" s="846"/>
      <c r="M1774" s="846"/>
      <c r="N1774" s="846"/>
      <c r="O1774" s="846"/>
      <c r="P1774" s="846"/>
      <c r="Q1774" s="846"/>
      <c r="R1774" s="846"/>
      <c r="S1774" s="846"/>
      <c r="T1774" s="846"/>
    </row>
    <row r="1775" spans="2:20" ht="38.25" hidden="1">
      <c r="B1775" s="828" t="s">
        <v>6585</v>
      </c>
      <c r="C1775" s="828">
        <v>94271</v>
      </c>
      <c r="D1775" s="630" t="s">
        <v>3088</v>
      </c>
      <c r="E1775" s="630" t="s">
        <v>648</v>
      </c>
      <c r="F1775" s="829">
        <v>60.61</v>
      </c>
      <c r="G1775" s="830">
        <v>24.28</v>
      </c>
      <c r="H1775" s="831">
        <v>84.89</v>
      </c>
      <c r="I1775" s="846"/>
      <c r="J1775" s="846"/>
      <c r="K1775" s="846"/>
      <c r="L1775" s="846"/>
      <c r="M1775" s="846"/>
      <c r="N1775" s="846"/>
      <c r="O1775" s="846"/>
      <c r="P1775" s="846"/>
      <c r="Q1775" s="846"/>
      <c r="R1775" s="846"/>
      <c r="S1775" s="846"/>
      <c r="T1775" s="846"/>
    </row>
    <row r="1776" spans="2:20" ht="38.25" hidden="1">
      <c r="B1776" s="828" t="s">
        <v>6585</v>
      </c>
      <c r="C1776" s="828">
        <v>94272</v>
      </c>
      <c r="D1776" s="630" t="s">
        <v>3089</v>
      </c>
      <c r="E1776" s="630" t="s">
        <v>648</v>
      </c>
      <c r="F1776" s="829">
        <v>63.54</v>
      </c>
      <c r="G1776" s="830">
        <v>31</v>
      </c>
      <c r="H1776" s="831">
        <v>94.54</v>
      </c>
      <c r="I1776" s="846"/>
      <c r="J1776" s="846"/>
      <c r="K1776" s="846"/>
      <c r="L1776" s="846"/>
      <c r="M1776" s="846"/>
      <c r="N1776" s="846"/>
      <c r="O1776" s="846"/>
      <c r="P1776" s="846"/>
      <c r="Q1776" s="846"/>
      <c r="R1776" s="846"/>
      <c r="S1776" s="846"/>
      <c r="T1776" s="846"/>
    </row>
    <row r="1777" spans="2:20" ht="51" hidden="1">
      <c r="B1777" s="828" t="s">
        <v>6585</v>
      </c>
      <c r="C1777" s="828">
        <v>94273</v>
      </c>
      <c r="D1777" s="630" t="s">
        <v>1573</v>
      </c>
      <c r="E1777" s="630" t="s">
        <v>648</v>
      </c>
      <c r="F1777" s="829">
        <v>35.31</v>
      </c>
      <c r="G1777" s="830">
        <v>16.66</v>
      </c>
      <c r="H1777" s="831">
        <v>51.97</v>
      </c>
      <c r="I1777" s="846"/>
      <c r="J1777" s="846"/>
      <c r="K1777" s="846"/>
      <c r="L1777" s="846"/>
      <c r="M1777" s="846"/>
      <c r="N1777" s="846"/>
      <c r="O1777" s="846"/>
      <c r="P1777" s="846"/>
      <c r="Q1777" s="846"/>
      <c r="R1777" s="846"/>
      <c r="S1777" s="846"/>
      <c r="T1777" s="846"/>
    </row>
    <row r="1778" spans="2:20" ht="51" hidden="1">
      <c r="B1778" s="828" t="s">
        <v>6585</v>
      </c>
      <c r="C1778" s="828">
        <v>94274</v>
      </c>
      <c r="D1778" s="630" t="s">
        <v>1574</v>
      </c>
      <c r="E1778" s="630" t="s">
        <v>648</v>
      </c>
      <c r="F1778" s="829">
        <v>36.46</v>
      </c>
      <c r="G1778" s="830">
        <v>20.37</v>
      </c>
      <c r="H1778" s="831">
        <v>56.83</v>
      </c>
      <c r="I1778" s="846"/>
      <c r="J1778" s="846"/>
      <c r="K1778" s="846"/>
      <c r="L1778" s="846"/>
      <c r="M1778" s="846"/>
      <c r="N1778" s="846"/>
      <c r="O1778" s="846"/>
      <c r="P1778" s="846"/>
      <c r="Q1778" s="846"/>
      <c r="R1778" s="846"/>
      <c r="S1778" s="846"/>
      <c r="T1778" s="846"/>
    </row>
    <row r="1779" spans="2:20" ht="51" hidden="1">
      <c r="B1779" s="828" t="s">
        <v>6585</v>
      </c>
      <c r="C1779" s="828">
        <v>94275</v>
      </c>
      <c r="D1779" s="630" t="s">
        <v>1575</v>
      </c>
      <c r="E1779" s="630" t="s">
        <v>648</v>
      </c>
      <c r="F1779" s="829">
        <v>34.39</v>
      </c>
      <c r="G1779" s="830">
        <v>15.1</v>
      </c>
      <c r="H1779" s="831">
        <v>49.49</v>
      </c>
      <c r="I1779" s="846"/>
      <c r="J1779" s="846"/>
      <c r="K1779" s="846"/>
      <c r="L1779" s="846"/>
      <c r="M1779" s="846"/>
      <c r="N1779" s="846"/>
      <c r="O1779" s="846"/>
      <c r="P1779" s="846"/>
      <c r="Q1779" s="846"/>
      <c r="R1779" s="846"/>
      <c r="S1779" s="846"/>
      <c r="T1779" s="846"/>
    </row>
    <row r="1780" spans="2:20" ht="51" hidden="1">
      <c r="B1780" s="828" t="s">
        <v>6585</v>
      </c>
      <c r="C1780" s="828">
        <v>94276</v>
      </c>
      <c r="D1780" s="630" t="s">
        <v>1721</v>
      </c>
      <c r="E1780" s="630" t="s">
        <v>648</v>
      </c>
      <c r="F1780" s="829">
        <v>35.549999999999997</v>
      </c>
      <c r="G1780" s="830">
        <v>18.809999999999999</v>
      </c>
      <c r="H1780" s="831">
        <v>54.36</v>
      </c>
      <c r="I1780" s="846"/>
      <c r="J1780" s="846"/>
      <c r="K1780" s="846"/>
      <c r="L1780" s="846"/>
      <c r="M1780" s="846"/>
      <c r="N1780" s="846"/>
      <c r="O1780" s="846"/>
      <c r="P1780" s="846"/>
      <c r="Q1780" s="846"/>
      <c r="R1780" s="846"/>
      <c r="S1780" s="846"/>
      <c r="T1780" s="846"/>
    </row>
    <row r="1781" spans="2:20" ht="51" hidden="1">
      <c r="B1781" s="828" t="s">
        <v>6585</v>
      </c>
      <c r="C1781" s="828">
        <v>94277</v>
      </c>
      <c r="D1781" s="630" t="s">
        <v>5484</v>
      </c>
      <c r="E1781" s="630" t="s">
        <v>648</v>
      </c>
      <c r="F1781" s="829">
        <v>27.53</v>
      </c>
      <c r="G1781" s="830">
        <v>13.96</v>
      </c>
      <c r="H1781" s="831">
        <v>41.49</v>
      </c>
      <c r="I1781" s="846"/>
      <c r="J1781" s="846"/>
      <c r="K1781" s="846"/>
      <c r="L1781" s="846"/>
      <c r="M1781" s="846"/>
      <c r="N1781" s="846"/>
      <c r="O1781" s="846"/>
      <c r="P1781" s="846"/>
      <c r="Q1781" s="846"/>
      <c r="R1781" s="846"/>
      <c r="S1781" s="846"/>
      <c r="T1781" s="846"/>
    </row>
    <row r="1782" spans="2:20" ht="51" hidden="1">
      <c r="B1782" s="828" t="s">
        <v>6585</v>
      </c>
      <c r="C1782" s="828">
        <v>94278</v>
      </c>
      <c r="D1782" s="630" t="s">
        <v>5485</v>
      </c>
      <c r="E1782" s="630" t="s">
        <v>648</v>
      </c>
      <c r="F1782" s="829">
        <v>28.71</v>
      </c>
      <c r="G1782" s="830">
        <v>17.649999999999999</v>
      </c>
      <c r="H1782" s="831">
        <v>46.36</v>
      </c>
      <c r="I1782" s="846"/>
      <c r="J1782" s="846"/>
      <c r="K1782" s="846"/>
      <c r="L1782" s="846"/>
      <c r="M1782" s="846"/>
      <c r="N1782" s="846"/>
      <c r="O1782" s="846"/>
      <c r="P1782" s="846"/>
      <c r="Q1782" s="846"/>
      <c r="R1782" s="846"/>
      <c r="S1782" s="846"/>
      <c r="T1782" s="846"/>
    </row>
    <row r="1783" spans="2:20" ht="51" hidden="1">
      <c r="B1783" s="828" t="s">
        <v>6585</v>
      </c>
      <c r="C1783" s="828">
        <v>94279</v>
      </c>
      <c r="D1783" s="630" t="s">
        <v>5486</v>
      </c>
      <c r="E1783" s="630" t="s">
        <v>648</v>
      </c>
      <c r="F1783" s="829">
        <v>34.1</v>
      </c>
      <c r="G1783" s="830">
        <v>12.82</v>
      </c>
      <c r="H1783" s="831">
        <v>46.92</v>
      </c>
      <c r="I1783" s="846"/>
      <c r="J1783" s="846"/>
      <c r="K1783" s="846"/>
      <c r="L1783" s="846"/>
      <c r="M1783" s="846"/>
      <c r="N1783" s="846"/>
      <c r="O1783" s="846"/>
      <c r="P1783" s="846"/>
      <c r="Q1783" s="846"/>
      <c r="R1783" s="846"/>
      <c r="S1783" s="846"/>
      <c r="T1783" s="846"/>
    </row>
    <row r="1784" spans="2:20" ht="51" hidden="1">
      <c r="B1784" s="828" t="s">
        <v>6585</v>
      </c>
      <c r="C1784" s="828">
        <v>94280</v>
      </c>
      <c r="D1784" s="630" t="s">
        <v>5487</v>
      </c>
      <c r="E1784" s="630" t="s">
        <v>648</v>
      </c>
      <c r="F1784" s="829">
        <v>35.270000000000003</v>
      </c>
      <c r="G1784" s="830">
        <v>16.52</v>
      </c>
      <c r="H1784" s="831">
        <v>51.79</v>
      </c>
      <c r="I1784" s="846"/>
      <c r="J1784" s="846"/>
      <c r="K1784" s="846"/>
      <c r="L1784" s="846"/>
      <c r="M1784" s="846"/>
      <c r="N1784" s="846"/>
      <c r="O1784" s="846"/>
      <c r="P1784" s="846"/>
      <c r="Q1784" s="846"/>
      <c r="R1784" s="846"/>
      <c r="S1784" s="846"/>
      <c r="T1784" s="846"/>
    </row>
    <row r="1785" spans="2:20" ht="25.5" hidden="1">
      <c r="B1785" s="828" t="s">
        <v>6585</v>
      </c>
      <c r="C1785" s="828">
        <v>94281</v>
      </c>
      <c r="D1785" s="630" t="s">
        <v>1722</v>
      </c>
      <c r="E1785" s="630" t="s">
        <v>648</v>
      </c>
      <c r="F1785" s="829">
        <v>33.840000000000003</v>
      </c>
      <c r="G1785" s="830">
        <v>20.7</v>
      </c>
      <c r="H1785" s="831">
        <v>54.54</v>
      </c>
      <c r="I1785" s="846"/>
      <c r="J1785" s="846"/>
      <c r="K1785" s="846"/>
      <c r="L1785" s="846"/>
      <c r="M1785" s="846"/>
      <c r="N1785" s="846"/>
      <c r="O1785" s="846"/>
      <c r="P1785" s="846"/>
      <c r="Q1785" s="846"/>
      <c r="R1785" s="846"/>
      <c r="S1785" s="846"/>
      <c r="T1785" s="846"/>
    </row>
    <row r="1786" spans="2:20" ht="25.5" hidden="1">
      <c r="B1786" s="828" t="s">
        <v>6585</v>
      </c>
      <c r="C1786" s="828">
        <v>94282</v>
      </c>
      <c r="D1786" s="630" t="s">
        <v>1723</v>
      </c>
      <c r="E1786" s="630" t="s">
        <v>648</v>
      </c>
      <c r="F1786" s="829">
        <v>37.42</v>
      </c>
      <c r="G1786" s="830">
        <v>31.95</v>
      </c>
      <c r="H1786" s="831">
        <v>69.37</v>
      </c>
      <c r="I1786" s="846"/>
      <c r="J1786" s="846"/>
      <c r="K1786" s="846"/>
      <c r="L1786" s="846"/>
      <c r="M1786" s="846"/>
      <c r="N1786" s="846"/>
      <c r="O1786" s="846"/>
      <c r="P1786" s="846"/>
      <c r="Q1786" s="846"/>
      <c r="R1786" s="846"/>
      <c r="S1786" s="846"/>
      <c r="T1786" s="846"/>
    </row>
    <row r="1787" spans="2:20" ht="25.5" hidden="1">
      <c r="B1787" s="828" t="s">
        <v>6585</v>
      </c>
      <c r="C1787" s="828">
        <v>94283</v>
      </c>
      <c r="D1787" s="630" t="s">
        <v>1724</v>
      </c>
      <c r="E1787" s="630" t="s">
        <v>648</v>
      </c>
      <c r="F1787" s="829">
        <v>45.64</v>
      </c>
      <c r="G1787" s="830">
        <v>22.55</v>
      </c>
      <c r="H1787" s="831">
        <v>68.19</v>
      </c>
      <c r="I1787" s="846"/>
      <c r="J1787" s="846"/>
      <c r="K1787" s="846"/>
      <c r="L1787" s="846"/>
      <c r="M1787" s="846"/>
      <c r="N1787" s="846"/>
      <c r="O1787" s="846"/>
      <c r="P1787" s="846"/>
      <c r="Q1787" s="846"/>
      <c r="R1787" s="846"/>
      <c r="S1787" s="846"/>
      <c r="T1787" s="846"/>
    </row>
    <row r="1788" spans="2:20" ht="25.5" hidden="1">
      <c r="B1788" s="828" t="s">
        <v>6585</v>
      </c>
      <c r="C1788" s="828">
        <v>94284</v>
      </c>
      <c r="D1788" s="630" t="s">
        <v>1725</v>
      </c>
      <c r="E1788" s="630" t="s">
        <v>648</v>
      </c>
      <c r="F1788" s="829">
        <v>49.18</v>
      </c>
      <c r="G1788" s="830">
        <v>33.83</v>
      </c>
      <c r="H1788" s="831">
        <v>83.01</v>
      </c>
      <c r="I1788" s="846"/>
      <c r="J1788" s="846"/>
      <c r="K1788" s="846"/>
      <c r="L1788" s="846"/>
      <c r="M1788" s="846"/>
      <c r="N1788" s="846"/>
      <c r="O1788" s="846"/>
      <c r="P1788" s="846"/>
      <c r="Q1788" s="846"/>
      <c r="R1788" s="846"/>
      <c r="S1788" s="846"/>
      <c r="T1788" s="846"/>
    </row>
    <row r="1789" spans="2:20" ht="25.5" hidden="1">
      <c r="B1789" s="828" t="s">
        <v>6585</v>
      </c>
      <c r="C1789" s="828">
        <v>94285</v>
      </c>
      <c r="D1789" s="630" t="s">
        <v>1726</v>
      </c>
      <c r="E1789" s="630" t="s">
        <v>648</v>
      </c>
      <c r="F1789" s="829">
        <v>57.25</v>
      </c>
      <c r="G1789" s="830">
        <v>23.88</v>
      </c>
      <c r="H1789" s="831">
        <v>81.13</v>
      </c>
      <c r="I1789" s="846"/>
      <c r="J1789" s="846"/>
      <c r="K1789" s="846"/>
      <c r="L1789" s="846"/>
      <c r="M1789" s="846"/>
      <c r="N1789" s="846"/>
      <c r="O1789" s="846"/>
      <c r="P1789" s="846"/>
      <c r="Q1789" s="846"/>
      <c r="R1789" s="846"/>
      <c r="S1789" s="846"/>
      <c r="T1789" s="846"/>
    </row>
    <row r="1790" spans="2:20" ht="25.5" hidden="1">
      <c r="B1790" s="828" t="s">
        <v>6585</v>
      </c>
      <c r="C1790" s="828">
        <v>94286</v>
      </c>
      <c r="D1790" s="630" t="s">
        <v>1727</v>
      </c>
      <c r="E1790" s="630" t="s">
        <v>648</v>
      </c>
      <c r="F1790" s="829">
        <v>60.81</v>
      </c>
      <c r="G1790" s="830">
        <v>35.14</v>
      </c>
      <c r="H1790" s="831">
        <v>95.95</v>
      </c>
      <c r="I1790" s="846"/>
      <c r="J1790" s="846"/>
      <c r="K1790" s="846"/>
      <c r="L1790" s="846"/>
      <c r="M1790" s="846"/>
      <c r="N1790" s="846"/>
      <c r="O1790" s="846"/>
      <c r="P1790" s="846"/>
      <c r="Q1790" s="846"/>
      <c r="R1790" s="846"/>
      <c r="S1790" s="846"/>
      <c r="T1790" s="846"/>
    </row>
    <row r="1791" spans="2:20" ht="25.5" hidden="1">
      <c r="B1791" s="828" t="s">
        <v>6585</v>
      </c>
      <c r="C1791" s="828">
        <v>94287</v>
      </c>
      <c r="D1791" s="630" t="s">
        <v>1728</v>
      </c>
      <c r="E1791" s="630" t="s">
        <v>648</v>
      </c>
      <c r="F1791" s="829">
        <v>24.44</v>
      </c>
      <c r="G1791" s="830">
        <v>18.87</v>
      </c>
      <c r="H1791" s="831">
        <v>43.31</v>
      </c>
      <c r="I1791" s="846"/>
      <c r="J1791" s="846"/>
      <c r="K1791" s="846"/>
      <c r="L1791" s="846"/>
      <c r="M1791" s="846"/>
      <c r="N1791" s="846"/>
      <c r="O1791" s="846"/>
      <c r="P1791" s="846"/>
      <c r="Q1791" s="846"/>
      <c r="R1791" s="846"/>
      <c r="S1791" s="846"/>
      <c r="T1791" s="846"/>
    </row>
    <row r="1792" spans="2:20" ht="25.5" hidden="1">
      <c r="B1792" s="828" t="s">
        <v>6585</v>
      </c>
      <c r="C1792" s="828">
        <v>94288</v>
      </c>
      <c r="D1792" s="630" t="s">
        <v>1729</v>
      </c>
      <c r="E1792" s="630" t="s">
        <v>648</v>
      </c>
      <c r="F1792" s="829">
        <v>27.55</v>
      </c>
      <c r="G1792" s="830">
        <v>28.73</v>
      </c>
      <c r="H1792" s="831">
        <v>56.28</v>
      </c>
      <c r="I1792" s="846"/>
      <c r="J1792" s="846"/>
      <c r="K1792" s="846"/>
      <c r="L1792" s="846"/>
      <c r="M1792" s="846"/>
      <c r="N1792" s="846"/>
      <c r="O1792" s="846"/>
      <c r="P1792" s="846"/>
      <c r="Q1792" s="846"/>
      <c r="R1792" s="846"/>
      <c r="S1792" s="846"/>
      <c r="T1792" s="846"/>
    </row>
    <row r="1793" spans="2:20" ht="25.5" hidden="1">
      <c r="B1793" s="828" t="s">
        <v>6585</v>
      </c>
      <c r="C1793" s="828">
        <v>94289</v>
      </c>
      <c r="D1793" s="630" t="s">
        <v>1730</v>
      </c>
      <c r="E1793" s="630" t="s">
        <v>648</v>
      </c>
      <c r="F1793" s="829">
        <v>32.71</v>
      </c>
      <c r="G1793" s="830">
        <v>20.52</v>
      </c>
      <c r="H1793" s="831">
        <v>53.23</v>
      </c>
      <c r="I1793" s="846"/>
      <c r="J1793" s="846"/>
      <c r="K1793" s="846"/>
      <c r="L1793" s="846"/>
      <c r="M1793" s="846"/>
      <c r="N1793" s="846"/>
      <c r="O1793" s="846"/>
      <c r="P1793" s="846"/>
      <c r="Q1793" s="846"/>
      <c r="R1793" s="846"/>
      <c r="S1793" s="846"/>
      <c r="T1793" s="846"/>
    </row>
    <row r="1794" spans="2:20" ht="25.5" hidden="1">
      <c r="B1794" s="828" t="s">
        <v>6585</v>
      </c>
      <c r="C1794" s="828">
        <v>94290</v>
      </c>
      <c r="D1794" s="630" t="s">
        <v>1731</v>
      </c>
      <c r="E1794" s="630" t="s">
        <v>648</v>
      </c>
      <c r="F1794" s="829">
        <v>35.83</v>
      </c>
      <c r="G1794" s="830">
        <v>30.37</v>
      </c>
      <c r="H1794" s="831">
        <v>66.2</v>
      </c>
      <c r="I1794" s="846"/>
      <c r="J1794" s="846"/>
      <c r="K1794" s="846"/>
      <c r="L1794" s="846"/>
      <c r="M1794" s="846"/>
      <c r="N1794" s="846"/>
      <c r="O1794" s="846"/>
      <c r="P1794" s="846"/>
      <c r="Q1794" s="846"/>
      <c r="R1794" s="846"/>
      <c r="S1794" s="846"/>
      <c r="T1794" s="846"/>
    </row>
    <row r="1795" spans="2:20" ht="25.5" hidden="1">
      <c r="B1795" s="828" t="s">
        <v>6585</v>
      </c>
      <c r="C1795" s="828">
        <v>94291</v>
      </c>
      <c r="D1795" s="630" t="s">
        <v>1732</v>
      </c>
      <c r="E1795" s="630" t="s">
        <v>648</v>
      </c>
      <c r="F1795" s="829">
        <v>40.799999999999997</v>
      </c>
      <c r="G1795" s="830">
        <v>21.68</v>
      </c>
      <c r="H1795" s="831">
        <v>62.48</v>
      </c>
      <c r="I1795" s="846"/>
      <c r="J1795" s="846"/>
      <c r="K1795" s="846"/>
      <c r="L1795" s="846"/>
      <c r="M1795" s="846"/>
      <c r="N1795" s="846"/>
      <c r="O1795" s="846"/>
      <c r="P1795" s="846"/>
      <c r="Q1795" s="846"/>
      <c r="R1795" s="846"/>
      <c r="S1795" s="846"/>
      <c r="T1795" s="846"/>
    </row>
    <row r="1796" spans="2:20" ht="25.5" hidden="1">
      <c r="B1796" s="828" t="s">
        <v>6585</v>
      </c>
      <c r="C1796" s="828">
        <v>94292</v>
      </c>
      <c r="D1796" s="630" t="s">
        <v>1733</v>
      </c>
      <c r="E1796" s="630" t="s">
        <v>648</v>
      </c>
      <c r="F1796" s="829">
        <v>43.91</v>
      </c>
      <c r="G1796" s="830">
        <v>31.54</v>
      </c>
      <c r="H1796" s="831">
        <v>75.45</v>
      </c>
      <c r="I1796" s="846"/>
      <c r="J1796" s="846"/>
      <c r="K1796" s="846"/>
      <c r="L1796" s="846"/>
      <c r="M1796" s="846"/>
      <c r="N1796" s="846"/>
      <c r="O1796" s="846"/>
      <c r="P1796" s="846"/>
      <c r="Q1796" s="846"/>
      <c r="R1796" s="846"/>
      <c r="S1796" s="846"/>
      <c r="T1796" s="846"/>
    </row>
    <row r="1797" spans="2:20" ht="25.5" hidden="1">
      <c r="B1797" s="828" t="s">
        <v>6585</v>
      </c>
      <c r="C1797" s="828">
        <v>94293</v>
      </c>
      <c r="D1797" s="630" t="s">
        <v>1734</v>
      </c>
      <c r="E1797" s="630" t="s">
        <v>648</v>
      </c>
      <c r="F1797" s="829">
        <v>123.46</v>
      </c>
      <c r="G1797" s="830">
        <v>34.56</v>
      </c>
      <c r="H1797" s="831">
        <v>158.02000000000001</v>
      </c>
      <c r="I1797" s="846"/>
      <c r="J1797" s="846"/>
      <c r="K1797" s="846"/>
      <c r="L1797" s="846"/>
      <c r="M1797" s="846"/>
      <c r="N1797" s="846"/>
      <c r="O1797" s="846"/>
      <c r="P1797" s="846"/>
      <c r="Q1797" s="846"/>
      <c r="R1797" s="846"/>
      <c r="S1797" s="846"/>
      <c r="T1797" s="846"/>
    </row>
    <row r="1798" spans="2:20" ht="25.5" hidden="1">
      <c r="B1798" s="828" t="s">
        <v>6585</v>
      </c>
      <c r="C1798" s="828">
        <v>94294</v>
      </c>
      <c r="D1798" s="630" t="s">
        <v>1667</v>
      </c>
      <c r="E1798" s="630" t="s">
        <v>648</v>
      </c>
      <c r="F1798" s="829">
        <v>5.5</v>
      </c>
      <c r="G1798" s="830">
        <v>2.92</v>
      </c>
      <c r="H1798" s="831">
        <v>8.42</v>
      </c>
      <c r="I1798" s="846"/>
      <c r="J1798" s="846"/>
      <c r="K1798" s="846"/>
      <c r="L1798" s="846"/>
      <c r="M1798" s="846"/>
      <c r="N1798" s="846"/>
      <c r="O1798" s="846"/>
      <c r="P1798" s="846"/>
      <c r="Q1798" s="846"/>
      <c r="R1798" s="846"/>
      <c r="S1798" s="846"/>
      <c r="T1798" s="846"/>
    </row>
    <row r="1799" spans="2:20" ht="38.25" hidden="1">
      <c r="B1799" s="828" t="s">
        <v>6680</v>
      </c>
      <c r="C1799" s="828">
        <v>102727</v>
      </c>
      <c r="D1799" s="630" t="s">
        <v>6284</v>
      </c>
      <c r="E1799" s="630" t="s">
        <v>649</v>
      </c>
      <c r="F1799" s="829">
        <v>55.4</v>
      </c>
      <c r="G1799" s="830">
        <v>39.71</v>
      </c>
      <c r="H1799" s="831">
        <v>95.11</v>
      </c>
      <c r="I1799" s="846"/>
      <c r="J1799" s="846"/>
      <c r="K1799" s="846"/>
      <c r="L1799" s="846"/>
      <c r="M1799" s="846"/>
      <c r="N1799" s="846"/>
      <c r="O1799" s="846"/>
      <c r="P1799" s="846"/>
      <c r="Q1799" s="846"/>
      <c r="R1799" s="846"/>
      <c r="S1799" s="846"/>
      <c r="T1799" s="846"/>
    </row>
    <row r="1800" spans="2:20" ht="25.5" hidden="1">
      <c r="B1800" s="828" t="s">
        <v>6680</v>
      </c>
      <c r="C1800" s="828">
        <v>102728</v>
      </c>
      <c r="D1800" s="630" t="s">
        <v>6285</v>
      </c>
      <c r="E1800" s="630" t="s">
        <v>645</v>
      </c>
      <c r="F1800" s="829">
        <v>12.77</v>
      </c>
      <c r="G1800" s="830">
        <v>4.07</v>
      </c>
      <c r="H1800" s="831">
        <v>16.84</v>
      </c>
      <c r="I1800" s="846"/>
      <c r="J1800" s="846"/>
      <c r="K1800" s="846"/>
      <c r="L1800" s="846"/>
      <c r="M1800" s="846"/>
      <c r="N1800" s="846"/>
      <c r="O1800" s="846"/>
      <c r="P1800" s="846"/>
      <c r="Q1800" s="846"/>
      <c r="R1800" s="846"/>
      <c r="S1800" s="846"/>
      <c r="T1800" s="846"/>
    </row>
    <row r="1801" spans="2:20" ht="25.5" hidden="1">
      <c r="B1801" s="828" t="s">
        <v>6680</v>
      </c>
      <c r="C1801" s="828">
        <v>102729</v>
      </c>
      <c r="D1801" s="630" t="s">
        <v>6286</v>
      </c>
      <c r="E1801" s="630" t="s">
        <v>645</v>
      </c>
      <c r="F1801" s="829">
        <v>12.84</v>
      </c>
      <c r="G1801" s="830">
        <v>2.84</v>
      </c>
      <c r="H1801" s="831">
        <v>15.68</v>
      </c>
      <c r="I1801" s="846"/>
      <c r="J1801" s="846"/>
      <c r="K1801" s="846"/>
      <c r="L1801" s="846"/>
      <c r="M1801" s="846"/>
      <c r="N1801" s="846"/>
      <c r="O1801" s="846"/>
      <c r="P1801" s="846"/>
      <c r="Q1801" s="846"/>
      <c r="R1801" s="846"/>
      <c r="S1801" s="846"/>
      <c r="T1801" s="846"/>
    </row>
    <row r="1802" spans="2:20" ht="25.5" hidden="1">
      <c r="B1802" s="828" t="s">
        <v>6680</v>
      </c>
      <c r="C1802" s="828">
        <v>102730</v>
      </c>
      <c r="D1802" s="630" t="s">
        <v>6287</v>
      </c>
      <c r="E1802" s="630" t="s">
        <v>645</v>
      </c>
      <c r="F1802" s="829">
        <v>11.93</v>
      </c>
      <c r="G1802" s="830">
        <v>2.04</v>
      </c>
      <c r="H1802" s="831">
        <v>13.97</v>
      </c>
      <c r="I1802" s="846"/>
      <c r="J1802" s="846"/>
      <c r="K1802" s="846"/>
      <c r="L1802" s="846"/>
      <c r="M1802" s="846"/>
      <c r="N1802" s="846"/>
      <c r="O1802" s="846"/>
      <c r="P1802" s="846"/>
      <c r="Q1802" s="846"/>
      <c r="R1802" s="846"/>
      <c r="S1802" s="846"/>
      <c r="T1802" s="846"/>
    </row>
    <row r="1803" spans="2:20" ht="25.5" hidden="1">
      <c r="B1803" s="828" t="s">
        <v>6680</v>
      </c>
      <c r="C1803" s="828">
        <v>102731</v>
      </c>
      <c r="D1803" s="630" t="s">
        <v>6288</v>
      </c>
      <c r="E1803" s="630" t="s">
        <v>645</v>
      </c>
      <c r="F1803" s="829">
        <v>10.3</v>
      </c>
      <c r="G1803" s="830">
        <v>1.43</v>
      </c>
      <c r="H1803" s="831">
        <v>11.73</v>
      </c>
      <c r="I1803" s="846"/>
      <c r="J1803" s="846"/>
      <c r="K1803" s="846"/>
      <c r="L1803" s="846"/>
      <c r="M1803" s="846"/>
      <c r="N1803" s="846"/>
      <c r="O1803" s="846"/>
      <c r="P1803" s="846"/>
      <c r="Q1803" s="846"/>
      <c r="R1803" s="846"/>
      <c r="S1803" s="846"/>
      <c r="T1803" s="846"/>
    </row>
    <row r="1804" spans="2:20" ht="25.5" hidden="1">
      <c r="B1804" s="828" t="s">
        <v>6680</v>
      </c>
      <c r="C1804" s="828">
        <v>102732</v>
      </c>
      <c r="D1804" s="630" t="s">
        <v>6289</v>
      </c>
      <c r="E1804" s="630" t="s">
        <v>645</v>
      </c>
      <c r="F1804" s="829">
        <v>10.15</v>
      </c>
      <c r="G1804" s="830">
        <v>0.93</v>
      </c>
      <c r="H1804" s="831">
        <v>11.08</v>
      </c>
      <c r="I1804" s="846"/>
      <c r="J1804" s="846"/>
      <c r="K1804" s="846"/>
      <c r="L1804" s="846"/>
      <c r="M1804" s="846"/>
      <c r="N1804" s="846"/>
      <c r="O1804" s="846"/>
      <c r="P1804" s="846"/>
      <c r="Q1804" s="846"/>
      <c r="R1804" s="846"/>
      <c r="S1804" s="846"/>
      <c r="T1804" s="846"/>
    </row>
    <row r="1805" spans="2:20" ht="25.5" hidden="1">
      <c r="B1805" s="828" t="s">
        <v>6680</v>
      </c>
      <c r="C1805" s="828">
        <v>102733</v>
      </c>
      <c r="D1805" s="630" t="s">
        <v>6290</v>
      </c>
      <c r="E1805" s="630" t="s">
        <v>645</v>
      </c>
      <c r="F1805" s="829">
        <v>11.71</v>
      </c>
      <c r="G1805" s="830">
        <v>0.61</v>
      </c>
      <c r="H1805" s="831">
        <v>12.32</v>
      </c>
      <c r="I1805" s="846"/>
      <c r="J1805" s="846"/>
      <c r="K1805" s="846"/>
      <c r="L1805" s="846"/>
      <c r="M1805" s="846"/>
      <c r="N1805" s="846"/>
      <c r="O1805" s="846"/>
      <c r="P1805" s="846"/>
      <c r="Q1805" s="846"/>
      <c r="R1805" s="846"/>
      <c r="S1805" s="846"/>
      <c r="T1805" s="846"/>
    </row>
    <row r="1806" spans="2:20" ht="25.5" hidden="1">
      <c r="B1806" s="828" t="s">
        <v>6680</v>
      </c>
      <c r="C1806" s="828">
        <v>102734</v>
      </c>
      <c r="D1806" s="630" t="s">
        <v>6291</v>
      </c>
      <c r="E1806" s="630" t="s">
        <v>645</v>
      </c>
      <c r="F1806" s="829">
        <v>12.7</v>
      </c>
      <c r="G1806" s="830">
        <v>3.04</v>
      </c>
      <c r="H1806" s="831">
        <v>15.74</v>
      </c>
      <c r="I1806" s="846"/>
      <c r="J1806" s="846"/>
      <c r="K1806" s="846"/>
      <c r="L1806" s="846"/>
      <c r="M1806" s="846"/>
      <c r="N1806" s="846"/>
      <c r="O1806" s="846"/>
      <c r="P1806" s="846"/>
      <c r="Q1806" s="846"/>
      <c r="R1806" s="846"/>
      <c r="S1806" s="846"/>
      <c r="T1806" s="846"/>
    </row>
    <row r="1807" spans="2:20" ht="25.5" hidden="1">
      <c r="B1807" s="828" t="s">
        <v>6680</v>
      </c>
      <c r="C1807" s="828">
        <v>102735</v>
      </c>
      <c r="D1807" s="630" t="s">
        <v>6292</v>
      </c>
      <c r="E1807" s="630" t="s">
        <v>645</v>
      </c>
      <c r="F1807" s="829">
        <v>12.7</v>
      </c>
      <c r="G1807" s="830">
        <v>2.04</v>
      </c>
      <c r="H1807" s="831">
        <v>14.74</v>
      </c>
      <c r="I1807" s="846"/>
      <c r="J1807" s="846"/>
      <c r="K1807" s="846"/>
      <c r="L1807" s="846"/>
      <c r="M1807" s="846"/>
      <c r="N1807" s="846"/>
      <c r="O1807" s="846"/>
      <c r="P1807" s="846"/>
      <c r="Q1807" s="846"/>
      <c r="R1807" s="846"/>
      <c r="S1807" s="846"/>
      <c r="T1807" s="846"/>
    </row>
    <row r="1808" spans="2:20" ht="25.5" hidden="1">
      <c r="B1808" s="828" t="s">
        <v>6680</v>
      </c>
      <c r="C1808" s="828">
        <v>102736</v>
      </c>
      <c r="D1808" s="630" t="s">
        <v>6293</v>
      </c>
      <c r="E1808" s="630" t="s">
        <v>644</v>
      </c>
      <c r="F1808" s="829">
        <v>471</v>
      </c>
      <c r="G1808" s="830">
        <v>38.700000000000003</v>
      </c>
      <c r="H1808" s="831">
        <v>509.7</v>
      </c>
      <c r="I1808" s="846"/>
      <c r="J1808" s="846"/>
      <c r="K1808" s="846"/>
      <c r="L1808" s="846"/>
      <c r="M1808" s="846"/>
      <c r="N1808" s="846"/>
      <c r="O1808" s="846"/>
      <c r="P1808" s="846"/>
      <c r="Q1808" s="846"/>
      <c r="R1808" s="846"/>
      <c r="S1808" s="846"/>
      <c r="T1808" s="846"/>
    </row>
    <row r="1809" spans="2:20" ht="25.5" hidden="1">
      <c r="B1809" s="828" t="s">
        <v>6680</v>
      </c>
      <c r="C1809" s="828">
        <v>102737</v>
      </c>
      <c r="D1809" s="630" t="s">
        <v>6294</v>
      </c>
      <c r="E1809" s="630" t="s">
        <v>646</v>
      </c>
      <c r="F1809" s="829">
        <v>794.15</v>
      </c>
      <c r="G1809" s="830">
        <v>270.93</v>
      </c>
      <c r="H1809" s="831">
        <v>1065.08</v>
      </c>
      <c r="I1809" s="846"/>
      <c r="J1809" s="846"/>
      <c r="K1809" s="846"/>
      <c r="L1809" s="846"/>
      <c r="M1809" s="846"/>
      <c r="N1809" s="846"/>
      <c r="O1809" s="846"/>
      <c r="P1809" s="846"/>
      <c r="Q1809" s="846"/>
      <c r="R1809" s="846"/>
      <c r="S1809" s="846"/>
      <c r="T1809" s="846"/>
    </row>
    <row r="1810" spans="2:20" ht="25.5" hidden="1">
      <c r="B1810" s="828" t="s">
        <v>6680</v>
      </c>
      <c r="C1810" s="828">
        <v>102738</v>
      </c>
      <c r="D1810" s="630" t="s">
        <v>6295</v>
      </c>
      <c r="E1810" s="630" t="s">
        <v>646</v>
      </c>
      <c r="F1810" s="829">
        <v>1655.27</v>
      </c>
      <c r="G1810" s="830">
        <v>529.94000000000005</v>
      </c>
      <c r="H1810" s="831">
        <v>2185.21</v>
      </c>
      <c r="I1810" s="846"/>
      <c r="J1810" s="846"/>
      <c r="K1810" s="846"/>
      <c r="L1810" s="846"/>
      <c r="M1810" s="846"/>
      <c r="N1810" s="846"/>
      <c r="O1810" s="846"/>
      <c r="P1810" s="846"/>
      <c r="Q1810" s="846"/>
      <c r="R1810" s="846"/>
      <c r="S1810" s="846"/>
      <c r="T1810" s="846"/>
    </row>
    <row r="1811" spans="2:20" ht="25.5" hidden="1">
      <c r="B1811" s="828" t="s">
        <v>6680</v>
      </c>
      <c r="C1811" s="828">
        <v>102739</v>
      </c>
      <c r="D1811" s="630" t="s">
        <v>6296</v>
      </c>
      <c r="E1811" s="630" t="s">
        <v>646</v>
      </c>
      <c r="F1811" s="829">
        <v>2799.49</v>
      </c>
      <c r="G1811" s="830">
        <v>866.6</v>
      </c>
      <c r="H1811" s="831">
        <v>3666.09</v>
      </c>
      <c r="I1811" s="846"/>
      <c r="J1811" s="846"/>
      <c r="K1811" s="846"/>
      <c r="L1811" s="846"/>
      <c r="M1811" s="846"/>
      <c r="N1811" s="846"/>
      <c r="O1811" s="846"/>
      <c r="P1811" s="846"/>
      <c r="Q1811" s="846"/>
      <c r="R1811" s="846"/>
      <c r="S1811" s="846"/>
      <c r="T1811" s="846"/>
    </row>
    <row r="1812" spans="2:20" ht="25.5" hidden="1">
      <c r="B1812" s="828" t="s">
        <v>6680</v>
      </c>
      <c r="C1812" s="828">
        <v>102740</v>
      </c>
      <c r="D1812" s="630" t="s">
        <v>6297</v>
      </c>
      <c r="E1812" s="630" t="s">
        <v>646</v>
      </c>
      <c r="F1812" s="829">
        <v>4234.08</v>
      </c>
      <c r="G1812" s="830">
        <v>1268.21</v>
      </c>
      <c r="H1812" s="831">
        <v>5502.29</v>
      </c>
      <c r="I1812" s="846"/>
      <c r="J1812" s="846"/>
      <c r="K1812" s="846"/>
      <c r="L1812" s="846"/>
      <c r="M1812" s="846"/>
      <c r="N1812" s="846"/>
      <c r="O1812" s="846"/>
      <c r="P1812" s="846"/>
      <c r="Q1812" s="846"/>
      <c r="R1812" s="846"/>
      <c r="S1812" s="846"/>
      <c r="T1812" s="846"/>
    </row>
    <row r="1813" spans="2:20" ht="25.5" hidden="1">
      <c r="B1813" s="828" t="s">
        <v>6680</v>
      </c>
      <c r="C1813" s="828">
        <v>102741</v>
      </c>
      <c r="D1813" s="630" t="s">
        <v>6298</v>
      </c>
      <c r="E1813" s="630" t="s">
        <v>646</v>
      </c>
      <c r="F1813" s="829">
        <v>5991.87</v>
      </c>
      <c r="G1813" s="830">
        <v>1739.36</v>
      </c>
      <c r="H1813" s="831">
        <v>7731.23</v>
      </c>
      <c r="I1813" s="846"/>
      <c r="J1813" s="846"/>
      <c r="K1813" s="846"/>
      <c r="L1813" s="846"/>
      <c r="M1813" s="846"/>
      <c r="N1813" s="846"/>
      <c r="O1813" s="846"/>
      <c r="P1813" s="846"/>
      <c r="Q1813" s="846"/>
      <c r="R1813" s="846"/>
      <c r="S1813" s="846"/>
      <c r="T1813" s="846"/>
    </row>
    <row r="1814" spans="2:20" ht="25.5" hidden="1">
      <c r="B1814" s="828" t="s">
        <v>6680</v>
      </c>
      <c r="C1814" s="828">
        <v>102742</v>
      </c>
      <c r="D1814" s="630" t="s">
        <v>6299</v>
      </c>
      <c r="E1814" s="630" t="s">
        <v>646</v>
      </c>
      <c r="F1814" s="829">
        <v>10461.52</v>
      </c>
      <c r="G1814" s="830">
        <v>2938.2</v>
      </c>
      <c r="H1814" s="831">
        <v>13399.72</v>
      </c>
      <c r="I1814" s="846"/>
      <c r="J1814" s="846"/>
      <c r="K1814" s="846"/>
      <c r="L1814" s="846"/>
      <c r="M1814" s="846"/>
      <c r="N1814" s="846"/>
      <c r="O1814" s="846"/>
      <c r="P1814" s="846"/>
      <c r="Q1814" s="846"/>
      <c r="R1814" s="846"/>
      <c r="S1814" s="846"/>
      <c r="T1814" s="846"/>
    </row>
    <row r="1815" spans="2:20" ht="25.5" hidden="1">
      <c r="B1815" s="828" t="s">
        <v>6680</v>
      </c>
      <c r="C1815" s="828">
        <v>102743</v>
      </c>
      <c r="D1815" s="630" t="s">
        <v>6300</v>
      </c>
      <c r="E1815" s="630" t="s">
        <v>646</v>
      </c>
      <c r="F1815" s="829">
        <v>3389.14</v>
      </c>
      <c r="G1815" s="830">
        <v>1043.27</v>
      </c>
      <c r="H1815" s="831">
        <v>4432.41</v>
      </c>
      <c r="I1815" s="846"/>
      <c r="J1815" s="846"/>
      <c r="K1815" s="846"/>
      <c r="L1815" s="846"/>
      <c r="M1815" s="846"/>
      <c r="N1815" s="846"/>
      <c r="O1815" s="846"/>
      <c r="P1815" s="846"/>
      <c r="Q1815" s="846"/>
      <c r="R1815" s="846"/>
      <c r="S1815" s="846"/>
      <c r="T1815" s="846"/>
    </row>
    <row r="1816" spans="2:20" ht="25.5" hidden="1">
      <c r="B1816" s="828" t="s">
        <v>6680</v>
      </c>
      <c r="C1816" s="828">
        <v>102744</v>
      </c>
      <c r="D1816" s="630" t="s">
        <v>6301</v>
      </c>
      <c r="E1816" s="630" t="s">
        <v>646</v>
      </c>
      <c r="F1816" s="829">
        <v>5125.5599999999995</v>
      </c>
      <c r="G1816" s="830">
        <v>1524.2</v>
      </c>
      <c r="H1816" s="832">
        <v>6649.76</v>
      </c>
      <c r="I1816" s="846"/>
      <c r="J1816" s="846"/>
      <c r="K1816" s="846"/>
      <c r="L1816" s="846"/>
      <c r="M1816" s="846"/>
      <c r="N1816" s="846"/>
      <c r="O1816" s="846"/>
      <c r="P1816" s="846"/>
      <c r="Q1816" s="846"/>
      <c r="R1816" s="846"/>
      <c r="S1816" s="846"/>
      <c r="T1816" s="846"/>
    </row>
    <row r="1817" spans="2:20" ht="25.5" hidden="1">
      <c r="B1817" s="828" t="s">
        <v>6680</v>
      </c>
      <c r="C1817" s="828">
        <v>102745</v>
      </c>
      <c r="D1817" s="630" t="s">
        <v>6302</v>
      </c>
      <c r="E1817" s="630" t="s">
        <v>646</v>
      </c>
      <c r="F1817" s="829">
        <v>7266.45</v>
      </c>
      <c r="G1817" s="830">
        <v>2091.12</v>
      </c>
      <c r="H1817" s="832">
        <v>9357.57</v>
      </c>
      <c r="I1817" s="846"/>
      <c r="J1817" s="846"/>
      <c r="K1817" s="846"/>
      <c r="L1817" s="846"/>
      <c r="M1817" s="846"/>
      <c r="N1817" s="846"/>
      <c r="O1817" s="846"/>
      <c r="P1817" s="846"/>
      <c r="Q1817" s="846"/>
      <c r="R1817" s="846"/>
      <c r="S1817" s="846"/>
      <c r="T1817" s="846"/>
    </row>
    <row r="1818" spans="2:20" ht="25.5" hidden="1">
      <c r="B1818" s="828" t="s">
        <v>6680</v>
      </c>
      <c r="C1818" s="828">
        <v>102746</v>
      </c>
      <c r="D1818" s="630" t="s">
        <v>6303</v>
      </c>
      <c r="E1818" s="630" t="s">
        <v>646</v>
      </c>
      <c r="F1818" s="829">
        <v>12708.070000000002</v>
      </c>
      <c r="G1818" s="843">
        <v>3530.56</v>
      </c>
      <c r="H1818" s="832">
        <v>16238.63</v>
      </c>
      <c r="I1818" s="846"/>
      <c r="J1818" s="846"/>
      <c r="K1818" s="846"/>
      <c r="L1818" s="846"/>
      <c r="M1818" s="846"/>
      <c r="N1818" s="846"/>
      <c r="O1818" s="846"/>
      <c r="P1818" s="846"/>
      <c r="Q1818" s="846"/>
      <c r="R1818" s="846"/>
      <c r="S1818" s="846"/>
      <c r="T1818" s="846"/>
    </row>
    <row r="1819" spans="2:20" ht="25.5" hidden="1">
      <c r="B1819" s="828" t="s">
        <v>6680</v>
      </c>
      <c r="C1819" s="828">
        <v>102747</v>
      </c>
      <c r="D1819" s="630" t="s">
        <v>6304</v>
      </c>
      <c r="E1819" s="630" t="s">
        <v>646</v>
      </c>
      <c r="F1819" s="829">
        <v>6384.4199999999992</v>
      </c>
      <c r="G1819" s="843">
        <v>1866.58</v>
      </c>
      <c r="H1819" s="832">
        <v>8251</v>
      </c>
      <c r="I1819" s="846"/>
      <c r="J1819" s="846"/>
      <c r="K1819" s="846"/>
      <c r="L1819" s="846"/>
      <c r="M1819" s="846"/>
      <c r="N1819" s="846"/>
      <c r="O1819" s="846"/>
      <c r="P1819" s="846"/>
      <c r="Q1819" s="846"/>
      <c r="R1819" s="846"/>
      <c r="S1819" s="846"/>
      <c r="T1819" s="846"/>
    </row>
    <row r="1820" spans="2:20" ht="25.5" hidden="1">
      <c r="B1820" s="828" t="s">
        <v>6680</v>
      </c>
      <c r="C1820" s="828">
        <v>102748</v>
      </c>
      <c r="D1820" s="630" t="s">
        <v>6305</v>
      </c>
      <c r="E1820" s="630" t="s">
        <v>646</v>
      </c>
      <c r="F1820" s="829">
        <v>9008.3300000000017</v>
      </c>
      <c r="G1820" s="843">
        <v>2551.9</v>
      </c>
      <c r="H1820" s="832">
        <v>11560.23</v>
      </c>
      <c r="I1820" s="846"/>
      <c r="J1820" s="846"/>
      <c r="K1820" s="846"/>
      <c r="L1820" s="846"/>
      <c r="M1820" s="846"/>
      <c r="N1820" s="846"/>
      <c r="O1820" s="846"/>
      <c r="P1820" s="846"/>
      <c r="Q1820" s="846"/>
      <c r="R1820" s="846"/>
      <c r="S1820" s="846"/>
      <c r="T1820" s="846"/>
    </row>
    <row r="1821" spans="2:20" ht="25.5" hidden="1">
      <c r="B1821" s="828" t="s">
        <v>6680</v>
      </c>
      <c r="C1821" s="828">
        <v>102749</v>
      </c>
      <c r="D1821" s="630" t="s">
        <v>6306</v>
      </c>
      <c r="E1821" s="630" t="s">
        <v>646</v>
      </c>
      <c r="F1821" s="829">
        <v>15600.240000000002</v>
      </c>
      <c r="G1821" s="830">
        <v>4266.09</v>
      </c>
      <c r="H1821" s="832">
        <v>19866.330000000002</v>
      </c>
      <c r="I1821" s="846"/>
      <c r="J1821" s="846"/>
      <c r="K1821" s="846"/>
      <c r="L1821" s="846"/>
      <c r="M1821" s="846"/>
      <c r="N1821" s="846"/>
      <c r="O1821" s="846"/>
      <c r="P1821" s="846"/>
      <c r="Q1821" s="846"/>
      <c r="R1821" s="846"/>
      <c r="S1821" s="846"/>
      <c r="T1821" s="846"/>
    </row>
    <row r="1822" spans="2:20" ht="25.5" hidden="1">
      <c r="B1822" s="828" t="s">
        <v>6680</v>
      </c>
      <c r="C1822" s="828">
        <v>102750</v>
      </c>
      <c r="D1822" s="630" t="s">
        <v>6307</v>
      </c>
      <c r="E1822" s="630" t="s">
        <v>646</v>
      </c>
      <c r="F1822" s="829">
        <v>2031.38</v>
      </c>
      <c r="G1822" s="843">
        <v>635.4</v>
      </c>
      <c r="H1822" s="832">
        <v>2666.78</v>
      </c>
      <c r="I1822" s="846"/>
      <c r="J1822" s="846"/>
      <c r="K1822" s="846"/>
      <c r="L1822" s="846"/>
      <c r="M1822" s="846"/>
      <c r="N1822" s="846"/>
      <c r="O1822" s="846"/>
      <c r="P1822" s="846"/>
      <c r="Q1822" s="846"/>
      <c r="R1822" s="846"/>
      <c r="S1822" s="846"/>
      <c r="T1822" s="846"/>
    </row>
    <row r="1823" spans="2:20" ht="25.5" hidden="1">
      <c r="B1823" s="828" t="s">
        <v>6680</v>
      </c>
      <c r="C1823" s="828">
        <v>102751</v>
      </c>
      <c r="D1823" s="630" t="s">
        <v>6308</v>
      </c>
      <c r="E1823" s="630" t="s">
        <v>646</v>
      </c>
      <c r="F1823" s="829">
        <v>3590.62</v>
      </c>
      <c r="G1823" s="843">
        <v>1056.0999999999999</v>
      </c>
      <c r="H1823" s="832">
        <v>4646.72</v>
      </c>
      <c r="I1823" s="846"/>
      <c r="J1823" s="846"/>
      <c r="K1823" s="846"/>
      <c r="L1823" s="846"/>
      <c r="M1823" s="846"/>
      <c r="N1823" s="846"/>
      <c r="O1823" s="846"/>
      <c r="P1823" s="846"/>
      <c r="Q1823" s="846"/>
      <c r="R1823" s="846"/>
      <c r="S1823" s="846"/>
      <c r="T1823" s="846"/>
    </row>
    <row r="1824" spans="2:20" ht="25.5" hidden="1">
      <c r="B1824" s="828" t="s">
        <v>6680</v>
      </c>
      <c r="C1824" s="828">
        <v>102752</v>
      </c>
      <c r="D1824" s="630" t="s">
        <v>6309</v>
      </c>
      <c r="E1824" s="630" t="s">
        <v>646</v>
      </c>
      <c r="F1824" s="829">
        <v>5791.7499999999991</v>
      </c>
      <c r="G1824" s="843">
        <v>1626.55</v>
      </c>
      <c r="H1824" s="832">
        <v>7418.3</v>
      </c>
      <c r="I1824" s="846"/>
      <c r="J1824" s="846"/>
      <c r="K1824" s="846"/>
      <c r="L1824" s="846"/>
      <c r="M1824" s="846"/>
      <c r="N1824" s="846"/>
      <c r="O1824" s="846"/>
      <c r="P1824" s="846"/>
      <c r="Q1824" s="846"/>
      <c r="R1824" s="846"/>
      <c r="S1824" s="846"/>
      <c r="T1824" s="846"/>
    </row>
    <row r="1825" spans="2:20" ht="25.5" hidden="1">
      <c r="B1825" s="828" t="s">
        <v>6680</v>
      </c>
      <c r="C1825" s="828">
        <v>102753</v>
      </c>
      <c r="D1825" s="630" t="s">
        <v>6310</v>
      </c>
      <c r="E1825" s="630" t="s">
        <v>646</v>
      </c>
      <c r="F1825" s="829">
        <v>8664.84</v>
      </c>
      <c r="G1825" s="843">
        <v>2336.66</v>
      </c>
      <c r="H1825" s="832">
        <v>11001.5</v>
      </c>
      <c r="I1825" s="846"/>
      <c r="J1825" s="846"/>
      <c r="K1825" s="846"/>
      <c r="L1825" s="846"/>
      <c r="M1825" s="846"/>
      <c r="N1825" s="846"/>
      <c r="O1825" s="846"/>
      <c r="P1825" s="846"/>
      <c r="Q1825" s="846"/>
      <c r="R1825" s="846"/>
      <c r="S1825" s="846"/>
      <c r="T1825" s="846"/>
    </row>
    <row r="1826" spans="2:20" ht="25.5" hidden="1">
      <c r="B1826" s="828" t="s">
        <v>6680</v>
      </c>
      <c r="C1826" s="828">
        <v>102754</v>
      </c>
      <c r="D1826" s="630" t="s">
        <v>6311</v>
      </c>
      <c r="E1826" s="630" t="s">
        <v>646</v>
      </c>
      <c r="F1826" s="829">
        <v>16627.939999999999</v>
      </c>
      <c r="G1826" s="843">
        <v>4304.99</v>
      </c>
      <c r="H1826" s="832">
        <v>20932.93</v>
      </c>
      <c r="I1826" s="846"/>
      <c r="J1826" s="846"/>
      <c r="K1826" s="846"/>
      <c r="L1826" s="846"/>
      <c r="M1826" s="846"/>
      <c r="N1826" s="846"/>
      <c r="O1826" s="846"/>
      <c r="P1826" s="846"/>
      <c r="Q1826" s="846"/>
      <c r="R1826" s="846"/>
      <c r="S1826" s="846"/>
      <c r="T1826" s="846"/>
    </row>
    <row r="1827" spans="2:20" ht="25.5" hidden="1">
      <c r="B1827" s="828" t="s">
        <v>6680</v>
      </c>
      <c r="C1827" s="828">
        <v>102755</v>
      </c>
      <c r="D1827" s="630" t="s">
        <v>6312</v>
      </c>
      <c r="E1827" s="630" t="s">
        <v>646</v>
      </c>
      <c r="F1827" s="829">
        <v>8145.2300000000005</v>
      </c>
      <c r="G1827" s="843">
        <v>2214.2800000000002</v>
      </c>
      <c r="H1827" s="832">
        <v>10359.51</v>
      </c>
      <c r="I1827" s="846"/>
      <c r="J1827" s="846"/>
      <c r="K1827" s="846"/>
      <c r="L1827" s="846"/>
      <c r="M1827" s="846"/>
      <c r="N1827" s="846"/>
      <c r="O1827" s="846"/>
      <c r="P1827" s="846"/>
      <c r="Q1827" s="846"/>
      <c r="R1827" s="846"/>
      <c r="S1827" s="846"/>
      <c r="T1827" s="846"/>
    </row>
    <row r="1828" spans="2:20" ht="25.5" hidden="1">
      <c r="B1828" s="828" t="s">
        <v>6680</v>
      </c>
      <c r="C1828" s="828">
        <v>102756</v>
      </c>
      <c r="D1828" s="630" t="s">
        <v>6313</v>
      </c>
      <c r="E1828" s="630" t="s">
        <v>646</v>
      </c>
      <c r="F1828" s="829">
        <v>12225.17</v>
      </c>
      <c r="G1828" s="830">
        <v>3188.06</v>
      </c>
      <c r="H1828" s="832">
        <v>15413.23</v>
      </c>
      <c r="I1828" s="846"/>
      <c r="J1828" s="846"/>
      <c r="K1828" s="846"/>
      <c r="L1828" s="846"/>
      <c r="M1828" s="846"/>
      <c r="N1828" s="846"/>
      <c r="O1828" s="846"/>
      <c r="P1828" s="846"/>
      <c r="Q1828" s="846"/>
      <c r="R1828" s="846"/>
      <c r="S1828" s="846"/>
      <c r="T1828" s="846"/>
    </row>
    <row r="1829" spans="2:20" ht="25.5" hidden="1">
      <c r="B1829" s="828" t="s">
        <v>6680</v>
      </c>
      <c r="C1829" s="828">
        <v>102757</v>
      </c>
      <c r="D1829" s="630" t="s">
        <v>6314</v>
      </c>
      <c r="E1829" s="630" t="s">
        <v>646</v>
      </c>
      <c r="F1829" s="829">
        <v>22953.320000000003</v>
      </c>
      <c r="G1829" s="830">
        <v>5744.33</v>
      </c>
      <c r="H1829" s="832">
        <v>28697.65</v>
      </c>
      <c r="I1829" s="846"/>
      <c r="J1829" s="846"/>
      <c r="K1829" s="846"/>
      <c r="L1829" s="846"/>
      <c r="M1829" s="846"/>
      <c r="N1829" s="846"/>
      <c r="O1829" s="846"/>
      <c r="P1829" s="846"/>
      <c r="Q1829" s="846"/>
      <c r="R1829" s="846"/>
      <c r="S1829" s="846"/>
      <c r="T1829" s="846"/>
    </row>
    <row r="1830" spans="2:20" ht="25.5" hidden="1">
      <c r="B1830" s="828" t="s">
        <v>6680</v>
      </c>
      <c r="C1830" s="828">
        <v>102758</v>
      </c>
      <c r="D1830" s="630" t="s">
        <v>6315</v>
      </c>
      <c r="E1830" s="630" t="s">
        <v>646</v>
      </c>
      <c r="F1830" s="829">
        <v>10510.08</v>
      </c>
      <c r="G1830" s="843">
        <v>2806.15</v>
      </c>
      <c r="H1830" s="832">
        <v>13316.23</v>
      </c>
      <c r="I1830" s="846"/>
      <c r="J1830" s="846"/>
      <c r="K1830" s="846"/>
      <c r="L1830" s="846"/>
      <c r="M1830" s="846"/>
      <c r="N1830" s="846"/>
      <c r="O1830" s="846"/>
      <c r="P1830" s="846"/>
      <c r="Q1830" s="846"/>
      <c r="R1830" s="846"/>
      <c r="S1830" s="846"/>
      <c r="T1830" s="846"/>
    </row>
    <row r="1831" spans="2:20" ht="25.5" hidden="1">
      <c r="B1831" s="828" t="s">
        <v>6680</v>
      </c>
      <c r="C1831" s="828">
        <v>102759</v>
      </c>
      <c r="D1831" s="630" t="s">
        <v>6316</v>
      </c>
      <c r="E1831" s="630" t="s">
        <v>646</v>
      </c>
      <c r="F1831" s="829">
        <v>15802.789999999999</v>
      </c>
      <c r="G1831" s="843">
        <v>4045.73</v>
      </c>
      <c r="H1831" s="832">
        <v>19848.52</v>
      </c>
      <c r="I1831" s="846"/>
      <c r="J1831" s="846"/>
      <c r="K1831" s="846"/>
      <c r="L1831" s="846"/>
      <c r="M1831" s="846"/>
      <c r="N1831" s="846"/>
      <c r="O1831" s="846"/>
      <c r="P1831" s="846"/>
      <c r="Q1831" s="846"/>
      <c r="R1831" s="846"/>
      <c r="S1831" s="846"/>
      <c r="T1831" s="846"/>
    </row>
    <row r="1832" spans="2:20" ht="25.5" hidden="1">
      <c r="B1832" s="828" t="s">
        <v>6680</v>
      </c>
      <c r="C1832" s="828">
        <v>102760</v>
      </c>
      <c r="D1832" s="630" t="s">
        <v>6317</v>
      </c>
      <c r="E1832" s="630" t="s">
        <v>646</v>
      </c>
      <c r="F1832" s="829">
        <v>29392.649999999998</v>
      </c>
      <c r="G1832" s="843">
        <v>7222.1</v>
      </c>
      <c r="H1832" s="832">
        <v>36614.75</v>
      </c>
      <c r="I1832" s="846"/>
      <c r="J1832" s="846"/>
      <c r="K1832" s="846"/>
      <c r="L1832" s="846"/>
      <c r="M1832" s="846"/>
      <c r="N1832" s="846"/>
      <c r="O1832" s="846"/>
      <c r="P1832" s="846"/>
      <c r="Q1832" s="846"/>
      <c r="R1832" s="846"/>
      <c r="S1832" s="846"/>
      <c r="T1832" s="846"/>
    </row>
    <row r="1833" spans="2:20" ht="25.5" hidden="1">
      <c r="B1833" s="828" t="s">
        <v>6680</v>
      </c>
      <c r="C1833" s="828">
        <v>102761</v>
      </c>
      <c r="D1833" s="630" t="s">
        <v>6318</v>
      </c>
      <c r="E1833" s="630" t="s">
        <v>646</v>
      </c>
      <c r="F1833" s="829">
        <v>9503.4699999999993</v>
      </c>
      <c r="G1833" s="843">
        <v>3193.04</v>
      </c>
      <c r="H1833" s="832">
        <v>12696.51</v>
      </c>
      <c r="I1833" s="846"/>
      <c r="J1833" s="846"/>
      <c r="K1833" s="846"/>
      <c r="L1833" s="846"/>
      <c r="M1833" s="846"/>
      <c r="N1833" s="846"/>
      <c r="O1833" s="846"/>
      <c r="P1833" s="846"/>
      <c r="Q1833" s="846"/>
      <c r="R1833" s="846"/>
      <c r="S1833" s="846"/>
      <c r="T1833" s="846"/>
    </row>
    <row r="1834" spans="2:20" ht="25.5" hidden="1">
      <c r="B1834" s="828" t="s">
        <v>6680</v>
      </c>
      <c r="C1834" s="828">
        <v>102762</v>
      </c>
      <c r="D1834" s="630" t="s">
        <v>6319</v>
      </c>
      <c r="E1834" s="630" t="s">
        <v>646</v>
      </c>
      <c r="F1834" s="829">
        <v>15035.87</v>
      </c>
      <c r="G1834" s="843">
        <v>4559.99</v>
      </c>
      <c r="H1834" s="832">
        <v>19595.86</v>
      </c>
      <c r="I1834" s="846"/>
      <c r="J1834" s="846"/>
      <c r="K1834" s="846"/>
      <c r="L1834" s="846"/>
      <c r="M1834" s="846"/>
      <c r="N1834" s="846"/>
      <c r="O1834" s="846"/>
      <c r="P1834" s="846"/>
      <c r="Q1834" s="846"/>
      <c r="R1834" s="846"/>
      <c r="S1834" s="846"/>
      <c r="T1834" s="846"/>
    </row>
    <row r="1835" spans="2:20" ht="25.5" hidden="1">
      <c r="B1835" s="828" t="s">
        <v>6680</v>
      </c>
      <c r="C1835" s="828">
        <v>102763</v>
      </c>
      <c r="D1835" s="630" t="s">
        <v>6320</v>
      </c>
      <c r="E1835" s="630" t="s">
        <v>646</v>
      </c>
      <c r="F1835" s="829">
        <v>21160.61</v>
      </c>
      <c r="G1835" s="843">
        <v>6147.87</v>
      </c>
      <c r="H1835" s="832">
        <v>27308.48</v>
      </c>
      <c r="I1835" s="846"/>
      <c r="J1835" s="846"/>
      <c r="K1835" s="846"/>
      <c r="L1835" s="846"/>
      <c r="M1835" s="846"/>
      <c r="N1835" s="846"/>
      <c r="O1835" s="846"/>
      <c r="P1835" s="846"/>
      <c r="Q1835" s="846"/>
      <c r="R1835" s="846"/>
      <c r="S1835" s="846"/>
      <c r="T1835" s="846"/>
    </row>
    <row r="1836" spans="2:20" ht="25.5" hidden="1">
      <c r="B1836" s="828" t="s">
        <v>6680</v>
      </c>
      <c r="C1836" s="828">
        <v>102764</v>
      </c>
      <c r="D1836" s="630" t="s">
        <v>6321</v>
      </c>
      <c r="E1836" s="630" t="s">
        <v>646</v>
      </c>
      <c r="F1836" s="829">
        <v>30516.91</v>
      </c>
      <c r="G1836" s="843">
        <v>8023.07</v>
      </c>
      <c r="H1836" s="832">
        <v>38539.980000000003</v>
      </c>
      <c r="I1836" s="846"/>
      <c r="J1836" s="846"/>
      <c r="K1836" s="846"/>
      <c r="L1836" s="846"/>
      <c r="M1836" s="846"/>
      <c r="N1836" s="846"/>
      <c r="O1836" s="846"/>
      <c r="P1836" s="846"/>
      <c r="Q1836" s="846"/>
      <c r="R1836" s="846"/>
      <c r="S1836" s="846"/>
      <c r="T1836" s="846"/>
    </row>
    <row r="1837" spans="2:20" ht="25.5" hidden="1">
      <c r="B1837" s="828" t="s">
        <v>6680</v>
      </c>
      <c r="C1837" s="828">
        <v>102765</v>
      </c>
      <c r="D1837" s="630" t="s">
        <v>6322</v>
      </c>
      <c r="E1837" s="630" t="s">
        <v>646</v>
      </c>
      <c r="F1837" s="829">
        <v>11781.470000000001</v>
      </c>
      <c r="G1837" s="843">
        <v>3951.09</v>
      </c>
      <c r="H1837" s="832">
        <v>15732.56</v>
      </c>
      <c r="I1837" s="846"/>
      <c r="J1837" s="846"/>
      <c r="K1837" s="846"/>
      <c r="L1837" s="846"/>
      <c r="M1837" s="846"/>
      <c r="N1837" s="846"/>
      <c r="O1837" s="846"/>
      <c r="P1837" s="846"/>
      <c r="Q1837" s="846"/>
      <c r="R1837" s="846"/>
      <c r="S1837" s="846"/>
      <c r="T1837" s="846"/>
    </row>
    <row r="1838" spans="2:20" ht="25.5" hidden="1">
      <c r="B1838" s="828" t="s">
        <v>6680</v>
      </c>
      <c r="C1838" s="828">
        <v>102766</v>
      </c>
      <c r="D1838" s="630" t="s">
        <v>6323</v>
      </c>
      <c r="E1838" s="630" t="s">
        <v>646</v>
      </c>
      <c r="F1838" s="829">
        <v>18197.670000000002</v>
      </c>
      <c r="G1838" s="843">
        <v>5505.32</v>
      </c>
      <c r="H1838" s="832">
        <v>23702.99</v>
      </c>
      <c r="I1838" s="846"/>
      <c r="J1838" s="846"/>
      <c r="K1838" s="846"/>
      <c r="L1838" s="846"/>
      <c r="M1838" s="846"/>
      <c r="N1838" s="846"/>
      <c r="O1838" s="846"/>
      <c r="P1838" s="846"/>
      <c r="Q1838" s="846"/>
      <c r="R1838" s="846"/>
      <c r="S1838" s="846"/>
      <c r="T1838" s="846"/>
    </row>
    <row r="1839" spans="2:20" ht="25.5" hidden="1">
      <c r="B1839" s="828" t="s">
        <v>6680</v>
      </c>
      <c r="C1839" s="828">
        <v>102767</v>
      </c>
      <c r="D1839" s="630" t="s">
        <v>6324</v>
      </c>
      <c r="E1839" s="630" t="s">
        <v>646</v>
      </c>
      <c r="F1839" s="829">
        <v>25868.269999999997</v>
      </c>
      <c r="G1839" s="843">
        <v>7443.83</v>
      </c>
      <c r="H1839" s="832">
        <v>33312.1</v>
      </c>
      <c r="I1839" s="846"/>
      <c r="J1839" s="846"/>
      <c r="K1839" s="846"/>
      <c r="L1839" s="846"/>
      <c r="M1839" s="846"/>
      <c r="N1839" s="846"/>
      <c r="O1839" s="846"/>
      <c r="P1839" s="846"/>
      <c r="Q1839" s="846"/>
      <c r="R1839" s="846"/>
      <c r="S1839" s="846"/>
      <c r="T1839" s="846"/>
    </row>
    <row r="1840" spans="2:20" ht="25.5" hidden="1">
      <c r="B1840" s="828" t="s">
        <v>6680</v>
      </c>
      <c r="C1840" s="828">
        <v>102768</v>
      </c>
      <c r="D1840" s="630" t="s">
        <v>6325</v>
      </c>
      <c r="E1840" s="630" t="s">
        <v>646</v>
      </c>
      <c r="F1840" s="829">
        <v>37002.26</v>
      </c>
      <c r="G1840" s="843">
        <v>9608.06</v>
      </c>
      <c r="H1840" s="832">
        <v>46610.32</v>
      </c>
      <c r="I1840" s="846"/>
      <c r="J1840" s="846"/>
      <c r="K1840" s="846"/>
      <c r="L1840" s="846"/>
      <c r="M1840" s="846"/>
      <c r="N1840" s="846"/>
      <c r="O1840" s="846"/>
      <c r="P1840" s="846"/>
      <c r="Q1840" s="846"/>
      <c r="R1840" s="846"/>
      <c r="S1840" s="846"/>
      <c r="T1840" s="846"/>
    </row>
    <row r="1841" spans="2:20" ht="25.5" hidden="1">
      <c r="B1841" s="828" t="s">
        <v>6680</v>
      </c>
      <c r="C1841" s="828">
        <v>102769</v>
      </c>
      <c r="D1841" s="630" t="s">
        <v>6326</v>
      </c>
      <c r="E1841" s="630" t="s">
        <v>646</v>
      </c>
      <c r="F1841" s="829">
        <v>13674.890000000001</v>
      </c>
      <c r="G1841" s="843">
        <v>4465.1400000000003</v>
      </c>
      <c r="H1841" s="832">
        <v>18140.03</v>
      </c>
      <c r="I1841" s="846"/>
      <c r="J1841" s="846"/>
      <c r="K1841" s="846"/>
      <c r="L1841" s="846"/>
      <c r="M1841" s="846"/>
      <c r="N1841" s="846"/>
      <c r="O1841" s="846"/>
      <c r="P1841" s="846"/>
      <c r="Q1841" s="846"/>
      <c r="R1841" s="846"/>
      <c r="S1841" s="846"/>
      <c r="T1841" s="846"/>
    </row>
    <row r="1842" spans="2:20" ht="25.5" hidden="1">
      <c r="B1842" s="828" t="s">
        <v>6680</v>
      </c>
      <c r="C1842" s="828">
        <v>102770</v>
      </c>
      <c r="D1842" s="630" t="s">
        <v>6327</v>
      </c>
      <c r="E1842" s="630" t="s">
        <v>646</v>
      </c>
      <c r="F1842" s="829">
        <v>21416.76</v>
      </c>
      <c r="G1842" s="843">
        <v>6454.28</v>
      </c>
      <c r="H1842" s="832">
        <v>27871.040000000001</v>
      </c>
      <c r="I1842" s="846"/>
      <c r="J1842" s="846"/>
      <c r="K1842" s="846"/>
      <c r="L1842" s="846"/>
      <c r="M1842" s="846"/>
      <c r="N1842" s="846"/>
      <c r="O1842" s="846"/>
      <c r="P1842" s="846"/>
      <c r="Q1842" s="846"/>
      <c r="R1842" s="846"/>
      <c r="S1842" s="846"/>
      <c r="T1842" s="846"/>
    </row>
    <row r="1843" spans="2:20" ht="25.5" hidden="1">
      <c r="B1843" s="828" t="s">
        <v>6680</v>
      </c>
      <c r="C1843" s="828">
        <v>102771</v>
      </c>
      <c r="D1843" s="630" t="s">
        <v>6328</v>
      </c>
      <c r="E1843" s="630" t="s">
        <v>646</v>
      </c>
      <c r="F1843" s="829">
        <v>30424.460000000003</v>
      </c>
      <c r="G1843" s="843">
        <v>8720.61</v>
      </c>
      <c r="H1843" s="832">
        <v>39145.07</v>
      </c>
      <c r="I1843" s="846"/>
      <c r="J1843" s="846"/>
      <c r="K1843" s="846"/>
      <c r="L1843" s="846"/>
      <c r="M1843" s="846"/>
      <c r="N1843" s="846"/>
      <c r="O1843" s="846"/>
      <c r="P1843" s="846"/>
      <c r="Q1843" s="846"/>
      <c r="R1843" s="846"/>
      <c r="S1843" s="846"/>
      <c r="T1843" s="846"/>
    </row>
    <row r="1844" spans="2:20" ht="25.5" hidden="1">
      <c r="B1844" s="828" t="s">
        <v>6680</v>
      </c>
      <c r="C1844" s="828">
        <v>102772</v>
      </c>
      <c r="D1844" s="630" t="s">
        <v>6329</v>
      </c>
      <c r="E1844" s="630" t="s">
        <v>646</v>
      </c>
      <c r="F1844" s="829">
        <v>44010.98</v>
      </c>
      <c r="G1844" s="843">
        <v>11263.2</v>
      </c>
      <c r="H1844" s="832">
        <v>55274.18</v>
      </c>
      <c r="I1844" s="846"/>
      <c r="J1844" s="846"/>
      <c r="K1844" s="846"/>
      <c r="L1844" s="846"/>
      <c r="M1844" s="846"/>
      <c r="N1844" s="846"/>
      <c r="O1844" s="846"/>
      <c r="P1844" s="846"/>
      <c r="Q1844" s="846"/>
      <c r="R1844" s="846"/>
      <c r="S1844" s="846"/>
      <c r="T1844" s="846"/>
    </row>
    <row r="1845" spans="2:20" ht="25.5" hidden="1">
      <c r="B1845" s="828" t="s">
        <v>6680</v>
      </c>
      <c r="C1845" s="828">
        <v>102773</v>
      </c>
      <c r="D1845" s="630" t="s">
        <v>6330</v>
      </c>
      <c r="E1845" s="630" t="s">
        <v>646</v>
      </c>
      <c r="F1845" s="829">
        <v>6812.15</v>
      </c>
      <c r="G1845" s="843">
        <v>1521.75</v>
      </c>
      <c r="H1845" s="832">
        <v>8333.9</v>
      </c>
      <c r="I1845" s="846"/>
      <c r="J1845" s="846"/>
      <c r="K1845" s="846"/>
      <c r="L1845" s="846"/>
      <c r="M1845" s="846"/>
      <c r="N1845" s="846"/>
      <c r="O1845" s="846"/>
      <c r="P1845" s="846"/>
      <c r="Q1845" s="846"/>
      <c r="R1845" s="846"/>
      <c r="S1845" s="846"/>
      <c r="T1845" s="846"/>
    </row>
    <row r="1846" spans="2:20" ht="25.5" hidden="1">
      <c r="B1846" s="828" t="s">
        <v>6680</v>
      </c>
      <c r="C1846" s="828">
        <v>102774</v>
      </c>
      <c r="D1846" s="630" t="s">
        <v>6331</v>
      </c>
      <c r="E1846" s="630" t="s">
        <v>646</v>
      </c>
      <c r="F1846" s="829">
        <v>6812.15</v>
      </c>
      <c r="G1846" s="843">
        <v>1521.75</v>
      </c>
      <c r="H1846" s="832">
        <v>8333.9</v>
      </c>
      <c r="I1846" s="846"/>
      <c r="J1846" s="846"/>
      <c r="K1846" s="846"/>
      <c r="L1846" s="846"/>
      <c r="M1846" s="846"/>
      <c r="N1846" s="846"/>
      <c r="O1846" s="846"/>
      <c r="P1846" s="846"/>
      <c r="Q1846" s="846"/>
      <c r="R1846" s="846"/>
      <c r="S1846" s="846"/>
      <c r="T1846" s="846"/>
    </row>
    <row r="1847" spans="2:20" ht="25.5" hidden="1">
      <c r="B1847" s="828" t="s">
        <v>6680</v>
      </c>
      <c r="C1847" s="828">
        <v>102775</v>
      </c>
      <c r="D1847" s="630" t="s">
        <v>6332</v>
      </c>
      <c r="E1847" s="630" t="s">
        <v>646</v>
      </c>
      <c r="F1847" s="829">
        <v>10103.73</v>
      </c>
      <c r="G1847" s="843">
        <v>2288.27</v>
      </c>
      <c r="H1847" s="832">
        <v>12392</v>
      </c>
      <c r="I1847" s="846"/>
      <c r="J1847" s="846"/>
      <c r="K1847" s="846"/>
      <c r="L1847" s="846"/>
      <c r="M1847" s="846"/>
      <c r="N1847" s="846"/>
      <c r="O1847" s="846"/>
      <c r="P1847" s="846"/>
      <c r="Q1847" s="846"/>
      <c r="R1847" s="846"/>
      <c r="S1847" s="846"/>
      <c r="T1847" s="846"/>
    </row>
    <row r="1848" spans="2:20" ht="25.5" hidden="1">
      <c r="B1848" s="828" t="s">
        <v>6680</v>
      </c>
      <c r="C1848" s="828">
        <v>102776</v>
      </c>
      <c r="D1848" s="630" t="s">
        <v>6333</v>
      </c>
      <c r="E1848" s="630" t="s">
        <v>646</v>
      </c>
      <c r="F1848" s="829">
        <v>10103.73</v>
      </c>
      <c r="G1848" s="843">
        <v>2288.27</v>
      </c>
      <c r="H1848" s="832">
        <v>12392</v>
      </c>
      <c r="I1848" s="846"/>
      <c r="J1848" s="846"/>
      <c r="K1848" s="846"/>
      <c r="L1848" s="846"/>
      <c r="M1848" s="846"/>
      <c r="N1848" s="846"/>
      <c r="O1848" s="846"/>
      <c r="P1848" s="846"/>
      <c r="Q1848" s="846"/>
      <c r="R1848" s="846"/>
      <c r="S1848" s="846"/>
      <c r="T1848" s="846"/>
    </row>
    <row r="1849" spans="2:20" ht="25.5" hidden="1">
      <c r="B1849" s="828" t="s">
        <v>6680</v>
      </c>
      <c r="C1849" s="828">
        <v>102777</v>
      </c>
      <c r="D1849" s="630" t="s">
        <v>6334</v>
      </c>
      <c r="E1849" s="630" t="s">
        <v>646</v>
      </c>
      <c r="F1849" s="829">
        <v>15251.47</v>
      </c>
      <c r="G1849" s="843">
        <v>3474.12</v>
      </c>
      <c r="H1849" s="832">
        <v>18725.59</v>
      </c>
      <c r="I1849" s="846"/>
      <c r="J1849" s="846"/>
      <c r="K1849" s="846"/>
      <c r="L1849" s="846"/>
      <c r="M1849" s="846"/>
      <c r="N1849" s="846"/>
      <c r="O1849" s="846"/>
      <c r="P1849" s="846"/>
      <c r="Q1849" s="846"/>
      <c r="R1849" s="846"/>
      <c r="S1849" s="846"/>
      <c r="T1849" s="846"/>
    </row>
    <row r="1850" spans="2:20" ht="25.5" hidden="1">
      <c r="B1850" s="828" t="s">
        <v>6680</v>
      </c>
      <c r="C1850" s="828">
        <v>102778</v>
      </c>
      <c r="D1850" s="630" t="s">
        <v>6335</v>
      </c>
      <c r="E1850" s="630" t="s">
        <v>646</v>
      </c>
      <c r="F1850" s="829">
        <v>24395.16</v>
      </c>
      <c r="G1850" s="843">
        <v>3699.65</v>
      </c>
      <c r="H1850" s="832">
        <v>28094.81</v>
      </c>
      <c r="I1850" s="846"/>
      <c r="J1850" s="846"/>
      <c r="K1850" s="846"/>
      <c r="L1850" s="846"/>
      <c r="M1850" s="846"/>
      <c r="N1850" s="846"/>
      <c r="O1850" s="846"/>
      <c r="P1850" s="846"/>
      <c r="Q1850" s="846"/>
      <c r="R1850" s="846"/>
      <c r="S1850" s="846"/>
      <c r="T1850" s="846"/>
    </row>
    <row r="1851" spans="2:20" ht="25.5" hidden="1">
      <c r="B1851" s="828" t="s">
        <v>6680</v>
      </c>
      <c r="C1851" s="828">
        <v>102779</v>
      </c>
      <c r="D1851" s="630" t="s">
        <v>6336</v>
      </c>
      <c r="E1851" s="630" t="s">
        <v>646</v>
      </c>
      <c r="F1851" s="829">
        <v>6812.15</v>
      </c>
      <c r="G1851" s="843">
        <v>1521.75</v>
      </c>
      <c r="H1851" s="832">
        <v>8333.9</v>
      </c>
      <c r="I1851" s="846"/>
      <c r="J1851" s="846"/>
      <c r="K1851" s="846"/>
      <c r="L1851" s="846"/>
      <c r="M1851" s="846"/>
      <c r="N1851" s="846"/>
      <c r="O1851" s="846"/>
      <c r="P1851" s="846"/>
      <c r="Q1851" s="846"/>
      <c r="R1851" s="846"/>
      <c r="S1851" s="846"/>
      <c r="T1851" s="846"/>
    </row>
    <row r="1852" spans="2:20" ht="25.5" hidden="1">
      <c r="B1852" s="828" t="s">
        <v>6680</v>
      </c>
      <c r="C1852" s="828">
        <v>102780</v>
      </c>
      <c r="D1852" s="630" t="s">
        <v>6337</v>
      </c>
      <c r="E1852" s="630" t="s">
        <v>646</v>
      </c>
      <c r="F1852" s="829">
        <v>7845.43</v>
      </c>
      <c r="G1852" s="843">
        <v>1749.44</v>
      </c>
      <c r="H1852" s="832">
        <v>9594.8700000000008</v>
      </c>
      <c r="I1852" s="846"/>
      <c r="J1852" s="846"/>
      <c r="K1852" s="846"/>
      <c r="L1852" s="846"/>
      <c r="M1852" s="846"/>
      <c r="N1852" s="846"/>
      <c r="O1852" s="846"/>
      <c r="P1852" s="846"/>
      <c r="Q1852" s="846"/>
      <c r="R1852" s="846"/>
      <c r="S1852" s="846"/>
      <c r="T1852" s="846"/>
    </row>
    <row r="1853" spans="2:20" ht="25.5" hidden="1">
      <c r="B1853" s="828" t="s">
        <v>6680</v>
      </c>
      <c r="C1853" s="828">
        <v>102781</v>
      </c>
      <c r="D1853" s="630" t="s">
        <v>6338</v>
      </c>
      <c r="E1853" s="630" t="s">
        <v>646</v>
      </c>
      <c r="F1853" s="829">
        <v>11548.46</v>
      </c>
      <c r="G1853" s="843">
        <v>2611.77</v>
      </c>
      <c r="H1853" s="832">
        <v>14160.23</v>
      </c>
      <c r="I1853" s="846"/>
      <c r="J1853" s="846"/>
      <c r="K1853" s="846"/>
      <c r="L1853" s="846"/>
      <c r="M1853" s="846"/>
      <c r="N1853" s="846"/>
      <c r="O1853" s="846"/>
      <c r="P1853" s="846"/>
      <c r="Q1853" s="846"/>
      <c r="R1853" s="846"/>
      <c r="S1853" s="846"/>
      <c r="T1853" s="846"/>
    </row>
    <row r="1854" spans="2:20" ht="25.5" hidden="1">
      <c r="B1854" s="828" t="s">
        <v>6680</v>
      </c>
      <c r="C1854" s="828">
        <v>102782</v>
      </c>
      <c r="D1854" s="630" t="s">
        <v>6339</v>
      </c>
      <c r="E1854" s="630" t="s">
        <v>646</v>
      </c>
      <c r="F1854" s="829">
        <v>13113.12</v>
      </c>
      <c r="G1854" s="843">
        <v>2671.02</v>
      </c>
      <c r="H1854" s="832">
        <v>15784.14</v>
      </c>
      <c r="I1854" s="846"/>
      <c r="J1854" s="846"/>
      <c r="K1854" s="846"/>
      <c r="L1854" s="846"/>
      <c r="M1854" s="846"/>
      <c r="N1854" s="846"/>
      <c r="O1854" s="846"/>
      <c r="P1854" s="846"/>
      <c r="Q1854" s="846"/>
      <c r="R1854" s="846"/>
      <c r="S1854" s="846"/>
      <c r="T1854" s="846"/>
    </row>
    <row r="1855" spans="2:20" ht="25.5" hidden="1">
      <c r="B1855" s="828" t="s">
        <v>6680</v>
      </c>
      <c r="C1855" s="828">
        <v>102783</v>
      </c>
      <c r="D1855" s="630" t="s">
        <v>6340</v>
      </c>
      <c r="E1855" s="630" t="s">
        <v>646</v>
      </c>
      <c r="F1855" s="829">
        <v>17227.579999999998</v>
      </c>
      <c r="G1855" s="843">
        <v>3629.19</v>
      </c>
      <c r="H1855" s="832">
        <v>20856.77</v>
      </c>
      <c r="I1855" s="846"/>
      <c r="J1855" s="846"/>
      <c r="K1855" s="846"/>
      <c r="L1855" s="846"/>
      <c r="M1855" s="846"/>
      <c r="N1855" s="846"/>
      <c r="O1855" s="846"/>
      <c r="P1855" s="846"/>
      <c r="Q1855" s="846"/>
      <c r="R1855" s="846"/>
      <c r="S1855" s="846"/>
      <c r="T1855" s="846"/>
    </row>
    <row r="1856" spans="2:20" ht="25.5" hidden="1">
      <c r="B1856" s="828" t="s">
        <v>6680</v>
      </c>
      <c r="C1856" s="828">
        <v>102784</v>
      </c>
      <c r="D1856" s="630" t="s">
        <v>6341</v>
      </c>
      <c r="E1856" s="630" t="s">
        <v>646</v>
      </c>
      <c r="F1856" s="829">
        <v>28967</v>
      </c>
      <c r="G1856" s="843">
        <v>3812.42</v>
      </c>
      <c r="H1856" s="832">
        <v>32779.42</v>
      </c>
      <c r="I1856" s="846"/>
      <c r="J1856" s="846"/>
      <c r="K1856" s="846"/>
      <c r="L1856" s="846"/>
      <c r="M1856" s="846"/>
      <c r="N1856" s="846"/>
      <c r="O1856" s="846"/>
      <c r="P1856" s="846"/>
      <c r="Q1856" s="846"/>
      <c r="R1856" s="846"/>
      <c r="S1856" s="846"/>
      <c r="T1856" s="846"/>
    </row>
    <row r="1857" spans="2:20" ht="25.5" hidden="1">
      <c r="B1857" s="828" t="s">
        <v>6680</v>
      </c>
      <c r="C1857" s="828">
        <v>102785</v>
      </c>
      <c r="D1857" s="630" t="s">
        <v>6342</v>
      </c>
      <c r="E1857" s="630" t="s">
        <v>646</v>
      </c>
      <c r="F1857" s="829">
        <v>7845.43</v>
      </c>
      <c r="G1857" s="843">
        <v>1749.44</v>
      </c>
      <c r="H1857" s="832">
        <v>9594.8700000000008</v>
      </c>
      <c r="I1857" s="846"/>
      <c r="J1857" s="846"/>
      <c r="K1857" s="846"/>
      <c r="L1857" s="846"/>
      <c r="M1857" s="846"/>
      <c r="N1857" s="846"/>
      <c r="O1857" s="846"/>
      <c r="P1857" s="846"/>
      <c r="Q1857" s="846"/>
      <c r="R1857" s="846"/>
      <c r="S1857" s="846"/>
      <c r="T1857" s="846"/>
    </row>
    <row r="1858" spans="2:20" ht="25.5" hidden="1">
      <c r="B1858" s="828" t="s">
        <v>6680</v>
      </c>
      <c r="C1858" s="828">
        <v>102786</v>
      </c>
      <c r="D1858" s="630" t="s">
        <v>6343</v>
      </c>
      <c r="E1858" s="630" t="s">
        <v>646</v>
      </c>
      <c r="F1858" s="829">
        <v>8998.66</v>
      </c>
      <c r="G1858" s="843">
        <v>1712.86</v>
      </c>
      <c r="H1858" s="832">
        <v>10711.52</v>
      </c>
      <c r="I1858" s="846"/>
      <c r="J1858" s="846"/>
      <c r="K1858" s="846"/>
      <c r="L1858" s="846"/>
      <c r="M1858" s="846"/>
      <c r="N1858" s="846"/>
      <c r="O1858" s="846"/>
      <c r="P1858" s="846"/>
      <c r="Q1858" s="846"/>
      <c r="R1858" s="846"/>
      <c r="S1858" s="846"/>
      <c r="T1858" s="846"/>
    </row>
    <row r="1859" spans="2:20" ht="25.5" hidden="1">
      <c r="B1859" s="828" t="s">
        <v>6680</v>
      </c>
      <c r="C1859" s="828">
        <v>102787</v>
      </c>
      <c r="D1859" s="630" t="s">
        <v>6344</v>
      </c>
      <c r="E1859" s="630" t="s">
        <v>646</v>
      </c>
      <c r="F1859" s="829">
        <v>13113.12</v>
      </c>
      <c r="G1859" s="843">
        <v>2671.02</v>
      </c>
      <c r="H1859" s="832">
        <v>15784.14</v>
      </c>
      <c r="I1859" s="846"/>
      <c r="J1859" s="846"/>
      <c r="K1859" s="846"/>
      <c r="L1859" s="846"/>
      <c r="M1859" s="846"/>
      <c r="N1859" s="846"/>
      <c r="O1859" s="846"/>
      <c r="P1859" s="846"/>
      <c r="Q1859" s="846"/>
      <c r="R1859" s="846"/>
      <c r="S1859" s="846"/>
      <c r="T1859" s="846"/>
    </row>
    <row r="1860" spans="2:20" ht="25.5" hidden="1">
      <c r="B1860" s="828" t="s">
        <v>6680</v>
      </c>
      <c r="C1860" s="828">
        <v>102788</v>
      </c>
      <c r="D1860" s="630" t="s">
        <v>6345</v>
      </c>
      <c r="E1860" s="630" t="s">
        <v>646</v>
      </c>
      <c r="F1860" s="829">
        <v>14700.29</v>
      </c>
      <c r="G1860" s="843">
        <v>2680.7</v>
      </c>
      <c r="H1860" s="832">
        <v>17380.990000000002</v>
      </c>
      <c r="I1860" s="846"/>
      <c r="J1860" s="846"/>
      <c r="K1860" s="846"/>
      <c r="L1860" s="846"/>
      <c r="M1860" s="846"/>
      <c r="N1860" s="846"/>
      <c r="O1860" s="846"/>
      <c r="P1860" s="846"/>
      <c r="Q1860" s="846"/>
      <c r="R1860" s="846"/>
      <c r="S1860" s="846"/>
      <c r="T1860" s="846"/>
    </row>
    <row r="1861" spans="2:20" ht="25.5" hidden="1">
      <c r="B1861" s="828" t="s">
        <v>6680</v>
      </c>
      <c r="C1861" s="828">
        <v>102789</v>
      </c>
      <c r="D1861" s="630" t="s">
        <v>6346</v>
      </c>
      <c r="E1861" s="630" t="s">
        <v>646</v>
      </c>
      <c r="F1861" s="829">
        <v>19338.63</v>
      </c>
      <c r="G1861" s="843">
        <v>3486.95</v>
      </c>
      <c r="H1861" s="832">
        <v>22825.58</v>
      </c>
      <c r="I1861" s="846"/>
      <c r="J1861" s="846"/>
      <c r="K1861" s="846"/>
      <c r="L1861" s="846"/>
      <c r="M1861" s="846"/>
      <c r="N1861" s="846"/>
      <c r="O1861" s="846"/>
      <c r="P1861" s="846"/>
      <c r="Q1861" s="846"/>
      <c r="R1861" s="846"/>
      <c r="S1861" s="846"/>
      <c r="T1861" s="846"/>
    </row>
    <row r="1862" spans="2:20" ht="25.5" hidden="1">
      <c r="B1862" s="828" t="s">
        <v>6680</v>
      </c>
      <c r="C1862" s="828">
        <v>102790</v>
      </c>
      <c r="D1862" s="630" t="s">
        <v>6347</v>
      </c>
      <c r="E1862" s="630" t="s">
        <v>646</v>
      </c>
      <c r="F1862" s="829">
        <v>33164.019999999997</v>
      </c>
      <c r="G1862" s="843">
        <v>4751.01</v>
      </c>
      <c r="H1862" s="832">
        <v>37915.03</v>
      </c>
      <c r="I1862" s="846"/>
      <c r="J1862" s="846"/>
      <c r="K1862" s="846"/>
      <c r="L1862" s="846"/>
      <c r="M1862" s="846"/>
      <c r="N1862" s="846"/>
      <c r="O1862" s="846"/>
      <c r="P1862" s="846"/>
      <c r="Q1862" s="846"/>
      <c r="R1862" s="846"/>
      <c r="S1862" s="846"/>
      <c r="T1862" s="846"/>
    </row>
    <row r="1863" spans="2:20" ht="25.5" hidden="1">
      <c r="B1863" s="828" t="s">
        <v>6680</v>
      </c>
      <c r="C1863" s="828">
        <v>102791</v>
      </c>
      <c r="D1863" s="630" t="s">
        <v>6348</v>
      </c>
      <c r="E1863" s="630" t="s">
        <v>646</v>
      </c>
      <c r="F1863" s="829">
        <v>25316.85</v>
      </c>
      <c r="G1863" s="843">
        <v>5010.04</v>
      </c>
      <c r="H1863" s="832">
        <v>30326.89</v>
      </c>
      <c r="I1863" s="846"/>
      <c r="J1863" s="846"/>
      <c r="K1863" s="846"/>
      <c r="L1863" s="846"/>
      <c r="M1863" s="846"/>
      <c r="N1863" s="846"/>
      <c r="O1863" s="846"/>
      <c r="P1863" s="846"/>
      <c r="Q1863" s="846"/>
      <c r="R1863" s="846"/>
      <c r="S1863" s="846"/>
      <c r="T1863" s="846"/>
    </row>
    <row r="1864" spans="2:20" ht="25.5" hidden="1">
      <c r="B1864" s="828" t="s">
        <v>6680</v>
      </c>
      <c r="C1864" s="828">
        <v>102792</v>
      </c>
      <c r="D1864" s="630" t="s">
        <v>6349</v>
      </c>
      <c r="E1864" s="630" t="s">
        <v>646</v>
      </c>
      <c r="F1864" s="829">
        <v>41703.86</v>
      </c>
      <c r="G1864" s="843">
        <v>7652.86</v>
      </c>
      <c r="H1864" s="832">
        <v>49356.72</v>
      </c>
      <c r="I1864" s="846"/>
      <c r="J1864" s="846"/>
      <c r="K1864" s="846"/>
      <c r="L1864" s="846"/>
      <c r="M1864" s="846"/>
      <c r="N1864" s="846"/>
      <c r="O1864" s="846"/>
      <c r="P1864" s="846"/>
      <c r="Q1864" s="846"/>
      <c r="R1864" s="846"/>
      <c r="S1864" s="846"/>
      <c r="T1864" s="846"/>
    </row>
    <row r="1865" spans="2:20" ht="25.5" hidden="1">
      <c r="B1865" s="828" t="s">
        <v>6680</v>
      </c>
      <c r="C1865" s="828">
        <v>102793</v>
      </c>
      <c r="D1865" s="630" t="s">
        <v>6350</v>
      </c>
      <c r="E1865" s="630" t="s">
        <v>646</v>
      </c>
      <c r="F1865" s="829">
        <v>57090.73</v>
      </c>
      <c r="G1865" s="843">
        <v>9489.06</v>
      </c>
      <c r="H1865" s="832">
        <v>66579.789999999994</v>
      </c>
      <c r="I1865" s="846"/>
      <c r="J1865" s="846"/>
      <c r="K1865" s="846"/>
      <c r="L1865" s="846"/>
      <c r="M1865" s="846"/>
      <c r="N1865" s="846"/>
      <c r="O1865" s="846"/>
      <c r="P1865" s="846"/>
      <c r="Q1865" s="846"/>
      <c r="R1865" s="846"/>
      <c r="S1865" s="846"/>
      <c r="T1865" s="846"/>
    </row>
    <row r="1866" spans="2:20" ht="25.5" hidden="1">
      <c r="B1866" s="828" t="s">
        <v>6680</v>
      </c>
      <c r="C1866" s="828">
        <v>102794</v>
      </c>
      <c r="D1866" s="630" t="s">
        <v>6351</v>
      </c>
      <c r="E1866" s="630" t="s">
        <v>646</v>
      </c>
      <c r="F1866" s="829">
        <v>81983.890000000014</v>
      </c>
      <c r="G1866" s="843">
        <v>13275.03</v>
      </c>
      <c r="H1866" s="832">
        <v>95258.92</v>
      </c>
      <c r="I1866" s="846"/>
      <c r="J1866" s="846"/>
      <c r="K1866" s="846"/>
      <c r="L1866" s="846"/>
      <c r="M1866" s="846"/>
      <c r="N1866" s="846"/>
      <c r="O1866" s="846"/>
      <c r="P1866" s="846"/>
      <c r="Q1866" s="846"/>
      <c r="R1866" s="846"/>
      <c r="S1866" s="846"/>
      <c r="T1866" s="846"/>
    </row>
    <row r="1867" spans="2:20" ht="25.5" hidden="1">
      <c r="B1867" s="828" t="s">
        <v>6680</v>
      </c>
      <c r="C1867" s="828">
        <v>102795</v>
      </c>
      <c r="D1867" s="630" t="s">
        <v>6352</v>
      </c>
      <c r="E1867" s="630" t="s">
        <v>646</v>
      </c>
      <c r="F1867" s="829">
        <v>27060.18</v>
      </c>
      <c r="G1867" s="843">
        <v>5340.7</v>
      </c>
      <c r="H1867" s="832">
        <v>32400.880000000001</v>
      </c>
      <c r="I1867" s="846"/>
      <c r="J1867" s="846"/>
      <c r="K1867" s="846"/>
      <c r="L1867" s="846"/>
      <c r="M1867" s="846"/>
      <c r="N1867" s="846"/>
      <c r="O1867" s="846"/>
      <c r="P1867" s="846"/>
      <c r="Q1867" s="846"/>
      <c r="R1867" s="846"/>
      <c r="S1867" s="846"/>
      <c r="T1867" s="846"/>
    </row>
    <row r="1868" spans="2:20" ht="25.5" hidden="1">
      <c r="B1868" s="828" t="s">
        <v>6680</v>
      </c>
      <c r="C1868" s="828">
        <v>102796</v>
      </c>
      <c r="D1868" s="630" t="s">
        <v>6353</v>
      </c>
      <c r="E1868" s="630" t="s">
        <v>646</v>
      </c>
      <c r="F1868" s="829">
        <v>44266.13</v>
      </c>
      <c r="G1868" s="843">
        <v>8015.21</v>
      </c>
      <c r="H1868" s="832">
        <v>52281.34</v>
      </c>
      <c r="I1868" s="846"/>
      <c r="J1868" s="846"/>
      <c r="K1868" s="846"/>
      <c r="L1868" s="846"/>
      <c r="M1868" s="846"/>
      <c r="N1868" s="846"/>
      <c r="O1868" s="846"/>
      <c r="P1868" s="846"/>
      <c r="Q1868" s="846"/>
      <c r="R1868" s="846"/>
      <c r="S1868" s="846"/>
      <c r="T1868" s="846"/>
    </row>
    <row r="1869" spans="2:20" ht="25.5" hidden="1">
      <c r="B1869" s="828" t="s">
        <v>6680</v>
      </c>
      <c r="C1869" s="828">
        <v>102797</v>
      </c>
      <c r="D1869" s="630" t="s">
        <v>6354</v>
      </c>
      <c r="E1869" s="630" t="s">
        <v>646</v>
      </c>
      <c r="F1869" s="829">
        <v>63224.76</v>
      </c>
      <c r="G1869" s="843">
        <v>10996.68</v>
      </c>
      <c r="H1869" s="832">
        <v>74221.440000000002</v>
      </c>
      <c r="I1869" s="846"/>
      <c r="J1869" s="846"/>
      <c r="K1869" s="846"/>
      <c r="L1869" s="846"/>
      <c r="M1869" s="846"/>
      <c r="N1869" s="846"/>
      <c r="O1869" s="846"/>
      <c r="P1869" s="846"/>
      <c r="Q1869" s="846"/>
      <c r="R1869" s="846"/>
      <c r="S1869" s="846"/>
      <c r="T1869" s="846"/>
    </row>
    <row r="1870" spans="2:20" ht="25.5" hidden="1">
      <c r="B1870" s="828" t="s">
        <v>6680</v>
      </c>
      <c r="C1870" s="828">
        <v>102798</v>
      </c>
      <c r="D1870" s="630" t="s">
        <v>6355</v>
      </c>
      <c r="E1870" s="630" t="s">
        <v>646</v>
      </c>
      <c r="F1870" s="829">
        <v>77520.89</v>
      </c>
      <c r="G1870" s="843">
        <v>13240.85</v>
      </c>
      <c r="H1870" s="832">
        <v>90761.74</v>
      </c>
      <c r="I1870" s="846"/>
      <c r="J1870" s="846"/>
      <c r="K1870" s="846"/>
      <c r="L1870" s="846"/>
      <c r="M1870" s="846"/>
      <c r="N1870" s="846"/>
      <c r="O1870" s="846"/>
      <c r="P1870" s="846"/>
      <c r="Q1870" s="846"/>
      <c r="R1870" s="846"/>
      <c r="S1870" s="846"/>
      <c r="T1870" s="846"/>
    </row>
    <row r="1871" spans="2:20" ht="25.5" hidden="1">
      <c r="B1871" s="828" t="s">
        <v>6680</v>
      </c>
      <c r="C1871" s="828">
        <v>102799</v>
      </c>
      <c r="D1871" s="630" t="s">
        <v>6356</v>
      </c>
      <c r="E1871" s="630" t="s">
        <v>646</v>
      </c>
      <c r="F1871" s="829">
        <v>27608.77</v>
      </c>
      <c r="G1871" s="843">
        <v>5468.46</v>
      </c>
      <c r="H1871" s="832">
        <v>33077.230000000003</v>
      </c>
      <c r="I1871" s="846"/>
      <c r="J1871" s="846"/>
      <c r="K1871" s="846"/>
      <c r="L1871" s="846"/>
      <c r="M1871" s="846"/>
      <c r="N1871" s="846"/>
      <c r="O1871" s="846"/>
      <c r="P1871" s="846"/>
      <c r="Q1871" s="846"/>
      <c r="R1871" s="846"/>
      <c r="S1871" s="846"/>
      <c r="T1871" s="846"/>
    </row>
    <row r="1872" spans="2:20" ht="25.5" hidden="1">
      <c r="B1872" s="828" t="s">
        <v>6680</v>
      </c>
      <c r="C1872" s="828">
        <v>102800</v>
      </c>
      <c r="D1872" s="630" t="s">
        <v>6357</v>
      </c>
      <c r="E1872" s="630" t="s">
        <v>646</v>
      </c>
      <c r="F1872" s="829">
        <v>48596.36</v>
      </c>
      <c r="G1872" s="843">
        <v>8825.7900000000009</v>
      </c>
      <c r="H1872" s="832">
        <v>57422.15</v>
      </c>
      <c r="I1872" s="846"/>
      <c r="J1872" s="846"/>
      <c r="K1872" s="846"/>
      <c r="L1872" s="846"/>
      <c r="M1872" s="846"/>
      <c r="N1872" s="846"/>
      <c r="O1872" s="846"/>
      <c r="P1872" s="846"/>
      <c r="Q1872" s="846"/>
      <c r="R1872" s="846"/>
      <c r="S1872" s="846"/>
      <c r="T1872" s="846"/>
    </row>
    <row r="1873" spans="2:20" ht="25.5" hidden="1">
      <c r="B1873" s="828" t="s">
        <v>6680</v>
      </c>
      <c r="C1873" s="828">
        <v>102801</v>
      </c>
      <c r="D1873" s="630" t="s">
        <v>6358</v>
      </c>
      <c r="E1873" s="630" t="s">
        <v>646</v>
      </c>
      <c r="F1873" s="829">
        <v>68678.210000000006</v>
      </c>
      <c r="G1873" s="843">
        <v>11836.77</v>
      </c>
      <c r="H1873" s="832">
        <v>80514.98</v>
      </c>
      <c r="I1873" s="846"/>
      <c r="J1873" s="846"/>
      <c r="K1873" s="846"/>
      <c r="L1873" s="846"/>
      <c r="M1873" s="846"/>
      <c r="N1873" s="846"/>
      <c r="O1873" s="846"/>
      <c r="P1873" s="846"/>
      <c r="Q1873" s="846"/>
      <c r="R1873" s="846"/>
      <c r="S1873" s="846"/>
      <c r="T1873" s="846"/>
    </row>
    <row r="1874" spans="2:20" ht="25.5" hidden="1">
      <c r="B1874" s="828" t="s">
        <v>6680</v>
      </c>
      <c r="C1874" s="828">
        <v>102802</v>
      </c>
      <c r="D1874" s="630" t="s">
        <v>6359</v>
      </c>
      <c r="E1874" s="630" t="s">
        <v>646</v>
      </c>
      <c r="F1874" s="829">
        <v>82448.34</v>
      </c>
      <c r="G1874" s="843">
        <v>14065.73</v>
      </c>
      <c r="H1874" s="832">
        <v>96514.07</v>
      </c>
      <c r="I1874" s="846"/>
      <c r="J1874" s="846"/>
      <c r="K1874" s="846"/>
      <c r="L1874" s="846"/>
      <c r="M1874" s="846"/>
      <c r="N1874" s="846"/>
      <c r="O1874" s="846"/>
      <c r="P1874" s="846"/>
      <c r="Q1874" s="846"/>
      <c r="R1874" s="846"/>
      <c r="S1874" s="846"/>
      <c r="T1874" s="846"/>
    </row>
    <row r="1875" spans="2:20" ht="25.5" hidden="1">
      <c r="B1875" s="828" t="s">
        <v>6653</v>
      </c>
      <c r="C1875" s="844">
        <v>101570</v>
      </c>
      <c r="D1875" s="975" t="s">
        <v>3760</v>
      </c>
      <c r="E1875" s="630" t="s">
        <v>649</v>
      </c>
      <c r="F1875" s="829">
        <v>12.69</v>
      </c>
      <c r="G1875" s="843">
        <v>14.5</v>
      </c>
      <c r="H1875" s="832">
        <v>27.19</v>
      </c>
      <c r="I1875" s="846"/>
      <c r="J1875" s="846"/>
      <c r="K1875" s="846"/>
      <c r="L1875" s="846"/>
      <c r="M1875" s="846"/>
      <c r="N1875" s="846"/>
      <c r="O1875" s="846"/>
      <c r="P1875" s="846"/>
      <c r="Q1875" s="846"/>
      <c r="R1875" s="846"/>
      <c r="S1875" s="846"/>
      <c r="T1875" s="846"/>
    </row>
    <row r="1876" spans="2:20" ht="38.25" hidden="1">
      <c r="B1876" s="828" t="s">
        <v>6653</v>
      </c>
      <c r="C1876" s="828">
        <v>101571</v>
      </c>
      <c r="D1876" s="630" t="s">
        <v>3761</v>
      </c>
      <c r="E1876" s="630" t="s">
        <v>649</v>
      </c>
      <c r="F1876" s="829">
        <v>15.26</v>
      </c>
      <c r="G1876" s="843">
        <v>21.45</v>
      </c>
      <c r="H1876" s="832">
        <v>36.71</v>
      </c>
      <c r="I1876" s="846"/>
      <c r="J1876" s="846"/>
      <c r="K1876" s="846"/>
      <c r="L1876" s="846"/>
      <c r="M1876" s="846"/>
      <c r="N1876" s="846"/>
      <c r="O1876" s="846"/>
      <c r="P1876" s="846"/>
      <c r="Q1876" s="846"/>
      <c r="R1876" s="846"/>
      <c r="S1876" s="846"/>
      <c r="T1876" s="846"/>
    </row>
    <row r="1877" spans="2:20" ht="25.5" hidden="1">
      <c r="B1877" s="828" t="s">
        <v>6653</v>
      </c>
      <c r="C1877" s="828">
        <v>101572</v>
      </c>
      <c r="D1877" s="630" t="s">
        <v>3762</v>
      </c>
      <c r="E1877" s="630" t="s">
        <v>649</v>
      </c>
      <c r="F1877" s="829">
        <v>10.62</v>
      </c>
      <c r="G1877" s="843">
        <v>10.78</v>
      </c>
      <c r="H1877" s="832">
        <v>21.4</v>
      </c>
      <c r="I1877" s="846"/>
      <c r="J1877" s="846"/>
      <c r="K1877" s="846"/>
      <c r="L1877" s="846"/>
      <c r="M1877" s="846"/>
      <c r="N1877" s="846"/>
      <c r="O1877" s="846"/>
      <c r="P1877" s="846"/>
      <c r="Q1877" s="846"/>
      <c r="R1877" s="846"/>
      <c r="S1877" s="846"/>
      <c r="T1877" s="846"/>
    </row>
    <row r="1878" spans="2:20" ht="38.25" hidden="1">
      <c r="B1878" s="828" t="s">
        <v>6653</v>
      </c>
      <c r="C1878" s="828">
        <v>101573</v>
      </c>
      <c r="D1878" s="630" t="s">
        <v>3763</v>
      </c>
      <c r="E1878" s="630" t="s">
        <v>649</v>
      </c>
      <c r="F1878" s="829">
        <v>13.2</v>
      </c>
      <c r="G1878" s="843">
        <v>17.72</v>
      </c>
      <c r="H1878" s="832">
        <v>30.92</v>
      </c>
      <c r="I1878" s="846"/>
      <c r="J1878" s="846"/>
      <c r="K1878" s="846"/>
      <c r="L1878" s="846"/>
      <c r="M1878" s="846"/>
      <c r="N1878" s="846"/>
      <c r="O1878" s="846"/>
      <c r="P1878" s="846"/>
      <c r="Q1878" s="846"/>
      <c r="R1878" s="846"/>
      <c r="S1878" s="846"/>
      <c r="T1878" s="846"/>
    </row>
    <row r="1879" spans="2:20" ht="25.5" hidden="1">
      <c r="B1879" s="828" t="s">
        <v>6653</v>
      </c>
      <c r="C1879" s="828">
        <v>101574</v>
      </c>
      <c r="D1879" s="630" t="s">
        <v>3764</v>
      </c>
      <c r="E1879" s="630" t="s">
        <v>649</v>
      </c>
      <c r="F1879" s="829">
        <v>9.48</v>
      </c>
      <c r="G1879" s="843">
        <v>7.02</v>
      </c>
      <c r="H1879" s="832">
        <v>16.5</v>
      </c>
      <c r="I1879" s="846"/>
      <c r="J1879" s="846"/>
      <c r="K1879" s="846"/>
      <c r="L1879" s="846"/>
      <c r="M1879" s="846"/>
      <c r="N1879" s="846"/>
      <c r="O1879" s="846"/>
      <c r="P1879" s="846"/>
      <c r="Q1879" s="846"/>
      <c r="R1879" s="846"/>
      <c r="S1879" s="846"/>
      <c r="T1879" s="846"/>
    </row>
    <row r="1880" spans="2:20" ht="38.25" hidden="1">
      <c r="B1880" s="828" t="s">
        <v>6653</v>
      </c>
      <c r="C1880" s="828">
        <v>101575</v>
      </c>
      <c r="D1880" s="630" t="s">
        <v>3765</v>
      </c>
      <c r="E1880" s="630" t="s">
        <v>649</v>
      </c>
      <c r="F1880" s="829">
        <v>12.19</v>
      </c>
      <c r="G1880" s="843">
        <v>14</v>
      </c>
      <c r="H1880" s="832">
        <v>26.19</v>
      </c>
      <c r="I1880" s="846"/>
      <c r="J1880" s="846"/>
      <c r="K1880" s="846"/>
      <c r="L1880" s="846"/>
      <c r="M1880" s="846"/>
      <c r="N1880" s="846"/>
      <c r="O1880" s="846"/>
      <c r="P1880" s="846"/>
      <c r="Q1880" s="846"/>
      <c r="R1880" s="846"/>
      <c r="S1880" s="846"/>
      <c r="T1880" s="846"/>
    </row>
    <row r="1881" spans="2:20" ht="25.5" hidden="1">
      <c r="B1881" s="828" t="s">
        <v>6653</v>
      </c>
      <c r="C1881" s="828">
        <v>101576</v>
      </c>
      <c r="D1881" s="630" t="s">
        <v>3766</v>
      </c>
      <c r="E1881" s="630" t="s">
        <v>649</v>
      </c>
      <c r="F1881" s="829">
        <v>30.71</v>
      </c>
      <c r="G1881" s="830">
        <v>18.78</v>
      </c>
      <c r="H1881" s="831">
        <v>49.49</v>
      </c>
      <c r="I1881" s="846"/>
      <c r="J1881" s="846"/>
      <c r="K1881" s="846"/>
      <c r="L1881" s="846"/>
      <c r="M1881" s="846"/>
      <c r="N1881" s="846"/>
      <c r="O1881" s="846"/>
      <c r="P1881" s="846"/>
      <c r="Q1881" s="846"/>
      <c r="R1881" s="846"/>
      <c r="S1881" s="846"/>
      <c r="T1881" s="846"/>
    </row>
    <row r="1882" spans="2:20" ht="38.25" hidden="1">
      <c r="B1882" s="828" t="s">
        <v>6653</v>
      </c>
      <c r="C1882" s="828">
        <v>101577</v>
      </c>
      <c r="D1882" s="630" t="s">
        <v>3767</v>
      </c>
      <c r="E1882" s="630" t="s">
        <v>649</v>
      </c>
      <c r="F1882" s="829">
        <v>33.9</v>
      </c>
      <c r="G1882" s="830">
        <v>27.79</v>
      </c>
      <c r="H1882" s="831">
        <v>61.69</v>
      </c>
      <c r="I1882" s="846"/>
      <c r="J1882" s="846"/>
      <c r="K1882" s="846"/>
      <c r="L1882" s="846"/>
      <c r="M1882" s="846"/>
      <c r="N1882" s="846"/>
      <c r="O1882" s="846"/>
      <c r="P1882" s="846"/>
      <c r="Q1882" s="846"/>
      <c r="R1882" s="846"/>
      <c r="S1882" s="846"/>
      <c r="T1882" s="846"/>
    </row>
    <row r="1883" spans="2:20" ht="25.5" hidden="1">
      <c r="B1883" s="828" t="s">
        <v>6653</v>
      </c>
      <c r="C1883" s="828">
        <v>101578</v>
      </c>
      <c r="D1883" s="630" t="s">
        <v>3768</v>
      </c>
      <c r="E1883" s="630" t="s">
        <v>649</v>
      </c>
      <c r="F1883" s="829">
        <v>27.11</v>
      </c>
      <c r="G1883" s="830">
        <v>13.94</v>
      </c>
      <c r="H1883" s="831">
        <v>41.05</v>
      </c>
      <c r="I1883" s="846"/>
      <c r="J1883" s="846"/>
      <c r="K1883" s="846"/>
      <c r="L1883" s="846"/>
      <c r="M1883" s="846"/>
      <c r="N1883" s="846"/>
      <c r="O1883" s="846"/>
      <c r="P1883" s="846"/>
      <c r="Q1883" s="846"/>
      <c r="R1883" s="846"/>
      <c r="S1883" s="846"/>
      <c r="T1883" s="846"/>
    </row>
    <row r="1884" spans="2:20" ht="38.25" hidden="1">
      <c r="B1884" s="828" t="s">
        <v>6653</v>
      </c>
      <c r="C1884" s="828">
        <v>101579</v>
      </c>
      <c r="D1884" s="630" t="s">
        <v>3769</v>
      </c>
      <c r="E1884" s="630" t="s">
        <v>649</v>
      </c>
      <c r="F1884" s="829">
        <v>30.27</v>
      </c>
      <c r="G1884" s="830">
        <v>22.97</v>
      </c>
      <c r="H1884" s="831">
        <v>53.24</v>
      </c>
      <c r="I1884" s="846"/>
      <c r="J1884" s="846"/>
      <c r="K1884" s="846"/>
      <c r="L1884" s="846"/>
      <c r="M1884" s="846"/>
      <c r="N1884" s="846"/>
      <c r="O1884" s="846"/>
      <c r="P1884" s="846"/>
      <c r="Q1884" s="846"/>
      <c r="R1884" s="846"/>
      <c r="S1884" s="846"/>
      <c r="T1884" s="846"/>
    </row>
    <row r="1885" spans="2:20" ht="25.5" hidden="1">
      <c r="B1885" s="828" t="s">
        <v>6653</v>
      </c>
      <c r="C1885" s="828">
        <v>101580</v>
      </c>
      <c r="D1885" s="630" t="s">
        <v>3770</v>
      </c>
      <c r="E1885" s="630" t="s">
        <v>649</v>
      </c>
      <c r="F1885" s="829">
        <v>27.55</v>
      </c>
      <c r="G1885" s="830">
        <v>9.11</v>
      </c>
      <c r="H1885" s="831">
        <v>36.659999999999997</v>
      </c>
      <c r="I1885" s="846"/>
      <c r="J1885" s="846"/>
      <c r="K1885" s="846"/>
      <c r="L1885" s="846"/>
      <c r="M1885" s="846"/>
      <c r="N1885" s="846"/>
      <c r="O1885" s="846"/>
      <c r="P1885" s="846"/>
      <c r="Q1885" s="846"/>
      <c r="R1885" s="846"/>
      <c r="S1885" s="846"/>
      <c r="T1885" s="846"/>
    </row>
    <row r="1886" spans="2:20" ht="25.5" hidden="1">
      <c r="B1886" s="828" t="s">
        <v>6653</v>
      </c>
      <c r="C1886" s="828">
        <v>101581</v>
      </c>
      <c r="D1886" s="630" t="s">
        <v>3771</v>
      </c>
      <c r="E1886" s="630" t="s">
        <v>649</v>
      </c>
      <c r="F1886" s="829">
        <v>30.9</v>
      </c>
      <c r="G1886" s="830">
        <v>18.13</v>
      </c>
      <c r="H1886" s="831">
        <v>49.03</v>
      </c>
      <c r="I1886" s="846"/>
      <c r="J1886" s="846"/>
      <c r="K1886" s="846"/>
      <c r="L1886" s="846"/>
      <c r="M1886" s="846"/>
      <c r="N1886" s="846"/>
      <c r="O1886" s="846"/>
      <c r="P1886" s="846"/>
      <c r="Q1886" s="846"/>
      <c r="R1886" s="846"/>
      <c r="S1886" s="846"/>
      <c r="T1886" s="846"/>
    </row>
    <row r="1887" spans="2:20" ht="25.5" hidden="1">
      <c r="B1887" s="828" t="s">
        <v>6653</v>
      </c>
      <c r="C1887" s="828">
        <v>101582</v>
      </c>
      <c r="D1887" s="630" t="s">
        <v>3772</v>
      </c>
      <c r="E1887" s="630" t="s">
        <v>649</v>
      </c>
      <c r="F1887" s="829">
        <v>51.73</v>
      </c>
      <c r="G1887" s="830">
        <v>29.72</v>
      </c>
      <c r="H1887" s="831">
        <v>81.45</v>
      </c>
      <c r="I1887" s="846"/>
      <c r="J1887" s="846"/>
      <c r="K1887" s="846"/>
      <c r="L1887" s="846"/>
      <c r="M1887" s="846"/>
      <c r="N1887" s="846"/>
      <c r="O1887" s="846"/>
      <c r="P1887" s="846"/>
      <c r="Q1887" s="846"/>
      <c r="R1887" s="846"/>
      <c r="S1887" s="846"/>
      <c r="T1887" s="846"/>
    </row>
    <row r="1888" spans="2:20" ht="25.5" hidden="1">
      <c r="B1888" s="828" t="s">
        <v>6653</v>
      </c>
      <c r="C1888" s="828">
        <v>101583</v>
      </c>
      <c r="D1888" s="630" t="s">
        <v>3773</v>
      </c>
      <c r="E1888" s="630" t="s">
        <v>649</v>
      </c>
      <c r="F1888" s="829">
        <v>56.45</v>
      </c>
      <c r="G1888" s="830">
        <v>43.99</v>
      </c>
      <c r="H1888" s="831">
        <v>100.44</v>
      </c>
      <c r="I1888" s="846"/>
      <c r="J1888" s="846"/>
      <c r="K1888" s="846"/>
      <c r="L1888" s="846"/>
      <c r="M1888" s="846"/>
      <c r="N1888" s="846"/>
      <c r="O1888" s="846"/>
      <c r="P1888" s="846"/>
      <c r="Q1888" s="846"/>
      <c r="R1888" s="846"/>
      <c r="S1888" s="846"/>
      <c r="T1888" s="846"/>
    </row>
    <row r="1889" spans="2:20" ht="25.5" hidden="1">
      <c r="B1889" s="828" t="s">
        <v>6653</v>
      </c>
      <c r="C1889" s="828">
        <v>101584</v>
      </c>
      <c r="D1889" s="630" t="s">
        <v>3774</v>
      </c>
      <c r="E1889" s="630" t="s">
        <v>649</v>
      </c>
      <c r="F1889" s="829">
        <v>45.1</v>
      </c>
      <c r="G1889" s="830">
        <v>22.08</v>
      </c>
      <c r="H1889" s="831">
        <v>67.180000000000007</v>
      </c>
      <c r="I1889" s="846"/>
      <c r="J1889" s="846"/>
      <c r="K1889" s="846"/>
      <c r="L1889" s="846"/>
      <c r="M1889" s="846"/>
      <c r="N1889" s="846"/>
      <c r="O1889" s="846"/>
      <c r="P1889" s="846"/>
      <c r="Q1889" s="846"/>
      <c r="R1889" s="846"/>
      <c r="S1889" s="846"/>
      <c r="T1889" s="846"/>
    </row>
    <row r="1890" spans="2:20" ht="38.25" hidden="1">
      <c r="B1890" s="828" t="s">
        <v>6653</v>
      </c>
      <c r="C1890" s="828">
        <v>101585</v>
      </c>
      <c r="D1890" s="630" t="s">
        <v>3775</v>
      </c>
      <c r="E1890" s="630" t="s">
        <v>649</v>
      </c>
      <c r="F1890" s="829">
        <v>49.84</v>
      </c>
      <c r="G1890" s="830">
        <v>36.340000000000003</v>
      </c>
      <c r="H1890" s="831">
        <v>86.18</v>
      </c>
      <c r="I1890" s="846"/>
      <c r="J1890" s="846"/>
      <c r="K1890" s="846"/>
      <c r="L1890" s="846"/>
      <c r="M1890" s="846"/>
      <c r="N1890" s="846"/>
      <c r="O1890" s="846"/>
      <c r="P1890" s="846"/>
      <c r="Q1890" s="846"/>
      <c r="R1890" s="846"/>
      <c r="S1890" s="846"/>
      <c r="T1890" s="846"/>
    </row>
    <row r="1891" spans="2:20" ht="25.5" hidden="1">
      <c r="B1891" s="828" t="s">
        <v>6653</v>
      </c>
      <c r="C1891" s="828">
        <v>101586</v>
      </c>
      <c r="D1891" s="630" t="s">
        <v>3776</v>
      </c>
      <c r="E1891" s="630" t="s">
        <v>649</v>
      </c>
      <c r="F1891" s="829">
        <v>44.11</v>
      </c>
      <c r="G1891" s="830">
        <v>14.42</v>
      </c>
      <c r="H1891" s="831">
        <v>58.53</v>
      </c>
      <c r="I1891" s="846"/>
      <c r="J1891" s="846"/>
      <c r="K1891" s="846"/>
      <c r="L1891" s="846"/>
      <c r="M1891" s="846"/>
      <c r="N1891" s="846"/>
      <c r="O1891" s="846"/>
      <c r="P1891" s="846"/>
      <c r="Q1891" s="846"/>
      <c r="R1891" s="846"/>
      <c r="S1891" s="846"/>
      <c r="T1891" s="846"/>
    </row>
    <row r="1892" spans="2:20" ht="25.5" hidden="1">
      <c r="B1892" s="828" t="s">
        <v>6653</v>
      </c>
      <c r="C1892" s="828">
        <v>101587</v>
      </c>
      <c r="D1892" s="630" t="s">
        <v>3777</v>
      </c>
      <c r="E1892" s="630" t="s">
        <v>649</v>
      </c>
      <c r="F1892" s="829">
        <v>48.99</v>
      </c>
      <c r="G1892" s="830">
        <v>28.71</v>
      </c>
      <c r="H1892" s="831">
        <v>77.7</v>
      </c>
      <c r="I1892" s="846"/>
      <c r="J1892" s="846"/>
      <c r="K1892" s="846"/>
      <c r="L1892" s="846"/>
      <c r="M1892" s="846"/>
      <c r="N1892" s="846"/>
      <c r="O1892" s="846"/>
      <c r="P1892" s="846"/>
      <c r="Q1892" s="846"/>
      <c r="R1892" s="846"/>
      <c r="S1892" s="846"/>
      <c r="T1892" s="846"/>
    </row>
    <row r="1893" spans="2:20" ht="25.5" hidden="1">
      <c r="B1893" s="828" t="s">
        <v>6654</v>
      </c>
      <c r="C1893" s="828">
        <v>101588</v>
      </c>
      <c r="D1893" s="630" t="s">
        <v>3778</v>
      </c>
      <c r="E1893" s="630" t="s">
        <v>649</v>
      </c>
      <c r="F1893" s="829">
        <v>66.989999999999995</v>
      </c>
      <c r="G1893" s="830">
        <v>34.42</v>
      </c>
      <c r="H1893" s="831">
        <v>101.41</v>
      </c>
      <c r="I1893" s="846"/>
      <c r="J1893" s="846"/>
      <c r="K1893" s="846"/>
      <c r="L1893" s="846"/>
      <c r="M1893" s="846"/>
      <c r="N1893" s="846"/>
      <c r="O1893" s="846"/>
      <c r="P1893" s="846"/>
      <c r="Q1893" s="846"/>
      <c r="R1893" s="846"/>
      <c r="S1893" s="846"/>
      <c r="T1893" s="846"/>
    </row>
    <row r="1894" spans="2:20" ht="38.25" hidden="1">
      <c r="B1894" s="828" t="s">
        <v>6654</v>
      </c>
      <c r="C1894" s="828">
        <v>101589</v>
      </c>
      <c r="D1894" s="630" t="s">
        <v>3779</v>
      </c>
      <c r="E1894" s="630" t="s">
        <v>649</v>
      </c>
      <c r="F1894" s="829">
        <v>96.44</v>
      </c>
      <c r="G1894" s="830">
        <v>50.92</v>
      </c>
      <c r="H1894" s="831">
        <v>147.36000000000001</v>
      </c>
      <c r="I1894" s="846"/>
      <c r="J1894" s="846"/>
      <c r="K1894" s="846"/>
      <c r="L1894" s="846"/>
      <c r="M1894" s="846"/>
      <c r="N1894" s="846"/>
      <c r="O1894" s="846"/>
      <c r="P1894" s="846"/>
      <c r="Q1894" s="846"/>
      <c r="R1894" s="846"/>
      <c r="S1894" s="846"/>
      <c r="T1894" s="846"/>
    </row>
    <row r="1895" spans="2:20" ht="25.5" hidden="1">
      <c r="B1895" s="828" t="s">
        <v>6654</v>
      </c>
      <c r="C1895" s="828">
        <v>101590</v>
      </c>
      <c r="D1895" s="630" t="s">
        <v>3780</v>
      </c>
      <c r="E1895" s="630" t="s">
        <v>649</v>
      </c>
      <c r="F1895" s="829">
        <v>51.42</v>
      </c>
      <c r="G1895" s="830">
        <v>25.55</v>
      </c>
      <c r="H1895" s="831">
        <v>76.97</v>
      </c>
      <c r="I1895" s="846"/>
      <c r="J1895" s="846"/>
      <c r="K1895" s="846"/>
      <c r="L1895" s="846"/>
      <c r="M1895" s="846"/>
      <c r="N1895" s="846"/>
      <c r="O1895" s="846"/>
      <c r="P1895" s="846"/>
      <c r="Q1895" s="846"/>
      <c r="R1895" s="846"/>
      <c r="S1895" s="846"/>
      <c r="T1895" s="846"/>
    </row>
    <row r="1896" spans="2:20" ht="38.25" hidden="1">
      <c r="B1896" s="828" t="s">
        <v>6654</v>
      </c>
      <c r="C1896" s="828">
        <v>101591</v>
      </c>
      <c r="D1896" s="630" t="s">
        <v>3781</v>
      </c>
      <c r="E1896" s="630" t="s">
        <v>649</v>
      </c>
      <c r="F1896" s="829">
        <v>80.849999999999994</v>
      </c>
      <c r="G1896" s="830">
        <v>42.07</v>
      </c>
      <c r="H1896" s="831">
        <v>122.92</v>
      </c>
      <c r="I1896" s="846"/>
      <c r="J1896" s="846"/>
      <c r="K1896" s="846"/>
      <c r="L1896" s="846"/>
      <c r="M1896" s="846"/>
      <c r="N1896" s="846"/>
      <c r="O1896" s="846"/>
      <c r="P1896" s="846"/>
      <c r="Q1896" s="846"/>
      <c r="R1896" s="846"/>
      <c r="S1896" s="846"/>
      <c r="T1896" s="846"/>
    </row>
    <row r="1897" spans="2:20" ht="25.5" hidden="1">
      <c r="B1897" s="828" t="s">
        <v>6654</v>
      </c>
      <c r="C1897" s="828">
        <v>101592</v>
      </c>
      <c r="D1897" s="630" t="s">
        <v>3782</v>
      </c>
      <c r="E1897" s="630" t="s">
        <v>649</v>
      </c>
      <c r="F1897" s="829">
        <v>37.89</v>
      </c>
      <c r="G1897" s="830">
        <v>16.690000000000001</v>
      </c>
      <c r="H1897" s="831">
        <v>54.58</v>
      </c>
      <c r="I1897" s="846"/>
      <c r="J1897" s="846"/>
      <c r="K1897" s="846"/>
      <c r="L1897" s="846"/>
      <c r="M1897" s="846"/>
      <c r="N1897" s="846"/>
      <c r="O1897" s="846"/>
      <c r="P1897" s="846"/>
      <c r="Q1897" s="846"/>
      <c r="R1897" s="846"/>
      <c r="S1897" s="846"/>
      <c r="T1897" s="846"/>
    </row>
    <row r="1898" spans="2:20" ht="38.25" hidden="1">
      <c r="B1898" s="828" t="s">
        <v>6654</v>
      </c>
      <c r="C1898" s="828">
        <v>101593</v>
      </c>
      <c r="D1898" s="630" t="s">
        <v>3783</v>
      </c>
      <c r="E1898" s="630" t="s">
        <v>649</v>
      </c>
      <c r="F1898" s="829">
        <v>67.47999999999999</v>
      </c>
      <c r="G1898" s="830">
        <v>33.21</v>
      </c>
      <c r="H1898" s="831">
        <v>100.69</v>
      </c>
      <c r="I1898" s="846"/>
      <c r="J1898" s="846"/>
      <c r="K1898" s="846"/>
      <c r="L1898" s="846"/>
      <c r="M1898" s="846"/>
      <c r="N1898" s="846"/>
      <c r="O1898" s="846"/>
      <c r="P1898" s="846"/>
      <c r="Q1898" s="846"/>
      <c r="R1898" s="846"/>
      <c r="S1898" s="846"/>
      <c r="T1898" s="846"/>
    </row>
    <row r="1899" spans="2:20" ht="38.25" hidden="1">
      <c r="B1899" s="828" t="s">
        <v>6654</v>
      </c>
      <c r="C1899" s="828">
        <v>101600</v>
      </c>
      <c r="D1899" s="630" t="s">
        <v>3784</v>
      </c>
      <c r="E1899" s="630" t="s">
        <v>649</v>
      </c>
      <c r="F1899" s="829">
        <v>11.98</v>
      </c>
      <c r="G1899" s="830">
        <v>6.86</v>
      </c>
      <c r="H1899" s="831">
        <v>18.84</v>
      </c>
      <c r="I1899" s="846"/>
      <c r="J1899" s="846"/>
      <c r="K1899" s="846"/>
      <c r="L1899" s="846"/>
      <c r="M1899" s="846"/>
      <c r="N1899" s="846"/>
      <c r="O1899" s="846"/>
      <c r="P1899" s="846"/>
      <c r="Q1899" s="846"/>
      <c r="R1899" s="846"/>
      <c r="S1899" s="846"/>
      <c r="T1899" s="846"/>
    </row>
    <row r="1900" spans="2:20" ht="38.25" hidden="1">
      <c r="B1900" s="828" t="s">
        <v>6654</v>
      </c>
      <c r="C1900" s="828">
        <v>101601</v>
      </c>
      <c r="D1900" s="630" t="s">
        <v>3785</v>
      </c>
      <c r="E1900" s="630" t="s">
        <v>649</v>
      </c>
      <c r="F1900" s="829">
        <v>17.72</v>
      </c>
      <c r="G1900" s="830">
        <v>10.16</v>
      </c>
      <c r="H1900" s="831">
        <v>27.88</v>
      </c>
      <c r="I1900" s="846"/>
      <c r="J1900" s="846"/>
      <c r="K1900" s="846"/>
      <c r="L1900" s="846"/>
      <c r="M1900" s="846"/>
      <c r="N1900" s="846"/>
      <c r="O1900" s="846"/>
      <c r="P1900" s="846"/>
      <c r="Q1900" s="846"/>
      <c r="R1900" s="846"/>
      <c r="S1900" s="846"/>
      <c r="T1900" s="846"/>
    </row>
    <row r="1901" spans="2:20" ht="38.25" hidden="1">
      <c r="B1901" s="828" t="s">
        <v>6654</v>
      </c>
      <c r="C1901" s="828">
        <v>101602</v>
      </c>
      <c r="D1901" s="630" t="s">
        <v>3786</v>
      </c>
      <c r="E1901" s="630" t="s">
        <v>649</v>
      </c>
      <c r="F1901" s="829">
        <v>8.8699999999999992</v>
      </c>
      <c r="G1901" s="830">
        <v>5.0999999999999996</v>
      </c>
      <c r="H1901" s="831">
        <v>13.97</v>
      </c>
      <c r="I1901" s="846"/>
      <c r="J1901" s="846"/>
      <c r="K1901" s="846"/>
      <c r="L1901" s="846"/>
      <c r="M1901" s="846"/>
      <c r="N1901" s="846"/>
      <c r="O1901" s="846"/>
      <c r="P1901" s="846"/>
      <c r="Q1901" s="846"/>
      <c r="R1901" s="846"/>
      <c r="S1901" s="846"/>
      <c r="T1901" s="846"/>
    </row>
    <row r="1902" spans="2:20" ht="38.25" hidden="1">
      <c r="B1902" s="828" t="s">
        <v>6654</v>
      </c>
      <c r="C1902" s="828">
        <v>101603</v>
      </c>
      <c r="D1902" s="630" t="s">
        <v>3787</v>
      </c>
      <c r="E1902" s="630" t="s">
        <v>649</v>
      </c>
      <c r="F1902" s="829">
        <v>14.62</v>
      </c>
      <c r="G1902" s="830">
        <v>8.4</v>
      </c>
      <c r="H1902" s="831">
        <v>23.02</v>
      </c>
      <c r="I1902" s="846"/>
      <c r="J1902" s="846"/>
      <c r="K1902" s="846"/>
      <c r="L1902" s="846"/>
      <c r="M1902" s="846"/>
      <c r="N1902" s="846"/>
      <c r="O1902" s="846"/>
      <c r="P1902" s="846"/>
      <c r="Q1902" s="846"/>
      <c r="R1902" s="846"/>
      <c r="S1902" s="846"/>
      <c r="T1902" s="846"/>
    </row>
    <row r="1903" spans="2:20" ht="38.25" hidden="1">
      <c r="B1903" s="828" t="s">
        <v>6654</v>
      </c>
      <c r="C1903" s="828">
        <v>101604</v>
      </c>
      <c r="D1903" s="630" t="s">
        <v>3788</v>
      </c>
      <c r="E1903" s="630" t="s">
        <v>649</v>
      </c>
      <c r="F1903" s="829">
        <v>5.79</v>
      </c>
      <c r="G1903" s="830">
        <v>3.35</v>
      </c>
      <c r="H1903" s="831">
        <v>9.14</v>
      </c>
      <c r="I1903" s="846"/>
      <c r="J1903" s="846"/>
      <c r="K1903" s="846"/>
      <c r="L1903" s="846"/>
      <c r="M1903" s="846"/>
      <c r="N1903" s="846"/>
      <c r="O1903" s="846"/>
      <c r="P1903" s="846"/>
      <c r="Q1903" s="846"/>
      <c r="R1903" s="846"/>
      <c r="S1903" s="846"/>
      <c r="T1903" s="846"/>
    </row>
    <row r="1904" spans="2:20" ht="38.25" hidden="1">
      <c r="B1904" s="828" t="s">
        <v>6654</v>
      </c>
      <c r="C1904" s="828">
        <v>101605</v>
      </c>
      <c r="D1904" s="630" t="s">
        <v>3789</v>
      </c>
      <c r="E1904" s="630" t="s">
        <v>649</v>
      </c>
      <c r="F1904" s="829">
        <v>11.55</v>
      </c>
      <c r="G1904" s="830">
        <v>6.64</v>
      </c>
      <c r="H1904" s="831">
        <v>18.190000000000001</v>
      </c>
      <c r="I1904" s="846"/>
      <c r="J1904" s="846"/>
      <c r="K1904" s="846"/>
      <c r="L1904" s="846"/>
      <c r="M1904" s="846"/>
      <c r="N1904" s="846"/>
      <c r="O1904" s="846"/>
      <c r="P1904" s="846"/>
      <c r="Q1904" s="846"/>
      <c r="R1904" s="846"/>
      <c r="S1904" s="846"/>
      <c r="T1904" s="846"/>
    </row>
    <row r="1905" spans="2:20" ht="51" hidden="1">
      <c r="B1905" s="828" t="s">
        <v>6555</v>
      </c>
      <c r="C1905" s="828">
        <v>90788</v>
      </c>
      <c r="D1905" s="630" t="s">
        <v>3790</v>
      </c>
      <c r="E1905" s="630" t="s">
        <v>646</v>
      </c>
      <c r="F1905" s="829">
        <v>768.85</v>
      </c>
      <c r="G1905" s="830">
        <v>14.42</v>
      </c>
      <c r="H1905" s="831">
        <v>783.27</v>
      </c>
      <c r="I1905" s="846"/>
      <c r="J1905" s="846"/>
      <c r="K1905" s="846"/>
      <c r="L1905" s="846"/>
      <c r="M1905" s="846"/>
      <c r="N1905" s="846"/>
      <c r="O1905" s="846"/>
      <c r="P1905" s="846"/>
      <c r="Q1905" s="846"/>
      <c r="R1905" s="846"/>
      <c r="S1905" s="846"/>
      <c r="T1905" s="846"/>
    </row>
    <row r="1906" spans="2:20" ht="51" hidden="1">
      <c r="B1906" s="828" t="s">
        <v>6555</v>
      </c>
      <c r="C1906" s="828">
        <v>90789</v>
      </c>
      <c r="D1906" s="630" t="s">
        <v>3791</v>
      </c>
      <c r="E1906" s="630" t="s">
        <v>646</v>
      </c>
      <c r="F1906" s="829">
        <v>769.3</v>
      </c>
      <c r="G1906" s="830">
        <v>15.94</v>
      </c>
      <c r="H1906" s="831">
        <v>785.24</v>
      </c>
      <c r="I1906" s="846"/>
      <c r="J1906" s="846"/>
      <c r="K1906" s="846"/>
      <c r="L1906" s="846"/>
      <c r="M1906" s="846"/>
      <c r="N1906" s="846"/>
      <c r="O1906" s="846"/>
      <c r="P1906" s="846"/>
      <c r="Q1906" s="846"/>
      <c r="R1906" s="846"/>
      <c r="S1906" s="846"/>
      <c r="T1906" s="846"/>
    </row>
    <row r="1907" spans="2:20" ht="51" hidden="1">
      <c r="B1907" s="828" t="s">
        <v>6555</v>
      </c>
      <c r="C1907" s="828">
        <v>90790</v>
      </c>
      <c r="D1907" s="630" t="s">
        <v>3792</v>
      </c>
      <c r="E1907" s="630" t="s">
        <v>646</v>
      </c>
      <c r="F1907" s="829">
        <v>792.75</v>
      </c>
      <c r="G1907" s="830">
        <v>17.41</v>
      </c>
      <c r="H1907" s="831">
        <v>810.16</v>
      </c>
      <c r="I1907" s="846"/>
      <c r="J1907" s="846"/>
      <c r="K1907" s="846"/>
      <c r="L1907" s="846"/>
      <c r="M1907" s="846"/>
      <c r="N1907" s="846"/>
      <c r="O1907" s="846"/>
      <c r="P1907" s="846"/>
      <c r="Q1907" s="846"/>
      <c r="R1907" s="846"/>
      <c r="S1907" s="846"/>
      <c r="T1907" s="846"/>
    </row>
    <row r="1908" spans="2:20" ht="51" hidden="1">
      <c r="B1908" s="828" t="s">
        <v>6555</v>
      </c>
      <c r="C1908" s="828">
        <v>90791</v>
      </c>
      <c r="D1908" s="630" t="s">
        <v>3793</v>
      </c>
      <c r="E1908" s="630" t="s">
        <v>646</v>
      </c>
      <c r="F1908" s="829">
        <v>926.81</v>
      </c>
      <c r="G1908" s="830">
        <v>23.55</v>
      </c>
      <c r="H1908" s="831">
        <v>950.36</v>
      </c>
      <c r="I1908" s="846"/>
      <c r="J1908" s="846"/>
      <c r="K1908" s="846"/>
      <c r="L1908" s="846"/>
      <c r="M1908" s="846"/>
      <c r="N1908" s="846"/>
      <c r="O1908" s="846"/>
      <c r="P1908" s="846"/>
      <c r="Q1908" s="846"/>
      <c r="R1908" s="846"/>
      <c r="S1908" s="846"/>
      <c r="T1908" s="846"/>
    </row>
    <row r="1909" spans="2:20" ht="51" hidden="1">
      <c r="B1909" s="828" t="s">
        <v>6555</v>
      </c>
      <c r="C1909" s="828">
        <v>90793</v>
      </c>
      <c r="D1909" s="630" t="s">
        <v>3794</v>
      </c>
      <c r="E1909" s="630" t="s">
        <v>646</v>
      </c>
      <c r="F1909" s="829">
        <v>975.81</v>
      </c>
      <c r="G1909" s="830">
        <v>29.16</v>
      </c>
      <c r="H1909" s="831">
        <v>1004.97</v>
      </c>
      <c r="I1909" s="846"/>
      <c r="J1909" s="846"/>
      <c r="K1909" s="846"/>
      <c r="L1909" s="846"/>
      <c r="M1909" s="846"/>
      <c r="N1909" s="846"/>
      <c r="O1909" s="846"/>
      <c r="P1909" s="846"/>
      <c r="Q1909" s="846"/>
      <c r="R1909" s="846"/>
      <c r="S1909" s="846"/>
      <c r="T1909" s="846"/>
    </row>
    <row r="1910" spans="2:20" ht="38.25" hidden="1">
      <c r="B1910" s="828" t="s">
        <v>6555</v>
      </c>
      <c r="C1910" s="828">
        <v>90794</v>
      </c>
      <c r="D1910" s="630" t="s">
        <v>3795</v>
      </c>
      <c r="E1910" s="630" t="s">
        <v>646</v>
      </c>
      <c r="F1910" s="829">
        <v>626.9</v>
      </c>
      <c r="G1910" s="830">
        <v>61.29</v>
      </c>
      <c r="H1910" s="831">
        <v>688.19</v>
      </c>
      <c r="I1910" s="846"/>
      <c r="J1910" s="846"/>
      <c r="K1910" s="846"/>
      <c r="L1910" s="846"/>
      <c r="M1910" s="846"/>
      <c r="N1910" s="846"/>
      <c r="O1910" s="846"/>
      <c r="P1910" s="846"/>
      <c r="Q1910" s="846"/>
      <c r="R1910" s="846"/>
      <c r="S1910" s="846"/>
      <c r="T1910" s="846"/>
    </row>
    <row r="1911" spans="2:20" ht="38.25" hidden="1">
      <c r="B1911" s="828" t="s">
        <v>6555</v>
      </c>
      <c r="C1911" s="828">
        <v>90795</v>
      </c>
      <c r="D1911" s="630" t="s">
        <v>3796</v>
      </c>
      <c r="E1911" s="630" t="s">
        <v>646</v>
      </c>
      <c r="F1911" s="829">
        <v>628.92999999999995</v>
      </c>
      <c r="G1911" s="830">
        <v>67.63</v>
      </c>
      <c r="H1911" s="831">
        <v>696.56</v>
      </c>
      <c r="I1911" s="846"/>
      <c r="J1911" s="846"/>
      <c r="K1911" s="846"/>
      <c r="L1911" s="846"/>
      <c r="M1911" s="846"/>
      <c r="N1911" s="846"/>
      <c r="O1911" s="846"/>
      <c r="P1911" s="846"/>
      <c r="Q1911" s="846"/>
      <c r="R1911" s="846"/>
      <c r="S1911" s="846"/>
      <c r="T1911" s="846"/>
    </row>
    <row r="1912" spans="2:20" ht="38.25" hidden="1">
      <c r="B1912" s="828" t="s">
        <v>6555</v>
      </c>
      <c r="C1912" s="828">
        <v>90796</v>
      </c>
      <c r="D1912" s="630" t="s">
        <v>3797</v>
      </c>
      <c r="E1912" s="630" t="s">
        <v>646</v>
      </c>
      <c r="F1912" s="829">
        <v>630.99</v>
      </c>
      <c r="G1912" s="830">
        <v>73.959999999999994</v>
      </c>
      <c r="H1912" s="831">
        <v>704.95</v>
      </c>
      <c r="I1912" s="846"/>
      <c r="J1912" s="846"/>
      <c r="K1912" s="846"/>
      <c r="L1912" s="846"/>
      <c r="M1912" s="846"/>
      <c r="N1912" s="846"/>
      <c r="O1912" s="846"/>
      <c r="P1912" s="846"/>
      <c r="Q1912" s="846"/>
      <c r="R1912" s="846"/>
      <c r="S1912" s="846"/>
      <c r="T1912" s="846"/>
    </row>
    <row r="1913" spans="2:20" ht="38.25" hidden="1">
      <c r="B1913" s="828" t="s">
        <v>6555</v>
      </c>
      <c r="C1913" s="828">
        <v>90797</v>
      </c>
      <c r="D1913" s="630" t="s">
        <v>3798</v>
      </c>
      <c r="E1913" s="630" t="s">
        <v>646</v>
      </c>
      <c r="F1913" s="829">
        <v>633.03</v>
      </c>
      <c r="G1913" s="830">
        <v>80.31</v>
      </c>
      <c r="H1913" s="831">
        <v>713.34</v>
      </c>
      <c r="I1913" s="846"/>
      <c r="J1913" s="846"/>
      <c r="K1913" s="846"/>
      <c r="L1913" s="846"/>
      <c r="M1913" s="846"/>
      <c r="N1913" s="846"/>
      <c r="O1913" s="846"/>
      <c r="P1913" s="846"/>
      <c r="Q1913" s="846"/>
      <c r="R1913" s="846"/>
      <c r="S1913" s="846"/>
      <c r="T1913" s="846"/>
    </row>
    <row r="1914" spans="2:20" ht="51" hidden="1">
      <c r="B1914" s="828" t="s">
        <v>6555</v>
      </c>
      <c r="C1914" s="828">
        <v>90798</v>
      </c>
      <c r="D1914" s="630" t="s">
        <v>3799</v>
      </c>
      <c r="E1914" s="630" t="s">
        <v>646</v>
      </c>
      <c r="F1914" s="829">
        <v>942.91</v>
      </c>
      <c r="G1914" s="830">
        <v>83.24</v>
      </c>
      <c r="H1914" s="831">
        <v>1026.1500000000001</v>
      </c>
      <c r="I1914" s="846"/>
      <c r="J1914" s="846"/>
      <c r="K1914" s="846"/>
      <c r="L1914" s="846"/>
      <c r="M1914" s="846"/>
      <c r="N1914" s="846"/>
      <c r="O1914" s="846"/>
      <c r="P1914" s="846"/>
      <c r="Q1914" s="846"/>
      <c r="R1914" s="846"/>
      <c r="S1914" s="846"/>
      <c r="T1914" s="846"/>
    </row>
    <row r="1915" spans="2:20" ht="51" hidden="1">
      <c r="B1915" s="828" t="s">
        <v>6555</v>
      </c>
      <c r="C1915" s="828">
        <v>90799</v>
      </c>
      <c r="D1915" s="630" t="s">
        <v>3800</v>
      </c>
      <c r="E1915" s="630" t="s">
        <v>646</v>
      </c>
      <c r="F1915" s="829">
        <v>969.81</v>
      </c>
      <c r="G1915" s="830">
        <v>90.37</v>
      </c>
      <c r="H1915" s="831">
        <v>1060.18</v>
      </c>
      <c r="I1915" s="846"/>
      <c r="J1915" s="846"/>
      <c r="K1915" s="846"/>
      <c r="L1915" s="846"/>
      <c r="M1915" s="846"/>
      <c r="N1915" s="846"/>
      <c r="O1915" s="846"/>
      <c r="P1915" s="846"/>
      <c r="Q1915" s="846"/>
      <c r="R1915" s="846"/>
      <c r="S1915" s="846"/>
      <c r="T1915" s="846"/>
    </row>
    <row r="1916" spans="2:20" ht="25.5" hidden="1">
      <c r="B1916" s="828" t="s">
        <v>6555</v>
      </c>
      <c r="C1916" s="828">
        <v>90801</v>
      </c>
      <c r="D1916" s="630" t="s">
        <v>3801</v>
      </c>
      <c r="E1916" s="630" t="s">
        <v>646</v>
      </c>
      <c r="F1916" s="829">
        <v>245.96</v>
      </c>
      <c r="G1916" s="830">
        <v>85.85</v>
      </c>
      <c r="H1916" s="831">
        <v>331.81</v>
      </c>
      <c r="I1916" s="846"/>
      <c r="J1916" s="846"/>
      <c r="K1916" s="846"/>
      <c r="L1916" s="846"/>
      <c r="M1916" s="846"/>
      <c r="N1916" s="846"/>
      <c r="O1916" s="846"/>
      <c r="P1916" s="846"/>
      <c r="Q1916" s="846"/>
      <c r="R1916" s="846"/>
      <c r="S1916" s="846"/>
      <c r="T1916" s="846"/>
    </row>
    <row r="1917" spans="2:20" ht="25.5" hidden="1">
      <c r="B1917" s="828" t="s">
        <v>6555</v>
      </c>
      <c r="C1917" s="828">
        <v>90806</v>
      </c>
      <c r="D1917" s="630" t="s">
        <v>7762</v>
      </c>
      <c r="E1917" s="630" t="s">
        <v>646</v>
      </c>
      <c r="F1917" s="829">
        <v>281.41000000000003</v>
      </c>
      <c r="G1917" s="830">
        <v>151.36000000000001</v>
      </c>
      <c r="H1917" s="831">
        <v>432.77</v>
      </c>
      <c r="I1917" s="846"/>
      <c r="J1917" s="846"/>
      <c r="K1917" s="846"/>
      <c r="L1917" s="846"/>
      <c r="M1917" s="846"/>
      <c r="N1917" s="846"/>
      <c r="O1917" s="846"/>
      <c r="P1917" s="846"/>
      <c r="Q1917" s="846"/>
      <c r="R1917" s="846"/>
      <c r="S1917" s="846"/>
      <c r="T1917" s="846"/>
    </row>
    <row r="1918" spans="2:20" ht="38.25" hidden="1">
      <c r="B1918" s="828" t="s">
        <v>6555</v>
      </c>
      <c r="C1918" s="828">
        <v>90820</v>
      </c>
      <c r="D1918" s="630" t="s">
        <v>3802</v>
      </c>
      <c r="E1918" s="630" t="s">
        <v>646</v>
      </c>
      <c r="F1918" s="829">
        <v>280.31</v>
      </c>
      <c r="G1918" s="830">
        <v>40.25</v>
      </c>
      <c r="H1918" s="831">
        <v>320.56</v>
      </c>
      <c r="I1918" s="846"/>
      <c r="J1918" s="846"/>
      <c r="K1918" s="846"/>
      <c r="L1918" s="846"/>
      <c r="M1918" s="846"/>
      <c r="N1918" s="846"/>
      <c r="O1918" s="846"/>
      <c r="P1918" s="846"/>
      <c r="Q1918" s="846"/>
      <c r="R1918" s="846"/>
      <c r="S1918" s="846"/>
      <c r="T1918" s="846"/>
    </row>
    <row r="1919" spans="2:20" ht="38.25" hidden="1">
      <c r="B1919" s="828" t="s">
        <v>6555</v>
      </c>
      <c r="C1919" s="828">
        <v>90821</v>
      </c>
      <c r="D1919" s="630" t="s">
        <v>3803</v>
      </c>
      <c r="E1919" s="630" t="s">
        <v>646</v>
      </c>
      <c r="F1919" s="829">
        <v>283.33999999999997</v>
      </c>
      <c r="G1919" s="830">
        <v>44.39</v>
      </c>
      <c r="H1919" s="831">
        <v>327.73</v>
      </c>
      <c r="I1919" s="846"/>
      <c r="J1919" s="846"/>
      <c r="K1919" s="846"/>
      <c r="L1919" s="846"/>
      <c r="M1919" s="846"/>
      <c r="N1919" s="846"/>
      <c r="O1919" s="846"/>
      <c r="P1919" s="846"/>
      <c r="Q1919" s="846"/>
      <c r="R1919" s="846"/>
      <c r="S1919" s="846"/>
      <c r="T1919" s="846"/>
    </row>
    <row r="1920" spans="2:20" ht="38.25" hidden="1">
      <c r="B1920" s="828" t="s">
        <v>6555</v>
      </c>
      <c r="C1920" s="828">
        <v>90822</v>
      </c>
      <c r="D1920" s="630" t="s">
        <v>3804</v>
      </c>
      <c r="E1920" s="630" t="s">
        <v>646</v>
      </c>
      <c r="F1920" s="829">
        <v>302.5</v>
      </c>
      <c r="G1920" s="830">
        <v>48.53</v>
      </c>
      <c r="H1920" s="831">
        <v>351.03</v>
      </c>
      <c r="I1920" s="846"/>
      <c r="J1920" s="846"/>
      <c r="K1920" s="846"/>
      <c r="L1920" s="846"/>
      <c r="M1920" s="846"/>
      <c r="N1920" s="846"/>
      <c r="O1920" s="846"/>
      <c r="P1920" s="846"/>
      <c r="Q1920" s="846"/>
      <c r="R1920" s="846"/>
      <c r="S1920" s="846"/>
      <c r="T1920" s="846"/>
    </row>
    <row r="1921" spans="2:20" ht="38.25" hidden="1">
      <c r="B1921" s="828" t="s">
        <v>6555</v>
      </c>
      <c r="C1921" s="828">
        <v>90823</v>
      </c>
      <c r="D1921" s="630" t="s">
        <v>3805</v>
      </c>
      <c r="E1921" s="630" t="s">
        <v>646</v>
      </c>
      <c r="F1921" s="829">
        <v>374.73</v>
      </c>
      <c r="G1921" s="830">
        <v>52.68</v>
      </c>
      <c r="H1921" s="831">
        <v>427.41</v>
      </c>
      <c r="I1921" s="846"/>
      <c r="J1921" s="846"/>
      <c r="K1921" s="846"/>
      <c r="L1921" s="846"/>
      <c r="M1921" s="846"/>
      <c r="N1921" s="846"/>
      <c r="O1921" s="846"/>
      <c r="P1921" s="846"/>
      <c r="Q1921" s="846"/>
      <c r="R1921" s="846"/>
      <c r="S1921" s="846"/>
      <c r="T1921" s="846"/>
    </row>
    <row r="1922" spans="2:20" ht="38.25" hidden="1">
      <c r="B1922" s="828" t="s">
        <v>6555</v>
      </c>
      <c r="C1922" s="828">
        <v>90824</v>
      </c>
      <c r="D1922" s="630" t="s">
        <v>3806</v>
      </c>
      <c r="E1922" s="630" t="s">
        <v>646</v>
      </c>
      <c r="F1922" s="829">
        <v>537.51</v>
      </c>
      <c r="G1922" s="830">
        <v>67.36</v>
      </c>
      <c r="H1922" s="831">
        <v>604.87</v>
      </c>
      <c r="I1922" s="846"/>
      <c r="J1922" s="846"/>
      <c r="K1922" s="846"/>
      <c r="L1922" s="846"/>
      <c r="M1922" s="846"/>
      <c r="N1922" s="846"/>
      <c r="O1922" s="846"/>
      <c r="P1922" s="846"/>
      <c r="Q1922" s="846"/>
      <c r="R1922" s="846"/>
      <c r="S1922" s="846"/>
      <c r="T1922" s="846"/>
    </row>
    <row r="1923" spans="2:20" ht="38.25" hidden="1">
      <c r="B1923" s="828" t="s">
        <v>6555</v>
      </c>
      <c r="C1923" s="828">
        <v>90825</v>
      </c>
      <c r="D1923" s="630" t="s">
        <v>3807</v>
      </c>
      <c r="E1923" s="630" t="s">
        <v>646</v>
      </c>
      <c r="F1923" s="829">
        <v>598.92999999999995</v>
      </c>
      <c r="G1923" s="830">
        <v>73.09</v>
      </c>
      <c r="H1923" s="831">
        <v>672.02</v>
      </c>
      <c r="I1923" s="846"/>
      <c r="J1923" s="846"/>
      <c r="K1923" s="846"/>
      <c r="L1923" s="846"/>
      <c r="M1923" s="846"/>
      <c r="N1923" s="846"/>
      <c r="O1923" s="846"/>
      <c r="P1923" s="846"/>
      <c r="Q1923" s="846"/>
      <c r="R1923" s="846"/>
      <c r="S1923" s="846"/>
      <c r="T1923" s="846"/>
    </row>
    <row r="1924" spans="2:20" ht="38.25" hidden="1">
      <c r="B1924" s="828" t="s">
        <v>6555</v>
      </c>
      <c r="C1924" s="828">
        <v>90830</v>
      </c>
      <c r="D1924" s="630" t="s">
        <v>3808</v>
      </c>
      <c r="E1924" s="630" t="s">
        <v>646</v>
      </c>
      <c r="F1924" s="829">
        <v>153.83000000000001</v>
      </c>
      <c r="G1924" s="830">
        <v>31.45</v>
      </c>
      <c r="H1924" s="831">
        <v>185.28</v>
      </c>
      <c r="I1924" s="846"/>
      <c r="J1924" s="846"/>
      <c r="K1924" s="846"/>
      <c r="L1924" s="846"/>
      <c r="M1924" s="846"/>
      <c r="N1924" s="846"/>
      <c r="O1924" s="846"/>
      <c r="P1924" s="846"/>
      <c r="Q1924" s="846"/>
      <c r="R1924" s="846"/>
      <c r="S1924" s="846"/>
      <c r="T1924" s="846"/>
    </row>
    <row r="1925" spans="2:20" ht="38.25" hidden="1">
      <c r="B1925" s="828" t="s">
        <v>6555</v>
      </c>
      <c r="C1925" s="828">
        <v>90831</v>
      </c>
      <c r="D1925" s="630" t="s">
        <v>3809</v>
      </c>
      <c r="E1925" s="630" t="s">
        <v>646</v>
      </c>
      <c r="F1925" s="829">
        <v>138.02000000000001</v>
      </c>
      <c r="G1925" s="830">
        <v>24.08</v>
      </c>
      <c r="H1925" s="831">
        <v>162.1</v>
      </c>
      <c r="I1925" s="846"/>
      <c r="J1925" s="846"/>
      <c r="K1925" s="846"/>
      <c r="L1925" s="846"/>
      <c r="M1925" s="846"/>
      <c r="N1925" s="846"/>
      <c r="O1925" s="846"/>
      <c r="P1925" s="846"/>
      <c r="Q1925" s="846"/>
      <c r="R1925" s="846"/>
      <c r="S1925" s="846"/>
      <c r="T1925" s="846"/>
    </row>
    <row r="1926" spans="2:20" ht="51" hidden="1">
      <c r="B1926" s="828" t="s">
        <v>6555</v>
      </c>
      <c r="C1926" s="828">
        <v>90841</v>
      </c>
      <c r="D1926" s="630" t="s">
        <v>3810</v>
      </c>
      <c r="E1926" s="630" t="s">
        <v>646</v>
      </c>
      <c r="F1926" s="829">
        <v>796.08</v>
      </c>
      <c r="G1926" s="830">
        <v>236.08</v>
      </c>
      <c r="H1926" s="831">
        <v>1032.1600000000001</v>
      </c>
      <c r="I1926" s="846"/>
      <c r="J1926" s="846"/>
      <c r="K1926" s="846"/>
      <c r="L1926" s="846"/>
      <c r="M1926" s="846"/>
      <c r="N1926" s="846"/>
      <c r="O1926" s="846"/>
      <c r="P1926" s="846"/>
      <c r="Q1926" s="846"/>
      <c r="R1926" s="846"/>
      <c r="S1926" s="846"/>
      <c r="T1926" s="846"/>
    </row>
    <row r="1927" spans="2:20" ht="51" hidden="1">
      <c r="B1927" s="828" t="s">
        <v>6555</v>
      </c>
      <c r="C1927" s="828">
        <v>90842</v>
      </c>
      <c r="D1927" s="630" t="s">
        <v>3811</v>
      </c>
      <c r="E1927" s="630" t="s">
        <v>646</v>
      </c>
      <c r="F1927" s="829">
        <v>801.11</v>
      </c>
      <c r="G1927" s="830">
        <v>240.65</v>
      </c>
      <c r="H1927" s="831">
        <v>1041.76</v>
      </c>
      <c r="I1927" s="846"/>
      <c r="J1927" s="846"/>
      <c r="K1927" s="846"/>
      <c r="L1927" s="846"/>
      <c r="M1927" s="846"/>
      <c r="N1927" s="846"/>
      <c r="O1927" s="846"/>
      <c r="P1927" s="846"/>
      <c r="Q1927" s="846"/>
      <c r="R1927" s="846"/>
      <c r="S1927" s="846"/>
      <c r="T1927" s="846"/>
    </row>
    <row r="1928" spans="2:20" ht="51" hidden="1">
      <c r="B1928" s="828" t="s">
        <v>6555</v>
      </c>
      <c r="C1928" s="828">
        <v>90843</v>
      </c>
      <c r="D1928" s="630" t="s">
        <v>3812</v>
      </c>
      <c r="E1928" s="630" t="s">
        <v>646</v>
      </c>
      <c r="F1928" s="829">
        <v>838.09</v>
      </c>
      <c r="G1928" s="830">
        <v>252.59</v>
      </c>
      <c r="H1928" s="831">
        <v>1090.68</v>
      </c>
      <c r="I1928" s="846"/>
      <c r="J1928" s="846"/>
      <c r="K1928" s="846"/>
      <c r="L1928" s="846"/>
      <c r="M1928" s="846"/>
      <c r="N1928" s="846"/>
      <c r="O1928" s="846"/>
      <c r="P1928" s="846"/>
      <c r="Q1928" s="846"/>
      <c r="R1928" s="846"/>
      <c r="S1928" s="846"/>
      <c r="T1928" s="846"/>
    </row>
    <row r="1929" spans="2:20" ht="51" hidden="1">
      <c r="B1929" s="828" t="s">
        <v>6555</v>
      </c>
      <c r="C1929" s="828">
        <v>90844</v>
      </c>
      <c r="D1929" s="630" t="s">
        <v>3813</v>
      </c>
      <c r="E1929" s="630" t="s">
        <v>646</v>
      </c>
      <c r="F1929" s="829">
        <v>912.33</v>
      </c>
      <c r="G1929" s="830">
        <v>257.16000000000003</v>
      </c>
      <c r="H1929" s="831">
        <v>1169.49</v>
      </c>
      <c r="I1929" s="846"/>
      <c r="J1929" s="846"/>
      <c r="K1929" s="846"/>
      <c r="L1929" s="846"/>
      <c r="M1929" s="846"/>
      <c r="N1929" s="846"/>
      <c r="O1929" s="846"/>
      <c r="P1929" s="846"/>
      <c r="Q1929" s="846"/>
      <c r="R1929" s="846"/>
      <c r="S1929" s="846"/>
      <c r="T1929" s="846"/>
    </row>
    <row r="1930" spans="2:20" ht="63.75" hidden="1">
      <c r="B1930" s="828" t="s">
        <v>6555</v>
      </c>
      <c r="C1930" s="828">
        <v>90845</v>
      </c>
      <c r="D1930" s="630" t="s">
        <v>3814</v>
      </c>
      <c r="E1930" s="630" t="s">
        <v>646</v>
      </c>
      <c r="F1930" s="829">
        <v>1073.1300000000001</v>
      </c>
      <c r="G1930" s="830">
        <v>271.39</v>
      </c>
      <c r="H1930" s="831">
        <v>1344.52</v>
      </c>
      <c r="I1930" s="846"/>
      <c r="J1930" s="846"/>
      <c r="K1930" s="846"/>
      <c r="L1930" s="846"/>
      <c r="M1930" s="846"/>
      <c r="N1930" s="846"/>
      <c r="O1930" s="846"/>
      <c r="P1930" s="846"/>
      <c r="Q1930" s="846"/>
      <c r="R1930" s="846"/>
      <c r="S1930" s="846"/>
      <c r="T1930" s="846"/>
    </row>
    <row r="1931" spans="2:20" ht="63.75" hidden="1">
      <c r="B1931" s="828" t="s">
        <v>6555</v>
      </c>
      <c r="C1931" s="828">
        <v>90846</v>
      </c>
      <c r="D1931" s="630" t="s">
        <v>3815</v>
      </c>
      <c r="E1931" s="630" t="s">
        <v>646</v>
      </c>
      <c r="F1931" s="829">
        <v>1136.55</v>
      </c>
      <c r="G1931" s="830">
        <v>277.55</v>
      </c>
      <c r="H1931" s="831">
        <v>1414.1</v>
      </c>
      <c r="I1931" s="846"/>
      <c r="J1931" s="846"/>
      <c r="K1931" s="846"/>
      <c r="L1931" s="846"/>
      <c r="M1931" s="846"/>
      <c r="N1931" s="846"/>
      <c r="O1931" s="846"/>
      <c r="P1931" s="846"/>
      <c r="Q1931" s="846"/>
      <c r="R1931" s="846"/>
      <c r="S1931" s="846"/>
      <c r="T1931" s="846"/>
    </row>
    <row r="1932" spans="2:20" ht="51" hidden="1">
      <c r="B1932" s="828" t="s">
        <v>6555</v>
      </c>
      <c r="C1932" s="828">
        <v>90847</v>
      </c>
      <c r="D1932" s="630" t="s">
        <v>3816</v>
      </c>
      <c r="E1932" s="630" t="s">
        <v>646</v>
      </c>
      <c r="F1932" s="829">
        <v>658.05</v>
      </c>
      <c r="G1932" s="830">
        <v>212.01</v>
      </c>
      <c r="H1932" s="831">
        <v>870.06</v>
      </c>
      <c r="I1932" s="846"/>
      <c r="J1932" s="846"/>
      <c r="K1932" s="846"/>
      <c r="L1932" s="846"/>
      <c r="M1932" s="846"/>
      <c r="N1932" s="846"/>
      <c r="O1932" s="846"/>
      <c r="P1932" s="846"/>
      <c r="Q1932" s="846"/>
      <c r="R1932" s="846"/>
      <c r="S1932" s="846"/>
      <c r="T1932" s="846"/>
    </row>
    <row r="1933" spans="2:20" ht="51" hidden="1">
      <c r="B1933" s="828" t="s">
        <v>6555</v>
      </c>
      <c r="C1933" s="828">
        <v>90848</v>
      </c>
      <c r="D1933" s="630" t="s">
        <v>3817</v>
      </c>
      <c r="E1933" s="630" t="s">
        <v>646</v>
      </c>
      <c r="F1933" s="829">
        <v>663.08</v>
      </c>
      <c r="G1933" s="830">
        <v>216.58</v>
      </c>
      <c r="H1933" s="831">
        <v>879.66</v>
      </c>
      <c r="I1933" s="846"/>
      <c r="J1933" s="846"/>
      <c r="K1933" s="846"/>
      <c r="L1933" s="846"/>
      <c r="M1933" s="846"/>
      <c r="N1933" s="846"/>
      <c r="O1933" s="846"/>
      <c r="P1933" s="846"/>
      <c r="Q1933" s="846"/>
      <c r="R1933" s="846"/>
      <c r="S1933" s="846"/>
      <c r="T1933" s="846"/>
    </row>
    <row r="1934" spans="2:20" ht="51" hidden="1">
      <c r="B1934" s="828" t="s">
        <v>6555</v>
      </c>
      <c r="C1934" s="828">
        <v>90849</v>
      </c>
      <c r="D1934" s="630" t="s">
        <v>3818</v>
      </c>
      <c r="E1934" s="630" t="s">
        <v>646</v>
      </c>
      <c r="F1934" s="829">
        <v>684.25</v>
      </c>
      <c r="G1934" s="830">
        <v>221.15</v>
      </c>
      <c r="H1934" s="831">
        <v>905.4</v>
      </c>
      <c r="I1934" s="846"/>
      <c r="J1934" s="846"/>
      <c r="K1934" s="846"/>
      <c r="L1934" s="846"/>
      <c r="M1934" s="846"/>
      <c r="N1934" s="846"/>
      <c r="O1934" s="846"/>
      <c r="P1934" s="846"/>
      <c r="Q1934" s="846"/>
      <c r="R1934" s="846"/>
      <c r="S1934" s="846"/>
      <c r="T1934" s="846"/>
    </row>
    <row r="1935" spans="2:20" ht="51" hidden="1">
      <c r="B1935" s="828" t="s">
        <v>6555</v>
      </c>
      <c r="C1935" s="828">
        <v>90850</v>
      </c>
      <c r="D1935" s="630" t="s">
        <v>3819</v>
      </c>
      <c r="E1935" s="630" t="s">
        <v>646</v>
      </c>
      <c r="F1935" s="829">
        <v>758.5</v>
      </c>
      <c r="G1935" s="830">
        <v>225.71</v>
      </c>
      <c r="H1935" s="832">
        <v>984.21</v>
      </c>
      <c r="I1935" s="846"/>
      <c r="J1935" s="846"/>
      <c r="K1935" s="846"/>
      <c r="L1935" s="846"/>
      <c r="M1935" s="846"/>
      <c r="N1935" s="846"/>
      <c r="O1935" s="846"/>
      <c r="P1935" s="846"/>
      <c r="Q1935" s="846"/>
      <c r="R1935" s="846"/>
      <c r="S1935" s="846"/>
      <c r="T1935" s="846"/>
    </row>
    <row r="1936" spans="2:20" ht="51" hidden="1">
      <c r="B1936" s="828" t="s">
        <v>6555</v>
      </c>
      <c r="C1936" s="828">
        <v>90851</v>
      </c>
      <c r="D1936" s="630" t="s">
        <v>3820</v>
      </c>
      <c r="E1936" s="630" t="s">
        <v>646</v>
      </c>
      <c r="F1936" s="829">
        <v>919.3</v>
      </c>
      <c r="G1936" s="830">
        <v>239.94</v>
      </c>
      <c r="H1936" s="832">
        <v>1159.24</v>
      </c>
      <c r="I1936" s="846"/>
      <c r="J1936" s="846"/>
      <c r="K1936" s="846"/>
      <c r="L1936" s="846"/>
      <c r="M1936" s="846"/>
      <c r="N1936" s="846"/>
      <c r="O1936" s="846"/>
      <c r="P1936" s="846"/>
      <c r="Q1936" s="846"/>
      <c r="R1936" s="846"/>
      <c r="S1936" s="846"/>
      <c r="T1936" s="846"/>
    </row>
    <row r="1937" spans="2:20" ht="51" hidden="1">
      <c r="B1937" s="828" t="s">
        <v>6555</v>
      </c>
      <c r="C1937" s="828">
        <v>90852</v>
      </c>
      <c r="D1937" s="630" t="s">
        <v>3821</v>
      </c>
      <c r="E1937" s="630" t="s">
        <v>646</v>
      </c>
      <c r="F1937" s="829">
        <v>982.72</v>
      </c>
      <c r="G1937" s="830">
        <v>246.1</v>
      </c>
      <c r="H1937" s="832">
        <v>1228.82</v>
      </c>
      <c r="I1937" s="846"/>
      <c r="J1937" s="846"/>
      <c r="K1937" s="846"/>
      <c r="L1937" s="846"/>
      <c r="M1937" s="846"/>
      <c r="N1937" s="846"/>
      <c r="O1937" s="846"/>
      <c r="P1937" s="846"/>
      <c r="Q1937" s="846"/>
      <c r="R1937" s="846"/>
      <c r="S1937" s="846"/>
      <c r="T1937" s="846"/>
    </row>
    <row r="1938" spans="2:20" ht="38.25" hidden="1">
      <c r="B1938" s="828" t="s">
        <v>6555</v>
      </c>
      <c r="C1938" s="828">
        <v>91009</v>
      </c>
      <c r="D1938" s="630" t="s">
        <v>3822</v>
      </c>
      <c r="E1938" s="630" t="s">
        <v>646</v>
      </c>
      <c r="F1938" s="829">
        <v>290.93</v>
      </c>
      <c r="G1938" s="830">
        <v>40.25</v>
      </c>
      <c r="H1938" s="831">
        <v>331.18</v>
      </c>
      <c r="I1938" s="846"/>
      <c r="J1938" s="846"/>
      <c r="K1938" s="846"/>
      <c r="L1938" s="846"/>
      <c r="M1938" s="846"/>
      <c r="N1938" s="846"/>
      <c r="O1938" s="846"/>
      <c r="P1938" s="846"/>
      <c r="Q1938" s="846"/>
      <c r="R1938" s="846"/>
      <c r="S1938" s="846"/>
      <c r="T1938" s="846"/>
    </row>
    <row r="1939" spans="2:20" ht="38.25" hidden="1">
      <c r="B1939" s="828" t="s">
        <v>6555</v>
      </c>
      <c r="C1939" s="828">
        <v>91010</v>
      </c>
      <c r="D1939" s="630" t="s">
        <v>3823</v>
      </c>
      <c r="E1939" s="630" t="s">
        <v>646</v>
      </c>
      <c r="F1939" s="829">
        <v>294.47000000000003</v>
      </c>
      <c r="G1939" s="830">
        <v>44.39</v>
      </c>
      <c r="H1939" s="831">
        <v>338.86</v>
      </c>
      <c r="I1939" s="846"/>
      <c r="J1939" s="846"/>
      <c r="K1939" s="846"/>
      <c r="L1939" s="846"/>
      <c r="M1939" s="846"/>
      <c r="N1939" s="846"/>
      <c r="O1939" s="846"/>
      <c r="P1939" s="846"/>
      <c r="Q1939" s="846"/>
      <c r="R1939" s="846"/>
      <c r="S1939" s="846"/>
      <c r="T1939" s="846"/>
    </row>
    <row r="1940" spans="2:20" ht="38.25" hidden="1">
      <c r="B1940" s="828" t="s">
        <v>6555</v>
      </c>
      <c r="C1940" s="828">
        <v>91011</v>
      </c>
      <c r="D1940" s="630" t="s">
        <v>3824</v>
      </c>
      <c r="E1940" s="630" t="s">
        <v>646</v>
      </c>
      <c r="F1940" s="829">
        <v>345.64</v>
      </c>
      <c r="G1940" s="830">
        <v>48.53</v>
      </c>
      <c r="H1940" s="831">
        <v>394.17</v>
      </c>
      <c r="I1940" s="846"/>
      <c r="J1940" s="846"/>
      <c r="K1940" s="846"/>
      <c r="L1940" s="846"/>
      <c r="M1940" s="846"/>
      <c r="N1940" s="846"/>
      <c r="O1940" s="846"/>
      <c r="P1940" s="846"/>
      <c r="Q1940" s="846"/>
      <c r="R1940" s="846"/>
      <c r="S1940" s="846"/>
      <c r="T1940" s="846"/>
    </row>
    <row r="1941" spans="2:20" ht="38.25" hidden="1">
      <c r="B1941" s="828" t="s">
        <v>6555</v>
      </c>
      <c r="C1941" s="828">
        <v>91012</v>
      </c>
      <c r="D1941" s="630" t="s">
        <v>3825</v>
      </c>
      <c r="E1941" s="630" t="s">
        <v>646</v>
      </c>
      <c r="F1941" s="829">
        <v>384.15</v>
      </c>
      <c r="G1941" s="830">
        <v>52.68</v>
      </c>
      <c r="H1941" s="831">
        <v>436.83</v>
      </c>
      <c r="I1941" s="846"/>
      <c r="J1941" s="846"/>
      <c r="K1941" s="846"/>
      <c r="L1941" s="846"/>
      <c r="M1941" s="846"/>
      <c r="N1941" s="846"/>
      <c r="O1941" s="846"/>
      <c r="P1941" s="846"/>
      <c r="Q1941" s="846"/>
      <c r="R1941" s="846"/>
      <c r="S1941" s="846"/>
      <c r="T1941" s="846"/>
    </row>
    <row r="1942" spans="2:20" ht="51" hidden="1">
      <c r="B1942" s="828" t="s">
        <v>6555</v>
      </c>
      <c r="C1942" s="828">
        <v>91013</v>
      </c>
      <c r="D1942" s="630" t="s">
        <v>3826</v>
      </c>
      <c r="E1942" s="630" t="s">
        <v>646</v>
      </c>
      <c r="F1942" s="829">
        <v>668.67</v>
      </c>
      <c r="G1942" s="830">
        <v>212.01</v>
      </c>
      <c r="H1942" s="832">
        <v>880.68</v>
      </c>
      <c r="I1942" s="846"/>
      <c r="J1942" s="846"/>
      <c r="K1942" s="846"/>
      <c r="L1942" s="846"/>
      <c r="M1942" s="846"/>
      <c r="N1942" s="846"/>
      <c r="O1942" s="846"/>
      <c r="P1942" s="846"/>
      <c r="Q1942" s="846"/>
      <c r="R1942" s="846"/>
      <c r="S1942" s="846"/>
      <c r="T1942" s="846"/>
    </row>
    <row r="1943" spans="2:20" ht="51" hidden="1">
      <c r="B1943" s="828" t="s">
        <v>6555</v>
      </c>
      <c r="C1943" s="828">
        <v>91014</v>
      </c>
      <c r="D1943" s="630" t="s">
        <v>3827</v>
      </c>
      <c r="E1943" s="630" t="s">
        <v>646</v>
      </c>
      <c r="F1943" s="829">
        <v>674.21</v>
      </c>
      <c r="G1943" s="830">
        <v>216.58</v>
      </c>
      <c r="H1943" s="832">
        <v>890.79</v>
      </c>
      <c r="I1943" s="846"/>
      <c r="J1943" s="846"/>
      <c r="K1943" s="846"/>
      <c r="L1943" s="846"/>
      <c r="M1943" s="846"/>
      <c r="N1943" s="846"/>
      <c r="O1943" s="846"/>
      <c r="P1943" s="846"/>
      <c r="Q1943" s="846"/>
      <c r="R1943" s="846"/>
      <c r="S1943" s="846"/>
      <c r="T1943" s="846"/>
    </row>
    <row r="1944" spans="2:20" ht="51" hidden="1">
      <c r="B1944" s="828" t="s">
        <v>6555</v>
      </c>
      <c r="C1944" s="828">
        <v>91015</v>
      </c>
      <c r="D1944" s="630" t="s">
        <v>3828</v>
      </c>
      <c r="E1944" s="630" t="s">
        <v>646</v>
      </c>
      <c r="F1944" s="829">
        <v>727.4</v>
      </c>
      <c r="G1944" s="830">
        <v>221.14</v>
      </c>
      <c r="H1944" s="831">
        <v>948.54</v>
      </c>
      <c r="I1944" s="846"/>
      <c r="J1944" s="846"/>
      <c r="K1944" s="846"/>
      <c r="L1944" s="846"/>
      <c r="M1944" s="846"/>
      <c r="N1944" s="846"/>
      <c r="O1944" s="846"/>
      <c r="P1944" s="846"/>
      <c r="Q1944" s="846"/>
      <c r="R1944" s="846"/>
      <c r="S1944" s="846"/>
      <c r="T1944" s="846"/>
    </row>
    <row r="1945" spans="2:20" ht="51" hidden="1">
      <c r="B1945" s="828" t="s">
        <v>6555</v>
      </c>
      <c r="C1945" s="828">
        <v>91016</v>
      </c>
      <c r="D1945" s="630" t="s">
        <v>3829</v>
      </c>
      <c r="E1945" s="630" t="s">
        <v>646</v>
      </c>
      <c r="F1945" s="829">
        <v>767.92</v>
      </c>
      <c r="G1945" s="830">
        <v>225.71</v>
      </c>
      <c r="H1945" s="831">
        <v>993.63</v>
      </c>
      <c r="I1945" s="846"/>
      <c r="J1945" s="846"/>
      <c r="K1945" s="846"/>
      <c r="L1945" s="846"/>
      <c r="M1945" s="846"/>
      <c r="N1945" s="846"/>
      <c r="O1945" s="846"/>
      <c r="P1945" s="846"/>
      <c r="Q1945" s="846"/>
      <c r="R1945" s="846"/>
      <c r="S1945" s="846"/>
      <c r="T1945" s="846"/>
    </row>
    <row r="1946" spans="2:20" ht="25.5" hidden="1">
      <c r="B1946" s="828" t="s">
        <v>6555</v>
      </c>
      <c r="C1946" s="828">
        <v>91287</v>
      </c>
      <c r="D1946" s="630" t="s">
        <v>3830</v>
      </c>
      <c r="E1946" s="630" t="s">
        <v>646</v>
      </c>
      <c r="F1946" s="829">
        <v>162.93</v>
      </c>
      <c r="G1946" s="830">
        <v>86.15</v>
      </c>
      <c r="H1946" s="831">
        <v>249.08</v>
      </c>
      <c r="I1946" s="846"/>
      <c r="J1946" s="846"/>
      <c r="K1946" s="846"/>
      <c r="L1946" s="846"/>
      <c r="M1946" s="846"/>
      <c r="N1946" s="846"/>
      <c r="O1946" s="846"/>
      <c r="P1946" s="846"/>
      <c r="Q1946" s="846"/>
      <c r="R1946" s="846"/>
      <c r="S1946" s="846"/>
      <c r="T1946" s="846"/>
    </row>
    <row r="1947" spans="2:20" ht="25.5" hidden="1">
      <c r="B1947" s="828" t="s">
        <v>6555</v>
      </c>
      <c r="C1947" s="828">
        <v>91292</v>
      </c>
      <c r="D1947" s="630" t="s">
        <v>7763</v>
      </c>
      <c r="E1947" s="630" t="s">
        <v>646</v>
      </c>
      <c r="F1947" s="829">
        <v>198.37</v>
      </c>
      <c r="G1947" s="830">
        <v>151.66999999999999</v>
      </c>
      <c r="H1947" s="831">
        <v>350.04</v>
      </c>
      <c r="I1947" s="846"/>
      <c r="J1947" s="846"/>
      <c r="K1947" s="846"/>
      <c r="L1947" s="846"/>
      <c r="M1947" s="846"/>
      <c r="N1947" s="846"/>
      <c r="O1947" s="846"/>
      <c r="P1947" s="846"/>
      <c r="Q1947" s="846"/>
      <c r="R1947" s="846"/>
      <c r="S1947" s="846"/>
      <c r="T1947" s="846"/>
    </row>
    <row r="1948" spans="2:20" ht="38.25" hidden="1">
      <c r="B1948" s="828" t="s">
        <v>6555</v>
      </c>
      <c r="C1948" s="828">
        <v>91295</v>
      </c>
      <c r="D1948" s="630" t="s">
        <v>3831</v>
      </c>
      <c r="E1948" s="630" t="s">
        <v>646</v>
      </c>
      <c r="F1948" s="829">
        <v>300.13</v>
      </c>
      <c r="G1948" s="830">
        <v>40.25</v>
      </c>
      <c r="H1948" s="831">
        <v>340.38</v>
      </c>
      <c r="I1948" s="846"/>
      <c r="J1948" s="846"/>
      <c r="K1948" s="846"/>
      <c r="L1948" s="846"/>
      <c r="M1948" s="846"/>
      <c r="N1948" s="846"/>
      <c r="O1948" s="846"/>
      <c r="P1948" s="846"/>
      <c r="Q1948" s="846"/>
      <c r="R1948" s="846"/>
      <c r="S1948" s="846"/>
      <c r="T1948" s="846"/>
    </row>
    <row r="1949" spans="2:20" ht="38.25" hidden="1">
      <c r="B1949" s="828" t="s">
        <v>6555</v>
      </c>
      <c r="C1949" s="828">
        <v>91296</v>
      </c>
      <c r="D1949" s="630" t="s">
        <v>3832</v>
      </c>
      <c r="E1949" s="630" t="s">
        <v>646</v>
      </c>
      <c r="F1949" s="829">
        <v>320.17</v>
      </c>
      <c r="G1949" s="830">
        <v>44.39</v>
      </c>
      <c r="H1949" s="831">
        <v>364.56</v>
      </c>
      <c r="I1949" s="846"/>
      <c r="J1949" s="846"/>
      <c r="K1949" s="846"/>
      <c r="L1949" s="846"/>
      <c r="M1949" s="846"/>
      <c r="N1949" s="846"/>
      <c r="O1949" s="846"/>
      <c r="P1949" s="846"/>
      <c r="Q1949" s="846"/>
      <c r="R1949" s="846"/>
      <c r="S1949" s="846"/>
      <c r="T1949" s="846"/>
    </row>
    <row r="1950" spans="2:20" ht="38.25" hidden="1">
      <c r="B1950" s="828" t="s">
        <v>6555</v>
      </c>
      <c r="C1950" s="828">
        <v>91297</v>
      </c>
      <c r="D1950" s="630" t="s">
        <v>3833</v>
      </c>
      <c r="E1950" s="630" t="s">
        <v>646</v>
      </c>
      <c r="F1950" s="829">
        <v>351.77</v>
      </c>
      <c r="G1950" s="830">
        <v>48.53</v>
      </c>
      <c r="H1950" s="831">
        <v>400.3</v>
      </c>
      <c r="I1950" s="846"/>
      <c r="J1950" s="846"/>
      <c r="K1950" s="846"/>
      <c r="L1950" s="846"/>
      <c r="M1950" s="846"/>
      <c r="N1950" s="846"/>
      <c r="O1950" s="846"/>
      <c r="P1950" s="846"/>
      <c r="Q1950" s="846"/>
      <c r="R1950" s="846"/>
      <c r="S1950" s="846"/>
      <c r="T1950" s="846"/>
    </row>
    <row r="1951" spans="2:20" ht="25.5" hidden="1">
      <c r="B1951" s="828" t="s">
        <v>6555</v>
      </c>
      <c r="C1951" s="828">
        <v>91298</v>
      </c>
      <c r="D1951" s="630" t="s">
        <v>3834</v>
      </c>
      <c r="E1951" s="630" t="s">
        <v>646</v>
      </c>
      <c r="F1951" s="829">
        <v>838.15</v>
      </c>
      <c r="G1951" s="830">
        <v>48.53</v>
      </c>
      <c r="H1951" s="831">
        <v>886.68</v>
      </c>
      <c r="I1951" s="846"/>
      <c r="J1951" s="846"/>
      <c r="K1951" s="846"/>
      <c r="L1951" s="846"/>
      <c r="M1951" s="846"/>
      <c r="N1951" s="846"/>
      <c r="O1951" s="846"/>
      <c r="P1951" s="846"/>
      <c r="Q1951" s="846"/>
      <c r="R1951" s="846"/>
      <c r="S1951" s="846"/>
      <c r="T1951" s="846"/>
    </row>
    <row r="1952" spans="2:20" ht="38.25" hidden="1">
      <c r="B1952" s="828" t="s">
        <v>6555</v>
      </c>
      <c r="C1952" s="828">
        <v>91299</v>
      </c>
      <c r="D1952" s="630" t="s">
        <v>3835</v>
      </c>
      <c r="E1952" s="630" t="s">
        <v>646</v>
      </c>
      <c r="F1952" s="829">
        <v>1172.05</v>
      </c>
      <c r="G1952" s="830">
        <v>67.349999999999994</v>
      </c>
      <c r="H1952" s="831">
        <v>1239.4000000000001</v>
      </c>
      <c r="I1952" s="846"/>
      <c r="J1952" s="846"/>
      <c r="K1952" s="846"/>
      <c r="L1952" s="846"/>
      <c r="M1952" s="846"/>
      <c r="N1952" s="846"/>
      <c r="O1952" s="846"/>
      <c r="P1952" s="846"/>
      <c r="Q1952" s="846"/>
      <c r="R1952" s="846"/>
      <c r="S1952" s="846"/>
      <c r="T1952" s="846"/>
    </row>
    <row r="1953" spans="2:20" ht="38.25" hidden="1">
      <c r="B1953" s="828" t="s">
        <v>6555</v>
      </c>
      <c r="C1953" s="828">
        <v>91304</v>
      </c>
      <c r="D1953" s="630" t="s">
        <v>3836</v>
      </c>
      <c r="E1953" s="630" t="s">
        <v>646</v>
      </c>
      <c r="F1953" s="829">
        <v>82.6</v>
      </c>
      <c r="G1953" s="830">
        <v>31.45</v>
      </c>
      <c r="H1953" s="831">
        <v>114.05</v>
      </c>
      <c r="I1953" s="846"/>
      <c r="J1953" s="846"/>
      <c r="K1953" s="846"/>
      <c r="L1953" s="846"/>
      <c r="M1953" s="846"/>
      <c r="N1953" s="846"/>
      <c r="O1953" s="846"/>
      <c r="P1953" s="846"/>
      <c r="Q1953" s="846"/>
      <c r="R1953" s="846"/>
      <c r="S1953" s="846"/>
      <c r="T1953" s="846"/>
    </row>
    <row r="1954" spans="2:20" ht="38.25" hidden="1">
      <c r="B1954" s="828" t="s">
        <v>6555</v>
      </c>
      <c r="C1954" s="828">
        <v>91305</v>
      </c>
      <c r="D1954" s="630" t="s">
        <v>3837</v>
      </c>
      <c r="E1954" s="630" t="s">
        <v>646</v>
      </c>
      <c r="F1954" s="829">
        <v>89.02</v>
      </c>
      <c r="G1954" s="830">
        <v>24.08</v>
      </c>
      <c r="H1954" s="831">
        <v>113.1</v>
      </c>
      <c r="I1954" s="846"/>
      <c r="J1954" s="846"/>
      <c r="K1954" s="846"/>
      <c r="L1954" s="846"/>
      <c r="M1954" s="846"/>
      <c r="N1954" s="846"/>
      <c r="O1954" s="846"/>
      <c r="P1954" s="846"/>
      <c r="Q1954" s="846"/>
      <c r="R1954" s="846"/>
      <c r="S1954" s="846"/>
      <c r="T1954" s="846"/>
    </row>
    <row r="1955" spans="2:20" ht="38.25" hidden="1">
      <c r="B1955" s="828" t="s">
        <v>6555</v>
      </c>
      <c r="C1955" s="828">
        <v>91306</v>
      </c>
      <c r="D1955" s="630" t="s">
        <v>3838</v>
      </c>
      <c r="E1955" s="630" t="s">
        <v>646</v>
      </c>
      <c r="F1955" s="829">
        <v>138.02000000000001</v>
      </c>
      <c r="G1955" s="830">
        <v>24.08</v>
      </c>
      <c r="H1955" s="831">
        <v>162.1</v>
      </c>
      <c r="I1955" s="846"/>
      <c r="J1955" s="846"/>
      <c r="K1955" s="846"/>
      <c r="L1955" s="846"/>
      <c r="M1955" s="846"/>
      <c r="N1955" s="846"/>
      <c r="O1955" s="846"/>
      <c r="P1955" s="846"/>
      <c r="Q1955" s="846"/>
      <c r="R1955" s="846"/>
      <c r="S1955" s="846"/>
      <c r="T1955" s="846"/>
    </row>
    <row r="1956" spans="2:20" ht="38.25" hidden="1">
      <c r="B1956" s="828" t="s">
        <v>6555</v>
      </c>
      <c r="C1956" s="828">
        <v>91307</v>
      </c>
      <c r="D1956" s="630" t="s">
        <v>3839</v>
      </c>
      <c r="E1956" s="630" t="s">
        <v>646</v>
      </c>
      <c r="F1956" s="829">
        <v>72.489999999999995</v>
      </c>
      <c r="G1956" s="830">
        <v>24.08</v>
      </c>
      <c r="H1956" s="831">
        <v>96.57</v>
      </c>
      <c r="I1956" s="846"/>
      <c r="J1956" s="846"/>
      <c r="K1956" s="846"/>
      <c r="L1956" s="846"/>
      <c r="M1956" s="846"/>
      <c r="N1956" s="846"/>
      <c r="O1956" s="846"/>
      <c r="P1956" s="846"/>
      <c r="Q1956" s="846"/>
      <c r="R1956" s="846"/>
      <c r="S1956" s="846"/>
      <c r="T1956" s="846"/>
    </row>
    <row r="1957" spans="2:20" ht="51" hidden="1">
      <c r="B1957" s="828" t="s">
        <v>6555</v>
      </c>
      <c r="C1957" s="828">
        <v>91312</v>
      </c>
      <c r="D1957" s="630" t="s">
        <v>3840</v>
      </c>
      <c r="E1957" s="630" t="s">
        <v>646</v>
      </c>
      <c r="F1957" s="829">
        <v>628.29</v>
      </c>
      <c r="G1957" s="830">
        <v>236.43</v>
      </c>
      <c r="H1957" s="831">
        <v>864.72</v>
      </c>
      <c r="I1957" s="846"/>
      <c r="J1957" s="846"/>
      <c r="K1957" s="846"/>
      <c r="L1957" s="846"/>
      <c r="M1957" s="846"/>
      <c r="N1957" s="846"/>
      <c r="O1957" s="846"/>
      <c r="P1957" s="846"/>
      <c r="Q1957" s="846"/>
      <c r="R1957" s="846"/>
      <c r="S1957" s="846"/>
      <c r="T1957" s="846"/>
    </row>
    <row r="1958" spans="2:20" ht="51" hidden="1">
      <c r="B1958" s="828" t="s">
        <v>6555</v>
      </c>
      <c r="C1958" s="828">
        <v>91313</v>
      </c>
      <c r="D1958" s="630" t="s">
        <v>3841</v>
      </c>
      <c r="E1958" s="630" t="s">
        <v>646</v>
      </c>
      <c r="F1958" s="829">
        <v>616.04</v>
      </c>
      <c r="G1958" s="830">
        <v>241.01</v>
      </c>
      <c r="H1958" s="832">
        <v>857.05</v>
      </c>
      <c r="I1958" s="846"/>
      <c r="J1958" s="846"/>
      <c r="K1958" s="846"/>
      <c r="L1958" s="846"/>
      <c r="M1958" s="846"/>
      <c r="N1958" s="846"/>
      <c r="O1958" s="846"/>
      <c r="P1958" s="846"/>
      <c r="Q1958" s="846"/>
      <c r="R1958" s="846"/>
      <c r="S1958" s="846"/>
      <c r="T1958" s="846"/>
    </row>
    <row r="1959" spans="2:20" ht="51" hidden="1">
      <c r="B1959" s="828" t="s">
        <v>6555</v>
      </c>
      <c r="C1959" s="828">
        <v>91314</v>
      </c>
      <c r="D1959" s="630" t="s">
        <v>3842</v>
      </c>
      <c r="E1959" s="630" t="s">
        <v>646</v>
      </c>
      <c r="F1959" s="829">
        <v>646.58000000000004</v>
      </c>
      <c r="G1959" s="830">
        <v>252.94</v>
      </c>
      <c r="H1959" s="831">
        <v>899.52</v>
      </c>
      <c r="I1959" s="846"/>
      <c r="J1959" s="846"/>
      <c r="K1959" s="846"/>
      <c r="L1959" s="846"/>
      <c r="M1959" s="846"/>
      <c r="N1959" s="846"/>
      <c r="O1959" s="846"/>
      <c r="P1959" s="846"/>
      <c r="Q1959" s="846"/>
      <c r="R1959" s="846"/>
      <c r="S1959" s="846"/>
      <c r="T1959" s="846"/>
    </row>
    <row r="1960" spans="2:20" ht="51" hidden="1">
      <c r="B1960" s="828" t="s">
        <v>6555</v>
      </c>
      <c r="C1960" s="828">
        <v>91315</v>
      </c>
      <c r="D1960" s="630" t="s">
        <v>3843</v>
      </c>
      <c r="E1960" s="630" t="s">
        <v>646</v>
      </c>
      <c r="F1960" s="829">
        <v>720.08</v>
      </c>
      <c r="G1960" s="830">
        <v>257.5</v>
      </c>
      <c r="H1960" s="831">
        <v>977.58</v>
      </c>
      <c r="I1960" s="846"/>
      <c r="J1960" s="846"/>
      <c r="K1960" s="846"/>
      <c r="L1960" s="846"/>
      <c r="M1960" s="846"/>
      <c r="N1960" s="846"/>
      <c r="O1960" s="846"/>
      <c r="P1960" s="846"/>
      <c r="Q1960" s="846"/>
      <c r="R1960" s="846"/>
      <c r="S1960" s="846"/>
      <c r="T1960" s="846"/>
    </row>
    <row r="1961" spans="2:20" ht="63.75" hidden="1">
      <c r="B1961" s="828" t="s">
        <v>6555</v>
      </c>
      <c r="C1961" s="828">
        <v>91316</v>
      </c>
      <c r="D1961" s="630" t="s">
        <v>3844</v>
      </c>
      <c r="E1961" s="630" t="s">
        <v>646</v>
      </c>
      <c r="F1961" s="829">
        <v>881.64</v>
      </c>
      <c r="G1961" s="830">
        <v>271.72000000000003</v>
      </c>
      <c r="H1961" s="831">
        <v>1153.3599999999999</v>
      </c>
      <c r="I1961" s="846"/>
      <c r="J1961" s="846"/>
      <c r="K1961" s="846"/>
      <c r="L1961" s="846"/>
      <c r="M1961" s="846"/>
      <c r="N1961" s="846"/>
      <c r="O1961" s="846"/>
      <c r="P1961" s="846"/>
      <c r="Q1961" s="846"/>
      <c r="R1961" s="846"/>
      <c r="S1961" s="846"/>
      <c r="T1961" s="846"/>
    </row>
    <row r="1962" spans="2:20" ht="63.75" hidden="1">
      <c r="B1962" s="828" t="s">
        <v>6555</v>
      </c>
      <c r="C1962" s="828">
        <v>91317</v>
      </c>
      <c r="D1962" s="630" t="s">
        <v>3845</v>
      </c>
      <c r="E1962" s="630" t="s">
        <v>646</v>
      </c>
      <c r="F1962" s="829">
        <v>944.31</v>
      </c>
      <c r="G1962" s="830">
        <v>277.88</v>
      </c>
      <c r="H1962" s="831">
        <v>1222.19</v>
      </c>
      <c r="I1962" s="846"/>
      <c r="J1962" s="846"/>
      <c r="K1962" s="846"/>
      <c r="L1962" s="846"/>
      <c r="M1962" s="846"/>
      <c r="N1962" s="846"/>
      <c r="O1962" s="846"/>
      <c r="P1962" s="846"/>
      <c r="Q1962" s="846"/>
      <c r="R1962" s="846"/>
      <c r="S1962" s="846"/>
      <c r="T1962" s="846"/>
    </row>
    <row r="1963" spans="2:20" ht="51" hidden="1">
      <c r="B1963" s="828" t="s">
        <v>6555</v>
      </c>
      <c r="C1963" s="828">
        <v>91318</v>
      </c>
      <c r="D1963" s="630" t="s">
        <v>3846</v>
      </c>
      <c r="E1963" s="630" t="s">
        <v>646</v>
      </c>
      <c r="F1963" s="829">
        <v>539.27</v>
      </c>
      <c r="G1963" s="830">
        <v>212.35</v>
      </c>
      <c r="H1963" s="831">
        <v>751.62</v>
      </c>
      <c r="I1963" s="846"/>
      <c r="J1963" s="846"/>
      <c r="K1963" s="846"/>
      <c r="L1963" s="846"/>
      <c r="M1963" s="846"/>
      <c r="N1963" s="846"/>
      <c r="O1963" s="846"/>
      <c r="P1963" s="846"/>
      <c r="Q1963" s="846"/>
      <c r="R1963" s="846"/>
      <c r="S1963" s="846"/>
      <c r="T1963" s="846"/>
    </row>
    <row r="1964" spans="2:20" ht="51" hidden="1">
      <c r="B1964" s="828" t="s">
        <v>6555</v>
      </c>
      <c r="C1964" s="828">
        <v>91319</v>
      </c>
      <c r="D1964" s="630" t="s">
        <v>3847</v>
      </c>
      <c r="E1964" s="630" t="s">
        <v>646</v>
      </c>
      <c r="F1964" s="829">
        <v>543.54999999999995</v>
      </c>
      <c r="G1964" s="830">
        <v>216.93</v>
      </c>
      <c r="H1964" s="831">
        <v>760.48</v>
      </c>
      <c r="I1964" s="846"/>
      <c r="J1964" s="846"/>
      <c r="K1964" s="846"/>
      <c r="L1964" s="846"/>
      <c r="M1964" s="846"/>
      <c r="N1964" s="846"/>
      <c r="O1964" s="846"/>
      <c r="P1964" s="846"/>
      <c r="Q1964" s="846"/>
      <c r="R1964" s="846"/>
      <c r="S1964" s="846"/>
      <c r="T1964" s="846"/>
    </row>
    <row r="1965" spans="2:20" ht="51" hidden="1">
      <c r="B1965" s="828" t="s">
        <v>6555</v>
      </c>
      <c r="C1965" s="828">
        <v>91320</v>
      </c>
      <c r="D1965" s="630" t="s">
        <v>3848</v>
      </c>
      <c r="E1965" s="630" t="s">
        <v>646</v>
      </c>
      <c r="F1965" s="829">
        <v>563.99</v>
      </c>
      <c r="G1965" s="830">
        <v>221.48</v>
      </c>
      <c r="H1965" s="831">
        <v>785.47</v>
      </c>
      <c r="I1965" s="846"/>
      <c r="J1965" s="846"/>
      <c r="K1965" s="846"/>
      <c r="L1965" s="846"/>
      <c r="M1965" s="846"/>
      <c r="N1965" s="846"/>
      <c r="O1965" s="846"/>
      <c r="P1965" s="846"/>
      <c r="Q1965" s="846"/>
      <c r="R1965" s="846"/>
      <c r="S1965" s="846"/>
      <c r="T1965" s="846"/>
    </row>
    <row r="1966" spans="2:20" ht="51" hidden="1">
      <c r="B1966" s="828" t="s">
        <v>6555</v>
      </c>
      <c r="C1966" s="828">
        <v>91321</v>
      </c>
      <c r="D1966" s="630" t="s">
        <v>3849</v>
      </c>
      <c r="E1966" s="630" t="s">
        <v>646</v>
      </c>
      <c r="F1966" s="829">
        <v>637.48</v>
      </c>
      <c r="G1966" s="830">
        <v>226.05</v>
      </c>
      <c r="H1966" s="831">
        <v>863.53</v>
      </c>
      <c r="I1966" s="846"/>
      <c r="J1966" s="846"/>
      <c r="K1966" s="846"/>
      <c r="L1966" s="846"/>
      <c r="M1966" s="846"/>
      <c r="N1966" s="846"/>
      <c r="O1966" s="846"/>
      <c r="P1966" s="846"/>
      <c r="Q1966" s="846"/>
      <c r="R1966" s="846"/>
      <c r="S1966" s="846"/>
      <c r="T1966" s="846"/>
    </row>
    <row r="1967" spans="2:20" ht="51" hidden="1">
      <c r="B1967" s="828" t="s">
        <v>6555</v>
      </c>
      <c r="C1967" s="828">
        <v>91322</v>
      </c>
      <c r="D1967" s="630" t="s">
        <v>3850</v>
      </c>
      <c r="E1967" s="630" t="s">
        <v>646</v>
      </c>
      <c r="F1967" s="829">
        <v>799.05</v>
      </c>
      <c r="G1967" s="830">
        <v>240.26</v>
      </c>
      <c r="H1967" s="832">
        <v>1039.31</v>
      </c>
      <c r="I1967" s="846"/>
      <c r="J1967" s="846"/>
      <c r="K1967" s="846"/>
      <c r="L1967" s="846"/>
      <c r="M1967" s="846"/>
      <c r="N1967" s="846"/>
      <c r="O1967" s="846"/>
      <c r="P1967" s="846"/>
      <c r="Q1967" s="846"/>
      <c r="R1967" s="846"/>
      <c r="S1967" s="846"/>
      <c r="T1967" s="846"/>
    </row>
    <row r="1968" spans="2:20" ht="51" hidden="1">
      <c r="B1968" s="828" t="s">
        <v>6555</v>
      </c>
      <c r="C1968" s="828">
        <v>91323</v>
      </c>
      <c r="D1968" s="630" t="s">
        <v>3851</v>
      </c>
      <c r="E1968" s="630" t="s">
        <v>646</v>
      </c>
      <c r="F1968" s="829">
        <v>861.72</v>
      </c>
      <c r="G1968" s="830">
        <v>246.42</v>
      </c>
      <c r="H1968" s="832">
        <v>1108.1400000000001</v>
      </c>
      <c r="I1968" s="846"/>
      <c r="J1968" s="846"/>
      <c r="K1968" s="846"/>
      <c r="L1968" s="846"/>
      <c r="M1968" s="846"/>
      <c r="N1968" s="846"/>
      <c r="O1968" s="846"/>
      <c r="P1968" s="846"/>
      <c r="Q1968" s="846"/>
      <c r="R1968" s="846"/>
      <c r="S1968" s="846"/>
      <c r="T1968" s="846"/>
    </row>
    <row r="1969" spans="2:20" ht="51" hidden="1">
      <c r="B1969" s="828" t="s">
        <v>6555</v>
      </c>
      <c r="C1969" s="828">
        <v>91324</v>
      </c>
      <c r="D1969" s="630" t="s">
        <v>3852</v>
      </c>
      <c r="E1969" s="630" t="s">
        <v>646</v>
      </c>
      <c r="F1969" s="829">
        <v>549.89</v>
      </c>
      <c r="G1969" s="830">
        <v>212.35</v>
      </c>
      <c r="H1969" s="831">
        <v>762.24</v>
      </c>
      <c r="I1969" s="846"/>
      <c r="J1969" s="846"/>
      <c r="K1969" s="846"/>
      <c r="L1969" s="846"/>
      <c r="M1969" s="846"/>
      <c r="N1969" s="846"/>
      <c r="O1969" s="846"/>
      <c r="P1969" s="846"/>
      <c r="Q1969" s="846"/>
      <c r="R1969" s="846"/>
      <c r="S1969" s="846"/>
      <c r="T1969" s="846"/>
    </row>
    <row r="1970" spans="2:20" ht="51" hidden="1">
      <c r="B1970" s="828" t="s">
        <v>6555</v>
      </c>
      <c r="C1970" s="828">
        <v>91325</v>
      </c>
      <c r="D1970" s="630" t="s">
        <v>3853</v>
      </c>
      <c r="E1970" s="630" t="s">
        <v>646</v>
      </c>
      <c r="F1970" s="829">
        <v>554.69000000000005</v>
      </c>
      <c r="G1970" s="830">
        <v>216.92</v>
      </c>
      <c r="H1970" s="831">
        <v>771.61</v>
      </c>
      <c r="I1970" s="846"/>
      <c r="J1970" s="846"/>
      <c r="K1970" s="846"/>
      <c r="L1970" s="846"/>
      <c r="M1970" s="846"/>
      <c r="N1970" s="846"/>
      <c r="O1970" s="846"/>
      <c r="P1970" s="846"/>
      <c r="Q1970" s="846"/>
      <c r="R1970" s="846"/>
      <c r="S1970" s="846"/>
      <c r="T1970" s="846"/>
    </row>
    <row r="1971" spans="2:20" ht="51" hidden="1">
      <c r="B1971" s="828" t="s">
        <v>6555</v>
      </c>
      <c r="C1971" s="828">
        <v>91326</v>
      </c>
      <c r="D1971" s="630" t="s">
        <v>3854</v>
      </c>
      <c r="E1971" s="630" t="s">
        <v>646</v>
      </c>
      <c r="F1971" s="829">
        <v>607.14</v>
      </c>
      <c r="G1971" s="830">
        <v>221.47</v>
      </c>
      <c r="H1971" s="831">
        <v>828.61</v>
      </c>
      <c r="I1971" s="846"/>
      <c r="J1971" s="846"/>
      <c r="K1971" s="846"/>
      <c r="L1971" s="846"/>
      <c r="M1971" s="846"/>
      <c r="N1971" s="846"/>
      <c r="O1971" s="846"/>
      <c r="P1971" s="846"/>
      <c r="Q1971" s="846"/>
      <c r="R1971" s="846"/>
      <c r="S1971" s="846"/>
      <c r="T1971" s="846"/>
    </row>
    <row r="1972" spans="2:20" ht="51" hidden="1">
      <c r="B1972" s="828" t="s">
        <v>6555</v>
      </c>
      <c r="C1972" s="828">
        <v>91327</v>
      </c>
      <c r="D1972" s="630" t="s">
        <v>3855</v>
      </c>
      <c r="E1972" s="630" t="s">
        <v>646</v>
      </c>
      <c r="F1972" s="829">
        <v>646.91</v>
      </c>
      <c r="G1972" s="830">
        <v>226.04</v>
      </c>
      <c r="H1972" s="831">
        <v>872.95</v>
      </c>
      <c r="I1972" s="846"/>
      <c r="J1972" s="846"/>
      <c r="K1972" s="846"/>
      <c r="L1972" s="846"/>
      <c r="M1972" s="846"/>
      <c r="N1972" s="846"/>
      <c r="O1972" s="846"/>
      <c r="P1972" s="846"/>
      <c r="Q1972" s="846"/>
      <c r="R1972" s="846"/>
      <c r="S1972" s="846"/>
      <c r="T1972" s="846"/>
    </row>
    <row r="1973" spans="2:20" ht="51" hidden="1">
      <c r="B1973" s="828" t="s">
        <v>6555</v>
      </c>
      <c r="C1973" s="828">
        <v>91328</v>
      </c>
      <c r="D1973" s="630" t="s">
        <v>3856</v>
      </c>
      <c r="E1973" s="630" t="s">
        <v>646</v>
      </c>
      <c r="F1973" s="829">
        <v>677.87</v>
      </c>
      <c r="G1973" s="830">
        <v>212.01</v>
      </c>
      <c r="H1973" s="831">
        <v>889.88</v>
      </c>
      <c r="I1973" s="846"/>
      <c r="J1973" s="846"/>
      <c r="K1973" s="846"/>
      <c r="L1973" s="846"/>
      <c r="M1973" s="846"/>
      <c r="N1973" s="846"/>
      <c r="O1973" s="846"/>
      <c r="P1973" s="846"/>
      <c r="Q1973" s="846"/>
      <c r="R1973" s="846"/>
      <c r="S1973" s="846"/>
      <c r="T1973" s="846"/>
    </row>
    <row r="1974" spans="2:20" ht="51" hidden="1">
      <c r="B1974" s="828" t="s">
        <v>6555</v>
      </c>
      <c r="C1974" s="828">
        <v>91329</v>
      </c>
      <c r="D1974" s="630" t="s">
        <v>3857</v>
      </c>
      <c r="E1974" s="630" t="s">
        <v>646</v>
      </c>
      <c r="F1974" s="829">
        <v>559.09</v>
      </c>
      <c r="G1974" s="830">
        <v>212.35</v>
      </c>
      <c r="H1974" s="832">
        <v>771.44</v>
      </c>
      <c r="I1974" s="846"/>
      <c r="J1974" s="846"/>
      <c r="K1974" s="846"/>
      <c r="L1974" s="846"/>
      <c r="M1974" s="846"/>
      <c r="N1974" s="846"/>
      <c r="O1974" s="846"/>
      <c r="P1974" s="846"/>
      <c r="Q1974" s="846"/>
      <c r="R1974" s="846"/>
      <c r="S1974" s="846"/>
      <c r="T1974" s="846"/>
    </row>
    <row r="1975" spans="2:20" ht="51" hidden="1">
      <c r="B1975" s="828" t="s">
        <v>6555</v>
      </c>
      <c r="C1975" s="828">
        <v>91330</v>
      </c>
      <c r="D1975" s="630" t="s">
        <v>3858</v>
      </c>
      <c r="E1975" s="630" t="s">
        <v>646</v>
      </c>
      <c r="F1975" s="829">
        <v>699.92</v>
      </c>
      <c r="G1975" s="830">
        <v>216.57</v>
      </c>
      <c r="H1975" s="831">
        <v>916.49</v>
      </c>
      <c r="I1975" s="846"/>
      <c r="J1975" s="846"/>
      <c r="K1975" s="846"/>
      <c r="L1975" s="846"/>
      <c r="M1975" s="846"/>
      <c r="N1975" s="846"/>
      <c r="O1975" s="846"/>
      <c r="P1975" s="846"/>
      <c r="Q1975" s="846"/>
      <c r="R1975" s="846"/>
      <c r="S1975" s="846"/>
      <c r="T1975" s="846"/>
    </row>
    <row r="1976" spans="2:20" ht="51" hidden="1">
      <c r="B1976" s="828" t="s">
        <v>6555</v>
      </c>
      <c r="C1976" s="828">
        <v>91331</v>
      </c>
      <c r="D1976" s="630" t="s">
        <v>3859</v>
      </c>
      <c r="E1976" s="630" t="s">
        <v>646</v>
      </c>
      <c r="F1976" s="829">
        <v>580.4</v>
      </c>
      <c r="G1976" s="830">
        <v>216.91</v>
      </c>
      <c r="H1976" s="831">
        <v>797.31</v>
      </c>
      <c r="I1976" s="846"/>
      <c r="J1976" s="846"/>
      <c r="K1976" s="846"/>
      <c r="L1976" s="846"/>
      <c r="M1976" s="846"/>
      <c r="N1976" s="846"/>
      <c r="O1976" s="846"/>
      <c r="P1976" s="846"/>
      <c r="Q1976" s="846"/>
      <c r="R1976" s="846"/>
      <c r="S1976" s="846"/>
      <c r="T1976" s="846"/>
    </row>
    <row r="1977" spans="2:20" ht="51" hidden="1">
      <c r="B1977" s="828" t="s">
        <v>6555</v>
      </c>
      <c r="C1977" s="828">
        <v>91332</v>
      </c>
      <c r="D1977" s="630" t="s">
        <v>3860</v>
      </c>
      <c r="E1977" s="630" t="s">
        <v>646</v>
      </c>
      <c r="F1977" s="829">
        <v>733.54</v>
      </c>
      <c r="G1977" s="830">
        <v>221.13</v>
      </c>
      <c r="H1977" s="831">
        <v>954.67</v>
      </c>
      <c r="I1977" s="846"/>
      <c r="J1977" s="846"/>
      <c r="K1977" s="846"/>
      <c r="L1977" s="846"/>
      <c r="M1977" s="846"/>
      <c r="N1977" s="846"/>
      <c r="O1977" s="846"/>
      <c r="P1977" s="846"/>
      <c r="Q1977" s="846"/>
      <c r="R1977" s="846"/>
      <c r="S1977" s="846"/>
      <c r="T1977" s="846"/>
    </row>
    <row r="1978" spans="2:20" ht="51" hidden="1">
      <c r="B1978" s="828" t="s">
        <v>6555</v>
      </c>
      <c r="C1978" s="828">
        <v>91333</v>
      </c>
      <c r="D1978" s="630" t="s">
        <v>3861</v>
      </c>
      <c r="E1978" s="630" t="s">
        <v>646</v>
      </c>
      <c r="F1978" s="829">
        <v>613.27</v>
      </c>
      <c r="G1978" s="830">
        <v>221.47</v>
      </c>
      <c r="H1978" s="831">
        <v>834.74</v>
      </c>
      <c r="I1978" s="846"/>
      <c r="J1978" s="846"/>
      <c r="K1978" s="846"/>
      <c r="L1978" s="846"/>
      <c r="M1978" s="846"/>
      <c r="N1978" s="846"/>
      <c r="O1978" s="846"/>
      <c r="P1978" s="846"/>
      <c r="Q1978" s="846"/>
      <c r="R1978" s="846"/>
      <c r="S1978" s="846"/>
      <c r="T1978" s="846"/>
    </row>
    <row r="1979" spans="2:20" ht="51" hidden="1">
      <c r="B1979" s="828" t="s">
        <v>6555</v>
      </c>
      <c r="C1979" s="828">
        <v>91334</v>
      </c>
      <c r="D1979" s="630" t="s">
        <v>3862</v>
      </c>
      <c r="E1979" s="630" t="s">
        <v>646</v>
      </c>
      <c r="F1979" s="829">
        <v>1219.99</v>
      </c>
      <c r="G1979" s="830">
        <v>221.06</v>
      </c>
      <c r="H1979" s="831">
        <v>1441.05</v>
      </c>
      <c r="I1979" s="846"/>
      <c r="J1979" s="846"/>
      <c r="K1979" s="846"/>
      <c r="L1979" s="846"/>
      <c r="M1979" s="846"/>
      <c r="N1979" s="846"/>
      <c r="O1979" s="846"/>
      <c r="P1979" s="846"/>
      <c r="Q1979" s="846"/>
      <c r="R1979" s="846"/>
      <c r="S1979" s="846"/>
      <c r="T1979" s="846"/>
    </row>
    <row r="1980" spans="2:20" ht="51" hidden="1">
      <c r="B1980" s="828" t="s">
        <v>6555</v>
      </c>
      <c r="C1980" s="828">
        <v>91335</v>
      </c>
      <c r="D1980" s="630" t="s">
        <v>3863</v>
      </c>
      <c r="E1980" s="630" t="s">
        <v>646</v>
      </c>
      <c r="F1980" s="829">
        <v>1099.75</v>
      </c>
      <c r="G1980" s="830">
        <v>221.37</v>
      </c>
      <c r="H1980" s="831">
        <v>1321.12</v>
      </c>
      <c r="I1980" s="846"/>
      <c r="J1980" s="846"/>
      <c r="K1980" s="846"/>
      <c r="L1980" s="846"/>
      <c r="M1980" s="846"/>
      <c r="N1980" s="846"/>
      <c r="O1980" s="846"/>
      <c r="P1980" s="846"/>
      <c r="Q1980" s="846"/>
      <c r="R1980" s="846"/>
      <c r="S1980" s="846"/>
      <c r="T1980" s="846"/>
    </row>
    <row r="1981" spans="2:20" ht="51" hidden="1">
      <c r="B1981" s="828" t="s">
        <v>6555</v>
      </c>
      <c r="C1981" s="828">
        <v>91336</v>
      </c>
      <c r="D1981" s="630" t="s">
        <v>3864</v>
      </c>
      <c r="E1981" s="630" t="s">
        <v>646</v>
      </c>
      <c r="F1981" s="829">
        <v>1553.91</v>
      </c>
      <c r="G1981" s="830">
        <v>239.86</v>
      </c>
      <c r="H1981" s="831">
        <v>1793.77</v>
      </c>
      <c r="I1981" s="846"/>
      <c r="J1981" s="846"/>
      <c r="K1981" s="846"/>
      <c r="L1981" s="846"/>
      <c r="M1981" s="846"/>
      <c r="N1981" s="846"/>
      <c r="O1981" s="846"/>
      <c r="P1981" s="846"/>
      <c r="Q1981" s="846"/>
      <c r="R1981" s="846"/>
      <c r="S1981" s="846"/>
      <c r="T1981" s="846"/>
    </row>
    <row r="1982" spans="2:20" ht="51" hidden="1">
      <c r="B1982" s="828" t="s">
        <v>6555</v>
      </c>
      <c r="C1982" s="828">
        <v>91337</v>
      </c>
      <c r="D1982" s="630" t="s">
        <v>3865</v>
      </c>
      <c r="E1982" s="630" t="s">
        <v>646</v>
      </c>
      <c r="F1982" s="829">
        <v>1433.67</v>
      </c>
      <c r="G1982" s="830">
        <v>240.17</v>
      </c>
      <c r="H1982" s="831">
        <v>1673.84</v>
      </c>
      <c r="I1982" s="846"/>
      <c r="J1982" s="846"/>
      <c r="K1982" s="846"/>
      <c r="L1982" s="846"/>
      <c r="M1982" s="846"/>
      <c r="N1982" s="846"/>
      <c r="O1982" s="846"/>
      <c r="P1982" s="846"/>
      <c r="Q1982" s="846"/>
      <c r="R1982" s="846"/>
      <c r="S1982" s="846"/>
      <c r="T1982" s="846"/>
    </row>
    <row r="1983" spans="2:20" ht="25.5" hidden="1">
      <c r="B1983" s="828" t="s">
        <v>6555</v>
      </c>
      <c r="C1983" s="828">
        <v>100659</v>
      </c>
      <c r="D1983" s="630" t="s">
        <v>3866</v>
      </c>
      <c r="E1983" s="630" t="s">
        <v>648</v>
      </c>
      <c r="F1983" s="829">
        <v>10.039999999999999</v>
      </c>
      <c r="G1983" s="830">
        <v>2.12</v>
      </c>
      <c r="H1983" s="831">
        <v>12.16</v>
      </c>
      <c r="I1983" s="846"/>
      <c r="J1983" s="846"/>
      <c r="K1983" s="846"/>
      <c r="L1983" s="846"/>
      <c r="M1983" s="846"/>
      <c r="N1983" s="846"/>
      <c r="O1983" s="846"/>
      <c r="P1983" s="846"/>
      <c r="Q1983" s="846"/>
      <c r="R1983" s="846"/>
      <c r="S1983" s="846"/>
      <c r="T1983" s="846"/>
    </row>
    <row r="1984" spans="2:20" ht="25.5" hidden="1">
      <c r="B1984" s="828" t="s">
        <v>6555</v>
      </c>
      <c r="C1984" s="828">
        <v>100660</v>
      </c>
      <c r="D1984" s="630" t="s">
        <v>3867</v>
      </c>
      <c r="E1984" s="630" t="s">
        <v>648</v>
      </c>
      <c r="F1984" s="829">
        <v>6.32</v>
      </c>
      <c r="G1984" s="830">
        <v>2.12</v>
      </c>
      <c r="H1984" s="831">
        <v>8.44</v>
      </c>
      <c r="I1984" s="846"/>
      <c r="J1984" s="846"/>
      <c r="K1984" s="846"/>
      <c r="L1984" s="846"/>
      <c r="M1984" s="846"/>
      <c r="N1984" s="846"/>
      <c r="O1984" s="846"/>
      <c r="P1984" s="846"/>
      <c r="Q1984" s="846"/>
      <c r="R1984" s="846"/>
      <c r="S1984" s="846"/>
      <c r="T1984" s="846"/>
    </row>
    <row r="1985" spans="2:20" ht="51" hidden="1">
      <c r="B1985" s="828" t="s">
        <v>6555</v>
      </c>
      <c r="C1985" s="828">
        <v>100675</v>
      </c>
      <c r="D1985" s="630" t="s">
        <v>3868</v>
      </c>
      <c r="E1985" s="630" t="s">
        <v>646</v>
      </c>
      <c r="F1985" s="829">
        <v>872.96</v>
      </c>
      <c r="G1985" s="830">
        <v>21.39</v>
      </c>
      <c r="H1985" s="832">
        <v>894.35</v>
      </c>
      <c r="I1985" s="846"/>
      <c r="J1985" s="846"/>
      <c r="K1985" s="846"/>
      <c r="L1985" s="846"/>
      <c r="M1985" s="846"/>
      <c r="N1985" s="846"/>
      <c r="O1985" s="846"/>
      <c r="P1985" s="846"/>
      <c r="Q1985" s="846"/>
      <c r="R1985" s="846"/>
      <c r="S1985" s="846"/>
      <c r="T1985" s="846"/>
    </row>
    <row r="1986" spans="2:20" ht="25.5" hidden="1">
      <c r="B1986" s="828" t="s">
        <v>6555</v>
      </c>
      <c r="C1986" s="828">
        <v>100676</v>
      </c>
      <c r="D1986" s="630" t="s">
        <v>3869</v>
      </c>
      <c r="E1986" s="630" t="s">
        <v>646</v>
      </c>
      <c r="F1986" s="829">
        <v>139.19</v>
      </c>
      <c r="G1986" s="830">
        <v>68.37</v>
      </c>
      <c r="H1986" s="832">
        <v>207.56</v>
      </c>
      <c r="I1986" s="846"/>
      <c r="J1986" s="846"/>
      <c r="K1986" s="846"/>
      <c r="L1986" s="846"/>
      <c r="M1986" s="846"/>
      <c r="N1986" s="846"/>
      <c r="O1986" s="846"/>
      <c r="P1986" s="846"/>
      <c r="Q1986" s="846"/>
      <c r="R1986" s="846"/>
      <c r="S1986" s="846"/>
      <c r="T1986" s="846"/>
    </row>
    <row r="1987" spans="2:20" ht="51" hidden="1">
      <c r="B1987" s="828" t="s">
        <v>6555</v>
      </c>
      <c r="C1987" s="828">
        <v>100678</v>
      </c>
      <c r="D1987" s="630" t="s">
        <v>3870</v>
      </c>
      <c r="E1987" s="630" t="s">
        <v>646</v>
      </c>
      <c r="F1987" s="829">
        <v>806.7</v>
      </c>
      <c r="G1987" s="830">
        <v>236.08</v>
      </c>
      <c r="H1987" s="832">
        <v>1042.78</v>
      </c>
      <c r="I1987" s="846"/>
      <c r="J1987" s="846"/>
      <c r="K1987" s="846"/>
      <c r="L1987" s="846"/>
      <c r="M1987" s="846"/>
      <c r="N1987" s="846"/>
      <c r="O1987" s="846"/>
      <c r="P1987" s="846"/>
      <c r="Q1987" s="846"/>
      <c r="R1987" s="846"/>
      <c r="S1987" s="846"/>
      <c r="T1987" s="846"/>
    </row>
    <row r="1988" spans="2:20" ht="51" hidden="1">
      <c r="B1988" s="828" t="s">
        <v>6555</v>
      </c>
      <c r="C1988" s="828">
        <v>100679</v>
      </c>
      <c r="D1988" s="630" t="s">
        <v>3871</v>
      </c>
      <c r="E1988" s="630" t="s">
        <v>646</v>
      </c>
      <c r="F1988" s="829">
        <v>638.91</v>
      </c>
      <c r="G1988" s="830">
        <v>236.43</v>
      </c>
      <c r="H1988" s="832">
        <v>875.34</v>
      </c>
      <c r="I1988" s="846"/>
      <c r="J1988" s="846"/>
      <c r="K1988" s="846"/>
      <c r="L1988" s="846"/>
      <c r="M1988" s="846"/>
      <c r="N1988" s="846"/>
      <c r="O1988" s="846"/>
      <c r="P1988" s="846"/>
      <c r="Q1988" s="846"/>
      <c r="R1988" s="846"/>
      <c r="S1988" s="846"/>
      <c r="T1988" s="846"/>
    </row>
    <row r="1989" spans="2:20" ht="51" hidden="1">
      <c r="B1989" s="828" t="s">
        <v>6555</v>
      </c>
      <c r="C1989" s="828">
        <v>100680</v>
      </c>
      <c r="D1989" s="630" t="s">
        <v>3872</v>
      </c>
      <c r="E1989" s="630" t="s">
        <v>646</v>
      </c>
      <c r="F1989" s="829">
        <v>812.24</v>
      </c>
      <c r="G1989" s="830">
        <v>240.65</v>
      </c>
      <c r="H1989" s="831">
        <v>1052.8900000000001</v>
      </c>
      <c r="I1989" s="846"/>
      <c r="J1989" s="846"/>
      <c r="K1989" s="846"/>
      <c r="L1989" s="846"/>
      <c r="M1989" s="846"/>
      <c r="N1989" s="846"/>
      <c r="O1989" s="846"/>
      <c r="P1989" s="846"/>
      <c r="Q1989" s="846"/>
      <c r="R1989" s="846"/>
      <c r="S1989" s="846"/>
      <c r="T1989" s="846"/>
    </row>
    <row r="1990" spans="2:20" ht="51" hidden="1">
      <c r="B1990" s="828" t="s">
        <v>6555</v>
      </c>
      <c r="C1990" s="828">
        <v>100681</v>
      </c>
      <c r="D1990" s="630" t="s">
        <v>3873</v>
      </c>
      <c r="E1990" s="630" t="s">
        <v>646</v>
      </c>
      <c r="F1990" s="829">
        <v>837.95</v>
      </c>
      <c r="G1990" s="830">
        <v>240.64</v>
      </c>
      <c r="H1990" s="831">
        <v>1078.5899999999999</v>
      </c>
      <c r="I1990" s="846"/>
      <c r="J1990" s="846"/>
      <c r="K1990" s="846"/>
      <c r="L1990" s="846"/>
      <c r="M1990" s="846"/>
      <c r="N1990" s="846"/>
      <c r="O1990" s="846"/>
      <c r="P1990" s="846"/>
      <c r="Q1990" s="846"/>
      <c r="R1990" s="846"/>
      <c r="S1990" s="846"/>
      <c r="T1990" s="846"/>
    </row>
    <row r="1991" spans="2:20" ht="51" hidden="1">
      <c r="B1991" s="828" t="s">
        <v>6555</v>
      </c>
      <c r="C1991" s="828">
        <v>100682</v>
      </c>
      <c r="D1991" s="630" t="s">
        <v>3874</v>
      </c>
      <c r="E1991" s="630" t="s">
        <v>646</v>
      </c>
      <c r="F1991" s="829">
        <v>652.88</v>
      </c>
      <c r="G1991" s="830">
        <v>241</v>
      </c>
      <c r="H1991" s="831">
        <v>893.88</v>
      </c>
      <c r="I1991" s="846"/>
      <c r="J1991" s="846"/>
      <c r="K1991" s="846"/>
      <c r="L1991" s="846"/>
      <c r="M1991" s="846"/>
      <c r="N1991" s="846"/>
      <c r="O1991" s="846"/>
      <c r="P1991" s="846"/>
      <c r="Q1991" s="846"/>
      <c r="R1991" s="846"/>
      <c r="S1991" s="846"/>
      <c r="T1991" s="846"/>
    </row>
    <row r="1992" spans="2:20" ht="51" hidden="1">
      <c r="B1992" s="828" t="s">
        <v>6555</v>
      </c>
      <c r="C1992" s="828">
        <v>100683</v>
      </c>
      <c r="D1992" s="630" t="s">
        <v>3875</v>
      </c>
      <c r="E1992" s="630" t="s">
        <v>646</v>
      </c>
      <c r="F1992" s="829">
        <v>881.24</v>
      </c>
      <c r="G1992" s="830">
        <v>252.58</v>
      </c>
      <c r="H1992" s="831">
        <v>1133.82</v>
      </c>
      <c r="I1992" s="846"/>
      <c r="J1992" s="846"/>
      <c r="K1992" s="846"/>
      <c r="L1992" s="846"/>
      <c r="M1992" s="846"/>
      <c r="N1992" s="846"/>
      <c r="O1992" s="846"/>
      <c r="P1992" s="846"/>
      <c r="Q1992" s="846"/>
      <c r="R1992" s="846"/>
      <c r="S1992" s="846"/>
      <c r="T1992" s="846"/>
    </row>
    <row r="1993" spans="2:20" ht="51" hidden="1">
      <c r="B1993" s="828" t="s">
        <v>6555</v>
      </c>
      <c r="C1993" s="828">
        <v>100684</v>
      </c>
      <c r="D1993" s="630" t="s">
        <v>3876</v>
      </c>
      <c r="E1993" s="630" t="s">
        <v>646</v>
      </c>
      <c r="F1993" s="829">
        <v>689.73</v>
      </c>
      <c r="G1993" s="830">
        <v>252.93</v>
      </c>
      <c r="H1993" s="831">
        <v>942.66</v>
      </c>
      <c r="I1993" s="846"/>
      <c r="J1993" s="846"/>
      <c r="K1993" s="846"/>
      <c r="L1993" s="846"/>
      <c r="M1993" s="846"/>
      <c r="N1993" s="846"/>
      <c r="O1993" s="846"/>
      <c r="P1993" s="846"/>
      <c r="Q1993" s="846"/>
      <c r="R1993" s="846"/>
      <c r="S1993" s="846"/>
      <c r="T1993" s="846"/>
    </row>
    <row r="1994" spans="2:20" ht="51" hidden="1">
      <c r="B1994" s="828" t="s">
        <v>6555</v>
      </c>
      <c r="C1994" s="828">
        <v>100685</v>
      </c>
      <c r="D1994" s="630" t="s">
        <v>3877</v>
      </c>
      <c r="E1994" s="630" t="s">
        <v>646</v>
      </c>
      <c r="F1994" s="829">
        <v>921.75</v>
      </c>
      <c r="G1994" s="830">
        <v>257.16000000000003</v>
      </c>
      <c r="H1994" s="831">
        <v>1178.9100000000001</v>
      </c>
      <c r="I1994" s="846"/>
      <c r="J1994" s="846"/>
      <c r="K1994" s="846"/>
      <c r="L1994" s="846"/>
      <c r="M1994" s="846"/>
      <c r="N1994" s="846"/>
      <c r="O1994" s="846"/>
      <c r="P1994" s="846"/>
      <c r="Q1994" s="846"/>
      <c r="R1994" s="846"/>
      <c r="S1994" s="846"/>
      <c r="T1994" s="846"/>
    </row>
    <row r="1995" spans="2:20" ht="51" hidden="1">
      <c r="B1995" s="828" t="s">
        <v>6555</v>
      </c>
      <c r="C1995" s="828">
        <v>100686</v>
      </c>
      <c r="D1995" s="630" t="s">
        <v>3878</v>
      </c>
      <c r="E1995" s="630" t="s">
        <v>646</v>
      </c>
      <c r="F1995" s="829">
        <v>729.5</v>
      </c>
      <c r="G1995" s="830">
        <v>257.5</v>
      </c>
      <c r="H1995" s="831">
        <v>987</v>
      </c>
      <c r="I1995" s="846"/>
      <c r="J1995" s="846"/>
      <c r="K1995" s="846"/>
      <c r="L1995" s="846"/>
      <c r="M1995" s="846"/>
      <c r="N1995" s="846"/>
      <c r="O1995" s="846"/>
      <c r="P1995" s="846"/>
      <c r="Q1995" s="846"/>
      <c r="R1995" s="846"/>
      <c r="S1995" s="846"/>
      <c r="T1995" s="846"/>
    </row>
    <row r="1996" spans="2:20" ht="51" hidden="1">
      <c r="B1996" s="828" t="s">
        <v>6555</v>
      </c>
      <c r="C1996" s="828">
        <v>100687</v>
      </c>
      <c r="D1996" s="630" t="s">
        <v>3879</v>
      </c>
      <c r="E1996" s="630" t="s">
        <v>646</v>
      </c>
      <c r="F1996" s="829">
        <v>815.9</v>
      </c>
      <c r="G1996" s="830">
        <v>236.08</v>
      </c>
      <c r="H1996" s="831">
        <v>1051.98</v>
      </c>
      <c r="I1996" s="846"/>
      <c r="J1996" s="846"/>
      <c r="K1996" s="846"/>
      <c r="L1996" s="846"/>
      <c r="M1996" s="846"/>
      <c r="N1996" s="846"/>
      <c r="O1996" s="846"/>
      <c r="P1996" s="846"/>
      <c r="Q1996" s="846"/>
      <c r="R1996" s="846"/>
      <c r="S1996" s="846"/>
      <c r="T1996" s="846"/>
    </row>
    <row r="1997" spans="2:20" ht="51" hidden="1">
      <c r="B1997" s="828" t="s">
        <v>6555</v>
      </c>
      <c r="C1997" s="828">
        <v>100688</v>
      </c>
      <c r="D1997" s="630" t="s">
        <v>3880</v>
      </c>
      <c r="E1997" s="630" t="s">
        <v>646</v>
      </c>
      <c r="F1997" s="829">
        <v>648.11</v>
      </c>
      <c r="G1997" s="830">
        <v>236.43</v>
      </c>
      <c r="H1997" s="831">
        <v>884.54</v>
      </c>
      <c r="I1997" s="846"/>
      <c r="J1997" s="846"/>
      <c r="K1997" s="846"/>
      <c r="L1997" s="846"/>
      <c r="M1997" s="846"/>
      <c r="N1997" s="846"/>
      <c r="O1997" s="846"/>
      <c r="P1997" s="846"/>
      <c r="Q1997" s="846"/>
      <c r="R1997" s="846"/>
      <c r="S1997" s="846"/>
      <c r="T1997" s="846"/>
    </row>
    <row r="1998" spans="2:20" ht="51" hidden="1">
      <c r="B1998" s="828" t="s">
        <v>6555</v>
      </c>
      <c r="C1998" s="828">
        <v>100689</v>
      </c>
      <c r="D1998" s="630" t="s">
        <v>3881</v>
      </c>
      <c r="E1998" s="630" t="s">
        <v>646</v>
      </c>
      <c r="F1998" s="829">
        <v>887.37</v>
      </c>
      <c r="G1998" s="830">
        <v>252.58</v>
      </c>
      <c r="H1998" s="832">
        <v>1139.95</v>
      </c>
      <c r="I1998" s="846"/>
      <c r="J1998" s="846"/>
      <c r="K1998" s="846"/>
      <c r="L1998" s="846"/>
      <c r="M1998" s="846"/>
      <c r="N1998" s="846"/>
      <c r="O1998" s="846"/>
      <c r="P1998" s="846"/>
      <c r="Q1998" s="846"/>
      <c r="R1998" s="846"/>
      <c r="S1998" s="846"/>
      <c r="T1998" s="846"/>
    </row>
    <row r="1999" spans="2:20" ht="51" hidden="1">
      <c r="B1999" s="828" t="s">
        <v>6555</v>
      </c>
      <c r="C1999" s="828">
        <v>100690</v>
      </c>
      <c r="D1999" s="630" t="s">
        <v>3882</v>
      </c>
      <c r="E1999" s="630" t="s">
        <v>646</v>
      </c>
      <c r="F1999" s="829">
        <v>695.86</v>
      </c>
      <c r="G1999" s="830">
        <v>252.93</v>
      </c>
      <c r="H1999" s="831">
        <v>948.79</v>
      </c>
      <c r="I1999" s="846"/>
      <c r="J1999" s="846"/>
      <c r="K1999" s="846"/>
      <c r="L1999" s="846"/>
      <c r="M1999" s="846"/>
      <c r="N1999" s="846"/>
      <c r="O1999" s="846"/>
      <c r="P1999" s="846"/>
      <c r="Q1999" s="846"/>
      <c r="R1999" s="846"/>
      <c r="S1999" s="846"/>
      <c r="T1999" s="846"/>
    </row>
    <row r="2000" spans="2:20" ht="51" hidden="1">
      <c r="B2000" s="828" t="s">
        <v>6555</v>
      </c>
      <c r="C2000" s="828">
        <v>100691</v>
      </c>
      <c r="D2000" s="630" t="s">
        <v>3883</v>
      </c>
      <c r="E2000" s="630" t="s">
        <v>646</v>
      </c>
      <c r="F2000" s="829">
        <v>1373.82</v>
      </c>
      <c r="G2000" s="830">
        <v>252.51</v>
      </c>
      <c r="H2000" s="832">
        <v>1626.33</v>
      </c>
      <c r="I2000" s="846"/>
      <c r="J2000" s="846"/>
      <c r="K2000" s="846"/>
      <c r="L2000" s="846"/>
      <c r="M2000" s="846"/>
      <c r="N2000" s="846"/>
      <c r="O2000" s="846"/>
      <c r="P2000" s="846"/>
      <c r="Q2000" s="846"/>
      <c r="R2000" s="846"/>
      <c r="S2000" s="846"/>
      <c r="T2000" s="846"/>
    </row>
    <row r="2001" spans="2:20" ht="51" hidden="1">
      <c r="B2001" s="828" t="s">
        <v>6555</v>
      </c>
      <c r="C2001" s="828">
        <v>100692</v>
      </c>
      <c r="D2001" s="630" t="s">
        <v>3884</v>
      </c>
      <c r="E2001" s="630" t="s">
        <v>646</v>
      </c>
      <c r="F2001" s="829">
        <v>1182.3399999999999</v>
      </c>
      <c r="G2001" s="830">
        <v>252.83</v>
      </c>
      <c r="H2001" s="831">
        <v>1435.17</v>
      </c>
      <c r="I2001" s="846"/>
      <c r="J2001" s="846"/>
      <c r="K2001" s="846"/>
      <c r="L2001" s="846"/>
      <c r="M2001" s="846"/>
      <c r="N2001" s="846"/>
      <c r="O2001" s="846"/>
      <c r="P2001" s="846"/>
      <c r="Q2001" s="846"/>
      <c r="R2001" s="846"/>
      <c r="S2001" s="846"/>
      <c r="T2001" s="846"/>
    </row>
    <row r="2002" spans="2:20" ht="63.75" hidden="1">
      <c r="B2002" s="828" t="s">
        <v>6555</v>
      </c>
      <c r="C2002" s="828">
        <v>100693</v>
      </c>
      <c r="D2002" s="630" t="s">
        <v>3885</v>
      </c>
      <c r="E2002" s="630" t="s">
        <v>646</v>
      </c>
      <c r="F2002" s="829">
        <v>1707.73</v>
      </c>
      <c r="G2002" s="830">
        <v>271.32</v>
      </c>
      <c r="H2002" s="831">
        <v>1979.05</v>
      </c>
      <c r="I2002" s="846"/>
      <c r="J2002" s="846"/>
      <c r="K2002" s="846"/>
      <c r="L2002" s="846"/>
      <c r="M2002" s="846"/>
      <c r="N2002" s="846"/>
      <c r="O2002" s="846"/>
      <c r="P2002" s="846"/>
      <c r="Q2002" s="846"/>
      <c r="R2002" s="846"/>
      <c r="S2002" s="846"/>
      <c r="T2002" s="846"/>
    </row>
    <row r="2003" spans="2:20" ht="63.75" hidden="1">
      <c r="B2003" s="828" t="s">
        <v>6555</v>
      </c>
      <c r="C2003" s="828">
        <v>100694</v>
      </c>
      <c r="D2003" s="630" t="s">
        <v>3886</v>
      </c>
      <c r="E2003" s="630" t="s">
        <v>646</v>
      </c>
      <c r="F2003" s="829">
        <v>1516.26</v>
      </c>
      <c r="G2003" s="830">
        <v>271.63</v>
      </c>
      <c r="H2003" s="831">
        <v>1787.89</v>
      </c>
      <c r="I2003" s="846"/>
      <c r="J2003" s="846"/>
      <c r="K2003" s="846"/>
      <c r="L2003" s="846"/>
      <c r="M2003" s="846"/>
      <c r="N2003" s="846"/>
      <c r="O2003" s="846"/>
      <c r="P2003" s="846"/>
      <c r="Q2003" s="846"/>
      <c r="R2003" s="846"/>
      <c r="S2003" s="846"/>
      <c r="T2003" s="846"/>
    </row>
    <row r="2004" spans="2:20" ht="38.25" hidden="1">
      <c r="B2004" s="828" t="s">
        <v>6555</v>
      </c>
      <c r="C2004" s="828">
        <v>100695</v>
      </c>
      <c r="D2004" s="630" t="s">
        <v>3887</v>
      </c>
      <c r="E2004" s="630" t="s">
        <v>646</v>
      </c>
      <c r="F2004" s="829">
        <v>16.87</v>
      </c>
      <c r="G2004" s="830">
        <v>49.95</v>
      </c>
      <c r="H2004" s="832">
        <v>66.819999999999993</v>
      </c>
      <c r="I2004" s="846"/>
      <c r="J2004" s="846"/>
      <c r="K2004" s="846"/>
      <c r="L2004" s="846"/>
      <c r="M2004" s="846"/>
      <c r="N2004" s="846"/>
      <c r="O2004" s="846"/>
      <c r="P2004" s="846"/>
      <c r="Q2004" s="846"/>
      <c r="R2004" s="846"/>
      <c r="S2004" s="846"/>
      <c r="T2004" s="846"/>
    </row>
    <row r="2005" spans="2:20" ht="38.25" hidden="1">
      <c r="B2005" s="828" t="s">
        <v>6555</v>
      </c>
      <c r="C2005" s="828">
        <v>100696</v>
      </c>
      <c r="D2005" s="630" t="s">
        <v>3888</v>
      </c>
      <c r="E2005" s="630" t="s">
        <v>646</v>
      </c>
      <c r="F2005" s="829">
        <v>18.690000000000001</v>
      </c>
      <c r="G2005" s="830">
        <v>55.68</v>
      </c>
      <c r="H2005" s="831">
        <v>74.37</v>
      </c>
      <c r="I2005" s="846"/>
      <c r="J2005" s="846"/>
      <c r="K2005" s="846"/>
      <c r="L2005" s="846"/>
      <c r="M2005" s="846"/>
      <c r="N2005" s="846"/>
      <c r="O2005" s="846"/>
      <c r="P2005" s="846"/>
      <c r="Q2005" s="846"/>
      <c r="R2005" s="846"/>
      <c r="S2005" s="846"/>
      <c r="T2005" s="846"/>
    </row>
    <row r="2006" spans="2:20" ht="38.25" hidden="1">
      <c r="B2006" s="828" t="s">
        <v>6555</v>
      </c>
      <c r="C2006" s="828">
        <v>100697</v>
      </c>
      <c r="D2006" s="630" t="s">
        <v>3889</v>
      </c>
      <c r="E2006" s="630" t="s">
        <v>646</v>
      </c>
      <c r="F2006" s="829">
        <v>20.53</v>
      </c>
      <c r="G2006" s="830">
        <v>61.44</v>
      </c>
      <c r="H2006" s="832">
        <v>81.97</v>
      </c>
      <c r="I2006" s="846"/>
      <c r="J2006" s="846"/>
      <c r="K2006" s="846"/>
      <c r="L2006" s="846"/>
      <c r="M2006" s="846"/>
      <c r="N2006" s="846"/>
      <c r="O2006" s="846"/>
      <c r="P2006" s="846"/>
      <c r="Q2006" s="846"/>
      <c r="R2006" s="846"/>
      <c r="S2006" s="846"/>
      <c r="T2006" s="846"/>
    </row>
    <row r="2007" spans="2:20" ht="38.25" hidden="1">
      <c r="B2007" s="828" t="s">
        <v>6555</v>
      </c>
      <c r="C2007" s="828">
        <v>100698</v>
      </c>
      <c r="D2007" s="630" t="s">
        <v>3890</v>
      </c>
      <c r="E2007" s="630" t="s">
        <v>646</v>
      </c>
      <c r="F2007" s="829">
        <v>22.36</v>
      </c>
      <c r="G2007" s="830">
        <v>67.2</v>
      </c>
      <c r="H2007" s="832">
        <v>89.56</v>
      </c>
      <c r="I2007" s="846"/>
      <c r="J2007" s="846"/>
      <c r="K2007" s="846"/>
      <c r="L2007" s="846"/>
      <c r="M2007" s="846"/>
      <c r="N2007" s="846"/>
      <c r="O2007" s="846"/>
      <c r="P2007" s="846"/>
      <c r="Q2007" s="846"/>
      <c r="R2007" s="846"/>
      <c r="S2007" s="846"/>
      <c r="T2007" s="846"/>
    </row>
    <row r="2008" spans="2:20" ht="38.25" hidden="1">
      <c r="B2008" s="828" t="s">
        <v>6555</v>
      </c>
      <c r="C2008" s="828">
        <v>100699</v>
      </c>
      <c r="D2008" s="630" t="s">
        <v>3891</v>
      </c>
      <c r="E2008" s="630" t="s">
        <v>646</v>
      </c>
      <c r="F2008" s="829">
        <v>26.38</v>
      </c>
      <c r="G2008" s="830">
        <v>80.25</v>
      </c>
      <c r="H2008" s="832">
        <v>106.63</v>
      </c>
      <c r="I2008" s="846"/>
      <c r="J2008" s="846"/>
      <c r="K2008" s="846"/>
      <c r="L2008" s="846"/>
      <c r="M2008" s="846"/>
      <c r="N2008" s="846"/>
      <c r="O2008" s="846"/>
      <c r="P2008" s="846"/>
      <c r="Q2008" s="846"/>
      <c r="R2008" s="846"/>
      <c r="S2008" s="846"/>
      <c r="T2008" s="846"/>
    </row>
    <row r="2009" spans="2:20" ht="25.5" hidden="1">
      <c r="B2009" s="828" t="s">
        <v>6555</v>
      </c>
      <c r="C2009" s="828">
        <v>100700</v>
      </c>
      <c r="D2009" s="630" t="s">
        <v>3892</v>
      </c>
      <c r="E2009" s="630" t="s">
        <v>646</v>
      </c>
      <c r="F2009" s="829">
        <v>690.71</v>
      </c>
      <c r="G2009" s="830">
        <v>158.13</v>
      </c>
      <c r="H2009" s="832">
        <v>848.84</v>
      </c>
      <c r="I2009" s="846"/>
      <c r="J2009" s="846"/>
      <c r="K2009" s="846"/>
      <c r="L2009" s="846"/>
      <c r="M2009" s="846"/>
      <c r="N2009" s="846"/>
      <c r="O2009" s="846"/>
      <c r="P2009" s="846"/>
      <c r="Q2009" s="846"/>
      <c r="R2009" s="846"/>
      <c r="S2009" s="846"/>
      <c r="T2009" s="846"/>
    </row>
    <row r="2010" spans="2:20" ht="51" hidden="1">
      <c r="B2010" s="828" t="s">
        <v>6555</v>
      </c>
      <c r="C2010" s="828">
        <v>100712</v>
      </c>
      <c r="D2010" s="630" t="s">
        <v>3893</v>
      </c>
      <c r="E2010" s="630" t="s">
        <v>646</v>
      </c>
      <c r="F2010" s="829">
        <v>627.16999999999996</v>
      </c>
      <c r="G2010" s="830">
        <v>241.01</v>
      </c>
      <c r="H2010" s="831">
        <v>868.18</v>
      </c>
      <c r="I2010" s="846"/>
      <c r="J2010" s="846"/>
      <c r="K2010" s="846"/>
      <c r="L2010" s="846"/>
      <c r="M2010" s="846"/>
      <c r="N2010" s="846"/>
      <c r="O2010" s="846"/>
      <c r="P2010" s="846"/>
      <c r="Q2010" s="846"/>
      <c r="R2010" s="846"/>
      <c r="S2010" s="846"/>
      <c r="T2010" s="846"/>
    </row>
    <row r="2011" spans="2:20" ht="51" hidden="1">
      <c r="B2011" s="828" t="s">
        <v>6638</v>
      </c>
      <c r="C2011" s="828">
        <v>100665</v>
      </c>
      <c r="D2011" s="630" t="s">
        <v>3894</v>
      </c>
      <c r="E2011" s="630" t="s">
        <v>649</v>
      </c>
      <c r="F2011" s="829">
        <v>610.27</v>
      </c>
      <c r="G2011" s="830">
        <v>54.41</v>
      </c>
      <c r="H2011" s="831">
        <v>664.68</v>
      </c>
      <c r="I2011" s="846"/>
      <c r="J2011" s="846"/>
      <c r="K2011" s="846"/>
      <c r="L2011" s="846"/>
      <c r="M2011" s="846"/>
      <c r="N2011" s="846"/>
      <c r="O2011" s="846"/>
      <c r="P2011" s="846"/>
      <c r="Q2011" s="846"/>
      <c r="R2011" s="846"/>
      <c r="S2011" s="846"/>
      <c r="T2011" s="846"/>
    </row>
    <row r="2012" spans="2:20" ht="51" hidden="1">
      <c r="B2012" s="828" t="s">
        <v>6638</v>
      </c>
      <c r="C2012" s="828">
        <v>100666</v>
      </c>
      <c r="D2012" s="630" t="s">
        <v>3895</v>
      </c>
      <c r="E2012" s="630" t="s">
        <v>649</v>
      </c>
      <c r="F2012" s="829">
        <v>483.37</v>
      </c>
      <c r="G2012" s="830">
        <v>54.41</v>
      </c>
      <c r="H2012" s="831">
        <v>537.78</v>
      </c>
      <c r="I2012" s="846"/>
      <c r="J2012" s="846"/>
      <c r="K2012" s="846"/>
      <c r="L2012" s="846"/>
      <c r="M2012" s="846"/>
      <c r="N2012" s="846"/>
      <c r="O2012" s="846"/>
      <c r="P2012" s="846"/>
      <c r="Q2012" s="846"/>
      <c r="R2012" s="846"/>
      <c r="S2012" s="846"/>
      <c r="T2012" s="846"/>
    </row>
    <row r="2013" spans="2:20" ht="51" hidden="1">
      <c r="B2013" s="828" t="s">
        <v>6638</v>
      </c>
      <c r="C2013" s="828">
        <v>100667</v>
      </c>
      <c r="D2013" s="630" t="s">
        <v>3896</v>
      </c>
      <c r="E2013" s="630" t="s">
        <v>649</v>
      </c>
      <c r="F2013" s="829">
        <v>789.68</v>
      </c>
      <c r="G2013" s="830">
        <v>54.41</v>
      </c>
      <c r="H2013" s="831">
        <v>844.09</v>
      </c>
      <c r="I2013" s="846"/>
      <c r="J2013" s="846"/>
      <c r="K2013" s="846"/>
      <c r="L2013" s="846"/>
      <c r="M2013" s="846"/>
      <c r="N2013" s="846"/>
      <c r="O2013" s="846"/>
      <c r="P2013" s="846"/>
      <c r="Q2013" s="846"/>
      <c r="R2013" s="846"/>
      <c r="S2013" s="846"/>
      <c r="T2013" s="846"/>
    </row>
    <row r="2014" spans="2:20" ht="51" hidden="1">
      <c r="B2014" s="828" t="s">
        <v>6638</v>
      </c>
      <c r="C2014" s="828">
        <v>100668</v>
      </c>
      <c r="D2014" s="630" t="s">
        <v>3897</v>
      </c>
      <c r="E2014" s="630" t="s">
        <v>649</v>
      </c>
      <c r="F2014" s="829">
        <v>973.61</v>
      </c>
      <c r="G2014" s="830">
        <v>122.4</v>
      </c>
      <c r="H2014" s="831">
        <v>1096.01</v>
      </c>
      <c r="I2014" s="846"/>
      <c r="J2014" s="846"/>
      <c r="K2014" s="846"/>
      <c r="L2014" s="846"/>
      <c r="M2014" s="846"/>
      <c r="N2014" s="846"/>
      <c r="O2014" s="846"/>
      <c r="P2014" s="846"/>
      <c r="Q2014" s="846"/>
      <c r="R2014" s="846"/>
      <c r="S2014" s="846"/>
      <c r="T2014" s="846"/>
    </row>
    <row r="2015" spans="2:20" ht="51" hidden="1">
      <c r="B2015" s="828" t="s">
        <v>6638</v>
      </c>
      <c r="C2015" s="828">
        <v>100669</v>
      </c>
      <c r="D2015" s="630" t="s">
        <v>3898</v>
      </c>
      <c r="E2015" s="630" t="s">
        <v>649</v>
      </c>
      <c r="F2015" s="829">
        <v>555.34</v>
      </c>
      <c r="G2015" s="830">
        <v>78.349999999999994</v>
      </c>
      <c r="H2015" s="831">
        <v>633.69000000000005</v>
      </c>
      <c r="I2015" s="846"/>
      <c r="J2015" s="846"/>
      <c r="K2015" s="846"/>
      <c r="L2015" s="846"/>
      <c r="M2015" s="846"/>
      <c r="N2015" s="846"/>
      <c r="O2015" s="846"/>
      <c r="P2015" s="846"/>
      <c r="Q2015" s="846"/>
      <c r="R2015" s="846"/>
      <c r="S2015" s="846"/>
      <c r="T2015" s="846"/>
    </row>
    <row r="2016" spans="2:20" ht="51" hidden="1">
      <c r="B2016" s="828" t="s">
        <v>6638</v>
      </c>
      <c r="C2016" s="828">
        <v>100670</v>
      </c>
      <c r="D2016" s="630" t="s">
        <v>3899</v>
      </c>
      <c r="E2016" s="630" t="s">
        <v>649</v>
      </c>
      <c r="F2016" s="829">
        <v>759.15</v>
      </c>
      <c r="G2016" s="830">
        <v>60.47</v>
      </c>
      <c r="H2016" s="831">
        <v>819.62</v>
      </c>
      <c r="I2016" s="846"/>
      <c r="J2016" s="846"/>
      <c r="K2016" s="846"/>
      <c r="L2016" s="846"/>
      <c r="M2016" s="846"/>
      <c r="N2016" s="846"/>
      <c r="O2016" s="846"/>
      <c r="P2016" s="846"/>
      <c r="Q2016" s="846"/>
      <c r="R2016" s="846"/>
      <c r="S2016" s="846"/>
      <c r="T2016" s="846"/>
    </row>
    <row r="2017" spans="2:20" ht="63.75" hidden="1">
      <c r="B2017" s="828" t="s">
        <v>6638</v>
      </c>
      <c r="C2017" s="828">
        <v>100671</v>
      </c>
      <c r="D2017" s="630" t="s">
        <v>3900</v>
      </c>
      <c r="E2017" s="630" t="s">
        <v>649</v>
      </c>
      <c r="F2017" s="829">
        <v>941.69</v>
      </c>
      <c r="G2017" s="830">
        <v>60.47</v>
      </c>
      <c r="H2017" s="831">
        <v>1002.16</v>
      </c>
      <c r="I2017" s="846"/>
      <c r="J2017" s="846"/>
      <c r="K2017" s="846"/>
      <c r="L2017" s="846"/>
      <c r="M2017" s="846"/>
      <c r="N2017" s="846"/>
      <c r="O2017" s="846"/>
      <c r="P2017" s="846"/>
      <c r="Q2017" s="846"/>
      <c r="R2017" s="846"/>
      <c r="S2017" s="846"/>
      <c r="T2017" s="846"/>
    </row>
    <row r="2018" spans="2:20" ht="51" hidden="1">
      <c r="B2018" s="828" t="s">
        <v>6638</v>
      </c>
      <c r="C2018" s="828">
        <v>100672</v>
      </c>
      <c r="D2018" s="630" t="s">
        <v>3901</v>
      </c>
      <c r="E2018" s="630" t="s">
        <v>649</v>
      </c>
      <c r="F2018" s="829">
        <v>608.96</v>
      </c>
      <c r="G2018" s="830">
        <v>60.47</v>
      </c>
      <c r="H2018" s="831">
        <v>669.43</v>
      </c>
      <c r="I2018" s="846"/>
      <c r="J2018" s="846"/>
      <c r="K2018" s="846"/>
      <c r="L2018" s="846"/>
      <c r="M2018" s="846"/>
      <c r="N2018" s="846"/>
      <c r="O2018" s="846"/>
      <c r="P2018" s="846"/>
      <c r="Q2018" s="846"/>
      <c r="R2018" s="846"/>
      <c r="S2018" s="846"/>
      <c r="T2018" s="846"/>
    </row>
    <row r="2019" spans="2:20" ht="25.5" hidden="1">
      <c r="B2019" s="828" t="s">
        <v>6639</v>
      </c>
      <c r="C2019" s="828">
        <v>100701</v>
      </c>
      <c r="D2019" s="630" t="s">
        <v>3902</v>
      </c>
      <c r="E2019" s="630" t="s">
        <v>649</v>
      </c>
      <c r="F2019" s="829">
        <v>1028.0899999999999</v>
      </c>
      <c r="G2019" s="830">
        <v>16.86</v>
      </c>
      <c r="H2019" s="831">
        <v>1044.95</v>
      </c>
      <c r="I2019" s="846"/>
      <c r="J2019" s="846"/>
      <c r="K2019" s="846"/>
      <c r="L2019" s="846"/>
      <c r="M2019" s="846"/>
      <c r="N2019" s="846"/>
      <c r="O2019" s="846"/>
      <c r="P2019" s="846"/>
      <c r="Q2019" s="846"/>
      <c r="R2019" s="846"/>
      <c r="S2019" s="846"/>
      <c r="T2019" s="846"/>
    </row>
    <row r="2020" spans="2:20" ht="38.25" hidden="1">
      <c r="B2020" s="828" t="s">
        <v>6589</v>
      </c>
      <c r="C2020" s="828">
        <v>94559</v>
      </c>
      <c r="D2020" s="630" t="s">
        <v>3903</v>
      </c>
      <c r="E2020" s="630" t="s">
        <v>649</v>
      </c>
      <c r="F2020" s="829">
        <v>691.32</v>
      </c>
      <c r="G2020" s="830">
        <v>154</v>
      </c>
      <c r="H2020" s="832">
        <v>845.32</v>
      </c>
      <c r="I2020" s="846"/>
      <c r="J2020" s="846"/>
      <c r="K2020" s="846"/>
      <c r="L2020" s="846"/>
      <c r="M2020" s="846"/>
      <c r="N2020" s="846"/>
      <c r="O2020" s="846"/>
      <c r="P2020" s="846"/>
      <c r="Q2020" s="846"/>
      <c r="R2020" s="846"/>
      <c r="S2020" s="846"/>
      <c r="T2020" s="846"/>
    </row>
    <row r="2021" spans="2:20" ht="38.25" hidden="1">
      <c r="B2021" s="828" t="s">
        <v>6589</v>
      </c>
      <c r="C2021" s="828">
        <v>94562</v>
      </c>
      <c r="D2021" s="630" t="s">
        <v>3904</v>
      </c>
      <c r="E2021" s="630" t="s">
        <v>649</v>
      </c>
      <c r="F2021" s="829">
        <v>727.45</v>
      </c>
      <c r="G2021" s="830">
        <v>70.3</v>
      </c>
      <c r="H2021" s="831">
        <v>797.75</v>
      </c>
      <c r="I2021" s="846"/>
      <c r="J2021" s="846"/>
      <c r="K2021" s="846"/>
      <c r="L2021" s="846"/>
      <c r="M2021" s="846"/>
      <c r="N2021" s="846"/>
      <c r="O2021" s="846"/>
      <c r="P2021" s="846"/>
      <c r="Q2021" s="846"/>
      <c r="R2021" s="846"/>
      <c r="S2021" s="846"/>
      <c r="T2021" s="846"/>
    </row>
    <row r="2022" spans="2:20" ht="25.5" hidden="1">
      <c r="B2022" s="828" t="s">
        <v>6589</v>
      </c>
      <c r="C2022" s="828">
        <v>94587</v>
      </c>
      <c r="D2022" s="630" t="s">
        <v>3905</v>
      </c>
      <c r="E2022" s="630" t="s">
        <v>648</v>
      </c>
      <c r="F2022" s="829">
        <v>58.77</v>
      </c>
      <c r="G2022" s="830">
        <v>22.01</v>
      </c>
      <c r="H2022" s="831">
        <v>80.78</v>
      </c>
      <c r="I2022" s="846"/>
      <c r="J2022" s="846"/>
      <c r="K2022" s="846"/>
      <c r="L2022" s="846"/>
      <c r="M2022" s="846"/>
      <c r="N2022" s="846"/>
      <c r="O2022" s="846"/>
      <c r="P2022" s="846"/>
      <c r="Q2022" s="846"/>
      <c r="R2022" s="846"/>
      <c r="S2022" s="846"/>
      <c r="T2022" s="846"/>
    </row>
    <row r="2023" spans="2:20" ht="25.5" hidden="1">
      <c r="B2023" s="828" t="s">
        <v>6589</v>
      </c>
      <c r="C2023" s="828">
        <v>94588</v>
      </c>
      <c r="D2023" s="630" t="s">
        <v>3906</v>
      </c>
      <c r="E2023" s="630" t="s">
        <v>648</v>
      </c>
      <c r="F2023" s="829">
        <v>59.72</v>
      </c>
      <c r="G2023" s="830">
        <v>11.43</v>
      </c>
      <c r="H2023" s="832">
        <v>71.150000000000006</v>
      </c>
      <c r="I2023" s="846"/>
      <c r="J2023" s="846"/>
      <c r="K2023" s="846"/>
      <c r="L2023" s="846"/>
      <c r="M2023" s="846"/>
      <c r="N2023" s="846"/>
      <c r="O2023" s="846"/>
      <c r="P2023" s="846"/>
      <c r="Q2023" s="846"/>
      <c r="R2023" s="846"/>
      <c r="S2023" s="846"/>
      <c r="T2023" s="846"/>
    </row>
    <row r="2024" spans="2:20" ht="51" hidden="1">
      <c r="B2024" s="828" t="s">
        <v>6633</v>
      </c>
      <c r="C2024" s="828">
        <v>99837</v>
      </c>
      <c r="D2024" s="630" t="s">
        <v>3259</v>
      </c>
      <c r="E2024" s="630" t="s">
        <v>648</v>
      </c>
      <c r="F2024" s="829">
        <v>472.96</v>
      </c>
      <c r="G2024" s="830">
        <v>216.8</v>
      </c>
      <c r="H2024" s="831">
        <v>689.76</v>
      </c>
      <c r="I2024" s="846"/>
      <c r="J2024" s="846"/>
      <c r="K2024" s="846"/>
      <c r="L2024" s="846"/>
      <c r="M2024" s="846"/>
      <c r="N2024" s="846"/>
      <c r="O2024" s="846"/>
      <c r="P2024" s="846"/>
      <c r="Q2024" s="846"/>
      <c r="R2024" s="846"/>
      <c r="S2024" s="846"/>
      <c r="T2024" s="846"/>
    </row>
    <row r="2025" spans="2:20" ht="51" hidden="1">
      <c r="B2025" s="828" t="s">
        <v>6633</v>
      </c>
      <c r="C2025" s="828">
        <v>99839</v>
      </c>
      <c r="D2025" s="630" t="s">
        <v>3260</v>
      </c>
      <c r="E2025" s="630" t="s">
        <v>648</v>
      </c>
      <c r="F2025" s="829">
        <v>344.33</v>
      </c>
      <c r="G2025" s="830">
        <v>227.44</v>
      </c>
      <c r="H2025" s="831">
        <v>571.77</v>
      </c>
      <c r="I2025" s="846"/>
      <c r="J2025" s="846"/>
      <c r="K2025" s="846"/>
      <c r="L2025" s="846"/>
      <c r="M2025" s="846"/>
      <c r="N2025" s="846"/>
      <c r="O2025" s="846"/>
      <c r="P2025" s="846"/>
      <c r="Q2025" s="846"/>
      <c r="R2025" s="846"/>
      <c r="S2025" s="846"/>
      <c r="T2025" s="846"/>
    </row>
    <row r="2026" spans="2:20" ht="25.5" hidden="1">
      <c r="B2026" s="828" t="s">
        <v>6633</v>
      </c>
      <c r="C2026" s="828">
        <v>99841</v>
      </c>
      <c r="D2026" s="630" t="s">
        <v>3261</v>
      </c>
      <c r="E2026" s="630" t="s">
        <v>648</v>
      </c>
      <c r="F2026" s="829">
        <v>1180.83</v>
      </c>
      <c r="G2026" s="830">
        <v>131.91</v>
      </c>
      <c r="H2026" s="831">
        <v>1312.74</v>
      </c>
      <c r="I2026" s="846"/>
      <c r="J2026" s="846"/>
      <c r="K2026" s="846"/>
      <c r="L2026" s="846"/>
      <c r="M2026" s="846"/>
      <c r="N2026" s="846"/>
      <c r="O2026" s="846"/>
      <c r="P2026" s="846"/>
      <c r="Q2026" s="846"/>
      <c r="R2026" s="846"/>
      <c r="S2026" s="846"/>
      <c r="T2026" s="846"/>
    </row>
    <row r="2027" spans="2:20" ht="25.5" hidden="1">
      <c r="B2027" s="828" t="s">
        <v>6633</v>
      </c>
      <c r="C2027" s="828">
        <v>99855</v>
      </c>
      <c r="D2027" s="630" t="s">
        <v>3262</v>
      </c>
      <c r="E2027" s="630" t="s">
        <v>648</v>
      </c>
      <c r="F2027" s="829">
        <v>86.13</v>
      </c>
      <c r="G2027" s="830">
        <v>37.29</v>
      </c>
      <c r="H2027" s="831">
        <v>123.42</v>
      </c>
      <c r="I2027" s="846"/>
      <c r="J2027" s="846"/>
      <c r="K2027" s="846"/>
      <c r="L2027" s="846"/>
      <c r="M2027" s="846"/>
      <c r="N2027" s="846"/>
      <c r="O2027" s="846"/>
      <c r="P2027" s="846"/>
      <c r="Q2027" s="846"/>
      <c r="R2027" s="846"/>
      <c r="S2027" s="846"/>
      <c r="T2027" s="846"/>
    </row>
    <row r="2028" spans="2:20" ht="25.5" hidden="1">
      <c r="B2028" s="828" t="s">
        <v>6633</v>
      </c>
      <c r="C2028" s="828">
        <v>99857</v>
      </c>
      <c r="D2028" s="630" t="s">
        <v>3263</v>
      </c>
      <c r="E2028" s="630" t="s">
        <v>648</v>
      </c>
      <c r="F2028" s="829">
        <v>45.79</v>
      </c>
      <c r="G2028" s="830">
        <v>52.37</v>
      </c>
      <c r="H2028" s="831">
        <v>98.16</v>
      </c>
      <c r="I2028" s="846"/>
      <c r="J2028" s="846"/>
      <c r="K2028" s="846"/>
      <c r="L2028" s="846"/>
      <c r="M2028" s="846"/>
      <c r="N2028" s="846"/>
      <c r="O2028" s="846"/>
      <c r="P2028" s="846"/>
      <c r="Q2028" s="846"/>
      <c r="R2028" s="846"/>
      <c r="S2028" s="846"/>
      <c r="T2028" s="846"/>
    </row>
    <row r="2029" spans="2:20" ht="25.5" hidden="1">
      <c r="B2029" s="828" t="s">
        <v>6633</v>
      </c>
      <c r="C2029" s="828">
        <v>99861</v>
      </c>
      <c r="D2029" s="630" t="s">
        <v>3264</v>
      </c>
      <c r="E2029" s="630" t="s">
        <v>649</v>
      </c>
      <c r="F2029" s="829">
        <v>384.58</v>
      </c>
      <c r="G2029" s="830">
        <v>334.83</v>
      </c>
      <c r="H2029" s="831">
        <v>719.41</v>
      </c>
      <c r="I2029" s="846"/>
      <c r="J2029" s="846"/>
      <c r="K2029" s="846"/>
      <c r="L2029" s="846"/>
      <c r="M2029" s="846"/>
      <c r="N2029" s="846"/>
      <c r="O2029" s="846"/>
      <c r="P2029" s="846"/>
      <c r="Q2029" s="846"/>
      <c r="R2029" s="846"/>
      <c r="S2029" s="846"/>
      <c r="T2029" s="846"/>
    </row>
    <row r="2030" spans="2:20" ht="25.5" hidden="1">
      <c r="B2030" s="828" t="s">
        <v>6633</v>
      </c>
      <c r="C2030" s="828">
        <v>99862</v>
      </c>
      <c r="D2030" s="630" t="s">
        <v>3265</v>
      </c>
      <c r="E2030" s="630" t="s">
        <v>649</v>
      </c>
      <c r="F2030" s="829">
        <v>314.11</v>
      </c>
      <c r="G2030" s="830">
        <v>347.74</v>
      </c>
      <c r="H2030" s="831">
        <v>661.85</v>
      </c>
      <c r="I2030" s="846"/>
      <c r="J2030" s="846"/>
      <c r="K2030" s="846"/>
      <c r="L2030" s="846"/>
      <c r="M2030" s="846"/>
      <c r="N2030" s="846"/>
      <c r="O2030" s="846"/>
      <c r="P2030" s="846"/>
      <c r="Q2030" s="846"/>
      <c r="R2030" s="846"/>
      <c r="S2030" s="846"/>
      <c r="T2030" s="846"/>
    </row>
    <row r="2031" spans="2:20" ht="25.5" hidden="1">
      <c r="B2031" s="828" t="s">
        <v>6556</v>
      </c>
      <c r="C2031" s="828">
        <v>90838</v>
      </c>
      <c r="D2031" s="630" t="s">
        <v>3907</v>
      </c>
      <c r="E2031" s="630" t="s">
        <v>646</v>
      </c>
      <c r="F2031" s="829">
        <v>2458.4499999999998</v>
      </c>
      <c r="G2031" s="830">
        <v>120.32</v>
      </c>
      <c r="H2031" s="831">
        <v>2578.77</v>
      </c>
      <c r="I2031" s="846"/>
      <c r="J2031" s="846"/>
      <c r="K2031" s="846"/>
      <c r="L2031" s="846"/>
      <c r="M2031" s="846"/>
      <c r="N2031" s="846"/>
      <c r="O2031" s="846"/>
      <c r="P2031" s="846"/>
      <c r="Q2031" s="846"/>
      <c r="R2031" s="846"/>
      <c r="S2031" s="846"/>
      <c r="T2031" s="846"/>
    </row>
    <row r="2032" spans="2:20" ht="25.5" hidden="1">
      <c r="B2032" s="828" t="s">
        <v>6556</v>
      </c>
      <c r="C2032" s="828">
        <v>91338</v>
      </c>
      <c r="D2032" s="630" t="s">
        <v>3908</v>
      </c>
      <c r="E2032" s="630" t="s">
        <v>649</v>
      </c>
      <c r="F2032" s="829">
        <v>1191.42</v>
      </c>
      <c r="G2032" s="830">
        <v>11.71</v>
      </c>
      <c r="H2032" s="832">
        <v>1203.1300000000001</v>
      </c>
      <c r="I2032" s="846"/>
      <c r="J2032" s="846"/>
      <c r="K2032" s="846"/>
      <c r="L2032" s="846"/>
      <c r="M2032" s="846"/>
      <c r="N2032" s="846"/>
      <c r="O2032" s="846"/>
      <c r="P2032" s="846"/>
      <c r="Q2032" s="846"/>
      <c r="R2032" s="846"/>
      <c r="S2032" s="846"/>
      <c r="T2032" s="846"/>
    </row>
    <row r="2033" spans="2:20" ht="25.5" hidden="1">
      <c r="B2033" s="828" t="s">
        <v>6556</v>
      </c>
      <c r="C2033" s="828">
        <v>91341</v>
      </c>
      <c r="D2033" s="630" t="s">
        <v>3909</v>
      </c>
      <c r="E2033" s="630" t="s">
        <v>649</v>
      </c>
      <c r="F2033" s="829">
        <v>893.14</v>
      </c>
      <c r="G2033" s="830">
        <v>12.57</v>
      </c>
      <c r="H2033" s="831">
        <v>905.71</v>
      </c>
      <c r="I2033" s="846"/>
      <c r="J2033" s="846"/>
      <c r="K2033" s="846"/>
      <c r="L2033" s="846"/>
      <c r="M2033" s="846"/>
      <c r="N2033" s="846"/>
      <c r="O2033" s="846"/>
      <c r="P2033" s="846"/>
      <c r="Q2033" s="846"/>
      <c r="R2033" s="846"/>
      <c r="S2033" s="846"/>
      <c r="T2033" s="846"/>
    </row>
    <row r="2034" spans="2:20" ht="38.25" hidden="1">
      <c r="B2034" s="828" t="s">
        <v>6556</v>
      </c>
      <c r="C2034" s="828">
        <v>94805</v>
      </c>
      <c r="D2034" s="630" t="s">
        <v>3910</v>
      </c>
      <c r="E2034" s="630" t="s">
        <v>646</v>
      </c>
      <c r="F2034" s="829">
        <v>1261.6099999999999</v>
      </c>
      <c r="G2034" s="830">
        <v>21.42</v>
      </c>
      <c r="H2034" s="831">
        <v>1283.03</v>
      </c>
      <c r="I2034" s="846"/>
      <c r="J2034" s="846"/>
      <c r="K2034" s="846"/>
      <c r="L2034" s="846"/>
      <c r="M2034" s="846"/>
      <c r="N2034" s="846"/>
      <c r="O2034" s="846"/>
      <c r="P2034" s="846"/>
      <c r="Q2034" s="846"/>
      <c r="R2034" s="846"/>
      <c r="S2034" s="846"/>
      <c r="T2034" s="846"/>
    </row>
    <row r="2035" spans="2:20" ht="38.25" hidden="1">
      <c r="B2035" s="828" t="s">
        <v>6556</v>
      </c>
      <c r="C2035" s="828">
        <v>94806</v>
      </c>
      <c r="D2035" s="630" t="s">
        <v>3911</v>
      </c>
      <c r="E2035" s="630" t="s">
        <v>646</v>
      </c>
      <c r="F2035" s="829">
        <v>1151.2</v>
      </c>
      <c r="G2035" s="830">
        <v>30.27</v>
      </c>
      <c r="H2035" s="831">
        <v>1181.47</v>
      </c>
      <c r="I2035" s="846"/>
      <c r="J2035" s="846"/>
      <c r="K2035" s="846"/>
      <c r="L2035" s="846"/>
      <c r="M2035" s="846"/>
      <c r="N2035" s="846"/>
      <c r="O2035" s="846"/>
      <c r="P2035" s="846"/>
      <c r="Q2035" s="846"/>
      <c r="R2035" s="846"/>
      <c r="S2035" s="846"/>
      <c r="T2035" s="846"/>
    </row>
    <row r="2036" spans="2:20" ht="25.5" hidden="1">
      <c r="B2036" s="828" t="s">
        <v>6556</v>
      </c>
      <c r="C2036" s="828">
        <v>94807</v>
      </c>
      <c r="D2036" s="630" t="s">
        <v>3912</v>
      </c>
      <c r="E2036" s="630" t="s">
        <v>646</v>
      </c>
      <c r="F2036" s="829">
        <v>1038.78</v>
      </c>
      <c r="G2036" s="830">
        <v>31.87</v>
      </c>
      <c r="H2036" s="831">
        <v>1070.6500000000001</v>
      </c>
      <c r="I2036" s="846"/>
      <c r="J2036" s="846"/>
      <c r="K2036" s="846"/>
      <c r="L2036" s="846"/>
      <c r="M2036" s="846"/>
      <c r="N2036" s="846"/>
      <c r="O2036" s="846"/>
      <c r="P2036" s="846"/>
      <c r="Q2036" s="846"/>
      <c r="R2036" s="846"/>
      <c r="S2036" s="846"/>
      <c r="T2036" s="846"/>
    </row>
    <row r="2037" spans="2:20" ht="25.5" hidden="1">
      <c r="B2037" s="828" t="s">
        <v>6556</v>
      </c>
      <c r="C2037" s="828">
        <v>100702</v>
      </c>
      <c r="D2037" s="630" t="s">
        <v>3913</v>
      </c>
      <c r="E2037" s="630" t="s">
        <v>649</v>
      </c>
      <c r="F2037" s="829">
        <v>689.2</v>
      </c>
      <c r="G2037" s="830">
        <v>9.2799999999999994</v>
      </c>
      <c r="H2037" s="832">
        <v>698.48</v>
      </c>
      <c r="I2037" s="846"/>
      <c r="J2037" s="846"/>
      <c r="K2037" s="846"/>
      <c r="L2037" s="846"/>
      <c r="M2037" s="846"/>
      <c r="N2037" s="846"/>
      <c r="O2037" s="846"/>
      <c r="P2037" s="846"/>
      <c r="Q2037" s="846"/>
      <c r="R2037" s="846"/>
      <c r="S2037" s="846"/>
      <c r="T2037" s="846"/>
    </row>
    <row r="2038" spans="2:20" ht="25.5" hidden="1">
      <c r="B2038" s="828" t="s">
        <v>6675</v>
      </c>
      <c r="C2038" s="828">
        <v>102188</v>
      </c>
      <c r="D2038" s="630" t="s">
        <v>6063</v>
      </c>
      <c r="E2038" s="630" t="s">
        <v>646</v>
      </c>
      <c r="F2038" s="829">
        <v>927.84</v>
      </c>
      <c r="G2038" s="830">
        <v>75.03</v>
      </c>
      <c r="H2038" s="831">
        <v>1002.87</v>
      </c>
      <c r="I2038" s="846"/>
      <c r="J2038" s="846"/>
      <c r="K2038" s="846"/>
      <c r="L2038" s="846"/>
      <c r="M2038" s="846"/>
      <c r="N2038" s="846"/>
      <c r="O2038" s="846"/>
      <c r="P2038" s="846"/>
      <c r="Q2038" s="846"/>
      <c r="R2038" s="846"/>
      <c r="S2038" s="846"/>
      <c r="T2038" s="846"/>
    </row>
    <row r="2039" spans="2:20" ht="51" hidden="1">
      <c r="B2039" s="828" t="s">
        <v>6675</v>
      </c>
      <c r="C2039" s="828">
        <v>102189</v>
      </c>
      <c r="D2039" s="630" t="s">
        <v>6064</v>
      </c>
      <c r="E2039" s="630" t="s">
        <v>646</v>
      </c>
      <c r="F2039" s="829">
        <v>194.04</v>
      </c>
      <c r="G2039" s="830">
        <v>83.28</v>
      </c>
      <c r="H2039" s="831">
        <v>277.32</v>
      </c>
      <c r="I2039" s="846"/>
      <c r="J2039" s="846"/>
      <c r="K2039" s="846"/>
      <c r="L2039" s="846"/>
      <c r="M2039" s="846"/>
      <c r="N2039" s="846"/>
      <c r="O2039" s="846"/>
      <c r="P2039" s="846"/>
      <c r="Q2039" s="846"/>
      <c r="R2039" s="846"/>
      <c r="S2039" s="846"/>
      <c r="T2039" s="846"/>
    </row>
    <row r="2040" spans="2:20" hidden="1">
      <c r="B2040" s="828" t="s">
        <v>6640</v>
      </c>
      <c r="C2040" s="828">
        <v>100703</v>
      </c>
      <c r="D2040" s="630" t="s">
        <v>3914</v>
      </c>
      <c r="E2040" s="630" t="s">
        <v>646</v>
      </c>
      <c r="F2040" s="829">
        <v>23.51</v>
      </c>
      <c r="G2040" s="830">
        <v>10.43</v>
      </c>
      <c r="H2040" s="831">
        <v>33.94</v>
      </c>
      <c r="I2040" s="846"/>
      <c r="J2040" s="846"/>
      <c r="K2040" s="846"/>
      <c r="L2040" s="846"/>
      <c r="M2040" s="846"/>
      <c r="N2040" s="846"/>
      <c r="O2040" s="846"/>
      <c r="P2040" s="846"/>
      <c r="Q2040" s="846"/>
      <c r="R2040" s="846"/>
      <c r="S2040" s="846"/>
      <c r="T2040" s="846"/>
    </row>
    <row r="2041" spans="2:20" ht="25.5" hidden="1">
      <c r="B2041" s="828" t="s">
        <v>6640</v>
      </c>
      <c r="C2041" s="828">
        <v>100704</v>
      </c>
      <c r="D2041" s="630" t="s">
        <v>3915</v>
      </c>
      <c r="E2041" s="630" t="s">
        <v>646</v>
      </c>
      <c r="F2041" s="829">
        <v>54.43</v>
      </c>
      <c r="G2041" s="830">
        <v>16.649999999999999</v>
      </c>
      <c r="H2041" s="832">
        <v>71.08</v>
      </c>
      <c r="I2041" s="846"/>
      <c r="J2041" s="846"/>
      <c r="K2041" s="846"/>
      <c r="L2041" s="846"/>
      <c r="M2041" s="846"/>
      <c r="N2041" s="846"/>
      <c r="O2041" s="846"/>
      <c r="P2041" s="846"/>
      <c r="Q2041" s="846"/>
      <c r="R2041" s="846"/>
      <c r="S2041" s="846"/>
      <c r="T2041" s="846"/>
    </row>
    <row r="2042" spans="2:20" hidden="1">
      <c r="B2042" s="828" t="s">
        <v>6640</v>
      </c>
      <c r="C2042" s="828">
        <v>100705</v>
      </c>
      <c r="D2042" s="630" t="s">
        <v>3916</v>
      </c>
      <c r="E2042" s="630" t="s">
        <v>646</v>
      </c>
      <c r="F2042" s="829">
        <v>54.72</v>
      </c>
      <c r="G2042" s="830">
        <v>28.7</v>
      </c>
      <c r="H2042" s="831">
        <v>83.42</v>
      </c>
      <c r="I2042" s="846"/>
      <c r="J2042" s="846"/>
      <c r="K2042" s="846"/>
      <c r="L2042" s="846"/>
      <c r="M2042" s="846"/>
      <c r="N2042" s="846"/>
      <c r="O2042" s="846"/>
      <c r="P2042" s="846"/>
      <c r="Q2042" s="846"/>
      <c r="R2042" s="846"/>
      <c r="S2042" s="846"/>
      <c r="T2042" s="846"/>
    </row>
    <row r="2043" spans="2:20" hidden="1">
      <c r="B2043" s="828" t="s">
        <v>6640</v>
      </c>
      <c r="C2043" s="828">
        <v>100706</v>
      </c>
      <c r="D2043" s="630" t="s">
        <v>3917</v>
      </c>
      <c r="E2043" s="630" t="s">
        <v>646</v>
      </c>
      <c r="F2043" s="829">
        <v>39.11</v>
      </c>
      <c r="G2043" s="830">
        <v>37.22</v>
      </c>
      <c r="H2043" s="831">
        <v>76.33</v>
      </c>
      <c r="I2043" s="846"/>
      <c r="J2043" s="846"/>
      <c r="K2043" s="846"/>
      <c r="L2043" s="846"/>
      <c r="M2043" s="846"/>
      <c r="N2043" s="846"/>
      <c r="O2043" s="846"/>
      <c r="P2043" s="846"/>
      <c r="Q2043" s="846"/>
      <c r="R2043" s="846"/>
      <c r="S2043" s="846"/>
      <c r="T2043" s="846"/>
    </row>
    <row r="2044" spans="2:20" hidden="1">
      <c r="B2044" s="828" t="s">
        <v>6640</v>
      </c>
      <c r="C2044" s="828">
        <v>100707</v>
      </c>
      <c r="D2044" s="630" t="s">
        <v>3918</v>
      </c>
      <c r="E2044" s="630" t="s">
        <v>646</v>
      </c>
      <c r="F2044" s="829">
        <v>115.01</v>
      </c>
      <c r="G2044" s="830">
        <v>35.36</v>
      </c>
      <c r="H2044" s="831">
        <v>150.37</v>
      </c>
      <c r="I2044" s="846"/>
      <c r="J2044" s="846"/>
      <c r="K2044" s="846"/>
      <c r="L2044" s="846"/>
      <c r="M2044" s="846"/>
      <c r="N2044" s="846"/>
      <c r="O2044" s="846"/>
      <c r="P2044" s="846"/>
      <c r="Q2044" s="846"/>
      <c r="R2044" s="846"/>
      <c r="S2044" s="846"/>
      <c r="T2044" s="846"/>
    </row>
    <row r="2045" spans="2:20" hidden="1">
      <c r="B2045" s="828" t="s">
        <v>6640</v>
      </c>
      <c r="C2045" s="828">
        <v>100708</v>
      </c>
      <c r="D2045" s="630" t="s">
        <v>3919</v>
      </c>
      <c r="E2045" s="630" t="s">
        <v>646</v>
      </c>
      <c r="F2045" s="829">
        <v>148.25</v>
      </c>
      <c r="G2045" s="830">
        <v>39.21</v>
      </c>
      <c r="H2045" s="831">
        <v>187.46</v>
      </c>
      <c r="I2045" s="846"/>
      <c r="J2045" s="846"/>
      <c r="K2045" s="846"/>
      <c r="L2045" s="846"/>
      <c r="M2045" s="846"/>
      <c r="N2045" s="846"/>
      <c r="O2045" s="846"/>
      <c r="P2045" s="846"/>
      <c r="Q2045" s="846"/>
      <c r="R2045" s="846"/>
      <c r="S2045" s="846"/>
      <c r="T2045" s="846"/>
    </row>
    <row r="2046" spans="2:20" ht="25.5" hidden="1">
      <c r="B2046" s="828" t="s">
        <v>6640</v>
      </c>
      <c r="C2046" s="828">
        <v>100709</v>
      </c>
      <c r="D2046" s="630" t="s">
        <v>3920</v>
      </c>
      <c r="E2046" s="630" t="s">
        <v>646</v>
      </c>
      <c r="F2046" s="829">
        <v>22.69</v>
      </c>
      <c r="G2046" s="830">
        <v>28.78</v>
      </c>
      <c r="H2046" s="831">
        <v>51.47</v>
      </c>
      <c r="I2046" s="846"/>
      <c r="J2046" s="846"/>
      <c r="K2046" s="846"/>
      <c r="L2046" s="846"/>
      <c r="M2046" s="846"/>
      <c r="N2046" s="846"/>
      <c r="O2046" s="846"/>
      <c r="P2046" s="846"/>
      <c r="Q2046" s="846"/>
      <c r="R2046" s="846"/>
      <c r="S2046" s="846"/>
      <c r="T2046" s="846"/>
    </row>
    <row r="2047" spans="2:20" hidden="1">
      <c r="B2047" s="828" t="s">
        <v>6640</v>
      </c>
      <c r="C2047" s="828">
        <v>100710</v>
      </c>
      <c r="D2047" s="630" t="s">
        <v>3921</v>
      </c>
      <c r="E2047" s="630" t="s">
        <v>646</v>
      </c>
      <c r="F2047" s="829">
        <v>84.84</v>
      </c>
      <c r="G2047" s="830">
        <v>38.369999999999997</v>
      </c>
      <c r="H2047" s="831">
        <v>123.21</v>
      </c>
      <c r="I2047" s="846"/>
      <c r="J2047" s="846"/>
      <c r="K2047" s="846"/>
      <c r="L2047" s="846"/>
      <c r="M2047" s="846"/>
      <c r="N2047" s="846"/>
      <c r="O2047" s="846"/>
      <c r="P2047" s="846"/>
      <c r="Q2047" s="846"/>
      <c r="R2047" s="846"/>
      <c r="S2047" s="846"/>
      <c r="T2047" s="846"/>
    </row>
    <row r="2048" spans="2:20" ht="25.5" hidden="1">
      <c r="B2048" s="828" t="s">
        <v>6674</v>
      </c>
      <c r="C2048" s="828">
        <v>102151</v>
      </c>
      <c r="D2048" s="630" t="s">
        <v>6031</v>
      </c>
      <c r="E2048" s="630" t="s">
        <v>649</v>
      </c>
      <c r="F2048" s="829">
        <v>156.38</v>
      </c>
      <c r="G2048" s="830">
        <v>26.66</v>
      </c>
      <c r="H2048" s="831">
        <v>183.04</v>
      </c>
      <c r="I2048" s="846"/>
      <c r="J2048" s="846"/>
      <c r="K2048" s="846"/>
      <c r="L2048" s="846"/>
      <c r="M2048" s="846"/>
      <c r="N2048" s="846"/>
      <c r="O2048" s="846"/>
      <c r="P2048" s="846"/>
      <c r="Q2048" s="846"/>
      <c r="R2048" s="846"/>
      <c r="S2048" s="846"/>
      <c r="T2048" s="846"/>
    </row>
    <row r="2049" spans="2:20" ht="25.5" hidden="1">
      <c r="B2049" s="828" t="s">
        <v>6674</v>
      </c>
      <c r="C2049" s="828">
        <v>102152</v>
      </c>
      <c r="D2049" s="630" t="s">
        <v>6032</v>
      </c>
      <c r="E2049" s="630" t="s">
        <v>649</v>
      </c>
      <c r="F2049" s="829">
        <v>201.38</v>
      </c>
      <c r="G2049" s="830">
        <v>26.65</v>
      </c>
      <c r="H2049" s="831">
        <v>228.03</v>
      </c>
      <c r="I2049" s="846"/>
      <c r="J2049" s="846"/>
      <c r="K2049" s="846"/>
      <c r="L2049" s="846"/>
      <c r="M2049" s="846"/>
      <c r="N2049" s="846"/>
      <c r="O2049" s="846"/>
      <c r="P2049" s="846"/>
      <c r="Q2049" s="846"/>
      <c r="R2049" s="846"/>
      <c r="S2049" s="846"/>
      <c r="T2049" s="846"/>
    </row>
    <row r="2050" spans="2:20" ht="25.5" hidden="1">
      <c r="B2050" s="828" t="s">
        <v>6674</v>
      </c>
      <c r="C2050" s="828">
        <v>102153</v>
      </c>
      <c r="D2050" s="630" t="s">
        <v>6033</v>
      </c>
      <c r="E2050" s="630" t="s">
        <v>649</v>
      </c>
      <c r="F2050" s="829">
        <v>261.39</v>
      </c>
      <c r="G2050" s="830">
        <v>26.65</v>
      </c>
      <c r="H2050" s="831">
        <v>288.04000000000002</v>
      </c>
      <c r="I2050" s="846"/>
      <c r="J2050" s="846"/>
      <c r="K2050" s="846"/>
      <c r="L2050" s="846"/>
      <c r="M2050" s="846"/>
      <c r="N2050" s="846"/>
      <c r="O2050" s="846"/>
      <c r="P2050" s="846"/>
      <c r="Q2050" s="846"/>
      <c r="R2050" s="846"/>
      <c r="S2050" s="846"/>
      <c r="T2050" s="846"/>
    </row>
    <row r="2051" spans="2:20" ht="25.5" hidden="1">
      <c r="B2051" s="828" t="s">
        <v>6674</v>
      </c>
      <c r="C2051" s="828">
        <v>102154</v>
      </c>
      <c r="D2051" s="630" t="s">
        <v>6034</v>
      </c>
      <c r="E2051" s="630" t="s">
        <v>649</v>
      </c>
      <c r="F2051" s="829">
        <v>227.32</v>
      </c>
      <c r="G2051" s="830">
        <v>21.28</v>
      </c>
      <c r="H2051" s="831">
        <v>248.6</v>
      </c>
      <c r="I2051" s="846"/>
      <c r="J2051" s="846"/>
      <c r="K2051" s="846"/>
      <c r="L2051" s="846"/>
      <c r="M2051" s="846"/>
      <c r="N2051" s="846"/>
      <c r="O2051" s="846"/>
      <c r="P2051" s="846"/>
      <c r="Q2051" s="846"/>
      <c r="R2051" s="846"/>
      <c r="S2051" s="846"/>
      <c r="T2051" s="846"/>
    </row>
    <row r="2052" spans="2:20" ht="25.5" hidden="1">
      <c r="B2052" s="828" t="s">
        <v>6674</v>
      </c>
      <c r="C2052" s="828">
        <v>102155</v>
      </c>
      <c r="D2052" s="630" t="s">
        <v>6035</v>
      </c>
      <c r="E2052" s="630" t="s">
        <v>649</v>
      </c>
      <c r="F2052" s="829">
        <v>276.38</v>
      </c>
      <c r="G2052" s="830">
        <v>21.28</v>
      </c>
      <c r="H2052" s="831">
        <v>297.66000000000003</v>
      </c>
      <c r="I2052" s="846"/>
      <c r="J2052" s="846"/>
      <c r="K2052" s="846"/>
      <c r="L2052" s="846"/>
      <c r="M2052" s="846"/>
      <c r="N2052" s="846"/>
      <c r="O2052" s="846"/>
      <c r="P2052" s="846"/>
      <c r="Q2052" s="846"/>
      <c r="R2052" s="846"/>
      <c r="S2052" s="846"/>
      <c r="T2052" s="846"/>
    </row>
    <row r="2053" spans="2:20" ht="25.5" hidden="1">
      <c r="B2053" s="828" t="s">
        <v>6674</v>
      </c>
      <c r="C2053" s="828">
        <v>102156</v>
      </c>
      <c r="D2053" s="630" t="s">
        <v>6036</v>
      </c>
      <c r="E2053" s="630" t="s">
        <v>649</v>
      </c>
      <c r="F2053" s="829">
        <v>268.33</v>
      </c>
      <c r="G2053" s="830">
        <v>16.25</v>
      </c>
      <c r="H2053" s="831">
        <v>284.58</v>
      </c>
      <c r="I2053" s="846"/>
      <c r="J2053" s="846"/>
      <c r="K2053" s="846"/>
      <c r="L2053" s="846"/>
      <c r="M2053" s="846"/>
      <c r="N2053" s="846"/>
      <c r="O2053" s="846"/>
      <c r="P2053" s="846"/>
      <c r="Q2053" s="846"/>
      <c r="R2053" s="846"/>
      <c r="S2053" s="846"/>
      <c r="T2053" s="846"/>
    </row>
    <row r="2054" spans="2:20" ht="25.5" hidden="1">
      <c r="B2054" s="828" t="s">
        <v>6674</v>
      </c>
      <c r="C2054" s="828">
        <v>102157</v>
      </c>
      <c r="D2054" s="630" t="s">
        <v>6037</v>
      </c>
      <c r="E2054" s="630" t="s">
        <v>649</v>
      </c>
      <c r="F2054" s="829">
        <v>373.33</v>
      </c>
      <c r="G2054" s="830">
        <v>16.25</v>
      </c>
      <c r="H2054" s="831">
        <v>389.58</v>
      </c>
      <c r="I2054" s="846"/>
      <c r="J2054" s="846"/>
      <c r="K2054" s="846"/>
      <c r="L2054" s="846"/>
      <c r="M2054" s="846"/>
      <c r="N2054" s="846"/>
      <c r="O2054" s="846"/>
      <c r="P2054" s="846"/>
      <c r="Q2054" s="846"/>
      <c r="R2054" s="846"/>
      <c r="S2054" s="846"/>
      <c r="T2054" s="846"/>
    </row>
    <row r="2055" spans="2:20" ht="25.5" hidden="1">
      <c r="B2055" s="828" t="s">
        <v>6674</v>
      </c>
      <c r="C2055" s="828">
        <v>102158</v>
      </c>
      <c r="D2055" s="630" t="s">
        <v>6038</v>
      </c>
      <c r="E2055" s="630" t="s">
        <v>649</v>
      </c>
      <c r="F2055" s="829">
        <v>381.89</v>
      </c>
      <c r="G2055" s="830">
        <v>12.08</v>
      </c>
      <c r="H2055" s="831">
        <v>393.97</v>
      </c>
      <c r="I2055" s="846"/>
      <c r="J2055" s="846"/>
      <c r="K2055" s="846"/>
      <c r="L2055" s="846"/>
      <c r="M2055" s="846"/>
      <c r="N2055" s="846"/>
      <c r="O2055" s="846"/>
      <c r="P2055" s="846"/>
      <c r="Q2055" s="846"/>
      <c r="R2055" s="846"/>
      <c r="S2055" s="846"/>
      <c r="T2055" s="846"/>
    </row>
    <row r="2056" spans="2:20" ht="25.5" hidden="1">
      <c r="B2056" s="828" t="s">
        <v>6674</v>
      </c>
      <c r="C2056" s="828">
        <v>102159</v>
      </c>
      <c r="D2056" s="630" t="s">
        <v>6039</v>
      </c>
      <c r="E2056" s="630" t="s">
        <v>649</v>
      </c>
      <c r="F2056" s="829">
        <v>458.63</v>
      </c>
      <c r="G2056" s="830">
        <v>10.59</v>
      </c>
      <c r="H2056" s="831">
        <v>469.22</v>
      </c>
      <c r="I2056" s="846"/>
      <c r="J2056" s="846"/>
      <c r="K2056" s="846"/>
      <c r="L2056" s="846"/>
      <c r="M2056" s="846"/>
      <c r="N2056" s="846"/>
      <c r="O2056" s="846"/>
      <c r="P2056" s="846"/>
      <c r="Q2056" s="846"/>
      <c r="R2056" s="846"/>
      <c r="S2056" s="846"/>
      <c r="T2056" s="846"/>
    </row>
    <row r="2057" spans="2:20" ht="25.5" hidden="1">
      <c r="B2057" s="828" t="s">
        <v>6674</v>
      </c>
      <c r="C2057" s="828">
        <v>102160</v>
      </c>
      <c r="D2057" s="630" t="s">
        <v>6040</v>
      </c>
      <c r="E2057" s="630" t="s">
        <v>649</v>
      </c>
      <c r="F2057" s="829">
        <v>171.37</v>
      </c>
      <c r="G2057" s="830">
        <v>26.66</v>
      </c>
      <c r="H2057" s="831">
        <v>198.03</v>
      </c>
      <c r="I2057" s="846"/>
      <c r="J2057" s="846"/>
      <c r="K2057" s="846"/>
      <c r="L2057" s="846"/>
      <c r="M2057" s="846"/>
      <c r="N2057" s="846"/>
      <c r="O2057" s="846"/>
      <c r="P2057" s="846"/>
      <c r="Q2057" s="846"/>
      <c r="R2057" s="846"/>
      <c r="S2057" s="846"/>
      <c r="T2057" s="846"/>
    </row>
    <row r="2058" spans="2:20" ht="25.5" hidden="1">
      <c r="B2058" s="828" t="s">
        <v>6674</v>
      </c>
      <c r="C2058" s="828">
        <v>102161</v>
      </c>
      <c r="D2058" s="630" t="s">
        <v>6041</v>
      </c>
      <c r="E2058" s="630" t="s">
        <v>649</v>
      </c>
      <c r="F2058" s="829">
        <v>346.74</v>
      </c>
      <c r="G2058" s="830">
        <v>32.31</v>
      </c>
      <c r="H2058" s="831">
        <v>379.05</v>
      </c>
      <c r="I2058" s="846"/>
      <c r="J2058" s="846"/>
      <c r="K2058" s="846"/>
      <c r="L2058" s="846"/>
      <c r="M2058" s="846"/>
      <c r="N2058" s="846"/>
      <c r="O2058" s="846"/>
      <c r="P2058" s="846"/>
      <c r="Q2058" s="846"/>
      <c r="R2058" s="846"/>
      <c r="S2058" s="846"/>
      <c r="T2058" s="846"/>
    </row>
    <row r="2059" spans="2:20" ht="25.5" hidden="1">
      <c r="B2059" s="828" t="s">
        <v>6674</v>
      </c>
      <c r="C2059" s="828">
        <v>102162</v>
      </c>
      <c r="D2059" s="630" t="s">
        <v>6042</v>
      </c>
      <c r="E2059" s="630" t="s">
        <v>649</v>
      </c>
      <c r="F2059" s="829">
        <v>391.73</v>
      </c>
      <c r="G2059" s="830">
        <v>32.31</v>
      </c>
      <c r="H2059" s="831">
        <v>424.04</v>
      </c>
      <c r="I2059" s="846"/>
      <c r="J2059" s="846"/>
      <c r="K2059" s="846"/>
      <c r="L2059" s="846"/>
      <c r="M2059" s="846"/>
      <c r="N2059" s="846"/>
      <c r="O2059" s="846"/>
      <c r="P2059" s="846"/>
      <c r="Q2059" s="846"/>
      <c r="R2059" s="846"/>
      <c r="S2059" s="846"/>
      <c r="T2059" s="846"/>
    </row>
    <row r="2060" spans="2:20" ht="25.5" hidden="1">
      <c r="B2060" s="828" t="s">
        <v>6674</v>
      </c>
      <c r="C2060" s="828">
        <v>102163</v>
      </c>
      <c r="D2060" s="630" t="s">
        <v>6043</v>
      </c>
      <c r="E2060" s="630" t="s">
        <v>649</v>
      </c>
      <c r="F2060" s="829">
        <v>451.74</v>
      </c>
      <c r="G2060" s="830">
        <v>32.31</v>
      </c>
      <c r="H2060" s="831">
        <v>484.05</v>
      </c>
      <c r="I2060" s="846"/>
      <c r="J2060" s="846"/>
      <c r="K2060" s="846"/>
      <c r="L2060" s="846"/>
      <c r="M2060" s="846"/>
      <c r="N2060" s="846"/>
      <c r="O2060" s="846"/>
      <c r="P2060" s="846"/>
      <c r="Q2060" s="846"/>
      <c r="R2060" s="846"/>
      <c r="S2060" s="846"/>
      <c r="T2060" s="846"/>
    </row>
    <row r="2061" spans="2:20" ht="25.5" hidden="1">
      <c r="B2061" s="828" t="s">
        <v>6674</v>
      </c>
      <c r="C2061" s="828">
        <v>102164</v>
      </c>
      <c r="D2061" s="630" t="s">
        <v>6044</v>
      </c>
      <c r="E2061" s="630" t="s">
        <v>649</v>
      </c>
      <c r="F2061" s="829">
        <v>382.72</v>
      </c>
      <c r="G2061" s="830">
        <v>25.86</v>
      </c>
      <c r="H2061" s="831">
        <v>408.58</v>
      </c>
      <c r="I2061" s="846"/>
      <c r="J2061" s="846"/>
      <c r="K2061" s="846"/>
      <c r="L2061" s="846"/>
      <c r="M2061" s="846"/>
      <c r="N2061" s="846"/>
      <c r="O2061" s="846"/>
      <c r="P2061" s="846"/>
      <c r="Q2061" s="846"/>
      <c r="R2061" s="846"/>
      <c r="S2061" s="846"/>
      <c r="T2061" s="846"/>
    </row>
    <row r="2062" spans="2:20" ht="25.5" hidden="1">
      <c r="B2062" s="828" t="s">
        <v>6674</v>
      </c>
      <c r="C2062" s="828">
        <v>102165</v>
      </c>
      <c r="D2062" s="630" t="s">
        <v>6045</v>
      </c>
      <c r="E2062" s="630" t="s">
        <v>649</v>
      </c>
      <c r="F2062" s="829">
        <v>431.78</v>
      </c>
      <c r="G2062" s="830">
        <v>25.86</v>
      </c>
      <c r="H2062" s="831">
        <v>457.64</v>
      </c>
      <c r="I2062" s="846"/>
      <c r="J2062" s="846"/>
      <c r="K2062" s="846"/>
      <c r="L2062" s="846"/>
      <c r="M2062" s="846"/>
      <c r="N2062" s="846"/>
      <c r="O2062" s="846"/>
      <c r="P2062" s="846"/>
      <c r="Q2062" s="846"/>
      <c r="R2062" s="846"/>
      <c r="S2062" s="846"/>
      <c r="T2062" s="846"/>
    </row>
    <row r="2063" spans="2:20" ht="25.5" hidden="1">
      <c r="B2063" s="828" t="s">
        <v>6674</v>
      </c>
      <c r="C2063" s="828">
        <v>102166</v>
      </c>
      <c r="D2063" s="630" t="s">
        <v>6046</v>
      </c>
      <c r="E2063" s="630" t="s">
        <v>649</v>
      </c>
      <c r="F2063" s="829">
        <v>388.71</v>
      </c>
      <c r="G2063" s="830">
        <v>19.760000000000002</v>
      </c>
      <c r="H2063" s="831">
        <v>408.47</v>
      </c>
      <c r="I2063" s="846"/>
      <c r="J2063" s="846"/>
      <c r="K2063" s="846"/>
      <c r="L2063" s="846"/>
      <c r="M2063" s="846"/>
      <c r="N2063" s="846"/>
      <c r="O2063" s="846"/>
      <c r="P2063" s="846"/>
      <c r="Q2063" s="846"/>
      <c r="R2063" s="846"/>
      <c r="S2063" s="846"/>
      <c r="T2063" s="846"/>
    </row>
    <row r="2064" spans="2:20" ht="25.5" hidden="1">
      <c r="B2064" s="828" t="s">
        <v>6674</v>
      </c>
      <c r="C2064" s="828">
        <v>102167</v>
      </c>
      <c r="D2064" s="630" t="s">
        <v>6047</v>
      </c>
      <c r="E2064" s="630" t="s">
        <v>649</v>
      </c>
      <c r="F2064" s="829">
        <v>493.71</v>
      </c>
      <c r="G2064" s="830">
        <v>19.760000000000002</v>
      </c>
      <c r="H2064" s="831">
        <v>513.47</v>
      </c>
      <c r="I2064" s="846"/>
      <c r="J2064" s="846"/>
      <c r="K2064" s="846"/>
      <c r="L2064" s="846"/>
      <c r="M2064" s="846"/>
      <c r="N2064" s="846"/>
      <c r="O2064" s="846"/>
      <c r="P2064" s="846"/>
      <c r="Q2064" s="846"/>
      <c r="R2064" s="846"/>
      <c r="S2064" s="846"/>
      <c r="T2064" s="846"/>
    </row>
    <row r="2065" spans="2:20" ht="25.5" hidden="1">
      <c r="B2065" s="828" t="s">
        <v>6674</v>
      </c>
      <c r="C2065" s="828">
        <v>102168</v>
      </c>
      <c r="D2065" s="630" t="s">
        <v>6048</v>
      </c>
      <c r="E2065" s="630" t="s">
        <v>649</v>
      </c>
      <c r="F2065" s="829">
        <v>471.12</v>
      </c>
      <c r="G2065" s="830">
        <v>14.68</v>
      </c>
      <c r="H2065" s="831">
        <v>485.8</v>
      </c>
      <c r="I2065" s="846"/>
      <c r="J2065" s="846"/>
      <c r="K2065" s="846"/>
      <c r="L2065" s="846"/>
      <c r="M2065" s="846"/>
      <c r="N2065" s="846"/>
      <c r="O2065" s="846"/>
      <c r="P2065" s="846"/>
      <c r="Q2065" s="846"/>
      <c r="R2065" s="846"/>
      <c r="S2065" s="846"/>
      <c r="T2065" s="846"/>
    </row>
    <row r="2066" spans="2:20" ht="25.5" hidden="1">
      <c r="B2066" s="828" t="s">
        <v>6674</v>
      </c>
      <c r="C2066" s="828">
        <v>102169</v>
      </c>
      <c r="D2066" s="630" t="s">
        <v>6049</v>
      </c>
      <c r="E2066" s="630" t="s">
        <v>649</v>
      </c>
      <c r="F2066" s="829">
        <v>536.33000000000004</v>
      </c>
      <c r="G2066" s="830">
        <v>12.86</v>
      </c>
      <c r="H2066" s="831">
        <v>549.19000000000005</v>
      </c>
      <c r="I2066" s="846"/>
      <c r="J2066" s="846"/>
      <c r="K2066" s="846"/>
      <c r="L2066" s="846"/>
      <c r="M2066" s="846"/>
      <c r="N2066" s="846"/>
      <c r="O2066" s="846"/>
      <c r="P2066" s="846"/>
      <c r="Q2066" s="846"/>
      <c r="R2066" s="846"/>
      <c r="S2066" s="846"/>
      <c r="T2066" s="846"/>
    </row>
    <row r="2067" spans="2:20" ht="25.5" hidden="1">
      <c r="B2067" s="828" t="s">
        <v>6674</v>
      </c>
      <c r="C2067" s="828">
        <v>102170</v>
      </c>
      <c r="D2067" s="630" t="s">
        <v>6050</v>
      </c>
      <c r="E2067" s="630" t="s">
        <v>649</v>
      </c>
      <c r="F2067" s="829">
        <v>361.73</v>
      </c>
      <c r="G2067" s="830">
        <v>32.31</v>
      </c>
      <c r="H2067" s="831">
        <v>394.04</v>
      </c>
      <c r="I2067" s="846"/>
      <c r="J2067" s="846"/>
      <c r="K2067" s="846"/>
      <c r="L2067" s="846"/>
      <c r="M2067" s="846"/>
      <c r="N2067" s="846"/>
      <c r="O2067" s="846"/>
      <c r="P2067" s="846"/>
      <c r="Q2067" s="846"/>
      <c r="R2067" s="846"/>
      <c r="S2067" s="846"/>
      <c r="T2067" s="846"/>
    </row>
    <row r="2068" spans="2:20" ht="25.5" hidden="1">
      <c r="B2068" s="828" t="s">
        <v>6674</v>
      </c>
      <c r="C2068" s="828">
        <v>102171</v>
      </c>
      <c r="D2068" s="630" t="s">
        <v>6051</v>
      </c>
      <c r="E2068" s="630" t="s">
        <v>649</v>
      </c>
      <c r="F2068" s="829">
        <v>622.71</v>
      </c>
      <c r="G2068" s="830">
        <v>25.86</v>
      </c>
      <c r="H2068" s="831">
        <v>648.57000000000005</v>
      </c>
      <c r="I2068" s="846"/>
      <c r="J2068" s="846"/>
      <c r="K2068" s="846"/>
      <c r="L2068" s="846"/>
      <c r="M2068" s="846"/>
      <c r="N2068" s="846"/>
      <c r="O2068" s="846"/>
      <c r="P2068" s="846"/>
      <c r="Q2068" s="846"/>
      <c r="R2068" s="846"/>
      <c r="S2068" s="846"/>
      <c r="T2068" s="846"/>
    </row>
    <row r="2069" spans="2:20" ht="25.5" hidden="1">
      <c r="B2069" s="828" t="s">
        <v>6674</v>
      </c>
      <c r="C2069" s="828">
        <v>102172</v>
      </c>
      <c r="D2069" s="630" t="s">
        <v>6052</v>
      </c>
      <c r="E2069" s="630" t="s">
        <v>649</v>
      </c>
      <c r="F2069" s="829">
        <v>598.70000000000005</v>
      </c>
      <c r="G2069" s="830">
        <v>19.760000000000002</v>
      </c>
      <c r="H2069" s="831">
        <v>618.46</v>
      </c>
      <c r="I2069" s="846"/>
      <c r="J2069" s="846"/>
      <c r="K2069" s="846"/>
      <c r="L2069" s="846"/>
      <c r="M2069" s="846"/>
      <c r="N2069" s="846"/>
      <c r="O2069" s="846"/>
      <c r="P2069" s="846"/>
      <c r="Q2069" s="846"/>
      <c r="R2069" s="846"/>
      <c r="S2069" s="846"/>
      <c r="T2069" s="846"/>
    </row>
    <row r="2070" spans="2:20" ht="25.5" hidden="1">
      <c r="B2070" s="828" t="s">
        <v>6674</v>
      </c>
      <c r="C2070" s="828">
        <v>102176</v>
      </c>
      <c r="D2070" s="630" t="s">
        <v>6053</v>
      </c>
      <c r="E2070" s="630" t="s">
        <v>649</v>
      </c>
      <c r="F2070" s="829">
        <v>1022.37</v>
      </c>
      <c r="G2070" s="830">
        <v>68.75</v>
      </c>
      <c r="H2070" s="831">
        <v>1091.1199999999999</v>
      </c>
      <c r="I2070" s="846"/>
      <c r="J2070" s="846"/>
      <c r="K2070" s="846"/>
      <c r="L2070" s="846"/>
      <c r="M2070" s="846"/>
      <c r="N2070" s="846"/>
      <c r="O2070" s="846"/>
      <c r="P2070" s="846"/>
      <c r="Q2070" s="846"/>
      <c r="R2070" s="846"/>
      <c r="S2070" s="846"/>
      <c r="T2070" s="846"/>
    </row>
    <row r="2071" spans="2:20" ht="25.5" hidden="1">
      <c r="B2071" s="828" t="s">
        <v>6674</v>
      </c>
      <c r="C2071" s="828">
        <v>102177</v>
      </c>
      <c r="D2071" s="630" t="s">
        <v>6054</v>
      </c>
      <c r="E2071" s="630" t="s">
        <v>649</v>
      </c>
      <c r="F2071" s="829">
        <v>2090.84</v>
      </c>
      <c r="G2071" s="830">
        <v>62.52</v>
      </c>
      <c r="H2071" s="831">
        <v>2153.36</v>
      </c>
      <c r="I2071" s="846"/>
      <c r="J2071" s="846"/>
      <c r="K2071" s="846"/>
      <c r="L2071" s="846"/>
      <c r="M2071" s="846"/>
      <c r="N2071" s="846"/>
      <c r="O2071" s="846"/>
      <c r="P2071" s="846"/>
      <c r="Q2071" s="846"/>
      <c r="R2071" s="846"/>
      <c r="S2071" s="846"/>
      <c r="T2071" s="846"/>
    </row>
    <row r="2072" spans="2:20" ht="25.5" hidden="1">
      <c r="B2072" s="828" t="s">
        <v>6674</v>
      </c>
      <c r="C2072" s="828">
        <v>102178</v>
      </c>
      <c r="D2072" s="630" t="s">
        <v>6055</v>
      </c>
      <c r="E2072" s="630" t="s">
        <v>649</v>
      </c>
      <c r="F2072" s="829">
        <v>2406.02</v>
      </c>
      <c r="G2072" s="830">
        <v>57.28</v>
      </c>
      <c r="H2072" s="831">
        <v>2463.3000000000002</v>
      </c>
      <c r="I2072" s="846"/>
      <c r="J2072" s="846"/>
      <c r="K2072" s="846"/>
      <c r="L2072" s="846"/>
      <c r="M2072" s="846"/>
      <c r="N2072" s="846"/>
      <c r="O2072" s="846"/>
      <c r="P2072" s="846"/>
      <c r="Q2072" s="846"/>
      <c r="R2072" s="846"/>
      <c r="S2072" s="846"/>
      <c r="T2072" s="846"/>
    </row>
    <row r="2073" spans="2:20" ht="25.5" hidden="1">
      <c r="B2073" s="828" t="s">
        <v>6674</v>
      </c>
      <c r="C2073" s="828">
        <v>102179</v>
      </c>
      <c r="D2073" s="630" t="s">
        <v>6056</v>
      </c>
      <c r="E2073" s="630" t="s">
        <v>649</v>
      </c>
      <c r="F2073" s="829">
        <v>300.16000000000003</v>
      </c>
      <c r="G2073" s="830">
        <v>65.45</v>
      </c>
      <c r="H2073" s="831">
        <v>365.61</v>
      </c>
      <c r="I2073" s="846"/>
      <c r="J2073" s="846"/>
      <c r="K2073" s="846"/>
      <c r="L2073" s="846"/>
      <c r="M2073" s="846"/>
      <c r="N2073" s="846"/>
      <c r="O2073" s="846"/>
      <c r="P2073" s="846"/>
      <c r="Q2073" s="846"/>
      <c r="R2073" s="846"/>
      <c r="S2073" s="846"/>
      <c r="T2073" s="846"/>
    </row>
    <row r="2074" spans="2:20" ht="25.5" hidden="1">
      <c r="B2074" s="828" t="s">
        <v>6674</v>
      </c>
      <c r="C2074" s="828">
        <v>102180</v>
      </c>
      <c r="D2074" s="630" t="s">
        <v>6057</v>
      </c>
      <c r="E2074" s="630" t="s">
        <v>649</v>
      </c>
      <c r="F2074" s="829">
        <v>357.87</v>
      </c>
      <c r="G2074" s="830">
        <v>62.36</v>
      </c>
      <c r="H2074" s="831">
        <v>420.23</v>
      </c>
      <c r="I2074" s="846"/>
      <c r="J2074" s="846"/>
      <c r="K2074" s="846"/>
      <c r="L2074" s="846"/>
      <c r="M2074" s="846"/>
      <c r="N2074" s="846"/>
      <c r="O2074" s="846"/>
      <c r="P2074" s="846"/>
      <c r="Q2074" s="846"/>
      <c r="R2074" s="846"/>
      <c r="S2074" s="846"/>
      <c r="T2074" s="846"/>
    </row>
    <row r="2075" spans="2:20" ht="25.5" hidden="1">
      <c r="B2075" s="828" t="s">
        <v>6674</v>
      </c>
      <c r="C2075" s="828">
        <v>102181</v>
      </c>
      <c r="D2075" s="630" t="s">
        <v>6058</v>
      </c>
      <c r="E2075" s="630" t="s">
        <v>649</v>
      </c>
      <c r="F2075" s="829">
        <v>435.83</v>
      </c>
      <c r="G2075" s="830">
        <v>58.51</v>
      </c>
      <c r="H2075" s="831">
        <v>494.34</v>
      </c>
      <c r="I2075" s="846"/>
      <c r="J2075" s="846"/>
      <c r="K2075" s="846"/>
      <c r="L2075" s="846"/>
      <c r="M2075" s="846"/>
      <c r="N2075" s="846"/>
      <c r="O2075" s="846"/>
      <c r="P2075" s="846"/>
      <c r="Q2075" s="846"/>
      <c r="R2075" s="846"/>
      <c r="S2075" s="846"/>
      <c r="T2075" s="846"/>
    </row>
    <row r="2076" spans="2:20" ht="25.5" hidden="1">
      <c r="B2076" s="828" t="s">
        <v>6674</v>
      </c>
      <c r="C2076" s="828">
        <v>102182</v>
      </c>
      <c r="D2076" s="630" t="s">
        <v>6059</v>
      </c>
      <c r="E2076" s="630" t="s">
        <v>646</v>
      </c>
      <c r="F2076" s="829">
        <v>948.72</v>
      </c>
      <c r="G2076" s="830">
        <v>79.25</v>
      </c>
      <c r="H2076" s="832">
        <v>1027.97</v>
      </c>
      <c r="I2076" s="846"/>
      <c r="J2076" s="846"/>
      <c r="K2076" s="846"/>
      <c r="L2076" s="846"/>
      <c r="M2076" s="846"/>
      <c r="N2076" s="846"/>
      <c r="O2076" s="846"/>
      <c r="P2076" s="846"/>
      <c r="Q2076" s="846"/>
      <c r="R2076" s="846"/>
      <c r="S2076" s="846"/>
      <c r="T2076" s="846"/>
    </row>
    <row r="2077" spans="2:20" ht="25.5" hidden="1">
      <c r="B2077" s="828" t="s">
        <v>6674</v>
      </c>
      <c r="C2077" s="828">
        <v>102183</v>
      </c>
      <c r="D2077" s="630" t="s">
        <v>6060</v>
      </c>
      <c r="E2077" s="630" t="s">
        <v>646</v>
      </c>
      <c r="F2077" s="829">
        <v>1900.83</v>
      </c>
      <c r="G2077" s="830">
        <v>169.26</v>
      </c>
      <c r="H2077" s="832">
        <v>2070.09</v>
      </c>
      <c r="I2077" s="846"/>
      <c r="J2077" s="846"/>
      <c r="K2077" s="846"/>
      <c r="L2077" s="846"/>
      <c r="M2077" s="846"/>
      <c r="N2077" s="846"/>
      <c r="O2077" s="846"/>
      <c r="P2077" s="846"/>
      <c r="Q2077" s="846"/>
      <c r="R2077" s="846"/>
      <c r="S2077" s="846"/>
      <c r="T2077" s="846"/>
    </row>
    <row r="2078" spans="2:20" ht="25.5" hidden="1">
      <c r="B2078" s="828" t="s">
        <v>6674</v>
      </c>
      <c r="C2078" s="828">
        <v>102184</v>
      </c>
      <c r="D2078" s="630" t="s">
        <v>6061</v>
      </c>
      <c r="E2078" s="630" t="s">
        <v>646</v>
      </c>
      <c r="F2078" s="829">
        <v>1870.27</v>
      </c>
      <c r="G2078" s="830">
        <v>134.26</v>
      </c>
      <c r="H2078" s="832">
        <v>2004.53</v>
      </c>
      <c r="I2078" s="846"/>
      <c r="J2078" s="846"/>
      <c r="K2078" s="846"/>
      <c r="L2078" s="846"/>
      <c r="M2078" s="846"/>
      <c r="N2078" s="846"/>
      <c r="O2078" s="846"/>
      <c r="P2078" s="846"/>
      <c r="Q2078" s="846"/>
      <c r="R2078" s="846"/>
      <c r="S2078" s="846"/>
      <c r="T2078" s="846"/>
    </row>
    <row r="2079" spans="2:20" ht="25.5" hidden="1">
      <c r="B2079" s="828" t="s">
        <v>6674</v>
      </c>
      <c r="C2079" s="828">
        <v>102185</v>
      </c>
      <c r="D2079" s="630" t="s">
        <v>6062</v>
      </c>
      <c r="E2079" s="630" t="s">
        <v>646</v>
      </c>
      <c r="F2079" s="829">
        <v>3743.8</v>
      </c>
      <c r="G2079" s="830">
        <v>279.02</v>
      </c>
      <c r="H2079" s="831">
        <v>4022.82</v>
      </c>
      <c r="I2079" s="846"/>
      <c r="J2079" s="846"/>
      <c r="K2079" s="846"/>
      <c r="L2079" s="846"/>
      <c r="M2079" s="846"/>
      <c r="N2079" s="846"/>
      <c r="O2079" s="846"/>
      <c r="P2079" s="846"/>
      <c r="Q2079" s="846"/>
      <c r="R2079" s="846"/>
      <c r="S2079" s="846"/>
      <c r="T2079" s="846"/>
    </row>
    <row r="2080" spans="2:20" ht="25.5" hidden="1">
      <c r="B2080" s="828" t="s">
        <v>6674</v>
      </c>
      <c r="C2080" s="828">
        <v>102190</v>
      </c>
      <c r="D2080" s="630" t="s">
        <v>6065</v>
      </c>
      <c r="E2080" s="630" t="s">
        <v>649</v>
      </c>
      <c r="F2080" s="829">
        <v>5.14</v>
      </c>
      <c r="G2080" s="830">
        <v>16.61</v>
      </c>
      <c r="H2080" s="831">
        <v>21.75</v>
      </c>
      <c r="I2080" s="846"/>
      <c r="J2080" s="846"/>
      <c r="K2080" s="846"/>
      <c r="L2080" s="846"/>
      <c r="M2080" s="846"/>
      <c r="N2080" s="846"/>
      <c r="O2080" s="846"/>
      <c r="P2080" s="846"/>
      <c r="Q2080" s="846"/>
      <c r="R2080" s="846"/>
      <c r="S2080" s="846"/>
      <c r="T2080" s="846"/>
    </row>
    <row r="2081" spans="2:20" ht="25.5" hidden="1">
      <c r="B2081" s="828" t="s">
        <v>6674</v>
      </c>
      <c r="C2081" s="828">
        <v>102191</v>
      </c>
      <c r="D2081" s="630" t="s">
        <v>6066</v>
      </c>
      <c r="E2081" s="630" t="s">
        <v>649</v>
      </c>
      <c r="F2081" s="829">
        <v>6.28</v>
      </c>
      <c r="G2081" s="830">
        <v>20.14</v>
      </c>
      <c r="H2081" s="831">
        <v>26.42</v>
      </c>
      <c r="I2081" s="846"/>
      <c r="J2081" s="846"/>
      <c r="K2081" s="846"/>
      <c r="L2081" s="846"/>
      <c r="M2081" s="846"/>
      <c r="N2081" s="846"/>
      <c r="O2081" s="846"/>
      <c r="P2081" s="846"/>
      <c r="Q2081" s="846"/>
      <c r="R2081" s="846"/>
      <c r="S2081" s="846"/>
      <c r="T2081" s="846"/>
    </row>
    <row r="2082" spans="2:20" hidden="1">
      <c r="B2082" s="828" t="s">
        <v>6674</v>
      </c>
      <c r="C2082" s="828">
        <v>102192</v>
      </c>
      <c r="D2082" s="630" t="s">
        <v>6067</v>
      </c>
      <c r="E2082" s="630" t="s">
        <v>649</v>
      </c>
      <c r="F2082" s="829">
        <v>4.46</v>
      </c>
      <c r="G2082" s="830">
        <v>14.41</v>
      </c>
      <c r="H2082" s="831">
        <v>18.87</v>
      </c>
      <c r="I2082" s="846"/>
      <c r="J2082" s="846"/>
      <c r="K2082" s="846"/>
      <c r="L2082" s="846"/>
      <c r="M2082" s="846"/>
      <c r="N2082" s="846"/>
      <c r="O2082" s="846"/>
      <c r="P2082" s="846"/>
      <c r="Q2082" s="846"/>
      <c r="R2082" s="846"/>
      <c r="S2082" s="846"/>
      <c r="T2082" s="846"/>
    </row>
    <row r="2083" spans="2:20" ht="38.25" hidden="1">
      <c r="B2083" s="828" t="s">
        <v>6590</v>
      </c>
      <c r="C2083" s="828">
        <v>94569</v>
      </c>
      <c r="D2083" s="630" t="s">
        <v>3922</v>
      </c>
      <c r="E2083" s="630" t="s">
        <v>649</v>
      </c>
      <c r="F2083" s="829">
        <v>615.25</v>
      </c>
      <c r="G2083" s="830">
        <v>56.2</v>
      </c>
      <c r="H2083" s="832">
        <v>671.45</v>
      </c>
      <c r="I2083" s="846"/>
      <c r="J2083" s="846"/>
      <c r="K2083" s="846"/>
      <c r="L2083" s="846"/>
      <c r="M2083" s="846"/>
      <c r="N2083" s="846"/>
      <c r="O2083" s="846"/>
      <c r="P2083" s="846"/>
      <c r="Q2083" s="846"/>
      <c r="R2083" s="846"/>
      <c r="S2083" s="846"/>
      <c r="T2083" s="846"/>
    </row>
    <row r="2084" spans="2:20" ht="51" hidden="1">
      <c r="B2084" s="828" t="s">
        <v>6590</v>
      </c>
      <c r="C2084" s="828">
        <v>94570</v>
      </c>
      <c r="D2084" s="630" t="s">
        <v>3923</v>
      </c>
      <c r="E2084" s="630" t="s">
        <v>649</v>
      </c>
      <c r="F2084" s="829">
        <v>328.33</v>
      </c>
      <c r="G2084" s="830">
        <v>17.07</v>
      </c>
      <c r="H2084" s="832">
        <v>345.4</v>
      </c>
      <c r="I2084" s="846"/>
      <c r="J2084" s="846"/>
      <c r="K2084" s="846"/>
      <c r="L2084" s="846"/>
      <c r="M2084" s="846"/>
      <c r="N2084" s="846"/>
      <c r="O2084" s="846"/>
      <c r="P2084" s="846"/>
      <c r="Q2084" s="846"/>
      <c r="R2084" s="846"/>
      <c r="S2084" s="846"/>
      <c r="T2084" s="846"/>
    </row>
    <row r="2085" spans="2:20" ht="38.25" hidden="1">
      <c r="B2085" s="828" t="s">
        <v>6590</v>
      </c>
      <c r="C2085" s="828">
        <v>94572</v>
      </c>
      <c r="D2085" s="630" t="s">
        <v>3924</v>
      </c>
      <c r="E2085" s="630" t="s">
        <v>649</v>
      </c>
      <c r="F2085" s="829">
        <v>469.19</v>
      </c>
      <c r="G2085" s="830">
        <v>22.94</v>
      </c>
      <c r="H2085" s="832">
        <v>492.13</v>
      </c>
      <c r="I2085" s="846"/>
      <c r="J2085" s="846"/>
      <c r="K2085" s="846"/>
      <c r="L2085" s="846"/>
      <c r="M2085" s="846"/>
      <c r="N2085" s="846"/>
      <c r="O2085" s="846"/>
      <c r="P2085" s="846"/>
      <c r="Q2085" s="846"/>
      <c r="R2085" s="846"/>
      <c r="S2085" s="846"/>
      <c r="T2085" s="846"/>
    </row>
    <row r="2086" spans="2:20" ht="51" hidden="1">
      <c r="B2086" s="828" t="s">
        <v>6590</v>
      </c>
      <c r="C2086" s="828">
        <v>94573</v>
      </c>
      <c r="D2086" s="630" t="s">
        <v>3925</v>
      </c>
      <c r="E2086" s="630" t="s">
        <v>649</v>
      </c>
      <c r="F2086" s="829">
        <v>371.21</v>
      </c>
      <c r="G2086" s="830">
        <v>31.61</v>
      </c>
      <c r="H2086" s="831">
        <v>402.82</v>
      </c>
      <c r="I2086" s="846"/>
      <c r="J2086" s="846"/>
      <c r="K2086" s="846"/>
      <c r="L2086" s="846"/>
      <c r="M2086" s="846"/>
      <c r="N2086" s="846"/>
      <c r="O2086" s="846"/>
      <c r="P2086" s="846"/>
      <c r="Q2086" s="846"/>
      <c r="R2086" s="846"/>
      <c r="S2086" s="846"/>
      <c r="T2086" s="846"/>
    </row>
    <row r="2087" spans="2:20" ht="51" hidden="1">
      <c r="B2087" s="828" t="s">
        <v>6590</v>
      </c>
      <c r="C2087" s="828">
        <v>94580</v>
      </c>
      <c r="D2087" s="630" t="s">
        <v>3926</v>
      </c>
      <c r="E2087" s="630" t="s">
        <v>649</v>
      </c>
      <c r="F2087" s="829">
        <v>514.62</v>
      </c>
      <c r="G2087" s="830">
        <v>36.880000000000003</v>
      </c>
      <c r="H2087" s="831">
        <v>551.5</v>
      </c>
      <c r="I2087" s="846"/>
      <c r="J2087" s="846"/>
      <c r="K2087" s="846"/>
      <c r="L2087" s="846"/>
      <c r="M2087" s="846"/>
      <c r="N2087" s="846"/>
      <c r="O2087" s="846"/>
      <c r="P2087" s="846"/>
      <c r="Q2087" s="846"/>
      <c r="R2087" s="846"/>
      <c r="S2087" s="846"/>
      <c r="T2087" s="846"/>
    </row>
    <row r="2088" spans="2:20" ht="25.5" hidden="1">
      <c r="B2088" s="828" t="s">
        <v>6590</v>
      </c>
      <c r="C2088" s="828">
        <v>94589</v>
      </c>
      <c r="D2088" s="630" t="s">
        <v>5501</v>
      </c>
      <c r="E2088" s="630" t="s">
        <v>648</v>
      </c>
      <c r="F2088" s="829">
        <v>11.43</v>
      </c>
      <c r="G2088" s="830">
        <v>11.77</v>
      </c>
      <c r="H2088" s="831">
        <v>23.2</v>
      </c>
      <c r="I2088" s="846"/>
      <c r="J2088" s="846"/>
      <c r="K2088" s="846"/>
      <c r="L2088" s="846"/>
      <c r="M2088" s="846"/>
      <c r="N2088" s="846"/>
      <c r="O2088" s="846"/>
      <c r="P2088" s="846"/>
      <c r="Q2088" s="846"/>
      <c r="R2088" s="846"/>
      <c r="S2088" s="846"/>
      <c r="T2088" s="846"/>
    </row>
    <row r="2089" spans="2:20" ht="25.5" hidden="1">
      <c r="B2089" s="828" t="s">
        <v>6590</v>
      </c>
      <c r="C2089" s="828">
        <v>94590</v>
      </c>
      <c r="D2089" s="630" t="s">
        <v>5502</v>
      </c>
      <c r="E2089" s="630" t="s">
        <v>648</v>
      </c>
      <c r="F2089" s="829">
        <v>13.58</v>
      </c>
      <c r="G2089" s="830">
        <v>5</v>
      </c>
      <c r="H2089" s="831">
        <v>18.579999999999998</v>
      </c>
      <c r="I2089" s="846"/>
      <c r="J2089" s="846"/>
      <c r="K2089" s="846"/>
      <c r="L2089" s="846"/>
      <c r="M2089" s="846"/>
      <c r="N2089" s="846"/>
      <c r="O2089" s="846"/>
      <c r="P2089" s="846"/>
      <c r="Q2089" s="846"/>
      <c r="R2089" s="846"/>
      <c r="S2089" s="846"/>
      <c r="T2089" s="846"/>
    </row>
    <row r="2090" spans="2:20" ht="38.25" hidden="1">
      <c r="B2090" s="828" t="s">
        <v>6590</v>
      </c>
      <c r="C2090" s="828">
        <v>100674</v>
      </c>
      <c r="D2090" s="630" t="s">
        <v>3927</v>
      </c>
      <c r="E2090" s="630" t="s">
        <v>649</v>
      </c>
      <c r="F2090" s="829">
        <v>693.71</v>
      </c>
      <c r="G2090" s="830">
        <v>23.7</v>
      </c>
      <c r="H2090" s="831">
        <v>717.41</v>
      </c>
      <c r="I2090" s="846"/>
      <c r="J2090" s="846"/>
      <c r="K2090" s="846"/>
      <c r="L2090" s="846"/>
      <c r="M2090" s="846"/>
      <c r="N2090" s="846"/>
      <c r="O2090" s="846"/>
      <c r="P2090" s="846"/>
      <c r="Q2090" s="846"/>
      <c r="R2090" s="846"/>
      <c r="S2090" s="846"/>
      <c r="T2090" s="846"/>
    </row>
    <row r="2091" spans="2:20" ht="38.25" hidden="1">
      <c r="B2091" s="828" t="s">
        <v>6647</v>
      </c>
      <c r="C2091" s="828">
        <v>101096</v>
      </c>
      <c r="D2091" s="630" t="s">
        <v>3928</v>
      </c>
      <c r="E2091" s="630" t="s">
        <v>644</v>
      </c>
      <c r="F2091" s="829">
        <v>692.34</v>
      </c>
      <c r="G2091" s="830">
        <v>530.5</v>
      </c>
      <c r="H2091" s="831">
        <v>1222.8399999999999</v>
      </c>
      <c r="I2091" s="846"/>
      <c r="J2091" s="846"/>
      <c r="K2091" s="846"/>
      <c r="L2091" s="846"/>
      <c r="M2091" s="846"/>
      <c r="N2091" s="846"/>
      <c r="O2091" s="846"/>
      <c r="P2091" s="846"/>
      <c r="Q2091" s="846"/>
      <c r="R2091" s="846"/>
      <c r="S2091" s="846"/>
      <c r="T2091" s="846"/>
    </row>
    <row r="2092" spans="2:20" ht="38.25" hidden="1">
      <c r="B2092" s="828" t="s">
        <v>6647</v>
      </c>
      <c r="C2092" s="828">
        <v>101097</v>
      </c>
      <c r="D2092" s="630" t="s">
        <v>3929</v>
      </c>
      <c r="E2092" s="630" t="s">
        <v>644</v>
      </c>
      <c r="F2092" s="829">
        <v>680.05000000000007</v>
      </c>
      <c r="G2092" s="830">
        <v>475.05</v>
      </c>
      <c r="H2092" s="831">
        <v>1155.0999999999999</v>
      </c>
      <c r="I2092" s="846"/>
      <c r="J2092" s="846"/>
      <c r="K2092" s="846"/>
      <c r="L2092" s="846"/>
      <c r="M2092" s="846"/>
      <c r="N2092" s="846"/>
      <c r="O2092" s="846"/>
      <c r="P2092" s="846"/>
      <c r="Q2092" s="846"/>
      <c r="R2092" s="846"/>
      <c r="S2092" s="846"/>
      <c r="T2092" s="846"/>
    </row>
    <row r="2093" spans="2:20" ht="38.25" hidden="1">
      <c r="B2093" s="828" t="s">
        <v>6647</v>
      </c>
      <c r="C2093" s="828">
        <v>101098</v>
      </c>
      <c r="D2093" s="630" t="s">
        <v>3930</v>
      </c>
      <c r="E2093" s="630" t="s">
        <v>644</v>
      </c>
      <c r="F2093" s="829">
        <v>672.33</v>
      </c>
      <c r="G2093" s="830">
        <v>397.84</v>
      </c>
      <c r="H2093" s="831">
        <v>1070.17</v>
      </c>
      <c r="I2093" s="846"/>
      <c r="J2093" s="846"/>
      <c r="K2093" s="846"/>
      <c r="L2093" s="846"/>
      <c r="M2093" s="846"/>
      <c r="N2093" s="846"/>
      <c r="O2093" s="846"/>
      <c r="P2093" s="846"/>
      <c r="Q2093" s="846"/>
      <c r="R2093" s="846"/>
      <c r="S2093" s="846"/>
      <c r="T2093" s="846"/>
    </row>
    <row r="2094" spans="2:20" ht="38.25" hidden="1">
      <c r="B2094" s="828" t="s">
        <v>6647</v>
      </c>
      <c r="C2094" s="828">
        <v>101099</v>
      </c>
      <c r="D2094" s="630" t="s">
        <v>3931</v>
      </c>
      <c r="E2094" s="630" t="s">
        <v>644</v>
      </c>
      <c r="F2094" s="829">
        <v>629.31999999999994</v>
      </c>
      <c r="G2094" s="830">
        <v>346.65</v>
      </c>
      <c r="H2094" s="831">
        <v>975.97</v>
      </c>
      <c r="I2094" s="846"/>
      <c r="J2094" s="846"/>
      <c r="K2094" s="846"/>
      <c r="L2094" s="846"/>
      <c r="M2094" s="846"/>
      <c r="N2094" s="846"/>
      <c r="O2094" s="846"/>
      <c r="P2094" s="846"/>
      <c r="Q2094" s="846"/>
      <c r="R2094" s="846"/>
      <c r="S2094" s="846"/>
      <c r="T2094" s="846"/>
    </row>
    <row r="2095" spans="2:20" ht="38.25" hidden="1">
      <c r="B2095" s="828" t="s">
        <v>6647</v>
      </c>
      <c r="C2095" s="828">
        <v>101100</v>
      </c>
      <c r="D2095" s="630" t="s">
        <v>3932</v>
      </c>
      <c r="E2095" s="630" t="s">
        <v>644</v>
      </c>
      <c r="F2095" s="829">
        <v>715.14</v>
      </c>
      <c r="G2095" s="830">
        <v>167.95</v>
      </c>
      <c r="H2095" s="831">
        <v>883.09</v>
      </c>
      <c r="I2095" s="846"/>
      <c r="J2095" s="846"/>
      <c r="K2095" s="846"/>
      <c r="L2095" s="846"/>
      <c r="M2095" s="846"/>
      <c r="N2095" s="846"/>
      <c r="O2095" s="846"/>
      <c r="P2095" s="846"/>
      <c r="Q2095" s="846"/>
      <c r="R2095" s="846"/>
      <c r="S2095" s="846"/>
      <c r="T2095" s="846"/>
    </row>
    <row r="2096" spans="2:20" ht="38.25" hidden="1">
      <c r="B2096" s="828" t="s">
        <v>6647</v>
      </c>
      <c r="C2096" s="828">
        <v>101101</v>
      </c>
      <c r="D2096" s="630" t="s">
        <v>3933</v>
      </c>
      <c r="E2096" s="630" t="s">
        <v>644</v>
      </c>
      <c r="F2096" s="829">
        <v>702.78000000000009</v>
      </c>
      <c r="G2096" s="830">
        <v>159.1</v>
      </c>
      <c r="H2096" s="831">
        <v>861.88</v>
      </c>
      <c r="I2096" s="846"/>
      <c r="J2096" s="846"/>
      <c r="K2096" s="846"/>
      <c r="L2096" s="846"/>
      <c r="M2096" s="846"/>
      <c r="N2096" s="846"/>
      <c r="O2096" s="846"/>
      <c r="P2096" s="846"/>
      <c r="Q2096" s="846"/>
      <c r="R2096" s="846"/>
      <c r="S2096" s="846"/>
      <c r="T2096" s="846"/>
    </row>
    <row r="2097" spans="2:20" ht="38.25" hidden="1">
      <c r="B2097" s="828" t="s">
        <v>6647</v>
      </c>
      <c r="C2097" s="828">
        <v>101102</v>
      </c>
      <c r="D2097" s="630" t="s">
        <v>3934</v>
      </c>
      <c r="E2097" s="630" t="s">
        <v>644</v>
      </c>
      <c r="F2097" s="829">
        <v>695.65000000000009</v>
      </c>
      <c r="G2097" s="830">
        <v>145.51</v>
      </c>
      <c r="H2097" s="832">
        <v>841.16</v>
      </c>
      <c r="I2097" s="846"/>
      <c r="J2097" s="846"/>
      <c r="K2097" s="846"/>
      <c r="L2097" s="846"/>
      <c r="M2097" s="846"/>
      <c r="N2097" s="846"/>
      <c r="O2097" s="846"/>
      <c r="P2097" s="846"/>
      <c r="Q2097" s="846"/>
      <c r="R2097" s="846"/>
      <c r="S2097" s="846"/>
      <c r="T2097" s="846"/>
    </row>
    <row r="2098" spans="2:20" ht="38.25" hidden="1">
      <c r="B2098" s="828" t="s">
        <v>6647</v>
      </c>
      <c r="C2098" s="828">
        <v>101103</v>
      </c>
      <c r="D2098" s="630" t="s">
        <v>3935</v>
      </c>
      <c r="E2098" s="630" t="s">
        <v>644</v>
      </c>
      <c r="F2098" s="829">
        <v>653.04999999999995</v>
      </c>
      <c r="G2098" s="830">
        <v>135.61000000000001</v>
      </c>
      <c r="H2098" s="832">
        <v>788.66</v>
      </c>
      <c r="I2098" s="846"/>
      <c r="J2098" s="846"/>
      <c r="K2098" s="846"/>
      <c r="L2098" s="846"/>
      <c r="M2098" s="846"/>
      <c r="N2098" s="846"/>
      <c r="O2098" s="846"/>
      <c r="P2098" s="846"/>
      <c r="Q2098" s="846"/>
      <c r="R2098" s="846"/>
      <c r="S2098" s="846"/>
      <c r="T2098" s="846"/>
    </row>
    <row r="2099" spans="2:20" ht="38.25" hidden="1">
      <c r="B2099" s="828" t="s">
        <v>6647</v>
      </c>
      <c r="C2099" s="828">
        <v>101104</v>
      </c>
      <c r="D2099" s="630" t="s">
        <v>3936</v>
      </c>
      <c r="E2099" s="630" t="s">
        <v>644</v>
      </c>
      <c r="F2099" s="829">
        <v>744.53</v>
      </c>
      <c r="G2099" s="830">
        <v>436.01</v>
      </c>
      <c r="H2099" s="832">
        <v>1180.54</v>
      </c>
      <c r="I2099" s="846"/>
      <c r="J2099" s="846"/>
      <c r="K2099" s="846"/>
      <c r="L2099" s="846"/>
      <c r="M2099" s="846"/>
      <c r="N2099" s="846"/>
      <c r="O2099" s="846"/>
      <c r="P2099" s="846"/>
      <c r="Q2099" s="846"/>
      <c r="R2099" s="846"/>
      <c r="S2099" s="846"/>
      <c r="T2099" s="846"/>
    </row>
    <row r="2100" spans="2:20" ht="38.25" hidden="1">
      <c r="B2100" s="828" t="s">
        <v>6647</v>
      </c>
      <c r="C2100" s="828">
        <v>101105</v>
      </c>
      <c r="D2100" s="630" t="s">
        <v>3937</v>
      </c>
      <c r="E2100" s="630" t="s">
        <v>644</v>
      </c>
      <c r="F2100" s="829">
        <v>731.45</v>
      </c>
      <c r="G2100" s="830">
        <v>382.27</v>
      </c>
      <c r="H2100" s="831">
        <v>1113.72</v>
      </c>
      <c r="I2100" s="846"/>
      <c r="J2100" s="846"/>
      <c r="K2100" s="846"/>
      <c r="L2100" s="846"/>
      <c r="M2100" s="846"/>
      <c r="N2100" s="846"/>
      <c r="O2100" s="846"/>
      <c r="P2100" s="846"/>
      <c r="Q2100" s="846"/>
      <c r="R2100" s="846"/>
      <c r="S2100" s="846"/>
      <c r="T2100" s="846"/>
    </row>
    <row r="2101" spans="2:20" ht="38.25" hidden="1">
      <c r="B2101" s="828" t="s">
        <v>6647</v>
      </c>
      <c r="C2101" s="828">
        <v>101106</v>
      </c>
      <c r="D2101" s="630" t="s">
        <v>3938</v>
      </c>
      <c r="E2101" s="630" t="s">
        <v>644</v>
      </c>
      <c r="F2101" s="829">
        <v>722.73</v>
      </c>
      <c r="G2101" s="830">
        <v>307.92</v>
      </c>
      <c r="H2101" s="831">
        <v>1030.6500000000001</v>
      </c>
      <c r="I2101" s="846"/>
      <c r="J2101" s="846"/>
      <c r="K2101" s="846"/>
      <c r="L2101" s="846"/>
      <c r="M2101" s="846"/>
      <c r="N2101" s="846"/>
      <c r="O2101" s="846"/>
      <c r="P2101" s="846"/>
      <c r="Q2101" s="846"/>
      <c r="R2101" s="846"/>
      <c r="S2101" s="846"/>
      <c r="T2101" s="846"/>
    </row>
    <row r="2102" spans="2:20" ht="38.25" hidden="1">
      <c r="B2102" s="828" t="s">
        <v>6647</v>
      </c>
      <c r="C2102" s="828">
        <v>101107</v>
      </c>
      <c r="D2102" s="630" t="s">
        <v>3939</v>
      </c>
      <c r="E2102" s="630" t="s">
        <v>644</v>
      </c>
      <c r="F2102" s="829">
        <v>678.12</v>
      </c>
      <c r="G2102" s="830">
        <v>260.17</v>
      </c>
      <c r="H2102" s="831">
        <v>938.29</v>
      </c>
      <c r="I2102" s="846"/>
      <c r="J2102" s="846"/>
      <c r="K2102" s="846"/>
      <c r="L2102" s="846"/>
      <c r="M2102" s="846"/>
      <c r="N2102" s="846"/>
      <c r="O2102" s="846"/>
      <c r="P2102" s="846"/>
      <c r="Q2102" s="846"/>
      <c r="R2102" s="846"/>
      <c r="S2102" s="846"/>
      <c r="T2102" s="846"/>
    </row>
    <row r="2103" spans="2:20" ht="38.25" hidden="1">
      <c r="B2103" s="828" t="s">
        <v>6647</v>
      </c>
      <c r="C2103" s="828">
        <v>101108</v>
      </c>
      <c r="D2103" s="630" t="s">
        <v>3940</v>
      </c>
      <c r="E2103" s="630" t="s">
        <v>644</v>
      </c>
      <c r="F2103" s="829">
        <v>767.16</v>
      </c>
      <c r="G2103" s="830">
        <v>67.59</v>
      </c>
      <c r="H2103" s="831">
        <v>834.75</v>
      </c>
      <c r="I2103" s="846"/>
      <c r="J2103" s="846"/>
      <c r="K2103" s="846"/>
      <c r="L2103" s="846"/>
      <c r="M2103" s="846"/>
      <c r="N2103" s="846"/>
      <c r="O2103" s="846"/>
      <c r="P2103" s="846"/>
      <c r="Q2103" s="846"/>
      <c r="R2103" s="846"/>
      <c r="S2103" s="846"/>
      <c r="T2103" s="846"/>
    </row>
    <row r="2104" spans="2:20" ht="38.25" hidden="1">
      <c r="B2104" s="828" t="s">
        <v>6647</v>
      </c>
      <c r="C2104" s="828">
        <v>101109</v>
      </c>
      <c r="D2104" s="630" t="s">
        <v>3941</v>
      </c>
      <c r="E2104" s="630" t="s">
        <v>644</v>
      </c>
      <c r="F2104" s="829">
        <v>754.06000000000006</v>
      </c>
      <c r="G2104" s="830">
        <v>60.71</v>
      </c>
      <c r="H2104" s="831">
        <v>814.77</v>
      </c>
      <c r="I2104" s="846"/>
      <c r="J2104" s="846"/>
      <c r="K2104" s="846"/>
      <c r="L2104" s="846"/>
      <c r="M2104" s="846"/>
      <c r="N2104" s="846"/>
      <c r="O2104" s="846"/>
      <c r="P2104" s="846"/>
      <c r="Q2104" s="846"/>
      <c r="R2104" s="846"/>
      <c r="S2104" s="846"/>
      <c r="T2104" s="846"/>
    </row>
    <row r="2105" spans="2:20" ht="38.25" hidden="1">
      <c r="B2105" s="828" t="s">
        <v>6647</v>
      </c>
      <c r="C2105" s="828">
        <v>101110</v>
      </c>
      <c r="D2105" s="630" t="s">
        <v>3942</v>
      </c>
      <c r="E2105" s="630" t="s">
        <v>644</v>
      </c>
      <c r="F2105" s="829">
        <v>745.95</v>
      </c>
      <c r="G2105" s="830">
        <v>50.66</v>
      </c>
      <c r="H2105" s="832">
        <v>796.61</v>
      </c>
      <c r="I2105" s="846"/>
      <c r="J2105" s="846"/>
      <c r="K2105" s="846"/>
      <c r="L2105" s="846"/>
      <c r="M2105" s="846"/>
      <c r="N2105" s="846"/>
      <c r="O2105" s="846"/>
      <c r="P2105" s="846"/>
      <c r="Q2105" s="846"/>
      <c r="R2105" s="846"/>
      <c r="S2105" s="846"/>
      <c r="T2105" s="846"/>
    </row>
    <row r="2106" spans="2:20" ht="38.25" hidden="1">
      <c r="B2106" s="828" t="s">
        <v>6647</v>
      </c>
      <c r="C2106" s="828">
        <v>101111</v>
      </c>
      <c r="D2106" s="630" t="s">
        <v>3943</v>
      </c>
      <c r="E2106" s="630" t="s">
        <v>644</v>
      </c>
      <c r="F2106" s="829">
        <v>701.75</v>
      </c>
      <c r="G2106" s="830">
        <v>44.88</v>
      </c>
      <c r="H2106" s="832">
        <v>746.63</v>
      </c>
      <c r="I2106" s="846"/>
      <c r="J2106" s="846"/>
      <c r="K2106" s="846"/>
      <c r="L2106" s="846"/>
      <c r="M2106" s="846"/>
      <c r="N2106" s="846"/>
      <c r="O2106" s="846"/>
      <c r="P2106" s="846"/>
      <c r="Q2106" s="846"/>
      <c r="R2106" s="846"/>
      <c r="S2106" s="846"/>
      <c r="T2106" s="846"/>
    </row>
    <row r="2107" spans="2:20" ht="25.5" hidden="1">
      <c r="B2107" s="828" t="s">
        <v>6647</v>
      </c>
      <c r="C2107" s="828">
        <v>101112</v>
      </c>
      <c r="D2107" s="630" t="s">
        <v>3944</v>
      </c>
      <c r="E2107" s="630" t="s">
        <v>644</v>
      </c>
      <c r="F2107" s="829">
        <v>513.41</v>
      </c>
      <c r="G2107" s="830">
        <v>322.7</v>
      </c>
      <c r="H2107" s="831">
        <v>836.11</v>
      </c>
      <c r="I2107" s="846"/>
      <c r="J2107" s="846"/>
      <c r="K2107" s="846"/>
      <c r="L2107" s="846"/>
      <c r="M2107" s="846"/>
      <c r="N2107" s="846"/>
      <c r="O2107" s="846"/>
      <c r="P2107" s="846"/>
      <c r="Q2107" s="846"/>
      <c r="R2107" s="846"/>
      <c r="S2107" s="846"/>
      <c r="T2107" s="846"/>
    </row>
    <row r="2108" spans="2:20" ht="38.25" hidden="1">
      <c r="B2108" s="828" t="s">
        <v>6647</v>
      </c>
      <c r="C2108" s="828">
        <v>101113</v>
      </c>
      <c r="D2108" s="630" t="s">
        <v>3945</v>
      </c>
      <c r="E2108" s="630" t="s">
        <v>644</v>
      </c>
      <c r="F2108" s="829">
        <v>567.66999999999996</v>
      </c>
      <c r="G2108" s="830">
        <v>230.53</v>
      </c>
      <c r="H2108" s="831">
        <v>798.2</v>
      </c>
      <c r="I2108" s="846"/>
      <c r="J2108" s="846"/>
      <c r="K2108" s="846"/>
      <c r="L2108" s="846"/>
      <c r="M2108" s="846"/>
      <c r="N2108" s="846"/>
      <c r="O2108" s="846"/>
      <c r="P2108" s="846"/>
      <c r="Q2108" s="846"/>
      <c r="R2108" s="846"/>
      <c r="S2108" s="846"/>
      <c r="T2108" s="846"/>
    </row>
    <row r="2109" spans="2:20" ht="25.5" hidden="1">
      <c r="B2109" s="828" t="s">
        <v>6593</v>
      </c>
      <c r="C2109" s="828">
        <v>95601</v>
      </c>
      <c r="D2109" s="630" t="s">
        <v>5558</v>
      </c>
      <c r="E2109" s="630" t="s">
        <v>646</v>
      </c>
      <c r="F2109" s="829">
        <v>4.8600000000000003</v>
      </c>
      <c r="G2109" s="830">
        <v>13.36</v>
      </c>
      <c r="H2109" s="831">
        <v>18.22</v>
      </c>
      <c r="I2109" s="846"/>
      <c r="J2109" s="846"/>
      <c r="K2109" s="846"/>
      <c r="L2109" s="846"/>
      <c r="M2109" s="846"/>
      <c r="N2109" s="846"/>
      <c r="O2109" s="846"/>
      <c r="P2109" s="846"/>
      <c r="Q2109" s="846"/>
      <c r="R2109" s="846"/>
      <c r="S2109" s="846"/>
      <c r="T2109" s="846"/>
    </row>
    <row r="2110" spans="2:20" ht="25.5" hidden="1">
      <c r="B2110" s="828" t="s">
        <v>6593</v>
      </c>
      <c r="C2110" s="828">
        <v>95602</v>
      </c>
      <c r="D2110" s="630" t="s">
        <v>5559</v>
      </c>
      <c r="E2110" s="630" t="s">
        <v>646</v>
      </c>
      <c r="F2110" s="829">
        <v>7.8200000000000012</v>
      </c>
      <c r="G2110" s="830">
        <v>21.35</v>
      </c>
      <c r="H2110" s="831">
        <v>29.17</v>
      </c>
      <c r="I2110" s="846"/>
      <c r="J2110" s="846"/>
      <c r="K2110" s="846"/>
      <c r="L2110" s="846"/>
      <c r="M2110" s="846"/>
      <c r="N2110" s="846"/>
      <c r="O2110" s="846"/>
      <c r="P2110" s="846"/>
      <c r="Q2110" s="846"/>
      <c r="R2110" s="846"/>
      <c r="S2110" s="846"/>
      <c r="T2110" s="846"/>
    </row>
    <row r="2111" spans="2:20" ht="25.5" hidden="1">
      <c r="B2111" s="828" t="s">
        <v>6593</v>
      </c>
      <c r="C2111" s="828">
        <v>95603</v>
      </c>
      <c r="D2111" s="630" t="s">
        <v>5560</v>
      </c>
      <c r="E2111" s="630" t="s">
        <v>646</v>
      </c>
      <c r="F2111" s="829">
        <v>13.4</v>
      </c>
      <c r="G2111" s="830">
        <v>36.36</v>
      </c>
      <c r="H2111" s="831">
        <v>49.76</v>
      </c>
      <c r="I2111" s="846"/>
      <c r="J2111" s="846"/>
      <c r="K2111" s="846"/>
      <c r="L2111" s="846"/>
      <c r="M2111" s="846"/>
      <c r="N2111" s="846"/>
      <c r="O2111" s="846"/>
      <c r="P2111" s="846"/>
      <c r="Q2111" s="846"/>
      <c r="R2111" s="846"/>
      <c r="S2111" s="846"/>
      <c r="T2111" s="846"/>
    </row>
    <row r="2112" spans="2:20" ht="25.5" hidden="1">
      <c r="B2112" s="828" t="s">
        <v>6593</v>
      </c>
      <c r="C2112" s="828">
        <v>95604</v>
      </c>
      <c r="D2112" s="630" t="s">
        <v>5561</v>
      </c>
      <c r="E2112" s="630" t="s">
        <v>646</v>
      </c>
      <c r="F2112" s="829">
        <v>20.849999999999998</v>
      </c>
      <c r="G2112" s="830">
        <v>56.38</v>
      </c>
      <c r="H2112" s="831">
        <v>77.23</v>
      </c>
      <c r="I2112" s="846"/>
      <c r="J2112" s="846"/>
      <c r="K2112" s="846"/>
      <c r="L2112" s="846"/>
      <c r="M2112" s="846"/>
      <c r="N2112" s="846"/>
      <c r="O2112" s="846"/>
      <c r="P2112" s="846"/>
      <c r="Q2112" s="846"/>
      <c r="R2112" s="846"/>
      <c r="S2112" s="846"/>
      <c r="T2112" s="846"/>
    </row>
    <row r="2113" spans="2:20" ht="25.5" hidden="1">
      <c r="B2113" s="828" t="s">
        <v>6593</v>
      </c>
      <c r="C2113" s="828">
        <v>95605</v>
      </c>
      <c r="D2113" s="630" t="s">
        <v>5562</v>
      </c>
      <c r="E2113" s="630" t="s">
        <v>646</v>
      </c>
      <c r="F2113" s="829">
        <v>38.36</v>
      </c>
      <c r="G2113" s="830">
        <v>103.45</v>
      </c>
      <c r="H2113" s="831">
        <v>141.81</v>
      </c>
      <c r="I2113" s="846"/>
      <c r="J2113" s="846"/>
      <c r="K2113" s="846"/>
      <c r="L2113" s="846"/>
      <c r="M2113" s="846"/>
      <c r="N2113" s="846"/>
      <c r="O2113" s="846"/>
      <c r="P2113" s="846"/>
      <c r="Q2113" s="846"/>
      <c r="R2113" s="846"/>
      <c r="S2113" s="846"/>
      <c r="T2113" s="846"/>
    </row>
    <row r="2114" spans="2:20" ht="25.5" hidden="1">
      <c r="B2114" s="828" t="s">
        <v>6593</v>
      </c>
      <c r="C2114" s="828">
        <v>95607</v>
      </c>
      <c r="D2114" s="630" t="s">
        <v>5563</v>
      </c>
      <c r="E2114" s="630" t="s">
        <v>646</v>
      </c>
      <c r="F2114" s="829">
        <v>5.8</v>
      </c>
      <c r="G2114" s="830">
        <v>10.25</v>
      </c>
      <c r="H2114" s="831">
        <v>16.05</v>
      </c>
      <c r="I2114" s="846"/>
      <c r="J2114" s="846"/>
      <c r="K2114" s="846"/>
      <c r="L2114" s="846"/>
      <c r="M2114" s="846"/>
      <c r="N2114" s="846"/>
      <c r="O2114" s="846"/>
      <c r="P2114" s="846"/>
      <c r="Q2114" s="846"/>
      <c r="R2114" s="846"/>
      <c r="S2114" s="846"/>
      <c r="T2114" s="846"/>
    </row>
    <row r="2115" spans="2:20" ht="25.5" hidden="1">
      <c r="B2115" s="828" t="s">
        <v>6593</v>
      </c>
      <c r="C2115" s="828">
        <v>95608</v>
      </c>
      <c r="D2115" s="630" t="s">
        <v>5564</v>
      </c>
      <c r="E2115" s="630" t="s">
        <v>646</v>
      </c>
      <c r="F2115" s="829">
        <v>8.4499999999999993</v>
      </c>
      <c r="G2115" s="830">
        <v>14.83</v>
      </c>
      <c r="H2115" s="831">
        <v>23.28</v>
      </c>
      <c r="I2115" s="846"/>
      <c r="J2115" s="846"/>
      <c r="K2115" s="846"/>
      <c r="L2115" s="846"/>
      <c r="M2115" s="846"/>
      <c r="N2115" s="846"/>
      <c r="O2115" s="846"/>
      <c r="P2115" s="846"/>
      <c r="Q2115" s="846"/>
      <c r="R2115" s="846"/>
      <c r="S2115" s="846"/>
      <c r="T2115" s="846"/>
    </row>
    <row r="2116" spans="2:20" ht="25.5" hidden="1">
      <c r="B2116" s="828" t="s">
        <v>6593</v>
      </c>
      <c r="C2116" s="828">
        <v>95609</v>
      </c>
      <c r="D2116" s="630" t="s">
        <v>5565</v>
      </c>
      <c r="E2116" s="630" t="s">
        <v>646</v>
      </c>
      <c r="F2116" s="829">
        <v>10.729999999999999</v>
      </c>
      <c r="G2116" s="830">
        <v>18.8</v>
      </c>
      <c r="H2116" s="831">
        <v>29.53</v>
      </c>
      <c r="I2116" s="846"/>
      <c r="J2116" s="846"/>
      <c r="K2116" s="846"/>
      <c r="L2116" s="846"/>
      <c r="M2116" s="846"/>
      <c r="N2116" s="846"/>
      <c r="O2116" s="846"/>
      <c r="P2116" s="846"/>
      <c r="Q2116" s="846"/>
      <c r="R2116" s="846"/>
      <c r="S2116" s="846"/>
      <c r="T2116" s="846"/>
    </row>
    <row r="2117" spans="2:20" ht="38.25" hidden="1">
      <c r="B2117" s="828" t="s">
        <v>6593</v>
      </c>
      <c r="C2117" s="828">
        <v>100651</v>
      </c>
      <c r="D2117" s="630" t="s">
        <v>5802</v>
      </c>
      <c r="E2117" s="630" t="s">
        <v>648</v>
      </c>
      <c r="F2117" s="829">
        <v>115.89</v>
      </c>
      <c r="G2117" s="830">
        <v>13.1</v>
      </c>
      <c r="H2117" s="831">
        <v>128.99</v>
      </c>
      <c r="I2117" s="846"/>
      <c r="J2117" s="846"/>
      <c r="K2117" s="846"/>
      <c r="L2117" s="846"/>
      <c r="M2117" s="846"/>
      <c r="N2117" s="846"/>
      <c r="O2117" s="846"/>
      <c r="P2117" s="846"/>
      <c r="Q2117" s="846"/>
      <c r="R2117" s="846"/>
      <c r="S2117" s="846"/>
      <c r="T2117" s="846"/>
    </row>
    <row r="2118" spans="2:20" ht="38.25" hidden="1">
      <c r="B2118" s="828" t="s">
        <v>6593</v>
      </c>
      <c r="C2118" s="828">
        <v>100652</v>
      </c>
      <c r="D2118" s="630" t="s">
        <v>5803</v>
      </c>
      <c r="E2118" s="630" t="s">
        <v>648</v>
      </c>
      <c r="F2118" s="829">
        <v>218.27</v>
      </c>
      <c r="G2118" s="830">
        <v>17.239999999999998</v>
      </c>
      <c r="H2118" s="831">
        <v>235.51</v>
      </c>
      <c r="I2118" s="846"/>
      <c r="J2118" s="846"/>
      <c r="K2118" s="846"/>
      <c r="L2118" s="846"/>
      <c r="M2118" s="846"/>
      <c r="N2118" s="846"/>
      <c r="O2118" s="846"/>
      <c r="P2118" s="846"/>
      <c r="Q2118" s="846"/>
      <c r="R2118" s="846"/>
      <c r="S2118" s="846"/>
      <c r="T2118" s="846"/>
    </row>
    <row r="2119" spans="2:20" ht="38.25" hidden="1">
      <c r="B2119" s="828" t="s">
        <v>6593</v>
      </c>
      <c r="C2119" s="828">
        <v>100653</v>
      </c>
      <c r="D2119" s="630" t="s">
        <v>5804</v>
      </c>
      <c r="E2119" s="630" t="s">
        <v>648</v>
      </c>
      <c r="F2119" s="829">
        <v>362.28000000000003</v>
      </c>
      <c r="G2119" s="830">
        <v>21.62</v>
      </c>
      <c r="H2119" s="831">
        <v>383.9</v>
      </c>
      <c r="I2119" s="846"/>
      <c r="J2119" s="846"/>
      <c r="K2119" s="846"/>
      <c r="L2119" s="846"/>
      <c r="M2119" s="846"/>
      <c r="N2119" s="846"/>
      <c r="O2119" s="846"/>
      <c r="P2119" s="846"/>
      <c r="Q2119" s="846"/>
      <c r="R2119" s="846"/>
      <c r="S2119" s="846"/>
      <c r="T2119" s="846"/>
    </row>
    <row r="2120" spans="2:20" ht="38.25" hidden="1">
      <c r="B2120" s="828" t="s">
        <v>6593</v>
      </c>
      <c r="C2120" s="828">
        <v>100654</v>
      </c>
      <c r="D2120" s="630" t="s">
        <v>5805</v>
      </c>
      <c r="E2120" s="630" t="s">
        <v>648</v>
      </c>
      <c r="F2120" s="829">
        <v>499.09999999999997</v>
      </c>
      <c r="G2120" s="830">
        <v>24.71</v>
      </c>
      <c r="H2120" s="831">
        <v>523.80999999999995</v>
      </c>
      <c r="I2120" s="846"/>
      <c r="J2120" s="846"/>
      <c r="K2120" s="846"/>
      <c r="L2120" s="846"/>
      <c r="M2120" s="846"/>
      <c r="N2120" s="846"/>
      <c r="O2120" s="846"/>
      <c r="P2120" s="846"/>
      <c r="Q2120" s="846"/>
      <c r="R2120" s="846"/>
      <c r="S2120" s="846"/>
      <c r="T2120" s="846"/>
    </row>
    <row r="2121" spans="2:20" ht="38.25" hidden="1">
      <c r="B2121" s="828" t="s">
        <v>6593</v>
      </c>
      <c r="C2121" s="828">
        <v>100655</v>
      </c>
      <c r="D2121" s="630" t="s">
        <v>5806</v>
      </c>
      <c r="E2121" s="630" t="s">
        <v>648</v>
      </c>
      <c r="F2121" s="829">
        <v>579.16999999999996</v>
      </c>
      <c r="G2121" s="830">
        <v>21.17</v>
      </c>
      <c r="H2121" s="831">
        <v>600.34</v>
      </c>
      <c r="I2121" s="846"/>
      <c r="J2121" s="846"/>
      <c r="K2121" s="846"/>
      <c r="L2121" s="846"/>
      <c r="M2121" s="846"/>
      <c r="N2121" s="846"/>
      <c r="O2121" s="846"/>
      <c r="P2121" s="846"/>
      <c r="Q2121" s="846"/>
      <c r="R2121" s="846"/>
      <c r="S2121" s="846"/>
      <c r="T2121" s="846"/>
    </row>
    <row r="2122" spans="2:20" ht="38.25" hidden="1">
      <c r="B2122" s="828" t="s">
        <v>6593</v>
      </c>
      <c r="C2122" s="828">
        <v>100656</v>
      </c>
      <c r="D2122" s="630" t="s">
        <v>3946</v>
      </c>
      <c r="E2122" s="630" t="s">
        <v>648</v>
      </c>
      <c r="F2122" s="829">
        <v>94.64</v>
      </c>
      <c r="G2122" s="830">
        <v>13.23</v>
      </c>
      <c r="H2122" s="831">
        <v>107.87</v>
      </c>
      <c r="I2122" s="846"/>
      <c r="J2122" s="846"/>
      <c r="K2122" s="846"/>
      <c r="L2122" s="846"/>
      <c r="M2122" s="846"/>
      <c r="N2122" s="846"/>
      <c r="O2122" s="846"/>
      <c r="P2122" s="846"/>
      <c r="Q2122" s="846"/>
      <c r="R2122" s="846"/>
      <c r="S2122" s="846"/>
      <c r="T2122" s="846"/>
    </row>
    <row r="2123" spans="2:20" ht="38.25" hidden="1">
      <c r="B2123" s="828" t="s">
        <v>6593</v>
      </c>
      <c r="C2123" s="828">
        <v>100657</v>
      </c>
      <c r="D2123" s="630" t="s">
        <v>3947</v>
      </c>
      <c r="E2123" s="630" t="s">
        <v>648</v>
      </c>
      <c r="F2123" s="829">
        <v>124.65</v>
      </c>
      <c r="G2123" s="830">
        <v>13.93</v>
      </c>
      <c r="H2123" s="831">
        <v>138.58000000000001</v>
      </c>
      <c r="I2123" s="846"/>
      <c r="J2123" s="846"/>
      <c r="K2123" s="846"/>
      <c r="L2123" s="846"/>
      <c r="M2123" s="846"/>
      <c r="N2123" s="846"/>
      <c r="O2123" s="846"/>
      <c r="P2123" s="846"/>
      <c r="Q2123" s="846"/>
      <c r="R2123" s="846"/>
      <c r="S2123" s="846"/>
      <c r="T2123" s="846"/>
    </row>
    <row r="2124" spans="2:20" ht="38.25" hidden="1">
      <c r="B2124" s="828" t="s">
        <v>6593</v>
      </c>
      <c r="C2124" s="828">
        <v>100658</v>
      </c>
      <c r="D2124" s="630" t="s">
        <v>3948</v>
      </c>
      <c r="E2124" s="630" t="s">
        <v>648</v>
      </c>
      <c r="F2124" s="829">
        <v>296.88</v>
      </c>
      <c r="G2124" s="830">
        <v>18.89</v>
      </c>
      <c r="H2124" s="831">
        <v>315.77</v>
      </c>
      <c r="I2124" s="846"/>
      <c r="J2124" s="846"/>
      <c r="K2124" s="846"/>
      <c r="L2124" s="846"/>
      <c r="M2124" s="846"/>
      <c r="N2124" s="846"/>
      <c r="O2124" s="846"/>
      <c r="P2124" s="846"/>
      <c r="Q2124" s="846"/>
      <c r="R2124" s="846"/>
      <c r="S2124" s="846"/>
      <c r="T2124" s="846"/>
    </row>
    <row r="2125" spans="2:20" ht="25.5" hidden="1">
      <c r="B2125" s="828" t="s">
        <v>6593</v>
      </c>
      <c r="C2125" s="828">
        <v>100889</v>
      </c>
      <c r="D2125" s="630" t="s">
        <v>3949</v>
      </c>
      <c r="E2125" s="630" t="s">
        <v>645</v>
      </c>
      <c r="F2125" s="829">
        <v>17.48</v>
      </c>
      <c r="G2125" s="830">
        <v>0.42</v>
      </c>
      <c r="H2125" s="831">
        <v>17.899999999999999</v>
      </c>
      <c r="I2125" s="846"/>
      <c r="J2125" s="846"/>
      <c r="K2125" s="846"/>
      <c r="L2125" s="846"/>
      <c r="M2125" s="846"/>
      <c r="N2125" s="846"/>
      <c r="O2125" s="846"/>
      <c r="P2125" s="846"/>
      <c r="Q2125" s="846"/>
      <c r="R2125" s="846"/>
      <c r="S2125" s="846"/>
      <c r="T2125" s="846"/>
    </row>
    <row r="2126" spans="2:20" ht="25.5" hidden="1">
      <c r="B2126" s="828" t="s">
        <v>6593</v>
      </c>
      <c r="C2126" s="828">
        <v>100890</v>
      </c>
      <c r="D2126" s="630" t="s">
        <v>3950</v>
      </c>
      <c r="E2126" s="630" t="s">
        <v>645</v>
      </c>
      <c r="F2126" s="829">
        <v>17.39</v>
      </c>
      <c r="G2126" s="830">
        <v>0.33</v>
      </c>
      <c r="H2126" s="831">
        <v>17.72</v>
      </c>
      <c r="I2126" s="846"/>
      <c r="J2126" s="846"/>
      <c r="K2126" s="846"/>
      <c r="L2126" s="846"/>
      <c r="M2126" s="846"/>
      <c r="N2126" s="846"/>
      <c r="O2126" s="846"/>
      <c r="P2126" s="846"/>
      <c r="Q2126" s="846"/>
      <c r="R2126" s="846"/>
      <c r="S2126" s="846"/>
      <c r="T2126" s="846"/>
    </row>
    <row r="2127" spans="2:20" ht="25.5" hidden="1">
      <c r="B2127" s="828" t="s">
        <v>6593</v>
      </c>
      <c r="C2127" s="828">
        <v>100892</v>
      </c>
      <c r="D2127" s="630" t="s">
        <v>3951</v>
      </c>
      <c r="E2127" s="630" t="s">
        <v>645</v>
      </c>
      <c r="F2127" s="829">
        <v>16.28</v>
      </c>
      <c r="G2127" s="830">
        <v>0.67</v>
      </c>
      <c r="H2127" s="831">
        <v>16.95</v>
      </c>
      <c r="I2127" s="846"/>
      <c r="J2127" s="846"/>
      <c r="K2127" s="846"/>
      <c r="L2127" s="846"/>
      <c r="M2127" s="846"/>
      <c r="N2127" s="846"/>
      <c r="O2127" s="846"/>
      <c r="P2127" s="846"/>
      <c r="Q2127" s="846"/>
      <c r="R2127" s="846"/>
      <c r="S2127" s="846"/>
      <c r="T2127" s="846"/>
    </row>
    <row r="2128" spans="2:20" ht="25.5" hidden="1">
      <c r="B2128" s="828" t="s">
        <v>6593</v>
      </c>
      <c r="C2128" s="828">
        <v>100893</v>
      </c>
      <c r="D2128" s="630" t="s">
        <v>3952</v>
      </c>
      <c r="E2128" s="630" t="s">
        <v>645</v>
      </c>
      <c r="F2128" s="829">
        <v>16.18</v>
      </c>
      <c r="G2128" s="830">
        <v>0.56999999999999995</v>
      </c>
      <c r="H2128" s="831">
        <v>16.75</v>
      </c>
      <c r="I2128" s="846"/>
      <c r="J2128" s="846"/>
      <c r="K2128" s="846"/>
      <c r="L2128" s="846"/>
      <c r="M2128" s="846"/>
      <c r="N2128" s="846"/>
      <c r="O2128" s="846"/>
      <c r="P2128" s="846"/>
      <c r="Q2128" s="846"/>
      <c r="R2128" s="846"/>
      <c r="S2128" s="846"/>
      <c r="T2128" s="846"/>
    </row>
    <row r="2129" spans="2:20" ht="25.5" hidden="1">
      <c r="B2129" s="828" t="s">
        <v>6593</v>
      </c>
      <c r="C2129" s="828">
        <v>100894</v>
      </c>
      <c r="D2129" s="630" t="s">
        <v>3953</v>
      </c>
      <c r="E2129" s="630" t="s">
        <v>645</v>
      </c>
      <c r="F2129" s="829">
        <v>16.14</v>
      </c>
      <c r="G2129" s="830">
        <v>0.49</v>
      </c>
      <c r="H2129" s="831">
        <v>16.63</v>
      </c>
      <c r="I2129" s="846"/>
      <c r="J2129" s="846"/>
      <c r="K2129" s="846"/>
      <c r="L2129" s="846"/>
      <c r="M2129" s="846"/>
      <c r="N2129" s="846"/>
      <c r="O2129" s="846"/>
      <c r="P2129" s="846"/>
      <c r="Q2129" s="846"/>
      <c r="R2129" s="846"/>
      <c r="S2129" s="846"/>
      <c r="T2129" s="846"/>
    </row>
    <row r="2130" spans="2:20" ht="38.25" hidden="1">
      <c r="B2130" s="828" t="s">
        <v>6593</v>
      </c>
      <c r="C2130" s="828">
        <v>100896</v>
      </c>
      <c r="D2130" s="630" t="s">
        <v>3954</v>
      </c>
      <c r="E2130" s="630" t="s">
        <v>648</v>
      </c>
      <c r="F2130" s="829">
        <v>50.629999999999995</v>
      </c>
      <c r="G2130" s="830">
        <v>6.82</v>
      </c>
      <c r="H2130" s="831">
        <v>57.45</v>
      </c>
      <c r="I2130" s="846"/>
      <c r="J2130" s="846"/>
      <c r="K2130" s="846"/>
      <c r="L2130" s="846"/>
      <c r="M2130" s="846"/>
      <c r="N2130" s="846"/>
      <c r="O2130" s="846"/>
      <c r="P2130" s="846"/>
      <c r="Q2130" s="846"/>
      <c r="R2130" s="846"/>
      <c r="S2130" s="846"/>
      <c r="T2130" s="846"/>
    </row>
    <row r="2131" spans="2:20" ht="38.25" hidden="1">
      <c r="B2131" s="828" t="s">
        <v>6593</v>
      </c>
      <c r="C2131" s="828">
        <v>100897</v>
      </c>
      <c r="D2131" s="630" t="s">
        <v>3955</v>
      </c>
      <c r="E2131" s="630" t="s">
        <v>648</v>
      </c>
      <c r="F2131" s="829">
        <v>98.52</v>
      </c>
      <c r="G2131" s="830">
        <v>8.49</v>
      </c>
      <c r="H2131" s="831">
        <v>107.01</v>
      </c>
      <c r="I2131" s="846"/>
      <c r="J2131" s="846"/>
      <c r="K2131" s="846"/>
      <c r="L2131" s="846"/>
      <c r="M2131" s="846"/>
      <c r="N2131" s="846"/>
      <c r="O2131" s="846"/>
      <c r="P2131" s="846"/>
      <c r="Q2131" s="846"/>
      <c r="R2131" s="846"/>
      <c r="S2131" s="846"/>
      <c r="T2131" s="846"/>
    </row>
    <row r="2132" spans="2:20" ht="38.25" hidden="1">
      <c r="B2132" s="828" t="s">
        <v>6593</v>
      </c>
      <c r="C2132" s="828">
        <v>100898</v>
      </c>
      <c r="D2132" s="630" t="s">
        <v>3956</v>
      </c>
      <c r="E2132" s="630" t="s">
        <v>648</v>
      </c>
      <c r="F2132" s="829">
        <v>189.26</v>
      </c>
      <c r="G2132" s="830">
        <v>10.47</v>
      </c>
      <c r="H2132" s="831">
        <v>199.73</v>
      </c>
      <c r="I2132" s="846"/>
      <c r="J2132" s="846"/>
      <c r="K2132" s="846"/>
      <c r="L2132" s="846"/>
      <c r="M2132" s="846"/>
      <c r="N2132" s="846"/>
      <c r="O2132" s="846"/>
      <c r="P2132" s="846"/>
      <c r="Q2132" s="846"/>
      <c r="R2132" s="846"/>
      <c r="S2132" s="846"/>
      <c r="T2132" s="846"/>
    </row>
    <row r="2133" spans="2:20" ht="38.25" hidden="1">
      <c r="B2133" s="828" t="s">
        <v>6593</v>
      </c>
      <c r="C2133" s="828">
        <v>100899</v>
      </c>
      <c r="D2133" s="630" t="s">
        <v>3957</v>
      </c>
      <c r="E2133" s="630" t="s">
        <v>648</v>
      </c>
      <c r="F2133" s="829">
        <v>57.97</v>
      </c>
      <c r="G2133" s="830">
        <v>26.85</v>
      </c>
      <c r="H2133" s="831">
        <v>84.82</v>
      </c>
      <c r="I2133" s="846"/>
      <c r="J2133" s="846"/>
      <c r="K2133" s="846"/>
      <c r="L2133" s="846"/>
      <c r="M2133" s="846"/>
      <c r="N2133" s="846"/>
      <c r="O2133" s="846"/>
      <c r="P2133" s="846"/>
      <c r="Q2133" s="846"/>
      <c r="R2133" s="846"/>
      <c r="S2133" s="846"/>
      <c r="T2133" s="846"/>
    </row>
    <row r="2134" spans="2:20" ht="38.25" hidden="1">
      <c r="B2134" s="828" t="s">
        <v>6593</v>
      </c>
      <c r="C2134" s="828">
        <v>100900</v>
      </c>
      <c r="D2134" s="630" t="s">
        <v>3958</v>
      </c>
      <c r="E2134" s="630" t="s">
        <v>648</v>
      </c>
      <c r="F2134" s="829">
        <v>214.05</v>
      </c>
      <c r="G2134" s="830">
        <v>14.14</v>
      </c>
      <c r="H2134" s="831">
        <v>228.19</v>
      </c>
      <c r="I2134" s="846"/>
      <c r="J2134" s="846"/>
      <c r="K2134" s="846"/>
      <c r="L2134" s="846"/>
      <c r="M2134" s="846"/>
      <c r="N2134" s="846"/>
      <c r="O2134" s="846"/>
      <c r="P2134" s="846"/>
      <c r="Q2134" s="846"/>
      <c r="R2134" s="846"/>
      <c r="S2134" s="846"/>
      <c r="T2134" s="846"/>
    </row>
    <row r="2135" spans="2:20" ht="25.5" hidden="1">
      <c r="B2135" s="828" t="s">
        <v>6593</v>
      </c>
      <c r="C2135" s="828">
        <v>101173</v>
      </c>
      <c r="D2135" s="630" t="s">
        <v>3959</v>
      </c>
      <c r="E2135" s="630" t="s">
        <v>648</v>
      </c>
      <c r="F2135" s="829">
        <v>36.4</v>
      </c>
      <c r="G2135" s="830">
        <v>26.1</v>
      </c>
      <c r="H2135" s="831">
        <v>62.5</v>
      </c>
      <c r="I2135" s="846"/>
      <c r="J2135" s="846"/>
      <c r="K2135" s="846"/>
      <c r="L2135" s="846"/>
      <c r="M2135" s="846"/>
      <c r="N2135" s="846"/>
      <c r="O2135" s="846"/>
      <c r="P2135" s="846"/>
      <c r="Q2135" s="846"/>
      <c r="R2135" s="846"/>
      <c r="S2135" s="846"/>
      <c r="T2135" s="846"/>
    </row>
    <row r="2136" spans="2:20" ht="25.5" hidden="1">
      <c r="B2136" s="828" t="s">
        <v>6593</v>
      </c>
      <c r="C2136" s="828">
        <v>101174</v>
      </c>
      <c r="D2136" s="630" t="s">
        <v>3960</v>
      </c>
      <c r="E2136" s="630" t="s">
        <v>648</v>
      </c>
      <c r="F2136" s="829">
        <v>47.03</v>
      </c>
      <c r="G2136" s="830">
        <v>40.44</v>
      </c>
      <c r="H2136" s="831">
        <v>87.47</v>
      </c>
      <c r="I2136" s="846"/>
      <c r="J2136" s="846"/>
      <c r="K2136" s="846"/>
      <c r="L2136" s="846"/>
      <c r="M2136" s="846"/>
      <c r="N2136" s="846"/>
      <c r="O2136" s="846"/>
      <c r="P2136" s="846"/>
      <c r="Q2136" s="846"/>
      <c r="R2136" s="846"/>
      <c r="S2136" s="846"/>
      <c r="T2136" s="846"/>
    </row>
    <row r="2137" spans="2:20" ht="25.5" hidden="1">
      <c r="B2137" s="828" t="s">
        <v>6593</v>
      </c>
      <c r="C2137" s="828">
        <v>101175</v>
      </c>
      <c r="D2137" s="630" t="s">
        <v>3961</v>
      </c>
      <c r="E2137" s="630" t="s">
        <v>648</v>
      </c>
      <c r="F2137" s="829">
        <v>64.349999999999994</v>
      </c>
      <c r="G2137" s="830">
        <v>54.96</v>
      </c>
      <c r="H2137" s="831">
        <v>119.31</v>
      </c>
      <c r="I2137" s="846"/>
      <c r="J2137" s="846"/>
      <c r="K2137" s="846"/>
      <c r="L2137" s="846"/>
      <c r="M2137" s="846"/>
      <c r="N2137" s="846"/>
      <c r="O2137" s="846"/>
      <c r="P2137" s="846"/>
      <c r="Q2137" s="846"/>
      <c r="R2137" s="846"/>
      <c r="S2137" s="846"/>
      <c r="T2137" s="846"/>
    </row>
    <row r="2138" spans="2:20" ht="25.5" hidden="1">
      <c r="B2138" s="828" t="s">
        <v>6593</v>
      </c>
      <c r="C2138" s="828">
        <v>101176</v>
      </c>
      <c r="D2138" s="630" t="s">
        <v>3962</v>
      </c>
      <c r="E2138" s="630" t="s">
        <v>648</v>
      </c>
      <c r="F2138" s="829">
        <v>90.7</v>
      </c>
      <c r="G2138" s="830">
        <v>60.84</v>
      </c>
      <c r="H2138" s="831">
        <v>151.54</v>
      </c>
      <c r="I2138" s="846"/>
      <c r="J2138" s="846"/>
      <c r="K2138" s="846"/>
      <c r="L2138" s="846"/>
      <c r="M2138" s="846"/>
      <c r="N2138" s="846"/>
      <c r="O2138" s="846"/>
      <c r="P2138" s="846"/>
      <c r="Q2138" s="846"/>
      <c r="R2138" s="846"/>
      <c r="S2138" s="846"/>
      <c r="T2138" s="846"/>
    </row>
    <row r="2139" spans="2:20" ht="25.5" hidden="1">
      <c r="B2139" s="828" t="s">
        <v>6593</v>
      </c>
      <c r="C2139" s="828">
        <v>102521</v>
      </c>
      <c r="D2139" s="630" t="s">
        <v>6211</v>
      </c>
      <c r="E2139" s="630" t="s">
        <v>646</v>
      </c>
      <c r="F2139" s="829">
        <v>31.63</v>
      </c>
      <c r="G2139" s="830">
        <v>85.35</v>
      </c>
      <c r="H2139" s="831">
        <v>116.98</v>
      </c>
      <c r="I2139" s="846"/>
      <c r="J2139" s="846"/>
      <c r="K2139" s="846"/>
      <c r="L2139" s="846"/>
      <c r="M2139" s="846"/>
      <c r="N2139" s="846"/>
      <c r="O2139" s="846"/>
      <c r="P2139" s="846"/>
      <c r="Q2139" s="846"/>
      <c r="R2139" s="846"/>
      <c r="S2139" s="846"/>
      <c r="T2139" s="846"/>
    </row>
    <row r="2140" spans="2:20" ht="25.5" hidden="1">
      <c r="B2140" s="828" t="s">
        <v>6593</v>
      </c>
      <c r="C2140" s="828">
        <v>102522</v>
      </c>
      <c r="D2140" s="630" t="s">
        <v>6212</v>
      </c>
      <c r="E2140" s="630" t="s">
        <v>646</v>
      </c>
      <c r="F2140" s="829">
        <v>46.46</v>
      </c>
      <c r="G2140" s="830">
        <v>125.16</v>
      </c>
      <c r="H2140" s="831">
        <v>171.62</v>
      </c>
      <c r="I2140" s="846"/>
      <c r="J2140" s="846"/>
      <c r="K2140" s="846"/>
      <c r="L2140" s="846"/>
      <c r="M2140" s="846"/>
      <c r="N2140" s="846"/>
      <c r="O2140" s="846"/>
      <c r="P2140" s="846"/>
      <c r="Q2140" s="846"/>
      <c r="R2140" s="846"/>
      <c r="S2140" s="846"/>
      <c r="T2140" s="846"/>
    </row>
    <row r="2141" spans="2:20" ht="25.5" hidden="1">
      <c r="B2141" s="828" t="s">
        <v>6593</v>
      </c>
      <c r="C2141" s="828">
        <v>102523</v>
      </c>
      <c r="D2141" s="630" t="s">
        <v>6213</v>
      </c>
      <c r="E2141" s="630" t="s">
        <v>646</v>
      </c>
      <c r="F2141" s="829">
        <v>61.27</v>
      </c>
      <c r="G2141" s="830">
        <v>164.99</v>
      </c>
      <c r="H2141" s="831">
        <v>226.26</v>
      </c>
      <c r="I2141" s="846"/>
      <c r="J2141" s="846"/>
      <c r="K2141" s="846"/>
      <c r="L2141" s="846"/>
      <c r="M2141" s="846"/>
      <c r="N2141" s="846"/>
      <c r="O2141" s="846"/>
      <c r="P2141" s="846"/>
      <c r="Q2141" s="846"/>
      <c r="R2141" s="846"/>
      <c r="S2141" s="846"/>
      <c r="T2141" s="846"/>
    </row>
    <row r="2142" spans="2:20" ht="25.5" hidden="1">
      <c r="B2142" s="828" t="s">
        <v>6592</v>
      </c>
      <c r="C2142" s="828">
        <v>95240</v>
      </c>
      <c r="D2142" s="630" t="s">
        <v>5539</v>
      </c>
      <c r="E2142" s="630" t="s">
        <v>649</v>
      </c>
      <c r="F2142" s="829">
        <v>10.43</v>
      </c>
      <c r="G2142" s="830">
        <v>6.8</v>
      </c>
      <c r="H2142" s="831">
        <v>17.23</v>
      </c>
      <c r="I2142" s="846"/>
      <c r="J2142" s="846"/>
      <c r="K2142" s="846"/>
      <c r="L2142" s="846"/>
      <c r="M2142" s="846"/>
      <c r="N2142" s="846"/>
      <c r="O2142" s="846"/>
      <c r="P2142" s="846"/>
      <c r="Q2142" s="846"/>
      <c r="R2142" s="846"/>
      <c r="S2142" s="846"/>
      <c r="T2142" s="846"/>
    </row>
    <row r="2143" spans="2:20" ht="25.5" hidden="1">
      <c r="B2143" s="828" t="s">
        <v>6592</v>
      </c>
      <c r="C2143" s="828">
        <v>95241</v>
      </c>
      <c r="D2143" s="630" t="s">
        <v>5540</v>
      </c>
      <c r="E2143" s="630" t="s">
        <v>649</v>
      </c>
      <c r="F2143" s="829">
        <v>17.429999999999996</v>
      </c>
      <c r="G2143" s="830">
        <v>11.29</v>
      </c>
      <c r="H2143" s="831">
        <v>28.72</v>
      </c>
      <c r="I2143" s="846"/>
      <c r="J2143" s="846"/>
      <c r="K2143" s="846"/>
      <c r="L2143" s="846"/>
      <c r="M2143" s="846"/>
      <c r="N2143" s="846"/>
      <c r="O2143" s="846"/>
      <c r="P2143" s="846"/>
      <c r="Q2143" s="846"/>
      <c r="R2143" s="846"/>
      <c r="S2143" s="846"/>
      <c r="T2143" s="846"/>
    </row>
    <row r="2144" spans="2:20" ht="25.5" hidden="1">
      <c r="B2144" s="828" t="s">
        <v>6592</v>
      </c>
      <c r="C2144" s="828">
        <v>96616</v>
      </c>
      <c r="D2144" s="630" t="s">
        <v>2298</v>
      </c>
      <c r="E2144" s="630" t="s">
        <v>644</v>
      </c>
      <c r="F2144" s="829">
        <v>355.90999999999997</v>
      </c>
      <c r="G2144" s="830">
        <v>247.77</v>
      </c>
      <c r="H2144" s="831">
        <v>603.67999999999995</v>
      </c>
      <c r="I2144" s="846"/>
      <c r="J2144" s="846"/>
      <c r="K2144" s="846"/>
      <c r="L2144" s="846"/>
      <c r="M2144" s="846"/>
      <c r="N2144" s="846"/>
      <c r="O2144" s="846"/>
      <c r="P2144" s="846"/>
      <c r="Q2144" s="846"/>
      <c r="R2144" s="846"/>
      <c r="S2144" s="846"/>
      <c r="T2144" s="846"/>
    </row>
    <row r="2145" spans="2:20" ht="25.5" hidden="1">
      <c r="B2145" s="828" t="s">
        <v>6592</v>
      </c>
      <c r="C2145" s="828">
        <v>96617</v>
      </c>
      <c r="D2145" s="630" t="s">
        <v>2299</v>
      </c>
      <c r="E2145" s="630" t="s">
        <v>649</v>
      </c>
      <c r="F2145" s="829">
        <v>10.629999999999999</v>
      </c>
      <c r="G2145" s="830">
        <v>7.47</v>
      </c>
      <c r="H2145" s="831">
        <v>18.100000000000001</v>
      </c>
      <c r="I2145" s="846"/>
      <c r="J2145" s="846"/>
      <c r="K2145" s="846"/>
      <c r="L2145" s="846"/>
      <c r="M2145" s="846"/>
      <c r="N2145" s="846"/>
      <c r="O2145" s="846"/>
      <c r="P2145" s="846"/>
      <c r="Q2145" s="846"/>
      <c r="R2145" s="846"/>
      <c r="S2145" s="846"/>
      <c r="T2145" s="846"/>
    </row>
    <row r="2146" spans="2:20" ht="25.5" hidden="1">
      <c r="B2146" s="828" t="s">
        <v>6592</v>
      </c>
      <c r="C2146" s="828">
        <v>96619</v>
      </c>
      <c r="D2146" s="630" t="s">
        <v>2300</v>
      </c>
      <c r="E2146" s="630" t="s">
        <v>649</v>
      </c>
      <c r="F2146" s="829">
        <v>17.739999999999998</v>
      </c>
      <c r="G2146" s="830">
        <v>12.43</v>
      </c>
      <c r="H2146" s="831">
        <v>30.17</v>
      </c>
      <c r="I2146" s="846"/>
      <c r="J2146" s="846"/>
      <c r="K2146" s="846"/>
      <c r="L2146" s="846"/>
      <c r="M2146" s="846"/>
      <c r="N2146" s="846"/>
      <c r="O2146" s="846"/>
      <c r="P2146" s="846"/>
      <c r="Q2146" s="846"/>
      <c r="R2146" s="846"/>
      <c r="S2146" s="846"/>
      <c r="T2146" s="846"/>
    </row>
    <row r="2147" spans="2:20" ht="25.5" hidden="1">
      <c r="B2147" s="828" t="s">
        <v>6592</v>
      </c>
      <c r="C2147" s="828">
        <v>96620</v>
      </c>
      <c r="D2147" s="630" t="s">
        <v>5582</v>
      </c>
      <c r="E2147" s="630" t="s">
        <v>644</v>
      </c>
      <c r="F2147" s="829">
        <v>349.39</v>
      </c>
      <c r="G2147" s="830">
        <v>225.28</v>
      </c>
      <c r="H2147" s="831">
        <v>574.66999999999996</v>
      </c>
      <c r="I2147" s="846"/>
      <c r="J2147" s="846"/>
      <c r="K2147" s="846"/>
      <c r="L2147" s="846"/>
      <c r="M2147" s="846"/>
      <c r="N2147" s="846"/>
      <c r="O2147" s="846"/>
      <c r="P2147" s="846"/>
      <c r="Q2147" s="846"/>
      <c r="R2147" s="846"/>
      <c r="S2147" s="846"/>
      <c r="T2147" s="846"/>
    </row>
    <row r="2148" spans="2:20" ht="25.5" hidden="1">
      <c r="B2148" s="828" t="s">
        <v>6592</v>
      </c>
      <c r="C2148" s="828">
        <v>96621</v>
      </c>
      <c r="D2148" s="630" t="s">
        <v>2301</v>
      </c>
      <c r="E2148" s="630" t="s">
        <v>644</v>
      </c>
      <c r="F2148" s="829">
        <v>93.74</v>
      </c>
      <c r="G2148" s="830">
        <v>102.16</v>
      </c>
      <c r="H2148" s="831">
        <v>195.9</v>
      </c>
      <c r="I2148" s="846"/>
      <c r="J2148" s="846"/>
      <c r="K2148" s="846"/>
      <c r="L2148" s="846"/>
      <c r="M2148" s="846"/>
      <c r="N2148" s="846"/>
      <c r="O2148" s="846"/>
      <c r="P2148" s="846"/>
      <c r="Q2148" s="846"/>
      <c r="R2148" s="846"/>
      <c r="S2148" s="846"/>
      <c r="T2148" s="846"/>
    </row>
    <row r="2149" spans="2:20" ht="25.5" hidden="1">
      <c r="B2149" s="828" t="s">
        <v>6592</v>
      </c>
      <c r="C2149" s="828">
        <v>96622</v>
      </c>
      <c r="D2149" s="630" t="s">
        <v>5583</v>
      </c>
      <c r="E2149" s="630" t="s">
        <v>644</v>
      </c>
      <c r="F2149" s="829">
        <v>74.25</v>
      </c>
      <c r="G2149" s="830">
        <v>36.39</v>
      </c>
      <c r="H2149" s="831">
        <v>110.64</v>
      </c>
      <c r="I2149" s="846"/>
      <c r="J2149" s="846"/>
      <c r="K2149" s="846"/>
      <c r="L2149" s="846"/>
      <c r="M2149" s="846"/>
      <c r="N2149" s="846"/>
      <c r="O2149" s="846"/>
      <c r="P2149" s="846"/>
      <c r="Q2149" s="846"/>
      <c r="R2149" s="846"/>
      <c r="S2149" s="846"/>
      <c r="T2149" s="846"/>
    </row>
    <row r="2150" spans="2:20" ht="25.5" hidden="1">
      <c r="B2150" s="828" t="s">
        <v>6592</v>
      </c>
      <c r="C2150" s="828">
        <v>96623</v>
      </c>
      <c r="D2150" s="630" t="s">
        <v>2302</v>
      </c>
      <c r="E2150" s="630" t="s">
        <v>644</v>
      </c>
      <c r="F2150" s="829">
        <v>89.289999999999992</v>
      </c>
      <c r="G2150" s="830">
        <v>86.74</v>
      </c>
      <c r="H2150" s="831">
        <v>176.03</v>
      </c>
      <c r="I2150" s="846"/>
      <c r="J2150" s="846"/>
      <c r="K2150" s="846"/>
      <c r="L2150" s="846"/>
      <c r="M2150" s="846"/>
      <c r="N2150" s="846"/>
      <c r="O2150" s="846"/>
      <c r="P2150" s="846"/>
      <c r="Q2150" s="846"/>
      <c r="R2150" s="846"/>
      <c r="S2150" s="846"/>
      <c r="T2150" s="846"/>
    </row>
    <row r="2151" spans="2:20" ht="25.5" hidden="1">
      <c r="B2151" s="828" t="s">
        <v>6592</v>
      </c>
      <c r="C2151" s="828">
        <v>96624</v>
      </c>
      <c r="D2151" s="630" t="s">
        <v>5584</v>
      </c>
      <c r="E2151" s="630" t="s">
        <v>644</v>
      </c>
      <c r="F2151" s="829">
        <v>72.660000000000011</v>
      </c>
      <c r="G2151" s="830">
        <v>30.97</v>
      </c>
      <c r="H2151" s="831">
        <v>103.63</v>
      </c>
      <c r="I2151" s="846"/>
      <c r="J2151" s="846"/>
      <c r="K2151" s="846"/>
      <c r="L2151" s="846"/>
      <c r="M2151" s="846"/>
      <c r="N2151" s="846"/>
      <c r="O2151" s="846"/>
      <c r="P2151" s="846"/>
      <c r="Q2151" s="846"/>
      <c r="R2151" s="846"/>
      <c r="S2151" s="846"/>
      <c r="T2151" s="846"/>
    </row>
    <row r="2152" spans="2:20" hidden="1">
      <c r="B2152" s="828" t="s">
        <v>6592</v>
      </c>
      <c r="C2152" s="828">
        <v>97082</v>
      </c>
      <c r="D2152" s="630" t="s">
        <v>5585</v>
      </c>
      <c r="E2152" s="630" t="s">
        <v>644</v>
      </c>
      <c r="F2152" s="829">
        <v>18.91</v>
      </c>
      <c r="G2152" s="830">
        <v>49.94</v>
      </c>
      <c r="H2152" s="831">
        <v>68.849999999999994</v>
      </c>
      <c r="I2152" s="846"/>
      <c r="J2152" s="846"/>
      <c r="K2152" s="846"/>
      <c r="L2152" s="846"/>
      <c r="M2152" s="846"/>
      <c r="N2152" s="846"/>
      <c r="O2152" s="846"/>
      <c r="P2152" s="846"/>
      <c r="Q2152" s="846"/>
      <c r="R2152" s="846"/>
      <c r="S2152" s="846"/>
      <c r="T2152" s="846"/>
    </row>
    <row r="2153" spans="2:20" ht="38.25" hidden="1">
      <c r="B2153" s="828" t="s">
        <v>6592</v>
      </c>
      <c r="C2153" s="828">
        <v>97083</v>
      </c>
      <c r="D2153" s="630" t="s">
        <v>5586</v>
      </c>
      <c r="E2153" s="630" t="s">
        <v>649</v>
      </c>
      <c r="F2153" s="829">
        <v>1</v>
      </c>
      <c r="G2153" s="830">
        <v>2.69</v>
      </c>
      <c r="H2153" s="831">
        <v>3.69</v>
      </c>
      <c r="I2153" s="846"/>
      <c r="J2153" s="846"/>
      <c r="K2153" s="846"/>
      <c r="L2153" s="846"/>
      <c r="M2153" s="846"/>
      <c r="N2153" s="846"/>
      <c r="O2153" s="846"/>
      <c r="P2153" s="846"/>
      <c r="Q2153" s="846"/>
      <c r="R2153" s="846"/>
      <c r="S2153" s="846"/>
      <c r="T2153" s="846"/>
    </row>
    <row r="2154" spans="2:20" ht="38.25" hidden="1">
      <c r="B2154" s="828" t="s">
        <v>6592</v>
      </c>
      <c r="C2154" s="828">
        <v>97084</v>
      </c>
      <c r="D2154" s="630" t="s">
        <v>5587</v>
      </c>
      <c r="E2154" s="630" t="s">
        <v>649</v>
      </c>
      <c r="F2154" s="829">
        <v>0.18</v>
      </c>
      <c r="G2154" s="830">
        <v>0.57999999999999996</v>
      </c>
      <c r="H2154" s="831">
        <v>0.76</v>
      </c>
      <c r="I2154" s="846"/>
      <c r="J2154" s="846"/>
      <c r="K2154" s="846"/>
      <c r="L2154" s="846"/>
      <c r="M2154" s="846"/>
      <c r="N2154" s="846"/>
      <c r="O2154" s="846"/>
      <c r="P2154" s="846"/>
      <c r="Q2154" s="846"/>
      <c r="R2154" s="846"/>
      <c r="S2154" s="846"/>
      <c r="T2154" s="846"/>
    </row>
    <row r="2155" spans="2:20" ht="38.25" hidden="1">
      <c r="B2155" s="828" t="s">
        <v>6592</v>
      </c>
      <c r="C2155" s="828">
        <v>97086</v>
      </c>
      <c r="D2155" s="630" t="s">
        <v>5588</v>
      </c>
      <c r="E2155" s="630" t="s">
        <v>649</v>
      </c>
      <c r="F2155" s="829">
        <v>64.2</v>
      </c>
      <c r="G2155" s="830">
        <v>83.74</v>
      </c>
      <c r="H2155" s="831">
        <v>147.94</v>
      </c>
      <c r="I2155" s="846"/>
      <c r="J2155" s="846"/>
      <c r="K2155" s="846"/>
      <c r="L2155" s="846"/>
      <c r="M2155" s="846"/>
      <c r="N2155" s="846"/>
      <c r="O2155" s="846"/>
      <c r="P2155" s="846"/>
      <c r="Q2155" s="846"/>
      <c r="R2155" s="846"/>
      <c r="S2155" s="846"/>
      <c r="T2155" s="846"/>
    </row>
    <row r="2156" spans="2:20" ht="25.5" hidden="1">
      <c r="B2156" s="828" t="s">
        <v>6592</v>
      </c>
      <c r="C2156" s="828">
        <v>97087</v>
      </c>
      <c r="D2156" s="630" t="s">
        <v>5589</v>
      </c>
      <c r="E2156" s="630" t="s">
        <v>649</v>
      </c>
      <c r="F2156" s="829">
        <v>2.38</v>
      </c>
      <c r="G2156" s="830">
        <v>0.41</v>
      </c>
      <c r="H2156" s="831">
        <v>2.79</v>
      </c>
      <c r="I2156" s="846"/>
      <c r="J2156" s="846"/>
      <c r="K2156" s="846"/>
      <c r="L2156" s="846"/>
      <c r="M2156" s="846"/>
      <c r="N2156" s="846"/>
      <c r="O2156" s="846"/>
      <c r="P2156" s="846"/>
      <c r="Q2156" s="846"/>
      <c r="R2156" s="846"/>
      <c r="S2156" s="846"/>
      <c r="T2156" s="846"/>
    </row>
    <row r="2157" spans="2:20" ht="25.5" hidden="1">
      <c r="B2157" s="828" t="s">
        <v>6592</v>
      </c>
      <c r="C2157" s="828">
        <v>97088</v>
      </c>
      <c r="D2157" s="630" t="s">
        <v>5590</v>
      </c>
      <c r="E2157" s="630" t="s">
        <v>645</v>
      </c>
      <c r="F2157" s="829">
        <v>20.99</v>
      </c>
      <c r="G2157" s="830">
        <v>1.25</v>
      </c>
      <c r="H2157" s="831">
        <v>22.24</v>
      </c>
      <c r="I2157" s="846"/>
      <c r="J2157" s="846"/>
      <c r="K2157" s="846"/>
      <c r="L2157" s="846"/>
      <c r="M2157" s="846"/>
      <c r="N2157" s="846"/>
      <c r="O2157" s="846"/>
      <c r="P2157" s="846"/>
      <c r="Q2157" s="846"/>
      <c r="R2157" s="846"/>
      <c r="S2157" s="846"/>
      <c r="T2157" s="846"/>
    </row>
    <row r="2158" spans="2:20" ht="25.5" hidden="1">
      <c r="B2158" s="828" t="s">
        <v>6592</v>
      </c>
      <c r="C2158" s="828">
        <v>97089</v>
      </c>
      <c r="D2158" s="630" t="s">
        <v>5591</v>
      </c>
      <c r="E2158" s="630" t="s">
        <v>645</v>
      </c>
      <c r="F2158" s="829">
        <v>19.25</v>
      </c>
      <c r="G2158" s="830">
        <v>1.07</v>
      </c>
      <c r="H2158" s="831">
        <v>20.32</v>
      </c>
      <c r="I2158" s="846"/>
      <c r="J2158" s="846"/>
      <c r="K2158" s="846"/>
      <c r="L2158" s="846"/>
      <c r="M2158" s="846"/>
      <c r="N2158" s="846"/>
      <c r="O2158" s="846"/>
      <c r="P2158" s="846"/>
      <c r="Q2158" s="846"/>
      <c r="R2158" s="846"/>
      <c r="S2158" s="846"/>
      <c r="T2158" s="846"/>
    </row>
    <row r="2159" spans="2:20" ht="25.5" hidden="1">
      <c r="B2159" s="828" t="s">
        <v>6592</v>
      </c>
      <c r="C2159" s="828">
        <v>97090</v>
      </c>
      <c r="D2159" s="630" t="s">
        <v>5592</v>
      </c>
      <c r="E2159" s="630" t="s">
        <v>645</v>
      </c>
      <c r="F2159" s="829">
        <v>19.04</v>
      </c>
      <c r="G2159" s="830">
        <v>0.92</v>
      </c>
      <c r="H2159" s="831">
        <v>19.96</v>
      </c>
      <c r="I2159" s="846"/>
      <c r="J2159" s="846"/>
      <c r="K2159" s="846"/>
      <c r="L2159" s="846"/>
      <c r="M2159" s="846"/>
      <c r="N2159" s="846"/>
      <c r="O2159" s="846"/>
      <c r="P2159" s="846"/>
      <c r="Q2159" s="846"/>
      <c r="R2159" s="846"/>
      <c r="S2159" s="846"/>
      <c r="T2159" s="846"/>
    </row>
    <row r="2160" spans="2:20" ht="25.5" hidden="1">
      <c r="B2160" s="828" t="s">
        <v>6592</v>
      </c>
      <c r="C2160" s="828">
        <v>97091</v>
      </c>
      <c r="D2160" s="630" t="s">
        <v>5593</v>
      </c>
      <c r="E2160" s="630" t="s">
        <v>645</v>
      </c>
      <c r="F2160" s="829">
        <v>18.510000000000002</v>
      </c>
      <c r="G2160" s="830">
        <v>0.83</v>
      </c>
      <c r="H2160" s="831">
        <v>19.34</v>
      </c>
      <c r="I2160" s="846"/>
      <c r="J2160" s="846"/>
      <c r="K2160" s="846"/>
      <c r="L2160" s="846"/>
      <c r="M2160" s="846"/>
      <c r="N2160" s="846"/>
      <c r="O2160" s="846"/>
      <c r="P2160" s="846"/>
      <c r="Q2160" s="846"/>
      <c r="R2160" s="846"/>
      <c r="S2160" s="846"/>
      <c r="T2160" s="846"/>
    </row>
    <row r="2161" spans="2:20" ht="25.5" hidden="1">
      <c r="B2161" s="828" t="s">
        <v>6592</v>
      </c>
      <c r="C2161" s="828">
        <v>97092</v>
      </c>
      <c r="D2161" s="630" t="s">
        <v>5594</v>
      </c>
      <c r="E2161" s="630" t="s">
        <v>645</v>
      </c>
      <c r="F2161" s="829">
        <v>18.02</v>
      </c>
      <c r="G2161" s="830">
        <v>0.7</v>
      </c>
      <c r="H2161" s="831">
        <v>18.72</v>
      </c>
      <c r="I2161" s="846"/>
      <c r="J2161" s="846"/>
      <c r="K2161" s="846"/>
      <c r="L2161" s="846"/>
      <c r="M2161" s="846"/>
      <c r="N2161" s="846"/>
      <c r="O2161" s="846"/>
      <c r="P2161" s="846"/>
      <c r="Q2161" s="846"/>
      <c r="R2161" s="846"/>
      <c r="S2161" s="846"/>
      <c r="T2161" s="846"/>
    </row>
    <row r="2162" spans="2:20" ht="25.5" hidden="1">
      <c r="B2162" s="828" t="s">
        <v>6592</v>
      </c>
      <c r="C2162" s="828">
        <v>97093</v>
      </c>
      <c r="D2162" s="630" t="s">
        <v>5595</v>
      </c>
      <c r="E2162" s="630" t="s">
        <v>645</v>
      </c>
      <c r="F2162" s="829">
        <v>17.02</v>
      </c>
      <c r="G2162" s="830">
        <v>0.54</v>
      </c>
      <c r="H2162" s="831">
        <v>17.559999999999999</v>
      </c>
      <c r="I2162" s="846"/>
      <c r="J2162" s="846"/>
      <c r="K2162" s="846"/>
      <c r="L2162" s="846"/>
      <c r="M2162" s="846"/>
      <c r="N2162" s="846"/>
      <c r="O2162" s="846"/>
      <c r="P2162" s="846"/>
      <c r="Q2162" s="846"/>
      <c r="R2162" s="846"/>
      <c r="S2162" s="846"/>
      <c r="T2162" s="846"/>
    </row>
    <row r="2163" spans="2:20" ht="25.5" hidden="1">
      <c r="B2163" s="828" t="s">
        <v>6592</v>
      </c>
      <c r="C2163" s="828">
        <v>97096</v>
      </c>
      <c r="D2163" s="630" t="s">
        <v>5596</v>
      </c>
      <c r="E2163" s="630" t="s">
        <v>644</v>
      </c>
      <c r="F2163" s="829">
        <v>474.07</v>
      </c>
      <c r="G2163" s="830">
        <v>17.04</v>
      </c>
      <c r="H2163" s="831">
        <v>491.11</v>
      </c>
      <c r="I2163" s="846"/>
      <c r="J2163" s="846"/>
      <c r="K2163" s="846"/>
      <c r="L2163" s="846"/>
      <c r="M2163" s="846"/>
      <c r="N2163" s="846"/>
      <c r="O2163" s="846"/>
      <c r="P2163" s="846"/>
      <c r="Q2163" s="846"/>
      <c r="R2163" s="846"/>
      <c r="S2163" s="846"/>
      <c r="T2163" s="846"/>
    </row>
    <row r="2164" spans="2:20" ht="25.5" hidden="1">
      <c r="B2164" s="828" t="s">
        <v>6592</v>
      </c>
      <c r="C2164" s="828">
        <v>97097</v>
      </c>
      <c r="D2164" s="630" t="s">
        <v>5597</v>
      </c>
      <c r="E2164" s="630" t="s">
        <v>649</v>
      </c>
      <c r="F2164" s="829">
        <v>34.25</v>
      </c>
      <c r="G2164" s="830">
        <v>2.13</v>
      </c>
      <c r="H2164" s="831">
        <v>36.380000000000003</v>
      </c>
      <c r="I2164" s="846"/>
      <c r="J2164" s="846"/>
      <c r="K2164" s="846"/>
      <c r="L2164" s="846"/>
      <c r="M2164" s="846"/>
      <c r="N2164" s="846"/>
      <c r="O2164" s="846"/>
      <c r="P2164" s="846"/>
      <c r="Q2164" s="846"/>
      <c r="R2164" s="846"/>
      <c r="S2164" s="846"/>
      <c r="T2164" s="846"/>
    </row>
    <row r="2165" spans="2:20" ht="25.5" hidden="1">
      <c r="B2165" s="828" t="s">
        <v>6592</v>
      </c>
      <c r="C2165" s="828">
        <v>97101</v>
      </c>
      <c r="D2165" s="630" t="s">
        <v>5598</v>
      </c>
      <c r="E2165" s="630" t="s">
        <v>649</v>
      </c>
      <c r="F2165" s="829">
        <v>150.38000000000002</v>
      </c>
      <c r="G2165" s="830">
        <v>20.79</v>
      </c>
      <c r="H2165" s="831">
        <v>171.17</v>
      </c>
      <c r="I2165" s="846"/>
      <c r="J2165" s="846"/>
      <c r="K2165" s="846"/>
      <c r="L2165" s="846"/>
      <c r="M2165" s="846"/>
      <c r="N2165" s="846"/>
      <c r="O2165" s="846"/>
      <c r="P2165" s="846"/>
      <c r="Q2165" s="846"/>
      <c r="R2165" s="846"/>
      <c r="S2165" s="846"/>
      <c r="T2165" s="846"/>
    </row>
    <row r="2166" spans="2:20" ht="25.5" hidden="1">
      <c r="B2166" s="828" t="s">
        <v>6592</v>
      </c>
      <c r="C2166" s="828">
        <v>97102</v>
      </c>
      <c r="D2166" s="630" t="s">
        <v>5599</v>
      </c>
      <c r="E2166" s="630" t="s">
        <v>649</v>
      </c>
      <c r="F2166" s="829">
        <v>189.85000000000002</v>
      </c>
      <c r="G2166" s="830">
        <v>23.51</v>
      </c>
      <c r="H2166" s="831">
        <v>213.36</v>
      </c>
      <c r="I2166" s="846"/>
      <c r="J2166" s="846"/>
      <c r="K2166" s="846"/>
      <c r="L2166" s="846"/>
      <c r="M2166" s="846"/>
      <c r="N2166" s="846"/>
      <c r="O2166" s="846"/>
      <c r="P2166" s="846"/>
      <c r="Q2166" s="846"/>
      <c r="R2166" s="846"/>
      <c r="S2166" s="846"/>
      <c r="T2166" s="846"/>
    </row>
    <row r="2167" spans="2:20" ht="25.5" hidden="1">
      <c r="B2167" s="828" t="s">
        <v>6592</v>
      </c>
      <c r="C2167" s="828">
        <v>97103</v>
      </c>
      <c r="D2167" s="630" t="s">
        <v>5600</v>
      </c>
      <c r="E2167" s="630" t="s">
        <v>649</v>
      </c>
      <c r="F2167" s="829">
        <v>224.36</v>
      </c>
      <c r="G2167" s="830">
        <v>26.17</v>
      </c>
      <c r="H2167" s="831">
        <v>250.53</v>
      </c>
      <c r="I2167" s="846"/>
      <c r="J2167" s="846"/>
      <c r="K2167" s="846"/>
      <c r="L2167" s="846"/>
      <c r="M2167" s="846"/>
      <c r="N2167" s="846"/>
      <c r="O2167" s="846"/>
      <c r="P2167" s="846"/>
      <c r="Q2167" s="846"/>
      <c r="R2167" s="846"/>
      <c r="S2167" s="846"/>
      <c r="T2167" s="846"/>
    </row>
    <row r="2168" spans="2:20" ht="25.5" hidden="1">
      <c r="B2168" s="828" t="s">
        <v>6592</v>
      </c>
      <c r="C2168" s="828">
        <v>100322</v>
      </c>
      <c r="D2168" s="630" t="s">
        <v>5799</v>
      </c>
      <c r="E2168" s="630" t="s">
        <v>644</v>
      </c>
      <c r="F2168" s="829">
        <v>68.84</v>
      </c>
      <c r="G2168" s="830">
        <v>30.97</v>
      </c>
      <c r="H2168" s="831">
        <v>99.81</v>
      </c>
      <c r="I2168" s="846"/>
      <c r="J2168" s="846"/>
      <c r="K2168" s="846"/>
      <c r="L2168" s="846"/>
      <c r="M2168" s="846"/>
      <c r="N2168" s="846"/>
      <c r="O2168" s="846"/>
      <c r="P2168" s="846"/>
      <c r="Q2168" s="846"/>
      <c r="R2168" s="846"/>
      <c r="S2168" s="846"/>
      <c r="T2168" s="846"/>
    </row>
    <row r="2169" spans="2:20" ht="25.5" hidden="1">
      <c r="B2169" s="828" t="s">
        <v>6592</v>
      </c>
      <c r="C2169" s="828">
        <v>100323</v>
      </c>
      <c r="D2169" s="630" t="s">
        <v>5800</v>
      </c>
      <c r="E2169" s="630" t="s">
        <v>644</v>
      </c>
      <c r="F2169" s="829">
        <v>101.65</v>
      </c>
      <c r="G2169" s="830">
        <v>30.96</v>
      </c>
      <c r="H2169" s="831">
        <v>132.61000000000001</v>
      </c>
      <c r="I2169" s="846"/>
      <c r="J2169" s="846"/>
      <c r="K2169" s="846"/>
      <c r="L2169" s="846"/>
      <c r="M2169" s="846"/>
      <c r="N2169" s="846"/>
      <c r="O2169" s="846"/>
      <c r="P2169" s="846"/>
      <c r="Q2169" s="846"/>
      <c r="R2169" s="846"/>
      <c r="S2169" s="846"/>
      <c r="T2169" s="846"/>
    </row>
    <row r="2170" spans="2:20" ht="38.25" hidden="1">
      <c r="B2170" s="828" t="s">
        <v>6592</v>
      </c>
      <c r="C2170" s="828">
        <v>100324</v>
      </c>
      <c r="D2170" s="630" t="s">
        <v>5801</v>
      </c>
      <c r="E2170" s="630" t="s">
        <v>644</v>
      </c>
      <c r="F2170" s="829">
        <v>72.490000000000009</v>
      </c>
      <c r="G2170" s="830">
        <v>30.97</v>
      </c>
      <c r="H2170" s="831">
        <v>103.46</v>
      </c>
      <c r="I2170" s="846"/>
      <c r="J2170" s="846"/>
      <c r="K2170" s="846"/>
      <c r="L2170" s="846"/>
      <c r="M2170" s="846"/>
      <c r="N2170" s="846"/>
      <c r="O2170" s="846"/>
      <c r="P2170" s="846"/>
      <c r="Q2170" s="846"/>
      <c r="R2170" s="846"/>
      <c r="S2170" s="846"/>
      <c r="T2170" s="846"/>
    </row>
    <row r="2171" spans="2:20" ht="25.5" hidden="1">
      <c r="B2171" s="828" t="s">
        <v>6592</v>
      </c>
      <c r="C2171" s="828">
        <v>103072</v>
      </c>
      <c r="D2171" s="630" t="s">
        <v>6414</v>
      </c>
      <c r="E2171" s="630" t="s">
        <v>649</v>
      </c>
      <c r="F2171" s="829">
        <v>268.13</v>
      </c>
      <c r="G2171" s="830">
        <v>28.87</v>
      </c>
      <c r="H2171" s="831">
        <v>297</v>
      </c>
      <c r="I2171" s="846"/>
      <c r="J2171" s="846"/>
      <c r="K2171" s="846"/>
      <c r="L2171" s="846"/>
      <c r="M2171" s="846"/>
      <c r="N2171" s="846"/>
      <c r="O2171" s="846"/>
      <c r="P2171" s="846"/>
      <c r="Q2171" s="846"/>
      <c r="R2171" s="846"/>
      <c r="S2171" s="846"/>
      <c r="T2171" s="846"/>
    </row>
    <row r="2172" spans="2:20" ht="25.5" hidden="1">
      <c r="B2172" s="828" t="s">
        <v>6592</v>
      </c>
      <c r="C2172" s="828">
        <v>103073</v>
      </c>
      <c r="D2172" s="630" t="s">
        <v>6415</v>
      </c>
      <c r="E2172" s="630" t="s">
        <v>649</v>
      </c>
      <c r="F2172" s="829">
        <v>333.54</v>
      </c>
      <c r="G2172" s="830">
        <v>31.88</v>
      </c>
      <c r="H2172" s="831">
        <v>365.42</v>
      </c>
      <c r="I2172" s="846"/>
      <c r="J2172" s="846"/>
      <c r="K2172" s="846"/>
      <c r="L2172" s="846"/>
      <c r="M2172" s="846"/>
      <c r="N2172" s="846"/>
      <c r="O2172" s="846"/>
      <c r="P2172" s="846"/>
      <c r="Q2172" s="846"/>
      <c r="R2172" s="846"/>
      <c r="S2172" s="846"/>
      <c r="T2172" s="846"/>
    </row>
    <row r="2173" spans="2:20" ht="38.25" hidden="1">
      <c r="B2173" s="828" t="s">
        <v>6592</v>
      </c>
      <c r="C2173" s="828">
        <v>103074</v>
      </c>
      <c r="D2173" s="630" t="s">
        <v>6416</v>
      </c>
      <c r="E2173" s="630" t="s">
        <v>649</v>
      </c>
      <c r="F2173" s="829">
        <v>144.27000000000001</v>
      </c>
      <c r="G2173" s="830">
        <v>19.23</v>
      </c>
      <c r="H2173" s="831">
        <v>163.5</v>
      </c>
      <c r="I2173" s="846"/>
      <c r="J2173" s="846"/>
      <c r="K2173" s="846"/>
      <c r="L2173" s="846"/>
      <c r="M2173" s="846"/>
      <c r="N2173" s="846"/>
      <c r="O2173" s="846"/>
      <c r="P2173" s="846"/>
      <c r="Q2173" s="846"/>
      <c r="R2173" s="846"/>
      <c r="S2173" s="846"/>
      <c r="T2173" s="846"/>
    </row>
    <row r="2174" spans="2:20" ht="38.25" hidden="1">
      <c r="B2174" s="828" t="s">
        <v>6592</v>
      </c>
      <c r="C2174" s="828">
        <v>103075</v>
      </c>
      <c r="D2174" s="630" t="s">
        <v>6417</v>
      </c>
      <c r="E2174" s="630" t="s">
        <v>649</v>
      </c>
      <c r="F2174" s="829">
        <v>178.53</v>
      </c>
      <c r="G2174" s="830">
        <v>21.35</v>
      </c>
      <c r="H2174" s="831">
        <v>199.88</v>
      </c>
      <c r="I2174" s="846"/>
      <c r="J2174" s="846"/>
      <c r="K2174" s="846"/>
      <c r="L2174" s="846"/>
      <c r="M2174" s="846"/>
      <c r="N2174" s="846"/>
      <c r="O2174" s="846"/>
      <c r="P2174" s="846"/>
      <c r="Q2174" s="846"/>
      <c r="R2174" s="846"/>
      <c r="S2174" s="846"/>
      <c r="T2174" s="846"/>
    </row>
    <row r="2175" spans="2:20" ht="25.5" hidden="1">
      <c r="B2175" s="828" t="s">
        <v>6592</v>
      </c>
      <c r="C2175" s="828">
        <v>103076</v>
      </c>
      <c r="D2175" s="630" t="s">
        <v>6418</v>
      </c>
      <c r="E2175" s="630" t="s">
        <v>649</v>
      </c>
      <c r="F2175" s="829">
        <v>132.55000000000001</v>
      </c>
      <c r="G2175" s="830">
        <v>18.38</v>
      </c>
      <c r="H2175" s="831">
        <v>150.93</v>
      </c>
      <c r="I2175" s="846"/>
      <c r="J2175" s="846"/>
      <c r="K2175" s="846"/>
      <c r="L2175" s="846"/>
      <c r="M2175" s="846"/>
      <c r="N2175" s="846"/>
      <c r="O2175" s="846"/>
      <c r="P2175" s="846"/>
      <c r="Q2175" s="846"/>
      <c r="R2175" s="846"/>
      <c r="S2175" s="846"/>
      <c r="T2175" s="846"/>
    </row>
    <row r="2176" spans="2:20" ht="25.5" hidden="1">
      <c r="B2176" s="828" t="s">
        <v>6592</v>
      </c>
      <c r="C2176" s="828">
        <v>103077</v>
      </c>
      <c r="D2176" s="630" t="s">
        <v>6419</v>
      </c>
      <c r="E2176" s="630" t="s">
        <v>649</v>
      </c>
      <c r="F2176" s="829">
        <v>172.01000000000002</v>
      </c>
      <c r="G2176" s="830">
        <v>21.1</v>
      </c>
      <c r="H2176" s="831">
        <v>193.11</v>
      </c>
      <c r="I2176" s="846"/>
      <c r="J2176" s="846"/>
      <c r="K2176" s="846"/>
      <c r="L2176" s="846"/>
      <c r="M2176" s="846"/>
      <c r="N2176" s="846"/>
      <c r="O2176" s="846"/>
      <c r="P2176" s="846"/>
      <c r="Q2176" s="846"/>
      <c r="R2176" s="846"/>
      <c r="S2176" s="846"/>
      <c r="T2176" s="846"/>
    </row>
    <row r="2177" spans="2:20" ht="25.5" hidden="1">
      <c r="B2177" s="828" t="s">
        <v>6592</v>
      </c>
      <c r="C2177" s="828">
        <v>103078</v>
      </c>
      <c r="D2177" s="630" t="s">
        <v>6420</v>
      </c>
      <c r="E2177" s="630" t="s">
        <v>649</v>
      </c>
      <c r="F2177" s="829">
        <v>206.53</v>
      </c>
      <c r="G2177" s="830">
        <v>23.75</v>
      </c>
      <c r="H2177" s="831">
        <v>230.28</v>
      </c>
      <c r="I2177" s="846"/>
      <c r="J2177" s="846"/>
      <c r="K2177" s="846"/>
      <c r="L2177" s="846"/>
      <c r="M2177" s="846"/>
      <c r="N2177" s="846"/>
      <c r="O2177" s="846"/>
      <c r="P2177" s="846"/>
      <c r="Q2177" s="846"/>
      <c r="R2177" s="846"/>
      <c r="S2177" s="846"/>
      <c r="T2177" s="846"/>
    </row>
    <row r="2178" spans="2:20" ht="25.5" hidden="1">
      <c r="B2178" s="828" t="s">
        <v>6592</v>
      </c>
      <c r="C2178" s="828">
        <v>103079</v>
      </c>
      <c r="D2178" s="630" t="s">
        <v>6421</v>
      </c>
      <c r="E2178" s="630" t="s">
        <v>649</v>
      </c>
      <c r="F2178" s="829">
        <v>250.3</v>
      </c>
      <c r="G2178" s="830">
        <v>26.45</v>
      </c>
      <c r="H2178" s="831">
        <v>276.75</v>
      </c>
      <c r="I2178" s="846"/>
      <c r="J2178" s="846"/>
      <c r="K2178" s="846"/>
      <c r="L2178" s="846"/>
      <c r="M2178" s="846"/>
      <c r="N2178" s="846"/>
      <c r="O2178" s="846"/>
      <c r="P2178" s="846"/>
      <c r="Q2178" s="846"/>
      <c r="R2178" s="846"/>
      <c r="S2178" s="846"/>
      <c r="T2178" s="846"/>
    </row>
    <row r="2179" spans="2:20" ht="25.5" hidden="1">
      <c r="B2179" s="828" t="s">
        <v>6592</v>
      </c>
      <c r="C2179" s="828">
        <v>103080</v>
      </c>
      <c r="D2179" s="630" t="s">
        <v>6422</v>
      </c>
      <c r="E2179" s="630" t="s">
        <v>649</v>
      </c>
      <c r="F2179" s="829">
        <v>315.71000000000004</v>
      </c>
      <c r="G2179" s="830">
        <v>29.46</v>
      </c>
      <c r="H2179" s="831">
        <v>345.17</v>
      </c>
      <c r="I2179" s="846"/>
      <c r="J2179" s="846"/>
      <c r="K2179" s="846"/>
      <c r="L2179" s="846"/>
      <c r="M2179" s="846"/>
      <c r="N2179" s="846"/>
      <c r="O2179" s="846"/>
      <c r="P2179" s="846"/>
      <c r="Q2179" s="846"/>
      <c r="R2179" s="846"/>
      <c r="S2179" s="846"/>
      <c r="T2179" s="846"/>
    </row>
    <row r="2180" spans="2:20" ht="25.5" hidden="1">
      <c r="B2180" s="828" t="s">
        <v>6567</v>
      </c>
      <c r="C2180" s="828">
        <v>92263</v>
      </c>
      <c r="D2180" s="630" t="s">
        <v>3963</v>
      </c>
      <c r="E2180" s="630" t="s">
        <v>649</v>
      </c>
      <c r="F2180" s="829">
        <v>115.32999999999998</v>
      </c>
      <c r="G2180" s="830">
        <v>40.840000000000003</v>
      </c>
      <c r="H2180" s="831">
        <v>156.16999999999999</v>
      </c>
      <c r="I2180" s="846"/>
      <c r="J2180" s="846"/>
      <c r="K2180" s="846"/>
      <c r="L2180" s="846"/>
      <c r="M2180" s="846"/>
      <c r="N2180" s="846"/>
      <c r="O2180" s="846"/>
      <c r="P2180" s="846"/>
      <c r="Q2180" s="846"/>
      <c r="R2180" s="846"/>
      <c r="S2180" s="846"/>
      <c r="T2180" s="846"/>
    </row>
    <row r="2181" spans="2:20" ht="25.5" hidden="1">
      <c r="B2181" s="828" t="s">
        <v>6567</v>
      </c>
      <c r="C2181" s="828">
        <v>92264</v>
      </c>
      <c r="D2181" s="630" t="s">
        <v>3964</v>
      </c>
      <c r="E2181" s="630" t="s">
        <v>649</v>
      </c>
      <c r="F2181" s="829">
        <v>157.76</v>
      </c>
      <c r="G2181" s="830">
        <v>40.83</v>
      </c>
      <c r="H2181" s="831">
        <v>198.59</v>
      </c>
      <c r="I2181" s="846"/>
      <c r="J2181" s="846"/>
      <c r="K2181" s="846"/>
      <c r="L2181" s="846"/>
      <c r="M2181" s="846"/>
      <c r="N2181" s="846"/>
      <c r="O2181" s="846"/>
      <c r="P2181" s="846"/>
      <c r="Q2181" s="846"/>
      <c r="R2181" s="846"/>
      <c r="S2181" s="846"/>
      <c r="T2181" s="846"/>
    </row>
    <row r="2182" spans="2:20" ht="25.5" hidden="1">
      <c r="B2182" s="828" t="s">
        <v>6567</v>
      </c>
      <c r="C2182" s="828">
        <v>92265</v>
      </c>
      <c r="D2182" s="630" t="s">
        <v>3965</v>
      </c>
      <c r="E2182" s="630" t="s">
        <v>649</v>
      </c>
      <c r="F2182" s="829">
        <v>82.84</v>
      </c>
      <c r="G2182" s="830">
        <v>32.71</v>
      </c>
      <c r="H2182" s="831">
        <v>115.55</v>
      </c>
      <c r="I2182" s="846"/>
      <c r="J2182" s="846"/>
      <c r="K2182" s="846"/>
      <c r="L2182" s="846"/>
      <c r="M2182" s="846"/>
      <c r="N2182" s="846"/>
      <c r="O2182" s="846"/>
      <c r="P2182" s="846"/>
      <c r="Q2182" s="846"/>
      <c r="R2182" s="846"/>
      <c r="S2182" s="846"/>
      <c r="T2182" s="846"/>
    </row>
    <row r="2183" spans="2:20" ht="25.5" hidden="1">
      <c r="B2183" s="828" t="s">
        <v>6567</v>
      </c>
      <c r="C2183" s="828">
        <v>92266</v>
      </c>
      <c r="D2183" s="630" t="s">
        <v>3966</v>
      </c>
      <c r="E2183" s="630" t="s">
        <v>649</v>
      </c>
      <c r="F2183" s="829">
        <v>119.24000000000001</v>
      </c>
      <c r="G2183" s="830">
        <v>32.700000000000003</v>
      </c>
      <c r="H2183" s="831">
        <v>151.94</v>
      </c>
      <c r="I2183" s="846"/>
      <c r="J2183" s="846"/>
      <c r="K2183" s="846"/>
      <c r="L2183" s="846"/>
      <c r="M2183" s="846"/>
      <c r="N2183" s="846"/>
      <c r="O2183" s="846"/>
      <c r="P2183" s="846"/>
      <c r="Q2183" s="846"/>
      <c r="R2183" s="846"/>
      <c r="S2183" s="846"/>
      <c r="T2183" s="846"/>
    </row>
    <row r="2184" spans="2:20" ht="25.5" hidden="1">
      <c r="B2184" s="828" t="s">
        <v>6567</v>
      </c>
      <c r="C2184" s="828">
        <v>92267</v>
      </c>
      <c r="D2184" s="630" t="s">
        <v>3967</v>
      </c>
      <c r="E2184" s="630" t="s">
        <v>649</v>
      </c>
      <c r="F2184" s="829">
        <v>48.3</v>
      </c>
      <c r="G2184" s="830">
        <v>0.84</v>
      </c>
      <c r="H2184" s="831">
        <v>49.14</v>
      </c>
      <c r="I2184" s="846"/>
      <c r="J2184" s="846"/>
      <c r="K2184" s="846"/>
      <c r="L2184" s="846"/>
      <c r="M2184" s="846"/>
      <c r="N2184" s="846"/>
      <c r="O2184" s="846"/>
      <c r="P2184" s="846"/>
      <c r="Q2184" s="846"/>
      <c r="R2184" s="846"/>
      <c r="S2184" s="846"/>
      <c r="T2184" s="846"/>
    </row>
    <row r="2185" spans="2:20" ht="25.5" hidden="1">
      <c r="B2185" s="828" t="s">
        <v>6567</v>
      </c>
      <c r="C2185" s="828">
        <v>92268</v>
      </c>
      <c r="D2185" s="630" t="s">
        <v>3968</v>
      </c>
      <c r="E2185" s="630" t="s">
        <v>649</v>
      </c>
      <c r="F2185" s="829">
        <v>81.64</v>
      </c>
      <c r="G2185" s="830">
        <v>0.84</v>
      </c>
      <c r="H2185" s="831">
        <v>82.48</v>
      </c>
      <c r="I2185" s="846"/>
      <c r="J2185" s="846"/>
      <c r="K2185" s="846"/>
      <c r="L2185" s="846"/>
      <c r="M2185" s="846"/>
      <c r="N2185" s="846"/>
      <c r="O2185" s="846"/>
      <c r="P2185" s="846"/>
      <c r="Q2185" s="846"/>
      <c r="R2185" s="846"/>
      <c r="S2185" s="846"/>
      <c r="T2185" s="846"/>
    </row>
    <row r="2186" spans="2:20" ht="25.5" hidden="1">
      <c r="B2186" s="828" t="s">
        <v>6567</v>
      </c>
      <c r="C2186" s="828">
        <v>92269</v>
      </c>
      <c r="D2186" s="630" t="s">
        <v>3969</v>
      </c>
      <c r="E2186" s="630" t="s">
        <v>649</v>
      </c>
      <c r="F2186" s="829">
        <v>251.97</v>
      </c>
      <c r="G2186" s="830">
        <v>23.38</v>
      </c>
      <c r="H2186" s="831">
        <v>275.35000000000002</v>
      </c>
      <c r="I2186" s="846"/>
      <c r="J2186" s="846"/>
      <c r="K2186" s="846"/>
      <c r="L2186" s="846"/>
      <c r="M2186" s="846"/>
      <c r="N2186" s="846"/>
      <c r="O2186" s="846"/>
      <c r="P2186" s="846"/>
      <c r="Q2186" s="846"/>
      <c r="R2186" s="846"/>
      <c r="S2186" s="846"/>
      <c r="T2186" s="846"/>
    </row>
    <row r="2187" spans="2:20" ht="25.5" hidden="1">
      <c r="B2187" s="828" t="s">
        <v>6567</v>
      </c>
      <c r="C2187" s="828">
        <v>92270</v>
      </c>
      <c r="D2187" s="630" t="s">
        <v>3970</v>
      </c>
      <c r="E2187" s="630" t="s">
        <v>649</v>
      </c>
      <c r="F2187" s="829">
        <v>179.69</v>
      </c>
      <c r="G2187" s="830">
        <v>29.2</v>
      </c>
      <c r="H2187" s="831">
        <v>208.89</v>
      </c>
      <c r="I2187" s="846"/>
      <c r="J2187" s="846"/>
      <c r="K2187" s="846"/>
      <c r="L2187" s="846"/>
      <c r="M2187" s="846"/>
      <c r="N2187" s="846"/>
      <c r="O2187" s="846"/>
      <c r="P2187" s="846"/>
      <c r="Q2187" s="846"/>
      <c r="R2187" s="846"/>
      <c r="S2187" s="846"/>
      <c r="T2187" s="846"/>
    </row>
    <row r="2188" spans="2:20" ht="25.5" hidden="1">
      <c r="B2188" s="828" t="s">
        <v>6567</v>
      </c>
      <c r="C2188" s="828">
        <v>92271</v>
      </c>
      <c r="D2188" s="630" t="s">
        <v>3971</v>
      </c>
      <c r="E2188" s="630" t="s">
        <v>649</v>
      </c>
      <c r="F2188" s="829">
        <v>137.66999999999999</v>
      </c>
      <c r="G2188" s="830">
        <v>0.43</v>
      </c>
      <c r="H2188" s="831">
        <v>138.1</v>
      </c>
      <c r="I2188" s="846"/>
      <c r="J2188" s="846"/>
      <c r="K2188" s="846"/>
      <c r="L2188" s="846"/>
      <c r="M2188" s="846"/>
      <c r="N2188" s="846"/>
      <c r="O2188" s="846"/>
      <c r="P2188" s="846"/>
      <c r="Q2188" s="846"/>
      <c r="R2188" s="846"/>
      <c r="S2188" s="846"/>
      <c r="T2188" s="846"/>
    </row>
    <row r="2189" spans="2:20" ht="25.5" hidden="1">
      <c r="B2189" s="828" t="s">
        <v>6567</v>
      </c>
      <c r="C2189" s="828">
        <v>92272</v>
      </c>
      <c r="D2189" s="630" t="s">
        <v>3972</v>
      </c>
      <c r="E2189" s="630" t="s">
        <v>648</v>
      </c>
      <c r="F2189" s="829">
        <v>28.52</v>
      </c>
      <c r="G2189" s="830">
        <v>5.23</v>
      </c>
      <c r="H2189" s="831">
        <v>33.75</v>
      </c>
      <c r="I2189" s="846"/>
      <c r="J2189" s="846"/>
      <c r="K2189" s="846"/>
      <c r="L2189" s="846"/>
      <c r="M2189" s="846"/>
      <c r="N2189" s="846"/>
      <c r="O2189" s="846"/>
      <c r="P2189" s="846"/>
      <c r="Q2189" s="846"/>
      <c r="R2189" s="846"/>
      <c r="S2189" s="846"/>
      <c r="T2189" s="846"/>
    </row>
    <row r="2190" spans="2:20" ht="25.5" hidden="1">
      <c r="B2190" s="828" t="s">
        <v>6567</v>
      </c>
      <c r="C2190" s="828">
        <v>92273</v>
      </c>
      <c r="D2190" s="630" t="s">
        <v>3973</v>
      </c>
      <c r="E2190" s="630" t="s">
        <v>648</v>
      </c>
      <c r="F2190" s="829">
        <v>10.54</v>
      </c>
      <c r="G2190" s="830">
        <v>3.48</v>
      </c>
      <c r="H2190" s="831">
        <v>14.02</v>
      </c>
      <c r="I2190" s="846"/>
      <c r="J2190" s="846"/>
      <c r="K2190" s="846"/>
      <c r="L2190" s="846"/>
      <c r="M2190" s="846"/>
      <c r="N2190" s="846"/>
      <c r="O2190" s="846"/>
      <c r="P2190" s="846"/>
      <c r="Q2190" s="846"/>
      <c r="R2190" s="846"/>
      <c r="S2190" s="846"/>
      <c r="T2190" s="846"/>
    </row>
    <row r="2191" spans="2:20" ht="38.25" hidden="1">
      <c r="B2191" s="828" t="s">
        <v>6567</v>
      </c>
      <c r="C2191" s="828">
        <v>92409</v>
      </c>
      <c r="D2191" s="630" t="s">
        <v>3974</v>
      </c>
      <c r="E2191" s="630" t="s">
        <v>649</v>
      </c>
      <c r="F2191" s="829">
        <v>281.08999999999997</v>
      </c>
      <c r="G2191" s="830">
        <v>107.18</v>
      </c>
      <c r="H2191" s="831">
        <v>388.27</v>
      </c>
      <c r="I2191" s="846"/>
      <c r="J2191" s="846"/>
      <c r="K2191" s="846"/>
      <c r="L2191" s="846"/>
      <c r="M2191" s="846"/>
      <c r="N2191" s="846"/>
      <c r="O2191" s="846"/>
      <c r="P2191" s="846"/>
      <c r="Q2191" s="846"/>
      <c r="R2191" s="846"/>
      <c r="S2191" s="846"/>
      <c r="T2191" s="846"/>
    </row>
    <row r="2192" spans="2:20" ht="38.25" hidden="1">
      <c r="B2192" s="828" t="s">
        <v>6567</v>
      </c>
      <c r="C2192" s="828">
        <v>92411</v>
      </c>
      <c r="D2192" s="630" t="s">
        <v>3975</v>
      </c>
      <c r="E2192" s="630" t="s">
        <v>649</v>
      </c>
      <c r="F2192" s="829">
        <v>154.89000000000001</v>
      </c>
      <c r="G2192" s="830">
        <v>85.94</v>
      </c>
      <c r="H2192" s="831">
        <v>240.83</v>
      </c>
      <c r="I2192" s="846"/>
      <c r="J2192" s="846"/>
      <c r="K2192" s="846"/>
      <c r="L2192" s="846"/>
      <c r="M2192" s="846"/>
      <c r="N2192" s="846"/>
      <c r="O2192" s="846"/>
      <c r="P2192" s="846"/>
      <c r="Q2192" s="846"/>
      <c r="R2192" s="846"/>
      <c r="S2192" s="846"/>
      <c r="T2192" s="846"/>
    </row>
    <row r="2193" spans="2:20" ht="38.25" hidden="1">
      <c r="B2193" s="828" t="s">
        <v>6567</v>
      </c>
      <c r="C2193" s="828">
        <v>92413</v>
      </c>
      <c r="D2193" s="630" t="s">
        <v>3976</v>
      </c>
      <c r="E2193" s="630" t="s">
        <v>649</v>
      </c>
      <c r="F2193" s="829">
        <v>85.88000000000001</v>
      </c>
      <c r="G2193" s="830">
        <v>63.01</v>
      </c>
      <c r="H2193" s="831">
        <v>148.88999999999999</v>
      </c>
      <c r="I2193" s="846"/>
      <c r="J2193" s="846"/>
      <c r="K2193" s="846"/>
      <c r="L2193" s="846"/>
      <c r="M2193" s="846"/>
      <c r="N2193" s="846"/>
      <c r="O2193" s="846"/>
      <c r="P2193" s="846"/>
      <c r="Q2193" s="846"/>
      <c r="R2193" s="846"/>
      <c r="S2193" s="846"/>
      <c r="T2193" s="846"/>
    </row>
    <row r="2194" spans="2:20" ht="38.25" hidden="1">
      <c r="B2194" s="828" t="s">
        <v>6567</v>
      </c>
      <c r="C2194" s="828">
        <v>92415</v>
      </c>
      <c r="D2194" s="630" t="s">
        <v>3977</v>
      </c>
      <c r="E2194" s="630" t="s">
        <v>649</v>
      </c>
      <c r="F2194" s="829">
        <v>82.61</v>
      </c>
      <c r="G2194" s="830">
        <v>52.48</v>
      </c>
      <c r="H2194" s="831">
        <v>135.09</v>
      </c>
      <c r="I2194" s="846"/>
      <c r="J2194" s="846"/>
      <c r="K2194" s="846"/>
      <c r="L2194" s="846"/>
      <c r="M2194" s="846"/>
      <c r="N2194" s="846"/>
      <c r="O2194" s="846"/>
      <c r="P2194" s="846"/>
      <c r="Q2194" s="846"/>
      <c r="R2194" s="846"/>
      <c r="S2194" s="846"/>
      <c r="T2194" s="846"/>
    </row>
    <row r="2195" spans="2:20" ht="38.25" hidden="1">
      <c r="B2195" s="828" t="s">
        <v>6567</v>
      </c>
      <c r="C2195" s="828">
        <v>92417</v>
      </c>
      <c r="D2195" s="630" t="s">
        <v>3978</v>
      </c>
      <c r="E2195" s="630" t="s">
        <v>649</v>
      </c>
      <c r="F2195" s="829">
        <v>88.210000000000008</v>
      </c>
      <c r="G2195" s="830">
        <v>72.53</v>
      </c>
      <c r="H2195" s="831">
        <v>160.74</v>
      </c>
      <c r="I2195" s="846"/>
      <c r="J2195" s="846"/>
      <c r="K2195" s="846"/>
      <c r="L2195" s="846"/>
      <c r="M2195" s="846"/>
      <c r="N2195" s="846"/>
      <c r="O2195" s="846"/>
      <c r="P2195" s="846"/>
      <c r="Q2195" s="846"/>
      <c r="R2195" s="846"/>
      <c r="S2195" s="846"/>
      <c r="T2195" s="846"/>
    </row>
    <row r="2196" spans="2:20" ht="38.25" hidden="1">
      <c r="B2196" s="828" t="s">
        <v>6567</v>
      </c>
      <c r="C2196" s="828">
        <v>92419</v>
      </c>
      <c r="D2196" s="630" t="s">
        <v>3979</v>
      </c>
      <c r="E2196" s="630" t="s">
        <v>649</v>
      </c>
      <c r="F2196" s="829">
        <v>50.4</v>
      </c>
      <c r="G2196" s="830">
        <v>34.65</v>
      </c>
      <c r="H2196" s="831">
        <v>85.05</v>
      </c>
      <c r="I2196" s="846"/>
      <c r="J2196" s="846"/>
      <c r="K2196" s="846"/>
      <c r="L2196" s="846"/>
      <c r="M2196" s="846"/>
      <c r="N2196" s="846"/>
      <c r="O2196" s="846"/>
      <c r="P2196" s="846"/>
      <c r="Q2196" s="846"/>
      <c r="R2196" s="846"/>
      <c r="S2196" s="846"/>
      <c r="T2196" s="846"/>
    </row>
    <row r="2197" spans="2:20" ht="38.25" hidden="1">
      <c r="B2197" s="828" t="s">
        <v>6567</v>
      </c>
      <c r="C2197" s="828">
        <v>92421</v>
      </c>
      <c r="D2197" s="630" t="s">
        <v>3980</v>
      </c>
      <c r="E2197" s="630" t="s">
        <v>649</v>
      </c>
      <c r="F2197" s="829">
        <v>54.66</v>
      </c>
      <c r="G2197" s="830">
        <v>50.06</v>
      </c>
      <c r="H2197" s="831">
        <v>104.72</v>
      </c>
      <c r="I2197" s="846"/>
      <c r="J2197" s="846"/>
      <c r="K2197" s="846"/>
      <c r="L2197" s="846"/>
      <c r="M2197" s="846"/>
      <c r="N2197" s="846"/>
      <c r="O2197" s="846"/>
      <c r="P2197" s="846"/>
      <c r="Q2197" s="846"/>
      <c r="R2197" s="846"/>
      <c r="S2197" s="846"/>
      <c r="T2197" s="846"/>
    </row>
    <row r="2198" spans="2:20" ht="38.25" hidden="1">
      <c r="B2198" s="828" t="s">
        <v>6567</v>
      </c>
      <c r="C2198" s="828">
        <v>92423</v>
      </c>
      <c r="D2198" s="630" t="s">
        <v>3981</v>
      </c>
      <c r="E2198" s="630" t="s">
        <v>649</v>
      </c>
      <c r="F2198" s="829">
        <v>40.86</v>
      </c>
      <c r="G2198" s="830">
        <v>28.45</v>
      </c>
      <c r="H2198" s="831">
        <v>69.31</v>
      </c>
      <c r="I2198" s="846"/>
      <c r="J2198" s="846"/>
      <c r="K2198" s="846"/>
      <c r="L2198" s="846"/>
      <c r="M2198" s="846"/>
      <c r="N2198" s="846"/>
      <c r="O2198" s="846"/>
      <c r="P2198" s="846"/>
      <c r="Q2198" s="846"/>
      <c r="R2198" s="846"/>
      <c r="S2198" s="846"/>
      <c r="T2198" s="846"/>
    </row>
    <row r="2199" spans="2:20" ht="38.25" hidden="1">
      <c r="B2199" s="828" t="s">
        <v>6567</v>
      </c>
      <c r="C2199" s="828">
        <v>92425</v>
      </c>
      <c r="D2199" s="630" t="s">
        <v>3982</v>
      </c>
      <c r="E2199" s="630" t="s">
        <v>649</v>
      </c>
      <c r="F2199" s="829">
        <v>44.58</v>
      </c>
      <c r="G2199" s="830">
        <v>41.84</v>
      </c>
      <c r="H2199" s="831">
        <v>86.42</v>
      </c>
      <c r="I2199" s="846"/>
      <c r="J2199" s="846"/>
      <c r="K2199" s="846"/>
      <c r="L2199" s="846"/>
      <c r="M2199" s="846"/>
      <c r="N2199" s="846"/>
      <c r="O2199" s="846"/>
      <c r="P2199" s="846"/>
      <c r="Q2199" s="846"/>
      <c r="R2199" s="846"/>
      <c r="S2199" s="846"/>
      <c r="T2199" s="846"/>
    </row>
    <row r="2200" spans="2:20" ht="38.25" hidden="1">
      <c r="B2200" s="828" t="s">
        <v>6567</v>
      </c>
      <c r="C2200" s="828">
        <v>92427</v>
      </c>
      <c r="D2200" s="630" t="s">
        <v>3983</v>
      </c>
      <c r="E2200" s="630" t="s">
        <v>649</v>
      </c>
      <c r="F2200" s="829">
        <v>36.059999999999995</v>
      </c>
      <c r="G2200" s="830">
        <v>25.3</v>
      </c>
      <c r="H2200" s="831">
        <v>61.36</v>
      </c>
      <c r="I2200" s="846"/>
      <c r="J2200" s="846"/>
      <c r="K2200" s="846"/>
      <c r="L2200" s="846"/>
      <c r="M2200" s="846"/>
      <c r="N2200" s="846"/>
      <c r="O2200" s="846"/>
      <c r="P2200" s="846"/>
      <c r="Q2200" s="846"/>
      <c r="R2200" s="846"/>
      <c r="S2200" s="846"/>
      <c r="T2200" s="846"/>
    </row>
    <row r="2201" spans="2:20" ht="38.25" hidden="1">
      <c r="B2201" s="828" t="s">
        <v>6567</v>
      </c>
      <c r="C2201" s="828">
        <v>92429</v>
      </c>
      <c r="D2201" s="630" t="s">
        <v>3984</v>
      </c>
      <c r="E2201" s="630" t="s">
        <v>649</v>
      </c>
      <c r="F2201" s="829">
        <v>39.51</v>
      </c>
      <c r="G2201" s="830">
        <v>37.700000000000003</v>
      </c>
      <c r="H2201" s="831">
        <v>77.209999999999994</v>
      </c>
      <c r="I2201" s="846"/>
      <c r="J2201" s="846"/>
      <c r="K2201" s="846"/>
      <c r="L2201" s="846"/>
      <c r="M2201" s="846"/>
      <c r="N2201" s="846"/>
      <c r="O2201" s="846"/>
      <c r="P2201" s="846"/>
      <c r="Q2201" s="846"/>
      <c r="R2201" s="846"/>
      <c r="S2201" s="846"/>
      <c r="T2201" s="846"/>
    </row>
    <row r="2202" spans="2:20" ht="38.25" hidden="1">
      <c r="B2202" s="828" t="s">
        <v>6567</v>
      </c>
      <c r="C2202" s="828">
        <v>92431</v>
      </c>
      <c r="D2202" s="630" t="s">
        <v>3985</v>
      </c>
      <c r="E2202" s="630" t="s">
        <v>649</v>
      </c>
      <c r="F2202" s="829">
        <v>35</v>
      </c>
      <c r="G2202" s="830">
        <v>22.55</v>
      </c>
      <c r="H2202" s="831">
        <v>57.55</v>
      </c>
      <c r="I2202" s="846"/>
      <c r="J2202" s="846"/>
      <c r="K2202" s="846"/>
      <c r="L2202" s="846"/>
      <c r="M2202" s="846"/>
      <c r="N2202" s="846"/>
      <c r="O2202" s="846"/>
      <c r="P2202" s="846"/>
      <c r="Q2202" s="846"/>
      <c r="R2202" s="846"/>
      <c r="S2202" s="846"/>
      <c r="T2202" s="846"/>
    </row>
    <row r="2203" spans="2:20" ht="38.25" hidden="1">
      <c r="B2203" s="828" t="s">
        <v>6567</v>
      </c>
      <c r="C2203" s="828">
        <v>92433</v>
      </c>
      <c r="D2203" s="630" t="s">
        <v>3986</v>
      </c>
      <c r="E2203" s="630" t="s">
        <v>649</v>
      </c>
      <c r="F2203" s="829">
        <v>38.28</v>
      </c>
      <c r="G2203" s="830">
        <v>34.32</v>
      </c>
      <c r="H2203" s="831">
        <v>72.599999999999994</v>
      </c>
      <c r="I2203" s="846"/>
      <c r="J2203" s="846"/>
      <c r="K2203" s="846"/>
      <c r="L2203" s="846"/>
      <c r="M2203" s="846"/>
      <c r="N2203" s="846"/>
      <c r="O2203" s="846"/>
      <c r="P2203" s="846"/>
      <c r="Q2203" s="846"/>
      <c r="R2203" s="846"/>
      <c r="S2203" s="846"/>
      <c r="T2203" s="846"/>
    </row>
    <row r="2204" spans="2:20" ht="38.25" hidden="1">
      <c r="B2204" s="828" t="s">
        <v>6567</v>
      </c>
      <c r="C2204" s="828">
        <v>92435</v>
      </c>
      <c r="D2204" s="630" t="s">
        <v>3987</v>
      </c>
      <c r="E2204" s="630" t="s">
        <v>649</v>
      </c>
      <c r="F2204" s="829">
        <v>33.07</v>
      </c>
      <c r="G2204" s="830">
        <v>21.49</v>
      </c>
      <c r="H2204" s="831">
        <v>54.56</v>
      </c>
      <c r="I2204" s="846"/>
      <c r="J2204" s="846"/>
      <c r="K2204" s="846"/>
      <c r="L2204" s="846"/>
      <c r="M2204" s="846"/>
      <c r="N2204" s="846"/>
      <c r="O2204" s="846"/>
      <c r="P2204" s="846"/>
      <c r="Q2204" s="846"/>
      <c r="R2204" s="846"/>
      <c r="S2204" s="846"/>
      <c r="T2204" s="846"/>
    </row>
    <row r="2205" spans="2:20" ht="38.25" hidden="1">
      <c r="B2205" s="828" t="s">
        <v>6567</v>
      </c>
      <c r="C2205" s="828">
        <v>92437</v>
      </c>
      <c r="D2205" s="630" t="s">
        <v>3988</v>
      </c>
      <c r="E2205" s="630" t="s">
        <v>649</v>
      </c>
      <c r="F2205" s="829">
        <v>36.239999999999995</v>
      </c>
      <c r="G2205" s="830">
        <v>32.86</v>
      </c>
      <c r="H2205" s="831">
        <v>69.099999999999994</v>
      </c>
      <c r="I2205" s="846"/>
      <c r="J2205" s="846"/>
      <c r="K2205" s="846"/>
      <c r="L2205" s="846"/>
      <c r="M2205" s="846"/>
      <c r="N2205" s="846"/>
      <c r="O2205" s="846"/>
      <c r="P2205" s="846"/>
      <c r="Q2205" s="846"/>
      <c r="R2205" s="846"/>
      <c r="S2205" s="846"/>
      <c r="T2205" s="846"/>
    </row>
    <row r="2206" spans="2:20" ht="38.25" hidden="1">
      <c r="B2206" s="828" t="s">
        <v>6567</v>
      </c>
      <c r="C2206" s="828">
        <v>92439</v>
      </c>
      <c r="D2206" s="630" t="s">
        <v>3989</v>
      </c>
      <c r="E2206" s="630" t="s">
        <v>649</v>
      </c>
      <c r="F2206" s="829">
        <v>31.71</v>
      </c>
      <c r="G2206" s="830">
        <v>20.69</v>
      </c>
      <c r="H2206" s="831">
        <v>52.4</v>
      </c>
      <c r="I2206" s="846"/>
      <c r="J2206" s="846"/>
      <c r="K2206" s="846"/>
      <c r="L2206" s="846"/>
      <c r="M2206" s="846"/>
      <c r="N2206" s="846"/>
      <c r="O2206" s="846"/>
      <c r="P2206" s="846"/>
      <c r="Q2206" s="846"/>
      <c r="R2206" s="846"/>
      <c r="S2206" s="846"/>
      <c r="T2206" s="846"/>
    </row>
    <row r="2207" spans="2:20" ht="38.25" hidden="1">
      <c r="B2207" s="828" t="s">
        <v>6567</v>
      </c>
      <c r="C2207" s="828">
        <v>92441</v>
      </c>
      <c r="D2207" s="630" t="s">
        <v>3990</v>
      </c>
      <c r="E2207" s="630" t="s">
        <v>649</v>
      </c>
      <c r="F2207" s="829">
        <v>34.79</v>
      </c>
      <c r="G2207" s="830">
        <v>31.79</v>
      </c>
      <c r="H2207" s="831">
        <v>66.58</v>
      </c>
      <c r="I2207" s="846"/>
      <c r="J2207" s="846"/>
      <c r="K2207" s="846"/>
      <c r="L2207" s="846"/>
      <c r="M2207" s="846"/>
      <c r="N2207" s="846"/>
      <c r="O2207" s="846"/>
      <c r="P2207" s="846"/>
      <c r="Q2207" s="846"/>
      <c r="R2207" s="846"/>
      <c r="S2207" s="846"/>
      <c r="T2207" s="846"/>
    </row>
    <row r="2208" spans="2:20" ht="38.25" hidden="1">
      <c r="B2208" s="828" t="s">
        <v>6567</v>
      </c>
      <c r="C2208" s="828">
        <v>92443</v>
      </c>
      <c r="D2208" s="630" t="s">
        <v>3991</v>
      </c>
      <c r="E2208" s="630" t="s">
        <v>649</v>
      </c>
      <c r="F2208" s="829">
        <v>28.53</v>
      </c>
      <c r="G2208" s="830">
        <v>19.32</v>
      </c>
      <c r="H2208" s="831">
        <v>47.85</v>
      </c>
      <c r="I2208" s="846"/>
      <c r="J2208" s="846"/>
      <c r="K2208" s="846"/>
      <c r="L2208" s="846"/>
      <c r="M2208" s="846"/>
      <c r="N2208" s="846"/>
      <c r="O2208" s="846"/>
      <c r="P2208" s="846"/>
      <c r="Q2208" s="846"/>
      <c r="R2208" s="846"/>
      <c r="S2208" s="846"/>
      <c r="T2208" s="846"/>
    </row>
    <row r="2209" spans="2:20" ht="38.25" hidden="1">
      <c r="B2209" s="828" t="s">
        <v>6567</v>
      </c>
      <c r="C2209" s="828">
        <v>92445</v>
      </c>
      <c r="D2209" s="630" t="s">
        <v>3992</v>
      </c>
      <c r="E2209" s="630" t="s">
        <v>649</v>
      </c>
      <c r="F2209" s="829">
        <v>31.53</v>
      </c>
      <c r="G2209" s="830">
        <v>30.01</v>
      </c>
      <c r="H2209" s="831">
        <v>61.54</v>
      </c>
      <c r="I2209" s="846"/>
      <c r="J2209" s="846"/>
      <c r="K2209" s="846"/>
      <c r="L2209" s="846"/>
      <c r="M2209" s="846"/>
      <c r="N2209" s="846"/>
      <c r="O2209" s="846"/>
      <c r="P2209" s="846"/>
      <c r="Q2209" s="846"/>
      <c r="R2209" s="846"/>
      <c r="S2209" s="846"/>
      <c r="T2209" s="846"/>
    </row>
    <row r="2210" spans="2:20" ht="38.25" hidden="1">
      <c r="B2210" s="828" t="s">
        <v>6567</v>
      </c>
      <c r="C2210" s="828">
        <v>92446</v>
      </c>
      <c r="D2210" s="630" t="s">
        <v>3993</v>
      </c>
      <c r="E2210" s="630" t="s">
        <v>649</v>
      </c>
      <c r="F2210" s="829">
        <v>244.20999999999998</v>
      </c>
      <c r="G2210" s="830">
        <v>104.06</v>
      </c>
      <c r="H2210" s="831">
        <v>348.27</v>
      </c>
      <c r="I2210" s="846"/>
      <c r="J2210" s="846"/>
      <c r="K2210" s="846"/>
      <c r="L2210" s="846"/>
      <c r="M2210" s="846"/>
      <c r="N2210" s="846"/>
      <c r="O2210" s="846"/>
      <c r="P2210" s="846"/>
      <c r="Q2210" s="846"/>
      <c r="R2210" s="846"/>
      <c r="S2210" s="846"/>
      <c r="T2210" s="846"/>
    </row>
    <row r="2211" spans="2:20" ht="38.25" hidden="1">
      <c r="B2211" s="828" t="s">
        <v>6567</v>
      </c>
      <c r="C2211" s="828">
        <v>92447</v>
      </c>
      <c r="D2211" s="630" t="s">
        <v>3994</v>
      </c>
      <c r="E2211" s="630" t="s">
        <v>649</v>
      </c>
      <c r="F2211" s="829">
        <v>158.77000000000001</v>
      </c>
      <c r="G2211" s="830">
        <v>80.22</v>
      </c>
      <c r="H2211" s="831">
        <v>238.99</v>
      </c>
      <c r="I2211" s="846"/>
      <c r="J2211" s="846"/>
      <c r="K2211" s="846"/>
      <c r="L2211" s="846"/>
      <c r="M2211" s="846"/>
      <c r="N2211" s="846"/>
      <c r="O2211" s="846"/>
      <c r="P2211" s="846"/>
      <c r="Q2211" s="846"/>
      <c r="R2211" s="846"/>
      <c r="S2211" s="846"/>
      <c r="T2211" s="846"/>
    </row>
    <row r="2212" spans="2:20" ht="38.25" hidden="1">
      <c r="B2212" s="828" t="s">
        <v>6567</v>
      </c>
      <c r="C2212" s="828">
        <v>92448</v>
      </c>
      <c r="D2212" s="630" t="s">
        <v>3995</v>
      </c>
      <c r="E2212" s="630" t="s">
        <v>649</v>
      </c>
      <c r="F2212" s="829">
        <v>117.81</v>
      </c>
      <c r="G2212" s="830">
        <v>65.34</v>
      </c>
      <c r="H2212" s="831">
        <v>183.15</v>
      </c>
      <c r="I2212" s="846"/>
      <c r="J2212" s="846"/>
      <c r="K2212" s="846"/>
      <c r="L2212" s="846"/>
      <c r="M2212" s="846"/>
      <c r="N2212" s="846"/>
      <c r="O2212" s="846"/>
      <c r="P2212" s="846"/>
      <c r="Q2212" s="846"/>
      <c r="R2212" s="846"/>
      <c r="S2212" s="846"/>
      <c r="T2212" s="846"/>
    </row>
    <row r="2213" spans="2:20" ht="38.25" hidden="1">
      <c r="B2213" s="828" t="s">
        <v>6567</v>
      </c>
      <c r="C2213" s="828">
        <v>92449</v>
      </c>
      <c r="D2213" s="630" t="s">
        <v>3996</v>
      </c>
      <c r="E2213" s="630" t="s">
        <v>649</v>
      </c>
      <c r="F2213" s="829">
        <v>186.1</v>
      </c>
      <c r="G2213" s="830">
        <v>85.06</v>
      </c>
      <c r="H2213" s="831">
        <v>271.16000000000003</v>
      </c>
      <c r="I2213" s="846"/>
      <c r="J2213" s="846"/>
      <c r="K2213" s="846"/>
      <c r="L2213" s="846"/>
      <c r="M2213" s="846"/>
      <c r="N2213" s="846"/>
      <c r="O2213" s="846"/>
      <c r="P2213" s="846"/>
      <c r="Q2213" s="846"/>
      <c r="R2213" s="846"/>
      <c r="S2213" s="846"/>
      <c r="T2213" s="846"/>
    </row>
    <row r="2214" spans="2:20" ht="38.25" hidden="1">
      <c r="B2214" s="828" t="s">
        <v>6567</v>
      </c>
      <c r="C2214" s="828">
        <v>92450</v>
      </c>
      <c r="D2214" s="630" t="s">
        <v>3997</v>
      </c>
      <c r="E2214" s="630" t="s">
        <v>649</v>
      </c>
      <c r="F2214" s="829">
        <v>228.27</v>
      </c>
      <c r="G2214" s="830">
        <v>85.27</v>
      </c>
      <c r="H2214" s="831">
        <v>313.54000000000002</v>
      </c>
      <c r="I2214" s="846"/>
      <c r="J2214" s="846"/>
      <c r="K2214" s="846"/>
      <c r="L2214" s="846"/>
      <c r="M2214" s="846"/>
      <c r="N2214" s="846"/>
      <c r="O2214" s="846"/>
      <c r="P2214" s="846"/>
      <c r="Q2214" s="846"/>
      <c r="R2214" s="846"/>
      <c r="S2214" s="846"/>
      <c r="T2214" s="846"/>
    </row>
    <row r="2215" spans="2:20" ht="38.25" hidden="1">
      <c r="B2215" s="828" t="s">
        <v>6567</v>
      </c>
      <c r="C2215" s="828">
        <v>92451</v>
      </c>
      <c r="D2215" s="630" t="s">
        <v>3998</v>
      </c>
      <c r="E2215" s="630" t="s">
        <v>649</v>
      </c>
      <c r="F2215" s="829">
        <v>124.68</v>
      </c>
      <c r="G2215" s="830">
        <v>60.76</v>
      </c>
      <c r="H2215" s="831">
        <v>185.44</v>
      </c>
      <c r="I2215" s="846"/>
      <c r="J2215" s="846"/>
      <c r="K2215" s="846"/>
      <c r="L2215" s="846"/>
      <c r="M2215" s="846"/>
      <c r="N2215" s="846"/>
      <c r="O2215" s="846"/>
      <c r="P2215" s="846"/>
      <c r="Q2215" s="846"/>
      <c r="R2215" s="846"/>
      <c r="S2215" s="846"/>
      <c r="T2215" s="846"/>
    </row>
    <row r="2216" spans="2:20" ht="38.25" hidden="1">
      <c r="B2216" s="828" t="s">
        <v>6567</v>
      </c>
      <c r="C2216" s="828">
        <v>92452</v>
      </c>
      <c r="D2216" s="630" t="s">
        <v>3999</v>
      </c>
      <c r="E2216" s="630" t="s">
        <v>649</v>
      </c>
      <c r="F2216" s="829">
        <v>94.63</v>
      </c>
      <c r="G2216" s="830">
        <v>69.099999999999994</v>
      </c>
      <c r="H2216" s="831">
        <v>163.72999999999999</v>
      </c>
      <c r="I2216" s="846"/>
      <c r="J2216" s="846"/>
      <c r="K2216" s="846"/>
      <c r="L2216" s="846"/>
      <c r="M2216" s="846"/>
      <c r="N2216" s="846"/>
      <c r="O2216" s="846"/>
      <c r="P2216" s="846"/>
      <c r="Q2216" s="846"/>
      <c r="R2216" s="846"/>
      <c r="S2216" s="846"/>
      <c r="T2216" s="846"/>
    </row>
    <row r="2217" spans="2:20" ht="38.25" hidden="1">
      <c r="B2217" s="828" t="s">
        <v>6567</v>
      </c>
      <c r="C2217" s="828">
        <v>92453</v>
      </c>
      <c r="D2217" s="630" t="s">
        <v>4000</v>
      </c>
      <c r="E2217" s="630" t="s">
        <v>649</v>
      </c>
      <c r="F2217" s="829">
        <v>157.77000000000001</v>
      </c>
      <c r="G2217" s="830">
        <v>73.94</v>
      </c>
      <c r="H2217" s="831">
        <v>231.71</v>
      </c>
      <c r="I2217" s="846"/>
      <c r="J2217" s="846"/>
      <c r="K2217" s="846"/>
      <c r="L2217" s="846"/>
      <c r="M2217" s="846"/>
      <c r="N2217" s="846"/>
      <c r="O2217" s="846"/>
      <c r="P2217" s="846"/>
      <c r="Q2217" s="846"/>
      <c r="R2217" s="846"/>
      <c r="S2217" s="846"/>
      <c r="T2217" s="846"/>
    </row>
    <row r="2218" spans="2:20" ht="38.25" hidden="1">
      <c r="B2218" s="828" t="s">
        <v>6567</v>
      </c>
      <c r="C2218" s="828">
        <v>92454</v>
      </c>
      <c r="D2218" s="630" t="s">
        <v>4001</v>
      </c>
      <c r="E2218" s="630" t="s">
        <v>649</v>
      </c>
      <c r="F2218" s="829">
        <v>209.77</v>
      </c>
      <c r="G2218" s="830">
        <v>73.59</v>
      </c>
      <c r="H2218" s="831">
        <v>283.36</v>
      </c>
      <c r="I2218" s="846"/>
      <c r="J2218" s="846"/>
      <c r="K2218" s="846"/>
      <c r="L2218" s="846"/>
      <c r="M2218" s="846"/>
      <c r="N2218" s="846"/>
      <c r="O2218" s="846"/>
      <c r="P2218" s="846"/>
      <c r="Q2218" s="846"/>
      <c r="R2218" s="846"/>
      <c r="S2218" s="846"/>
      <c r="T2218" s="846"/>
    </row>
    <row r="2219" spans="2:20" ht="38.25" hidden="1">
      <c r="B2219" s="828" t="s">
        <v>6567</v>
      </c>
      <c r="C2219" s="828">
        <v>92455</v>
      </c>
      <c r="D2219" s="630" t="s">
        <v>4002</v>
      </c>
      <c r="E2219" s="630" t="s">
        <v>649</v>
      </c>
      <c r="F2219" s="829">
        <v>100.83</v>
      </c>
      <c r="G2219" s="830">
        <v>51.19</v>
      </c>
      <c r="H2219" s="831">
        <v>152.02000000000001</v>
      </c>
      <c r="I2219" s="846"/>
      <c r="J2219" s="846"/>
      <c r="K2219" s="846"/>
      <c r="L2219" s="846"/>
      <c r="M2219" s="846"/>
      <c r="N2219" s="846"/>
      <c r="O2219" s="846"/>
      <c r="P2219" s="846"/>
      <c r="Q2219" s="846"/>
      <c r="R2219" s="846"/>
      <c r="S2219" s="846"/>
      <c r="T2219" s="846"/>
    </row>
    <row r="2220" spans="2:20" ht="38.25" hidden="1">
      <c r="B2220" s="828" t="s">
        <v>6567</v>
      </c>
      <c r="C2220" s="828">
        <v>92456</v>
      </c>
      <c r="D2220" s="630" t="s">
        <v>4003</v>
      </c>
      <c r="E2220" s="630" t="s">
        <v>649</v>
      </c>
      <c r="F2220" s="829">
        <v>74.98</v>
      </c>
      <c r="G2220" s="830">
        <v>58.67</v>
      </c>
      <c r="H2220" s="831">
        <v>133.65</v>
      </c>
      <c r="I2220" s="846"/>
      <c r="J2220" s="846"/>
      <c r="K2220" s="846"/>
      <c r="L2220" s="846"/>
      <c r="M2220" s="846"/>
      <c r="N2220" s="846"/>
      <c r="O2220" s="846"/>
      <c r="P2220" s="846"/>
      <c r="Q2220" s="846"/>
      <c r="R2220" s="846"/>
      <c r="S2220" s="846"/>
      <c r="T2220" s="846"/>
    </row>
    <row r="2221" spans="2:20" ht="38.25" hidden="1">
      <c r="B2221" s="828" t="s">
        <v>6567</v>
      </c>
      <c r="C2221" s="828">
        <v>92457</v>
      </c>
      <c r="D2221" s="630" t="s">
        <v>4004</v>
      </c>
      <c r="E2221" s="630" t="s">
        <v>649</v>
      </c>
      <c r="F2221" s="829">
        <v>137.01999999999998</v>
      </c>
      <c r="G2221" s="830">
        <v>65.05</v>
      </c>
      <c r="H2221" s="831">
        <v>202.07</v>
      </c>
      <c r="I2221" s="846"/>
      <c r="J2221" s="846"/>
      <c r="K2221" s="846"/>
      <c r="L2221" s="846"/>
      <c r="M2221" s="846"/>
      <c r="N2221" s="846"/>
      <c r="O2221" s="846"/>
      <c r="P2221" s="846"/>
      <c r="Q2221" s="846"/>
      <c r="R2221" s="846"/>
      <c r="S2221" s="846"/>
      <c r="T2221" s="846"/>
    </row>
    <row r="2222" spans="2:20" ht="38.25" hidden="1">
      <c r="B2222" s="828" t="s">
        <v>6567</v>
      </c>
      <c r="C2222" s="828">
        <v>92458</v>
      </c>
      <c r="D2222" s="630" t="s">
        <v>844</v>
      </c>
      <c r="E2222" s="630" t="s">
        <v>649</v>
      </c>
      <c r="F2222" s="829">
        <v>198.78</v>
      </c>
      <c r="G2222" s="830">
        <v>65.209999999999994</v>
      </c>
      <c r="H2222" s="831">
        <v>263.99</v>
      </c>
      <c r="I2222" s="846"/>
      <c r="J2222" s="846"/>
      <c r="K2222" s="846"/>
      <c r="L2222" s="846"/>
      <c r="M2222" s="846"/>
      <c r="N2222" s="846"/>
      <c r="O2222" s="846"/>
      <c r="P2222" s="846"/>
      <c r="Q2222" s="846"/>
      <c r="R2222" s="846"/>
      <c r="S2222" s="846"/>
      <c r="T2222" s="846"/>
    </row>
    <row r="2223" spans="2:20" ht="38.25" hidden="1">
      <c r="B2223" s="828" t="s">
        <v>6567</v>
      </c>
      <c r="C2223" s="828">
        <v>92459</v>
      </c>
      <c r="D2223" s="630" t="s">
        <v>4005</v>
      </c>
      <c r="E2223" s="630" t="s">
        <v>649</v>
      </c>
      <c r="F2223" s="829">
        <v>85.45</v>
      </c>
      <c r="G2223" s="830">
        <v>44.28</v>
      </c>
      <c r="H2223" s="831">
        <v>129.72999999999999</v>
      </c>
      <c r="I2223" s="846"/>
      <c r="J2223" s="846"/>
      <c r="K2223" s="846"/>
      <c r="L2223" s="846"/>
      <c r="M2223" s="846"/>
      <c r="N2223" s="846"/>
      <c r="O2223" s="846"/>
      <c r="P2223" s="846"/>
      <c r="Q2223" s="846"/>
      <c r="R2223" s="846"/>
      <c r="S2223" s="846"/>
      <c r="T2223" s="846"/>
    </row>
    <row r="2224" spans="2:20" ht="38.25" hidden="1">
      <c r="B2224" s="828" t="s">
        <v>6567</v>
      </c>
      <c r="C2224" s="828">
        <v>92460</v>
      </c>
      <c r="D2224" s="630" t="s">
        <v>4006</v>
      </c>
      <c r="E2224" s="630" t="s">
        <v>649</v>
      </c>
      <c r="F2224" s="829">
        <v>58.51</v>
      </c>
      <c r="G2224" s="830">
        <v>51.43</v>
      </c>
      <c r="H2224" s="831">
        <v>109.94</v>
      </c>
      <c r="I2224" s="846"/>
      <c r="J2224" s="846"/>
      <c r="K2224" s="846"/>
      <c r="L2224" s="846"/>
      <c r="M2224" s="846"/>
      <c r="N2224" s="846"/>
      <c r="O2224" s="846"/>
      <c r="P2224" s="846"/>
      <c r="Q2224" s="846"/>
      <c r="R2224" s="846"/>
      <c r="S2224" s="846"/>
      <c r="T2224" s="846"/>
    </row>
    <row r="2225" spans="2:20" ht="38.25" hidden="1">
      <c r="B2225" s="828" t="s">
        <v>6567</v>
      </c>
      <c r="C2225" s="828">
        <v>92461</v>
      </c>
      <c r="D2225" s="630" t="s">
        <v>4007</v>
      </c>
      <c r="E2225" s="630" t="s">
        <v>649</v>
      </c>
      <c r="F2225" s="829">
        <v>127.21000000000001</v>
      </c>
      <c r="G2225" s="830">
        <v>59.39</v>
      </c>
      <c r="H2225" s="831">
        <v>186.6</v>
      </c>
      <c r="I2225" s="846"/>
      <c r="J2225" s="846"/>
      <c r="K2225" s="846"/>
      <c r="L2225" s="846"/>
      <c r="M2225" s="846"/>
      <c r="N2225" s="846"/>
      <c r="O2225" s="846"/>
      <c r="P2225" s="846"/>
      <c r="Q2225" s="846"/>
      <c r="R2225" s="846"/>
      <c r="S2225" s="846"/>
      <c r="T2225" s="846"/>
    </row>
    <row r="2226" spans="2:20" ht="38.25" hidden="1">
      <c r="B2226" s="828" t="s">
        <v>6567</v>
      </c>
      <c r="C2226" s="828">
        <v>92462</v>
      </c>
      <c r="D2226" s="630" t="s">
        <v>4008</v>
      </c>
      <c r="E2226" s="630" t="s">
        <v>649</v>
      </c>
      <c r="F2226" s="829">
        <v>192.55999999999997</v>
      </c>
      <c r="G2226" s="830">
        <v>58.99</v>
      </c>
      <c r="H2226" s="831">
        <v>251.55</v>
      </c>
      <c r="I2226" s="846"/>
      <c r="J2226" s="846"/>
      <c r="K2226" s="846"/>
      <c r="L2226" s="846"/>
      <c r="M2226" s="846"/>
      <c r="N2226" s="846"/>
      <c r="O2226" s="846"/>
      <c r="P2226" s="846"/>
      <c r="Q2226" s="846"/>
      <c r="R2226" s="846"/>
      <c r="S2226" s="846"/>
      <c r="T2226" s="846"/>
    </row>
    <row r="2227" spans="2:20" ht="38.25" hidden="1">
      <c r="B2227" s="828" t="s">
        <v>6567</v>
      </c>
      <c r="C2227" s="828">
        <v>92463</v>
      </c>
      <c r="D2227" s="630" t="s">
        <v>4009</v>
      </c>
      <c r="E2227" s="630" t="s">
        <v>649</v>
      </c>
      <c r="F2227" s="829">
        <v>77.87</v>
      </c>
      <c r="G2227" s="830">
        <v>39.909999999999997</v>
      </c>
      <c r="H2227" s="831">
        <v>117.78</v>
      </c>
      <c r="I2227" s="846"/>
      <c r="J2227" s="846"/>
      <c r="K2227" s="846"/>
      <c r="L2227" s="846"/>
      <c r="M2227" s="846"/>
      <c r="N2227" s="846"/>
      <c r="O2227" s="846"/>
      <c r="P2227" s="846"/>
      <c r="Q2227" s="846"/>
      <c r="R2227" s="846"/>
      <c r="S2227" s="846"/>
      <c r="T2227" s="846"/>
    </row>
    <row r="2228" spans="2:20" ht="38.25" hidden="1">
      <c r="B2228" s="828" t="s">
        <v>6567</v>
      </c>
      <c r="C2228" s="828">
        <v>92464</v>
      </c>
      <c r="D2228" s="630" t="s">
        <v>4010</v>
      </c>
      <c r="E2228" s="630" t="s">
        <v>649</v>
      </c>
      <c r="F2228" s="829">
        <v>56.849999999999994</v>
      </c>
      <c r="G2228" s="830">
        <v>46.27</v>
      </c>
      <c r="H2228" s="831">
        <v>103.12</v>
      </c>
      <c r="I2228" s="846"/>
      <c r="J2228" s="846"/>
      <c r="K2228" s="846"/>
      <c r="L2228" s="846"/>
      <c r="M2228" s="846"/>
      <c r="N2228" s="846"/>
      <c r="O2228" s="846"/>
      <c r="P2228" s="846"/>
      <c r="Q2228" s="846"/>
      <c r="R2228" s="846"/>
      <c r="S2228" s="846"/>
      <c r="T2228" s="846"/>
    </row>
    <row r="2229" spans="2:20" ht="38.25" hidden="1">
      <c r="B2229" s="828" t="s">
        <v>6567</v>
      </c>
      <c r="C2229" s="828">
        <v>92465</v>
      </c>
      <c r="D2229" s="630" t="s">
        <v>4011</v>
      </c>
      <c r="E2229" s="630" t="s">
        <v>649</v>
      </c>
      <c r="F2229" s="829">
        <v>101.23</v>
      </c>
      <c r="G2229" s="830">
        <v>49.66</v>
      </c>
      <c r="H2229" s="831">
        <v>150.88999999999999</v>
      </c>
      <c r="I2229" s="846"/>
      <c r="J2229" s="846"/>
      <c r="K2229" s="846"/>
      <c r="L2229" s="846"/>
      <c r="M2229" s="846"/>
      <c r="N2229" s="846"/>
      <c r="O2229" s="846"/>
      <c r="P2229" s="846"/>
      <c r="Q2229" s="846"/>
      <c r="R2229" s="846"/>
      <c r="S2229" s="846"/>
      <c r="T2229" s="846"/>
    </row>
    <row r="2230" spans="2:20" ht="38.25" hidden="1">
      <c r="B2230" s="828" t="s">
        <v>6567</v>
      </c>
      <c r="C2230" s="828">
        <v>92466</v>
      </c>
      <c r="D2230" s="630" t="s">
        <v>4012</v>
      </c>
      <c r="E2230" s="630" t="s">
        <v>649</v>
      </c>
      <c r="F2230" s="829">
        <v>191.57</v>
      </c>
      <c r="G2230" s="830">
        <v>52.79</v>
      </c>
      <c r="H2230" s="831">
        <v>244.36</v>
      </c>
      <c r="I2230" s="846"/>
      <c r="J2230" s="846"/>
      <c r="K2230" s="846"/>
      <c r="L2230" s="846"/>
      <c r="M2230" s="846"/>
      <c r="N2230" s="846"/>
      <c r="O2230" s="846"/>
      <c r="P2230" s="846"/>
      <c r="Q2230" s="846"/>
      <c r="R2230" s="846"/>
      <c r="S2230" s="846"/>
      <c r="T2230" s="846"/>
    </row>
    <row r="2231" spans="2:20" ht="38.25" hidden="1">
      <c r="B2231" s="828" t="s">
        <v>6567</v>
      </c>
      <c r="C2231" s="828">
        <v>92467</v>
      </c>
      <c r="D2231" s="630" t="s">
        <v>4013</v>
      </c>
      <c r="E2231" s="630" t="s">
        <v>649</v>
      </c>
      <c r="F2231" s="829">
        <v>64.81</v>
      </c>
      <c r="G2231" s="830">
        <v>33.4</v>
      </c>
      <c r="H2231" s="831">
        <v>98.21</v>
      </c>
      <c r="I2231" s="846"/>
      <c r="J2231" s="846"/>
      <c r="K2231" s="846"/>
      <c r="L2231" s="846"/>
      <c r="M2231" s="846"/>
      <c r="N2231" s="846"/>
      <c r="O2231" s="846"/>
      <c r="P2231" s="846"/>
      <c r="Q2231" s="846"/>
      <c r="R2231" s="846"/>
      <c r="S2231" s="846"/>
      <c r="T2231" s="846"/>
    </row>
    <row r="2232" spans="2:20" ht="38.25" hidden="1">
      <c r="B2232" s="828" t="s">
        <v>6567</v>
      </c>
      <c r="C2232" s="828">
        <v>92468</v>
      </c>
      <c r="D2232" s="630" t="s">
        <v>4014</v>
      </c>
      <c r="E2232" s="630" t="s">
        <v>649</v>
      </c>
      <c r="F2232" s="829">
        <v>55.5</v>
      </c>
      <c r="G2232" s="830">
        <v>41.04</v>
      </c>
      <c r="H2232" s="831">
        <v>96.54</v>
      </c>
      <c r="I2232" s="846"/>
      <c r="J2232" s="846"/>
      <c r="K2232" s="846"/>
      <c r="L2232" s="846"/>
      <c r="M2232" s="846"/>
      <c r="N2232" s="846"/>
      <c r="O2232" s="846"/>
      <c r="P2232" s="846"/>
      <c r="Q2232" s="846"/>
      <c r="R2232" s="846"/>
      <c r="S2232" s="846"/>
      <c r="T2232" s="846"/>
    </row>
    <row r="2233" spans="2:20" ht="38.25" hidden="1">
      <c r="B2233" s="828" t="s">
        <v>6567</v>
      </c>
      <c r="C2233" s="828">
        <v>92469</v>
      </c>
      <c r="D2233" s="630" t="s">
        <v>4015</v>
      </c>
      <c r="E2233" s="630" t="s">
        <v>649</v>
      </c>
      <c r="F2233" s="829">
        <v>92.38</v>
      </c>
      <c r="G2233" s="830">
        <v>45.43</v>
      </c>
      <c r="H2233" s="831">
        <v>137.81</v>
      </c>
      <c r="I2233" s="846"/>
      <c r="J2233" s="846"/>
      <c r="K2233" s="846"/>
      <c r="L2233" s="846"/>
      <c r="M2233" s="846"/>
      <c r="N2233" s="846"/>
      <c r="O2233" s="846"/>
      <c r="P2233" s="846"/>
      <c r="Q2233" s="846"/>
      <c r="R2233" s="846"/>
      <c r="S2233" s="846"/>
      <c r="T2233" s="846"/>
    </row>
    <row r="2234" spans="2:20" ht="38.25" hidden="1">
      <c r="B2234" s="828" t="s">
        <v>6567</v>
      </c>
      <c r="C2234" s="828">
        <v>92470</v>
      </c>
      <c r="D2234" s="630" t="s">
        <v>4016</v>
      </c>
      <c r="E2234" s="630" t="s">
        <v>649</v>
      </c>
      <c r="F2234" s="829">
        <v>188.54999999999998</v>
      </c>
      <c r="G2234" s="830">
        <v>48.64</v>
      </c>
      <c r="H2234" s="831">
        <v>237.19</v>
      </c>
      <c r="I2234" s="846"/>
      <c r="J2234" s="846"/>
      <c r="K2234" s="846"/>
      <c r="L2234" s="846"/>
      <c r="M2234" s="846"/>
      <c r="N2234" s="846"/>
      <c r="O2234" s="846"/>
      <c r="P2234" s="846"/>
      <c r="Q2234" s="846"/>
      <c r="R2234" s="846"/>
      <c r="S2234" s="846"/>
      <c r="T2234" s="846"/>
    </row>
    <row r="2235" spans="2:20" ht="38.25" hidden="1">
      <c r="B2235" s="828" t="s">
        <v>6567</v>
      </c>
      <c r="C2235" s="828">
        <v>92471</v>
      </c>
      <c r="D2235" s="630" t="s">
        <v>4017</v>
      </c>
      <c r="E2235" s="630" t="s">
        <v>649</v>
      </c>
      <c r="F2235" s="829">
        <v>59.26</v>
      </c>
      <c r="G2235" s="830">
        <v>30.58</v>
      </c>
      <c r="H2235" s="831">
        <v>89.84</v>
      </c>
      <c r="I2235" s="846"/>
      <c r="J2235" s="846"/>
      <c r="K2235" s="846"/>
      <c r="L2235" s="846"/>
      <c r="M2235" s="846"/>
      <c r="N2235" s="846"/>
      <c r="O2235" s="846"/>
      <c r="P2235" s="846"/>
      <c r="Q2235" s="846"/>
      <c r="R2235" s="846"/>
      <c r="S2235" s="846"/>
      <c r="T2235" s="846"/>
    </row>
    <row r="2236" spans="2:20" ht="38.25" hidden="1">
      <c r="B2236" s="828" t="s">
        <v>6567</v>
      </c>
      <c r="C2236" s="828">
        <v>92472</v>
      </c>
      <c r="D2236" s="630" t="s">
        <v>4018</v>
      </c>
      <c r="E2236" s="630" t="s">
        <v>649</v>
      </c>
      <c r="F2236" s="829">
        <v>52.57</v>
      </c>
      <c r="G2236" s="830">
        <v>37.78</v>
      </c>
      <c r="H2236" s="831">
        <v>90.35</v>
      </c>
      <c r="I2236" s="846"/>
      <c r="J2236" s="846"/>
      <c r="K2236" s="846"/>
      <c r="L2236" s="846"/>
      <c r="M2236" s="846"/>
      <c r="N2236" s="846"/>
      <c r="O2236" s="846"/>
      <c r="P2236" s="846"/>
      <c r="Q2236" s="846"/>
      <c r="R2236" s="846"/>
      <c r="S2236" s="846"/>
      <c r="T2236" s="846"/>
    </row>
    <row r="2237" spans="2:20" ht="38.25" hidden="1">
      <c r="B2237" s="828" t="s">
        <v>6567</v>
      </c>
      <c r="C2237" s="828">
        <v>92473</v>
      </c>
      <c r="D2237" s="630" t="s">
        <v>4019</v>
      </c>
      <c r="E2237" s="630" t="s">
        <v>649</v>
      </c>
      <c r="F2237" s="829">
        <v>85.42</v>
      </c>
      <c r="G2237" s="830">
        <v>41.79</v>
      </c>
      <c r="H2237" s="831">
        <v>127.21</v>
      </c>
      <c r="I2237" s="846"/>
      <c r="J2237" s="846"/>
      <c r="K2237" s="846"/>
      <c r="L2237" s="846"/>
      <c r="M2237" s="846"/>
      <c r="N2237" s="846"/>
      <c r="O2237" s="846"/>
      <c r="P2237" s="846"/>
      <c r="Q2237" s="846"/>
      <c r="R2237" s="846"/>
      <c r="S2237" s="846"/>
      <c r="T2237" s="846"/>
    </row>
    <row r="2238" spans="2:20" ht="38.25" hidden="1">
      <c r="B2238" s="828" t="s">
        <v>6567</v>
      </c>
      <c r="C2238" s="828">
        <v>92474</v>
      </c>
      <c r="D2238" s="630" t="s">
        <v>4020</v>
      </c>
      <c r="E2238" s="630" t="s">
        <v>649</v>
      </c>
      <c r="F2238" s="829">
        <v>186.07</v>
      </c>
      <c r="G2238" s="830">
        <v>44.91</v>
      </c>
      <c r="H2238" s="831">
        <v>230.98</v>
      </c>
      <c r="I2238" s="846"/>
      <c r="J2238" s="846"/>
      <c r="K2238" s="846"/>
      <c r="L2238" s="846"/>
      <c r="M2238" s="846"/>
      <c r="N2238" s="846"/>
      <c r="O2238" s="846"/>
      <c r="P2238" s="846"/>
      <c r="Q2238" s="846"/>
      <c r="R2238" s="846"/>
      <c r="S2238" s="846"/>
      <c r="T2238" s="846"/>
    </row>
    <row r="2239" spans="2:20" ht="38.25" hidden="1">
      <c r="B2239" s="828" t="s">
        <v>6567</v>
      </c>
      <c r="C2239" s="828">
        <v>92475</v>
      </c>
      <c r="D2239" s="630" t="s">
        <v>4021</v>
      </c>
      <c r="E2239" s="630" t="s">
        <v>649</v>
      </c>
      <c r="F2239" s="829">
        <v>54.86</v>
      </c>
      <c r="G2239" s="830">
        <v>28.14</v>
      </c>
      <c r="H2239" s="831">
        <v>83</v>
      </c>
      <c r="I2239" s="846"/>
      <c r="J2239" s="846"/>
      <c r="K2239" s="846"/>
      <c r="L2239" s="846"/>
      <c r="M2239" s="846"/>
      <c r="N2239" s="846"/>
      <c r="O2239" s="846"/>
      <c r="P2239" s="846"/>
      <c r="Q2239" s="846"/>
      <c r="R2239" s="846"/>
      <c r="S2239" s="846"/>
      <c r="T2239" s="846"/>
    </row>
    <row r="2240" spans="2:20" ht="38.25" hidden="1">
      <c r="B2240" s="828" t="s">
        <v>6567</v>
      </c>
      <c r="C2240" s="828">
        <v>92476</v>
      </c>
      <c r="D2240" s="630" t="s">
        <v>4022</v>
      </c>
      <c r="E2240" s="630" t="s">
        <v>649</v>
      </c>
      <c r="F2240" s="829">
        <v>50.22</v>
      </c>
      <c r="G2240" s="830">
        <v>34.86</v>
      </c>
      <c r="H2240" s="831">
        <v>85.08</v>
      </c>
      <c r="I2240" s="846"/>
      <c r="J2240" s="846"/>
      <c r="K2240" s="846"/>
      <c r="L2240" s="846"/>
      <c r="M2240" s="846"/>
      <c r="N2240" s="846"/>
      <c r="O2240" s="846"/>
      <c r="P2240" s="846"/>
      <c r="Q2240" s="846"/>
      <c r="R2240" s="846"/>
      <c r="S2240" s="846"/>
      <c r="T2240" s="846"/>
    </row>
    <row r="2241" spans="2:20" ht="38.25" hidden="1">
      <c r="B2241" s="828" t="s">
        <v>6567</v>
      </c>
      <c r="C2241" s="828">
        <v>92477</v>
      </c>
      <c r="D2241" s="630" t="s">
        <v>4023</v>
      </c>
      <c r="E2241" s="630" t="s">
        <v>649</v>
      </c>
      <c r="F2241" s="829">
        <v>69.97</v>
      </c>
      <c r="G2241" s="830">
        <v>34.700000000000003</v>
      </c>
      <c r="H2241" s="831">
        <v>104.67</v>
      </c>
      <c r="I2241" s="846"/>
      <c r="J2241" s="846"/>
      <c r="K2241" s="846"/>
      <c r="L2241" s="846"/>
      <c r="M2241" s="846"/>
      <c r="N2241" s="846"/>
      <c r="O2241" s="846"/>
      <c r="P2241" s="846"/>
      <c r="Q2241" s="846"/>
      <c r="R2241" s="846"/>
      <c r="S2241" s="846"/>
      <c r="T2241" s="846"/>
    </row>
    <row r="2242" spans="2:20" ht="38.25" hidden="1">
      <c r="B2242" s="828" t="s">
        <v>6567</v>
      </c>
      <c r="C2242" s="828">
        <v>92478</v>
      </c>
      <c r="D2242" s="630" t="s">
        <v>4024</v>
      </c>
      <c r="E2242" s="630" t="s">
        <v>649</v>
      </c>
      <c r="F2242" s="829">
        <v>180.84</v>
      </c>
      <c r="G2242" s="830">
        <v>37.99</v>
      </c>
      <c r="H2242" s="831">
        <v>218.83</v>
      </c>
      <c r="I2242" s="846"/>
      <c r="J2242" s="846"/>
      <c r="K2242" s="846"/>
      <c r="L2242" s="846"/>
      <c r="M2242" s="846"/>
      <c r="N2242" s="846"/>
      <c r="O2242" s="846"/>
      <c r="P2242" s="846"/>
      <c r="Q2242" s="846"/>
      <c r="R2242" s="846"/>
      <c r="S2242" s="846"/>
      <c r="T2242" s="846"/>
    </row>
    <row r="2243" spans="2:20" ht="38.25" hidden="1">
      <c r="B2243" s="828" t="s">
        <v>6567</v>
      </c>
      <c r="C2243" s="828">
        <v>92479</v>
      </c>
      <c r="D2243" s="630" t="s">
        <v>4025</v>
      </c>
      <c r="E2243" s="630" t="s">
        <v>649</v>
      </c>
      <c r="F2243" s="829">
        <v>45.129999999999995</v>
      </c>
      <c r="G2243" s="830">
        <v>23.37</v>
      </c>
      <c r="H2243" s="831">
        <v>68.5</v>
      </c>
      <c r="I2243" s="846"/>
      <c r="J2243" s="846"/>
      <c r="K2243" s="846"/>
      <c r="L2243" s="846"/>
      <c r="M2243" s="846"/>
      <c r="N2243" s="846"/>
      <c r="O2243" s="846"/>
      <c r="P2243" s="846"/>
      <c r="Q2243" s="846"/>
      <c r="R2243" s="846"/>
      <c r="S2243" s="846"/>
      <c r="T2243" s="846"/>
    </row>
    <row r="2244" spans="2:20" ht="38.25" hidden="1">
      <c r="B2244" s="828" t="s">
        <v>6567</v>
      </c>
      <c r="C2244" s="828">
        <v>92480</v>
      </c>
      <c r="D2244" s="630" t="s">
        <v>4026</v>
      </c>
      <c r="E2244" s="630" t="s">
        <v>649</v>
      </c>
      <c r="F2244" s="829">
        <v>45.16</v>
      </c>
      <c r="G2244" s="830">
        <v>29.44</v>
      </c>
      <c r="H2244" s="831">
        <v>74.599999999999994</v>
      </c>
      <c r="I2244" s="846"/>
      <c r="J2244" s="846"/>
      <c r="K2244" s="846"/>
      <c r="L2244" s="846"/>
      <c r="M2244" s="846"/>
      <c r="N2244" s="846"/>
      <c r="O2244" s="846"/>
      <c r="P2244" s="846"/>
      <c r="Q2244" s="846"/>
      <c r="R2244" s="846"/>
      <c r="S2244" s="846"/>
      <c r="T2244" s="846"/>
    </row>
    <row r="2245" spans="2:20" ht="25.5" hidden="1">
      <c r="B2245" s="828" t="s">
        <v>6567</v>
      </c>
      <c r="C2245" s="828">
        <v>92482</v>
      </c>
      <c r="D2245" s="630" t="s">
        <v>4027</v>
      </c>
      <c r="E2245" s="630" t="s">
        <v>649</v>
      </c>
      <c r="F2245" s="829">
        <v>280.99</v>
      </c>
      <c r="G2245" s="830">
        <v>114.82</v>
      </c>
      <c r="H2245" s="831">
        <v>395.81</v>
      </c>
      <c r="I2245" s="846"/>
      <c r="J2245" s="846"/>
      <c r="K2245" s="846"/>
      <c r="L2245" s="846"/>
      <c r="M2245" s="846"/>
      <c r="N2245" s="846"/>
      <c r="O2245" s="846"/>
      <c r="P2245" s="846"/>
      <c r="Q2245" s="846"/>
      <c r="R2245" s="846"/>
      <c r="S2245" s="846"/>
      <c r="T2245" s="846"/>
    </row>
    <row r="2246" spans="2:20" ht="25.5" hidden="1">
      <c r="B2246" s="828" t="s">
        <v>6567</v>
      </c>
      <c r="C2246" s="828">
        <v>92484</v>
      </c>
      <c r="D2246" s="630" t="s">
        <v>4028</v>
      </c>
      <c r="E2246" s="630" t="s">
        <v>649</v>
      </c>
      <c r="F2246" s="829">
        <v>174.02</v>
      </c>
      <c r="G2246" s="830">
        <v>94.93</v>
      </c>
      <c r="H2246" s="831">
        <v>268.95</v>
      </c>
      <c r="I2246" s="846"/>
      <c r="J2246" s="846"/>
      <c r="K2246" s="846"/>
      <c r="L2246" s="846"/>
      <c r="M2246" s="846"/>
      <c r="N2246" s="846"/>
      <c r="O2246" s="846"/>
      <c r="P2246" s="846"/>
      <c r="Q2246" s="846"/>
      <c r="R2246" s="846"/>
      <c r="S2246" s="846"/>
      <c r="T2246" s="846"/>
    </row>
    <row r="2247" spans="2:20" ht="25.5" hidden="1">
      <c r="B2247" s="828" t="s">
        <v>6567</v>
      </c>
      <c r="C2247" s="828">
        <v>92486</v>
      </c>
      <c r="D2247" s="630" t="s">
        <v>4029</v>
      </c>
      <c r="E2247" s="630" t="s">
        <v>649</v>
      </c>
      <c r="F2247" s="829">
        <v>110.51</v>
      </c>
      <c r="G2247" s="830">
        <v>78.459999999999994</v>
      </c>
      <c r="H2247" s="831">
        <v>188.97</v>
      </c>
      <c r="I2247" s="846"/>
      <c r="J2247" s="846"/>
      <c r="K2247" s="846"/>
      <c r="L2247" s="846"/>
      <c r="M2247" s="846"/>
      <c r="N2247" s="846"/>
      <c r="O2247" s="846"/>
      <c r="P2247" s="846"/>
      <c r="Q2247" s="846"/>
      <c r="R2247" s="846"/>
      <c r="S2247" s="846"/>
      <c r="T2247" s="846"/>
    </row>
    <row r="2248" spans="2:20" ht="38.25" hidden="1">
      <c r="B2248" s="828" t="s">
        <v>6567</v>
      </c>
      <c r="C2248" s="828">
        <v>92488</v>
      </c>
      <c r="D2248" s="630" t="s">
        <v>4030</v>
      </c>
      <c r="E2248" s="630" t="s">
        <v>649</v>
      </c>
      <c r="F2248" s="829">
        <v>74.92</v>
      </c>
      <c r="G2248" s="830">
        <v>42.66</v>
      </c>
      <c r="H2248" s="831">
        <v>117.58</v>
      </c>
      <c r="I2248" s="846"/>
      <c r="J2248" s="846"/>
      <c r="K2248" s="846"/>
      <c r="L2248" s="846"/>
      <c r="M2248" s="846"/>
      <c r="N2248" s="846"/>
      <c r="O2248" s="846"/>
      <c r="P2248" s="846"/>
      <c r="Q2248" s="846"/>
      <c r="R2248" s="846"/>
      <c r="S2248" s="846"/>
      <c r="T2248" s="846"/>
    </row>
    <row r="2249" spans="2:20" ht="38.25" hidden="1">
      <c r="B2249" s="828" t="s">
        <v>6567</v>
      </c>
      <c r="C2249" s="828">
        <v>92490</v>
      </c>
      <c r="D2249" s="630" t="s">
        <v>4031</v>
      </c>
      <c r="E2249" s="630" t="s">
        <v>649</v>
      </c>
      <c r="F2249" s="829">
        <v>43.39</v>
      </c>
      <c r="G2249" s="830">
        <v>30.52</v>
      </c>
      <c r="H2249" s="831">
        <v>73.91</v>
      </c>
      <c r="I2249" s="846"/>
      <c r="J2249" s="846"/>
      <c r="K2249" s="846"/>
      <c r="L2249" s="846"/>
      <c r="M2249" s="846"/>
      <c r="N2249" s="846"/>
      <c r="O2249" s="846"/>
      <c r="P2249" s="846"/>
      <c r="Q2249" s="846"/>
      <c r="R2249" s="846"/>
      <c r="S2249" s="846"/>
      <c r="T2249" s="846"/>
    </row>
    <row r="2250" spans="2:20" ht="38.25" hidden="1">
      <c r="B2250" s="828" t="s">
        <v>6567</v>
      </c>
      <c r="C2250" s="828">
        <v>92492</v>
      </c>
      <c r="D2250" s="630" t="s">
        <v>4032</v>
      </c>
      <c r="E2250" s="630" t="s">
        <v>649</v>
      </c>
      <c r="F2250" s="829">
        <v>72.290000000000006</v>
      </c>
      <c r="G2250" s="830">
        <v>39.380000000000003</v>
      </c>
      <c r="H2250" s="831">
        <v>111.67</v>
      </c>
      <c r="I2250" s="846"/>
      <c r="J2250" s="846"/>
      <c r="K2250" s="846"/>
      <c r="L2250" s="846"/>
      <c r="M2250" s="846"/>
      <c r="N2250" s="846"/>
      <c r="O2250" s="846"/>
      <c r="P2250" s="846"/>
      <c r="Q2250" s="846"/>
      <c r="R2250" s="846"/>
      <c r="S2250" s="846"/>
      <c r="T2250" s="846"/>
    </row>
    <row r="2251" spans="2:20" ht="38.25" hidden="1">
      <c r="B2251" s="828" t="s">
        <v>6567</v>
      </c>
      <c r="C2251" s="828">
        <v>92494</v>
      </c>
      <c r="D2251" s="630" t="s">
        <v>4033</v>
      </c>
      <c r="E2251" s="630" t="s">
        <v>649</v>
      </c>
      <c r="F2251" s="829">
        <v>41.03</v>
      </c>
      <c r="G2251" s="830">
        <v>28.19</v>
      </c>
      <c r="H2251" s="831">
        <v>69.22</v>
      </c>
      <c r="I2251" s="846"/>
      <c r="J2251" s="846"/>
      <c r="K2251" s="846"/>
      <c r="L2251" s="846"/>
      <c r="M2251" s="846"/>
      <c r="N2251" s="846"/>
      <c r="O2251" s="846"/>
      <c r="P2251" s="846"/>
      <c r="Q2251" s="846"/>
      <c r="R2251" s="846"/>
      <c r="S2251" s="846"/>
      <c r="T2251" s="846"/>
    </row>
    <row r="2252" spans="2:20" ht="38.25" hidden="1">
      <c r="B2252" s="828" t="s">
        <v>6567</v>
      </c>
      <c r="C2252" s="828">
        <v>92496</v>
      </c>
      <c r="D2252" s="630" t="s">
        <v>4034</v>
      </c>
      <c r="E2252" s="630" t="s">
        <v>649</v>
      </c>
      <c r="F2252" s="829">
        <v>70.25</v>
      </c>
      <c r="G2252" s="830">
        <v>36.44</v>
      </c>
      <c r="H2252" s="831">
        <v>106.69</v>
      </c>
      <c r="I2252" s="846"/>
      <c r="J2252" s="846"/>
      <c r="K2252" s="846"/>
      <c r="L2252" s="846"/>
      <c r="M2252" s="846"/>
      <c r="N2252" s="846"/>
      <c r="O2252" s="846"/>
      <c r="P2252" s="846"/>
      <c r="Q2252" s="846"/>
      <c r="R2252" s="846"/>
      <c r="S2252" s="846"/>
      <c r="T2252" s="846"/>
    </row>
    <row r="2253" spans="2:20" ht="38.25" hidden="1">
      <c r="B2253" s="828" t="s">
        <v>6567</v>
      </c>
      <c r="C2253" s="828">
        <v>92498</v>
      </c>
      <c r="D2253" s="630" t="s">
        <v>4035</v>
      </c>
      <c r="E2253" s="630" t="s">
        <v>649</v>
      </c>
      <c r="F2253" s="829">
        <v>39.21</v>
      </c>
      <c r="G2253" s="830">
        <v>26.06</v>
      </c>
      <c r="H2253" s="831">
        <v>65.27</v>
      </c>
      <c r="I2253" s="846"/>
      <c r="J2253" s="846"/>
      <c r="K2253" s="846"/>
      <c r="L2253" s="846"/>
      <c r="M2253" s="846"/>
      <c r="N2253" s="846"/>
      <c r="O2253" s="846"/>
      <c r="P2253" s="846"/>
      <c r="Q2253" s="846"/>
      <c r="R2253" s="846"/>
      <c r="S2253" s="846"/>
      <c r="T2253" s="846"/>
    </row>
    <row r="2254" spans="2:20" ht="38.25" hidden="1">
      <c r="B2254" s="828" t="s">
        <v>6567</v>
      </c>
      <c r="C2254" s="828">
        <v>92500</v>
      </c>
      <c r="D2254" s="630" t="s">
        <v>4036</v>
      </c>
      <c r="E2254" s="630" t="s">
        <v>649</v>
      </c>
      <c r="F2254" s="829">
        <v>68.97</v>
      </c>
      <c r="G2254" s="830">
        <v>33.630000000000003</v>
      </c>
      <c r="H2254" s="831">
        <v>102.6</v>
      </c>
      <c r="I2254" s="846"/>
      <c r="J2254" s="846"/>
      <c r="K2254" s="846"/>
      <c r="L2254" s="846"/>
      <c r="M2254" s="846"/>
      <c r="N2254" s="846"/>
      <c r="O2254" s="846"/>
      <c r="P2254" s="846"/>
      <c r="Q2254" s="846"/>
      <c r="R2254" s="846"/>
      <c r="S2254" s="846"/>
      <c r="T2254" s="846"/>
    </row>
    <row r="2255" spans="2:20" ht="38.25" hidden="1">
      <c r="B2255" s="828" t="s">
        <v>6567</v>
      </c>
      <c r="C2255" s="828">
        <v>92502</v>
      </c>
      <c r="D2255" s="630" t="s">
        <v>4037</v>
      </c>
      <c r="E2255" s="630" t="s">
        <v>649</v>
      </c>
      <c r="F2255" s="829">
        <v>38.129999999999995</v>
      </c>
      <c r="G2255" s="830">
        <v>24.08</v>
      </c>
      <c r="H2255" s="831">
        <v>62.21</v>
      </c>
      <c r="I2255" s="846"/>
      <c r="J2255" s="846"/>
      <c r="K2255" s="846"/>
      <c r="L2255" s="846"/>
      <c r="M2255" s="846"/>
      <c r="N2255" s="846"/>
      <c r="O2255" s="846"/>
      <c r="P2255" s="846"/>
      <c r="Q2255" s="846"/>
      <c r="R2255" s="846"/>
      <c r="S2255" s="846"/>
      <c r="T2255" s="846"/>
    </row>
    <row r="2256" spans="2:20" ht="38.25" hidden="1">
      <c r="B2256" s="828" t="s">
        <v>6567</v>
      </c>
      <c r="C2256" s="828">
        <v>92504</v>
      </c>
      <c r="D2256" s="630" t="s">
        <v>4038</v>
      </c>
      <c r="E2256" s="630" t="s">
        <v>649</v>
      </c>
      <c r="F2256" s="829">
        <v>38.160000000000004</v>
      </c>
      <c r="G2256" s="830">
        <v>28.77</v>
      </c>
      <c r="H2256" s="831">
        <v>66.930000000000007</v>
      </c>
      <c r="I2256" s="846"/>
      <c r="J2256" s="846"/>
      <c r="K2256" s="846"/>
      <c r="L2256" s="846"/>
      <c r="M2256" s="846"/>
      <c r="N2256" s="846"/>
      <c r="O2256" s="846"/>
      <c r="P2256" s="846"/>
      <c r="Q2256" s="846"/>
      <c r="R2256" s="846"/>
      <c r="S2256" s="846"/>
      <c r="T2256" s="846"/>
    </row>
    <row r="2257" spans="2:20" ht="38.25" hidden="1">
      <c r="B2257" s="828" t="s">
        <v>6567</v>
      </c>
      <c r="C2257" s="828">
        <v>92506</v>
      </c>
      <c r="D2257" s="630" t="s">
        <v>4039</v>
      </c>
      <c r="E2257" s="630" t="s">
        <v>649</v>
      </c>
      <c r="F2257" s="829">
        <v>36</v>
      </c>
      <c r="G2257" s="830">
        <v>20.55</v>
      </c>
      <c r="H2257" s="831">
        <v>56.55</v>
      </c>
      <c r="I2257" s="846"/>
      <c r="J2257" s="846"/>
      <c r="K2257" s="846"/>
      <c r="L2257" s="846"/>
      <c r="M2257" s="846"/>
      <c r="N2257" s="846"/>
      <c r="O2257" s="846"/>
      <c r="P2257" s="846"/>
      <c r="Q2257" s="846"/>
      <c r="R2257" s="846"/>
      <c r="S2257" s="846"/>
      <c r="T2257" s="846"/>
    </row>
    <row r="2258" spans="2:20" ht="38.25" hidden="1">
      <c r="B2258" s="828" t="s">
        <v>6567</v>
      </c>
      <c r="C2258" s="828">
        <v>92508</v>
      </c>
      <c r="D2258" s="630" t="s">
        <v>4040</v>
      </c>
      <c r="E2258" s="630" t="s">
        <v>649</v>
      </c>
      <c r="F2258" s="829">
        <v>78.990000000000009</v>
      </c>
      <c r="G2258" s="830">
        <v>33.25</v>
      </c>
      <c r="H2258" s="831">
        <v>112.24</v>
      </c>
      <c r="I2258" s="846"/>
      <c r="J2258" s="846"/>
      <c r="K2258" s="846"/>
      <c r="L2258" s="846"/>
      <c r="M2258" s="846"/>
      <c r="N2258" s="846"/>
      <c r="O2258" s="846"/>
      <c r="P2258" s="846"/>
      <c r="Q2258" s="846"/>
      <c r="R2258" s="846"/>
      <c r="S2258" s="846"/>
      <c r="T2258" s="846"/>
    </row>
    <row r="2259" spans="2:20" ht="38.25" hidden="1">
      <c r="B2259" s="828" t="s">
        <v>6567</v>
      </c>
      <c r="C2259" s="828">
        <v>92510</v>
      </c>
      <c r="D2259" s="630" t="s">
        <v>4041</v>
      </c>
      <c r="E2259" s="630" t="s">
        <v>649</v>
      </c>
      <c r="F2259" s="829">
        <v>47.010000000000005</v>
      </c>
      <c r="G2259" s="830">
        <v>19.43</v>
      </c>
      <c r="H2259" s="831">
        <v>66.44</v>
      </c>
      <c r="I2259" s="846"/>
      <c r="J2259" s="846"/>
      <c r="K2259" s="846"/>
      <c r="L2259" s="846"/>
      <c r="M2259" s="846"/>
      <c r="N2259" s="846"/>
      <c r="O2259" s="846"/>
      <c r="P2259" s="846"/>
      <c r="Q2259" s="846"/>
      <c r="R2259" s="846"/>
      <c r="S2259" s="846"/>
      <c r="T2259" s="846"/>
    </row>
    <row r="2260" spans="2:20" ht="38.25" hidden="1">
      <c r="B2260" s="828" t="s">
        <v>6567</v>
      </c>
      <c r="C2260" s="828">
        <v>92512</v>
      </c>
      <c r="D2260" s="630" t="s">
        <v>4042</v>
      </c>
      <c r="E2260" s="630" t="s">
        <v>649</v>
      </c>
      <c r="F2260" s="829">
        <v>66.91</v>
      </c>
      <c r="G2260" s="830">
        <v>30.57</v>
      </c>
      <c r="H2260" s="831">
        <v>97.48</v>
      </c>
      <c r="I2260" s="846"/>
      <c r="J2260" s="846"/>
      <c r="K2260" s="846"/>
      <c r="L2260" s="846"/>
      <c r="M2260" s="846"/>
      <c r="N2260" s="846"/>
      <c r="O2260" s="846"/>
      <c r="P2260" s="846"/>
      <c r="Q2260" s="846"/>
      <c r="R2260" s="846"/>
      <c r="S2260" s="846"/>
      <c r="T2260" s="846"/>
    </row>
    <row r="2261" spans="2:20" ht="38.25" hidden="1">
      <c r="B2261" s="828" t="s">
        <v>6567</v>
      </c>
      <c r="C2261" s="828">
        <v>92514</v>
      </c>
      <c r="D2261" s="630" t="s">
        <v>4043</v>
      </c>
      <c r="E2261" s="630" t="s">
        <v>649</v>
      </c>
      <c r="F2261" s="829">
        <v>35.22</v>
      </c>
      <c r="G2261" s="830">
        <v>17.78</v>
      </c>
      <c r="H2261" s="831">
        <v>53</v>
      </c>
      <c r="I2261" s="846"/>
      <c r="J2261" s="846"/>
      <c r="K2261" s="846"/>
      <c r="L2261" s="846"/>
      <c r="M2261" s="846"/>
      <c r="N2261" s="846"/>
      <c r="O2261" s="846"/>
      <c r="P2261" s="846"/>
      <c r="Q2261" s="846"/>
      <c r="R2261" s="846"/>
      <c r="S2261" s="846"/>
      <c r="T2261" s="846"/>
    </row>
    <row r="2262" spans="2:20" ht="38.25" hidden="1">
      <c r="B2262" s="828" t="s">
        <v>6567</v>
      </c>
      <c r="C2262" s="828">
        <v>92515</v>
      </c>
      <c r="D2262" s="630" t="s">
        <v>4044</v>
      </c>
      <c r="E2262" s="630" t="s">
        <v>649</v>
      </c>
      <c r="F2262" s="829">
        <v>61.66</v>
      </c>
      <c r="G2262" s="830">
        <v>28.18</v>
      </c>
      <c r="H2262" s="831">
        <v>89.84</v>
      </c>
      <c r="I2262" s="846"/>
      <c r="J2262" s="846"/>
      <c r="K2262" s="846"/>
      <c r="L2262" s="846"/>
      <c r="M2262" s="846"/>
      <c r="N2262" s="846"/>
      <c r="O2262" s="846"/>
      <c r="P2262" s="846"/>
      <c r="Q2262" s="846"/>
      <c r="R2262" s="846"/>
      <c r="S2262" s="846"/>
      <c r="T2262" s="846"/>
    </row>
    <row r="2263" spans="2:20" ht="38.25" hidden="1">
      <c r="B2263" s="828" t="s">
        <v>6567</v>
      </c>
      <c r="C2263" s="828">
        <v>92518</v>
      </c>
      <c r="D2263" s="630" t="s">
        <v>4045</v>
      </c>
      <c r="E2263" s="630" t="s">
        <v>649</v>
      </c>
      <c r="F2263" s="829">
        <v>30.21</v>
      </c>
      <c r="G2263" s="830">
        <v>16.39</v>
      </c>
      <c r="H2263" s="831">
        <v>46.6</v>
      </c>
      <c r="I2263" s="846"/>
      <c r="J2263" s="846"/>
      <c r="K2263" s="846"/>
      <c r="L2263" s="846"/>
      <c r="M2263" s="846"/>
      <c r="N2263" s="846"/>
      <c r="O2263" s="846"/>
      <c r="P2263" s="846"/>
      <c r="Q2263" s="846"/>
      <c r="R2263" s="846"/>
      <c r="S2263" s="846"/>
      <c r="T2263" s="846"/>
    </row>
    <row r="2264" spans="2:20" ht="38.25" hidden="1">
      <c r="B2264" s="828" t="s">
        <v>6567</v>
      </c>
      <c r="C2264" s="828">
        <v>92520</v>
      </c>
      <c r="D2264" s="630" t="s">
        <v>4046</v>
      </c>
      <c r="E2264" s="630" t="s">
        <v>649</v>
      </c>
      <c r="F2264" s="829">
        <v>58.64</v>
      </c>
      <c r="G2264" s="830">
        <v>26.03</v>
      </c>
      <c r="H2264" s="831">
        <v>84.67</v>
      </c>
      <c r="I2264" s="846"/>
      <c r="J2264" s="846"/>
      <c r="K2264" s="846"/>
      <c r="L2264" s="846"/>
      <c r="M2264" s="846"/>
      <c r="N2264" s="846"/>
      <c r="O2264" s="846"/>
      <c r="P2264" s="846"/>
      <c r="Q2264" s="846"/>
      <c r="R2264" s="846"/>
      <c r="S2264" s="846"/>
      <c r="T2264" s="846"/>
    </row>
    <row r="2265" spans="2:20" ht="38.25" hidden="1">
      <c r="B2265" s="828" t="s">
        <v>6567</v>
      </c>
      <c r="C2265" s="828">
        <v>92522</v>
      </c>
      <c r="D2265" s="630" t="s">
        <v>4047</v>
      </c>
      <c r="E2265" s="630" t="s">
        <v>649</v>
      </c>
      <c r="F2265" s="829">
        <v>27.46</v>
      </c>
      <c r="G2265" s="830">
        <v>15.11</v>
      </c>
      <c r="H2265" s="831">
        <v>42.57</v>
      </c>
      <c r="I2265" s="846"/>
      <c r="J2265" s="846"/>
      <c r="K2265" s="846"/>
      <c r="L2265" s="846"/>
      <c r="M2265" s="846"/>
      <c r="N2265" s="846"/>
      <c r="O2265" s="846"/>
      <c r="P2265" s="846"/>
      <c r="Q2265" s="846"/>
      <c r="R2265" s="846"/>
      <c r="S2265" s="846"/>
      <c r="T2265" s="846"/>
    </row>
    <row r="2266" spans="2:20" ht="38.25" hidden="1">
      <c r="B2266" s="828" t="s">
        <v>6567</v>
      </c>
      <c r="C2266" s="828">
        <v>92524</v>
      </c>
      <c r="D2266" s="630" t="s">
        <v>7074</v>
      </c>
      <c r="E2266" s="630" t="s">
        <v>649</v>
      </c>
      <c r="F2266" s="829">
        <v>59.75</v>
      </c>
      <c r="G2266" s="830">
        <v>24.02</v>
      </c>
      <c r="H2266" s="831">
        <v>83.77</v>
      </c>
      <c r="I2266" s="846"/>
      <c r="J2266" s="846"/>
      <c r="K2266" s="846"/>
      <c r="L2266" s="846"/>
      <c r="M2266" s="846"/>
      <c r="N2266" s="846"/>
      <c r="O2266" s="846"/>
      <c r="P2266" s="846"/>
      <c r="Q2266" s="846"/>
      <c r="R2266" s="846"/>
      <c r="S2266" s="846"/>
      <c r="T2266" s="846"/>
    </row>
    <row r="2267" spans="2:20" ht="38.25" hidden="1">
      <c r="B2267" s="828" t="s">
        <v>6567</v>
      </c>
      <c r="C2267" s="828">
        <v>92526</v>
      </c>
      <c r="D2267" s="630" t="s">
        <v>4048</v>
      </c>
      <c r="E2267" s="630" t="s">
        <v>649</v>
      </c>
      <c r="F2267" s="829">
        <v>28.8</v>
      </c>
      <c r="G2267" s="830">
        <v>13.94</v>
      </c>
      <c r="H2267" s="831">
        <v>42.74</v>
      </c>
      <c r="I2267" s="846"/>
      <c r="J2267" s="846"/>
      <c r="K2267" s="846"/>
      <c r="L2267" s="846"/>
      <c r="M2267" s="846"/>
      <c r="N2267" s="846"/>
      <c r="O2267" s="846"/>
      <c r="P2267" s="846"/>
      <c r="Q2267" s="846"/>
      <c r="R2267" s="846"/>
      <c r="S2267" s="846"/>
      <c r="T2267" s="846"/>
    </row>
    <row r="2268" spans="2:20" ht="38.25" hidden="1">
      <c r="B2268" s="828" t="s">
        <v>6567</v>
      </c>
      <c r="C2268" s="828">
        <v>92528</v>
      </c>
      <c r="D2268" s="630" t="s">
        <v>4049</v>
      </c>
      <c r="E2268" s="630" t="s">
        <v>649</v>
      </c>
      <c r="F2268" s="829">
        <v>58.09</v>
      </c>
      <c r="G2268" s="830">
        <v>22.2</v>
      </c>
      <c r="H2268" s="831">
        <v>80.290000000000006</v>
      </c>
      <c r="I2268" s="846"/>
      <c r="J2268" s="846"/>
      <c r="K2268" s="846"/>
      <c r="L2268" s="846"/>
      <c r="M2268" s="846"/>
      <c r="N2268" s="846"/>
      <c r="O2268" s="846"/>
      <c r="P2268" s="846"/>
      <c r="Q2268" s="846"/>
      <c r="R2268" s="846"/>
      <c r="S2268" s="846"/>
      <c r="T2268" s="846"/>
    </row>
    <row r="2269" spans="2:20" ht="38.25" hidden="1">
      <c r="B2269" s="828" t="s">
        <v>6567</v>
      </c>
      <c r="C2269" s="828">
        <v>92530</v>
      </c>
      <c r="D2269" s="630" t="s">
        <v>4050</v>
      </c>
      <c r="E2269" s="630" t="s">
        <v>649</v>
      </c>
      <c r="F2269" s="829">
        <v>27.35</v>
      </c>
      <c r="G2269" s="830">
        <v>12.89</v>
      </c>
      <c r="H2269" s="831">
        <v>40.24</v>
      </c>
      <c r="I2269" s="846"/>
      <c r="J2269" s="846"/>
      <c r="K2269" s="846"/>
      <c r="L2269" s="846"/>
      <c r="M2269" s="846"/>
      <c r="N2269" s="846"/>
      <c r="O2269" s="846"/>
      <c r="P2269" s="846"/>
      <c r="Q2269" s="846"/>
      <c r="R2269" s="846"/>
      <c r="S2269" s="846"/>
      <c r="T2269" s="846"/>
    </row>
    <row r="2270" spans="2:20" ht="38.25" hidden="1">
      <c r="B2270" s="828" t="s">
        <v>6567</v>
      </c>
      <c r="C2270" s="828">
        <v>92532</v>
      </c>
      <c r="D2270" s="630" t="s">
        <v>4051</v>
      </c>
      <c r="E2270" s="630" t="s">
        <v>649</v>
      </c>
      <c r="F2270" s="829">
        <v>56.739999999999995</v>
      </c>
      <c r="G2270" s="830">
        <v>20.52</v>
      </c>
      <c r="H2270" s="831">
        <v>77.260000000000005</v>
      </c>
      <c r="I2270" s="846"/>
      <c r="J2270" s="846"/>
      <c r="K2270" s="846"/>
      <c r="L2270" s="846"/>
      <c r="M2270" s="846"/>
      <c r="N2270" s="846"/>
      <c r="O2270" s="846"/>
      <c r="P2270" s="846"/>
      <c r="Q2270" s="846"/>
      <c r="R2270" s="846"/>
      <c r="S2270" s="846"/>
      <c r="T2270" s="846"/>
    </row>
    <row r="2271" spans="2:20" ht="38.25" hidden="1">
      <c r="B2271" s="828" t="s">
        <v>6567</v>
      </c>
      <c r="C2271" s="828">
        <v>92534</v>
      </c>
      <c r="D2271" s="630" t="s">
        <v>4052</v>
      </c>
      <c r="E2271" s="630" t="s">
        <v>649</v>
      </c>
      <c r="F2271" s="829">
        <v>26.200000000000003</v>
      </c>
      <c r="G2271" s="830">
        <v>11.91</v>
      </c>
      <c r="H2271" s="831">
        <v>38.11</v>
      </c>
      <c r="I2271" s="846"/>
      <c r="J2271" s="846"/>
      <c r="K2271" s="846"/>
      <c r="L2271" s="846"/>
      <c r="M2271" s="846"/>
      <c r="N2271" s="846"/>
      <c r="O2271" s="846"/>
      <c r="P2271" s="846"/>
      <c r="Q2271" s="846"/>
      <c r="R2271" s="846"/>
      <c r="S2271" s="846"/>
      <c r="T2271" s="846"/>
    </row>
    <row r="2272" spans="2:20" ht="38.25" hidden="1">
      <c r="B2272" s="828" t="s">
        <v>6567</v>
      </c>
      <c r="C2272" s="828">
        <v>92536</v>
      </c>
      <c r="D2272" s="630" t="s">
        <v>4053</v>
      </c>
      <c r="E2272" s="630" t="s">
        <v>649</v>
      </c>
      <c r="F2272" s="829">
        <v>53.95</v>
      </c>
      <c r="G2272" s="830">
        <v>17.52</v>
      </c>
      <c r="H2272" s="831">
        <v>71.47</v>
      </c>
      <c r="I2272" s="846"/>
      <c r="J2272" s="846"/>
      <c r="K2272" s="846"/>
      <c r="L2272" s="846"/>
      <c r="M2272" s="846"/>
      <c r="N2272" s="846"/>
      <c r="O2272" s="846"/>
      <c r="P2272" s="846"/>
      <c r="Q2272" s="846"/>
      <c r="R2272" s="846"/>
      <c r="S2272" s="846"/>
      <c r="T2272" s="846"/>
    </row>
    <row r="2273" spans="2:20" ht="38.25" hidden="1">
      <c r="B2273" s="828" t="s">
        <v>6567</v>
      </c>
      <c r="C2273" s="828">
        <v>92538</v>
      </c>
      <c r="D2273" s="630" t="s">
        <v>4054</v>
      </c>
      <c r="E2273" s="630" t="s">
        <v>649</v>
      </c>
      <c r="F2273" s="829">
        <v>23.75</v>
      </c>
      <c r="G2273" s="830">
        <v>10.14</v>
      </c>
      <c r="H2273" s="831">
        <v>33.89</v>
      </c>
      <c r="I2273" s="846"/>
      <c r="J2273" s="846"/>
      <c r="K2273" s="846"/>
      <c r="L2273" s="846"/>
      <c r="M2273" s="846"/>
      <c r="N2273" s="846"/>
      <c r="O2273" s="846"/>
      <c r="P2273" s="846"/>
      <c r="Q2273" s="846"/>
      <c r="R2273" s="846"/>
      <c r="S2273" s="846"/>
      <c r="T2273" s="846"/>
    </row>
    <row r="2274" spans="2:20" ht="25.5" hidden="1">
      <c r="B2274" s="828" t="s">
        <v>6567</v>
      </c>
      <c r="C2274" s="828">
        <v>96252</v>
      </c>
      <c r="D2274" s="630" t="s">
        <v>2303</v>
      </c>
      <c r="E2274" s="630" t="s">
        <v>649</v>
      </c>
      <c r="F2274" s="829">
        <v>189.06000000000003</v>
      </c>
      <c r="G2274" s="830">
        <v>64.7</v>
      </c>
      <c r="H2274" s="831">
        <v>253.76</v>
      </c>
      <c r="I2274" s="846"/>
      <c r="J2274" s="846"/>
      <c r="K2274" s="846"/>
      <c r="L2274" s="846"/>
      <c r="M2274" s="846"/>
      <c r="N2274" s="846"/>
      <c r="O2274" s="846"/>
      <c r="P2274" s="846"/>
      <c r="Q2274" s="846"/>
      <c r="R2274" s="846"/>
      <c r="S2274" s="846"/>
      <c r="T2274" s="846"/>
    </row>
    <row r="2275" spans="2:20" ht="38.25" hidden="1">
      <c r="B2275" s="828" t="s">
        <v>6567</v>
      </c>
      <c r="C2275" s="828">
        <v>96257</v>
      </c>
      <c r="D2275" s="630" t="s">
        <v>2304</v>
      </c>
      <c r="E2275" s="630" t="s">
        <v>649</v>
      </c>
      <c r="F2275" s="829">
        <v>122.45</v>
      </c>
      <c r="G2275" s="830">
        <v>90.82</v>
      </c>
      <c r="H2275" s="831">
        <v>213.27</v>
      </c>
      <c r="I2275" s="846"/>
      <c r="J2275" s="846"/>
      <c r="K2275" s="846"/>
      <c r="L2275" s="846"/>
      <c r="M2275" s="846"/>
      <c r="N2275" s="846"/>
      <c r="O2275" s="846"/>
      <c r="P2275" s="846"/>
      <c r="Q2275" s="846"/>
      <c r="R2275" s="846"/>
      <c r="S2275" s="846"/>
      <c r="T2275" s="846"/>
    </row>
    <row r="2276" spans="2:20" ht="38.25" hidden="1">
      <c r="B2276" s="828" t="s">
        <v>6567</v>
      </c>
      <c r="C2276" s="828">
        <v>96258</v>
      </c>
      <c r="D2276" s="630" t="s">
        <v>2305</v>
      </c>
      <c r="E2276" s="630" t="s">
        <v>649</v>
      </c>
      <c r="F2276" s="829">
        <v>117.57000000000001</v>
      </c>
      <c r="G2276" s="830">
        <v>82.23</v>
      </c>
      <c r="H2276" s="831">
        <v>199.8</v>
      </c>
      <c r="I2276" s="846"/>
      <c r="J2276" s="846"/>
      <c r="K2276" s="846"/>
      <c r="L2276" s="846"/>
      <c r="M2276" s="846"/>
      <c r="N2276" s="846"/>
      <c r="O2276" s="846"/>
      <c r="P2276" s="846"/>
      <c r="Q2276" s="846"/>
      <c r="R2276" s="846"/>
      <c r="S2276" s="846"/>
      <c r="T2276" s="846"/>
    </row>
    <row r="2277" spans="2:20" ht="38.25" hidden="1">
      <c r="B2277" s="828" t="s">
        <v>6567</v>
      </c>
      <c r="C2277" s="828">
        <v>96259</v>
      </c>
      <c r="D2277" s="630" t="s">
        <v>2306</v>
      </c>
      <c r="E2277" s="630" t="s">
        <v>649</v>
      </c>
      <c r="F2277" s="829">
        <v>126.73</v>
      </c>
      <c r="G2277" s="830">
        <v>114.29</v>
      </c>
      <c r="H2277" s="831">
        <v>241.02</v>
      </c>
      <c r="I2277" s="846"/>
      <c r="J2277" s="846"/>
      <c r="K2277" s="846"/>
      <c r="L2277" s="846"/>
      <c r="M2277" s="846"/>
      <c r="N2277" s="846"/>
      <c r="O2277" s="846"/>
      <c r="P2277" s="846"/>
      <c r="Q2277" s="846"/>
      <c r="R2277" s="846"/>
      <c r="S2277" s="846"/>
      <c r="T2277" s="846"/>
    </row>
    <row r="2278" spans="2:20" ht="25.5" hidden="1">
      <c r="B2278" s="828" t="s">
        <v>6567</v>
      </c>
      <c r="C2278" s="828">
        <v>96529</v>
      </c>
      <c r="D2278" s="630" t="s">
        <v>2307</v>
      </c>
      <c r="E2278" s="630" t="s">
        <v>649</v>
      </c>
      <c r="F2278" s="829">
        <v>256.84000000000003</v>
      </c>
      <c r="G2278" s="830">
        <v>142.33000000000001</v>
      </c>
      <c r="H2278" s="831">
        <v>399.17</v>
      </c>
      <c r="I2278" s="846"/>
      <c r="J2278" s="846"/>
      <c r="K2278" s="846"/>
      <c r="L2278" s="846"/>
      <c r="M2278" s="846"/>
      <c r="N2278" s="846"/>
      <c r="O2278" s="846"/>
      <c r="P2278" s="846"/>
      <c r="Q2278" s="846"/>
      <c r="R2278" s="846"/>
      <c r="S2278" s="846"/>
      <c r="T2278" s="846"/>
    </row>
    <row r="2279" spans="2:20" ht="25.5" hidden="1">
      <c r="B2279" s="828" t="s">
        <v>6567</v>
      </c>
      <c r="C2279" s="828">
        <v>96530</v>
      </c>
      <c r="D2279" s="630" t="s">
        <v>2308</v>
      </c>
      <c r="E2279" s="630" t="s">
        <v>649</v>
      </c>
      <c r="F2279" s="829">
        <v>171.78</v>
      </c>
      <c r="G2279" s="830">
        <v>50.89</v>
      </c>
      <c r="H2279" s="831">
        <v>222.67</v>
      </c>
      <c r="I2279" s="846"/>
      <c r="J2279" s="846"/>
      <c r="K2279" s="846"/>
      <c r="L2279" s="846"/>
      <c r="M2279" s="846"/>
      <c r="N2279" s="846"/>
      <c r="O2279" s="846"/>
      <c r="P2279" s="846"/>
      <c r="Q2279" s="846"/>
      <c r="R2279" s="846"/>
      <c r="S2279" s="846"/>
      <c r="T2279" s="846"/>
    </row>
    <row r="2280" spans="2:20" ht="38.25" hidden="1">
      <c r="B2280" s="828" t="s">
        <v>6567</v>
      </c>
      <c r="C2280" s="828">
        <v>96531</v>
      </c>
      <c r="D2280" s="630" t="s">
        <v>2309</v>
      </c>
      <c r="E2280" s="630" t="s">
        <v>649</v>
      </c>
      <c r="F2280" s="829">
        <v>101.91</v>
      </c>
      <c r="G2280" s="830">
        <v>50.76</v>
      </c>
      <c r="H2280" s="831">
        <v>152.66999999999999</v>
      </c>
      <c r="I2280" s="846"/>
      <c r="J2280" s="846"/>
      <c r="K2280" s="846"/>
      <c r="L2280" s="846"/>
      <c r="M2280" s="846"/>
      <c r="N2280" s="846"/>
      <c r="O2280" s="846"/>
      <c r="P2280" s="846"/>
      <c r="Q2280" s="846"/>
      <c r="R2280" s="846"/>
      <c r="S2280" s="846"/>
      <c r="T2280" s="846"/>
    </row>
    <row r="2281" spans="2:20" ht="25.5" hidden="1">
      <c r="B2281" s="828" t="s">
        <v>6567</v>
      </c>
      <c r="C2281" s="828">
        <v>96532</v>
      </c>
      <c r="D2281" s="630" t="s">
        <v>2310</v>
      </c>
      <c r="E2281" s="630" t="s">
        <v>649</v>
      </c>
      <c r="F2281" s="829">
        <v>143.43999999999997</v>
      </c>
      <c r="G2281" s="830">
        <v>107.88</v>
      </c>
      <c r="H2281" s="831">
        <v>251.32</v>
      </c>
      <c r="I2281" s="846"/>
      <c r="J2281" s="846"/>
      <c r="K2281" s="846"/>
      <c r="L2281" s="846"/>
      <c r="M2281" s="846"/>
      <c r="N2281" s="846"/>
      <c r="O2281" s="846"/>
      <c r="P2281" s="846"/>
      <c r="Q2281" s="846"/>
      <c r="R2281" s="846"/>
      <c r="S2281" s="846"/>
      <c r="T2281" s="846"/>
    </row>
    <row r="2282" spans="2:20" ht="25.5" hidden="1">
      <c r="B2282" s="828" t="s">
        <v>6567</v>
      </c>
      <c r="C2282" s="828">
        <v>96533</v>
      </c>
      <c r="D2282" s="630" t="s">
        <v>2311</v>
      </c>
      <c r="E2282" s="630" t="s">
        <v>649</v>
      </c>
      <c r="F2282" s="829">
        <v>94.17</v>
      </c>
      <c r="G2282" s="830">
        <v>41.85</v>
      </c>
      <c r="H2282" s="831">
        <v>136.02000000000001</v>
      </c>
      <c r="I2282" s="846"/>
      <c r="J2282" s="846"/>
      <c r="K2282" s="846"/>
      <c r="L2282" s="846"/>
      <c r="M2282" s="846"/>
      <c r="N2282" s="846"/>
      <c r="O2282" s="846"/>
      <c r="P2282" s="846"/>
      <c r="Q2282" s="846"/>
      <c r="R2282" s="846"/>
      <c r="S2282" s="846"/>
      <c r="T2282" s="846"/>
    </row>
    <row r="2283" spans="2:20" ht="38.25" hidden="1">
      <c r="B2283" s="828" t="s">
        <v>6567</v>
      </c>
      <c r="C2283" s="828">
        <v>96534</v>
      </c>
      <c r="D2283" s="630" t="s">
        <v>2312</v>
      </c>
      <c r="E2283" s="630" t="s">
        <v>649</v>
      </c>
      <c r="F2283" s="829">
        <v>59.1</v>
      </c>
      <c r="G2283" s="830">
        <v>45.84</v>
      </c>
      <c r="H2283" s="831">
        <v>104.94</v>
      </c>
      <c r="I2283" s="846"/>
      <c r="J2283" s="846"/>
      <c r="K2283" s="846"/>
      <c r="L2283" s="846"/>
      <c r="M2283" s="846"/>
      <c r="N2283" s="846"/>
      <c r="O2283" s="846"/>
      <c r="P2283" s="846"/>
      <c r="Q2283" s="846"/>
      <c r="R2283" s="846"/>
      <c r="S2283" s="846"/>
      <c r="T2283" s="846"/>
    </row>
    <row r="2284" spans="2:20" ht="25.5" hidden="1">
      <c r="B2284" s="828" t="s">
        <v>6567</v>
      </c>
      <c r="C2284" s="828">
        <v>96535</v>
      </c>
      <c r="D2284" s="630" t="s">
        <v>2313</v>
      </c>
      <c r="E2284" s="630" t="s">
        <v>649</v>
      </c>
      <c r="F2284" s="829">
        <v>84.41</v>
      </c>
      <c r="G2284" s="830">
        <v>89.92</v>
      </c>
      <c r="H2284" s="831">
        <v>174.33</v>
      </c>
      <c r="I2284" s="846"/>
      <c r="J2284" s="846"/>
      <c r="K2284" s="846"/>
      <c r="L2284" s="846"/>
      <c r="M2284" s="846"/>
      <c r="N2284" s="846"/>
      <c r="O2284" s="846"/>
      <c r="P2284" s="846"/>
      <c r="Q2284" s="846"/>
      <c r="R2284" s="846"/>
      <c r="S2284" s="846"/>
      <c r="T2284" s="846"/>
    </row>
    <row r="2285" spans="2:20" ht="25.5" hidden="1">
      <c r="B2285" s="828" t="s">
        <v>6567</v>
      </c>
      <c r="C2285" s="828">
        <v>96536</v>
      </c>
      <c r="D2285" s="630" t="s">
        <v>2314</v>
      </c>
      <c r="E2285" s="630" t="s">
        <v>649</v>
      </c>
      <c r="F2285" s="829">
        <v>53.79</v>
      </c>
      <c r="G2285" s="830">
        <v>37.14</v>
      </c>
      <c r="H2285" s="831">
        <v>90.93</v>
      </c>
      <c r="I2285" s="846"/>
      <c r="J2285" s="846"/>
      <c r="K2285" s="846"/>
      <c r="L2285" s="846"/>
      <c r="M2285" s="846"/>
      <c r="N2285" s="846"/>
      <c r="O2285" s="846"/>
      <c r="P2285" s="846"/>
      <c r="Q2285" s="846"/>
      <c r="R2285" s="846"/>
      <c r="S2285" s="846"/>
      <c r="T2285" s="846"/>
    </row>
    <row r="2286" spans="2:20" ht="38.25" hidden="1">
      <c r="B2286" s="828" t="s">
        <v>6567</v>
      </c>
      <c r="C2286" s="828">
        <v>96537</v>
      </c>
      <c r="D2286" s="630" t="s">
        <v>2315</v>
      </c>
      <c r="E2286" s="630" t="s">
        <v>649</v>
      </c>
      <c r="F2286" s="829">
        <v>123.97</v>
      </c>
      <c r="G2286" s="830">
        <v>83.66</v>
      </c>
      <c r="H2286" s="831">
        <v>207.63</v>
      </c>
      <c r="I2286" s="846"/>
      <c r="J2286" s="846"/>
      <c r="K2286" s="846"/>
      <c r="L2286" s="846"/>
      <c r="M2286" s="846"/>
      <c r="N2286" s="846"/>
      <c r="O2286" s="846"/>
      <c r="P2286" s="846"/>
      <c r="Q2286" s="846"/>
      <c r="R2286" s="846"/>
      <c r="S2286" s="846"/>
      <c r="T2286" s="846"/>
    </row>
    <row r="2287" spans="2:20" ht="38.25" hidden="1">
      <c r="B2287" s="828" t="s">
        <v>6567</v>
      </c>
      <c r="C2287" s="828">
        <v>96538</v>
      </c>
      <c r="D2287" s="630" t="s">
        <v>2316</v>
      </c>
      <c r="E2287" s="630" t="s">
        <v>649</v>
      </c>
      <c r="F2287" s="829">
        <v>131.73000000000002</v>
      </c>
      <c r="G2287" s="830">
        <v>153.80000000000001</v>
      </c>
      <c r="H2287" s="831">
        <v>285.52999999999997</v>
      </c>
      <c r="I2287" s="846"/>
      <c r="J2287" s="846"/>
      <c r="K2287" s="846"/>
      <c r="L2287" s="846"/>
      <c r="M2287" s="846"/>
      <c r="N2287" s="846"/>
      <c r="O2287" s="846"/>
      <c r="P2287" s="846"/>
      <c r="Q2287" s="846"/>
      <c r="R2287" s="846"/>
      <c r="S2287" s="846"/>
      <c r="T2287" s="846"/>
    </row>
    <row r="2288" spans="2:20" ht="38.25" hidden="1">
      <c r="B2288" s="828" t="s">
        <v>6567</v>
      </c>
      <c r="C2288" s="828">
        <v>96539</v>
      </c>
      <c r="D2288" s="630" t="s">
        <v>2317</v>
      </c>
      <c r="E2288" s="630" t="s">
        <v>649</v>
      </c>
      <c r="F2288" s="829">
        <v>65.709999999999994</v>
      </c>
      <c r="G2288" s="830">
        <v>62.95</v>
      </c>
      <c r="H2288" s="831">
        <v>128.66</v>
      </c>
      <c r="I2288" s="846"/>
      <c r="J2288" s="846"/>
      <c r="K2288" s="846"/>
      <c r="L2288" s="846"/>
      <c r="M2288" s="846"/>
      <c r="N2288" s="846"/>
      <c r="O2288" s="846"/>
      <c r="P2288" s="846"/>
      <c r="Q2288" s="846"/>
      <c r="R2288" s="846"/>
      <c r="S2288" s="846"/>
      <c r="T2288" s="846"/>
    </row>
    <row r="2289" spans="2:20" ht="38.25" hidden="1">
      <c r="B2289" s="828" t="s">
        <v>6567</v>
      </c>
      <c r="C2289" s="828">
        <v>96540</v>
      </c>
      <c r="D2289" s="630" t="s">
        <v>2318</v>
      </c>
      <c r="E2289" s="630" t="s">
        <v>649</v>
      </c>
      <c r="F2289" s="829">
        <v>74.06</v>
      </c>
      <c r="G2289" s="830">
        <v>71.709999999999994</v>
      </c>
      <c r="H2289" s="831">
        <v>145.77000000000001</v>
      </c>
      <c r="I2289" s="846"/>
      <c r="J2289" s="846"/>
      <c r="K2289" s="846"/>
      <c r="L2289" s="846"/>
      <c r="M2289" s="846"/>
      <c r="N2289" s="846"/>
      <c r="O2289" s="846"/>
      <c r="P2289" s="846"/>
      <c r="Q2289" s="846"/>
      <c r="R2289" s="846"/>
      <c r="S2289" s="846"/>
      <c r="T2289" s="846"/>
    </row>
    <row r="2290" spans="2:20" ht="38.25" hidden="1">
      <c r="B2290" s="828" t="s">
        <v>6567</v>
      </c>
      <c r="C2290" s="828">
        <v>96541</v>
      </c>
      <c r="D2290" s="630" t="s">
        <v>2319</v>
      </c>
      <c r="E2290" s="630" t="s">
        <v>649</v>
      </c>
      <c r="F2290" s="829">
        <v>82.25</v>
      </c>
      <c r="G2290" s="830">
        <v>123.07</v>
      </c>
      <c r="H2290" s="831">
        <v>205.32</v>
      </c>
      <c r="I2290" s="846"/>
      <c r="J2290" s="846"/>
      <c r="K2290" s="846"/>
      <c r="L2290" s="846"/>
      <c r="M2290" s="846"/>
      <c r="N2290" s="846"/>
      <c r="O2290" s="846"/>
      <c r="P2290" s="846"/>
      <c r="Q2290" s="846"/>
      <c r="R2290" s="846"/>
      <c r="S2290" s="846"/>
      <c r="T2290" s="846"/>
    </row>
    <row r="2291" spans="2:20" ht="38.25" hidden="1">
      <c r="B2291" s="828" t="s">
        <v>6567</v>
      </c>
      <c r="C2291" s="828">
        <v>96542</v>
      </c>
      <c r="D2291" s="630" t="s">
        <v>2320</v>
      </c>
      <c r="E2291" s="630" t="s">
        <v>649</v>
      </c>
      <c r="F2291" s="829">
        <v>41.78</v>
      </c>
      <c r="G2291" s="830">
        <v>56.78</v>
      </c>
      <c r="H2291" s="831">
        <v>98.56</v>
      </c>
      <c r="I2291" s="846"/>
      <c r="J2291" s="846"/>
      <c r="K2291" s="846"/>
      <c r="L2291" s="846"/>
      <c r="M2291" s="846"/>
      <c r="N2291" s="846"/>
      <c r="O2291" s="846"/>
      <c r="P2291" s="846"/>
      <c r="Q2291" s="846"/>
      <c r="R2291" s="846"/>
      <c r="S2291" s="846"/>
      <c r="T2291" s="846"/>
    </row>
    <row r="2292" spans="2:20" ht="25.5" hidden="1">
      <c r="B2292" s="828" t="s">
        <v>6567</v>
      </c>
      <c r="C2292" s="828">
        <v>96543</v>
      </c>
      <c r="D2292" s="630" t="s">
        <v>2321</v>
      </c>
      <c r="E2292" s="630" t="s">
        <v>645</v>
      </c>
      <c r="F2292" s="829">
        <v>12.81</v>
      </c>
      <c r="G2292" s="830">
        <v>7.36</v>
      </c>
      <c r="H2292" s="831">
        <v>20.170000000000002</v>
      </c>
      <c r="I2292" s="846"/>
      <c r="J2292" s="846"/>
      <c r="K2292" s="846"/>
      <c r="L2292" s="846"/>
      <c r="M2292" s="846"/>
      <c r="N2292" s="846"/>
      <c r="O2292" s="846"/>
      <c r="P2292" s="846"/>
      <c r="Q2292" s="846"/>
      <c r="R2292" s="846"/>
      <c r="S2292" s="846"/>
      <c r="T2292" s="846"/>
    </row>
    <row r="2293" spans="2:20" ht="38.25" hidden="1">
      <c r="B2293" s="828" t="s">
        <v>6567</v>
      </c>
      <c r="C2293" s="828">
        <v>97747</v>
      </c>
      <c r="D2293" s="630" t="s">
        <v>2782</v>
      </c>
      <c r="E2293" s="630" t="s">
        <v>649</v>
      </c>
      <c r="F2293" s="829">
        <v>121.72000000000001</v>
      </c>
      <c r="G2293" s="830">
        <v>101.83</v>
      </c>
      <c r="H2293" s="831">
        <v>223.55</v>
      </c>
      <c r="I2293" s="846"/>
      <c r="J2293" s="846"/>
      <c r="K2293" s="846"/>
      <c r="L2293" s="846"/>
      <c r="M2293" s="846"/>
      <c r="N2293" s="846"/>
      <c r="O2293" s="846"/>
      <c r="P2293" s="846"/>
      <c r="Q2293" s="846"/>
      <c r="R2293" s="846"/>
      <c r="S2293" s="846"/>
      <c r="T2293" s="846"/>
    </row>
    <row r="2294" spans="2:20" ht="25.5" hidden="1">
      <c r="B2294" s="828" t="s">
        <v>6567</v>
      </c>
      <c r="C2294" s="828">
        <v>101791</v>
      </c>
      <c r="D2294" s="630" t="s">
        <v>4055</v>
      </c>
      <c r="E2294" s="630" t="s">
        <v>648</v>
      </c>
      <c r="F2294" s="829">
        <v>20.75</v>
      </c>
      <c r="G2294" s="830">
        <v>1.93</v>
      </c>
      <c r="H2294" s="831">
        <v>22.68</v>
      </c>
      <c r="I2294" s="846"/>
      <c r="J2294" s="846"/>
      <c r="K2294" s="846"/>
      <c r="L2294" s="846"/>
      <c r="M2294" s="846"/>
      <c r="N2294" s="846"/>
      <c r="O2294" s="846"/>
      <c r="P2294" s="846"/>
      <c r="Q2294" s="846"/>
      <c r="R2294" s="846"/>
      <c r="S2294" s="846"/>
      <c r="T2294" s="846"/>
    </row>
    <row r="2295" spans="2:20" ht="25.5" hidden="1">
      <c r="B2295" s="828" t="s">
        <v>6567</v>
      </c>
      <c r="C2295" s="828">
        <v>101792</v>
      </c>
      <c r="D2295" s="630" t="s">
        <v>4056</v>
      </c>
      <c r="E2295" s="630" t="s">
        <v>644</v>
      </c>
      <c r="F2295" s="829">
        <v>10.9</v>
      </c>
      <c r="G2295" s="830">
        <v>6.65</v>
      </c>
      <c r="H2295" s="831">
        <v>17.55</v>
      </c>
      <c r="I2295" s="846"/>
      <c r="J2295" s="846"/>
      <c r="K2295" s="846"/>
      <c r="L2295" s="846"/>
      <c r="M2295" s="846"/>
      <c r="N2295" s="846"/>
      <c r="O2295" s="846"/>
      <c r="P2295" s="846"/>
      <c r="Q2295" s="846"/>
      <c r="R2295" s="846"/>
      <c r="S2295" s="846"/>
      <c r="T2295" s="846"/>
    </row>
    <row r="2296" spans="2:20" ht="25.5" hidden="1">
      <c r="B2296" s="828" t="s">
        <v>6567</v>
      </c>
      <c r="C2296" s="828">
        <v>101793</v>
      </c>
      <c r="D2296" s="630" t="s">
        <v>4057</v>
      </c>
      <c r="E2296" s="630" t="s">
        <v>644</v>
      </c>
      <c r="F2296" s="829">
        <v>16.489999999999998</v>
      </c>
      <c r="G2296" s="830">
        <v>8.98</v>
      </c>
      <c r="H2296" s="831">
        <v>25.47</v>
      </c>
      <c r="I2296" s="846"/>
      <c r="J2296" s="846"/>
      <c r="K2296" s="846"/>
      <c r="L2296" s="846"/>
      <c r="M2296" s="846"/>
      <c r="N2296" s="846"/>
      <c r="O2296" s="846"/>
      <c r="P2296" s="846"/>
      <c r="Q2296" s="846"/>
      <c r="R2296" s="846"/>
      <c r="S2296" s="846"/>
      <c r="T2296" s="846"/>
    </row>
    <row r="2297" spans="2:20" ht="38.25" hidden="1">
      <c r="B2297" s="828" t="s">
        <v>6567</v>
      </c>
      <c r="C2297" s="828">
        <v>101969</v>
      </c>
      <c r="D2297" s="630" t="s">
        <v>5914</v>
      </c>
      <c r="E2297" s="630" t="s">
        <v>649</v>
      </c>
      <c r="F2297" s="829">
        <v>151.15</v>
      </c>
      <c r="G2297" s="830">
        <v>25.5</v>
      </c>
      <c r="H2297" s="831">
        <v>176.65</v>
      </c>
      <c r="I2297" s="846"/>
      <c r="J2297" s="846"/>
      <c r="K2297" s="846"/>
      <c r="L2297" s="846"/>
      <c r="M2297" s="846"/>
      <c r="N2297" s="846"/>
      <c r="O2297" s="846"/>
      <c r="P2297" s="846"/>
      <c r="Q2297" s="846"/>
      <c r="R2297" s="846"/>
      <c r="S2297" s="846"/>
      <c r="T2297" s="846"/>
    </row>
    <row r="2298" spans="2:20" ht="25.5" hidden="1">
      <c r="B2298" s="828" t="s">
        <v>6567</v>
      </c>
      <c r="C2298" s="828">
        <v>101971</v>
      </c>
      <c r="D2298" s="630" t="s">
        <v>5915</v>
      </c>
      <c r="E2298" s="630" t="s">
        <v>649</v>
      </c>
      <c r="F2298" s="829">
        <v>113.11</v>
      </c>
      <c r="G2298" s="830">
        <v>25.5</v>
      </c>
      <c r="H2298" s="831">
        <v>138.61000000000001</v>
      </c>
      <c r="I2298" s="846"/>
      <c r="J2298" s="846"/>
      <c r="K2298" s="846"/>
      <c r="L2298" s="846"/>
      <c r="M2298" s="846"/>
      <c r="N2298" s="846"/>
      <c r="O2298" s="846"/>
      <c r="P2298" s="846"/>
      <c r="Q2298" s="846"/>
      <c r="R2298" s="846"/>
      <c r="S2298" s="846"/>
      <c r="T2298" s="846"/>
    </row>
    <row r="2299" spans="2:20" ht="25.5" hidden="1">
      <c r="B2299" s="828" t="s">
        <v>6567</v>
      </c>
      <c r="C2299" s="828">
        <v>101973</v>
      </c>
      <c r="D2299" s="630" t="s">
        <v>5916</v>
      </c>
      <c r="E2299" s="630" t="s">
        <v>649</v>
      </c>
      <c r="F2299" s="829">
        <v>226.7</v>
      </c>
      <c r="G2299" s="830">
        <v>27.72</v>
      </c>
      <c r="H2299" s="831">
        <v>254.42</v>
      </c>
      <c r="I2299" s="846"/>
      <c r="J2299" s="846"/>
      <c r="K2299" s="846"/>
      <c r="L2299" s="846"/>
      <c r="M2299" s="846"/>
      <c r="N2299" s="846"/>
      <c r="O2299" s="846"/>
      <c r="P2299" s="846"/>
      <c r="Q2299" s="846"/>
      <c r="R2299" s="846"/>
      <c r="S2299" s="846"/>
      <c r="T2299" s="846"/>
    </row>
    <row r="2300" spans="2:20" ht="25.5" hidden="1">
      <c r="B2300" s="828" t="s">
        <v>6567</v>
      </c>
      <c r="C2300" s="828">
        <v>101974</v>
      </c>
      <c r="D2300" s="630" t="s">
        <v>5917</v>
      </c>
      <c r="E2300" s="630" t="s">
        <v>649</v>
      </c>
      <c r="F2300" s="829">
        <v>338.91</v>
      </c>
      <c r="G2300" s="830">
        <v>214.78</v>
      </c>
      <c r="H2300" s="831">
        <v>553.69000000000005</v>
      </c>
      <c r="I2300" s="846"/>
      <c r="J2300" s="846"/>
      <c r="K2300" s="846"/>
      <c r="L2300" s="846"/>
      <c r="M2300" s="846"/>
      <c r="N2300" s="846"/>
      <c r="O2300" s="846"/>
      <c r="P2300" s="846"/>
      <c r="Q2300" s="846"/>
      <c r="R2300" s="846"/>
      <c r="S2300" s="846"/>
      <c r="T2300" s="846"/>
    </row>
    <row r="2301" spans="2:20" ht="25.5" hidden="1">
      <c r="B2301" s="828" t="s">
        <v>6567</v>
      </c>
      <c r="C2301" s="828">
        <v>101975</v>
      </c>
      <c r="D2301" s="630" t="s">
        <v>5918</v>
      </c>
      <c r="E2301" s="630" t="s">
        <v>649</v>
      </c>
      <c r="F2301" s="829">
        <v>299.90999999999997</v>
      </c>
      <c r="G2301" s="830">
        <v>171.01</v>
      </c>
      <c r="H2301" s="831">
        <v>470.92</v>
      </c>
      <c r="I2301" s="846"/>
      <c r="J2301" s="846"/>
      <c r="K2301" s="846"/>
      <c r="L2301" s="846"/>
      <c r="M2301" s="846"/>
      <c r="N2301" s="846"/>
      <c r="O2301" s="846"/>
      <c r="P2301" s="846"/>
      <c r="Q2301" s="846"/>
      <c r="R2301" s="846"/>
      <c r="S2301" s="846"/>
      <c r="T2301" s="846"/>
    </row>
    <row r="2302" spans="2:20" ht="38.25" hidden="1">
      <c r="B2302" s="828" t="s">
        <v>6567</v>
      </c>
      <c r="C2302" s="828">
        <v>101977</v>
      </c>
      <c r="D2302" s="630" t="s">
        <v>5919</v>
      </c>
      <c r="E2302" s="630" t="s">
        <v>649</v>
      </c>
      <c r="F2302" s="829">
        <v>150</v>
      </c>
      <c r="G2302" s="830">
        <v>147.05000000000001</v>
      </c>
      <c r="H2302" s="831">
        <v>297.05</v>
      </c>
      <c r="I2302" s="846"/>
      <c r="J2302" s="846"/>
      <c r="K2302" s="846"/>
      <c r="L2302" s="846"/>
      <c r="M2302" s="846"/>
      <c r="N2302" s="846"/>
      <c r="O2302" s="846"/>
      <c r="P2302" s="846"/>
      <c r="Q2302" s="846"/>
      <c r="R2302" s="846"/>
      <c r="S2302" s="846"/>
      <c r="T2302" s="846"/>
    </row>
    <row r="2303" spans="2:20" ht="38.25" hidden="1">
      <c r="B2303" s="828" t="s">
        <v>6567</v>
      </c>
      <c r="C2303" s="828">
        <v>101980</v>
      </c>
      <c r="D2303" s="630" t="s">
        <v>5921</v>
      </c>
      <c r="E2303" s="630" t="s">
        <v>649</v>
      </c>
      <c r="F2303" s="829">
        <v>145.46</v>
      </c>
      <c r="G2303" s="830">
        <v>118.06</v>
      </c>
      <c r="H2303" s="831">
        <v>263.52</v>
      </c>
      <c r="I2303" s="846"/>
      <c r="J2303" s="846"/>
      <c r="K2303" s="846"/>
      <c r="L2303" s="846"/>
      <c r="M2303" s="846"/>
      <c r="N2303" s="846"/>
      <c r="O2303" s="846"/>
      <c r="P2303" s="846"/>
      <c r="Q2303" s="846"/>
      <c r="R2303" s="846"/>
      <c r="S2303" s="846"/>
      <c r="T2303" s="846"/>
    </row>
    <row r="2304" spans="2:20" ht="38.25" hidden="1">
      <c r="B2304" s="828" t="s">
        <v>6567</v>
      </c>
      <c r="C2304" s="828">
        <v>101981</v>
      </c>
      <c r="D2304" s="630" t="s">
        <v>5922</v>
      </c>
      <c r="E2304" s="630" t="s">
        <v>649</v>
      </c>
      <c r="F2304" s="829">
        <v>125.61</v>
      </c>
      <c r="G2304" s="830">
        <v>99.8</v>
      </c>
      <c r="H2304" s="831">
        <v>225.41</v>
      </c>
      <c r="I2304" s="846"/>
      <c r="J2304" s="846"/>
      <c r="K2304" s="846"/>
      <c r="L2304" s="846"/>
      <c r="M2304" s="846"/>
      <c r="N2304" s="846"/>
      <c r="O2304" s="846"/>
      <c r="P2304" s="846"/>
      <c r="Q2304" s="846"/>
      <c r="R2304" s="846"/>
      <c r="S2304" s="846"/>
      <c r="T2304" s="846"/>
    </row>
    <row r="2305" spans="2:20" ht="38.25" hidden="1">
      <c r="B2305" s="828" t="s">
        <v>6567</v>
      </c>
      <c r="C2305" s="828">
        <v>101982</v>
      </c>
      <c r="D2305" s="630" t="s">
        <v>5923</v>
      </c>
      <c r="E2305" s="630" t="s">
        <v>649</v>
      </c>
      <c r="F2305" s="829">
        <v>107.64</v>
      </c>
      <c r="G2305" s="830">
        <v>92.21</v>
      </c>
      <c r="H2305" s="831">
        <v>199.85</v>
      </c>
      <c r="I2305" s="846"/>
      <c r="J2305" s="846"/>
      <c r="K2305" s="846"/>
      <c r="L2305" s="846"/>
      <c r="M2305" s="846"/>
      <c r="N2305" s="846"/>
      <c r="O2305" s="846"/>
      <c r="P2305" s="846"/>
      <c r="Q2305" s="846"/>
      <c r="R2305" s="846"/>
      <c r="S2305" s="846"/>
      <c r="T2305" s="846"/>
    </row>
    <row r="2306" spans="2:20" ht="38.25" hidden="1">
      <c r="B2306" s="828" t="s">
        <v>6567</v>
      </c>
      <c r="C2306" s="828">
        <v>101983</v>
      </c>
      <c r="D2306" s="630" t="s">
        <v>5924</v>
      </c>
      <c r="E2306" s="630" t="s">
        <v>649</v>
      </c>
      <c r="F2306" s="829">
        <v>96.25</v>
      </c>
      <c r="G2306" s="830">
        <v>87.56</v>
      </c>
      <c r="H2306" s="831">
        <v>183.81</v>
      </c>
      <c r="I2306" s="846"/>
      <c r="J2306" s="846"/>
      <c r="K2306" s="846"/>
      <c r="L2306" s="846"/>
      <c r="M2306" s="846"/>
      <c r="N2306" s="846"/>
      <c r="O2306" s="846"/>
      <c r="P2306" s="846"/>
      <c r="Q2306" s="846"/>
      <c r="R2306" s="846"/>
      <c r="S2306" s="846"/>
      <c r="T2306" s="846"/>
    </row>
    <row r="2307" spans="2:20" ht="38.25" hidden="1">
      <c r="B2307" s="828" t="s">
        <v>6567</v>
      </c>
      <c r="C2307" s="828">
        <v>101985</v>
      </c>
      <c r="D2307" s="630" t="s">
        <v>5925</v>
      </c>
      <c r="E2307" s="630" t="s">
        <v>649</v>
      </c>
      <c r="F2307" s="829">
        <v>157.03</v>
      </c>
      <c r="G2307" s="830">
        <v>29.91</v>
      </c>
      <c r="H2307" s="831">
        <v>186.94</v>
      </c>
      <c r="I2307" s="846"/>
      <c r="J2307" s="846"/>
      <c r="K2307" s="846"/>
      <c r="L2307" s="846"/>
      <c r="M2307" s="846"/>
      <c r="N2307" s="846"/>
      <c r="O2307" s="846"/>
      <c r="P2307" s="846"/>
      <c r="Q2307" s="846"/>
      <c r="R2307" s="846"/>
      <c r="S2307" s="846"/>
      <c r="T2307" s="846"/>
    </row>
    <row r="2308" spans="2:20" ht="38.25" hidden="1">
      <c r="B2308" s="828" t="s">
        <v>6567</v>
      </c>
      <c r="C2308" s="828">
        <v>101986</v>
      </c>
      <c r="D2308" s="630" t="s">
        <v>5926</v>
      </c>
      <c r="E2308" s="630" t="s">
        <v>649</v>
      </c>
      <c r="F2308" s="829">
        <v>108.67</v>
      </c>
      <c r="G2308" s="830">
        <v>29.91</v>
      </c>
      <c r="H2308" s="831">
        <v>138.58000000000001</v>
      </c>
      <c r="I2308" s="846"/>
      <c r="J2308" s="846"/>
      <c r="K2308" s="846"/>
      <c r="L2308" s="846"/>
      <c r="M2308" s="846"/>
      <c r="N2308" s="846"/>
      <c r="O2308" s="846"/>
      <c r="P2308" s="846"/>
      <c r="Q2308" s="846"/>
      <c r="R2308" s="846"/>
      <c r="S2308" s="846"/>
      <c r="T2308" s="846"/>
    </row>
    <row r="2309" spans="2:20" ht="25.5" hidden="1">
      <c r="B2309" s="828" t="s">
        <v>6567</v>
      </c>
      <c r="C2309" s="828">
        <v>101987</v>
      </c>
      <c r="D2309" s="630" t="s">
        <v>5927</v>
      </c>
      <c r="E2309" s="630" t="s">
        <v>649</v>
      </c>
      <c r="F2309" s="829">
        <v>274.49</v>
      </c>
      <c r="G2309" s="830">
        <v>29.16</v>
      </c>
      <c r="H2309" s="831">
        <v>303.64999999999998</v>
      </c>
      <c r="I2309" s="846"/>
      <c r="J2309" s="846"/>
      <c r="K2309" s="846"/>
      <c r="L2309" s="846"/>
      <c r="M2309" s="846"/>
      <c r="N2309" s="846"/>
      <c r="O2309" s="846"/>
      <c r="P2309" s="846"/>
      <c r="Q2309" s="846"/>
      <c r="R2309" s="846"/>
      <c r="S2309" s="846"/>
      <c r="T2309" s="846"/>
    </row>
    <row r="2310" spans="2:20" ht="38.25" hidden="1">
      <c r="B2310" s="828" t="s">
        <v>6567</v>
      </c>
      <c r="C2310" s="828">
        <v>101988</v>
      </c>
      <c r="D2310" s="630" t="s">
        <v>5928</v>
      </c>
      <c r="E2310" s="630" t="s">
        <v>649</v>
      </c>
      <c r="F2310" s="829">
        <v>153.93</v>
      </c>
      <c r="G2310" s="830">
        <v>30.6</v>
      </c>
      <c r="H2310" s="831">
        <v>184.53</v>
      </c>
      <c r="I2310" s="846"/>
      <c r="J2310" s="846"/>
      <c r="K2310" s="846"/>
      <c r="L2310" s="846"/>
      <c r="M2310" s="846"/>
      <c r="N2310" s="846"/>
      <c r="O2310" s="846"/>
      <c r="P2310" s="846"/>
      <c r="Q2310" s="846"/>
      <c r="R2310" s="846"/>
      <c r="S2310" s="846"/>
      <c r="T2310" s="846"/>
    </row>
    <row r="2311" spans="2:20" ht="25.5" hidden="1">
      <c r="B2311" s="828" t="s">
        <v>6567</v>
      </c>
      <c r="C2311" s="828">
        <v>101989</v>
      </c>
      <c r="D2311" s="630" t="s">
        <v>5929</v>
      </c>
      <c r="E2311" s="630" t="s">
        <v>649</v>
      </c>
      <c r="F2311" s="829">
        <v>116.37</v>
      </c>
      <c r="G2311" s="830">
        <v>30.6</v>
      </c>
      <c r="H2311" s="831">
        <v>146.97</v>
      </c>
      <c r="I2311" s="846"/>
      <c r="J2311" s="846"/>
      <c r="K2311" s="846"/>
      <c r="L2311" s="846"/>
      <c r="M2311" s="846"/>
      <c r="N2311" s="846"/>
      <c r="O2311" s="846"/>
      <c r="P2311" s="846"/>
      <c r="Q2311" s="846"/>
      <c r="R2311" s="846"/>
      <c r="S2311" s="846"/>
      <c r="T2311" s="846"/>
    </row>
    <row r="2312" spans="2:20" ht="25.5" hidden="1">
      <c r="B2312" s="828" t="s">
        <v>6567</v>
      </c>
      <c r="C2312" s="828">
        <v>101990</v>
      </c>
      <c r="D2312" s="630" t="s">
        <v>5930</v>
      </c>
      <c r="E2312" s="630" t="s">
        <v>649</v>
      </c>
      <c r="F2312" s="829">
        <v>243.83</v>
      </c>
      <c r="G2312" s="830">
        <v>30.15</v>
      </c>
      <c r="H2312" s="831">
        <v>273.98</v>
      </c>
      <c r="I2312" s="846"/>
      <c r="J2312" s="846"/>
      <c r="K2312" s="846"/>
      <c r="L2312" s="846"/>
      <c r="M2312" s="846"/>
      <c r="N2312" s="846"/>
      <c r="O2312" s="846"/>
      <c r="P2312" s="846"/>
      <c r="Q2312" s="846"/>
      <c r="R2312" s="846"/>
      <c r="S2312" s="846"/>
      <c r="T2312" s="846"/>
    </row>
    <row r="2313" spans="2:20" ht="38.25" hidden="1">
      <c r="B2313" s="828" t="s">
        <v>6567</v>
      </c>
      <c r="C2313" s="828">
        <v>101991</v>
      </c>
      <c r="D2313" s="630" t="s">
        <v>5931</v>
      </c>
      <c r="E2313" s="630" t="s">
        <v>649</v>
      </c>
      <c r="F2313" s="829">
        <v>153.93</v>
      </c>
      <c r="G2313" s="830">
        <v>34.33</v>
      </c>
      <c r="H2313" s="831">
        <v>188.26</v>
      </c>
      <c r="I2313" s="846"/>
      <c r="J2313" s="846"/>
      <c r="K2313" s="846"/>
      <c r="L2313" s="846"/>
      <c r="M2313" s="846"/>
      <c r="N2313" s="846"/>
      <c r="O2313" s="846"/>
      <c r="P2313" s="846"/>
      <c r="Q2313" s="846"/>
      <c r="R2313" s="846"/>
      <c r="S2313" s="846"/>
      <c r="T2313" s="846"/>
    </row>
    <row r="2314" spans="2:20" ht="38.25" hidden="1">
      <c r="B2314" s="828" t="s">
        <v>6567</v>
      </c>
      <c r="C2314" s="828">
        <v>101992</v>
      </c>
      <c r="D2314" s="630" t="s">
        <v>5932</v>
      </c>
      <c r="E2314" s="630" t="s">
        <v>649</v>
      </c>
      <c r="F2314" s="829">
        <v>107.7</v>
      </c>
      <c r="G2314" s="830">
        <v>34.340000000000003</v>
      </c>
      <c r="H2314" s="831">
        <v>142.04</v>
      </c>
      <c r="I2314" s="846"/>
      <c r="J2314" s="846"/>
      <c r="K2314" s="846"/>
      <c r="L2314" s="846"/>
      <c r="M2314" s="846"/>
      <c r="N2314" s="846"/>
      <c r="O2314" s="846"/>
      <c r="P2314" s="846"/>
      <c r="Q2314" s="846"/>
      <c r="R2314" s="846"/>
      <c r="S2314" s="846"/>
      <c r="T2314" s="846"/>
    </row>
    <row r="2315" spans="2:20" ht="25.5" hidden="1">
      <c r="B2315" s="828" t="s">
        <v>6567</v>
      </c>
      <c r="C2315" s="828">
        <v>101993</v>
      </c>
      <c r="D2315" s="630" t="s">
        <v>5933</v>
      </c>
      <c r="E2315" s="630" t="s">
        <v>649</v>
      </c>
      <c r="F2315" s="829">
        <v>326.33999999999997</v>
      </c>
      <c r="G2315" s="830">
        <v>31.47</v>
      </c>
      <c r="H2315" s="831">
        <v>357.81</v>
      </c>
      <c r="I2315" s="846"/>
      <c r="J2315" s="846"/>
      <c r="K2315" s="846"/>
      <c r="L2315" s="846"/>
      <c r="M2315" s="846"/>
      <c r="N2315" s="846"/>
      <c r="O2315" s="846"/>
      <c r="P2315" s="846"/>
      <c r="Q2315" s="846"/>
      <c r="R2315" s="846"/>
      <c r="S2315" s="846"/>
      <c r="T2315" s="846"/>
    </row>
    <row r="2316" spans="2:20" ht="25.5" hidden="1">
      <c r="B2316" s="828" t="s">
        <v>6567</v>
      </c>
      <c r="C2316" s="828">
        <v>101994</v>
      </c>
      <c r="D2316" s="630" t="s">
        <v>5934</v>
      </c>
      <c r="E2316" s="630" t="s">
        <v>649</v>
      </c>
      <c r="F2316" s="829">
        <v>166.42</v>
      </c>
      <c r="G2316" s="830">
        <v>28.47</v>
      </c>
      <c r="H2316" s="831">
        <v>194.89</v>
      </c>
      <c r="I2316" s="846"/>
      <c r="J2316" s="846"/>
      <c r="K2316" s="846"/>
      <c r="L2316" s="846"/>
      <c r="M2316" s="846"/>
      <c r="N2316" s="846"/>
      <c r="O2316" s="846"/>
      <c r="P2316" s="846"/>
      <c r="Q2316" s="846"/>
      <c r="R2316" s="846"/>
      <c r="S2316" s="846"/>
      <c r="T2316" s="846"/>
    </row>
    <row r="2317" spans="2:20" ht="25.5" hidden="1">
      <c r="B2317" s="828" t="s">
        <v>6567</v>
      </c>
      <c r="C2317" s="828">
        <v>101995</v>
      </c>
      <c r="D2317" s="630" t="s">
        <v>5935</v>
      </c>
      <c r="E2317" s="630" t="s">
        <v>649</v>
      </c>
      <c r="F2317" s="829">
        <v>124.24</v>
      </c>
      <c r="G2317" s="830">
        <v>28.48</v>
      </c>
      <c r="H2317" s="831">
        <v>152.72</v>
      </c>
      <c r="I2317" s="846"/>
      <c r="J2317" s="846"/>
      <c r="K2317" s="846"/>
      <c r="L2317" s="846"/>
      <c r="M2317" s="846"/>
      <c r="N2317" s="846"/>
      <c r="O2317" s="846"/>
      <c r="P2317" s="846"/>
      <c r="Q2317" s="846"/>
      <c r="R2317" s="846"/>
      <c r="S2317" s="846"/>
      <c r="T2317" s="846"/>
    </row>
    <row r="2318" spans="2:20" ht="25.5" hidden="1">
      <c r="B2318" s="828" t="s">
        <v>6567</v>
      </c>
      <c r="C2318" s="828">
        <v>101996</v>
      </c>
      <c r="D2318" s="630" t="s">
        <v>5936</v>
      </c>
      <c r="E2318" s="630" t="s">
        <v>649</v>
      </c>
      <c r="F2318" s="829">
        <v>265.14</v>
      </c>
      <c r="G2318" s="830">
        <v>30.05</v>
      </c>
      <c r="H2318" s="831">
        <v>295.19</v>
      </c>
      <c r="I2318" s="846"/>
      <c r="J2318" s="846"/>
      <c r="K2318" s="846"/>
      <c r="L2318" s="846"/>
      <c r="M2318" s="846"/>
      <c r="N2318" s="846"/>
      <c r="O2318" s="846"/>
      <c r="P2318" s="846"/>
      <c r="Q2318" s="846"/>
      <c r="R2318" s="846"/>
      <c r="S2318" s="846"/>
      <c r="T2318" s="846"/>
    </row>
    <row r="2319" spans="2:20" ht="25.5" hidden="1">
      <c r="B2319" s="828" t="s">
        <v>6567</v>
      </c>
      <c r="C2319" s="828">
        <v>101997</v>
      </c>
      <c r="D2319" s="630" t="s">
        <v>5937</v>
      </c>
      <c r="E2319" s="630" t="s">
        <v>649</v>
      </c>
      <c r="F2319" s="829">
        <v>154.12</v>
      </c>
      <c r="G2319" s="830">
        <v>33.979999999999997</v>
      </c>
      <c r="H2319" s="831">
        <v>188.1</v>
      </c>
      <c r="I2319" s="846"/>
      <c r="J2319" s="846"/>
      <c r="K2319" s="846"/>
      <c r="L2319" s="846"/>
      <c r="M2319" s="846"/>
      <c r="N2319" s="846"/>
      <c r="O2319" s="846"/>
      <c r="P2319" s="846"/>
      <c r="Q2319" s="846"/>
      <c r="R2319" s="846"/>
      <c r="S2319" s="846"/>
      <c r="T2319" s="846"/>
    </row>
    <row r="2320" spans="2:20" ht="25.5" hidden="1">
      <c r="B2320" s="828" t="s">
        <v>6567</v>
      </c>
      <c r="C2320" s="828">
        <v>101998</v>
      </c>
      <c r="D2320" s="630" t="s">
        <v>5938</v>
      </c>
      <c r="E2320" s="630" t="s">
        <v>649</v>
      </c>
      <c r="F2320" s="829">
        <v>106.84</v>
      </c>
      <c r="G2320" s="830">
        <v>33.99</v>
      </c>
      <c r="H2320" s="831">
        <v>140.83000000000001</v>
      </c>
      <c r="I2320" s="846"/>
      <c r="J2320" s="846"/>
      <c r="K2320" s="846"/>
      <c r="L2320" s="846"/>
      <c r="M2320" s="846"/>
      <c r="N2320" s="846"/>
      <c r="O2320" s="846"/>
      <c r="P2320" s="846"/>
      <c r="Q2320" s="846"/>
      <c r="R2320" s="846"/>
      <c r="S2320" s="846"/>
      <c r="T2320" s="846"/>
    </row>
    <row r="2321" spans="2:20" ht="25.5" hidden="1">
      <c r="B2321" s="828" t="s">
        <v>6567</v>
      </c>
      <c r="C2321" s="828">
        <v>101999</v>
      </c>
      <c r="D2321" s="630" t="s">
        <v>5939</v>
      </c>
      <c r="E2321" s="630" t="s">
        <v>649</v>
      </c>
      <c r="F2321" s="829">
        <v>351.83</v>
      </c>
      <c r="G2321" s="830">
        <v>32.19</v>
      </c>
      <c r="H2321" s="831">
        <v>384.02</v>
      </c>
      <c r="I2321" s="846"/>
      <c r="J2321" s="846"/>
      <c r="K2321" s="846"/>
      <c r="L2321" s="846"/>
      <c r="M2321" s="846"/>
      <c r="N2321" s="846"/>
      <c r="O2321" s="846"/>
      <c r="P2321" s="846"/>
      <c r="Q2321" s="846"/>
      <c r="R2321" s="846"/>
      <c r="S2321" s="846"/>
      <c r="T2321" s="846"/>
    </row>
    <row r="2322" spans="2:20" ht="25.5" hidden="1">
      <c r="B2322" s="828" t="s">
        <v>6567</v>
      </c>
      <c r="C2322" s="828">
        <v>102000</v>
      </c>
      <c r="D2322" s="630" t="s">
        <v>5940</v>
      </c>
      <c r="E2322" s="630" t="s">
        <v>649</v>
      </c>
      <c r="F2322" s="829">
        <v>369.54</v>
      </c>
      <c r="G2322" s="830">
        <v>209.2</v>
      </c>
      <c r="H2322" s="831">
        <v>578.74</v>
      </c>
      <c r="I2322" s="846"/>
      <c r="J2322" s="846"/>
      <c r="K2322" s="846"/>
      <c r="L2322" s="846"/>
      <c r="M2322" s="846"/>
      <c r="N2322" s="846"/>
      <c r="O2322" s="846"/>
      <c r="P2322" s="846"/>
      <c r="Q2322" s="846"/>
      <c r="R2322" s="846"/>
      <c r="S2322" s="846"/>
      <c r="T2322" s="846"/>
    </row>
    <row r="2323" spans="2:20" ht="25.5" hidden="1">
      <c r="B2323" s="828" t="s">
        <v>6567</v>
      </c>
      <c r="C2323" s="828">
        <v>102001</v>
      </c>
      <c r="D2323" s="630" t="s">
        <v>5941</v>
      </c>
      <c r="E2323" s="630" t="s">
        <v>649</v>
      </c>
      <c r="F2323" s="829">
        <v>332.95</v>
      </c>
      <c r="G2323" s="830">
        <v>166.48</v>
      </c>
      <c r="H2323" s="831">
        <v>499.43</v>
      </c>
      <c r="I2323" s="846"/>
      <c r="J2323" s="846"/>
      <c r="K2323" s="846"/>
      <c r="L2323" s="846"/>
      <c r="M2323" s="846"/>
      <c r="N2323" s="846"/>
      <c r="O2323" s="846"/>
      <c r="P2323" s="846"/>
      <c r="Q2323" s="846"/>
      <c r="R2323" s="846"/>
      <c r="S2323" s="846"/>
      <c r="T2323" s="846"/>
    </row>
    <row r="2324" spans="2:20" ht="38.25" hidden="1">
      <c r="B2324" s="828" t="s">
        <v>6567</v>
      </c>
      <c r="C2324" s="828">
        <v>102002</v>
      </c>
      <c r="D2324" s="630" t="s">
        <v>5942</v>
      </c>
      <c r="E2324" s="630" t="s">
        <v>649</v>
      </c>
      <c r="F2324" s="829">
        <v>144.77000000000001</v>
      </c>
      <c r="G2324" s="830">
        <v>151.68</v>
      </c>
      <c r="H2324" s="831">
        <v>296.45</v>
      </c>
      <c r="I2324" s="846"/>
      <c r="J2324" s="846"/>
      <c r="K2324" s="846"/>
      <c r="L2324" s="846"/>
      <c r="M2324" s="846"/>
      <c r="N2324" s="846"/>
      <c r="O2324" s="846"/>
      <c r="P2324" s="846"/>
      <c r="Q2324" s="846"/>
      <c r="R2324" s="846"/>
      <c r="S2324" s="846"/>
      <c r="T2324" s="846"/>
    </row>
    <row r="2325" spans="2:20" ht="38.25" hidden="1">
      <c r="B2325" s="828" t="s">
        <v>6567</v>
      </c>
      <c r="C2325" s="828">
        <v>102003</v>
      </c>
      <c r="D2325" s="630" t="s">
        <v>5943</v>
      </c>
      <c r="E2325" s="630" t="s">
        <v>649</v>
      </c>
      <c r="F2325" s="829">
        <v>140.92000000000002</v>
      </c>
      <c r="G2325" s="830">
        <v>123.22</v>
      </c>
      <c r="H2325" s="831">
        <v>264.14</v>
      </c>
      <c r="I2325" s="846"/>
      <c r="J2325" s="846"/>
      <c r="K2325" s="846"/>
      <c r="L2325" s="846"/>
      <c r="M2325" s="846"/>
      <c r="N2325" s="846"/>
      <c r="O2325" s="846"/>
      <c r="P2325" s="846"/>
      <c r="Q2325" s="846"/>
      <c r="R2325" s="846"/>
      <c r="S2325" s="846"/>
      <c r="T2325" s="846"/>
    </row>
    <row r="2326" spans="2:20" ht="38.25" hidden="1">
      <c r="B2326" s="828" t="s">
        <v>6567</v>
      </c>
      <c r="C2326" s="828">
        <v>102004</v>
      </c>
      <c r="D2326" s="630" t="s">
        <v>5944</v>
      </c>
      <c r="E2326" s="630" t="s">
        <v>649</v>
      </c>
      <c r="F2326" s="829">
        <v>127.14</v>
      </c>
      <c r="G2326" s="830">
        <v>102.87</v>
      </c>
      <c r="H2326" s="831">
        <v>230.01</v>
      </c>
      <c r="I2326" s="846"/>
      <c r="J2326" s="846"/>
      <c r="K2326" s="846"/>
      <c r="L2326" s="846"/>
      <c r="M2326" s="846"/>
      <c r="N2326" s="846"/>
      <c r="O2326" s="846"/>
      <c r="P2326" s="846"/>
      <c r="Q2326" s="846"/>
      <c r="R2326" s="846"/>
      <c r="S2326" s="846"/>
      <c r="T2326" s="846"/>
    </row>
    <row r="2327" spans="2:20" ht="38.25" hidden="1">
      <c r="B2327" s="828" t="s">
        <v>6567</v>
      </c>
      <c r="C2327" s="828">
        <v>102005</v>
      </c>
      <c r="D2327" s="630" t="s">
        <v>5945</v>
      </c>
      <c r="E2327" s="630" t="s">
        <v>649</v>
      </c>
      <c r="F2327" s="829">
        <v>108.53000000000002</v>
      </c>
      <c r="G2327" s="830">
        <v>94.79</v>
      </c>
      <c r="H2327" s="831">
        <v>203.32</v>
      </c>
      <c r="I2327" s="846"/>
      <c r="J2327" s="846"/>
      <c r="K2327" s="846"/>
      <c r="L2327" s="846"/>
      <c r="M2327" s="846"/>
      <c r="N2327" s="846"/>
      <c r="O2327" s="846"/>
      <c r="P2327" s="846"/>
      <c r="Q2327" s="846"/>
      <c r="R2327" s="846"/>
      <c r="S2327" s="846"/>
      <c r="T2327" s="846"/>
    </row>
    <row r="2328" spans="2:20" ht="38.25" hidden="1">
      <c r="B2328" s="828" t="s">
        <v>6567</v>
      </c>
      <c r="C2328" s="828">
        <v>102006</v>
      </c>
      <c r="D2328" s="630" t="s">
        <v>5946</v>
      </c>
      <c r="E2328" s="630" t="s">
        <v>649</v>
      </c>
      <c r="F2328" s="829">
        <v>96.73</v>
      </c>
      <c r="G2328" s="830">
        <v>89.83</v>
      </c>
      <c r="H2328" s="831">
        <v>186.56</v>
      </c>
      <c r="I2328" s="846"/>
      <c r="J2328" s="846"/>
      <c r="K2328" s="846"/>
      <c r="L2328" s="846"/>
      <c r="M2328" s="846"/>
      <c r="N2328" s="846"/>
      <c r="O2328" s="846"/>
      <c r="P2328" s="846"/>
      <c r="Q2328" s="846"/>
      <c r="R2328" s="846"/>
      <c r="S2328" s="846"/>
      <c r="T2328" s="846"/>
    </row>
    <row r="2329" spans="2:20" ht="25.5" hidden="1">
      <c r="B2329" s="828" t="s">
        <v>6567</v>
      </c>
      <c r="C2329" s="828">
        <v>102007</v>
      </c>
      <c r="D2329" s="630" t="s">
        <v>5947</v>
      </c>
      <c r="E2329" s="630" t="s">
        <v>649</v>
      </c>
      <c r="F2329" s="829">
        <v>337.65</v>
      </c>
      <c r="G2329" s="830">
        <v>214.32</v>
      </c>
      <c r="H2329" s="831">
        <v>551.97</v>
      </c>
      <c r="I2329" s="846"/>
      <c r="J2329" s="846"/>
      <c r="K2329" s="846"/>
      <c r="L2329" s="846"/>
      <c r="M2329" s="846"/>
      <c r="N2329" s="846"/>
      <c r="O2329" s="846"/>
      <c r="P2329" s="846"/>
      <c r="Q2329" s="846"/>
      <c r="R2329" s="846"/>
      <c r="S2329" s="846"/>
      <c r="T2329" s="846"/>
    </row>
    <row r="2330" spans="2:20" ht="25.5" hidden="1">
      <c r="B2330" s="828" t="s">
        <v>6567</v>
      </c>
      <c r="C2330" s="828">
        <v>102008</v>
      </c>
      <c r="D2330" s="630" t="s">
        <v>5948</v>
      </c>
      <c r="E2330" s="630" t="s">
        <v>649</v>
      </c>
      <c r="F2330" s="829">
        <v>291.38</v>
      </c>
      <c r="G2330" s="830">
        <v>169.66</v>
      </c>
      <c r="H2330" s="831">
        <v>461.04</v>
      </c>
      <c r="I2330" s="846"/>
      <c r="J2330" s="846"/>
      <c r="K2330" s="846"/>
      <c r="L2330" s="846"/>
      <c r="M2330" s="846"/>
      <c r="N2330" s="846"/>
      <c r="O2330" s="846"/>
      <c r="P2330" s="846"/>
      <c r="Q2330" s="846"/>
      <c r="R2330" s="846"/>
      <c r="S2330" s="846"/>
      <c r="T2330" s="846"/>
    </row>
    <row r="2331" spans="2:20" ht="38.25" hidden="1">
      <c r="B2331" s="828" t="s">
        <v>6567</v>
      </c>
      <c r="C2331" s="828">
        <v>102009</v>
      </c>
      <c r="D2331" s="630" t="s">
        <v>5949</v>
      </c>
      <c r="E2331" s="630" t="s">
        <v>649</v>
      </c>
      <c r="F2331" s="829">
        <v>149.81</v>
      </c>
      <c r="G2331" s="830">
        <v>151.07</v>
      </c>
      <c r="H2331" s="831">
        <v>300.88</v>
      </c>
      <c r="I2331" s="846"/>
      <c r="J2331" s="846"/>
      <c r="K2331" s="846"/>
      <c r="L2331" s="846"/>
      <c r="M2331" s="846"/>
      <c r="N2331" s="846"/>
      <c r="O2331" s="846"/>
      <c r="P2331" s="846"/>
      <c r="Q2331" s="846"/>
      <c r="R2331" s="846"/>
      <c r="S2331" s="846"/>
      <c r="T2331" s="846"/>
    </row>
    <row r="2332" spans="2:20" ht="38.25" hidden="1">
      <c r="B2332" s="828" t="s">
        <v>6567</v>
      </c>
      <c r="C2332" s="828">
        <v>102010</v>
      </c>
      <c r="D2332" s="630" t="s">
        <v>5950</v>
      </c>
      <c r="E2332" s="630" t="s">
        <v>649</v>
      </c>
      <c r="F2332" s="829">
        <v>143.6</v>
      </c>
      <c r="G2332" s="830">
        <v>121.73</v>
      </c>
      <c r="H2332" s="831">
        <v>265.33</v>
      </c>
      <c r="I2332" s="846"/>
      <c r="J2332" s="846"/>
      <c r="K2332" s="846"/>
      <c r="L2332" s="846"/>
      <c r="M2332" s="846"/>
      <c r="N2332" s="846"/>
      <c r="O2332" s="846"/>
      <c r="P2332" s="846"/>
      <c r="Q2332" s="846"/>
      <c r="R2332" s="846"/>
      <c r="S2332" s="846"/>
      <c r="T2332" s="846"/>
    </row>
    <row r="2333" spans="2:20" ht="38.25" hidden="1">
      <c r="B2333" s="828" t="s">
        <v>6567</v>
      </c>
      <c r="C2333" s="828">
        <v>102011</v>
      </c>
      <c r="D2333" s="630" t="s">
        <v>5951</v>
      </c>
      <c r="E2333" s="630" t="s">
        <v>649</v>
      </c>
      <c r="F2333" s="829">
        <v>122.78</v>
      </c>
      <c r="G2333" s="830">
        <v>102.04</v>
      </c>
      <c r="H2333" s="831">
        <v>224.82</v>
      </c>
      <c r="I2333" s="846"/>
      <c r="J2333" s="846"/>
      <c r="K2333" s="846"/>
      <c r="L2333" s="846"/>
      <c r="M2333" s="846"/>
      <c r="N2333" s="846"/>
      <c r="O2333" s="846"/>
      <c r="P2333" s="846"/>
      <c r="Q2333" s="846"/>
      <c r="R2333" s="846"/>
      <c r="S2333" s="846"/>
      <c r="T2333" s="846"/>
    </row>
    <row r="2334" spans="2:20" ht="38.25" hidden="1">
      <c r="B2334" s="828" t="s">
        <v>6567</v>
      </c>
      <c r="C2334" s="828">
        <v>102012</v>
      </c>
      <c r="D2334" s="630" t="s">
        <v>5952</v>
      </c>
      <c r="E2334" s="630" t="s">
        <v>649</v>
      </c>
      <c r="F2334" s="829">
        <v>104.48</v>
      </c>
      <c r="G2334" s="830">
        <v>93.91</v>
      </c>
      <c r="H2334" s="831">
        <v>198.39</v>
      </c>
      <c r="I2334" s="846"/>
      <c r="J2334" s="846"/>
      <c r="K2334" s="846"/>
      <c r="L2334" s="846"/>
      <c r="M2334" s="846"/>
      <c r="N2334" s="846"/>
      <c r="O2334" s="846"/>
      <c r="P2334" s="846"/>
      <c r="Q2334" s="846"/>
      <c r="R2334" s="846"/>
      <c r="S2334" s="846"/>
      <c r="T2334" s="846"/>
    </row>
    <row r="2335" spans="2:20" ht="38.25" hidden="1">
      <c r="B2335" s="828" t="s">
        <v>6567</v>
      </c>
      <c r="C2335" s="828">
        <v>102013</v>
      </c>
      <c r="D2335" s="630" t="s">
        <v>5953</v>
      </c>
      <c r="E2335" s="630" t="s">
        <v>649</v>
      </c>
      <c r="F2335" s="829">
        <v>94.45</v>
      </c>
      <c r="G2335" s="830">
        <v>89.2</v>
      </c>
      <c r="H2335" s="831">
        <v>183.65</v>
      </c>
      <c r="I2335" s="846"/>
      <c r="J2335" s="846"/>
      <c r="K2335" s="846"/>
      <c r="L2335" s="846"/>
      <c r="M2335" s="846"/>
      <c r="N2335" s="846"/>
      <c r="O2335" s="846"/>
      <c r="P2335" s="846"/>
      <c r="Q2335" s="846"/>
      <c r="R2335" s="846"/>
      <c r="S2335" s="846"/>
      <c r="T2335" s="846"/>
    </row>
    <row r="2336" spans="2:20" ht="25.5" hidden="1">
      <c r="B2336" s="828" t="s">
        <v>6567</v>
      </c>
      <c r="C2336" s="828">
        <v>102014</v>
      </c>
      <c r="D2336" s="630" t="s">
        <v>5954</v>
      </c>
      <c r="E2336" s="630" t="s">
        <v>649</v>
      </c>
      <c r="F2336" s="829">
        <v>422.02</v>
      </c>
      <c r="G2336" s="830">
        <v>211.22</v>
      </c>
      <c r="H2336" s="831">
        <v>633.24</v>
      </c>
      <c r="I2336" s="846"/>
      <c r="J2336" s="846"/>
      <c r="K2336" s="846"/>
      <c r="L2336" s="846"/>
      <c r="M2336" s="846"/>
      <c r="N2336" s="846"/>
      <c r="O2336" s="846"/>
      <c r="P2336" s="846"/>
      <c r="Q2336" s="846"/>
      <c r="R2336" s="846"/>
      <c r="S2336" s="846"/>
      <c r="T2336" s="846"/>
    </row>
    <row r="2337" spans="2:20" ht="25.5" hidden="1">
      <c r="B2337" s="828" t="s">
        <v>6567</v>
      </c>
      <c r="C2337" s="828">
        <v>102015</v>
      </c>
      <c r="D2337" s="630" t="s">
        <v>5955</v>
      </c>
      <c r="E2337" s="630" t="s">
        <v>649</v>
      </c>
      <c r="F2337" s="829">
        <v>362.96</v>
      </c>
      <c r="G2337" s="830">
        <v>167.71</v>
      </c>
      <c r="H2337" s="831">
        <v>530.66999999999996</v>
      </c>
      <c r="I2337" s="846"/>
      <c r="J2337" s="846"/>
      <c r="K2337" s="846"/>
      <c r="L2337" s="846"/>
      <c r="M2337" s="846"/>
      <c r="N2337" s="846"/>
      <c r="O2337" s="846"/>
      <c r="P2337" s="846"/>
      <c r="Q2337" s="846"/>
      <c r="R2337" s="846"/>
      <c r="S2337" s="846"/>
      <c r="T2337" s="846"/>
    </row>
    <row r="2338" spans="2:20" ht="38.25" hidden="1">
      <c r="B2338" s="828" t="s">
        <v>6567</v>
      </c>
      <c r="C2338" s="828">
        <v>102016</v>
      </c>
      <c r="D2338" s="630" t="s">
        <v>5956</v>
      </c>
      <c r="E2338" s="630" t="s">
        <v>649</v>
      </c>
      <c r="F2338" s="829">
        <v>141.37</v>
      </c>
      <c r="G2338" s="830">
        <v>155.11000000000001</v>
      </c>
      <c r="H2338" s="831">
        <v>296.48</v>
      </c>
      <c r="I2338" s="846"/>
      <c r="J2338" s="846"/>
      <c r="K2338" s="846"/>
      <c r="L2338" s="846"/>
      <c r="M2338" s="846"/>
      <c r="N2338" s="846"/>
      <c r="O2338" s="846"/>
      <c r="P2338" s="846"/>
      <c r="Q2338" s="846"/>
      <c r="R2338" s="846"/>
      <c r="S2338" s="846"/>
      <c r="T2338" s="846"/>
    </row>
    <row r="2339" spans="2:20" ht="38.25" hidden="1">
      <c r="B2339" s="828" t="s">
        <v>6567</v>
      </c>
      <c r="C2339" s="828">
        <v>102017</v>
      </c>
      <c r="D2339" s="630" t="s">
        <v>5957</v>
      </c>
      <c r="E2339" s="630" t="s">
        <v>649</v>
      </c>
      <c r="F2339" s="829">
        <v>136.15</v>
      </c>
      <c r="G2339" s="830">
        <v>126.36</v>
      </c>
      <c r="H2339" s="831">
        <v>262.51</v>
      </c>
      <c r="I2339" s="846"/>
      <c r="J2339" s="846"/>
      <c r="K2339" s="846"/>
      <c r="L2339" s="846"/>
      <c r="M2339" s="846"/>
      <c r="N2339" s="846"/>
      <c r="O2339" s="846"/>
      <c r="P2339" s="846"/>
      <c r="Q2339" s="846"/>
      <c r="R2339" s="846"/>
      <c r="S2339" s="846"/>
      <c r="T2339" s="846"/>
    </row>
    <row r="2340" spans="2:20" ht="38.25" hidden="1">
      <c r="B2340" s="828" t="s">
        <v>6567</v>
      </c>
      <c r="C2340" s="828">
        <v>102036</v>
      </c>
      <c r="D2340" s="630" t="s">
        <v>5958</v>
      </c>
      <c r="E2340" s="630" t="s">
        <v>649</v>
      </c>
      <c r="F2340" s="829">
        <v>121.63</v>
      </c>
      <c r="G2340" s="830">
        <v>104.76</v>
      </c>
      <c r="H2340" s="831">
        <v>226.39</v>
      </c>
      <c r="I2340" s="846"/>
      <c r="J2340" s="846"/>
      <c r="K2340" s="846"/>
      <c r="L2340" s="846"/>
      <c r="M2340" s="846"/>
      <c r="N2340" s="846"/>
      <c r="O2340" s="846"/>
      <c r="P2340" s="846"/>
      <c r="Q2340" s="846"/>
      <c r="R2340" s="846"/>
      <c r="S2340" s="846"/>
      <c r="T2340" s="846"/>
    </row>
    <row r="2341" spans="2:20" ht="38.25" hidden="1">
      <c r="B2341" s="828" t="s">
        <v>6567</v>
      </c>
      <c r="C2341" s="828">
        <v>102037</v>
      </c>
      <c r="D2341" s="630" t="s">
        <v>5959</v>
      </c>
      <c r="E2341" s="630" t="s">
        <v>649</v>
      </c>
      <c r="F2341" s="829">
        <v>103.35999999999999</v>
      </c>
      <c r="G2341" s="830">
        <v>96.19</v>
      </c>
      <c r="H2341" s="831">
        <v>199.55</v>
      </c>
      <c r="I2341" s="846"/>
      <c r="J2341" s="846"/>
      <c r="K2341" s="846"/>
      <c r="L2341" s="846"/>
      <c r="M2341" s="846"/>
      <c r="N2341" s="846"/>
      <c r="O2341" s="846"/>
      <c r="P2341" s="846"/>
      <c r="Q2341" s="846"/>
      <c r="R2341" s="846"/>
      <c r="S2341" s="846"/>
      <c r="T2341" s="846"/>
    </row>
    <row r="2342" spans="2:20" ht="38.25" hidden="1">
      <c r="B2342" s="828" t="s">
        <v>6567</v>
      </c>
      <c r="C2342" s="828">
        <v>102038</v>
      </c>
      <c r="D2342" s="630" t="s">
        <v>5960</v>
      </c>
      <c r="E2342" s="630" t="s">
        <v>649</v>
      </c>
      <c r="F2342" s="829">
        <v>93.33</v>
      </c>
      <c r="G2342" s="830">
        <v>91.26</v>
      </c>
      <c r="H2342" s="831">
        <v>184.59</v>
      </c>
      <c r="I2342" s="846"/>
      <c r="J2342" s="846"/>
      <c r="K2342" s="846"/>
      <c r="L2342" s="846"/>
      <c r="M2342" s="846"/>
      <c r="N2342" s="846"/>
      <c r="O2342" s="846"/>
      <c r="P2342" s="846"/>
      <c r="Q2342" s="846"/>
      <c r="R2342" s="846"/>
      <c r="S2342" s="846"/>
      <c r="T2342" s="846"/>
    </row>
    <row r="2343" spans="2:20" ht="25.5" hidden="1">
      <c r="B2343" s="828" t="s">
        <v>6567</v>
      </c>
      <c r="C2343" s="828">
        <v>102039</v>
      </c>
      <c r="D2343" s="630" t="s">
        <v>5961</v>
      </c>
      <c r="E2343" s="630" t="s">
        <v>649</v>
      </c>
      <c r="F2343" s="829">
        <v>364.84000000000003</v>
      </c>
      <c r="G2343" s="830">
        <v>213.59</v>
      </c>
      <c r="H2343" s="831">
        <v>578.42999999999995</v>
      </c>
      <c r="I2343" s="846"/>
      <c r="J2343" s="846"/>
      <c r="K2343" s="846"/>
      <c r="L2343" s="846"/>
      <c r="M2343" s="846"/>
      <c r="N2343" s="846"/>
      <c r="O2343" s="846"/>
      <c r="P2343" s="846"/>
      <c r="Q2343" s="846"/>
      <c r="R2343" s="846"/>
      <c r="S2343" s="846"/>
      <c r="T2343" s="846"/>
    </row>
    <row r="2344" spans="2:20" ht="25.5" hidden="1">
      <c r="B2344" s="828" t="s">
        <v>6567</v>
      </c>
      <c r="C2344" s="828">
        <v>102040</v>
      </c>
      <c r="D2344" s="630" t="s">
        <v>5962</v>
      </c>
      <c r="E2344" s="630" t="s">
        <v>649</v>
      </c>
      <c r="F2344" s="829">
        <v>312.85999999999996</v>
      </c>
      <c r="G2344" s="830">
        <v>168.7</v>
      </c>
      <c r="H2344" s="831">
        <v>481.56</v>
      </c>
      <c r="I2344" s="846"/>
      <c r="J2344" s="846"/>
      <c r="K2344" s="846"/>
      <c r="L2344" s="846"/>
      <c r="M2344" s="846"/>
      <c r="N2344" s="846"/>
      <c r="O2344" s="846"/>
      <c r="P2344" s="846"/>
      <c r="Q2344" s="846"/>
      <c r="R2344" s="846"/>
      <c r="S2344" s="846"/>
      <c r="T2344" s="846"/>
    </row>
    <row r="2345" spans="2:20" ht="38.25" hidden="1">
      <c r="B2345" s="828" t="s">
        <v>6567</v>
      </c>
      <c r="C2345" s="828">
        <v>102041</v>
      </c>
      <c r="D2345" s="630" t="s">
        <v>5963</v>
      </c>
      <c r="E2345" s="630" t="s">
        <v>649</v>
      </c>
      <c r="F2345" s="829">
        <v>153.47999999999999</v>
      </c>
      <c r="G2345" s="830">
        <v>148.63</v>
      </c>
      <c r="H2345" s="831">
        <v>302.11</v>
      </c>
      <c r="I2345" s="846"/>
      <c r="J2345" s="846"/>
      <c r="K2345" s="846"/>
      <c r="L2345" s="846"/>
      <c r="M2345" s="846"/>
      <c r="N2345" s="846"/>
      <c r="O2345" s="846"/>
      <c r="P2345" s="846"/>
      <c r="Q2345" s="846"/>
      <c r="R2345" s="846"/>
      <c r="S2345" s="846"/>
      <c r="T2345" s="846"/>
    </row>
    <row r="2346" spans="2:20" ht="38.25" hidden="1">
      <c r="B2346" s="828" t="s">
        <v>6567</v>
      </c>
      <c r="C2346" s="828">
        <v>102042</v>
      </c>
      <c r="D2346" s="630" t="s">
        <v>5964</v>
      </c>
      <c r="E2346" s="630" t="s">
        <v>649</v>
      </c>
      <c r="F2346" s="829">
        <v>145.42000000000002</v>
      </c>
      <c r="G2346" s="830">
        <v>119.04</v>
      </c>
      <c r="H2346" s="831">
        <v>264.45999999999998</v>
      </c>
      <c r="I2346" s="846"/>
      <c r="J2346" s="846"/>
      <c r="K2346" s="846"/>
      <c r="L2346" s="846"/>
      <c r="M2346" s="846"/>
      <c r="N2346" s="846"/>
      <c r="O2346" s="846"/>
      <c r="P2346" s="846"/>
      <c r="Q2346" s="846"/>
      <c r="R2346" s="846"/>
      <c r="S2346" s="846"/>
      <c r="T2346" s="846"/>
    </row>
    <row r="2347" spans="2:20" ht="38.25" hidden="1">
      <c r="B2347" s="828" t="s">
        <v>6567</v>
      </c>
      <c r="C2347" s="828">
        <v>102043</v>
      </c>
      <c r="D2347" s="630" t="s">
        <v>5965</v>
      </c>
      <c r="E2347" s="630" t="s">
        <v>649</v>
      </c>
      <c r="F2347" s="829">
        <v>124.89999999999999</v>
      </c>
      <c r="G2347" s="830">
        <v>100.33</v>
      </c>
      <c r="H2347" s="831">
        <v>225.23</v>
      </c>
      <c r="I2347" s="846"/>
      <c r="J2347" s="846"/>
      <c r="K2347" s="846"/>
      <c r="L2347" s="846"/>
      <c r="M2347" s="846"/>
      <c r="N2347" s="846"/>
      <c r="O2347" s="846"/>
      <c r="P2347" s="846"/>
      <c r="Q2347" s="846"/>
      <c r="R2347" s="846"/>
      <c r="S2347" s="846"/>
      <c r="T2347" s="846"/>
    </row>
    <row r="2348" spans="2:20" ht="38.25" hidden="1">
      <c r="B2348" s="828" t="s">
        <v>6567</v>
      </c>
      <c r="C2348" s="828">
        <v>102044</v>
      </c>
      <c r="D2348" s="630" t="s">
        <v>5966</v>
      </c>
      <c r="E2348" s="630" t="s">
        <v>649</v>
      </c>
      <c r="F2348" s="829">
        <v>106.89999999999999</v>
      </c>
      <c r="G2348" s="830">
        <v>92.71</v>
      </c>
      <c r="H2348" s="831">
        <v>199.61</v>
      </c>
      <c r="I2348" s="846"/>
      <c r="J2348" s="846"/>
      <c r="K2348" s="846"/>
      <c r="L2348" s="846"/>
      <c r="M2348" s="846"/>
      <c r="N2348" s="846"/>
      <c r="O2348" s="846"/>
      <c r="P2348" s="846"/>
      <c r="Q2348" s="846"/>
      <c r="R2348" s="846"/>
      <c r="S2348" s="846"/>
      <c r="T2348" s="846"/>
    </row>
    <row r="2349" spans="2:20" ht="38.25" hidden="1">
      <c r="B2349" s="828" t="s">
        <v>6567</v>
      </c>
      <c r="C2349" s="828">
        <v>102045</v>
      </c>
      <c r="D2349" s="630" t="s">
        <v>5967</v>
      </c>
      <c r="E2349" s="630" t="s">
        <v>649</v>
      </c>
      <c r="F2349" s="829">
        <v>96.109999999999985</v>
      </c>
      <c r="G2349" s="830">
        <v>88.14</v>
      </c>
      <c r="H2349" s="831">
        <v>184.25</v>
      </c>
      <c r="I2349" s="846"/>
      <c r="J2349" s="846"/>
      <c r="K2349" s="846"/>
      <c r="L2349" s="846"/>
      <c r="M2349" s="846"/>
      <c r="N2349" s="846"/>
      <c r="O2349" s="846"/>
      <c r="P2349" s="846"/>
      <c r="Q2349" s="846"/>
      <c r="R2349" s="846"/>
      <c r="S2349" s="846"/>
      <c r="T2349" s="846"/>
    </row>
    <row r="2350" spans="2:20" ht="25.5" hidden="1">
      <c r="B2350" s="828" t="s">
        <v>6567</v>
      </c>
      <c r="C2350" s="828">
        <v>102046</v>
      </c>
      <c r="D2350" s="630" t="s">
        <v>5968</v>
      </c>
      <c r="E2350" s="630" t="s">
        <v>649</v>
      </c>
      <c r="F2350" s="829">
        <v>439.38</v>
      </c>
      <c r="G2350" s="830">
        <v>209.77</v>
      </c>
      <c r="H2350" s="831">
        <v>649.15</v>
      </c>
      <c r="I2350" s="846"/>
      <c r="J2350" s="846"/>
      <c r="K2350" s="846"/>
      <c r="L2350" s="846"/>
      <c r="M2350" s="846"/>
      <c r="N2350" s="846"/>
      <c r="O2350" s="846"/>
      <c r="P2350" s="846"/>
      <c r="Q2350" s="846"/>
      <c r="R2350" s="846"/>
      <c r="S2350" s="846"/>
      <c r="T2350" s="846"/>
    </row>
    <row r="2351" spans="2:20" ht="25.5" hidden="1">
      <c r="B2351" s="828" t="s">
        <v>6567</v>
      </c>
      <c r="C2351" s="828">
        <v>102047</v>
      </c>
      <c r="D2351" s="630" t="s">
        <v>5969</v>
      </c>
      <c r="E2351" s="630" t="s">
        <v>649</v>
      </c>
      <c r="F2351" s="829">
        <v>388.18</v>
      </c>
      <c r="G2351" s="830">
        <v>166.06</v>
      </c>
      <c r="H2351" s="831">
        <v>554.24</v>
      </c>
      <c r="I2351" s="846"/>
      <c r="J2351" s="846"/>
      <c r="K2351" s="846"/>
      <c r="L2351" s="846"/>
      <c r="M2351" s="846"/>
      <c r="N2351" s="846"/>
      <c r="O2351" s="846"/>
      <c r="P2351" s="846"/>
      <c r="Q2351" s="846"/>
      <c r="R2351" s="846"/>
      <c r="S2351" s="846"/>
      <c r="T2351" s="846"/>
    </row>
    <row r="2352" spans="2:20" ht="38.25" hidden="1">
      <c r="B2352" s="828" t="s">
        <v>6567</v>
      </c>
      <c r="C2352" s="828">
        <v>102048</v>
      </c>
      <c r="D2352" s="630" t="s">
        <v>5970</v>
      </c>
      <c r="E2352" s="630" t="s">
        <v>649</v>
      </c>
      <c r="F2352" s="829">
        <v>137.71</v>
      </c>
      <c r="G2352" s="830">
        <v>154.44</v>
      </c>
      <c r="H2352" s="831">
        <v>292.14999999999998</v>
      </c>
      <c r="I2352" s="846"/>
      <c r="J2352" s="846"/>
      <c r="K2352" s="846"/>
      <c r="L2352" s="846"/>
      <c r="M2352" s="846"/>
      <c r="N2352" s="846"/>
      <c r="O2352" s="846"/>
      <c r="P2352" s="846"/>
      <c r="Q2352" s="846"/>
      <c r="R2352" s="846"/>
      <c r="S2352" s="846"/>
      <c r="T2352" s="846"/>
    </row>
    <row r="2353" spans="2:20" ht="38.25" hidden="1">
      <c r="B2353" s="828" t="s">
        <v>6567</v>
      </c>
      <c r="C2353" s="828">
        <v>102049</v>
      </c>
      <c r="D2353" s="630" t="s">
        <v>5971</v>
      </c>
      <c r="E2353" s="630" t="s">
        <v>649</v>
      </c>
      <c r="F2353" s="829">
        <v>130.52000000000001</v>
      </c>
      <c r="G2353" s="830">
        <v>125.37</v>
      </c>
      <c r="H2353" s="831">
        <v>255.89</v>
      </c>
      <c r="I2353" s="846"/>
      <c r="J2353" s="846"/>
      <c r="K2353" s="846"/>
      <c r="L2353" s="846"/>
      <c r="M2353" s="846"/>
      <c r="N2353" s="846"/>
      <c r="O2353" s="846"/>
      <c r="P2353" s="846"/>
      <c r="Q2353" s="846"/>
      <c r="R2353" s="846"/>
      <c r="S2353" s="846"/>
      <c r="T2353" s="846"/>
    </row>
    <row r="2354" spans="2:20" ht="38.25" hidden="1">
      <c r="B2354" s="828" t="s">
        <v>6567</v>
      </c>
      <c r="C2354" s="828">
        <v>102050</v>
      </c>
      <c r="D2354" s="630" t="s">
        <v>5972</v>
      </c>
      <c r="E2354" s="630" t="s">
        <v>649</v>
      </c>
      <c r="F2354" s="829">
        <v>117.51</v>
      </c>
      <c r="G2354" s="830">
        <v>104.21</v>
      </c>
      <c r="H2354" s="831">
        <v>221.72</v>
      </c>
      <c r="I2354" s="846"/>
      <c r="J2354" s="846"/>
      <c r="K2354" s="846"/>
      <c r="L2354" s="846"/>
      <c r="M2354" s="846"/>
      <c r="N2354" s="846"/>
      <c r="O2354" s="846"/>
      <c r="P2354" s="846"/>
      <c r="Q2354" s="846"/>
      <c r="R2354" s="846"/>
      <c r="S2354" s="846"/>
      <c r="T2354" s="846"/>
    </row>
    <row r="2355" spans="2:20" ht="38.25" hidden="1">
      <c r="B2355" s="828" t="s">
        <v>6567</v>
      </c>
      <c r="C2355" s="828">
        <v>102051</v>
      </c>
      <c r="D2355" s="630" t="s">
        <v>5973</v>
      </c>
      <c r="E2355" s="630" t="s">
        <v>649</v>
      </c>
      <c r="F2355" s="829">
        <v>99.190000000000012</v>
      </c>
      <c r="G2355" s="830">
        <v>95.71</v>
      </c>
      <c r="H2355" s="831">
        <v>194.9</v>
      </c>
      <c r="I2355" s="846"/>
      <c r="J2355" s="846"/>
      <c r="K2355" s="846"/>
      <c r="L2355" s="846"/>
      <c r="M2355" s="846"/>
      <c r="N2355" s="846"/>
      <c r="O2355" s="846"/>
      <c r="P2355" s="846"/>
      <c r="Q2355" s="846"/>
      <c r="R2355" s="846"/>
      <c r="S2355" s="846"/>
      <c r="T2355" s="846"/>
    </row>
    <row r="2356" spans="2:20" ht="38.25" hidden="1">
      <c r="B2356" s="828" t="s">
        <v>6567</v>
      </c>
      <c r="C2356" s="828">
        <v>102052</v>
      </c>
      <c r="D2356" s="630" t="s">
        <v>5974</v>
      </c>
      <c r="E2356" s="630" t="s">
        <v>649</v>
      </c>
      <c r="F2356" s="829">
        <v>89.15</v>
      </c>
      <c r="G2356" s="830">
        <v>90.79</v>
      </c>
      <c r="H2356" s="831">
        <v>179.94</v>
      </c>
      <c r="I2356" s="846"/>
      <c r="J2356" s="846"/>
      <c r="K2356" s="846"/>
      <c r="L2356" s="846"/>
      <c r="M2356" s="846"/>
      <c r="N2356" s="846"/>
      <c r="O2356" s="846"/>
      <c r="P2356" s="846"/>
      <c r="Q2356" s="846"/>
      <c r="R2356" s="846"/>
      <c r="S2356" s="846"/>
      <c r="T2356" s="846"/>
    </row>
    <row r="2357" spans="2:20" ht="38.25" hidden="1">
      <c r="B2357" s="828" t="s">
        <v>6567</v>
      </c>
      <c r="C2357" s="828">
        <v>102059</v>
      </c>
      <c r="D2357" s="630" t="s">
        <v>5975</v>
      </c>
      <c r="E2357" s="630" t="s">
        <v>649</v>
      </c>
      <c r="F2357" s="829">
        <v>343.05</v>
      </c>
      <c r="G2357" s="830">
        <v>194.94</v>
      </c>
      <c r="H2357" s="831">
        <v>537.99</v>
      </c>
      <c r="I2357" s="846"/>
      <c r="J2357" s="846"/>
      <c r="K2357" s="846"/>
      <c r="L2357" s="846"/>
      <c r="M2357" s="846"/>
      <c r="N2357" s="846"/>
      <c r="O2357" s="846"/>
      <c r="P2357" s="846"/>
      <c r="Q2357" s="846"/>
      <c r="R2357" s="846"/>
      <c r="S2357" s="846"/>
      <c r="T2357" s="846"/>
    </row>
    <row r="2358" spans="2:20" ht="38.25" hidden="1">
      <c r="B2358" s="828" t="s">
        <v>6567</v>
      </c>
      <c r="C2358" s="828">
        <v>102060</v>
      </c>
      <c r="D2358" s="630" t="s">
        <v>5976</v>
      </c>
      <c r="E2358" s="630" t="s">
        <v>649</v>
      </c>
      <c r="F2358" s="829">
        <v>297.08000000000004</v>
      </c>
      <c r="G2358" s="830">
        <v>154.84</v>
      </c>
      <c r="H2358" s="831">
        <v>451.92</v>
      </c>
      <c r="I2358" s="846"/>
      <c r="J2358" s="846"/>
      <c r="K2358" s="846"/>
      <c r="L2358" s="846"/>
      <c r="M2358" s="846"/>
      <c r="N2358" s="846"/>
      <c r="O2358" s="846"/>
      <c r="P2358" s="846"/>
      <c r="Q2358" s="846"/>
      <c r="R2358" s="846"/>
      <c r="S2358" s="846"/>
      <c r="T2358" s="846"/>
    </row>
    <row r="2359" spans="2:20" ht="38.25" hidden="1">
      <c r="B2359" s="828" t="s">
        <v>6567</v>
      </c>
      <c r="C2359" s="828">
        <v>102061</v>
      </c>
      <c r="D2359" s="630" t="s">
        <v>5977</v>
      </c>
      <c r="E2359" s="630" t="s">
        <v>649</v>
      </c>
      <c r="F2359" s="829">
        <v>146.67000000000002</v>
      </c>
      <c r="G2359" s="830">
        <v>129.16</v>
      </c>
      <c r="H2359" s="831">
        <v>275.83</v>
      </c>
      <c r="I2359" s="846"/>
      <c r="J2359" s="846"/>
      <c r="K2359" s="846"/>
      <c r="L2359" s="846"/>
      <c r="M2359" s="846"/>
      <c r="N2359" s="846"/>
      <c r="O2359" s="846"/>
      <c r="P2359" s="846"/>
      <c r="Q2359" s="846"/>
      <c r="R2359" s="846"/>
      <c r="S2359" s="846"/>
      <c r="T2359" s="846"/>
    </row>
    <row r="2360" spans="2:20" ht="38.25" hidden="1">
      <c r="B2360" s="828" t="s">
        <v>6567</v>
      </c>
      <c r="C2360" s="828">
        <v>102062</v>
      </c>
      <c r="D2360" s="630" t="s">
        <v>5978</v>
      </c>
      <c r="E2360" s="630" t="s">
        <v>649</v>
      </c>
      <c r="F2360" s="829">
        <v>141.69</v>
      </c>
      <c r="G2360" s="830">
        <v>104.53</v>
      </c>
      <c r="H2360" s="831">
        <v>246.22</v>
      </c>
      <c r="I2360" s="846"/>
      <c r="J2360" s="846"/>
      <c r="K2360" s="846"/>
      <c r="L2360" s="846"/>
      <c r="M2360" s="846"/>
      <c r="N2360" s="846"/>
      <c r="O2360" s="846"/>
      <c r="P2360" s="846"/>
      <c r="Q2360" s="846"/>
      <c r="R2360" s="846"/>
      <c r="S2360" s="846"/>
      <c r="T2360" s="846"/>
    </row>
    <row r="2361" spans="2:20" ht="38.25" hidden="1">
      <c r="B2361" s="828" t="s">
        <v>6567</v>
      </c>
      <c r="C2361" s="828">
        <v>102063</v>
      </c>
      <c r="D2361" s="630" t="s">
        <v>5979</v>
      </c>
      <c r="E2361" s="630" t="s">
        <v>649</v>
      </c>
      <c r="F2361" s="829">
        <v>121.41999999999999</v>
      </c>
      <c r="G2361" s="830">
        <v>87.08</v>
      </c>
      <c r="H2361" s="831">
        <v>208.5</v>
      </c>
      <c r="I2361" s="846"/>
      <c r="J2361" s="846"/>
      <c r="K2361" s="846"/>
      <c r="L2361" s="846"/>
      <c r="M2361" s="846"/>
      <c r="N2361" s="846"/>
      <c r="O2361" s="846"/>
      <c r="P2361" s="846"/>
      <c r="Q2361" s="846"/>
      <c r="R2361" s="846"/>
      <c r="S2361" s="846"/>
      <c r="T2361" s="846"/>
    </row>
    <row r="2362" spans="2:20" ht="38.25" hidden="1">
      <c r="B2362" s="828" t="s">
        <v>6567</v>
      </c>
      <c r="C2362" s="828">
        <v>102064</v>
      </c>
      <c r="D2362" s="630" t="s">
        <v>5980</v>
      </c>
      <c r="E2362" s="630" t="s">
        <v>649</v>
      </c>
      <c r="F2362" s="829">
        <v>102.87</v>
      </c>
      <c r="G2362" s="830">
        <v>79.900000000000006</v>
      </c>
      <c r="H2362" s="831">
        <v>182.77</v>
      </c>
      <c r="I2362" s="846"/>
      <c r="J2362" s="846"/>
      <c r="K2362" s="846"/>
      <c r="L2362" s="846"/>
      <c r="M2362" s="846"/>
      <c r="N2362" s="846"/>
      <c r="O2362" s="846"/>
      <c r="P2362" s="846"/>
      <c r="Q2362" s="846"/>
      <c r="R2362" s="846"/>
      <c r="S2362" s="846"/>
      <c r="T2362" s="846"/>
    </row>
    <row r="2363" spans="2:20" ht="38.25" hidden="1">
      <c r="B2363" s="828" t="s">
        <v>6567</v>
      </c>
      <c r="C2363" s="828">
        <v>102065</v>
      </c>
      <c r="D2363" s="630" t="s">
        <v>5981</v>
      </c>
      <c r="E2363" s="630" t="s">
        <v>649</v>
      </c>
      <c r="F2363" s="829">
        <v>92.659999999999982</v>
      </c>
      <c r="G2363" s="830">
        <v>75.8</v>
      </c>
      <c r="H2363" s="831">
        <v>168.46</v>
      </c>
      <c r="I2363" s="846"/>
      <c r="J2363" s="846"/>
      <c r="K2363" s="846"/>
      <c r="L2363" s="846"/>
      <c r="M2363" s="846"/>
      <c r="N2363" s="846"/>
      <c r="O2363" s="846"/>
      <c r="P2363" s="846"/>
      <c r="Q2363" s="846"/>
      <c r="R2363" s="846"/>
      <c r="S2363" s="846"/>
      <c r="T2363" s="846"/>
    </row>
    <row r="2364" spans="2:20" ht="38.25" hidden="1">
      <c r="B2364" s="828" t="s">
        <v>6567</v>
      </c>
      <c r="C2364" s="828">
        <v>102066</v>
      </c>
      <c r="D2364" s="630" t="s">
        <v>5982</v>
      </c>
      <c r="E2364" s="630" t="s">
        <v>649</v>
      </c>
      <c r="F2364" s="829">
        <v>381.49</v>
      </c>
      <c r="G2364" s="830">
        <v>190.92</v>
      </c>
      <c r="H2364" s="831">
        <v>572.41</v>
      </c>
      <c r="I2364" s="846"/>
      <c r="J2364" s="846"/>
      <c r="K2364" s="846"/>
      <c r="L2364" s="846"/>
      <c r="M2364" s="846"/>
      <c r="N2364" s="846"/>
      <c r="O2364" s="846"/>
      <c r="P2364" s="846"/>
      <c r="Q2364" s="846"/>
      <c r="R2364" s="846"/>
      <c r="S2364" s="846"/>
      <c r="T2364" s="846"/>
    </row>
    <row r="2365" spans="2:20" ht="38.25" hidden="1">
      <c r="B2365" s="828" t="s">
        <v>6567</v>
      </c>
      <c r="C2365" s="828">
        <v>102067</v>
      </c>
      <c r="D2365" s="630" t="s">
        <v>5983</v>
      </c>
      <c r="E2365" s="630" t="s">
        <v>649</v>
      </c>
      <c r="F2365" s="829">
        <v>339.06</v>
      </c>
      <c r="G2365" s="830">
        <v>152.07</v>
      </c>
      <c r="H2365" s="831">
        <v>491.13</v>
      </c>
      <c r="I2365" s="846"/>
      <c r="J2365" s="846"/>
      <c r="K2365" s="846"/>
      <c r="L2365" s="846"/>
      <c r="M2365" s="846"/>
      <c r="N2365" s="846"/>
      <c r="O2365" s="846"/>
      <c r="P2365" s="846"/>
      <c r="Q2365" s="846"/>
      <c r="R2365" s="846"/>
      <c r="S2365" s="846"/>
      <c r="T2365" s="846"/>
    </row>
    <row r="2366" spans="2:20" ht="38.25" hidden="1">
      <c r="B2366" s="828" t="s">
        <v>6567</v>
      </c>
      <c r="C2366" s="828">
        <v>102068</v>
      </c>
      <c r="D2366" s="630" t="s">
        <v>5984</v>
      </c>
      <c r="E2366" s="630" t="s">
        <v>649</v>
      </c>
      <c r="F2366" s="829">
        <v>131.01000000000002</v>
      </c>
      <c r="G2366" s="830">
        <v>131.91</v>
      </c>
      <c r="H2366" s="831">
        <v>262.92</v>
      </c>
      <c r="I2366" s="846"/>
      <c r="J2366" s="846"/>
      <c r="K2366" s="846"/>
      <c r="L2366" s="846"/>
      <c r="M2366" s="846"/>
      <c r="N2366" s="846"/>
      <c r="O2366" s="846"/>
      <c r="P2366" s="846"/>
      <c r="Q2366" s="846"/>
      <c r="R2366" s="846"/>
      <c r="S2366" s="846"/>
      <c r="T2366" s="846"/>
    </row>
    <row r="2367" spans="2:20" ht="38.25" hidden="1">
      <c r="B2367" s="828" t="s">
        <v>6567</v>
      </c>
      <c r="C2367" s="828">
        <v>102069</v>
      </c>
      <c r="D2367" s="630" t="s">
        <v>5985</v>
      </c>
      <c r="E2367" s="630" t="s">
        <v>649</v>
      </c>
      <c r="F2367" s="829">
        <v>127.11000000000001</v>
      </c>
      <c r="G2367" s="830">
        <v>107.81</v>
      </c>
      <c r="H2367" s="831">
        <v>234.92</v>
      </c>
      <c r="I2367" s="846"/>
      <c r="J2367" s="846"/>
      <c r="K2367" s="846"/>
      <c r="L2367" s="846"/>
      <c r="M2367" s="846"/>
      <c r="N2367" s="846"/>
      <c r="O2367" s="846"/>
      <c r="P2367" s="846"/>
      <c r="Q2367" s="846"/>
      <c r="R2367" s="846"/>
      <c r="S2367" s="846"/>
      <c r="T2367" s="846"/>
    </row>
    <row r="2368" spans="2:20" ht="38.25" hidden="1">
      <c r="B2368" s="828" t="s">
        <v>6567</v>
      </c>
      <c r="C2368" s="828">
        <v>102070</v>
      </c>
      <c r="D2368" s="630" t="s">
        <v>5986</v>
      </c>
      <c r="E2368" s="630" t="s">
        <v>649</v>
      </c>
      <c r="F2368" s="829">
        <v>114.03</v>
      </c>
      <c r="G2368" s="830">
        <v>88.97</v>
      </c>
      <c r="H2368" s="831">
        <v>203</v>
      </c>
      <c r="I2368" s="846"/>
      <c r="J2368" s="846"/>
      <c r="K2368" s="846"/>
      <c r="L2368" s="846"/>
      <c r="M2368" s="846"/>
      <c r="N2368" s="846"/>
      <c r="O2368" s="846"/>
      <c r="P2368" s="846"/>
      <c r="Q2368" s="846"/>
      <c r="R2368" s="846"/>
      <c r="S2368" s="846"/>
      <c r="T2368" s="846"/>
    </row>
    <row r="2369" spans="2:20" ht="38.25" hidden="1">
      <c r="B2369" s="828" t="s">
        <v>6567</v>
      </c>
      <c r="C2369" s="828">
        <v>102071</v>
      </c>
      <c r="D2369" s="630" t="s">
        <v>5987</v>
      </c>
      <c r="E2369" s="630" t="s">
        <v>649</v>
      </c>
      <c r="F2369" s="829">
        <v>96.720000000000013</v>
      </c>
      <c r="G2369" s="830">
        <v>81.540000000000006</v>
      </c>
      <c r="H2369" s="831">
        <v>178.26</v>
      </c>
      <c r="I2369" s="846"/>
      <c r="J2369" s="846"/>
      <c r="K2369" s="846"/>
      <c r="L2369" s="846"/>
      <c r="M2369" s="846"/>
      <c r="N2369" s="846"/>
      <c r="O2369" s="846"/>
      <c r="P2369" s="846"/>
      <c r="Q2369" s="846"/>
      <c r="R2369" s="846"/>
      <c r="S2369" s="846"/>
      <c r="T2369" s="846"/>
    </row>
    <row r="2370" spans="2:20" ht="38.25" hidden="1">
      <c r="B2370" s="828" t="s">
        <v>6567</v>
      </c>
      <c r="C2370" s="828">
        <v>102072</v>
      </c>
      <c r="D2370" s="630" t="s">
        <v>5988</v>
      </c>
      <c r="E2370" s="630" t="s">
        <v>649</v>
      </c>
      <c r="F2370" s="829">
        <v>91.55</v>
      </c>
      <c r="G2370" s="830">
        <v>76.17</v>
      </c>
      <c r="H2370" s="831">
        <v>167.72</v>
      </c>
      <c r="I2370" s="846"/>
      <c r="J2370" s="846"/>
      <c r="K2370" s="846"/>
      <c r="L2370" s="846"/>
      <c r="M2370" s="846"/>
      <c r="N2370" s="846"/>
      <c r="O2370" s="846"/>
      <c r="P2370" s="846"/>
      <c r="Q2370" s="846"/>
      <c r="R2370" s="846"/>
      <c r="S2370" s="846"/>
      <c r="T2370" s="846"/>
    </row>
    <row r="2371" spans="2:20" ht="38.25" hidden="1">
      <c r="B2371" s="828" t="s">
        <v>6567</v>
      </c>
      <c r="C2371" s="828">
        <v>102073</v>
      </c>
      <c r="D2371" s="630" t="s">
        <v>5989</v>
      </c>
      <c r="E2371" s="630" t="s">
        <v>644</v>
      </c>
      <c r="F2371" s="829">
        <v>2358.7199999999998</v>
      </c>
      <c r="G2371" s="830">
        <v>1196.6400000000001</v>
      </c>
      <c r="H2371" s="831">
        <v>3555.36</v>
      </c>
      <c r="I2371" s="846"/>
      <c r="J2371" s="846"/>
      <c r="K2371" s="846"/>
      <c r="L2371" s="846"/>
      <c r="M2371" s="846"/>
      <c r="N2371" s="846"/>
      <c r="O2371" s="846"/>
      <c r="P2371" s="846"/>
      <c r="Q2371" s="846"/>
      <c r="R2371" s="846"/>
      <c r="S2371" s="846"/>
      <c r="T2371" s="846"/>
    </row>
    <row r="2372" spans="2:20" ht="38.25" hidden="1">
      <c r="B2372" s="828" t="s">
        <v>6567</v>
      </c>
      <c r="C2372" s="828">
        <v>102074</v>
      </c>
      <c r="D2372" s="630" t="s">
        <v>5990</v>
      </c>
      <c r="E2372" s="630" t="s">
        <v>644</v>
      </c>
      <c r="F2372" s="829">
        <v>2992.11</v>
      </c>
      <c r="G2372" s="830">
        <v>1341.4</v>
      </c>
      <c r="H2372" s="831">
        <v>4333.51</v>
      </c>
      <c r="I2372" s="846"/>
      <c r="J2372" s="846"/>
      <c r="K2372" s="846"/>
      <c r="L2372" s="846"/>
      <c r="M2372" s="846"/>
      <c r="N2372" s="846"/>
      <c r="O2372" s="846"/>
      <c r="P2372" s="846"/>
      <c r="Q2372" s="846"/>
      <c r="R2372" s="846"/>
      <c r="S2372" s="846"/>
      <c r="T2372" s="846"/>
    </row>
    <row r="2373" spans="2:20" ht="38.25" hidden="1">
      <c r="B2373" s="828" t="s">
        <v>6567</v>
      </c>
      <c r="C2373" s="828">
        <v>102075</v>
      </c>
      <c r="D2373" s="630" t="s">
        <v>5991</v>
      </c>
      <c r="E2373" s="630" t="s">
        <v>644</v>
      </c>
      <c r="F2373" s="829">
        <v>3179.07</v>
      </c>
      <c r="G2373" s="830">
        <v>1392.37</v>
      </c>
      <c r="H2373" s="831">
        <v>4571.4399999999996</v>
      </c>
      <c r="I2373" s="846"/>
      <c r="J2373" s="846"/>
      <c r="K2373" s="846"/>
      <c r="L2373" s="846"/>
      <c r="M2373" s="846"/>
      <c r="N2373" s="846"/>
      <c r="O2373" s="846"/>
      <c r="P2373" s="846"/>
      <c r="Q2373" s="846"/>
      <c r="R2373" s="846"/>
      <c r="S2373" s="846"/>
      <c r="T2373" s="846"/>
    </row>
    <row r="2374" spans="2:20" ht="38.25" hidden="1">
      <c r="B2374" s="828" t="s">
        <v>6567</v>
      </c>
      <c r="C2374" s="828">
        <v>102076</v>
      </c>
      <c r="D2374" s="630" t="s">
        <v>5992</v>
      </c>
      <c r="E2374" s="630" t="s">
        <v>644</v>
      </c>
      <c r="F2374" s="829">
        <v>3296.52</v>
      </c>
      <c r="G2374" s="830">
        <v>1359.25</v>
      </c>
      <c r="H2374" s="831">
        <v>4655.7700000000004</v>
      </c>
      <c r="I2374" s="846"/>
      <c r="J2374" s="846"/>
      <c r="K2374" s="846"/>
      <c r="L2374" s="846"/>
      <c r="M2374" s="846"/>
      <c r="N2374" s="846"/>
      <c r="O2374" s="846"/>
      <c r="P2374" s="846"/>
      <c r="Q2374" s="846"/>
      <c r="R2374" s="846"/>
      <c r="S2374" s="846"/>
      <c r="T2374" s="846"/>
    </row>
    <row r="2375" spans="2:20" ht="38.25" hidden="1">
      <c r="B2375" s="828" t="s">
        <v>6567</v>
      </c>
      <c r="C2375" s="828">
        <v>102077</v>
      </c>
      <c r="D2375" s="630" t="s">
        <v>5993</v>
      </c>
      <c r="E2375" s="630" t="s">
        <v>644</v>
      </c>
      <c r="F2375" s="829">
        <v>3399.78</v>
      </c>
      <c r="G2375" s="830">
        <v>1799.4</v>
      </c>
      <c r="H2375" s="831">
        <v>5199.18</v>
      </c>
      <c r="I2375" s="846"/>
      <c r="J2375" s="846"/>
      <c r="K2375" s="846"/>
      <c r="L2375" s="846"/>
      <c r="M2375" s="846"/>
      <c r="N2375" s="846"/>
      <c r="O2375" s="846"/>
      <c r="P2375" s="846"/>
      <c r="Q2375" s="846"/>
      <c r="R2375" s="846"/>
      <c r="S2375" s="846"/>
      <c r="T2375" s="846"/>
    </row>
    <row r="2376" spans="2:20" ht="38.25" hidden="1">
      <c r="B2376" s="828" t="s">
        <v>6567</v>
      </c>
      <c r="C2376" s="828">
        <v>102078</v>
      </c>
      <c r="D2376" s="630" t="s">
        <v>5994</v>
      </c>
      <c r="E2376" s="630" t="s">
        <v>644</v>
      </c>
      <c r="F2376" s="829">
        <v>3449.44</v>
      </c>
      <c r="G2376" s="830">
        <v>1772.56</v>
      </c>
      <c r="H2376" s="831">
        <v>5222</v>
      </c>
      <c r="I2376" s="846"/>
      <c r="J2376" s="846"/>
      <c r="K2376" s="846"/>
      <c r="L2376" s="846"/>
      <c r="M2376" s="846"/>
      <c r="N2376" s="846"/>
      <c r="O2376" s="846"/>
      <c r="P2376" s="846"/>
      <c r="Q2376" s="846"/>
      <c r="R2376" s="846"/>
      <c r="S2376" s="846"/>
      <c r="T2376" s="846"/>
    </row>
    <row r="2377" spans="2:20" ht="38.25" hidden="1">
      <c r="B2377" s="828" t="s">
        <v>6567</v>
      </c>
      <c r="C2377" s="828">
        <v>102079</v>
      </c>
      <c r="D2377" s="630" t="s">
        <v>5995</v>
      </c>
      <c r="E2377" s="630" t="s">
        <v>644</v>
      </c>
      <c r="F2377" s="829">
        <v>3370.69</v>
      </c>
      <c r="G2377" s="843">
        <v>1695.7</v>
      </c>
      <c r="H2377" s="832">
        <v>5066.3900000000003</v>
      </c>
      <c r="I2377" s="846"/>
      <c r="J2377" s="846"/>
      <c r="K2377" s="846"/>
      <c r="L2377" s="846"/>
      <c r="M2377" s="846"/>
      <c r="N2377" s="846"/>
      <c r="O2377" s="846"/>
      <c r="P2377" s="846"/>
      <c r="Q2377" s="846"/>
      <c r="R2377" s="846"/>
      <c r="S2377" s="846"/>
      <c r="T2377" s="846"/>
    </row>
    <row r="2378" spans="2:20" ht="38.25" hidden="1">
      <c r="B2378" s="828" t="s">
        <v>6567</v>
      </c>
      <c r="C2378" s="828">
        <v>102080</v>
      </c>
      <c r="D2378" s="630" t="s">
        <v>5996</v>
      </c>
      <c r="E2378" s="630" t="s">
        <v>644</v>
      </c>
      <c r="F2378" s="829">
        <v>3089.73</v>
      </c>
      <c r="G2378" s="843">
        <v>1355.12</v>
      </c>
      <c r="H2378" s="832">
        <v>4444.8500000000004</v>
      </c>
      <c r="I2378" s="846"/>
      <c r="J2378" s="846"/>
      <c r="K2378" s="846"/>
      <c r="L2378" s="846"/>
      <c r="M2378" s="846"/>
      <c r="N2378" s="846"/>
      <c r="O2378" s="846"/>
      <c r="P2378" s="846"/>
      <c r="Q2378" s="846"/>
      <c r="R2378" s="846"/>
      <c r="S2378" s="846"/>
      <c r="T2378" s="846"/>
    </row>
    <row r="2379" spans="2:20" ht="38.25" hidden="1">
      <c r="B2379" s="828" t="s">
        <v>6567</v>
      </c>
      <c r="C2379" s="828">
        <v>102086</v>
      </c>
      <c r="D2379" s="630" t="s">
        <v>5998</v>
      </c>
      <c r="E2379" s="630" t="s">
        <v>649</v>
      </c>
      <c r="F2379" s="829">
        <v>158.54999999999998</v>
      </c>
      <c r="G2379" s="843">
        <v>28.58</v>
      </c>
      <c r="H2379" s="832">
        <v>187.13</v>
      </c>
      <c r="I2379" s="846"/>
      <c r="J2379" s="846"/>
      <c r="K2379" s="846"/>
      <c r="L2379" s="846"/>
      <c r="M2379" s="846"/>
      <c r="N2379" s="846"/>
      <c r="O2379" s="846"/>
      <c r="P2379" s="846"/>
      <c r="Q2379" s="846"/>
      <c r="R2379" s="846"/>
      <c r="S2379" s="846"/>
      <c r="T2379" s="846"/>
    </row>
    <row r="2380" spans="2:20" ht="38.25" hidden="1">
      <c r="B2380" s="828" t="s">
        <v>6567</v>
      </c>
      <c r="C2380" s="828">
        <v>102087</v>
      </c>
      <c r="D2380" s="630" t="s">
        <v>5999</v>
      </c>
      <c r="E2380" s="630" t="s">
        <v>649</v>
      </c>
      <c r="F2380" s="829">
        <v>119.11999999999999</v>
      </c>
      <c r="G2380" s="843">
        <v>28.58</v>
      </c>
      <c r="H2380" s="832">
        <v>147.69999999999999</v>
      </c>
      <c r="I2380" s="846"/>
      <c r="J2380" s="846"/>
      <c r="K2380" s="846"/>
      <c r="L2380" s="846"/>
      <c r="M2380" s="846"/>
      <c r="N2380" s="846"/>
      <c r="O2380" s="846"/>
      <c r="P2380" s="846"/>
      <c r="Q2380" s="846"/>
      <c r="R2380" s="846"/>
      <c r="S2380" s="846"/>
      <c r="T2380" s="846"/>
    </row>
    <row r="2381" spans="2:20" ht="25.5" hidden="1">
      <c r="B2381" s="828" t="s">
        <v>6567</v>
      </c>
      <c r="C2381" s="828">
        <v>102088</v>
      </c>
      <c r="D2381" s="630" t="s">
        <v>6000</v>
      </c>
      <c r="E2381" s="630" t="s">
        <v>649</v>
      </c>
      <c r="F2381" s="829">
        <v>244.2</v>
      </c>
      <c r="G2381" s="843">
        <v>29.92</v>
      </c>
      <c r="H2381" s="832">
        <v>274.12</v>
      </c>
      <c r="I2381" s="846"/>
      <c r="J2381" s="846"/>
      <c r="K2381" s="846"/>
      <c r="L2381" s="846"/>
      <c r="M2381" s="846"/>
      <c r="N2381" s="846"/>
      <c r="O2381" s="846"/>
      <c r="P2381" s="846"/>
      <c r="Q2381" s="846"/>
      <c r="R2381" s="846"/>
      <c r="S2381" s="846"/>
      <c r="T2381" s="846"/>
    </row>
    <row r="2382" spans="2:20" ht="38.25" hidden="1">
      <c r="B2382" s="828" t="s">
        <v>6567</v>
      </c>
      <c r="C2382" s="828">
        <v>102089</v>
      </c>
      <c r="D2382" s="630" t="s">
        <v>6001</v>
      </c>
      <c r="E2382" s="630" t="s">
        <v>649</v>
      </c>
      <c r="F2382" s="829">
        <v>147.23999999999998</v>
      </c>
      <c r="G2382" s="843">
        <v>30.91</v>
      </c>
      <c r="H2382" s="832">
        <v>178.15</v>
      </c>
      <c r="I2382" s="846"/>
      <c r="J2382" s="846"/>
      <c r="K2382" s="846"/>
      <c r="L2382" s="846"/>
      <c r="M2382" s="846"/>
      <c r="N2382" s="846"/>
      <c r="O2382" s="846"/>
      <c r="P2382" s="846"/>
      <c r="Q2382" s="846"/>
      <c r="R2382" s="846"/>
      <c r="S2382" s="846"/>
      <c r="T2382" s="846"/>
    </row>
    <row r="2383" spans="2:20" ht="38.25" hidden="1">
      <c r="B2383" s="828" t="s">
        <v>6567</v>
      </c>
      <c r="C2383" s="828">
        <v>102090</v>
      </c>
      <c r="D2383" s="630" t="s">
        <v>6002</v>
      </c>
      <c r="E2383" s="630" t="s">
        <v>649</v>
      </c>
      <c r="F2383" s="829">
        <v>102.49</v>
      </c>
      <c r="G2383" s="843">
        <v>30.92</v>
      </c>
      <c r="H2383" s="832">
        <v>133.41</v>
      </c>
      <c r="I2383" s="846"/>
      <c r="J2383" s="846"/>
      <c r="K2383" s="846"/>
      <c r="L2383" s="846"/>
      <c r="M2383" s="846"/>
      <c r="N2383" s="846"/>
      <c r="O2383" s="846"/>
      <c r="P2383" s="846"/>
      <c r="Q2383" s="846"/>
      <c r="R2383" s="846"/>
      <c r="S2383" s="846"/>
      <c r="T2383" s="846"/>
    </row>
    <row r="2384" spans="2:20" ht="25.5" hidden="1">
      <c r="B2384" s="828" t="s">
        <v>6567</v>
      </c>
      <c r="C2384" s="828">
        <v>102091</v>
      </c>
      <c r="D2384" s="630" t="s">
        <v>6003</v>
      </c>
      <c r="E2384" s="630" t="s">
        <v>649</v>
      </c>
      <c r="F2384" s="829">
        <v>292.23</v>
      </c>
      <c r="G2384" s="843">
        <v>31.24</v>
      </c>
      <c r="H2384" s="832">
        <v>323.47000000000003</v>
      </c>
      <c r="I2384" s="846"/>
      <c r="J2384" s="846"/>
      <c r="K2384" s="846"/>
      <c r="L2384" s="846"/>
      <c r="M2384" s="846"/>
      <c r="N2384" s="846"/>
      <c r="O2384" s="846"/>
      <c r="P2384" s="846"/>
      <c r="Q2384" s="846"/>
      <c r="R2384" s="846"/>
      <c r="S2384" s="846"/>
      <c r="T2384" s="846"/>
    </row>
    <row r="2385" spans="2:20" ht="38.25" hidden="1">
      <c r="B2385" s="828" t="s">
        <v>6567</v>
      </c>
      <c r="C2385" s="828">
        <v>103760</v>
      </c>
      <c r="D2385" s="630" t="s">
        <v>7196</v>
      </c>
      <c r="E2385" s="630" t="s">
        <v>649</v>
      </c>
      <c r="F2385" s="829">
        <v>96.51</v>
      </c>
      <c r="G2385" s="830">
        <v>31.51</v>
      </c>
      <c r="H2385" s="831">
        <v>128.02000000000001</v>
      </c>
      <c r="I2385" s="846"/>
      <c r="J2385" s="846"/>
      <c r="K2385" s="846"/>
      <c r="L2385" s="846"/>
      <c r="M2385" s="846"/>
      <c r="N2385" s="846"/>
      <c r="O2385" s="846"/>
      <c r="P2385" s="846"/>
      <c r="Q2385" s="846"/>
      <c r="R2385" s="846"/>
      <c r="S2385" s="846"/>
      <c r="T2385" s="846"/>
    </row>
    <row r="2386" spans="2:20" ht="38.25" hidden="1">
      <c r="B2386" s="828" t="s">
        <v>6567</v>
      </c>
      <c r="C2386" s="828">
        <v>103761</v>
      </c>
      <c r="D2386" s="630" t="s">
        <v>7197</v>
      </c>
      <c r="E2386" s="630" t="s">
        <v>649</v>
      </c>
      <c r="F2386" s="829">
        <v>56.17</v>
      </c>
      <c r="G2386" s="830">
        <v>29.09</v>
      </c>
      <c r="H2386" s="831">
        <v>85.26</v>
      </c>
      <c r="I2386" s="846"/>
      <c r="J2386" s="846"/>
      <c r="K2386" s="846"/>
      <c r="L2386" s="846"/>
      <c r="M2386" s="846"/>
      <c r="N2386" s="846"/>
      <c r="O2386" s="846"/>
      <c r="P2386" s="846"/>
      <c r="Q2386" s="846"/>
      <c r="R2386" s="846"/>
      <c r="S2386" s="846"/>
      <c r="T2386" s="846"/>
    </row>
    <row r="2387" spans="2:20" ht="38.25" hidden="1">
      <c r="B2387" s="828" t="s">
        <v>6567</v>
      </c>
      <c r="C2387" s="828">
        <v>103762</v>
      </c>
      <c r="D2387" s="630" t="s">
        <v>7198</v>
      </c>
      <c r="E2387" s="630" t="s">
        <v>649</v>
      </c>
      <c r="F2387" s="829">
        <v>46.34</v>
      </c>
      <c r="G2387" s="830">
        <v>26.75</v>
      </c>
      <c r="H2387" s="831">
        <v>73.09</v>
      </c>
      <c r="I2387" s="846"/>
      <c r="J2387" s="846"/>
      <c r="K2387" s="846"/>
      <c r="L2387" s="846"/>
      <c r="M2387" s="846"/>
      <c r="N2387" s="846"/>
      <c r="O2387" s="846"/>
      <c r="P2387" s="846"/>
      <c r="Q2387" s="846"/>
      <c r="R2387" s="846"/>
      <c r="S2387" s="846"/>
      <c r="T2387" s="846"/>
    </row>
    <row r="2388" spans="2:20" ht="38.25" hidden="1">
      <c r="B2388" s="828" t="s">
        <v>6567</v>
      </c>
      <c r="C2388" s="828">
        <v>103763</v>
      </c>
      <c r="D2388" s="630" t="s">
        <v>7199</v>
      </c>
      <c r="E2388" s="630" t="s">
        <v>649</v>
      </c>
      <c r="F2388" s="829">
        <v>39.479999999999997</v>
      </c>
      <c r="G2388" s="830">
        <v>24.81</v>
      </c>
      <c r="H2388" s="831">
        <v>64.290000000000006</v>
      </c>
      <c r="I2388" s="846"/>
      <c r="J2388" s="846"/>
      <c r="K2388" s="846"/>
      <c r="L2388" s="846"/>
      <c r="M2388" s="846"/>
      <c r="N2388" s="846"/>
      <c r="O2388" s="846"/>
      <c r="P2388" s="846"/>
      <c r="Q2388" s="846"/>
      <c r="R2388" s="846"/>
      <c r="S2388" s="846"/>
      <c r="T2388" s="846"/>
    </row>
    <row r="2389" spans="2:20" ht="25.5" hidden="1">
      <c r="B2389" s="828" t="s">
        <v>6552</v>
      </c>
      <c r="C2389" s="828">
        <v>89996</v>
      </c>
      <c r="D2389" s="630" t="s">
        <v>5399</v>
      </c>
      <c r="E2389" s="630" t="s">
        <v>645</v>
      </c>
      <c r="F2389" s="829">
        <v>10.17</v>
      </c>
      <c r="G2389" s="830">
        <v>2.1800000000000002</v>
      </c>
      <c r="H2389" s="831">
        <v>12.35</v>
      </c>
      <c r="I2389" s="846"/>
      <c r="J2389" s="846"/>
      <c r="K2389" s="846"/>
      <c r="L2389" s="846"/>
      <c r="M2389" s="846"/>
      <c r="N2389" s="846"/>
      <c r="O2389" s="846"/>
      <c r="P2389" s="846"/>
      <c r="Q2389" s="846"/>
      <c r="R2389" s="846"/>
      <c r="S2389" s="846"/>
      <c r="T2389" s="846"/>
    </row>
    <row r="2390" spans="2:20" ht="25.5" hidden="1">
      <c r="B2390" s="828" t="s">
        <v>6552</v>
      </c>
      <c r="C2390" s="828">
        <v>89997</v>
      </c>
      <c r="D2390" s="630" t="s">
        <v>5400</v>
      </c>
      <c r="E2390" s="630" t="s">
        <v>645</v>
      </c>
      <c r="F2390" s="829">
        <v>8.66</v>
      </c>
      <c r="G2390" s="830">
        <v>1.39</v>
      </c>
      <c r="H2390" s="831">
        <v>10.050000000000001</v>
      </c>
      <c r="I2390" s="846"/>
      <c r="J2390" s="846"/>
      <c r="K2390" s="846"/>
      <c r="L2390" s="846"/>
      <c r="M2390" s="846"/>
      <c r="N2390" s="846"/>
      <c r="O2390" s="846"/>
      <c r="P2390" s="846"/>
      <c r="Q2390" s="846"/>
      <c r="R2390" s="846"/>
      <c r="S2390" s="846"/>
      <c r="T2390" s="846"/>
    </row>
    <row r="2391" spans="2:20" ht="25.5" hidden="1">
      <c r="B2391" s="828" t="s">
        <v>6552</v>
      </c>
      <c r="C2391" s="828">
        <v>89998</v>
      </c>
      <c r="D2391" s="630" t="s">
        <v>5401</v>
      </c>
      <c r="E2391" s="630" t="s">
        <v>645</v>
      </c>
      <c r="F2391" s="829">
        <v>10.039999999999999</v>
      </c>
      <c r="G2391" s="830">
        <v>1.71</v>
      </c>
      <c r="H2391" s="831">
        <v>11.75</v>
      </c>
      <c r="I2391" s="846"/>
      <c r="J2391" s="846"/>
      <c r="K2391" s="846"/>
      <c r="L2391" s="846"/>
      <c r="M2391" s="846"/>
      <c r="N2391" s="846"/>
      <c r="O2391" s="846"/>
      <c r="P2391" s="846"/>
      <c r="Q2391" s="846"/>
      <c r="R2391" s="846"/>
      <c r="S2391" s="846"/>
      <c r="T2391" s="846"/>
    </row>
    <row r="2392" spans="2:20" ht="25.5" hidden="1">
      <c r="B2392" s="828" t="s">
        <v>6552</v>
      </c>
      <c r="C2392" s="828">
        <v>89999</v>
      </c>
      <c r="D2392" s="630" t="s">
        <v>5402</v>
      </c>
      <c r="E2392" s="630" t="s">
        <v>645</v>
      </c>
      <c r="F2392" s="829">
        <v>12.04</v>
      </c>
      <c r="G2392" s="830">
        <v>6.36</v>
      </c>
      <c r="H2392" s="831">
        <v>18.399999999999999</v>
      </c>
      <c r="I2392" s="846"/>
      <c r="J2392" s="846"/>
      <c r="K2392" s="846"/>
      <c r="L2392" s="846"/>
      <c r="M2392" s="846"/>
      <c r="N2392" s="846"/>
      <c r="O2392" s="846"/>
      <c r="P2392" s="846"/>
      <c r="Q2392" s="846"/>
      <c r="R2392" s="846"/>
      <c r="S2392" s="846"/>
      <c r="T2392" s="846"/>
    </row>
    <row r="2393" spans="2:20" ht="25.5" hidden="1">
      <c r="B2393" s="828" t="s">
        <v>6552</v>
      </c>
      <c r="C2393" s="828">
        <v>90000</v>
      </c>
      <c r="D2393" s="630" t="s">
        <v>5403</v>
      </c>
      <c r="E2393" s="630" t="s">
        <v>645</v>
      </c>
      <c r="F2393" s="829">
        <v>10.76</v>
      </c>
      <c r="G2393" s="830">
        <v>4.07</v>
      </c>
      <c r="H2393" s="831">
        <v>14.83</v>
      </c>
      <c r="I2393" s="846"/>
      <c r="J2393" s="846"/>
      <c r="K2393" s="846"/>
      <c r="L2393" s="846"/>
      <c r="M2393" s="846"/>
      <c r="N2393" s="846"/>
      <c r="O2393" s="846"/>
      <c r="P2393" s="846"/>
      <c r="Q2393" s="846"/>
      <c r="R2393" s="846"/>
      <c r="S2393" s="846"/>
      <c r="T2393" s="846"/>
    </row>
    <row r="2394" spans="2:20" ht="25.5" hidden="1">
      <c r="B2394" s="828" t="s">
        <v>6552</v>
      </c>
      <c r="C2394" s="828">
        <v>91593</v>
      </c>
      <c r="D2394" s="630" t="s">
        <v>3266</v>
      </c>
      <c r="E2394" s="630" t="s">
        <v>645</v>
      </c>
      <c r="F2394" s="829">
        <v>13.24</v>
      </c>
      <c r="G2394" s="830">
        <v>0.7</v>
      </c>
      <c r="H2394" s="831">
        <v>13.94</v>
      </c>
      <c r="I2394" s="846"/>
      <c r="J2394" s="846"/>
      <c r="K2394" s="846"/>
      <c r="L2394" s="846"/>
      <c r="M2394" s="846"/>
      <c r="N2394" s="846"/>
      <c r="O2394" s="846"/>
      <c r="P2394" s="846"/>
      <c r="Q2394" s="846"/>
      <c r="R2394" s="846"/>
      <c r="S2394" s="846"/>
      <c r="T2394" s="846"/>
    </row>
    <row r="2395" spans="2:20" ht="38.25" hidden="1">
      <c r="B2395" s="828" t="s">
        <v>6552</v>
      </c>
      <c r="C2395" s="828">
        <v>91594</v>
      </c>
      <c r="D2395" s="630" t="s">
        <v>3267</v>
      </c>
      <c r="E2395" s="630" t="s">
        <v>645</v>
      </c>
      <c r="F2395" s="829">
        <v>13.39</v>
      </c>
      <c r="G2395" s="830">
        <v>1.03</v>
      </c>
      <c r="H2395" s="831">
        <v>14.42</v>
      </c>
      <c r="I2395" s="846"/>
      <c r="J2395" s="846"/>
      <c r="K2395" s="846"/>
      <c r="L2395" s="846"/>
      <c r="M2395" s="846"/>
      <c r="N2395" s="846"/>
      <c r="O2395" s="846"/>
      <c r="P2395" s="846"/>
      <c r="Q2395" s="846"/>
      <c r="R2395" s="846"/>
      <c r="S2395" s="846"/>
      <c r="T2395" s="846"/>
    </row>
    <row r="2396" spans="2:20" ht="25.5" hidden="1">
      <c r="B2396" s="828" t="s">
        <v>6552</v>
      </c>
      <c r="C2396" s="828">
        <v>91595</v>
      </c>
      <c r="D2396" s="630" t="s">
        <v>3268</v>
      </c>
      <c r="E2396" s="630" t="s">
        <v>645</v>
      </c>
      <c r="F2396" s="829">
        <v>13.51</v>
      </c>
      <c r="G2396" s="830">
        <v>1.65</v>
      </c>
      <c r="H2396" s="831">
        <v>15.16</v>
      </c>
      <c r="I2396" s="846"/>
      <c r="J2396" s="846"/>
      <c r="K2396" s="846"/>
      <c r="L2396" s="846"/>
      <c r="M2396" s="846"/>
      <c r="N2396" s="846"/>
      <c r="O2396" s="846"/>
      <c r="P2396" s="846"/>
      <c r="Q2396" s="846"/>
      <c r="R2396" s="846"/>
      <c r="S2396" s="846"/>
      <c r="T2396" s="846"/>
    </row>
    <row r="2397" spans="2:20" ht="25.5" hidden="1">
      <c r="B2397" s="828" t="s">
        <v>6552</v>
      </c>
      <c r="C2397" s="828">
        <v>91596</v>
      </c>
      <c r="D2397" s="630" t="s">
        <v>3269</v>
      </c>
      <c r="E2397" s="630" t="s">
        <v>645</v>
      </c>
      <c r="F2397" s="829">
        <v>13.32</v>
      </c>
      <c r="G2397" s="830">
        <v>0.98</v>
      </c>
      <c r="H2397" s="831">
        <v>14.3</v>
      </c>
      <c r="I2397" s="846"/>
      <c r="J2397" s="846"/>
      <c r="K2397" s="846"/>
      <c r="L2397" s="846"/>
      <c r="M2397" s="846"/>
      <c r="N2397" s="846"/>
      <c r="O2397" s="846"/>
      <c r="P2397" s="846"/>
      <c r="Q2397" s="846"/>
      <c r="R2397" s="846"/>
      <c r="S2397" s="846"/>
      <c r="T2397" s="846"/>
    </row>
    <row r="2398" spans="2:20" ht="25.5" hidden="1">
      <c r="B2398" s="828" t="s">
        <v>6552</v>
      </c>
      <c r="C2398" s="828">
        <v>91597</v>
      </c>
      <c r="D2398" s="630" t="s">
        <v>3270</v>
      </c>
      <c r="E2398" s="630" t="s">
        <v>645</v>
      </c>
      <c r="F2398" s="829">
        <v>9.1300000000000008</v>
      </c>
      <c r="G2398" s="830">
        <v>1.03</v>
      </c>
      <c r="H2398" s="831">
        <v>10.16</v>
      </c>
      <c r="I2398" s="846"/>
      <c r="J2398" s="846"/>
      <c r="K2398" s="846"/>
      <c r="L2398" s="846"/>
      <c r="M2398" s="846"/>
      <c r="N2398" s="846"/>
      <c r="O2398" s="846"/>
      <c r="P2398" s="846"/>
      <c r="Q2398" s="846"/>
      <c r="R2398" s="846"/>
      <c r="S2398" s="846"/>
      <c r="T2398" s="846"/>
    </row>
    <row r="2399" spans="2:20" ht="25.5" hidden="1">
      <c r="B2399" s="828" t="s">
        <v>6552</v>
      </c>
      <c r="C2399" s="828">
        <v>91598</v>
      </c>
      <c r="D2399" s="630" t="s">
        <v>3271</v>
      </c>
      <c r="E2399" s="630" t="s">
        <v>645</v>
      </c>
      <c r="F2399" s="829">
        <v>12.83</v>
      </c>
      <c r="G2399" s="830">
        <v>1.18</v>
      </c>
      <c r="H2399" s="831">
        <v>14.01</v>
      </c>
      <c r="I2399" s="846"/>
      <c r="J2399" s="846"/>
      <c r="K2399" s="846"/>
      <c r="L2399" s="846"/>
      <c r="M2399" s="846"/>
      <c r="N2399" s="846"/>
      <c r="O2399" s="846"/>
      <c r="P2399" s="846"/>
      <c r="Q2399" s="846"/>
      <c r="R2399" s="846"/>
      <c r="S2399" s="846"/>
      <c r="T2399" s="846"/>
    </row>
    <row r="2400" spans="2:20" ht="25.5" hidden="1">
      <c r="B2400" s="828" t="s">
        <v>6552</v>
      </c>
      <c r="C2400" s="828">
        <v>91599</v>
      </c>
      <c r="D2400" s="630" t="s">
        <v>3272</v>
      </c>
      <c r="E2400" s="630" t="s">
        <v>645</v>
      </c>
      <c r="F2400" s="829">
        <v>9.32</v>
      </c>
      <c r="G2400" s="830">
        <v>1.28</v>
      </c>
      <c r="H2400" s="831">
        <v>10.6</v>
      </c>
      <c r="I2400" s="846"/>
      <c r="J2400" s="846"/>
      <c r="K2400" s="846"/>
      <c r="L2400" s="846"/>
      <c r="M2400" s="846"/>
      <c r="N2400" s="846"/>
      <c r="O2400" s="846"/>
      <c r="P2400" s="846"/>
      <c r="Q2400" s="846"/>
      <c r="R2400" s="846"/>
      <c r="S2400" s="846"/>
      <c r="T2400" s="846"/>
    </row>
    <row r="2401" spans="2:20" ht="25.5" hidden="1">
      <c r="B2401" s="828" t="s">
        <v>6552</v>
      </c>
      <c r="C2401" s="828">
        <v>91600</v>
      </c>
      <c r="D2401" s="630" t="s">
        <v>3273</v>
      </c>
      <c r="E2401" s="630" t="s">
        <v>645</v>
      </c>
      <c r="F2401" s="829">
        <v>14.09</v>
      </c>
      <c r="G2401" s="830">
        <v>3.11</v>
      </c>
      <c r="H2401" s="831">
        <v>17.2</v>
      </c>
      <c r="I2401" s="846"/>
      <c r="J2401" s="846"/>
      <c r="K2401" s="846"/>
      <c r="L2401" s="846"/>
      <c r="M2401" s="846"/>
      <c r="N2401" s="846"/>
      <c r="O2401" s="846"/>
      <c r="P2401" s="846"/>
      <c r="Q2401" s="846"/>
      <c r="R2401" s="846"/>
      <c r="S2401" s="846"/>
      <c r="T2401" s="846"/>
    </row>
    <row r="2402" spans="2:20" ht="25.5" hidden="1">
      <c r="B2402" s="828" t="s">
        <v>6552</v>
      </c>
      <c r="C2402" s="828">
        <v>91601</v>
      </c>
      <c r="D2402" s="630" t="s">
        <v>3274</v>
      </c>
      <c r="E2402" s="630" t="s">
        <v>645</v>
      </c>
      <c r="F2402" s="829">
        <v>12.09</v>
      </c>
      <c r="G2402" s="830">
        <v>2.2999999999999998</v>
      </c>
      <c r="H2402" s="831">
        <v>14.39</v>
      </c>
      <c r="I2402" s="846"/>
      <c r="J2402" s="846"/>
      <c r="K2402" s="846"/>
      <c r="L2402" s="846"/>
      <c r="M2402" s="846"/>
      <c r="N2402" s="846"/>
      <c r="O2402" s="846"/>
      <c r="P2402" s="846"/>
      <c r="Q2402" s="846"/>
      <c r="R2402" s="846"/>
      <c r="S2402" s="846"/>
      <c r="T2402" s="846"/>
    </row>
    <row r="2403" spans="2:20" ht="25.5" hidden="1">
      <c r="B2403" s="828" t="s">
        <v>6552</v>
      </c>
      <c r="C2403" s="828">
        <v>91602</v>
      </c>
      <c r="D2403" s="630" t="s">
        <v>3275</v>
      </c>
      <c r="E2403" s="630" t="s">
        <v>645</v>
      </c>
      <c r="F2403" s="829">
        <v>11.88</v>
      </c>
      <c r="G2403" s="830">
        <v>1.38</v>
      </c>
      <c r="H2403" s="831">
        <v>13.26</v>
      </c>
      <c r="I2403" s="846"/>
      <c r="J2403" s="846"/>
      <c r="K2403" s="846"/>
      <c r="L2403" s="846"/>
      <c r="M2403" s="846"/>
      <c r="N2403" s="846"/>
      <c r="O2403" s="846"/>
      <c r="P2403" s="846"/>
      <c r="Q2403" s="846"/>
      <c r="R2403" s="846"/>
      <c r="S2403" s="846"/>
      <c r="T2403" s="846"/>
    </row>
    <row r="2404" spans="2:20" ht="25.5" hidden="1">
      <c r="B2404" s="828" t="s">
        <v>6552</v>
      </c>
      <c r="C2404" s="828">
        <v>91603</v>
      </c>
      <c r="D2404" s="630" t="s">
        <v>3276</v>
      </c>
      <c r="E2404" s="630" t="s">
        <v>645</v>
      </c>
      <c r="F2404" s="829">
        <v>11.21</v>
      </c>
      <c r="G2404" s="830">
        <v>1.31</v>
      </c>
      <c r="H2404" s="831">
        <v>12.52</v>
      </c>
      <c r="I2404" s="846"/>
      <c r="J2404" s="846"/>
      <c r="K2404" s="846"/>
      <c r="L2404" s="846"/>
      <c r="M2404" s="846"/>
      <c r="N2404" s="846"/>
      <c r="O2404" s="846"/>
      <c r="P2404" s="846"/>
      <c r="Q2404" s="846"/>
      <c r="R2404" s="846"/>
      <c r="S2404" s="846"/>
      <c r="T2404" s="846"/>
    </row>
    <row r="2405" spans="2:20" ht="25.5" hidden="1">
      <c r="B2405" s="828" t="s">
        <v>6552</v>
      </c>
      <c r="C2405" s="828">
        <v>92759</v>
      </c>
      <c r="D2405" s="630" t="s">
        <v>7764</v>
      </c>
      <c r="E2405" s="630" t="s">
        <v>645</v>
      </c>
      <c r="F2405" s="829">
        <v>11.78</v>
      </c>
      <c r="G2405" s="830">
        <v>4.45</v>
      </c>
      <c r="H2405" s="831">
        <v>16.23</v>
      </c>
      <c r="I2405" s="846"/>
      <c r="J2405" s="846"/>
      <c r="K2405" s="846"/>
      <c r="L2405" s="846"/>
      <c r="M2405" s="846"/>
      <c r="N2405" s="846"/>
      <c r="O2405" s="846"/>
      <c r="P2405" s="846"/>
      <c r="Q2405" s="846"/>
      <c r="R2405" s="846"/>
      <c r="S2405" s="846"/>
      <c r="T2405" s="846"/>
    </row>
    <row r="2406" spans="2:20" ht="25.5" hidden="1">
      <c r="B2406" s="828" t="s">
        <v>6552</v>
      </c>
      <c r="C2406" s="828">
        <v>92760</v>
      </c>
      <c r="D2406" s="630" t="s">
        <v>7765</v>
      </c>
      <c r="E2406" s="630" t="s">
        <v>645</v>
      </c>
      <c r="F2406" s="829">
        <v>12.45</v>
      </c>
      <c r="G2406" s="830">
        <v>2.95</v>
      </c>
      <c r="H2406" s="831">
        <v>15.4</v>
      </c>
      <c r="I2406" s="846"/>
      <c r="J2406" s="846"/>
      <c r="K2406" s="846"/>
      <c r="L2406" s="846"/>
      <c r="M2406" s="846"/>
      <c r="N2406" s="846"/>
      <c r="O2406" s="846"/>
      <c r="P2406" s="846"/>
      <c r="Q2406" s="846"/>
      <c r="R2406" s="846"/>
      <c r="S2406" s="846"/>
      <c r="T2406" s="846"/>
    </row>
    <row r="2407" spans="2:20" ht="25.5" hidden="1">
      <c r="B2407" s="828" t="s">
        <v>6552</v>
      </c>
      <c r="C2407" s="828">
        <v>92761</v>
      </c>
      <c r="D2407" s="630" t="s">
        <v>7766</v>
      </c>
      <c r="E2407" s="630" t="s">
        <v>645</v>
      </c>
      <c r="F2407" s="829">
        <v>12.57</v>
      </c>
      <c r="G2407" s="830">
        <v>1.93</v>
      </c>
      <c r="H2407" s="831">
        <v>14.5</v>
      </c>
      <c r="I2407" s="846"/>
      <c r="J2407" s="846"/>
      <c r="K2407" s="846"/>
      <c r="L2407" s="846"/>
      <c r="M2407" s="846"/>
      <c r="N2407" s="846"/>
      <c r="O2407" s="846"/>
      <c r="P2407" s="846"/>
      <c r="Q2407" s="846"/>
      <c r="R2407" s="846"/>
      <c r="S2407" s="846"/>
      <c r="T2407" s="846"/>
    </row>
    <row r="2408" spans="2:20" ht="25.5" hidden="1">
      <c r="B2408" s="828" t="s">
        <v>6552</v>
      </c>
      <c r="C2408" s="828">
        <v>92762</v>
      </c>
      <c r="D2408" s="630" t="s">
        <v>7767</v>
      </c>
      <c r="E2408" s="630" t="s">
        <v>645</v>
      </c>
      <c r="F2408" s="829">
        <v>11.72</v>
      </c>
      <c r="G2408" s="830">
        <v>1.27</v>
      </c>
      <c r="H2408" s="831">
        <v>12.99</v>
      </c>
      <c r="I2408" s="846"/>
      <c r="J2408" s="846"/>
      <c r="K2408" s="846"/>
      <c r="L2408" s="846"/>
      <c r="M2408" s="846"/>
      <c r="N2408" s="846"/>
      <c r="O2408" s="846"/>
      <c r="P2408" s="846"/>
      <c r="Q2408" s="846"/>
      <c r="R2408" s="846"/>
      <c r="S2408" s="846"/>
      <c r="T2408" s="846"/>
    </row>
    <row r="2409" spans="2:20" ht="25.5" hidden="1">
      <c r="B2409" s="828" t="s">
        <v>6552</v>
      </c>
      <c r="C2409" s="828">
        <v>92763</v>
      </c>
      <c r="D2409" s="630" t="s">
        <v>7768</v>
      </c>
      <c r="E2409" s="630" t="s">
        <v>645</v>
      </c>
      <c r="F2409" s="829">
        <v>10.119999999999999</v>
      </c>
      <c r="G2409" s="830">
        <v>0.8</v>
      </c>
      <c r="H2409" s="831">
        <v>10.92</v>
      </c>
      <c r="I2409" s="846"/>
      <c r="J2409" s="846"/>
      <c r="K2409" s="846"/>
      <c r="L2409" s="846"/>
      <c r="M2409" s="846"/>
      <c r="N2409" s="846"/>
      <c r="O2409" s="846"/>
      <c r="P2409" s="846"/>
      <c r="Q2409" s="846"/>
      <c r="R2409" s="846"/>
      <c r="S2409" s="846"/>
      <c r="T2409" s="846"/>
    </row>
    <row r="2410" spans="2:20" ht="25.5" hidden="1">
      <c r="B2410" s="828" t="s">
        <v>6552</v>
      </c>
      <c r="C2410" s="828">
        <v>92764</v>
      </c>
      <c r="D2410" s="630" t="s">
        <v>7769</v>
      </c>
      <c r="E2410" s="630" t="s">
        <v>645</v>
      </c>
      <c r="F2410" s="829">
        <v>10.039999999999999</v>
      </c>
      <c r="G2410" s="830">
        <v>0.56000000000000005</v>
      </c>
      <c r="H2410" s="831">
        <v>10.6</v>
      </c>
      <c r="I2410" s="846"/>
      <c r="J2410" s="846"/>
      <c r="K2410" s="846"/>
      <c r="L2410" s="846"/>
      <c r="M2410" s="846"/>
      <c r="N2410" s="846"/>
      <c r="O2410" s="846"/>
      <c r="P2410" s="846"/>
      <c r="Q2410" s="846"/>
      <c r="R2410" s="846"/>
      <c r="S2410" s="846"/>
      <c r="T2410" s="846"/>
    </row>
    <row r="2411" spans="2:20" ht="25.5" hidden="1">
      <c r="B2411" s="828" t="s">
        <v>6552</v>
      </c>
      <c r="C2411" s="828">
        <v>92765</v>
      </c>
      <c r="D2411" s="630" t="s">
        <v>7770</v>
      </c>
      <c r="E2411" s="630" t="s">
        <v>645</v>
      </c>
      <c r="F2411" s="829">
        <v>11.65</v>
      </c>
      <c r="G2411" s="830">
        <v>0.43</v>
      </c>
      <c r="H2411" s="831">
        <v>12.08</v>
      </c>
      <c r="I2411" s="846"/>
      <c r="J2411" s="846"/>
      <c r="K2411" s="846"/>
      <c r="L2411" s="846"/>
      <c r="M2411" s="846"/>
      <c r="N2411" s="846"/>
      <c r="O2411" s="846"/>
      <c r="P2411" s="846"/>
      <c r="Q2411" s="846"/>
      <c r="R2411" s="846"/>
      <c r="S2411" s="846"/>
      <c r="T2411" s="846"/>
    </row>
    <row r="2412" spans="2:20" ht="25.5" hidden="1">
      <c r="B2412" s="828" t="s">
        <v>6552</v>
      </c>
      <c r="C2412" s="828">
        <v>92766</v>
      </c>
      <c r="D2412" s="630" t="s">
        <v>7771</v>
      </c>
      <c r="E2412" s="630" t="s">
        <v>645</v>
      </c>
      <c r="F2412" s="829">
        <v>11.61</v>
      </c>
      <c r="G2412" s="830">
        <v>0.33</v>
      </c>
      <c r="H2412" s="831">
        <v>11.94</v>
      </c>
      <c r="I2412" s="846"/>
      <c r="J2412" s="846"/>
      <c r="K2412" s="846"/>
      <c r="L2412" s="846"/>
      <c r="M2412" s="846"/>
      <c r="N2412" s="846"/>
      <c r="O2412" s="846"/>
      <c r="P2412" s="846"/>
      <c r="Q2412" s="846"/>
      <c r="R2412" s="846"/>
      <c r="S2412" s="846"/>
      <c r="T2412" s="846"/>
    </row>
    <row r="2413" spans="2:20" ht="25.5" hidden="1">
      <c r="B2413" s="828" t="s">
        <v>6552</v>
      </c>
      <c r="C2413" s="828">
        <v>92767</v>
      </c>
      <c r="D2413" s="630" t="s">
        <v>7772</v>
      </c>
      <c r="E2413" s="630" t="s">
        <v>645</v>
      </c>
      <c r="F2413" s="829">
        <v>12.34</v>
      </c>
      <c r="G2413" s="830">
        <v>5.36</v>
      </c>
      <c r="H2413" s="831">
        <v>17.7</v>
      </c>
      <c r="I2413" s="846"/>
      <c r="J2413" s="846"/>
      <c r="K2413" s="846"/>
      <c r="L2413" s="846"/>
      <c r="M2413" s="846"/>
      <c r="N2413" s="846"/>
      <c r="O2413" s="846"/>
      <c r="P2413" s="846"/>
      <c r="Q2413" s="846"/>
      <c r="R2413" s="846"/>
      <c r="S2413" s="846"/>
      <c r="T2413" s="846"/>
    </row>
    <row r="2414" spans="2:20" ht="25.5" hidden="1">
      <c r="B2414" s="828" t="s">
        <v>6552</v>
      </c>
      <c r="C2414" s="828">
        <v>92768</v>
      </c>
      <c r="D2414" s="630" t="s">
        <v>7773</v>
      </c>
      <c r="E2414" s="630" t="s">
        <v>645</v>
      </c>
      <c r="F2414" s="829">
        <v>11.79</v>
      </c>
      <c r="G2414" s="830">
        <v>3.81</v>
      </c>
      <c r="H2414" s="831">
        <v>15.6</v>
      </c>
      <c r="I2414" s="846"/>
      <c r="J2414" s="846"/>
      <c r="K2414" s="846"/>
      <c r="L2414" s="846"/>
      <c r="M2414" s="846"/>
      <c r="N2414" s="846"/>
      <c r="O2414" s="846"/>
      <c r="P2414" s="846"/>
      <c r="Q2414" s="846"/>
      <c r="R2414" s="846"/>
      <c r="S2414" s="846"/>
      <c r="T2414" s="846"/>
    </row>
    <row r="2415" spans="2:20" ht="25.5" hidden="1">
      <c r="B2415" s="828" t="s">
        <v>6552</v>
      </c>
      <c r="C2415" s="828">
        <v>92769</v>
      </c>
      <c r="D2415" s="630" t="s">
        <v>7774</v>
      </c>
      <c r="E2415" s="630" t="s">
        <v>645</v>
      </c>
      <c r="F2415" s="829">
        <v>12.38</v>
      </c>
      <c r="G2415" s="830">
        <v>2.42</v>
      </c>
      <c r="H2415" s="831">
        <v>14.8</v>
      </c>
      <c r="I2415" s="846"/>
      <c r="J2415" s="846"/>
      <c r="K2415" s="846"/>
      <c r="L2415" s="846"/>
      <c r="M2415" s="846"/>
      <c r="N2415" s="846"/>
      <c r="O2415" s="846"/>
      <c r="P2415" s="846"/>
      <c r="Q2415" s="846"/>
      <c r="R2415" s="846"/>
      <c r="S2415" s="846"/>
      <c r="T2415" s="846"/>
    </row>
    <row r="2416" spans="2:20" ht="25.5" hidden="1">
      <c r="B2416" s="828" t="s">
        <v>6552</v>
      </c>
      <c r="C2416" s="828">
        <v>92770</v>
      </c>
      <c r="D2416" s="630" t="s">
        <v>7775</v>
      </c>
      <c r="E2416" s="630" t="s">
        <v>645</v>
      </c>
      <c r="F2416" s="829">
        <v>12.45</v>
      </c>
      <c r="G2416" s="830">
        <v>1.5</v>
      </c>
      <c r="H2416" s="831">
        <v>13.95</v>
      </c>
      <c r="I2416" s="846"/>
      <c r="J2416" s="846"/>
      <c r="K2416" s="846"/>
      <c r="L2416" s="846"/>
      <c r="M2416" s="846"/>
      <c r="N2416" s="846"/>
      <c r="O2416" s="846"/>
      <c r="P2416" s="846"/>
      <c r="Q2416" s="846"/>
      <c r="R2416" s="846"/>
      <c r="S2416" s="846"/>
      <c r="T2416" s="846"/>
    </row>
    <row r="2417" spans="2:20" ht="25.5" hidden="1">
      <c r="B2417" s="828" t="s">
        <v>6552</v>
      </c>
      <c r="C2417" s="828">
        <v>92771</v>
      </c>
      <c r="D2417" s="630" t="s">
        <v>7776</v>
      </c>
      <c r="E2417" s="630" t="s">
        <v>645</v>
      </c>
      <c r="F2417" s="829">
        <v>11.56</v>
      </c>
      <c r="G2417" s="830">
        <v>0.92</v>
      </c>
      <c r="H2417" s="831">
        <v>12.48</v>
      </c>
      <c r="I2417" s="846"/>
      <c r="J2417" s="846"/>
      <c r="K2417" s="846"/>
      <c r="L2417" s="846"/>
      <c r="M2417" s="846"/>
      <c r="N2417" s="846"/>
      <c r="O2417" s="846"/>
      <c r="P2417" s="846"/>
      <c r="Q2417" s="846"/>
      <c r="R2417" s="846"/>
      <c r="S2417" s="846"/>
      <c r="T2417" s="846"/>
    </row>
    <row r="2418" spans="2:20" ht="25.5" hidden="1">
      <c r="B2418" s="828" t="s">
        <v>6552</v>
      </c>
      <c r="C2418" s="828">
        <v>92772</v>
      </c>
      <c r="D2418" s="630" t="s">
        <v>7777</v>
      </c>
      <c r="E2418" s="630" t="s">
        <v>645</v>
      </c>
      <c r="F2418" s="829">
        <v>10</v>
      </c>
      <c r="G2418" s="830">
        <v>0.49</v>
      </c>
      <c r="H2418" s="831">
        <v>10.49</v>
      </c>
      <c r="I2418" s="846"/>
      <c r="J2418" s="846"/>
      <c r="K2418" s="846"/>
      <c r="L2418" s="846"/>
      <c r="M2418" s="846"/>
      <c r="N2418" s="846"/>
      <c r="O2418" s="846"/>
      <c r="P2418" s="846"/>
      <c r="Q2418" s="846"/>
      <c r="R2418" s="846"/>
      <c r="S2418" s="846"/>
      <c r="T2418" s="846"/>
    </row>
    <row r="2419" spans="2:20" ht="25.5" hidden="1">
      <c r="B2419" s="828" t="s">
        <v>6552</v>
      </c>
      <c r="C2419" s="828">
        <v>92773</v>
      </c>
      <c r="D2419" s="630" t="s">
        <v>7778</v>
      </c>
      <c r="E2419" s="630" t="s">
        <v>645</v>
      </c>
      <c r="F2419" s="829">
        <v>9.9499999999999993</v>
      </c>
      <c r="G2419" s="830">
        <v>0.36</v>
      </c>
      <c r="H2419" s="831">
        <v>10.31</v>
      </c>
      <c r="I2419" s="846"/>
      <c r="J2419" s="846"/>
      <c r="K2419" s="846"/>
      <c r="L2419" s="846"/>
      <c r="M2419" s="846"/>
      <c r="N2419" s="846"/>
      <c r="O2419" s="846"/>
      <c r="P2419" s="846"/>
      <c r="Q2419" s="846"/>
      <c r="R2419" s="846"/>
      <c r="S2419" s="846"/>
      <c r="T2419" s="846"/>
    </row>
    <row r="2420" spans="2:20" ht="25.5" hidden="1">
      <c r="B2420" s="828" t="s">
        <v>6552</v>
      </c>
      <c r="C2420" s="828">
        <v>92774</v>
      </c>
      <c r="D2420" s="630" t="s">
        <v>7779</v>
      </c>
      <c r="E2420" s="630" t="s">
        <v>645</v>
      </c>
      <c r="F2420" s="829">
        <v>11.61</v>
      </c>
      <c r="G2420" s="830">
        <v>0.31</v>
      </c>
      <c r="H2420" s="831">
        <v>11.92</v>
      </c>
      <c r="I2420" s="846"/>
      <c r="J2420" s="846"/>
      <c r="K2420" s="846"/>
      <c r="L2420" s="846"/>
      <c r="M2420" s="846"/>
      <c r="N2420" s="846"/>
      <c r="O2420" s="846"/>
      <c r="P2420" s="846"/>
      <c r="Q2420" s="846"/>
      <c r="R2420" s="846"/>
      <c r="S2420" s="846"/>
      <c r="T2420" s="846"/>
    </row>
    <row r="2421" spans="2:20" hidden="1">
      <c r="B2421" s="828" t="s">
        <v>6552</v>
      </c>
      <c r="C2421" s="828">
        <v>92798</v>
      </c>
      <c r="D2421" s="630" t="s">
        <v>7780</v>
      </c>
      <c r="E2421" s="630" t="s">
        <v>645</v>
      </c>
      <c r="F2421" s="829">
        <v>10.81</v>
      </c>
      <c r="G2421" s="830">
        <v>0.02</v>
      </c>
      <c r="H2421" s="831">
        <v>10.83</v>
      </c>
      <c r="I2421" s="846"/>
      <c r="J2421" s="846"/>
      <c r="K2421" s="846"/>
      <c r="L2421" s="846"/>
      <c r="M2421" s="846"/>
      <c r="N2421" s="846"/>
      <c r="O2421" s="846"/>
      <c r="P2421" s="846"/>
      <c r="Q2421" s="846"/>
      <c r="R2421" s="846"/>
      <c r="S2421" s="846"/>
      <c r="T2421" s="846"/>
    </row>
    <row r="2422" spans="2:20" hidden="1">
      <c r="B2422" s="828" t="s">
        <v>6552</v>
      </c>
      <c r="C2422" s="828">
        <v>92799</v>
      </c>
      <c r="D2422" s="630" t="s">
        <v>7781</v>
      </c>
      <c r="E2422" s="630" t="s">
        <v>645</v>
      </c>
      <c r="F2422" s="829">
        <v>10.32</v>
      </c>
      <c r="G2422" s="830">
        <v>2.5</v>
      </c>
      <c r="H2422" s="831">
        <v>12.82</v>
      </c>
      <c r="I2422" s="846"/>
      <c r="J2422" s="846"/>
      <c r="K2422" s="846"/>
      <c r="L2422" s="846"/>
      <c r="M2422" s="846"/>
      <c r="N2422" s="846"/>
      <c r="O2422" s="846"/>
      <c r="P2422" s="846"/>
      <c r="Q2422" s="846"/>
      <c r="R2422" s="846"/>
      <c r="S2422" s="846"/>
      <c r="T2422" s="846"/>
    </row>
    <row r="2423" spans="2:20" hidden="1">
      <c r="B2423" s="828" t="s">
        <v>6552</v>
      </c>
      <c r="C2423" s="828">
        <v>92800</v>
      </c>
      <c r="D2423" s="630" t="s">
        <v>7782</v>
      </c>
      <c r="E2423" s="630" t="s">
        <v>645</v>
      </c>
      <c r="F2423" s="829">
        <v>10.039999999999999</v>
      </c>
      <c r="G2423" s="830">
        <v>1.56</v>
      </c>
      <c r="H2423" s="831">
        <v>11.6</v>
      </c>
      <c r="I2423" s="846"/>
      <c r="J2423" s="846"/>
      <c r="K2423" s="846"/>
      <c r="L2423" s="846"/>
      <c r="M2423" s="846"/>
      <c r="N2423" s="846"/>
      <c r="O2423" s="846"/>
      <c r="P2423" s="846"/>
      <c r="Q2423" s="846"/>
      <c r="R2423" s="846"/>
      <c r="S2423" s="846"/>
      <c r="T2423" s="846"/>
    </row>
    <row r="2424" spans="2:20" hidden="1">
      <c r="B2424" s="828" t="s">
        <v>6552</v>
      </c>
      <c r="C2424" s="828">
        <v>92801</v>
      </c>
      <c r="D2424" s="630" t="s">
        <v>7783</v>
      </c>
      <c r="E2424" s="630" t="s">
        <v>645</v>
      </c>
      <c r="F2424" s="829">
        <v>10.96</v>
      </c>
      <c r="G2424" s="830">
        <v>0.82</v>
      </c>
      <c r="H2424" s="831">
        <v>11.78</v>
      </c>
      <c r="I2424" s="846"/>
      <c r="J2424" s="846"/>
      <c r="K2424" s="846"/>
      <c r="L2424" s="846"/>
      <c r="M2424" s="846"/>
      <c r="N2424" s="846"/>
      <c r="O2424" s="846"/>
      <c r="P2424" s="846"/>
      <c r="Q2424" s="846"/>
      <c r="R2424" s="846"/>
      <c r="S2424" s="846"/>
      <c r="T2424" s="846"/>
    </row>
    <row r="2425" spans="2:20" hidden="1">
      <c r="B2425" s="828" t="s">
        <v>6552</v>
      </c>
      <c r="C2425" s="828">
        <v>92802</v>
      </c>
      <c r="D2425" s="630" t="s">
        <v>7784</v>
      </c>
      <c r="E2425" s="630" t="s">
        <v>645</v>
      </c>
      <c r="F2425" s="829">
        <v>11.3</v>
      </c>
      <c r="G2425" s="830">
        <v>0.42</v>
      </c>
      <c r="H2425" s="831">
        <v>11.72</v>
      </c>
      <c r="I2425" s="846"/>
      <c r="J2425" s="846"/>
      <c r="K2425" s="846"/>
      <c r="L2425" s="846"/>
      <c r="M2425" s="846"/>
      <c r="N2425" s="846"/>
      <c r="O2425" s="846"/>
      <c r="P2425" s="846"/>
      <c r="Q2425" s="846"/>
      <c r="R2425" s="846"/>
      <c r="S2425" s="846"/>
      <c r="T2425" s="846"/>
    </row>
    <row r="2426" spans="2:20" hidden="1">
      <c r="B2426" s="828" t="s">
        <v>6552</v>
      </c>
      <c r="C2426" s="828">
        <v>92803</v>
      </c>
      <c r="D2426" s="630" t="s">
        <v>7785</v>
      </c>
      <c r="E2426" s="630" t="s">
        <v>645</v>
      </c>
      <c r="F2426" s="829">
        <v>10.6</v>
      </c>
      <c r="G2426" s="830">
        <v>0.23</v>
      </c>
      <c r="H2426" s="831">
        <v>10.83</v>
      </c>
      <c r="I2426" s="846"/>
      <c r="J2426" s="846"/>
      <c r="K2426" s="846"/>
      <c r="L2426" s="846"/>
      <c r="M2426" s="846"/>
      <c r="N2426" s="846"/>
      <c r="O2426" s="846"/>
      <c r="P2426" s="846"/>
      <c r="Q2426" s="846"/>
      <c r="R2426" s="846"/>
      <c r="S2426" s="846"/>
      <c r="T2426" s="846"/>
    </row>
    <row r="2427" spans="2:20" hidden="1">
      <c r="B2427" s="828" t="s">
        <v>6552</v>
      </c>
      <c r="C2427" s="828">
        <v>92804</v>
      </c>
      <c r="D2427" s="630" t="s">
        <v>7786</v>
      </c>
      <c r="E2427" s="630" t="s">
        <v>645</v>
      </c>
      <c r="F2427" s="829">
        <v>9.15</v>
      </c>
      <c r="G2427" s="830">
        <v>0.12</v>
      </c>
      <c r="H2427" s="831">
        <v>9.27</v>
      </c>
      <c r="I2427" s="846"/>
      <c r="J2427" s="846"/>
      <c r="K2427" s="846"/>
      <c r="L2427" s="846"/>
      <c r="M2427" s="846"/>
      <c r="N2427" s="846"/>
      <c r="O2427" s="846"/>
      <c r="P2427" s="846"/>
      <c r="Q2427" s="846"/>
      <c r="R2427" s="846"/>
      <c r="S2427" s="846"/>
      <c r="T2427" s="846"/>
    </row>
    <row r="2428" spans="2:20" hidden="1">
      <c r="B2428" s="828" t="s">
        <v>6552</v>
      </c>
      <c r="C2428" s="828">
        <v>92805</v>
      </c>
      <c r="D2428" s="630" t="s">
        <v>7787</v>
      </c>
      <c r="E2428" s="630" t="s">
        <v>645</v>
      </c>
      <c r="F2428" s="829">
        <v>9.14</v>
      </c>
      <c r="G2428" s="830">
        <v>0.05</v>
      </c>
      <c r="H2428" s="831">
        <v>9.19</v>
      </c>
      <c r="I2428" s="846"/>
      <c r="J2428" s="846"/>
      <c r="K2428" s="846"/>
      <c r="L2428" s="846"/>
      <c r="M2428" s="846"/>
      <c r="N2428" s="846"/>
      <c r="O2428" s="846"/>
      <c r="P2428" s="846"/>
      <c r="Q2428" s="846"/>
      <c r="R2428" s="846"/>
      <c r="S2428" s="846"/>
      <c r="T2428" s="846"/>
    </row>
    <row r="2429" spans="2:20" hidden="1">
      <c r="B2429" s="828" t="s">
        <v>6552</v>
      </c>
      <c r="C2429" s="828">
        <v>92806</v>
      </c>
      <c r="D2429" s="630" t="s">
        <v>7788</v>
      </c>
      <c r="E2429" s="630" t="s">
        <v>645</v>
      </c>
      <c r="F2429" s="829">
        <v>10.81</v>
      </c>
      <c r="G2429" s="830">
        <v>0.03</v>
      </c>
      <c r="H2429" s="831">
        <v>10.84</v>
      </c>
      <c r="I2429" s="846"/>
      <c r="J2429" s="846"/>
      <c r="K2429" s="846"/>
      <c r="L2429" s="846"/>
      <c r="M2429" s="846"/>
      <c r="N2429" s="846"/>
      <c r="O2429" s="846"/>
      <c r="P2429" s="846"/>
      <c r="Q2429" s="846"/>
      <c r="R2429" s="846"/>
      <c r="S2429" s="846"/>
      <c r="T2429" s="846"/>
    </row>
    <row r="2430" spans="2:20" hidden="1">
      <c r="B2430" s="828" t="s">
        <v>6552</v>
      </c>
      <c r="C2430" s="828">
        <v>92875</v>
      </c>
      <c r="D2430" s="630" t="s">
        <v>7789</v>
      </c>
      <c r="E2430" s="630" t="s">
        <v>645</v>
      </c>
      <c r="F2430" s="829">
        <v>10.07</v>
      </c>
      <c r="G2430" s="830">
        <v>1.0900000000000001</v>
      </c>
      <c r="H2430" s="831">
        <v>11.16</v>
      </c>
      <c r="I2430" s="846"/>
      <c r="J2430" s="846"/>
      <c r="K2430" s="846"/>
      <c r="L2430" s="846"/>
      <c r="M2430" s="846"/>
      <c r="N2430" s="846"/>
      <c r="O2430" s="846"/>
      <c r="P2430" s="846"/>
      <c r="Q2430" s="846"/>
      <c r="R2430" s="846"/>
      <c r="S2430" s="846"/>
      <c r="T2430" s="846"/>
    </row>
    <row r="2431" spans="2:20" hidden="1">
      <c r="B2431" s="828" t="s">
        <v>6552</v>
      </c>
      <c r="C2431" s="828">
        <v>92876</v>
      </c>
      <c r="D2431" s="630" t="s">
        <v>7790</v>
      </c>
      <c r="E2431" s="630" t="s">
        <v>645</v>
      </c>
      <c r="F2431" s="829">
        <v>10.28</v>
      </c>
      <c r="G2431" s="830">
        <v>0.57999999999999996</v>
      </c>
      <c r="H2431" s="831">
        <v>10.86</v>
      </c>
      <c r="I2431" s="846"/>
      <c r="J2431" s="846"/>
      <c r="K2431" s="846"/>
      <c r="L2431" s="846"/>
      <c r="M2431" s="846"/>
      <c r="N2431" s="846"/>
      <c r="O2431" s="846"/>
      <c r="P2431" s="846"/>
      <c r="Q2431" s="846"/>
      <c r="R2431" s="846"/>
      <c r="S2431" s="846"/>
      <c r="T2431" s="846"/>
    </row>
    <row r="2432" spans="2:20" hidden="1">
      <c r="B2432" s="828" t="s">
        <v>6552</v>
      </c>
      <c r="C2432" s="828">
        <v>92877</v>
      </c>
      <c r="D2432" s="630" t="s">
        <v>7791</v>
      </c>
      <c r="E2432" s="630" t="s">
        <v>645</v>
      </c>
      <c r="F2432" s="829">
        <v>11.41</v>
      </c>
      <c r="G2432" s="830">
        <v>0.32</v>
      </c>
      <c r="H2432" s="831">
        <v>11.73</v>
      </c>
      <c r="I2432" s="846"/>
      <c r="J2432" s="846"/>
      <c r="K2432" s="846"/>
      <c r="L2432" s="846"/>
      <c r="M2432" s="846"/>
      <c r="N2432" s="846"/>
      <c r="O2432" s="846"/>
      <c r="P2432" s="846"/>
      <c r="Q2432" s="846"/>
      <c r="R2432" s="846"/>
      <c r="S2432" s="846"/>
      <c r="T2432" s="846"/>
    </row>
    <row r="2433" spans="2:20" hidden="1">
      <c r="B2433" s="828" t="s">
        <v>6552</v>
      </c>
      <c r="C2433" s="828">
        <v>92878</v>
      </c>
      <c r="D2433" s="630" t="s">
        <v>7792</v>
      </c>
      <c r="E2433" s="630" t="s">
        <v>645</v>
      </c>
      <c r="F2433" s="829">
        <v>11.37</v>
      </c>
      <c r="G2433" s="830">
        <v>0.17</v>
      </c>
      <c r="H2433" s="831">
        <v>11.54</v>
      </c>
      <c r="I2433" s="846"/>
      <c r="J2433" s="846"/>
      <c r="K2433" s="846"/>
      <c r="L2433" s="846"/>
      <c r="M2433" s="846"/>
      <c r="N2433" s="846"/>
      <c r="O2433" s="846"/>
      <c r="P2433" s="846"/>
      <c r="Q2433" s="846"/>
      <c r="R2433" s="846"/>
      <c r="S2433" s="846"/>
      <c r="T2433" s="846"/>
    </row>
    <row r="2434" spans="2:20" hidden="1">
      <c r="B2434" s="828" t="s">
        <v>6552</v>
      </c>
      <c r="C2434" s="828">
        <v>92879</v>
      </c>
      <c r="D2434" s="630" t="s">
        <v>7793</v>
      </c>
      <c r="E2434" s="630" t="s">
        <v>645</v>
      </c>
      <c r="F2434" s="829">
        <v>11.34</v>
      </c>
      <c r="G2434" s="830">
        <v>0.08</v>
      </c>
      <c r="H2434" s="831">
        <v>11.42</v>
      </c>
      <c r="I2434" s="846"/>
      <c r="J2434" s="846"/>
      <c r="K2434" s="846"/>
      <c r="L2434" s="846"/>
      <c r="M2434" s="846"/>
      <c r="N2434" s="846"/>
      <c r="O2434" s="846"/>
      <c r="P2434" s="846"/>
      <c r="Q2434" s="846"/>
      <c r="R2434" s="846"/>
      <c r="S2434" s="846"/>
      <c r="T2434" s="846"/>
    </row>
    <row r="2435" spans="2:20" hidden="1">
      <c r="B2435" s="828" t="s">
        <v>6552</v>
      </c>
      <c r="C2435" s="828">
        <v>92880</v>
      </c>
      <c r="D2435" s="630" t="s">
        <v>7794</v>
      </c>
      <c r="E2435" s="630" t="s">
        <v>645</v>
      </c>
      <c r="F2435" s="829">
        <v>11.63</v>
      </c>
      <c r="G2435" s="830">
        <v>0.04</v>
      </c>
      <c r="H2435" s="831">
        <v>11.67</v>
      </c>
      <c r="I2435" s="846"/>
      <c r="J2435" s="846"/>
      <c r="K2435" s="846"/>
      <c r="L2435" s="846"/>
      <c r="M2435" s="846"/>
      <c r="N2435" s="846"/>
      <c r="O2435" s="846"/>
      <c r="P2435" s="846"/>
      <c r="Q2435" s="846"/>
      <c r="R2435" s="846"/>
      <c r="S2435" s="846"/>
      <c r="T2435" s="846"/>
    </row>
    <row r="2436" spans="2:20" hidden="1">
      <c r="B2436" s="828" t="s">
        <v>6552</v>
      </c>
      <c r="C2436" s="828">
        <v>92881</v>
      </c>
      <c r="D2436" s="630" t="s">
        <v>7795</v>
      </c>
      <c r="E2436" s="630" t="s">
        <v>645</v>
      </c>
      <c r="F2436" s="829">
        <v>11.62</v>
      </c>
      <c r="G2436" s="830">
        <v>0.02</v>
      </c>
      <c r="H2436" s="831">
        <v>11.64</v>
      </c>
      <c r="I2436" s="846"/>
      <c r="J2436" s="846"/>
      <c r="K2436" s="846"/>
      <c r="L2436" s="846"/>
      <c r="M2436" s="846"/>
      <c r="N2436" s="846"/>
      <c r="O2436" s="846"/>
      <c r="P2436" s="846"/>
      <c r="Q2436" s="846"/>
      <c r="R2436" s="846"/>
      <c r="S2436" s="846"/>
      <c r="T2436" s="846"/>
    </row>
    <row r="2437" spans="2:20" hidden="1">
      <c r="B2437" s="828" t="s">
        <v>6552</v>
      </c>
      <c r="C2437" s="828">
        <v>92882</v>
      </c>
      <c r="D2437" s="630" t="s">
        <v>7796</v>
      </c>
      <c r="E2437" s="630" t="s">
        <v>645</v>
      </c>
      <c r="F2437" s="829">
        <v>11.67</v>
      </c>
      <c r="G2437" s="830">
        <v>3.65</v>
      </c>
      <c r="H2437" s="831">
        <v>15.32</v>
      </c>
      <c r="I2437" s="846"/>
      <c r="J2437" s="846"/>
      <c r="K2437" s="846"/>
      <c r="L2437" s="846"/>
      <c r="M2437" s="846"/>
      <c r="N2437" s="846"/>
      <c r="O2437" s="846"/>
      <c r="P2437" s="846"/>
      <c r="Q2437" s="846"/>
      <c r="R2437" s="846"/>
      <c r="S2437" s="846"/>
      <c r="T2437" s="846"/>
    </row>
    <row r="2438" spans="2:20" hidden="1">
      <c r="B2438" s="828" t="s">
        <v>6552</v>
      </c>
      <c r="C2438" s="828">
        <v>92883</v>
      </c>
      <c r="D2438" s="630" t="s">
        <v>7797</v>
      </c>
      <c r="E2438" s="630" t="s">
        <v>645</v>
      </c>
      <c r="F2438" s="829">
        <v>11.67</v>
      </c>
      <c r="G2438" s="830">
        <v>2.48</v>
      </c>
      <c r="H2438" s="831">
        <v>14.15</v>
      </c>
      <c r="I2438" s="846"/>
      <c r="J2438" s="846"/>
      <c r="K2438" s="846"/>
      <c r="L2438" s="846"/>
      <c r="M2438" s="846"/>
      <c r="N2438" s="846"/>
      <c r="O2438" s="846"/>
      <c r="P2438" s="846"/>
      <c r="Q2438" s="846"/>
      <c r="R2438" s="846"/>
      <c r="S2438" s="846"/>
      <c r="T2438" s="846"/>
    </row>
    <row r="2439" spans="2:20" hidden="1">
      <c r="B2439" s="828" t="s">
        <v>6552</v>
      </c>
      <c r="C2439" s="828">
        <v>92884</v>
      </c>
      <c r="D2439" s="630" t="s">
        <v>7798</v>
      </c>
      <c r="E2439" s="630" t="s">
        <v>645</v>
      </c>
      <c r="F2439" s="829">
        <v>12.62</v>
      </c>
      <c r="G2439" s="830">
        <v>1.74</v>
      </c>
      <c r="H2439" s="831">
        <v>14.36</v>
      </c>
      <c r="I2439" s="846"/>
      <c r="J2439" s="846"/>
      <c r="K2439" s="846"/>
      <c r="L2439" s="846"/>
      <c r="M2439" s="846"/>
      <c r="N2439" s="846"/>
      <c r="O2439" s="846"/>
      <c r="P2439" s="846"/>
      <c r="Q2439" s="846"/>
      <c r="R2439" s="846"/>
      <c r="S2439" s="846"/>
      <c r="T2439" s="846"/>
    </row>
    <row r="2440" spans="2:20" hidden="1">
      <c r="B2440" s="828" t="s">
        <v>6552</v>
      </c>
      <c r="C2440" s="828">
        <v>92885</v>
      </c>
      <c r="D2440" s="630" t="s">
        <v>7799</v>
      </c>
      <c r="E2440" s="630" t="s">
        <v>645</v>
      </c>
      <c r="F2440" s="829">
        <v>12.44</v>
      </c>
      <c r="G2440" s="830">
        <v>1.19</v>
      </c>
      <c r="H2440" s="831">
        <v>13.63</v>
      </c>
      <c r="I2440" s="846"/>
      <c r="J2440" s="846"/>
      <c r="K2440" s="846"/>
      <c r="L2440" s="846"/>
      <c r="M2440" s="846"/>
      <c r="N2440" s="846"/>
      <c r="O2440" s="846"/>
      <c r="P2440" s="846"/>
      <c r="Q2440" s="846"/>
      <c r="R2440" s="846"/>
      <c r="S2440" s="846"/>
      <c r="T2440" s="846"/>
    </row>
    <row r="2441" spans="2:20" hidden="1">
      <c r="B2441" s="828" t="s">
        <v>6552</v>
      </c>
      <c r="C2441" s="828">
        <v>92886</v>
      </c>
      <c r="D2441" s="630" t="s">
        <v>7800</v>
      </c>
      <c r="E2441" s="630" t="s">
        <v>645</v>
      </c>
      <c r="F2441" s="829">
        <v>12.3</v>
      </c>
      <c r="G2441" s="830">
        <v>0.77</v>
      </c>
      <c r="H2441" s="831">
        <v>13.07</v>
      </c>
      <c r="I2441" s="846"/>
      <c r="J2441" s="846"/>
      <c r="K2441" s="846"/>
      <c r="L2441" s="846"/>
      <c r="M2441" s="846"/>
      <c r="N2441" s="846"/>
      <c r="O2441" s="846"/>
      <c r="P2441" s="846"/>
      <c r="Q2441" s="846"/>
      <c r="R2441" s="846"/>
      <c r="S2441" s="846"/>
      <c r="T2441" s="846"/>
    </row>
    <row r="2442" spans="2:20" hidden="1">
      <c r="B2442" s="828" t="s">
        <v>6552</v>
      </c>
      <c r="C2442" s="828">
        <v>92887</v>
      </c>
      <c r="D2442" s="630" t="s">
        <v>7801</v>
      </c>
      <c r="E2442" s="630" t="s">
        <v>645</v>
      </c>
      <c r="F2442" s="829">
        <v>12.49</v>
      </c>
      <c r="G2442" s="830">
        <v>0.49</v>
      </c>
      <c r="H2442" s="831">
        <v>12.98</v>
      </c>
      <c r="I2442" s="846"/>
      <c r="J2442" s="846"/>
      <c r="K2442" s="846"/>
      <c r="L2442" s="846"/>
      <c r="M2442" s="846"/>
      <c r="N2442" s="846"/>
      <c r="O2442" s="846"/>
      <c r="P2442" s="846"/>
      <c r="Q2442" s="846"/>
      <c r="R2442" s="846"/>
      <c r="S2442" s="846"/>
      <c r="T2442" s="846"/>
    </row>
    <row r="2443" spans="2:20" hidden="1">
      <c r="B2443" s="828" t="s">
        <v>6552</v>
      </c>
      <c r="C2443" s="828">
        <v>92888</v>
      </c>
      <c r="D2443" s="630" t="s">
        <v>7802</v>
      </c>
      <c r="E2443" s="630" t="s">
        <v>645</v>
      </c>
      <c r="F2443" s="829">
        <v>12.41</v>
      </c>
      <c r="G2443" s="830">
        <v>0.28000000000000003</v>
      </c>
      <c r="H2443" s="831">
        <v>12.69</v>
      </c>
      <c r="I2443" s="846"/>
      <c r="J2443" s="846"/>
      <c r="K2443" s="846"/>
      <c r="L2443" s="846"/>
      <c r="M2443" s="846"/>
      <c r="N2443" s="846"/>
      <c r="O2443" s="846"/>
      <c r="P2443" s="846"/>
      <c r="Q2443" s="846"/>
      <c r="R2443" s="846"/>
      <c r="S2443" s="846"/>
      <c r="T2443" s="846"/>
    </row>
    <row r="2444" spans="2:20" ht="38.25" hidden="1">
      <c r="B2444" s="828" t="s">
        <v>6552</v>
      </c>
      <c r="C2444" s="828">
        <v>92915</v>
      </c>
      <c r="D2444" s="630" t="s">
        <v>7803</v>
      </c>
      <c r="E2444" s="630" t="s">
        <v>645</v>
      </c>
      <c r="F2444" s="829">
        <v>12.44</v>
      </c>
      <c r="G2444" s="830">
        <v>6.78</v>
      </c>
      <c r="H2444" s="831">
        <v>19.22</v>
      </c>
      <c r="I2444" s="846"/>
      <c r="J2444" s="846"/>
      <c r="K2444" s="846"/>
      <c r="L2444" s="846"/>
      <c r="M2444" s="846"/>
      <c r="N2444" s="846"/>
      <c r="O2444" s="846"/>
      <c r="P2444" s="846"/>
      <c r="Q2444" s="846"/>
      <c r="R2444" s="846"/>
      <c r="S2444" s="846"/>
      <c r="T2444" s="846"/>
    </row>
    <row r="2445" spans="2:20" ht="38.25" hidden="1">
      <c r="B2445" s="828" t="s">
        <v>6552</v>
      </c>
      <c r="C2445" s="828">
        <v>92916</v>
      </c>
      <c r="D2445" s="630" t="s">
        <v>7804</v>
      </c>
      <c r="E2445" s="630" t="s">
        <v>645</v>
      </c>
      <c r="F2445" s="829">
        <v>12.93</v>
      </c>
      <c r="G2445" s="830">
        <v>4.68</v>
      </c>
      <c r="H2445" s="831">
        <v>17.61</v>
      </c>
      <c r="I2445" s="846"/>
      <c r="J2445" s="846"/>
      <c r="K2445" s="846"/>
      <c r="L2445" s="846"/>
      <c r="M2445" s="846"/>
      <c r="N2445" s="846"/>
      <c r="O2445" s="846"/>
      <c r="P2445" s="846"/>
      <c r="Q2445" s="846"/>
      <c r="R2445" s="846"/>
      <c r="S2445" s="846"/>
      <c r="T2445" s="846"/>
    </row>
    <row r="2446" spans="2:20" ht="38.25" hidden="1">
      <c r="B2446" s="828" t="s">
        <v>6552</v>
      </c>
      <c r="C2446" s="828">
        <v>92917</v>
      </c>
      <c r="D2446" s="630" t="s">
        <v>7805</v>
      </c>
      <c r="E2446" s="630" t="s">
        <v>645</v>
      </c>
      <c r="F2446" s="829">
        <v>12.93</v>
      </c>
      <c r="G2446" s="830">
        <v>3.15</v>
      </c>
      <c r="H2446" s="831">
        <v>16.079999999999998</v>
      </c>
      <c r="I2446" s="846"/>
      <c r="J2446" s="846"/>
      <c r="K2446" s="846"/>
      <c r="L2446" s="846"/>
      <c r="M2446" s="846"/>
      <c r="N2446" s="846"/>
      <c r="O2446" s="846"/>
      <c r="P2446" s="846"/>
      <c r="Q2446" s="846"/>
      <c r="R2446" s="846"/>
      <c r="S2446" s="846"/>
      <c r="T2446" s="846"/>
    </row>
    <row r="2447" spans="2:20" ht="38.25" hidden="1">
      <c r="B2447" s="828" t="s">
        <v>6552</v>
      </c>
      <c r="C2447" s="828">
        <v>92919</v>
      </c>
      <c r="D2447" s="630" t="s">
        <v>7806</v>
      </c>
      <c r="E2447" s="630" t="s">
        <v>645</v>
      </c>
      <c r="F2447" s="829">
        <v>11.96</v>
      </c>
      <c r="G2447" s="830">
        <v>2.13</v>
      </c>
      <c r="H2447" s="831">
        <v>14.09</v>
      </c>
      <c r="I2447" s="846"/>
      <c r="J2447" s="846"/>
      <c r="K2447" s="846"/>
      <c r="L2447" s="846"/>
      <c r="M2447" s="846"/>
      <c r="N2447" s="846"/>
      <c r="O2447" s="846"/>
      <c r="P2447" s="846"/>
      <c r="Q2447" s="846"/>
      <c r="R2447" s="846"/>
      <c r="S2447" s="846"/>
      <c r="T2447" s="846"/>
    </row>
    <row r="2448" spans="2:20" ht="38.25" hidden="1">
      <c r="B2448" s="828" t="s">
        <v>6552</v>
      </c>
      <c r="C2448" s="828">
        <v>92921</v>
      </c>
      <c r="D2448" s="630" t="s">
        <v>7807</v>
      </c>
      <c r="E2448" s="630" t="s">
        <v>645</v>
      </c>
      <c r="F2448" s="829">
        <v>10.27</v>
      </c>
      <c r="G2448" s="830">
        <v>1.36</v>
      </c>
      <c r="H2448" s="831">
        <v>11.63</v>
      </c>
      <c r="I2448" s="846"/>
      <c r="J2448" s="846"/>
      <c r="K2448" s="846"/>
      <c r="L2448" s="846"/>
      <c r="M2448" s="846"/>
      <c r="N2448" s="846"/>
      <c r="O2448" s="846"/>
      <c r="P2448" s="846"/>
      <c r="Q2448" s="846"/>
      <c r="R2448" s="846"/>
      <c r="S2448" s="846"/>
      <c r="T2448" s="846"/>
    </row>
    <row r="2449" spans="2:20" ht="38.25" hidden="1">
      <c r="B2449" s="828" t="s">
        <v>6552</v>
      </c>
      <c r="C2449" s="828">
        <v>92922</v>
      </c>
      <c r="D2449" s="630" t="s">
        <v>7808</v>
      </c>
      <c r="E2449" s="630" t="s">
        <v>645</v>
      </c>
      <c r="F2449" s="829">
        <v>10.17</v>
      </c>
      <c r="G2449" s="830">
        <v>0.98</v>
      </c>
      <c r="H2449" s="831">
        <v>11.15</v>
      </c>
      <c r="I2449" s="846"/>
      <c r="J2449" s="846"/>
      <c r="K2449" s="846"/>
      <c r="L2449" s="846"/>
      <c r="M2449" s="846"/>
      <c r="N2449" s="846"/>
      <c r="O2449" s="846"/>
      <c r="P2449" s="846"/>
      <c r="Q2449" s="846"/>
      <c r="R2449" s="846"/>
      <c r="S2449" s="846"/>
      <c r="T2449" s="846"/>
    </row>
    <row r="2450" spans="2:20" ht="38.25" hidden="1">
      <c r="B2450" s="828" t="s">
        <v>6552</v>
      </c>
      <c r="C2450" s="828">
        <v>92923</v>
      </c>
      <c r="D2450" s="630" t="s">
        <v>7809</v>
      </c>
      <c r="E2450" s="630" t="s">
        <v>645</v>
      </c>
      <c r="F2450" s="829">
        <v>11.76</v>
      </c>
      <c r="G2450" s="830">
        <v>0.75</v>
      </c>
      <c r="H2450" s="831">
        <v>12.51</v>
      </c>
      <c r="I2450" s="846"/>
      <c r="J2450" s="846"/>
      <c r="K2450" s="846"/>
      <c r="L2450" s="846"/>
      <c r="M2450" s="846"/>
      <c r="N2450" s="846"/>
      <c r="O2450" s="846"/>
      <c r="P2450" s="846"/>
      <c r="Q2450" s="846"/>
      <c r="R2450" s="846"/>
      <c r="S2450" s="846"/>
      <c r="T2450" s="846"/>
    </row>
    <row r="2451" spans="2:20" ht="38.25" hidden="1">
      <c r="B2451" s="828" t="s">
        <v>6552</v>
      </c>
      <c r="C2451" s="828">
        <v>92924</v>
      </c>
      <c r="D2451" s="630" t="s">
        <v>7810</v>
      </c>
      <c r="E2451" s="630" t="s">
        <v>645</v>
      </c>
      <c r="F2451" s="829">
        <v>11.7</v>
      </c>
      <c r="G2451" s="830">
        <v>0.57999999999999996</v>
      </c>
      <c r="H2451" s="831">
        <v>12.28</v>
      </c>
      <c r="I2451" s="846"/>
      <c r="J2451" s="846"/>
      <c r="K2451" s="846"/>
      <c r="L2451" s="846"/>
      <c r="M2451" s="846"/>
      <c r="N2451" s="846"/>
      <c r="O2451" s="846"/>
      <c r="P2451" s="846"/>
      <c r="Q2451" s="846"/>
      <c r="R2451" s="846"/>
      <c r="S2451" s="846"/>
      <c r="T2451" s="846"/>
    </row>
    <row r="2452" spans="2:20" hidden="1">
      <c r="B2452" s="828" t="s">
        <v>6552</v>
      </c>
      <c r="C2452" s="828">
        <v>95448</v>
      </c>
      <c r="D2452" s="630" t="s">
        <v>7811</v>
      </c>
      <c r="E2452" s="630" t="s">
        <v>645</v>
      </c>
      <c r="F2452" s="829">
        <v>11.86</v>
      </c>
      <c r="G2452" s="830">
        <v>0.01</v>
      </c>
      <c r="H2452" s="831">
        <v>11.87</v>
      </c>
      <c r="I2452" s="846"/>
      <c r="J2452" s="846"/>
      <c r="K2452" s="846"/>
      <c r="L2452" s="846"/>
      <c r="M2452" s="846"/>
      <c r="N2452" s="846"/>
      <c r="O2452" s="846"/>
      <c r="P2452" s="846"/>
      <c r="Q2452" s="846"/>
      <c r="R2452" s="846"/>
      <c r="S2452" s="846"/>
      <c r="T2452" s="846"/>
    </row>
    <row r="2453" spans="2:20" hidden="1">
      <c r="B2453" s="828" t="s">
        <v>6552</v>
      </c>
      <c r="C2453" s="828">
        <v>95576</v>
      </c>
      <c r="D2453" s="630" t="s">
        <v>5547</v>
      </c>
      <c r="E2453" s="630" t="s">
        <v>645</v>
      </c>
      <c r="F2453" s="829">
        <v>12.52</v>
      </c>
      <c r="G2453" s="830">
        <v>2.19</v>
      </c>
      <c r="H2453" s="831">
        <v>14.71</v>
      </c>
      <c r="I2453" s="846"/>
      <c r="J2453" s="846"/>
      <c r="K2453" s="846"/>
      <c r="L2453" s="846"/>
      <c r="M2453" s="846"/>
      <c r="N2453" s="846"/>
      <c r="O2453" s="846"/>
      <c r="P2453" s="846"/>
      <c r="Q2453" s="846"/>
      <c r="R2453" s="846"/>
      <c r="S2453" s="846"/>
      <c r="T2453" s="846"/>
    </row>
    <row r="2454" spans="2:20" ht="25.5" hidden="1">
      <c r="B2454" s="828" t="s">
        <v>6552</v>
      </c>
      <c r="C2454" s="828">
        <v>95577</v>
      </c>
      <c r="D2454" s="630" t="s">
        <v>5548</v>
      </c>
      <c r="E2454" s="630" t="s">
        <v>645</v>
      </c>
      <c r="F2454" s="829">
        <v>11.52</v>
      </c>
      <c r="G2454" s="830">
        <v>1.06</v>
      </c>
      <c r="H2454" s="831">
        <v>12.58</v>
      </c>
      <c r="I2454" s="846"/>
      <c r="J2454" s="846"/>
      <c r="K2454" s="846"/>
      <c r="L2454" s="846"/>
      <c r="M2454" s="846"/>
      <c r="N2454" s="846"/>
      <c r="O2454" s="846"/>
      <c r="P2454" s="846"/>
      <c r="Q2454" s="846"/>
      <c r="R2454" s="846"/>
      <c r="S2454" s="846"/>
      <c r="T2454" s="846"/>
    </row>
    <row r="2455" spans="2:20" ht="25.5" hidden="1">
      <c r="B2455" s="828" t="s">
        <v>6552</v>
      </c>
      <c r="C2455" s="828">
        <v>95578</v>
      </c>
      <c r="D2455" s="630" t="s">
        <v>5549</v>
      </c>
      <c r="E2455" s="630" t="s">
        <v>645</v>
      </c>
      <c r="F2455" s="829">
        <v>9.92</v>
      </c>
      <c r="G2455" s="830">
        <v>0.56000000000000005</v>
      </c>
      <c r="H2455" s="831">
        <v>10.48</v>
      </c>
      <c r="I2455" s="846"/>
      <c r="J2455" s="846"/>
      <c r="K2455" s="846"/>
      <c r="L2455" s="846"/>
      <c r="M2455" s="846"/>
      <c r="N2455" s="846"/>
      <c r="O2455" s="846"/>
      <c r="P2455" s="846"/>
      <c r="Q2455" s="846"/>
      <c r="R2455" s="846"/>
      <c r="S2455" s="846"/>
      <c r="T2455" s="846"/>
    </row>
    <row r="2456" spans="2:20" ht="25.5" hidden="1">
      <c r="B2456" s="828" t="s">
        <v>6552</v>
      </c>
      <c r="C2456" s="828">
        <v>95579</v>
      </c>
      <c r="D2456" s="630" t="s">
        <v>5550</v>
      </c>
      <c r="E2456" s="630" t="s">
        <v>645</v>
      </c>
      <c r="F2456" s="829">
        <v>9.83</v>
      </c>
      <c r="G2456" s="830">
        <v>0.33</v>
      </c>
      <c r="H2456" s="831">
        <v>10.16</v>
      </c>
      <c r="I2456" s="846"/>
      <c r="J2456" s="846"/>
      <c r="K2456" s="846"/>
      <c r="L2456" s="846"/>
      <c r="M2456" s="846"/>
      <c r="N2456" s="846"/>
      <c r="O2456" s="846"/>
      <c r="P2456" s="846"/>
      <c r="Q2456" s="846"/>
      <c r="R2456" s="846"/>
      <c r="S2456" s="846"/>
      <c r="T2456" s="846"/>
    </row>
    <row r="2457" spans="2:20" ht="25.5" hidden="1">
      <c r="B2457" s="828" t="s">
        <v>6552</v>
      </c>
      <c r="C2457" s="828">
        <v>95580</v>
      </c>
      <c r="D2457" s="630" t="s">
        <v>5551</v>
      </c>
      <c r="E2457" s="630" t="s">
        <v>645</v>
      </c>
      <c r="F2457" s="829">
        <v>11.48</v>
      </c>
      <c r="G2457" s="830">
        <v>0.25</v>
      </c>
      <c r="H2457" s="831">
        <v>11.73</v>
      </c>
      <c r="I2457" s="846"/>
      <c r="J2457" s="846"/>
      <c r="K2457" s="846"/>
      <c r="L2457" s="846"/>
      <c r="M2457" s="846"/>
      <c r="N2457" s="846"/>
      <c r="O2457" s="846"/>
      <c r="P2457" s="846"/>
      <c r="Q2457" s="846"/>
      <c r="R2457" s="846"/>
      <c r="S2457" s="846"/>
      <c r="T2457" s="846"/>
    </row>
    <row r="2458" spans="2:20" ht="25.5" hidden="1">
      <c r="B2458" s="828" t="s">
        <v>6552</v>
      </c>
      <c r="C2458" s="828">
        <v>95581</v>
      </c>
      <c r="D2458" s="630" t="s">
        <v>5552</v>
      </c>
      <c r="E2458" s="630" t="s">
        <v>645</v>
      </c>
      <c r="F2458" s="829">
        <v>11.44</v>
      </c>
      <c r="G2458" s="830">
        <v>0.22</v>
      </c>
      <c r="H2458" s="831">
        <v>11.66</v>
      </c>
      <c r="I2458" s="846"/>
      <c r="J2458" s="846"/>
      <c r="K2458" s="846"/>
      <c r="L2458" s="846"/>
      <c r="M2458" s="846"/>
      <c r="N2458" s="846"/>
      <c r="O2458" s="846"/>
      <c r="P2458" s="846"/>
      <c r="Q2458" s="846"/>
      <c r="R2458" s="846"/>
      <c r="S2458" s="846"/>
      <c r="T2458" s="846"/>
    </row>
    <row r="2459" spans="2:20" ht="25.5" hidden="1">
      <c r="B2459" s="828" t="s">
        <v>6552</v>
      </c>
      <c r="C2459" s="828">
        <v>95582</v>
      </c>
      <c r="D2459" s="630" t="s">
        <v>5553</v>
      </c>
      <c r="E2459" s="630" t="s">
        <v>645</v>
      </c>
      <c r="F2459" s="829">
        <v>12.49</v>
      </c>
      <c r="G2459" s="830">
        <v>0.2</v>
      </c>
      <c r="H2459" s="831">
        <v>12.69</v>
      </c>
      <c r="I2459" s="846"/>
      <c r="J2459" s="846"/>
      <c r="K2459" s="846"/>
      <c r="L2459" s="846"/>
      <c r="M2459" s="846"/>
      <c r="N2459" s="846"/>
      <c r="O2459" s="846"/>
      <c r="P2459" s="846"/>
      <c r="Q2459" s="846"/>
      <c r="R2459" s="846"/>
      <c r="S2459" s="846"/>
      <c r="T2459" s="846"/>
    </row>
    <row r="2460" spans="2:20" ht="25.5" hidden="1">
      <c r="B2460" s="828" t="s">
        <v>6552</v>
      </c>
      <c r="C2460" s="828">
        <v>95583</v>
      </c>
      <c r="D2460" s="630" t="s">
        <v>5554</v>
      </c>
      <c r="E2460" s="630" t="s">
        <v>645</v>
      </c>
      <c r="F2460" s="829">
        <v>12.13</v>
      </c>
      <c r="G2460" s="830">
        <v>6.12</v>
      </c>
      <c r="H2460" s="831">
        <v>18.25</v>
      </c>
      <c r="I2460" s="846"/>
      <c r="J2460" s="846"/>
      <c r="K2460" s="846"/>
      <c r="L2460" s="846"/>
      <c r="M2460" s="846"/>
      <c r="N2460" s="846"/>
      <c r="O2460" s="846"/>
      <c r="P2460" s="846"/>
      <c r="Q2460" s="846"/>
      <c r="R2460" s="846"/>
      <c r="S2460" s="846"/>
      <c r="T2460" s="846"/>
    </row>
    <row r="2461" spans="2:20" ht="25.5" hidden="1">
      <c r="B2461" s="828" t="s">
        <v>6552</v>
      </c>
      <c r="C2461" s="828">
        <v>95584</v>
      </c>
      <c r="D2461" s="630" t="s">
        <v>5555</v>
      </c>
      <c r="E2461" s="630" t="s">
        <v>645</v>
      </c>
      <c r="F2461" s="829">
        <v>12.53</v>
      </c>
      <c r="G2461" s="830">
        <v>3.69</v>
      </c>
      <c r="H2461" s="831">
        <v>16.22</v>
      </c>
      <c r="I2461" s="846"/>
      <c r="J2461" s="846"/>
      <c r="K2461" s="846"/>
      <c r="L2461" s="846"/>
      <c r="M2461" s="846"/>
      <c r="N2461" s="846"/>
      <c r="O2461" s="846"/>
      <c r="P2461" s="846"/>
      <c r="Q2461" s="846"/>
      <c r="R2461" s="846"/>
      <c r="S2461" s="846"/>
      <c r="T2461" s="846"/>
    </row>
    <row r="2462" spans="2:20" ht="25.5" hidden="1">
      <c r="B2462" s="828" t="s">
        <v>6552</v>
      </c>
      <c r="C2462" s="828">
        <v>95592</v>
      </c>
      <c r="D2462" s="630" t="s">
        <v>5556</v>
      </c>
      <c r="E2462" s="630" t="s">
        <v>645</v>
      </c>
      <c r="F2462" s="829">
        <v>12.13</v>
      </c>
      <c r="G2462" s="830">
        <v>6.12</v>
      </c>
      <c r="H2462" s="831">
        <v>18.25</v>
      </c>
      <c r="I2462" s="846"/>
      <c r="J2462" s="846"/>
      <c r="K2462" s="846"/>
      <c r="L2462" s="846"/>
      <c r="M2462" s="846"/>
      <c r="N2462" s="846"/>
      <c r="O2462" s="846"/>
      <c r="P2462" s="846"/>
      <c r="Q2462" s="846"/>
      <c r="R2462" s="846"/>
      <c r="S2462" s="846"/>
      <c r="T2462" s="846"/>
    </row>
    <row r="2463" spans="2:20" ht="25.5" hidden="1">
      <c r="B2463" s="828" t="s">
        <v>6552</v>
      </c>
      <c r="C2463" s="828">
        <v>95593</v>
      </c>
      <c r="D2463" s="630" t="s">
        <v>5557</v>
      </c>
      <c r="E2463" s="630" t="s">
        <v>645</v>
      </c>
      <c r="F2463" s="829">
        <v>12.53</v>
      </c>
      <c r="G2463" s="830">
        <v>3.69</v>
      </c>
      <c r="H2463" s="831">
        <v>16.22</v>
      </c>
      <c r="I2463" s="846"/>
      <c r="J2463" s="846"/>
      <c r="K2463" s="846"/>
      <c r="L2463" s="846"/>
      <c r="M2463" s="846"/>
      <c r="N2463" s="846"/>
      <c r="O2463" s="846"/>
      <c r="P2463" s="846"/>
      <c r="Q2463" s="846"/>
      <c r="R2463" s="846"/>
      <c r="S2463" s="846"/>
      <c r="T2463" s="846"/>
    </row>
    <row r="2464" spans="2:20" ht="25.5" hidden="1">
      <c r="B2464" s="828" t="s">
        <v>6552</v>
      </c>
      <c r="C2464" s="828">
        <v>95943</v>
      </c>
      <c r="D2464" s="630" t="s">
        <v>5567</v>
      </c>
      <c r="E2464" s="630" t="s">
        <v>645</v>
      </c>
      <c r="F2464" s="829">
        <v>13.73</v>
      </c>
      <c r="G2464" s="830">
        <v>11.41</v>
      </c>
      <c r="H2464" s="831">
        <v>25.14</v>
      </c>
      <c r="I2464" s="846"/>
      <c r="J2464" s="846"/>
      <c r="K2464" s="846"/>
      <c r="L2464" s="846"/>
      <c r="M2464" s="846"/>
      <c r="N2464" s="846"/>
      <c r="O2464" s="846"/>
      <c r="P2464" s="846"/>
      <c r="Q2464" s="846"/>
      <c r="R2464" s="846"/>
      <c r="S2464" s="846"/>
      <c r="T2464" s="846"/>
    </row>
    <row r="2465" spans="2:20" ht="25.5" hidden="1">
      <c r="B2465" s="828" t="s">
        <v>6552</v>
      </c>
      <c r="C2465" s="828">
        <v>95944</v>
      </c>
      <c r="D2465" s="630" t="s">
        <v>5568</v>
      </c>
      <c r="E2465" s="630" t="s">
        <v>645</v>
      </c>
      <c r="F2465" s="829">
        <v>14.07</v>
      </c>
      <c r="G2465" s="830">
        <v>8.82</v>
      </c>
      <c r="H2465" s="831">
        <v>22.89</v>
      </c>
      <c r="I2465" s="846"/>
      <c r="J2465" s="846"/>
      <c r="K2465" s="846"/>
      <c r="L2465" s="846"/>
      <c r="M2465" s="846"/>
      <c r="N2465" s="846"/>
      <c r="O2465" s="846"/>
      <c r="P2465" s="846"/>
      <c r="Q2465" s="846"/>
      <c r="R2465" s="846"/>
      <c r="S2465" s="846"/>
      <c r="T2465" s="846"/>
    </row>
    <row r="2466" spans="2:20" ht="25.5" hidden="1">
      <c r="B2466" s="828" t="s">
        <v>6552</v>
      </c>
      <c r="C2466" s="828">
        <v>95945</v>
      </c>
      <c r="D2466" s="630" t="s">
        <v>5569</v>
      </c>
      <c r="E2466" s="630" t="s">
        <v>645</v>
      </c>
      <c r="F2466" s="829">
        <v>13.47</v>
      </c>
      <c r="G2466" s="830">
        <v>5.12</v>
      </c>
      <c r="H2466" s="831">
        <v>18.59</v>
      </c>
      <c r="I2466" s="846"/>
      <c r="J2466" s="846"/>
      <c r="K2466" s="846"/>
      <c r="L2466" s="846"/>
      <c r="M2466" s="846"/>
      <c r="N2466" s="846"/>
      <c r="O2466" s="846"/>
      <c r="P2466" s="846"/>
      <c r="Q2466" s="846"/>
      <c r="R2466" s="846"/>
      <c r="S2466" s="846"/>
      <c r="T2466" s="846"/>
    </row>
    <row r="2467" spans="2:20" ht="25.5" hidden="1">
      <c r="B2467" s="828" t="s">
        <v>6552</v>
      </c>
      <c r="C2467" s="828">
        <v>95946</v>
      </c>
      <c r="D2467" s="630" t="s">
        <v>5570</v>
      </c>
      <c r="E2467" s="630" t="s">
        <v>645</v>
      </c>
      <c r="F2467" s="829">
        <v>12.09</v>
      </c>
      <c r="G2467" s="830">
        <v>2.77</v>
      </c>
      <c r="H2467" s="831">
        <v>14.86</v>
      </c>
      <c r="I2467" s="846"/>
      <c r="J2467" s="846"/>
      <c r="K2467" s="846"/>
      <c r="L2467" s="846"/>
      <c r="M2467" s="846"/>
      <c r="N2467" s="846"/>
      <c r="O2467" s="846"/>
      <c r="P2467" s="846"/>
      <c r="Q2467" s="846"/>
      <c r="R2467" s="846"/>
      <c r="S2467" s="846"/>
      <c r="T2467" s="846"/>
    </row>
    <row r="2468" spans="2:20" ht="25.5" hidden="1">
      <c r="B2468" s="828" t="s">
        <v>6552</v>
      </c>
      <c r="C2468" s="828">
        <v>95947</v>
      </c>
      <c r="D2468" s="630" t="s">
        <v>5571</v>
      </c>
      <c r="E2468" s="630" t="s">
        <v>645</v>
      </c>
      <c r="F2468" s="829">
        <v>10.25</v>
      </c>
      <c r="G2468" s="830">
        <v>1.23</v>
      </c>
      <c r="H2468" s="831">
        <v>11.48</v>
      </c>
      <c r="I2468" s="846"/>
      <c r="J2468" s="846"/>
      <c r="K2468" s="846"/>
      <c r="L2468" s="846"/>
      <c r="M2468" s="846"/>
      <c r="N2468" s="846"/>
      <c r="O2468" s="846"/>
      <c r="P2468" s="846"/>
      <c r="Q2468" s="846"/>
      <c r="R2468" s="846"/>
      <c r="S2468" s="846"/>
      <c r="T2468" s="846"/>
    </row>
    <row r="2469" spans="2:20" ht="25.5" hidden="1">
      <c r="B2469" s="828" t="s">
        <v>6552</v>
      </c>
      <c r="C2469" s="828">
        <v>95948</v>
      </c>
      <c r="D2469" s="630" t="s">
        <v>5572</v>
      </c>
      <c r="E2469" s="630" t="s">
        <v>645</v>
      </c>
      <c r="F2469" s="829">
        <v>9.93</v>
      </c>
      <c r="G2469" s="830">
        <v>0.22</v>
      </c>
      <c r="H2469" s="831">
        <v>10.15</v>
      </c>
      <c r="I2469" s="846"/>
      <c r="J2469" s="846"/>
      <c r="K2469" s="846"/>
      <c r="L2469" s="846"/>
      <c r="M2469" s="846"/>
      <c r="N2469" s="846"/>
      <c r="O2469" s="846"/>
      <c r="P2469" s="846"/>
      <c r="Q2469" s="846"/>
      <c r="R2469" s="846"/>
      <c r="S2469" s="846"/>
      <c r="T2469" s="846"/>
    </row>
    <row r="2470" spans="2:20" ht="25.5" hidden="1">
      <c r="B2470" s="828" t="s">
        <v>6552</v>
      </c>
      <c r="C2470" s="828">
        <v>96544</v>
      </c>
      <c r="D2470" s="630" t="s">
        <v>2322</v>
      </c>
      <c r="E2470" s="630" t="s">
        <v>645</v>
      </c>
      <c r="F2470" s="829">
        <v>13.2</v>
      </c>
      <c r="G2470" s="830">
        <v>5.31</v>
      </c>
      <c r="H2470" s="831">
        <v>18.510000000000002</v>
      </c>
      <c r="I2470" s="846"/>
      <c r="J2470" s="846"/>
      <c r="K2470" s="846"/>
      <c r="L2470" s="846"/>
      <c r="M2470" s="846"/>
      <c r="N2470" s="846"/>
      <c r="O2470" s="846"/>
      <c r="P2470" s="846"/>
      <c r="Q2470" s="846"/>
      <c r="R2470" s="846"/>
      <c r="S2470" s="846"/>
      <c r="T2470" s="846"/>
    </row>
    <row r="2471" spans="2:20" ht="25.5" hidden="1">
      <c r="B2471" s="828" t="s">
        <v>6552</v>
      </c>
      <c r="C2471" s="828">
        <v>96545</v>
      </c>
      <c r="D2471" s="630" t="s">
        <v>2323</v>
      </c>
      <c r="E2471" s="630" t="s">
        <v>645</v>
      </c>
      <c r="F2471" s="829">
        <v>13.14</v>
      </c>
      <c r="G2471" s="830">
        <v>3.85</v>
      </c>
      <c r="H2471" s="831">
        <v>16.989999999999998</v>
      </c>
      <c r="I2471" s="846"/>
      <c r="J2471" s="846"/>
      <c r="K2471" s="846"/>
      <c r="L2471" s="846"/>
      <c r="M2471" s="846"/>
      <c r="N2471" s="846"/>
      <c r="O2471" s="846"/>
      <c r="P2471" s="846"/>
      <c r="Q2471" s="846"/>
      <c r="R2471" s="846"/>
      <c r="S2471" s="846"/>
      <c r="T2471" s="846"/>
    </row>
    <row r="2472" spans="2:20" ht="25.5" hidden="1">
      <c r="B2472" s="828" t="s">
        <v>6552</v>
      </c>
      <c r="C2472" s="828">
        <v>96546</v>
      </c>
      <c r="D2472" s="630" t="s">
        <v>2324</v>
      </c>
      <c r="E2472" s="630" t="s">
        <v>645</v>
      </c>
      <c r="F2472" s="829">
        <v>12.17</v>
      </c>
      <c r="G2472" s="830">
        <v>2.87</v>
      </c>
      <c r="H2472" s="831">
        <v>15.04</v>
      </c>
      <c r="I2472" s="846"/>
      <c r="J2472" s="846"/>
      <c r="K2472" s="846"/>
      <c r="L2472" s="846"/>
      <c r="M2472" s="846"/>
      <c r="N2472" s="846"/>
      <c r="O2472" s="846"/>
      <c r="P2472" s="846"/>
      <c r="Q2472" s="846"/>
      <c r="R2472" s="846"/>
      <c r="S2472" s="846"/>
      <c r="T2472" s="846"/>
    </row>
    <row r="2473" spans="2:20" ht="25.5" hidden="1">
      <c r="B2473" s="828" t="s">
        <v>6552</v>
      </c>
      <c r="C2473" s="828">
        <v>96547</v>
      </c>
      <c r="D2473" s="630" t="s">
        <v>2325</v>
      </c>
      <c r="E2473" s="630" t="s">
        <v>645</v>
      </c>
      <c r="F2473" s="829">
        <v>10.51</v>
      </c>
      <c r="G2473" s="830">
        <v>2.13</v>
      </c>
      <c r="H2473" s="831">
        <v>12.64</v>
      </c>
      <c r="I2473" s="846"/>
      <c r="J2473" s="846"/>
      <c r="K2473" s="846"/>
      <c r="L2473" s="846"/>
      <c r="M2473" s="846"/>
      <c r="N2473" s="846"/>
      <c r="O2473" s="846"/>
      <c r="P2473" s="846"/>
      <c r="Q2473" s="846"/>
      <c r="R2473" s="846"/>
      <c r="S2473" s="846"/>
      <c r="T2473" s="846"/>
    </row>
    <row r="2474" spans="2:20" ht="25.5" hidden="1">
      <c r="B2474" s="828" t="s">
        <v>6552</v>
      </c>
      <c r="C2474" s="828">
        <v>96548</v>
      </c>
      <c r="D2474" s="630" t="s">
        <v>2326</v>
      </c>
      <c r="E2474" s="630" t="s">
        <v>645</v>
      </c>
      <c r="F2474" s="829">
        <v>10.31</v>
      </c>
      <c r="G2474" s="830">
        <v>1.51</v>
      </c>
      <c r="H2474" s="831">
        <v>11.82</v>
      </c>
      <c r="I2474" s="846"/>
      <c r="J2474" s="846"/>
      <c r="K2474" s="846"/>
      <c r="L2474" s="846"/>
      <c r="M2474" s="846"/>
      <c r="N2474" s="846"/>
      <c r="O2474" s="846"/>
      <c r="P2474" s="846"/>
      <c r="Q2474" s="846"/>
      <c r="R2474" s="846"/>
      <c r="S2474" s="846"/>
      <c r="T2474" s="846"/>
    </row>
    <row r="2475" spans="2:20" ht="25.5" hidden="1">
      <c r="B2475" s="828" t="s">
        <v>6552</v>
      </c>
      <c r="C2475" s="828">
        <v>96549</v>
      </c>
      <c r="D2475" s="630" t="s">
        <v>2327</v>
      </c>
      <c r="E2475" s="630" t="s">
        <v>645</v>
      </c>
      <c r="F2475" s="829">
        <v>11.87</v>
      </c>
      <c r="G2475" s="830">
        <v>1.1000000000000001</v>
      </c>
      <c r="H2475" s="831">
        <v>12.97</v>
      </c>
      <c r="I2475" s="846"/>
      <c r="J2475" s="846"/>
      <c r="K2475" s="846"/>
      <c r="L2475" s="846"/>
      <c r="M2475" s="846"/>
      <c r="N2475" s="846"/>
      <c r="O2475" s="846"/>
      <c r="P2475" s="846"/>
      <c r="Q2475" s="846"/>
      <c r="R2475" s="846"/>
      <c r="S2475" s="846"/>
      <c r="T2475" s="846"/>
    </row>
    <row r="2476" spans="2:20" ht="25.5" hidden="1">
      <c r="B2476" s="828" t="s">
        <v>6552</v>
      </c>
      <c r="C2476" s="828">
        <v>96550</v>
      </c>
      <c r="D2476" s="630" t="s">
        <v>2328</v>
      </c>
      <c r="E2476" s="630" t="s">
        <v>645</v>
      </c>
      <c r="F2476" s="829">
        <v>11.77</v>
      </c>
      <c r="G2476" s="830">
        <v>0.78</v>
      </c>
      <c r="H2476" s="831">
        <v>12.55</v>
      </c>
      <c r="I2476" s="846"/>
      <c r="J2476" s="846"/>
      <c r="K2476" s="846"/>
      <c r="L2476" s="846"/>
      <c r="M2476" s="846"/>
      <c r="N2476" s="846"/>
      <c r="O2476" s="846"/>
      <c r="P2476" s="846"/>
      <c r="Q2476" s="846"/>
      <c r="R2476" s="846"/>
      <c r="S2476" s="846"/>
      <c r="T2476" s="846"/>
    </row>
    <row r="2477" spans="2:20" ht="25.5" hidden="1">
      <c r="B2477" s="828" t="s">
        <v>6552</v>
      </c>
      <c r="C2477" s="828">
        <v>100064</v>
      </c>
      <c r="D2477" s="630" t="s">
        <v>5798</v>
      </c>
      <c r="E2477" s="630" t="s">
        <v>645</v>
      </c>
      <c r="F2477" s="829">
        <v>13.39</v>
      </c>
      <c r="G2477" s="830">
        <v>0.84</v>
      </c>
      <c r="H2477" s="831">
        <v>14.23</v>
      </c>
      <c r="I2477" s="846"/>
      <c r="J2477" s="846"/>
      <c r="K2477" s="846"/>
      <c r="L2477" s="846"/>
      <c r="M2477" s="846"/>
      <c r="N2477" s="846"/>
      <c r="O2477" s="846"/>
      <c r="P2477" s="846"/>
      <c r="Q2477" s="846"/>
      <c r="R2477" s="846"/>
      <c r="S2477" s="846"/>
      <c r="T2477" s="846"/>
    </row>
    <row r="2478" spans="2:20" ht="25.5" hidden="1">
      <c r="B2478" s="828" t="s">
        <v>6552</v>
      </c>
      <c r="C2478" s="828">
        <v>100066</v>
      </c>
      <c r="D2478" s="630" t="s">
        <v>3277</v>
      </c>
      <c r="E2478" s="630" t="s">
        <v>645</v>
      </c>
      <c r="F2478" s="829">
        <v>13.47</v>
      </c>
      <c r="G2478" s="830">
        <v>0.68</v>
      </c>
      <c r="H2478" s="831">
        <v>14.15</v>
      </c>
      <c r="I2478" s="846"/>
      <c r="J2478" s="846"/>
      <c r="K2478" s="846"/>
      <c r="L2478" s="846"/>
      <c r="M2478" s="846"/>
      <c r="N2478" s="846"/>
      <c r="O2478" s="846"/>
      <c r="P2478" s="846"/>
      <c r="Q2478" s="846"/>
      <c r="R2478" s="846"/>
      <c r="S2478" s="846"/>
      <c r="T2478" s="846"/>
    </row>
    <row r="2479" spans="2:20" ht="25.5" hidden="1">
      <c r="B2479" s="828" t="s">
        <v>6552</v>
      </c>
      <c r="C2479" s="828">
        <v>100067</v>
      </c>
      <c r="D2479" s="630" t="s">
        <v>3278</v>
      </c>
      <c r="E2479" s="630" t="s">
        <v>645</v>
      </c>
      <c r="F2479" s="829">
        <v>11.1</v>
      </c>
      <c r="G2479" s="830">
        <v>2.89</v>
      </c>
      <c r="H2479" s="831">
        <v>13.99</v>
      </c>
      <c r="I2479" s="846"/>
      <c r="J2479" s="846"/>
      <c r="K2479" s="846"/>
      <c r="L2479" s="846"/>
      <c r="M2479" s="846"/>
      <c r="N2479" s="846"/>
      <c r="O2479" s="846"/>
      <c r="P2479" s="846"/>
      <c r="Q2479" s="846"/>
      <c r="R2479" s="846"/>
      <c r="S2479" s="846"/>
      <c r="T2479" s="846"/>
    </row>
    <row r="2480" spans="2:20" ht="25.5" hidden="1">
      <c r="B2480" s="828" t="s">
        <v>6552</v>
      </c>
      <c r="C2480" s="828">
        <v>100068</v>
      </c>
      <c r="D2480" s="630" t="s">
        <v>3279</v>
      </c>
      <c r="E2480" s="630" t="s">
        <v>645</v>
      </c>
      <c r="F2480" s="829">
        <v>9.74</v>
      </c>
      <c r="G2480" s="830">
        <v>1</v>
      </c>
      <c r="H2480" s="831">
        <v>10.74</v>
      </c>
      <c r="I2480" s="846"/>
      <c r="J2480" s="846"/>
      <c r="K2480" s="846"/>
      <c r="L2480" s="846"/>
      <c r="M2480" s="846"/>
      <c r="N2480" s="846"/>
      <c r="O2480" s="846"/>
      <c r="P2480" s="846"/>
      <c r="Q2480" s="846"/>
      <c r="R2480" s="846"/>
      <c r="S2480" s="846"/>
      <c r="T2480" s="846"/>
    </row>
    <row r="2481" spans="2:20" ht="25.5" hidden="1">
      <c r="B2481" s="828" t="s">
        <v>6552</v>
      </c>
      <c r="C2481" s="828">
        <v>102920</v>
      </c>
      <c r="D2481" s="630" t="s">
        <v>6361</v>
      </c>
      <c r="E2481" s="630" t="s">
        <v>645</v>
      </c>
      <c r="F2481" s="829">
        <v>8.58</v>
      </c>
      <c r="G2481" s="830">
        <v>1.0900000000000001</v>
      </c>
      <c r="H2481" s="831">
        <v>9.67</v>
      </c>
      <c r="I2481" s="846"/>
      <c r="J2481" s="846"/>
      <c r="K2481" s="846"/>
      <c r="L2481" s="846"/>
      <c r="M2481" s="846"/>
      <c r="N2481" s="846"/>
      <c r="O2481" s="846"/>
      <c r="P2481" s="846"/>
      <c r="Q2481" s="846"/>
      <c r="R2481" s="846"/>
      <c r="S2481" s="846"/>
      <c r="T2481" s="846"/>
    </row>
    <row r="2482" spans="2:20" ht="25.5" hidden="1">
      <c r="B2482" s="828" t="s">
        <v>6552</v>
      </c>
      <c r="C2482" s="828">
        <v>102921</v>
      </c>
      <c r="D2482" s="630" t="s">
        <v>6362</v>
      </c>
      <c r="E2482" s="630" t="s">
        <v>645</v>
      </c>
      <c r="F2482" s="829">
        <v>8.49</v>
      </c>
      <c r="G2482" s="830">
        <v>0.84</v>
      </c>
      <c r="H2482" s="831">
        <v>9.33</v>
      </c>
      <c r="I2482" s="846"/>
      <c r="J2482" s="846"/>
      <c r="K2482" s="846"/>
      <c r="L2482" s="846"/>
      <c r="M2482" s="846"/>
      <c r="N2482" s="846"/>
      <c r="O2482" s="846"/>
      <c r="P2482" s="846"/>
      <c r="Q2482" s="846"/>
      <c r="R2482" s="846"/>
      <c r="S2482" s="846"/>
      <c r="T2482" s="846"/>
    </row>
    <row r="2483" spans="2:20" ht="25.5" hidden="1">
      <c r="B2483" s="828" t="s">
        <v>6552</v>
      </c>
      <c r="C2483" s="828">
        <v>102922</v>
      </c>
      <c r="D2483" s="630" t="s">
        <v>6363</v>
      </c>
      <c r="E2483" s="630" t="s">
        <v>645</v>
      </c>
      <c r="F2483" s="829">
        <v>8.7200000000000006</v>
      </c>
      <c r="G2483" s="830">
        <v>1.58</v>
      </c>
      <c r="H2483" s="831">
        <v>10.3</v>
      </c>
      <c r="I2483" s="846"/>
      <c r="J2483" s="846"/>
      <c r="K2483" s="846"/>
      <c r="L2483" s="846"/>
      <c r="M2483" s="846"/>
      <c r="N2483" s="846"/>
      <c r="O2483" s="846"/>
      <c r="P2483" s="846"/>
      <c r="Q2483" s="846"/>
      <c r="R2483" s="846"/>
      <c r="S2483" s="846"/>
      <c r="T2483" s="846"/>
    </row>
    <row r="2484" spans="2:20" ht="25.5" hidden="1">
      <c r="B2484" s="828" t="s">
        <v>6552</v>
      </c>
      <c r="C2484" s="828">
        <v>102923</v>
      </c>
      <c r="D2484" s="630" t="s">
        <v>6364</v>
      </c>
      <c r="E2484" s="630" t="s">
        <v>645</v>
      </c>
      <c r="F2484" s="829">
        <v>8.44</v>
      </c>
      <c r="G2484" s="830">
        <v>0.66</v>
      </c>
      <c r="H2484" s="831">
        <v>9.1</v>
      </c>
      <c r="I2484" s="846"/>
      <c r="J2484" s="846"/>
      <c r="K2484" s="846"/>
      <c r="L2484" s="846"/>
      <c r="M2484" s="846"/>
      <c r="N2484" s="846"/>
      <c r="O2484" s="846"/>
      <c r="P2484" s="846"/>
      <c r="Q2484" s="846"/>
      <c r="R2484" s="846"/>
      <c r="S2484" s="846"/>
      <c r="T2484" s="846"/>
    </row>
    <row r="2485" spans="2:20" ht="25.5" hidden="1">
      <c r="B2485" s="828" t="s">
        <v>6552</v>
      </c>
      <c r="C2485" s="828">
        <v>103088</v>
      </c>
      <c r="D2485" s="630" t="s">
        <v>6423</v>
      </c>
      <c r="E2485" s="630" t="s">
        <v>645</v>
      </c>
      <c r="F2485" s="829">
        <v>9.0399999999999991</v>
      </c>
      <c r="G2485" s="830">
        <v>2.59</v>
      </c>
      <c r="H2485" s="831">
        <v>11.63</v>
      </c>
      <c r="I2485" s="846"/>
      <c r="J2485" s="846"/>
      <c r="K2485" s="846"/>
      <c r="L2485" s="846"/>
      <c r="M2485" s="846"/>
      <c r="N2485" s="846"/>
      <c r="O2485" s="846"/>
      <c r="P2485" s="846"/>
      <c r="Q2485" s="846"/>
      <c r="R2485" s="846"/>
      <c r="S2485" s="846"/>
      <c r="T2485" s="846"/>
    </row>
    <row r="2486" spans="2:20" ht="38.25" hidden="1">
      <c r="B2486" s="828" t="s">
        <v>6552</v>
      </c>
      <c r="C2486" s="828">
        <v>104104</v>
      </c>
      <c r="D2486" s="630" t="s">
        <v>7812</v>
      </c>
      <c r="E2486" s="630" t="s">
        <v>645</v>
      </c>
      <c r="F2486" s="829">
        <v>12.64</v>
      </c>
      <c r="G2486" s="830">
        <v>0.24</v>
      </c>
      <c r="H2486" s="831">
        <v>12.88</v>
      </c>
      <c r="I2486" s="846"/>
      <c r="J2486" s="846"/>
      <c r="K2486" s="846"/>
      <c r="L2486" s="846"/>
      <c r="M2486" s="846"/>
      <c r="N2486" s="846"/>
      <c r="O2486" s="846"/>
      <c r="P2486" s="846"/>
      <c r="Q2486" s="846"/>
      <c r="R2486" s="846"/>
      <c r="S2486" s="846"/>
      <c r="T2486" s="846"/>
    </row>
    <row r="2487" spans="2:20" ht="25.5" hidden="1">
      <c r="B2487" s="828" t="s">
        <v>6552</v>
      </c>
      <c r="C2487" s="828">
        <v>104105</v>
      </c>
      <c r="D2487" s="630" t="s">
        <v>7813</v>
      </c>
      <c r="E2487" s="630" t="s">
        <v>645</v>
      </c>
      <c r="F2487" s="829">
        <v>12.64</v>
      </c>
      <c r="G2487" s="830">
        <v>0.25</v>
      </c>
      <c r="H2487" s="831">
        <v>12.89</v>
      </c>
      <c r="I2487" s="846"/>
      <c r="J2487" s="846"/>
      <c r="K2487" s="846"/>
      <c r="L2487" s="846"/>
      <c r="M2487" s="846"/>
      <c r="N2487" s="846"/>
      <c r="O2487" s="846"/>
      <c r="P2487" s="846"/>
      <c r="Q2487" s="846"/>
      <c r="R2487" s="846"/>
      <c r="S2487" s="846"/>
      <c r="T2487" s="846"/>
    </row>
    <row r="2488" spans="2:20" ht="38.25" hidden="1">
      <c r="B2488" s="828" t="s">
        <v>6552</v>
      </c>
      <c r="C2488" s="828">
        <v>104106</v>
      </c>
      <c r="D2488" s="630" t="s">
        <v>7814</v>
      </c>
      <c r="E2488" s="630" t="s">
        <v>645</v>
      </c>
      <c r="F2488" s="829">
        <v>10.33</v>
      </c>
      <c r="G2488" s="830">
        <v>1.55</v>
      </c>
      <c r="H2488" s="831">
        <v>11.88</v>
      </c>
      <c r="I2488" s="846"/>
      <c r="J2488" s="846"/>
      <c r="K2488" s="846"/>
      <c r="L2488" s="846"/>
      <c r="M2488" s="846"/>
      <c r="N2488" s="846"/>
      <c r="O2488" s="846"/>
      <c r="P2488" s="846"/>
      <c r="Q2488" s="846"/>
      <c r="R2488" s="846"/>
      <c r="S2488" s="846"/>
      <c r="T2488" s="846"/>
    </row>
    <row r="2489" spans="2:20" ht="38.25" hidden="1">
      <c r="B2489" s="828" t="s">
        <v>6552</v>
      </c>
      <c r="C2489" s="828">
        <v>104107</v>
      </c>
      <c r="D2489" s="630" t="s">
        <v>7815</v>
      </c>
      <c r="E2489" s="630" t="s">
        <v>645</v>
      </c>
      <c r="F2489" s="829">
        <v>10.49</v>
      </c>
      <c r="G2489" s="830">
        <v>2.11</v>
      </c>
      <c r="H2489" s="831">
        <v>12.6</v>
      </c>
      <c r="I2489" s="846"/>
      <c r="J2489" s="846"/>
      <c r="K2489" s="846"/>
      <c r="L2489" s="846"/>
      <c r="M2489" s="846"/>
      <c r="N2489" s="846"/>
      <c r="O2489" s="846"/>
      <c r="P2489" s="846"/>
      <c r="Q2489" s="846"/>
      <c r="R2489" s="846"/>
      <c r="S2489" s="846"/>
      <c r="T2489" s="846"/>
    </row>
    <row r="2490" spans="2:20" ht="38.25" hidden="1">
      <c r="B2490" s="828" t="s">
        <v>6552</v>
      </c>
      <c r="C2490" s="828">
        <v>104108</v>
      </c>
      <c r="D2490" s="630" t="s">
        <v>7816</v>
      </c>
      <c r="E2490" s="630" t="s">
        <v>645</v>
      </c>
      <c r="F2490" s="829">
        <v>12.14</v>
      </c>
      <c r="G2490" s="830">
        <v>2.8</v>
      </c>
      <c r="H2490" s="831">
        <v>14.94</v>
      </c>
      <c r="I2490" s="846"/>
      <c r="J2490" s="846"/>
      <c r="K2490" s="846"/>
      <c r="L2490" s="846"/>
      <c r="M2490" s="846"/>
      <c r="N2490" s="846"/>
      <c r="O2490" s="846"/>
      <c r="P2490" s="846"/>
      <c r="Q2490" s="846"/>
      <c r="R2490" s="846"/>
      <c r="S2490" s="846"/>
      <c r="T2490" s="846"/>
    </row>
    <row r="2491" spans="2:20" ht="38.25" hidden="1">
      <c r="B2491" s="828" t="s">
        <v>6552</v>
      </c>
      <c r="C2491" s="828">
        <v>104109</v>
      </c>
      <c r="D2491" s="630" t="s">
        <v>7817</v>
      </c>
      <c r="E2491" s="630" t="s">
        <v>645</v>
      </c>
      <c r="F2491" s="829">
        <v>13.39</v>
      </c>
      <c r="G2491" s="830">
        <v>4.8</v>
      </c>
      <c r="H2491" s="831">
        <v>18.190000000000001</v>
      </c>
      <c r="I2491" s="846"/>
      <c r="J2491" s="846"/>
      <c r="K2491" s="846"/>
      <c r="L2491" s="846"/>
      <c r="M2491" s="846"/>
      <c r="N2491" s="846"/>
      <c r="O2491" s="846"/>
      <c r="P2491" s="846"/>
      <c r="Q2491" s="846"/>
      <c r="R2491" s="846"/>
      <c r="S2491" s="846"/>
      <c r="T2491" s="846"/>
    </row>
    <row r="2492" spans="2:20" ht="38.25" hidden="1">
      <c r="B2492" s="828" t="s">
        <v>6552</v>
      </c>
      <c r="C2492" s="828">
        <v>104110</v>
      </c>
      <c r="D2492" s="630" t="s">
        <v>7818</v>
      </c>
      <c r="E2492" s="630" t="s">
        <v>645</v>
      </c>
      <c r="F2492" s="829">
        <v>13.59</v>
      </c>
      <c r="G2492" s="830">
        <v>7</v>
      </c>
      <c r="H2492" s="831">
        <v>20.59</v>
      </c>
      <c r="I2492" s="846"/>
      <c r="J2492" s="846"/>
      <c r="K2492" s="846"/>
      <c r="L2492" s="846"/>
      <c r="M2492" s="846"/>
      <c r="N2492" s="846"/>
      <c r="O2492" s="846"/>
      <c r="P2492" s="846"/>
      <c r="Q2492" s="846"/>
      <c r="R2492" s="846"/>
      <c r="S2492" s="846"/>
      <c r="T2492" s="846"/>
    </row>
    <row r="2493" spans="2:20" ht="38.25" hidden="1">
      <c r="B2493" s="828" t="s">
        <v>6552</v>
      </c>
      <c r="C2493" s="828">
        <v>104111</v>
      </c>
      <c r="D2493" s="630" t="s">
        <v>7819</v>
      </c>
      <c r="E2493" s="630" t="s">
        <v>645</v>
      </c>
      <c r="F2493" s="829">
        <v>13.33</v>
      </c>
      <c r="G2493" s="830">
        <v>9.91</v>
      </c>
      <c r="H2493" s="831">
        <v>23.24</v>
      </c>
      <c r="I2493" s="846"/>
      <c r="J2493" s="846"/>
      <c r="K2493" s="846"/>
      <c r="L2493" s="846"/>
      <c r="M2493" s="846"/>
      <c r="N2493" s="846"/>
      <c r="O2493" s="846"/>
      <c r="P2493" s="846"/>
      <c r="Q2493" s="846"/>
      <c r="R2493" s="846"/>
      <c r="S2493" s="846"/>
      <c r="T2493" s="846"/>
    </row>
    <row r="2494" spans="2:20" hidden="1">
      <c r="B2494" s="828" t="s">
        <v>6551</v>
      </c>
      <c r="C2494" s="828">
        <v>89993</v>
      </c>
      <c r="D2494" s="630" t="s">
        <v>5396</v>
      </c>
      <c r="E2494" s="630" t="s">
        <v>644</v>
      </c>
      <c r="F2494" s="829">
        <v>583.19999999999993</v>
      </c>
      <c r="G2494" s="830">
        <v>383.85</v>
      </c>
      <c r="H2494" s="831">
        <v>967.05</v>
      </c>
      <c r="I2494" s="846"/>
      <c r="J2494" s="846"/>
      <c r="K2494" s="846"/>
      <c r="L2494" s="846"/>
      <c r="M2494" s="846"/>
      <c r="N2494" s="846"/>
      <c r="O2494" s="846"/>
      <c r="P2494" s="846"/>
      <c r="Q2494" s="846"/>
      <c r="R2494" s="846"/>
      <c r="S2494" s="846"/>
      <c r="T2494" s="846"/>
    </row>
    <row r="2495" spans="2:20" ht="25.5" hidden="1">
      <c r="B2495" s="828" t="s">
        <v>6551</v>
      </c>
      <c r="C2495" s="828">
        <v>89994</v>
      </c>
      <c r="D2495" s="630" t="s">
        <v>5397</v>
      </c>
      <c r="E2495" s="630" t="s">
        <v>644</v>
      </c>
      <c r="F2495" s="829">
        <v>545.30999999999995</v>
      </c>
      <c r="G2495" s="830">
        <v>260.27</v>
      </c>
      <c r="H2495" s="831">
        <v>805.58</v>
      </c>
      <c r="I2495" s="846"/>
      <c r="J2495" s="846"/>
      <c r="K2495" s="846"/>
      <c r="L2495" s="846"/>
      <c r="M2495" s="846"/>
      <c r="N2495" s="846"/>
      <c r="O2495" s="846"/>
      <c r="P2495" s="846"/>
      <c r="Q2495" s="846"/>
      <c r="R2495" s="846"/>
      <c r="S2495" s="846"/>
      <c r="T2495" s="846"/>
    </row>
    <row r="2496" spans="2:20" ht="25.5" hidden="1">
      <c r="B2496" s="828" t="s">
        <v>6551</v>
      </c>
      <c r="C2496" s="828">
        <v>89995</v>
      </c>
      <c r="D2496" s="630" t="s">
        <v>5398</v>
      </c>
      <c r="E2496" s="630" t="s">
        <v>644</v>
      </c>
      <c r="F2496" s="829">
        <v>573.5</v>
      </c>
      <c r="G2496" s="830">
        <v>352.25</v>
      </c>
      <c r="H2496" s="831">
        <v>925.75</v>
      </c>
      <c r="I2496" s="846"/>
      <c r="J2496" s="846"/>
      <c r="K2496" s="846"/>
      <c r="L2496" s="846"/>
      <c r="M2496" s="846"/>
      <c r="N2496" s="846"/>
      <c r="O2496" s="846"/>
      <c r="P2496" s="846"/>
      <c r="Q2496" s="846"/>
      <c r="R2496" s="846"/>
      <c r="S2496" s="846"/>
      <c r="T2496" s="846"/>
    </row>
    <row r="2497" spans="2:20" ht="38.25" hidden="1">
      <c r="B2497" s="828" t="s">
        <v>6551</v>
      </c>
      <c r="C2497" s="828">
        <v>90278</v>
      </c>
      <c r="D2497" s="630" t="s">
        <v>5422</v>
      </c>
      <c r="E2497" s="630" t="s">
        <v>644</v>
      </c>
      <c r="F2497" s="829">
        <v>366.2</v>
      </c>
      <c r="G2497" s="830">
        <v>65.78</v>
      </c>
      <c r="H2497" s="831">
        <v>431.98</v>
      </c>
      <c r="I2497" s="846"/>
      <c r="J2497" s="846"/>
      <c r="K2497" s="846"/>
      <c r="L2497" s="846"/>
      <c r="M2497" s="846"/>
      <c r="N2497" s="846"/>
      <c r="O2497" s="846"/>
      <c r="P2497" s="846"/>
      <c r="Q2497" s="846"/>
      <c r="R2497" s="846"/>
      <c r="S2497" s="846"/>
      <c r="T2497" s="846"/>
    </row>
    <row r="2498" spans="2:20" ht="38.25" hidden="1">
      <c r="B2498" s="828" t="s">
        <v>6551</v>
      </c>
      <c r="C2498" s="828">
        <v>90279</v>
      </c>
      <c r="D2498" s="630" t="s">
        <v>5423</v>
      </c>
      <c r="E2498" s="630" t="s">
        <v>644</v>
      </c>
      <c r="F2498" s="829">
        <v>409.07000000000005</v>
      </c>
      <c r="G2498" s="830">
        <v>72.040000000000006</v>
      </c>
      <c r="H2498" s="831">
        <v>481.11</v>
      </c>
      <c r="I2498" s="846"/>
      <c r="J2498" s="846"/>
      <c r="K2498" s="846"/>
      <c r="L2498" s="846"/>
      <c r="M2498" s="846"/>
      <c r="N2498" s="846"/>
      <c r="O2498" s="846"/>
      <c r="P2498" s="846"/>
      <c r="Q2498" s="846"/>
      <c r="R2498" s="846"/>
      <c r="S2498" s="846"/>
      <c r="T2498" s="846"/>
    </row>
    <row r="2499" spans="2:20" ht="38.25" hidden="1">
      <c r="B2499" s="828" t="s">
        <v>6551</v>
      </c>
      <c r="C2499" s="828">
        <v>90280</v>
      </c>
      <c r="D2499" s="630" t="s">
        <v>5424</v>
      </c>
      <c r="E2499" s="630" t="s">
        <v>644</v>
      </c>
      <c r="F2499" s="829">
        <v>465.55</v>
      </c>
      <c r="G2499" s="830">
        <v>72.05</v>
      </c>
      <c r="H2499" s="831">
        <v>537.6</v>
      </c>
      <c r="I2499" s="846"/>
      <c r="J2499" s="846"/>
      <c r="K2499" s="846"/>
      <c r="L2499" s="846"/>
      <c r="M2499" s="846"/>
      <c r="N2499" s="846"/>
      <c r="O2499" s="846"/>
      <c r="P2499" s="846"/>
      <c r="Q2499" s="846"/>
      <c r="R2499" s="846"/>
      <c r="S2499" s="846"/>
      <c r="T2499" s="846"/>
    </row>
    <row r="2500" spans="2:20" ht="38.25" hidden="1">
      <c r="B2500" s="828" t="s">
        <v>6551</v>
      </c>
      <c r="C2500" s="828">
        <v>90281</v>
      </c>
      <c r="D2500" s="630" t="s">
        <v>5425</v>
      </c>
      <c r="E2500" s="630" t="s">
        <v>644</v>
      </c>
      <c r="F2500" s="829">
        <v>558.4</v>
      </c>
      <c r="G2500" s="830">
        <v>70.239999999999995</v>
      </c>
      <c r="H2500" s="831">
        <v>628.64</v>
      </c>
      <c r="I2500" s="846"/>
      <c r="J2500" s="846"/>
      <c r="K2500" s="846"/>
      <c r="L2500" s="846"/>
      <c r="M2500" s="846"/>
      <c r="N2500" s="846"/>
      <c r="O2500" s="846"/>
      <c r="P2500" s="846"/>
      <c r="Q2500" s="846"/>
      <c r="R2500" s="846"/>
      <c r="S2500" s="846"/>
      <c r="T2500" s="846"/>
    </row>
    <row r="2501" spans="2:20" ht="38.25" hidden="1">
      <c r="B2501" s="828" t="s">
        <v>6551</v>
      </c>
      <c r="C2501" s="828">
        <v>90282</v>
      </c>
      <c r="D2501" s="630" t="s">
        <v>5426</v>
      </c>
      <c r="E2501" s="630" t="s">
        <v>644</v>
      </c>
      <c r="F2501" s="829">
        <v>362.16999999999996</v>
      </c>
      <c r="G2501" s="830">
        <v>63.57</v>
      </c>
      <c r="H2501" s="831">
        <v>425.74</v>
      </c>
      <c r="I2501" s="846"/>
      <c r="J2501" s="846"/>
      <c r="K2501" s="846"/>
      <c r="L2501" s="846"/>
      <c r="M2501" s="846"/>
      <c r="N2501" s="846"/>
      <c r="O2501" s="846"/>
      <c r="P2501" s="846"/>
      <c r="Q2501" s="846"/>
      <c r="R2501" s="846"/>
      <c r="S2501" s="846"/>
      <c r="T2501" s="846"/>
    </row>
    <row r="2502" spans="2:20" ht="38.25" hidden="1">
      <c r="B2502" s="828" t="s">
        <v>6551</v>
      </c>
      <c r="C2502" s="828">
        <v>90283</v>
      </c>
      <c r="D2502" s="630" t="s">
        <v>5427</v>
      </c>
      <c r="E2502" s="630" t="s">
        <v>644</v>
      </c>
      <c r="F2502" s="829">
        <v>406.13</v>
      </c>
      <c r="G2502" s="830">
        <v>69.489999999999995</v>
      </c>
      <c r="H2502" s="831">
        <v>475.62</v>
      </c>
      <c r="I2502" s="846"/>
      <c r="J2502" s="846"/>
      <c r="K2502" s="846"/>
      <c r="L2502" s="846"/>
      <c r="M2502" s="846"/>
      <c r="N2502" s="846"/>
      <c r="O2502" s="846"/>
      <c r="P2502" s="846"/>
      <c r="Q2502" s="846"/>
      <c r="R2502" s="846"/>
      <c r="S2502" s="846"/>
      <c r="T2502" s="846"/>
    </row>
    <row r="2503" spans="2:20" ht="38.25" hidden="1">
      <c r="B2503" s="828" t="s">
        <v>6551</v>
      </c>
      <c r="C2503" s="828">
        <v>90284</v>
      </c>
      <c r="D2503" s="630" t="s">
        <v>5428</v>
      </c>
      <c r="E2503" s="630" t="s">
        <v>644</v>
      </c>
      <c r="F2503" s="829">
        <v>465.64000000000004</v>
      </c>
      <c r="G2503" s="830">
        <v>69.489999999999995</v>
      </c>
      <c r="H2503" s="831">
        <v>535.13</v>
      </c>
      <c r="I2503" s="846"/>
      <c r="J2503" s="846"/>
      <c r="K2503" s="846"/>
      <c r="L2503" s="846"/>
      <c r="M2503" s="846"/>
      <c r="N2503" s="846"/>
      <c r="O2503" s="846"/>
      <c r="P2503" s="846"/>
      <c r="Q2503" s="846"/>
      <c r="R2503" s="846"/>
      <c r="S2503" s="846"/>
      <c r="T2503" s="846"/>
    </row>
    <row r="2504" spans="2:20" ht="38.25" hidden="1">
      <c r="B2504" s="828" t="s">
        <v>6551</v>
      </c>
      <c r="C2504" s="828">
        <v>90285</v>
      </c>
      <c r="D2504" s="630" t="s">
        <v>5429</v>
      </c>
      <c r="E2504" s="630" t="s">
        <v>644</v>
      </c>
      <c r="F2504" s="829">
        <v>564.68000000000006</v>
      </c>
      <c r="G2504" s="830">
        <v>68.42</v>
      </c>
      <c r="H2504" s="831">
        <v>633.1</v>
      </c>
      <c r="I2504" s="846"/>
      <c r="J2504" s="846"/>
      <c r="K2504" s="846"/>
      <c r="L2504" s="846"/>
      <c r="M2504" s="846"/>
      <c r="N2504" s="846"/>
      <c r="O2504" s="846"/>
      <c r="P2504" s="846"/>
      <c r="Q2504" s="846"/>
      <c r="R2504" s="846"/>
      <c r="S2504" s="846"/>
      <c r="T2504" s="846"/>
    </row>
    <row r="2505" spans="2:20" ht="38.25" hidden="1">
      <c r="B2505" s="828" t="s">
        <v>6551</v>
      </c>
      <c r="C2505" s="828">
        <v>94962</v>
      </c>
      <c r="D2505" s="630" t="s">
        <v>5525</v>
      </c>
      <c r="E2505" s="630" t="s">
        <v>644</v>
      </c>
      <c r="F2505" s="829">
        <v>266.82000000000005</v>
      </c>
      <c r="G2505" s="830">
        <v>66.3</v>
      </c>
      <c r="H2505" s="831">
        <v>333.12</v>
      </c>
      <c r="I2505" s="846"/>
      <c r="J2505" s="846"/>
      <c r="K2505" s="846"/>
      <c r="L2505" s="846"/>
      <c r="M2505" s="846"/>
      <c r="N2505" s="846"/>
      <c r="O2505" s="846"/>
      <c r="P2505" s="846"/>
      <c r="Q2505" s="846"/>
      <c r="R2505" s="846"/>
      <c r="S2505" s="846"/>
      <c r="T2505" s="846"/>
    </row>
    <row r="2506" spans="2:20" ht="38.25" hidden="1">
      <c r="B2506" s="828" t="s">
        <v>6551</v>
      </c>
      <c r="C2506" s="828">
        <v>94963</v>
      </c>
      <c r="D2506" s="630" t="s">
        <v>5526</v>
      </c>
      <c r="E2506" s="630" t="s">
        <v>644</v>
      </c>
      <c r="F2506" s="829">
        <v>305.79000000000002</v>
      </c>
      <c r="G2506" s="830">
        <v>65.819999999999993</v>
      </c>
      <c r="H2506" s="831">
        <v>371.61</v>
      </c>
      <c r="I2506" s="846"/>
      <c r="J2506" s="846"/>
      <c r="K2506" s="846"/>
      <c r="L2506" s="846"/>
      <c r="M2506" s="846"/>
      <c r="N2506" s="846"/>
      <c r="O2506" s="846"/>
      <c r="P2506" s="846"/>
      <c r="Q2506" s="846"/>
      <c r="R2506" s="846"/>
      <c r="S2506" s="846"/>
      <c r="T2506" s="846"/>
    </row>
    <row r="2507" spans="2:20" ht="38.25" hidden="1">
      <c r="B2507" s="828" t="s">
        <v>6551</v>
      </c>
      <c r="C2507" s="828">
        <v>94964</v>
      </c>
      <c r="D2507" s="630" t="s">
        <v>5527</v>
      </c>
      <c r="E2507" s="630" t="s">
        <v>644</v>
      </c>
      <c r="F2507" s="829">
        <v>337.93</v>
      </c>
      <c r="G2507" s="830">
        <v>71.73</v>
      </c>
      <c r="H2507" s="831">
        <v>409.66</v>
      </c>
      <c r="I2507" s="846"/>
      <c r="J2507" s="846"/>
      <c r="K2507" s="846"/>
      <c r="L2507" s="846"/>
      <c r="M2507" s="846"/>
      <c r="N2507" s="846"/>
      <c r="O2507" s="846"/>
      <c r="P2507" s="846"/>
      <c r="Q2507" s="846"/>
      <c r="R2507" s="846"/>
      <c r="S2507" s="846"/>
      <c r="T2507" s="846"/>
    </row>
    <row r="2508" spans="2:20" ht="38.25">
      <c r="B2508" s="828" t="s">
        <v>6551</v>
      </c>
      <c r="C2508" s="828">
        <v>94965</v>
      </c>
      <c r="D2508" s="630" t="s">
        <v>5528</v>
      </c>
      <c r="E2508" s="630" t="s">
        <v>644</v>
      </c>
      <c r="F2508" s="829">
        <v>359.8</v>
      </c>
      <c r="G2508" s="830">
        <v>65.45</v>
      </c>
      <c r="H2508" s="831">
        <v>425.25</v>
      </c>
      <c r="I2508" s="846"/>
      <c r="J2508" s="846"/>
      <c r="K2508" s="846"/>
      <c r="L2508" s="846"/>
      <c r="M2508" s="846"/>
      <c r="N2508" s="846"/>
      <c r="O2508" s="846"/>
      <c r="P2508" s="846"/>
      <c r="Q2508" s="846"/>
      <c r="R2508" s="846"/>
      <c r="S2508" s="846"/>
      <c r="T2508" s="846"/>
    </row>
    <row r="2509" spans="2:20" ht="38.25" hidden="1">
      <c r="B2509" s="828" t="s">
        <v>6551</v>
      </c>
      <c r="C2509" s="828">
        <v>94966</v>
      </c>
      <c r="D2509" s="630" t="s">
        <v>5529</v>
      </c>
      <c r="E2509" s="630" t="s">
        <v>644</v>
      </c>
      <c r="F2509" s="829">
        <v>375.71999999999997</v>
      </c>
      <c r="G2509" s="830">
        <v>64.900000000000006</v>
      </c>
      <c r="H2509" s="831">
        <v>440.62</v>
      </c>
      <c r="I2509" s="846"/>
      <c r="J2509" s="846"/>
      <c r="K2509" s="846"/>
      <c r="L2509" s="846"/>
      <c r="M2509" s="846"/>
      <c r="N2509" s="846"/>
      <c r="O2509" s="846"/>
      <c r="P2509" s="846"/>
      <c r="Q2509" s="846"/>
      <c r="R2509" s="846"/>
      <c r="S2509" s="846"/>
      <c r="T2509" s="846"/>
    </row>
    <row r="2510" spans="2:20" ht="38.25" hidden="1">
      <c r="B2510" s="828" t="s">
        <v>6551</v>
      </c>
      <c r="C2510" s="828">
        <v>94967</v>
      </c>
      <c r="D2510" s="630" t="s">
        <v>5530</v>
      </c>
      <c r="E2510" s="630" t="s">
        <v>644</v>
      </c>
      <c r="F2510" s="829">
        <v>438.63</v>
      </c>
      <c r="G2510" s="830">
        <v>68.98</v>
      </c>
      <c r="H2510" s="831">
        <v>507.61</v>
      </c>
      <c r="I2510" s="846"/>
      <c r="J2510" s="846"/>
      <c r="K2510" s="846"/>
      <c r="L2510" s="846"/>
      <c r="M2510" s="846"/>
      <c r="N2510" s="846"/>
      <c r="O2510" s="846"/>
      <c r="P2510" s="846"/>
      <c r="Q2510" s="846"/>
      <c r="R2510" s="846"/>
      <c r="S2510" s="846"/>
      <c r="T2510" s="846"/>
    </row>
    <row r="2511" spans="2:20" ht="38.25" hidden="1">
      <c r="B2511" s="828" t="s">
        <v>6551</v>
      </c>
      <c r="C2511" s="828">
        <v>94968</v>
      </c>
      <c r="D2511" s="630" t="s">
        <v>5531</v>
      </c>
      <c r="E2511" s="630" t="s">
        <v>644</v>
      </c>
      <c r="F2511" s="829">
        <v>268.76</v>
      </c>
      <c r="G2511" s="830">
        <v>59.58</v>
      </c>
      <c r="H2511" s="831">
        <v>328.34</v>
      </c>
      <c r="I2511" s="846"/>
      <c r="J2511" s="846"/>
      <c r="K2511" s="846"/>
      <c r="L2511" s="846"/>
      <c r="M2511" s="846"/>
      <c r="N2511" s="846"/>
      <c r="O2511" s="846"/>
      <c r="P2511" s="846"/>
      <c r="Q2511" s="846"/>
      <c r="R2511" s="846"/>
      <c r="S2511" s="846"/>
      <c r="T2511" s="846"/>
    </row>
    <row r="2512" spans="2:20" ht="38.25" hidden="1">
      <c r="B2512" s="828" t="s">
        <v>6551</v>
      </c>
      <c r="C2512" s="828">
        <v>94969</v>
      </c>
      <c r="D2512" s="630" t="s">
        <v>5532</v>
      </c>
      <c r="E2512" s="630" t="s">
        <v>644</v>
      </c>
      <c r="F2512" s="829">
        <v>306.33999999999997</v>
      </c>
      <c r="G2512" s="830">
        <v>57.36</v>
      </c>
      <c r="H2512" s="831">
        <v>363.7</v>
      </c>
      <c r="I2512" s="846"/>
      <c r="J2512" s="846"/>
      <c r="K2512" s="846"/>
      <c r="L2512" s="846"/>
      <c r="M2512" s="846"/>
      <c r="N2512" s="846"/>
      <c r="O2512" s="846"/>
      <c r="P2512" s="846"/>
      <c r="Q2512" s="846"/>
      <c r="R2512" s="846"/>
      <c r="S2512" s="846"/>
      <c r="T2512" s="846"/>
    </row>
    <row r="2513" spans="2:20" ht="38.25" hidden="1">
      <c r="B2513" s="828" t="s">
        <v>6551</v>
      </c>
      <c r="C2513" s="828">
        <v>94970</v>
      </c>
      <c r="D2513" s="630" t="s">
        <v>5533</v>
      </c>
      <c r="E2513" s="630" t="s">
        <v>644</v>
      </c>
      <c r="F2513" s="829">
        <v>337.25</v>
      </c>
      <c r="G2513" s="830">
        <v>57.27</v>
      </c>
      <c r="H2513" s="831">
        <v>394.52</v>
      </c>
      <c r="I2513" s="846"/>
      <c r="J2513" s="846"/>
      <c r="K2513" s="846"/>
      <c r="L2513" s="846"/>
      <c r="M2513" s="846"/>
      <c r="N2513" s="846"/>
      <c r="O2513" s="846"/>
      <c r="P2513" s="846"/>
      <c r="Q2513" s="846"/>
      <c r="R2513" s="846"/>
      <c r="S2513" s="846"/>
      <c r="T2513" s="846"/>
    </row>
    <row r="2514" spans="2:20" ht="38.25">
      <c r="B2514" s="828" t="s">
        <v>6551</v>
      </c>
      <c r="C2514" s="828">
        <v>94971</v>
      </c>
      <c r="D2514" s="630" t="s">
        <v>5534</v>
      </c>
      <c r="E2514" s="630" t="s">
        <v>644</v>
      </c>
      <c r="F2514" s="829">
        <v>361</v>
      </c>
      <c r="G2514" s="830">
        <v>55.96</v>
      </c>
      <c r="H2514" s="831">
        <v>416.96</v>
      </c>
      <c r="I2514" s="846"/>
      <c r="J2514" s="846"/>
      <c r="K2514" s="846"/>
      <c r="L2514" s="846"/>
      <c r="M2514" s="846"/>
      <c r="N2514" s="846"/>
      <c r="O2514" s="846"/>
      <c r="P2514" s="846"/>
      <c r="Q2514" s="846"/>
      <c r="R2514" s="846"/>
      <c r="S2514" s="846"/>
      <c r="T2514" s="846"/>
    </row>
    <row r="2515" spans="2:20" ht="38.25" hidden="1">
      <c r="B2515" s="828" t="s">
        <v>6551</v>
      </c>
      <c r="C2515" s="828">
        <v>94972</v>
      </c>
      <c r="D2515" s="630" t="s">
        <v>5535</v>
      </c>
      <c r="E2515" s="630" t="s">
        <v>644</v>
      </c>
      <c r="F2515" s="829">
        <v>376.84</v>
      </c>
      <c r="G2515" s="830">
        <v>55.52</v>
      </c>
      <c r="H2515" s="831">
        <v>432.36</v>
      </c>
      <c r="I2515" s="846"/>
      <c r="J2515" s="846"/>
      <c r="K2515" s="846"/>
      <c r="L2515" s="846"/>
      <c r="M2515" s="846"/>
      <c r="N2515" s="846"/>
      <c r="O2515" s="846"/>
      <c r="P2515" s="846"/>
      <c r="Q2515" s="846"/>
      <c r="R2515" s="846"/>
      <c r="S2515" s="846"/>
      <c r="T2515" s="846"/>
    </row>
    <row r="2516" spans="2:20" ht="38.25" hidden="1">
      <c r="B2516" s="828" t="s">
        <v>6551</v>
      </c>
      <c r="C2516" s="828">
        <v>94973</v>
      </c>
      <c r="D2516" s="630" t="s">
        <v>5536</v>
      </c>
      <c r="E2516" s="630" t="s">
        <v>644</v>
      </c>
      <c r="F2516" s="829">
        <v>439.86</v>
      </c>
      <c r="G2516" s="830">
        <v>57.29</v>
      </c>
      <c r="H2516" s="831">
        <v>497.15</v>
      </c>
      <c r="I2516" s="846"/>
      <c r="J2516" s="846"/>
      <c r="K2516" s="846"/>
      <c r="L2516" s="846"/>
      <c r="M2516" s="846"/>
      <c r="N2516" s="846"/>
      <c r="O2516" s="846"/>
      <c r="P2516" s="846"/>
      <c r="Q2516" s="846"/>
      <c r="R2516" s="846"/>
      <c r="S2516" s="846"/>
      <c r="T2516" s="846"/>
    </row>
    <row r="2517" spans="2:20" ht="25.5" hidden="1">
      <c r="B2517" s="828" t="s">
        <v>6551</v>
      </c>
      <c r="C2517" s="828">
        <v>94974</v>
      </c>
      <c r="D2517" s="630" t="s">
        <v>5537</v>
      </c>
      <c r="E2517" s="630" t="s">
        <v>644</v>
      </c>
      <c r="F2517" s="829">
        <v>290.62</v>
      </c>
      <c r="G2517" s="830">
        <v>108.05</v>
      </c>
      <c r="H2517" s="831">
        <v>398.67</v>
      </c>
      <c r="I2517" s="846"/>
      <c r="J2517" s="846"/>
      <c r="K2517" s="846"/>
      <c r="L2517" s="846"/>
      <c r="M2517" s="846"/>
      <c r="N2517" s="846"/>
      <c r="O2517" s="846"/>
      <c r="P2517" s="846"/>
      <c r="Q2517" s="846"/>
      <c r="R2517" s="846"/>
      <c r="S2517" s="846"/>
      <c r="T2517" s="846"/>
    </row>
    <row r="2518" spans="2:20" ht="25.5" hidden="1">
      <c r="B2518" s="828" t="s">
        <v>6551</v>
      </c>
      <c r="C2518" s="828">
        <v>94975</v>
      </c>
      <c r="D2518" s="630" t="s">
        <v>5538</v>
      </c>
      <c r="E2518" s="630" t="s">
        <v>644</v>
      </c>
      <c r="F2518" s="829">
        <v>326.27999999999997</v>
      </c>
      <c r="G2518" s="830">
        <v>106.69</v>
      </c>
      <c r="H2518" s="831">
        <v>432.97</v>
      </c>
      <c r="I2518" s="846"/>
      <c r="J2518" s="846"/>
      <c r="K2518" s="846"/>
      <c r="L2518" s="846"/>
      <c r="M2518" s="846"/>
      <c r="N2518" s="846"/>
      <c r="O2518" s="846"/>
      <c r="P2518" s="846"/>
      <c r="Q2518" s="846"/>
      <c r="R2518" s="846"/>
      <c r="S2518" s="846"/>
      <c r="T2518" s="846"/>
    </row>
    <row r="2519" spans="2:20" ht="38.25" hidden="1">
      <c r="B2519" s="828" t="s">
        <v>6551</v>
      </c>
      <c r="C2519" s="828">
        <v>96555</v>
      </c>
      <c r="D2519" s="630" t="s">
        <v>2329</v>
      </c>
      <c r="E2519" s="630" t="s">
        <v>644</v>
      </c>
      <c r="F2519" s="829">
        <v>466.08000000000004</v>
      </c>
      <c r="G2519" s="830">
        <v>164.09</v>
      </c>
      <c r="H2519" s="831">
        <v>630.16999999999996</v>
      </c>
      <c r="I2519" s="846"/>
      <c r="J2519" s="846"/>
      <c r="K2519" s="846"/>
      <c r="L2519" s="846"/>
      <c r="M2519" s="846"/>
      <c r="N2519" s="846"/>
      <c r="O2519" s="846"/>
      <c r="P2519" s="846"/>
      <c r="Q2519" s="846"/>
      <c r="R2519" s="846"/>
      <c r="S2519" s="846"/>
      <c r="T2519" s="846"/>
    </row>
    <row r="2520" spans="2:20" ht="25.5" hidden="1">
      <c r="B2520" s="828" t="s">
        <v>6551</v>
      </c>
      <c r="C2520" s="828">
        <v>96556</v>
      </c>
      <c r="D2520" s="630" t="s">
        <v>2330</v>
      </c>
      <c r="E2520" s="630" t="s">
        <v>644</v>
      </c>
      <c r="F2520" s="829">
        <v>488.64000000000004</v>
      </c>
      <c r="G2520" s="830">
        <v>240</v>
      </c>
      <c r="H2520" s="831">
        <v>728.64</v>
      </c>
      <c r="I2520" s="846"/>
      <c r="J2520" s="846"/>
      <c r="K2520" s="846"/>
      <c r="L2520" s="846"/>
      <c r="M2520" s="846"/>
      <c r="N2520" s="846"/>
      <c r="O2520" s="846"/>
      <c r="P2520" s="846"/>
      <c r="Q2520" s="846"/>
      <c r="R2520" s="846"/>
      <c r="S2520" s="846"/>
      <c r="T2520" s="846"/>
    </row>
    <row r="2521" spans="2:20" ht="38.25" hidden="1">
      <c r="B2521" s="828" t="s">
        <v>6551</v>
      </c>
      <c r="C2521" s="828">
        <v>96557</v>
      </c>
      <c r="D2521" s="630" t="s">
        <v>2331</v>
      </c>
      <c r="E2521" s="630" t="s">
        <v>644</v>
      </c>
      <c r="F2521" s="829">
        <v>514.46</v>
      </c>
      <c r="G2521" s="830">
        <v>18.170000000000002</v>
      </c>
      <c r="H2521" s="831">
        <v>532.63</v>
      </c>
      <c r="I2521" s="846"/>
      <c r="J2521" s="846"/>
      <c r="K2521" s="846"/>
      <c r="L2521" s="846"/>
      <c r="M2521" s="846"/>
      <c r="N2521" s="846"/>
      <c r="O2521" s="846"/>
      <c r="P2521" s="846"/>
      <c r="Q2521" s="846"/>
      <c r="R2521" s="846"/>
      <c r="S2521" s="846"/>
      <c r="T2521" s="846"/>
    </row>
    <row r="2522" spans="2:20" ht="25.5" hidden="1">
      <c r="B2522" s="828" t="s">
        <v>6551</v>
      </c>
      <c r="C2522" s="828">
        <v>96558</v>
      </c>
      <c r="D2522" s="630" t="s">
        <v>2332</v>
      </c>
      <c r="E2522" s="630" t="s">
        <v>644</v>
      </c>
      <c r="F2522" s="829">
        <v>516.66</v>
      </c>
      <c r="G2522" s="830">
        <v>24.71</v>
      </c>
      <c r="H2522" s="831">
        <v>541.37</v>
      </c>
      <c r="I2522" s="846"/>
      <c r="J2522" s="846"/>
      <c r="K2522" s="846"/>
      <c r="L2522" s="846"/>
      <c r="M2522" s="846"/>
      <c r="N2522" s="846"/>
      <c r="O2522" s="846"/>
      <c r="P2522" s="846"/>
      <c r="Q2522" s="846"/>
      <c r="R2522" s="846"/>
      <c r="S2522" s="846"/>
      <c r="T2522" s="846"/>
    </row>
    <row r="2523" spans="2:20" ht="38.25" hidden="1">
      <c r="B2523" s="828" t="s">
        <v>6551</v>
      </c>
      <c r="C2523" s="828">
        <v>99235</v>
      </c>
      <c r="D2523" s="630" t="s">
        <v>5710</v>
      </c>
      <c r="E2523" s="630" t="s">
        <v>644</v>
      </c>
      <c r="F2523" s="829">
        <v>500.72</v>
      </c>
      <c r="G2523" s="830">
        <v>14.24</v>
      </c>
      <c r="H2523" s="831">
        <v>514.96</v>
      </c>
      <c r="I2523" s="846"/>
      <c r="J2523" s="846"/>
      <c r="K2523" s="846"/>
      <c r="L2523" s="846"/>
      <c r="M2523" s="846"/>
      <c r="N2523" s="846"/>
      <c r="O2523" s="846"/>
      <c r="P2523" s="846"/>
      <c r="Q2523" s="846"/>
      <c r="R2523" s="846"/>
      <c r="S2523" s="846"/>
      <c r="T2523" s="846"/>
    </row>
    <row r="2524" spans="2:20" ht="51" hidden="1">
      <c r="B2524" s="828" t="s">
        <v>6551</v>
      </c>
      <c r="C2524" s="828">
        <v>99431</v>
      </c>
      <c r="D2524" s="630" t="s">
        <v>5758</v>
      </c>
      <c r="E2524" s="630" t="s">
        <v>644</v>
      </c>
      <c r="F2524" s="829">
        <v>512.77</v>
      </c>
      <c r="G2524" s="830">
        <v>24.04</v>
      </c>
      <c r="H2524" s="831">
        <v>536.80999999999995</v>
      </c>
      <c r="I2524" s="846"/>
      <c r="J2524" s="846"/>
      <c r="K2524" s="846"/>
      <c r="L2524" s="846"/>
      <c r="M2524" s="846"/>
      <c r="N2524" s="846"/>
      <c r="O2524" s="846"/>
      <c r="P2524" s="846"/>
      <c r="Q2524" s="846"/>
      <c r="R2524" s="846"/>
      <c r="S2524" s="846"/>
      <c r="T2524" s="846"/>
    </row>
    <row r="2525" spans="2:20" ht="51" hidden="1">
      <c r="B2525" s="828" t="s">
        <v>6551</v>
      </c>
      <c r="C2525" s="828">
        <v>99432</v>
      </c>
      <c r="D2525" s="630" t="s">
        <v>5759</v>
      </c>
      <c r="E2525" s="630" t="s">
        <v>644</v>
      </c>
      <c r="F2525" s="829">
        <v>498.55</v>
      </c>
      <c r="G2525" s="830">
        <v>22.29</v>
      </c>
      <c r="H2525" s="831">
        <v>520.84</v>
      </c>
      <c r="I2525" s="846"/>
      <c r="J2525" s="846"/>
      <c r="K2525" s="846"/>
      <c r="L2525" s="846"/>
      <c r="M2525" s="846"/>
      <c r="N2525" s="846"/>
      <c r="O2525" s="846"/>
      <c r="P2525" s="846"/>
      <c r="Q2525" s="846"/>
      <c r="R2525" s="846"/>
      <c r="S2525" s="846"/>
      <c r="T2525" s="846"/>
    </row>
    <row r="2526" spans="2:20" ht="51" hidden="1">
      <c r="B2526" s="828" t="s">
        <v>6551</v>
      </c>
      <c r="C2526" s="828">
        <v>99433</v>
      </c>
      <c r="D2526" s="630" t="s">
        <v>5760</v>
      </c>
      <c r="E2526" s="630" t="s">
        <v>644</v>
      </c>
      <c r="F2526" s="829">
        <v>534.41999999999996</v>
      </c>
      <c r="G2526" s="830">
        <v>34.89</v>
      </c>
      <c r="H2526" s="831">
        <v>569.30999999999995</v>
      </c>
      <c r="I2526" s="846"/>
      <c r="J2526" s="846"/>
      <c r="K2526" s="846"/>
      <c r="L2526" s="846"/>
      <c r="M2526" s="846"/>
      <c r="N2526" s="846"/>
      <c r="O2526" s="846"/>
      <c r="P2526" s="846"/>
      <c r="Q2526" s="846"/>
      <c r="R2526" s="846"/>
      <c r="S2526" s="846"/>
      <c r="T2526" s="846"/>
    </row>
    <row r="2527" spans="2:20" ht="51" hidden="1">
      <c r="B2527" s="828" t="s">
        <v>6551</v>
      </c>
      <c r="C2527" s="828">
        <v>99434</v>
      </c>
      <c r="D2527" s="630" t="s">
        <v>5761</v>
      </c>
      <c r="E2527" s="630" t="s">
        <v>644</v>
      </c>
      <c r="F2527" s="829">
        <v>513.9</v>
      </c>
      <c r="G2527" s="830">
        <v>27.63</v>
      </c>
      <c r="H2527" s="831">
        <v>541.53</v>
      </c>
      <c r="I2527" s="846"/>
      <c r="J2527" s="846"/>
      <c r="K2527" s="846"/>
      <c r="L2527" s="846"/>
      <c r="M2527" s="846"/>
      <c r="N2527" s="846"/>
      <c r="O2527" s="846"/>
      <c r="P2527" s="846"/>
      <c r="Q2527" s="846"/>
      <c r="R2527" s="846"/>
      <c r="S2527" s="846"/>
      <c r="T2527" s="846"/>
    </row>
    <row r="2528" spans="2:20" ht="51" hidden="1">
      <c r="B2528" s="828" t="s">
        <v>6551</v>
      </c>
      <c r="C2528" s="828">
        <v>99435</v>
      </c>
      <c r="D2528" s="630" t="s">
        <v>5762</v>
      </c>
      <c r="E2528" s="630" t="s">
        <v>644</v>
      </c>
      <c r="F2528" s="829">
        <v>499.32</v>
      </c>
      <c r="G2528" s="830">
        <v>24.75</v>
      </c>
      <c r="H2528" s="831">
        <v>524.07000000000005</v>
      </c>
      <c r="I2528" s="846"/>
      <c r="J2528" s="846"/>
      <c r="K2528" s="846"/>
      <c r="L2528" s="846"/>
      <c r="M2528" s="846"/>
      <c r="N2528" s="846"/>
      <c r="O2528" s="846"/>
      <c r="P2528" s="846"/>
      <c r="Q2528" s="846"/>
      <c r="R2528" s="846"/>
      <c r="S2528" s="846"/>
      <c r="T2528" s="846"/>
    </row>
    <row r="2529" spans="2:20" ht="51" hidden="1">
      <c r="B2529" s="828" t="s">
        <v>6551</v>
      </c>
      <c r="C2529" s="828">
        <v>99436</v>
      </c>
      <c r="D2529" s="630" t="s">
        <v>5763</v>
      </c>
      <c r="E2529" s="630" t="s">
        <v>644</v>
      </c>
      <c r="F2529" s="829">
        <v>540.36999999999989</v>
      </c>
      <c r="G2529" s="830">
        <v>53.57</v>
      </c>
      <c r="H2529" s="831">
        <v>593.94000000000005</v>
      </c>
      <c r="I2529" s="846"/>
      <c r="J2529" s="846"/>
      <c r="K2529" s="846"/>
      <c r="L2529" s="846"/>
      <c r="M2529" s="846"/>
      <c r="N2529" s="846"/>
      <c r="O2529" s="846"/>
      <c r="P2529" s="846"/>
      <c r="Q2529" s="846"/>
      <c r="R2529" s="846"/>
      <c r="S2529" s="846"/>
      <c r="T2529" s="846"/>
    </row>
    <row r="2530" spans="2:20" ht="38.25" hidden="1">
      <c r="B2530" s="828" t="s">
        <v>6551</v>
      </c>
      <c r="C2530" s="828">
        <v>99437</v>
      </c>
      <c r="D2530" s="630" t="s">
        <v>5764</v>
      </c>
      <c r="E2530" s="630" t="s">
        <v>644</v>
      </c>
      <c r="F2530" s="829">
        <v>529.24</v>
      </c>
      <c r="G2530" s="830">
        <v>18.05</v>
      </c>
      <c r="H2530" s="831">
        <v>547.29</v>
      </c>
      <c r="I2530" s="846"/>
      <c r="J2530" s="846"/>
      <c r="K2530" s="846"/>
      <c r="L2530" s="846"/>
      <c r="M2530" s="846"/>
      <c r="N2530" s="846"/>
      <c r="O2530" s="846"/>
      <c r="P2530" s="846"/>
      <c r="Q2530" s="846"/>
      <c r="R2530" s="846"/>
      <c r="S2530" s="846"/>
      <c r="T2530" s="846"/>
    </row>
    <row r="2531" spans="2:20" ht="38.25" hidden="1">
      <c r="B2531" s="828" t="s">
        <v>6551</v>
      </c>
      <c r="C2531" s="828">
        <v>99438</v>
      </c>
      <c r="D2531" s="630" t="s">
        <v>5765</v>
      </c>
      <c r="E2531" s="630" t="s">
        <v>644</v>
      </c>
      <c r="F2531" s="829">
        <v>530.86</v>
      </c>
      <c r="G2531" s="830">
        <v>23.2</v>
      </c>
      <c r="H2531" s="831">
        <v>554.05999999999995</v>
      </c>
      <c r="I2531" s="846"/>
      <c r="J2531" s="846"/>
      <c r="K2531" s="846"/>
      <c r="L2531" s="846"/>
      <c r="M2531" s="846"/>
      <c r="N2531" s="846"/>
      <c r="O2531" s="846"/>
      <c r="P2531" s="846"/>
      <c r="Q2531" s="846"/>
      <c r="R2531" s="846"/>
      <c r="S2531" s="846"/>
      <c r="T2531" s="846"/>
    </row>
    <row r="2532" spans="2:20" ht="51" hidden="1">
      <c r="B2532" s="828" t="s">
        <v>6551</v>
      </c>
      <c r="C2532" s="828">
        <v>99439</v>
      </c>
      <c r="D2532" s="630" t="s">
        <v>5766</v>
      </c>
      <c r="E2532" s="630" t="s">
        <v>644</v>
      </c>
      <c r="F2532" s="829">
        <v>503.98999999999995</v>
      </c>
      <c r="G2532" s="830">
        <v>25.06</v>
      </c>
      <c r="H2532" s="831">
        <v>529.04999999999995</v>
      </c>
      <c r="I2532" s="846"/>
      <c r="J2532" s="846"/>
      <c r="K2532" s="846"/>
      <c r="L2532" s="846"/>
      <c r="M2532" s="846"/>
      <c r="N2532" s="846"/>
      <c r="O2532" s="846"/>
      <c r="P2532" s="846"/>
      <c r="Q2532" s="846"/>
      <c r="R2532" s="846"/>
      <c r="S2532" s="846"/>
      <c r="T2532" s="846"/>
    </row>
    <row r="2533" spans="2:20" ht="38.25" hidden="1">
      <c r="B2533" s="828" t="s">
        <v>6551</v>
      </c>
      <c r="C2533" s="828">
        <v>102473</v>
      </c>
      <c r="D2533" s="630" t="s">
        <v>6176</v>
      </c>
      <c r="E2533" s="630" t="s">
        <v>644</v>
      </c>
      <c r="F2533" s="829">
        <v>348.48</v>
      </c>
      <c r="G2533" s="830">
        <v>67.569999999999993</v>
      </c>
      <c r="H2533" s="831">
        <v>416.05</v>
      </c>
      <c r="I2533" s="846"/>
      <c r="J2533" s="846"/>
      <c r="K2533" s="846"/>
      <c r="L2533" s="846"/>
      <c r="M2533" s="846"/>
      <c r="N2533" s="846"/>
      <c r="O2533" s="846"/>
      <c r="P2533" s="846"/>
      <c r="Q2533" s="846"/>
      <c r="R2533" s="846"/>
      <c r="S2533" s="846"/>
      <c r="T2533" s="846"/>
    </row>
    <row r="2534" spans="2:20" ht="38.25" hidden="1">
      <c r="B2534" s="828" t="s">
        <v>6551</v>
      </c>
      <c r="C2534" s="828">
        <v>102474</v>
      </c>
      <c r="D2534" s="630" t="s">
        <v>6177</v>
      </c>
      <c r="E2534" s="630" t="s">
        <v>644</v>
      </c>
      <c r="F2534" s="829">
        <v>386.17</v>
      </c>
      <c r="G2534" s="830">
        <v>67.150000000000006</v>
      </c>
      <c r="H2534" s="831">
        <v>453.32</v>
      </c>
      <c r="I2534" s="846"/>
      <c r="J2534" s="846"/>
      <c r="K2534" s="846"/>
      <c r="L2534" s="846"/>
      <c r="M2534" s="846"/>
      <c r="N2534" s="846"/>
      <c r="O2534" s="846"/>
      <c r="P2534" s="846"/>
      <c r="Q2534" s="846"/>
      <c r="R2534" s="846"/>
      <c r="S2534" s="846"/>
      <c r="T2534" s="846"/>
    </row>
    <row r="2535" spans="2:20" ht="38.25" hidden="1">
      <c r="B2535" s="828" t="s">
        <v>6551</v>
      </c>
      <c r="C2535" s="828">
        <v>102475</v>
      </c>
      <c r="D2535" s="630" t="s">
        <v>6178</v>
      </c>
      <c r="E2535" s="630" t="s">
        <v>644</v>
      </c>
      <c r="F2535" s="829">
        <v>421.44</v>
      </c>
      <c r="G2535" s="830">
        <v>73.97</v>
      </c>
      <c r="H2535" s="831">
        <v>495.41</v>
      </c>
      <c r="I2535" s="846"/>
      <c r="J2535" s="846"/>
      <c r="K2535" s="846"/>
      <c r="L2535" s="846"/>
      <c r="M2535" s="846"/>
      <c r="N2535" s="846"/>
      <c r="O2535" s="846"/>
      <c r="P2535" s="846"/>
      <c r="Q2535" s="846"/>
      <c r="R2535" s="846"/>
      <c r="S2535" s="846"/>
      <c r="T2535" s="846"/>
    </row>
    <row r="2536" spans="2:20" ht="38.25">
      <c r="B2536" s="828" t="s">
        <v>6551</v>
      </c>
      <c r="C2536" s="828">
        <v>102476</v>
      </c>
      <c r="D2536" s="630" t="s">
        <v>6179</v>
      </c>
      <c r="E2536" s="630" t="s">
        <v>644</v>
      </c>
      <c r="F2536" s="829">
        <v>447.05</v>
      </c>
      <c r="G2536" s="830">
        <v>63.62</v>
      </c>
      <c r="H2536" s="831">
        <v>510.67</v>
      </c>
      <c r="I2536" s="846"/>
      <c r="J2536" s="846"/>
      <c r="K2536" s="846"/>
      <c r="L2536" s="846"/>
      <c r="M2536" s="846"/>
      <c r="N2536" s="846"/>
      <c r="O2536" s="846"/>
      <c r="P2536" s="846"/>
      <c r="Q2536" s="846"/>
      <c r="R2536" s="846"/>
      <c r="S2536" s="846"/>
      <c r="T2536" s="846"/>
    </row>
    <row r="2537" spans="2:20" ht="38.25" hidden="1">
      <c r="B2537" s="828" t="s">
        <v>6551</v>
      </c>
      <c r="C2537" s="828">
        <v>102477</v>
      </c>
      <c r="D2537" s="630" t="s">
        <v>6180</v>
      </c>
      <c r="E2537" s="630" t="s">
        <v>644</v>
      </c>
      <c r="F2537" s="829">
        <v>473.66999999999996</v>
      </c>
      <c r="G2537" s="830">
        <v>70.23</v>
      </c>
      <c r="H2537" s="831">
        <v>543.9</v>
      </c>
      <c r="I2537" s="846"/>
      <c r="J2537" s="846"/>
      <c r="K2537" s="846"/>
      <c r="L2537" s="846"/>
      <c r="M2537" s="846"/>
      <c r="N2537" s="846"/>
      <c r="O2537" s="846"/>
      <c r="P2537" s="846"/>
      <c r="Q2537" s="846"/>
      <c r="R2537" s="846"/>
      <c r="S2537" s="846"/>
      <c r="T2537" s="846"/>
    </row>
    <row r="2538" spans="2:20" ht="38.25" hidden="1">
      <c r="B2538" s="828" t="s">
        <v>6551</v>
      </c>
      <c r="C2538" s="828">
        <v>102478</v>
      </c>
      <c r="D2538" s="630" t="s">
        <v>6181</v>
      </c>
      <c r="E2538" s="630" t="s">
        <v>644</v>
      </c>
      <c r="F2538" s="829">
        <v>528.72</v>
      </c>
      <c r="G2538" s="830">
        <v>63.63</v>
      </c>
      <c r="H2538" s="831">
        <v>592.35</v>
      </c>
      <c r="I2538" s="846"/>
      <c r="J2538" s="846"/>
      <c r="K2538" s="846"/>
      <c r="L2538" s="846"/>
      <c r="M2538" s="846"/>
      <c r="N2538" s="846"/>
      <c r="O2538" s="846"/>
      <c r="P2538" s="846"/>
      <c r="Q2538" s="846"/>
      <c r="R2538" s="846"/>
      <c r="S2538" s="846"/>
      <c r="T2538" s="846"/>
    </row>
    <row r="2539" spans="2:20" ht="38.25" hidden="1">
      <c r="B2539" s="828" t="s">
        <v>6551</v>
      </c>
      <c r="C2539" s="828">
        <v>102479</v>
      </c>
      <c r="D2539" s="630" t="s">
        <v>6182</v>
      </c>
      <c r="E2539" s="630" t="s">
        <v>644</v>
      </c>
      <c r="F2539" s="829">
        <v>350.87</v>
      </c>
      <c r="G2539" s="830">
        <v>60.53</v>
      </c>
      <c r="H2539" s="831">
        <v>411.4</v>
      </c>
      <c r="I2539" s="846"/>
      <c r="J2539" s="846"/>
      <c r="K2539" s="846"/>
      <c r="L2539" s="846"/>
      <c r="M2539" s="846"/>
      <c r="N2539" s="846"/>
      <c r="O2539" s="846"/>
      <c r="P2539" s="846"/>
      <c r="Q2539" s="846"/>
      <c r="R2539" s="846"/>
      <c r="S2539" s="846"/>
      <c r="T2539" s="846"/>
    </row>
    <row r="2540" spans="2:20" ht="38.25" hidden="1">
      <c r="B2540" s="828" t="s">
        <v>6551</v>
      </c>
      <c r="C2540" s="828">
        <v>102480</v>
      </c>
      <c r="D2540" s="630" t="s">
        <v>6183</v>
      </c>
      <c r="E2540" s="630" t="s">
        <v>644</v>
      </c>
      <c r="F2540" s="829">
        <v>387.03000000000003</v>
      </c>
      <c r="G2540" s="830">
        <v>58.63</v>
      </c>
      <c r="H2540" s="831">
        <v>445.66</v>
      </c>
      <c r="I2540" s="846"/>
      <c r="J2540" s="846"/>
      <c r="K2540" s="846"/>
      <c r="L2540" s="846"/>
      <c r="M2540" s="846"/>
      <c r="N2540" s="846"/>
      <c r="O2540" s="846"/>
      <c r="P2540" s="846"/>
      <c r="Q2540" s="846"/>
      <c r="R2540" s="846"/>
      <c r="S2540" s="846"/>
      <c r="T2540" s="846"/>
    </row>
    <row r="2541" spans="2:20" ht="38.25" hidden="1">
      <c r="B2541" s="828" t="s">
        <v>6551</v>
      </c>
      <c r="C2541" s="828">
        <v>102481</v>
      </c>
      <c r="D2541" s="630" t="s">
        <v>6184</v>
      </c>
      <c r="E2541" s="630" t="s">
        <v>644</v>
      </c>
      <c r="F2541" s="829">
        <v>421.28000000000003</v>
      </c>
      <c r="G2541" s="830">
        <v>59.04</v>
      </c>
      <c r="H2541" s="831">
        <v>480.32</v>
      </c>
      <c r="I2541" s="846"/>
      <c r="J2541" s="846"/>
      <c r="K2541" s="846"/>
      <c r="L2541" s="846"/>
      <c r="M2541" s="846"/>
      <c r="N2541" s="846"/>
      <c r="O2541" s="846"/>
      <c r="P2541" s="846"/>
      <c r="Q2541" s="846"/>
      <c r="R2541" s="846"/>
      <c r="S2541" s="846"/>
      <c r="T2541" s="846"/>
    </row>
    <row r="2542" spans="2:20" ht="38.25">
      <c r="B2542" s="828" t="s">
        <v>6551</v>
      </c>
      <c r="C2542" s="828">
        <v>102482</v>
      </c>
      <c r="D2542" s="630" t="s">
        <v>6185</v>
      </c>
      <c r="E2542" s="630" t="s">
        <v>644</v>
      </c>
      <c r="F2542" s="829">
        <v>449.86000000000007</v>
      </c>
      <c r="G2542" s="830">
        <v>56.37</v>
      </c>
      <c r="H2542" s="831">
        <v>506.23</v>
      </c>
      <c r="I2542" s="846"/>
      <c r="J2542" s="846"/>
      <c r="K2542" s="846"/>
      <c r="L2542" s="846"/>
      <c r="M2542" s="846"/>
      <c r="N2542" s="846"/>
      <c r="O2542" s="846"/>
      <c r="P2542" s="846"/>
      <c r="Q2542" s="846"/>
      <c r="R2542" s="846"/>
      <c r="S2542" s="846"/>
      <c r="T2542" s="846"/>
    </row>
    <row r="2543" spans="2:20" ht="38.25" hidden="1">
      <c r="B2543" s="828" t="s">
        <v>6551</v>
      </c>
      <c r="C2543" s="828">
        <v>102483</v>
      </c>
      <c r="D2543" s="630" t="s">
        <v>6186</v>
      </c>
      <c r="E2543" s="630" t="s">
        <v>644</v>
      </c>
      <c r="F2543" s="829">
        <v>476.09</v>
      </c>
      <c r="G2543" s="830">
        <v>58.22</v>
      </c>
      <c r="H2543" s="831">
        <v>534.30999999999995</v>
      </c>
      <c r="I2543" s="846"/>
      <c r="J2543" s="846"/>
      <c r="K2543" s="846"/>
      <c r="L2543" s="846"/>
      <c r="M2543" s="846"/>
      <c r="N2543" s="846"/>
      <c r="O2543" s="846"/>
      <c r="P2543" s="846"/>
      <c r="Q2543" s="846"/>
      <c r="R2543" s="846"/>
      <c r="S2543" s="846"/>
      <c r="T2543" s="846"/>
    </row>
    <row r="2544" spans="2:20" ht="38.25" hidden="1">
      <c r="B2544" s="828" t="s">
        <v>6551</v>
      </c>
      <c r="C2544" s="828">
        <v>102484</v>
      </c>
      <c r="D2544" s="630" t="s">
        <v>6187</v>
      </c>
      <c r="E2544" s="630" t="s">
        <v>644</v>
      </c>
      <c r="F2544" s="829">
        <v>531.91</v>
      </c>
      <c r="G2544" s="830">
        <v>58.21</v>
      </c>
      <c r="H2544" s="831">
        <v>590.12</v>
      </c>
      <c r="I2544" s="846"/>
      <c r="J2544" s="846"/>
      <c r="K2544" s="846"/>
      <c r="L2544" s="846"/>
      <c r="M2544" s="846"/>
      <c r="N2544" s="846"/>
      <c r="O2544" s="846"/>
      <c r="P2544" s="846"/>
      <c r="Q2544" s="846"/>
      <c r="R2544" s="846"/>
      <c r="S2544" s="846"/>
      <c r="T2544" s="846"/>
    </row>
    <row r="2545" spans="2:20" ht="25.5" hidden="1">
      <c r="B2545" s="828" t="s">
        <v>6551</v>
      </c>
      <c r="C2545" s="828">
        <v>102485</v>
      </c>
      <c r="D2545" s="630" t="s">
        <v>6188</v>
      </c>
      <c r="E2545" s="630" t="s">
        <v>644</v>
      </c>
      <c r="F2545" s="829">
        <v>374.32</v>
      </c>
      <c r="G2545" s="830">
        <v>108.32</v>
      </c>
      <c r="H2545" s="831">
        <v>482.64</v>
      </c>
      <c r="I2545" s="846"/>
      <c r="J2545" s="846"/>
      <c r="K2545" s="846"/>
      <c r="L2545" s="846"/>
      <c r="M2545" s="846"/>
      <c r="N2545" s="846"/>
      <c r="O2545" s="846"/>
      <c r="P2545" s="846"/>
      <c r="Q2545" s="846"/>
      <c r="R2545" s="846"/>
      <c r="S2545" s="846"/>
      <c r="T2545" s="846"/>
    </row>
    <row r="2546" spans="2:20" ht="25.5" hidden="1">
      <c r="B2546" s="828" t="s">
        <v>6551</v>
      </c>
      <c r="C2546" s="828">
        <v>102486</v>
      </c>
      <c r="D2546" s="630" t="s">
        <v>6189</v>
      </c>
      <c r="E2546" s="630" t="s">
        <v>644</v>
      </c>
      <c r="F2546" s="829">
        <v>407.54</v>
      </c>
      <c r="G2546" s="830">
        <v>107.22</v>
      </c>
      <c r="H2546" s="831">
        <v>514.76</v>
      </c>
      <c r="I2546" s="846"/>
      <c r="J2546" s="846"/>
      <c r="K2546" s="846"/>
      <c r="L2546" s="846"/>
      <c r="M2546" s="846"/>
      <c r="N2546" s="846"/>
      <c r="O2546" s="846"/>
      <c r="P2546" s="846"/>
      <c r="Q2546" s="846"/>
      <c r="R2546" s="846"/>
      <c r="S2546" s="846"/>
      <c r="T2546" s="846"/>
    </row>
    <row r="2547" spans="2:20" ht="25.5" hidden="1">
      <c r="B2547" s="828" t="s">
        <v>6551</v>
      </c>
      <c r="C2547" s="828">
        <v>102487</v>
      </c>
      <c r="D2547" s="630" t="s">
        <v>6190</v>
      </c>
      <c r="E2547" s="630" t="s">
        <v>644</v>
      </c>
      <c r="F2547" s="829">
        <v>323.77000000000004</v>
      </c>
      <c r="G2547" s="830">
        <v>204.91</v>
      </c>
      <c r="H2547" s="831">
        <v>528.67999999999995</v>
      </c>
      <c r="I2547" s="846"/>
      <c r="J2547" s="846"/>
      <c r="K2547" s="846"/>
      <c r="L2547" s="846"/>
      <c r="M2547" s="846"/>
      <c r="N2547" s="846"/>
      <c r="O2547" s="846"/>
      <c r="P2547" s="846"/>
      <c r="Q2547" s="846"/>
      <c r="R2547" s="846"/>
      <c r="S2547" s="846"/>
      <c r="T2547" s="846"/>
    </row>
    <row r="2548" spans="2:20" ht="51" hidden="1">
      <c r="B2548" s="828" t="s">
        <v>6551</v>
      </c>
      <c r="C2548" s="828">
        <v>103183</v>
      </c>
      <c r="D2548" s="630" t="s">
        <v>6488</v>
      </c>
      <c r="E2548" s="630" t="s">
        <v>644</v>
      </c>
      <c r="F2548" s="829">
        <v>515.22</v>
      </c>
      <c r="G2548" s="830">
        <v>60.36</v>
      </c>
      <c r="H2548" s="831">
        <v>575.58000000000004</v>
      </c>
      <c r="I2548" s="846"/>
      <c r="J2548" s="846"/>
      <c r="K2548" s="846"/>
      <c r="L2548" s="846"/>
      <c r="M2548" s="846"/>
      <c r="N2548" s="846"/>
      <c r="O2548" s="846"/>
      <c r="P2548" s="846"/>
      <c r="Q2548" s="846"/>
      <c r="R2548" s="846"/>
      <c r="S2548" s="846"/>
      <c r="T2548" s="846"/>
    </row>
    <row r="2549" spans="2:20" ht="51" hidden="1">
      <c r="B2549" s="828" t="s">
        <v>6551</v>
      </c>
      <c r="C2549" s="828">
        <v>103184</v>
      </c>
      <c r="D2549" s="630" t="s">
        <v>6489</v>
      </c>
      <c r="E2549" s="630" t="s">
        <v>644</v>
      </c>
      <c r="F2549" s="829">
        <v>504</v>
      </c>
      <c r="G2549" s="830">
        <v>24.64</v>
      </c>
      <c r="H2549" s="831">
        <v>528.64</v>
      </c>
      <c r="I2549" s="846"/>
      <c r="J2549" s="846"/>
      <c r="K2549" s="846"/>
      <c r="L2549" s="846"/>
      <c r="M2549" s="846"/>
      <c r="N2549" s="846"/>
      <c r="O2549" s="846"/>
      <c r="P2549" s="846"/>
      <c r="Q2549" s="846"/>
      <c r="R2549" s="846"/>
      <c r="S2549" s="846"/>
      <c r="T2549" s="846"/>
    </row>
    <row r="2550" spans="2:20" ht="25.5" hidden="1">
      <c r="B2550" s="828" t="s">
        <v>6551</v>
      </c>
      <c r="C2550" s="828">
        <v>103669</v>
      </c>
      <c r="D2550" s="630" t="s">
        <v>7075</v>
      </c>
      <c r="E2550" s="630" t="s">
        <v>644</v>
      </c>
      <c r="F2550" s="829">
        <v>584.56000000000006</v>
      </c>
      <c r="G2550" s="830">
        <v>246.09</v>
      </c>
      <c r="H2550" s="831">
        <v>830.65</v>
      </c>
      <c r="I2550" s="846"/>
      <c r="J2550" s="846"/>
      <c r="K2550" s="846"/>
      <c r="L2550" s="846"/>
      <c r="M2550" s="846"/>
      <c r="N2550" s="846"/>
      <c r="O2550" s="846"/>
      <c r="P2550" s="846"/>
      <c r="Q2550" s="846"/>
      <c r="R2550" s="846"/>
      <c r="S2550" s="846"/>
      <c r="T2550" s="846"/>
    </row>
    <row r="2551" spans="2:20" ht="25.5" hidden="1">
      <c r="B2551" s="828" t="s">
        <v>6551</v>
      </c>
      <c r="C2551" s="828">
        <v>103670</v>
      </c>
      <c r="D2551" s="630" t="s">
        <v>7076</v>
      </c>
      <c r="E2551" s="630" t="s">
        <v>644</v>
      </c>
      <c r="F2551" s="829">
        <v>82.600000000000009</v>
      </c>
      <c r="G2551" s="830">
        <v>246.16</v>
      </c>
      <c r="H2551" s="831">
        <v>328.76</v>
      </c>
      <c r="I2551" s="846"/>
      <c r="J2551" s="846"/>
      <c r="K2551" s="846"/>
      <c r="L2551" s="846"/>
      <c r="M2551" s="846"/>
      <c r="N2551" s="846"/>
      <c r="O2551" s="846"/>
      <c r="P2551" s="846"/>
      <c r="Q2551" s="846"/>
      <c r="R2551" s="846"/>
      <c r="S2551" s="846"/>
      <c r="T2551" s="846"/>
    </row>
    <row r="2552" spans="2:20" ht="25.5" hidden="1">
      <c r="B2552" s="828" t="s">
        <v>6551</v>
      </c>
      <c r="C2552" s="828">
        <v>103671</v>
      </c>
      <c r="D2552" s="630" t="s">
        <v>7077</v>
      </c>
      <c r="E2552" s="630" t="s">
        <v>644</v>
      </c>
      <c r="F2552" s="829">
        <v>515.31000000000006</v>
      </c>
      <c r="G2552" s="830">
        <v>39.89</v>
      </c>
      <c r="H2552" s="831">
        <v>555.20000000000005</v>
      </c>
      <c r="I2552" s="846"/>
      <c r="J2552" s="846"/>
      <c r="K2552" s="846"/>
      <c r="L2552" s="846"/>
      <c r="M2552" s="846"/>
      <c r="N2552" s="846"/>
      <c r="O2552" s="846"/>
      <c r="P2552" s="846"/>
      <c r="Q2552" s="846"/>
      <c r="R2552" s="846"/>
      <c r="S2552" s="846"/>
      <c r="T2552" s="846"/>
    </row>
    <row r="2553" spans="2:20" ht="25.5" hidden="1">
      <c r="B2553" s="828" t="s">
        <v>6551</v>
      </c>
      <c r="C2553" s="828">
        <v>103672</v>
      </c>
      <c r="D2553" s="630" t="s">
        <v>7078</v>
      </c>
      <c r="E2553" s="630" t="s">
        <v>644</v>
      </c>
      <c r="F2553" s="829">
        <v>484.92</v>
      </c>
      <c r="G2553" s="830">
        <v>33.97</v>
      </c>
      <c r="H2553" s="831">
        <v>518.89</v>
      </c>
      <c r="I2553" s="846"/>
      <c r="J2553" s="846"/>
      <c r="K2553" s="846"/>
      <c r="L2553" s="846"/>
      <c r="M2553" s="846"/>
      <c r="N2553" s="846"/>
      <c r="O2553" s="846"/>
      <c r="P2553" s="846"/>
      <c r="Q2553" s="846"/>
      <c r="R2553" s="846"/>
      <c r="S2553" s="846"/>
      <c r="T2553" s="846"/>
    </row>
    <row r="2554" spans="2:20" ht="25.5" hidden="1">
      <c r="B2554" s="828" t="s">
        <v>6551</v>
      </c>
      <c r="C2554" s="828">
        <v>103673</v>
      </c>
      <c r="D2554" s="630" t="s">
        <v>7079</v>
      </c>
      <c r="E2554" s="630" t="s">
        <v>644</v>
      </c>
      <c r="F2554" s="829">
        <v>11.83</v>
      </c>
      <c r="G2554" s="830">
        <v>34.049999999999997</v>
      </c>
      <c r="H2554" s="831">
        <v>45.88</v>
      </c>
      <c r="I2554" s="846"/>
      <c r="J2554" s="846"/>
      <c r="K2554" s="846"/>
      <c r="L2554" s="846"/>
      <c r="M2554" s="846"/>
      <c r="N2554" s="846"/>
      <c r="O2554" s="846"/>
      <c r="P2554" s="846"/>
      <c r="Q2554" s="846"/>
      <c r="R2554" s="846"/>
      <c r="S2554" s="846"/>
      <c r="T2554" s="846"/>
    </row>
    <row r="2555" spans="2:20" ht="38.25" hidden="1">
      <c r="B2555" s="828" t="s">
        <v>6551</v>
      </c>
      <c r="C2555" s="828">
        <v>103674</v>
      </c>
      <c r="D2555" s="630" t="s">
        <v>7080</v>
      </c>
      <c r="E2555" s="630" t="s">
        <v>644</v>
      </c>
      <c r="F2555" s="829">
        <v>489.78999999999996</v>
      </c>
      <c r="G2555" s="830">
        <v>52.21</v>
      </c>
      <c r="H2555" s="831">
        <v>542</v>
      </c>
      <c r="I2555" s="846"/>
      <c r="J2555" s="846"/>
      <c r="K2555" s="846"/>
      <c r="L2555" s="846"/>
      <c r="M2555" s="846"/>
      <c r="N2555" s="846"/>
      <c r="O2555" s="846"/>
      <c r="P2555" s="846"/>
      <c r="Q2555" s="846"/>
      <c r="R2555" s="846"/>
      <c r="S2555" s="846"/>
      <c r="T2555" s="846"/>
    </row>
    <row r="2556" spans="2:20" ht="38.25" hidden="1">
      <c r="B2556" s="828" t="s">
        <v>6551</v>
      </c>
      <c r="C2556" s="828">
        <v>103675</v>
      </c>
      <c r="D2556" s="630" t="s">
        <v>7081</v>
      </c>
      <c r="E2556" s="630" t="s">
        <v>644</v>
      </c>
      <c r="F2556" s="829">
        <v>484.46000000000004</v>
      </c>
      <c r="G2556" s="830">
        <v>35.520000000000003</v>
      </c>
      <c r="H2556" s="831">
        <v>519.98</v>
      </c>
      <c r="I2556" s="846"/>
      <c r="J2556" s="846"/>
      <c r="K2556" s="846"/>
      <c r="L2556" s="846"/>
      <c r="M2556" s="846"/>
      <c r="N2556" s="846"/>
      <c r="O2556" s="846"/>
      <c r="P2556" s="846"/>
      <c r="Q2556" s="846"/>
      <c r="R2556" s="846"/>
      <c r="S2556" s="846"/>
      <c r="T2556" s="846"/>
    </row>
    <row r="2557" spans="2:20" ht="51" hidden="1">
      <c r="B2557" s="828" t="s">
        <v>6551</v>
      </c>
      <c r="C2557" s="828">
        <v>103676</v>
      </c>
      <c r="D2557" s="630" t="s">
        <v>7082</v>
      </c>
      <c r="E2557" s="630" t="s">
        <v>644</v>
      </c>
      <c r="F2557" s="829">
        <v>601.18999999999994</v>
      </c>
      <c r="G2557" s="830">
        <v>290.31</v>
      </c>
      <c r="H2557" s="831">
        <v>891.5</v>
      </c>
      <c r="I2557" s="846"/>
      <c r="J2557" s="846"/>
      <c r="K2557" s="846"/>
      <c r="L2557" s="846"/>
      <c r="M2557" s="846"/>
      <c r="N2557" s="846"/>
      <c r="O2557" s="846"/>
      <c r="P2557" s="846"/>
      <c r="Q2557" s="846"/>
      <c r="R2557" s="846"/>
      <c r="S2557" s="846"/>
      <c r="T2557" s="846"/>
    </row>
    <row r="2558" spans="2:20" ht="51" hidden="1">
      <c r="B2558" s="828" t="s">
        <v>6551</v>
      </c>
      <c r="C2558" s="828">
        <v>103677</v>
      </c>
      <c r="D2558" s="630" t="s">
        <v>7083</v>
      </c>
      <c r="E2558" s="630" t="s">
        <v>644</v>
      </c>
      <c r="F2558" s="829">
        <v>553.37</v>
      </c>
      <c r="G2558" s="830">
        <v>150.46</v>
      </c>
      <c r="H2558" s="831">
        <v>703.83</v>
      </c>
      <c r="I2558" s="846"/>
      <c r="J2558" s="846"/>
      <c r="K2558" s="846"/>
      <c r="L2558" s="846"/>
      <c r="M2558" s="846"/>
      <c r="N2558" s="846"/>
      <c r="O2558" s="846"/>
      <c r="P2558" s="846"/>
      <c r="Q2558" s="846"/>
      <c r="R2558" s="846"/>
      <c r="S2558" s="846"/>
      <c r="T2558" s="846"/>
    </row>
    <row r="2559" spans="2:20" ht="38.25" hidden="1">
      <c r="B2559" s="828" t="s">
        <v>6551</v>
      </c>
      <c r="C2559" s="828">
        <v>103678</v>
      </c>
      <c r="D2559" s="630" t="s">
        <v>7084</v>
      </c>
      <c r="E2559" s="630" t="s">
        <v>644</v>
      </c>
      <c r="F2559" s="829">
        <v>575.21</v>
      </c>
      <c r="G2559" s="830">
        <v>210.94</v>
      </c>
      <c r="H2559" s="831">
        <v>786.15</v>
      </c>
      <c r="I2559" s="846"/>
      <c r="J2559" s="846"/>
      <c r="K2559" s="846"/>
      <c r="L2559" s="846"/>
      <c r="M2559" s="846"/>
      <c r="N2559" s="846"/>
      <c r="O2559" s="846"/>
      <c r="P2559" s="846"/>
      <c r="Q2559" s="846"/>
      <c r="R2559" s="846"/>
      <c r="S2559" s="846"/>
      <c r="T2559" s="846"/>
    </row>
    <row r="2560" spans="2:20" ht="51" hidden="1">
      <c r="B2560" s="828" t="s">
        <v>6551</v>
      </c>
      <c r="C2560" s="828">
        <v>103679</v>
      </c>
      <c r="D2560" s="630" t="s">
        <v>7085</v>
      </c>
      <c r="E2560" s="630" t="s">
        <v>644</v>
      </c>
      <c r="F2560" s="829">
        <v>541.9</v>
      </c>
      <c r="G2560" s="830">
        <v>115.14</v>
      </c>
      <c r="H2560" s="831">
        <v>657.04</v>
      </c>
      <c r="I2560" s="846"/>
      <c r="J2560" s="846"/>
      <c r="K2560" s="846"/>
      <c r="L2560" s="846"/>
      <c r="M2560" s="846"/>
      <c r="N2560" s="846"/>
      <c r="O2560" s="846"/>
      <c r="P2560" s="846"/>
      <c r="Q2560" s="846"/>
      <c r="R2560" s="846"/>
      <c r="S2560" s="846"/>
      <c r="T2560" s="846"/>
    </row>
    <row r="2561" spans="2:20" ht="51" hidden="1">
      <c r="B2561" s="828" t="s">
        <v>6551</v>
      </c>
      <c r="C2561" s="828">
        <v>103680</v>
      </c>
      <c r="D2561" s="630" t="s">
        <v>7086</v>
      </c>
      <c r="E2561" s="630" t="s">
        <v>644</v>
      </c>
      <c r="F2561" s="829">
        <v>551.67000000000007</v>
      </c>
      <c r="G2561" s="830">
        <v>160.33000000000001</v>
      </c>
      <c r="H2561" s="831">
        <v>712</v>
      </c>
      <c r="I2561" s="846"/>
      <c r="J2561" s="846"/>
      <c r="K2561" s="846"/>
      <c r="L2561" s="846"/>
      <c r="M2561" s="846"/>
      <c r="N2561" s="846"/>
      <c r="O2561" s="846"/>
      <c r="P2561" s="846"/>
      <c r="Q2561" s="846"/>
      <c r="R2561" s="846"/>
      <c r="S2561" s="846"/>
      <c r="T2561" s="846"/>
    </row>
    <row r="2562" spans="2:20" ht="51" hidden="1">
      <c r="B2562" s="828" t="s">
        <v>6551</v>
      </c>
      <c r="C2562" s="828">
        <v>103681</v>
      </c>
      <c r="D2562" s="630" t="s">
        <v>7087</v>
      </c>
      <c r="E2562" s="630" t="s">
        <v>644</v>
      </c>
      <c r="F2562" s="829">
        <v>521.5200000000001</v>
      </c>
      <c r="G2562" s="830">
        <v>63.06</v>
      </c>
      <c r="H2562" s="831">
        <v>584.58000000000004</v>
      </c>
      <c r="I2562" s="846"/>
      <c r="J2562" s="846"/>
      <c r="K2562" s="846"/>
      <c r="L2562" s="846"/>
      <c r="M2562" s="846"/>
      <c r="N2562" s="846"/>
      <c r="O2562" s="846"/>
      <c r="P2562" s="846"/>
      <c r="Q2562" s="846"/>
      <c r="R2562" s="846"/>
      <c r="S2562" s="846"/>
      <c r="T2562" s="846"/>
    </row>
    <row r="2563" spans="2:20" ht="38.25" hidden="1">
      <c r="B2563" s="828" t="s">
        <v>6551</v>
      </c>
      <c r="C2563" s="828">
        <v>103682</v>
      </c>
      <c r="D2563" s="630" t="s">
        <v>7088</v>
      </c>
      <c r="E2563" s="630" t="s">
        <v>644</v>
      </c>
      <c r="F2563" s="829">
        <v>589.57999999999993</v>
      </c>
      <c r="G2563" s="830">
        <v>260.20999999999998</v>
      </c>
      <c r="H2563" s="831">
        <v>849.79</v>
      </c>
      <c r="I2563" s="846"/>
      <c r="J2563" s="846"/>
      <c r="K2563" s="846"/>
      <c r="L2563" s="846"/>
      <c r="M2563" s="846"/>
      <c r="N2563" s="846"/>
      <c r="O2563" s="846"/>
      <c r="P2563" s="846"/>
      <c r="Q2563" s="846"/>
      <c r="R2563" s="846"/>
      <c r="S2563" s="846"/>
      <c r="T2563" s="846"/>
    </row>
    <row r="2564" spans="2:20" ht="38.25" hidden="1">
      <c r="B2564" s="828" t="s">
        <v>6551</v>
      </c>
      <c r="C2564" s="828">
        <v>103683</v>
      </c>
      <c r="D2564" s="630" t="s">
        <v>7089</v>
      </c>
      <c r="E2564" s="630" t="s">
        <v>644</v>
      </c>
      <c r="F2564" s="829">
        <v>669.83</v>
      </c>
      <c r="G2564" s="830">
        <v>498.54</v>
      </c>
      <c r="H2564" s="831">
        <v>1168.3699999999999</v>
      </c>
      <c r="I2564" s="846"/>
      <c r="J2564" s="846"/>
      <c r="K2564" s="846"/>
      <c r="L2564" s="846"/>
      <c r="M2564" s="846"/>
      <c r="N2564" s="846"/>
      <c r="O2564" s="846"/>
      <c r="P2564" s="846"/>
      <c r="Q2564" s="846"/>
      <c r="R2564" s="846"/>
      <c r="S2564" s="846"/>
      <c r="T2564" s="846"/>
    </row>
    <row r="2565" spans="2:20" ht="25.5" hidden="1">
      <c r="B2565" s="828" t="s">
        <v>6551</v>
      </c>
      <c r="C2565" s="828">
        <v>103684</v>
      </c>
      <c r="D2565" s="630" t="s">
        <v>7090</v>
      </c>
      <c r="E2565" s="630" t="s">
        <v>644</v>
      </c>
      <c r="F2565" s="829">
        <v>489.03000000000003</v>
      </c>
      <c r="G2565" s="830">
        <v>49.95</v>
      </c>
      <c r="H2565" s="831">
        <v>538.98</v>
      </c>
      <c r="I2565" s="846"/>
      <c r="J2565" s="846"/>
      <c r="K2565" s="846"/>
      <c r="L2565" s="846"/>
      <c r="M2565" s="846"/>
      <c r="N2565" s="846"/>
      <c r="O2565" s="846"/>
      <c r="P2565" s="846"/>
      <c r="Q2565" s="846"/>
      <c r="R2565" s="846"/>
      <c r="S2565" s="846"/>
      <c r="T2565" s="846"/>
    </row>
    <row r="2566" spans="2:20" ht="25.5" hidden="1">
      <c r="B2566" s="828" t="s">
        <v>6551</v>
      </c>
      <c r="C2566" s="828">
        <v>103685</v>
      </c>
      <c r="D2566" s="630" t="s">
        <v>7091</v>
      </c>
      <c r="E2566" s="630" t="s">
        <v>644</v>
      </c>
      <c r="F2566" s="829">
        <v>485.59</v>
      </c>
      <c r="G2566" s="830">
        <v>39.5</v>
      </c>
      <c r="H2566" s="831">
        <v>525.09</v>
      </c>
      <c r="I2566" s="846"/>
      <c r="J2566" s="846"/>
      <c r="K2566" s="846"/>
      <c r="L2566" s="846"/>
      <c r="M2566" s="846"/>
      <c r="N2566" s="846"/>
      <c r="O2566" s="846"/>
      <c r="P2566" s="846"/>
      <c r="Q2566" s="846"/>
      <c r="R2566" s="846"/>
      <c r="S2566" s="846"/>
      <c r="T2566" s="846"/>
    </row>
    <row r="2567" spans="2:20" ht="25.5" hidden="1">
      <c r="B2567" s="828" t="s">
        <v>6551</v>
      </c>
      <c r="C2567" s="828">
        <v>103686</v>
      </c>
      <c r="D2567" s="630" t="s">
        <v>7092</v>
      </c>
      <c r="E2567" s="630" t="s">
        <v>644</v>
      </c>
      <c r="F2567" s="829">
        <v>500.14</v>
      </c>
      <c r="G2567" s="830">
        <v>92.96</v>
      </c>
      <c r="H2567" s="831">
        <v>593.1</v>
      </c>
      <c r="I2567" s="846"/>
      <c r="J2567" s="846"/>
      <c r="K2567" s="846"/>
      <c r="L2567" s="846"/>
      <c r="M2567" s="846"/>
      <c r="N2567" s="846"/>
      <c r="O2567" s="846"/>
      <c r="P2567" s="846"/>
      <c r="Q2567" s="846"/>
      <c r="R2567" s="846"/>
      <c r="S2567" s="846"/>
      <c r="T2567" s="846"/>
    </row>
    <row r="2568" spans="2:20" ht="38.25" hidden="1">
      <c r="B2568" s="828" t="s">
        <v>6551</v>
      </c>
      <c r="C2568" s="828">
        <v>103687</v>
      </c>
      <c r="D2568" s="630" t="s">
        <v>7093</v>
      </c>
      <c r="E2568" s="630" t="s">
        <v>644</v>
      </c>
      <c r="F2568" s="829">
        <v>618.61999999999989</v>
      </c>
      <c r="G2568" s="830">
        <v>347.94</v>
      </c>
      <c r="H2568" s="831">
        <v>966.56</v>
      </c>
      <c r="I2568" s="846"/>
      <c r="J2568" s="846"/>
      <c r="K2568" s="846"/>
      <c r="L2568" s="846"/>
      <c r="M2568" s="846"/>
      <c r="N2568" s="846"/>
      <c r="O2568" s="846"/>
      <c r="P2568" s="846"/>
      <c r="Q2568" s="846"/>
      <c r="R2568" s="846"/>
      <c r="S2568" s="846"/>
      <c r="T2568" s="846"/>
    </row>
    <row r="2569" spans="2:20" ht="25.5" hidden="1">
      <c r="B2569" s="828" t="s">
        <v>6551</v>
      </c>
      <c r="C2569" s="828">
        <v>103688</v>
      </c>
      <c r="D2569" s="630" t="s">
        <v>7094</v>
      </c>
      <c r="E2569" s="630" t="s">
        <v>644</v>
      </c>
      <c r="F2569" s="829">
        <v>551.37</v>
      </c>
      <c r="G2569" s="830">
        <v>145.54</v>
      </c>
      <c r="H2569" s="831">
        <v>696.91</v>
      </c>
      <c r="I2569" s="846"/>
      <c r="J2569" s="846"/>
      <c r="K2569" s="846"/>
      <c r="L2569" s="846"/>
      <c r="M2569" s="846"/>
      <c r="N2569" s="846"/>
      <c r="O2569" s="846"/>
      <c r="P2569" s="846"/>
      <c r="Q2569" s="846"/>
      <c r="R2569" s="846"/>
      <c r="S2569" s="846"/>
      <c r="T2569" s="846"/>
    </row>
    <row r="2570" spans="2:20" ht="38.25" hidden="1">
      <c r="B2570" s="828" t="s">
        <v>6670</v>
      </c>
      <c r="C2570" s="828">
        <v>101963</v>
      </c>
      <c r="D2570" s="630" t="s">
        <v>5910</v>
      </c>
      <c r="E2570" s="630" t="s">
        <v>649</v>
      </c>
      <c r="F2570" s="829">
        <v>155.61000000000001</v>
      </c>
      <c r="G2570" s="830">
        <v>30.83</v>
      </c>
      <c r="H2570" s="831">
        <v>186.44</v>
      </c>
      <c r="I2570" s="846"/>
      <c r="J2570" s="846"/>
      <c r="K2570" s="846"/>
      <c r="L2570" s="846"/>
      <c r="M2570" s="846"/>
      <c r="N2570" s="846"/>
      <c r="O2570" s="846"/>
      <c r="P2570" s="846"/>
      <c r="Q2570" s="846"/>
      <c r="R2570" s="846"/>
      <c r="S2570" s="846"/>
      <c r="T2570" s="846"/>
    </row>
    <row r="2571" spans="2:20" ht="38.25" hidden="1">
      <c r="B2571" s="828" t="s">
        <v>6670</v>
      </c>
      <c r="C2571" s="828">
        <v>101964</v>
      </c>
      <c r="D2571" s="630" t="s">
        <v>5911</v>
      </c>
      <c r="E2571" s="630" t="s">
        <v>649</v>
      </c>
      <c r="F2571" s="829">
        <v>146.1</v>
      </c>
      <c r="G2571" s="830">
        <v>29.11</v>
      </c>
      <c r="H2571" s="831">
        <v>175.21</v>
      </c>
      <c r="I2571" s="846"/>
      <c r="J2571" s="846"/>
      <c r="K2571" s="846"/>
      <c r="L2571" s="846"/>
      <c r="M2571" s="846"/>
      <c r="N2571" s="846"/>
      <c r="O2571" s="846"/>
      <c r="P2571" s="846"/>
      <c r="Q2571" s="846"/>
      <c r="R2571" s="846"/>
      <c r="S2571" s="846"/>
      <c r="T2571" s="846"/>
    </row>
    <row r="2572" spans="2:20" ht="38.25" hidden="1">
      <c r="B2572" s="828" t="s">
        <v>6650</v>
      </c>
      <c r="C2572" s="828">
        <v>101165</v>
      </c>
      <c r="D2572" s="630" t="s">
        <v>4058</v>
      </c>
      <c r="E2572" s="630" t="s">
        <v>644</v>
      </c>
      <c r="F2572" s="829">
        <v>537.11</v>
      </c>
      <c r="G2572" s="830">
        <v>348.42</v>
      </c>
      <c r="H2572" s="831">
        <v>885.53</v>
      </c>
      <c r="I2572" s="846"/>
      <c r="J2572" s="846"/>
      <c r="K2572" s="846"/>
      <c r="L2572" s="846"/>
      <c r="M2572" s="846"/>
      <c r="N2572" s="846"/>
      <c r="O2572" s="846"/>
      <c r="P2572" s="846"/>
      <c r="Q2572" s="846"/>
      <c r="R2572" s="846"/>
      <c r="S2572" s="846"/>
      <c r="T2572" s="846"/>
    </row>
    <row r="2573" spans="2:20" ht="38.25" hidden="1">
      <c r="B2573" s="828" t="s">
        <v>6650</v>
      </c>
      <c r="C2573" s="828">
        <v>101166</v>
      </c>
      <c r="D2573" s="630" t="s">
        <v>4059</v>
      </c>
      <c r="E2573" s="630" t="s">
        <v>644</v>
      </c>
      <c r="F2573" s="829">
        <v>404.39</v>
      </c>
      <c r="G2573" s="830">
        <v>285.2</v>
      </c>
      <c r="H2573" s="831">
        <v>689.59</v>
      </c>
      <c r="I2573" s="846"/>
      <c r="J2573" s="846"/>
      <c r="K2573" s="846"/>
      <c r="L2573" s="846"/>
      <c r="M2573" s="846"/>
      <c r="N2573" s="846"/>
      <c r="O2573" s="846"/>
      <c r="P2573" s="846"/>
      <c r="Q2573" s="846"/>
      <c r="R2573" s="846"/>
      <c r="S2573" s="846"/>
      <c r="T2573" s="846"/>
    </row>
    <row r="2574" spans="2:20" ht="38.25" hidden="1">
      <c r="B2574" s="828" t="s">
        <v>6628</v>
      </c>
      <c r="C2574" s="828">
        <v>98575</v>
      </c>
      <c r="D2574" s="630" t="s">
        <v>5708</v>
      </c>
      <c r="E2574" s="630" t="s">
        <v>648</v>
      </c>
      <c r="F2574" s="829">
        <v>58.77</v>
      </c>
      <c r="G2574" s="830">
        <v>51.48</v>
      </c>
      <c r="H2574" s="831">
        <v>110.25</v>
      </c>
      <c r="I2574" s="846"/>
      <c r="J2574" s="846"/>
      <c r="K2574" s="846"/>
      <c r="L2574" s="846"/>
      <c r="M2574" s="846"/>
      <c r="N2574" s="846"/>
      <c r="O2574" s="846"/>
      <c r="P2574" s="846"/>
      <c r="Q2574" s="846"/>
      <c r="R2574" s="846"/>
      <c r="S2574" s="846"/>
      <c r="T2574" s="846"/>
    </row>
    <row r="2575" spans="2:20" ht="25.5" hidden="1">
      <c r="B2575" s="828" t="s">
        <v>6628</v>
      </c>
      <c r="C2575" s="828">
        <v>98576</v>
      </c>
      <c r="D2575" s="630" t="s">
        <v>2963</v>
      </c>
      <c r="E2575" s="630" t="s">
        <v>648</v>
      </c>
      <c r="F2575" s="829">
        <v>21.74</v>
      </c>
      <c r="G2575" s="830">
        <v>0.73</v>
      </c>
      <c r="H2575" s="831">
        <v>22.47</v>
      </c>
      <c r="I2575" s="846"/>
      <c r="J2575" s="846"/>
      <c r="K2575" s="846"/>
      <c r="L2575" s="846"/>
      <c r="M2575" s="846"/>
      <c r="N2575" s="846"/>
      <c r="O2575" s="846"/>
      <c r="P2575" s="846"/>
      <c r="Q2575" s="846"/>
      <c r="R2575" s="846"/>
      <c r="S2575" s="846"/>
      <c r="T2575" s="846"/>
    </row>
    <row r="2576" spans="2:20" ht="25.5" hidden="1">
      <c r="B2576" s="828" t="s">
        <v>6628</v>
      </c>
      <c r="C2576" s="828">
        <v>98577</v>
      </c>
      <c r="D2576" s="630" t="s">
        <v>5709</v>
      </c>
      <c r="E2576" s="630" t="s">
        <v>648</v>
      </c>
      <c r="F2576" s="829">
        <v>19.55</v>
      </c>
      <c r="G2576" s="830">
        <v>32.450000000000003</v>
      </c>
      <c r="H2576" s="831">
        <v>52</v>
      </c>
      <c r="I2576" s="846"/>
      <c r="J2576" s="846"/>
      <c r="K2576" s="846"/>
      <c r="L2576" s="846"/>
      <c r="M2576" s="846"/>
      <c r="N2576" s="846"/>
      <c r="O2576" s="846"/>
      <c r="P2576" s="846"/>
      <c r="Q2576" s="846"/>
      <c r="R2576" s="846"/>
      <c r="S2576" s="846"/>
      <c r="T2576" s="846"/>
    </row>
    <row r="2577" spans="2:20" hidden="1">
      <c r="B2577" s="828" t="s">
        <v>6572</v>
      </c>
      <c r="C2577" s="828">
        <v>93182</v>
      </c>
      <c r="D2577" s="630" t="s">
        <v>910</v>
      </c>
      <c r="E2577" s="630" t="s">
        <v>648</v>
      </c>
      <c r="F2577" s="829">
        <v>45.03</v>
      </c>
      <c r="G2577" s="830">
        <v>10.34</v>
      </c>
      <c r="H2577" s="831">
        <v>55.37</v>
      </c>
      <c r="I2577" s="846"/>
      <c r="J2577" s="846"/>
      <c r="K2577" s="846"/>
      <c r="L2577" s="846"/>
      <c r="M2577" s="846"/>
      <c r="N2577" s="846"/>
      <c r="O2577" s="846"/>
      <c r="P2577" s="846"/>
      <c r="Q2577" s="846"/>
      <c r="R2577" s="846"/>
      <c r="S2577" s="846"/>
      <c r="T2577" s="846"/>
    </row>
    <row r="2578" spans="2:20" ht="25.5" hidden="1">
      <c r="B2578" s="828" t="s">
        <v>6572</v>
      </c>
      <c r="C2578" s="828">
        <v>93183</v>
      </c>
      <c r="D2578" s="630" t="s">
        <v>911</v>
      </c>
      <c r="E2578" s="630" t="s">
        <v>648</v>
      </c>
      <c r="F2578" s="829">
        <v>58.9</v>
      </c>
      <c r="G2578" s="830">
        <v>11.44</v>
      </c>
      <c r="H2578" s="831">
        <v>70.34</v>
      </c>
      <c r="I2578" s="846"/>
      <c r="J2578" s="846"/>
      <c r="K2578" s="846"/>
      <c r="L2578" s="846"/>
      <c r="M2578" s="846"/>
      <c r="N2578" s="846"/>
      <c r="O2578" s="846"/>
      <c r="P2578" s="846"/>
      <c r="Q2578" s="846"/>
      <c r="R2578" s="846"/>
      <c r="S2578" s="846"/>
      <c r="T2578" s="846"/>
    </row>
    <row r="2579" spans="2:20" hidden="1">
      <c r="B2579" s="828" t="s">
        <v>6572</v>
      </c>
      <c r="C2579" s="828">
        <v>93184</v>
      </c>
      <c r="D2579" s="630" t="s">
        <v>912</v>
      </c>
      <c r="E2579" s="630" t="s">
        <v>648</v>
      </c>
      <c r="F2579" s="829">
        <v>32.19</v>
      </c>
      <c r="G2579" s="830">
        <v>9.01</v>
      </c>
      <c r="H2579" s="831">
        <v>41.2</v>
      </c>
      <c r="I2579" s="846"/>
      <c r="J2579" s="846"/>
      <c r="K2579" s="846"/>
      <c r="L2579" s="846"/>
      <c r="M2579" s="846"/>
      <c r="N2579" s="846"/>
      <c r="O2579" s="846"/>
      <c r="P2579" s="846"/>
      <c r="Q2579" s="846"/>
      <c r="R2579" s="846"/>
      <c r="S2579" s="846"/>
      <c r="T2579" s="846"/>
    </row>
    <row r="2580" spans="2:20" ht="25.5" hidden="1">
      <c r="B2580" s="828" t="s">
        <v>6572</v>
      </c>
      <c r="C2580" s="828">
        <v>93185</v>
      </c>
      <c r="D2580" s="630" t="s">
        <v>913</v>
      </c>
      <c r="E2580" s="630" t="s">
        <v>648</v>
      </c>
      <c r="F2580" s="829">
        <v>58.25</v>
      </c>
      <c r="G2580" s="830">
        <v>10.97</v>
      </c>
      <c r="H2580" s="831">
        <v>69.22</v>
      </c>
      <c r="I2580" s="846"/>
      <c r="J2580" s="846"/>
      <c r="K2580" s="846"/>
      <c r="L2580" s="846"/>
      <c r="M2580" s="846"/>
      <c r="N2580" s="846"/>
      <c r="O2580" s="846"/>
      <c r="P2580" s="846"/>
      <c r="Q2580" s="846"/>
      <c r="R2580" s="846"/>
      <c r="S2580" s="846"/>
      <c r="T2580" s="846"/>
    </row>
    <row r="2581" spans="2:20" ht="25.5" hidden="1">
      <c r="B2581" s="828" t="s">
        <v>6572</v>
      </c>
      <c r="C2581" s="828">
        <v>93186</v>
      </c>
      <c r="D2581" s="630" t="s">
        <v>914</v>
      </c>
      <c r="E2581" s="630" t="s">
        <v>648</v>
      </c>
      <c r="F2581" s="829">
        <v>81.650000000000006</v>
      </c>
      <c r="G2581" s="830">
        <v>24.05</v>
      </c>
      <c r="H2581" s="831">
        <v>105.7</v>
      </c>
      <c r="I2581" s="846"/>
      <c r="J2581" s="846"/>
      <c r="K2581" s="846"/>
      <c r="L2581" s="846"/>
      <c r="M2581" s="846"/>
      <c r="N2581" s="846"/>
      <c r="O2581" s="846"/>
      <c r="P2581" s="846"/>
      <c r="Q2581" s="846"/>
      <c r="R2581" s="846"/>
      <c r="S2581" s="846"/>
      <c r="T2581" s="846"/>
    </row>
    <row r="2582" spans="2:20" ht="25.5" hidden="1">
      <c r="B2582" s="828" t="s">
        <v>6572</v>
      </c>
      <c r="C2582" s="828">
        <v>93187</v>
      </c>
      <c r="D2582" s="630" t="s">
        <v>915</v>
      </c>
      <c r="E2582" s="630" t="s">
        <v>648</v>
      </c>
      <c r="F2582" s="829">
        <v>95.14</v>
      </c>
      <c r="G2582" s="830">
        <v>25.24</v>
      </c>
      <c r="H2582" s="831">
        <v>120.38</v>
      </c>
      <c r="I2582" s="846"/>
      <c r="J2582" s="846"/>
      <c r="K2582" s="846"/>
      <c r="L2582" s="846"/>
      <c r="M2582" s="846"/>
      <c r="N2582" s="846"/>
      <c r="O2582" s="846"/>
      <c r="P2582" s="846"/>
      <c r="Q2582" s="846"/>
      <c r="R2582" s="846"/>
      <c r="S2582" s="846"/>
      <c r="T2582" s="846"/>
    </row>
    <row r="2583" spans="2:20" ht="25.5" hidden="1">
      <c r="B2583" s="828" t="s">
        <v>6572</v>
      </c>
      <c r="C2583" s="828">
        <v>93188</v>
      </c>
      <c r="D2583" s="630" t="s">
        <v>916</v>
      </c>
      <c r="E2583" s="630" t="s">
        <v>648</v>
      </c>
      <c r="F2583" s="829">
        <v>74.52</v>
      </c>
      <c r="G2583" s="830">
        <v>22.65</v>
      </c>
      <c r="H2583" s="832">
        <v>97.17</v>
      </c>
      <c r="I2583" s="846"/>
      <c r="J2583" s="846"/>
      <c r="K2583" s="846"/>
      <c r="L2583" s="846"/>
      <c r="M2583" s="846"/>
      <c r="N2583" s="846"/>
      <c r="O2583" s="846"/>
      <c r="P2583" s="846"/>
      <c r="Q2583" s="846"/>
      <c r="R2583" s="846"/>
      <c r="S2583" s="846"/>
      <c r="T2583" s="846"/>
    </row>
    <row r="2584" spans="2:20" ht="25.5" hidden="1">
      <c r="B2584" s="828" t="s">
        <v>6572</v>
      </c>
      <c r="C2584" s="828">
        <v>93189</v>
      </c>
      <c r="D2584" s="630" t="s">
        <v>917</v>
      </c>
      <c r="E2584" s="630" t="s">
        <v>648</v>
      </c>
      <c r="F2584" s="829">
        <v>96.15</v>
      </c>
      <c r="G2584" s="830">
        <v>24.91</v>
      </c>
      <c r="H2584" s="831">
        <v>121.06</v>
      </c>
      <c r="I2584" s="846"/>
      <c r="J2584" s="846"/>
      <c r="K2584" s="846"/>
      <c r="L2584" s="846"/>
      <c r="M2584" s="846"/>
      <c r="N2584" s="846"/>
      <c r="O2584" s="846"/>
      <c r="P2584" s="846"/>
      <c r="Q2584" s="846"/>
      <c r="R2584" s="846"/>
      <c r="S2584" s="846"/>
      <c r="T2584" s="846"/>
    </row>
    <row r="2585" spans="2:20" ht="25.5" hidden="1">
      <c r="B2585" s="828" t="s">
        <v>6572</v>
      </c>
      <c r="C2585" s="828">
        <v>93190</v>
      </c>
      <c r="D2585" s="630" t="s">
        <v>918</v>
      </c>
      <c r="E2585" s="630" t="s">
        <v>648</v>
      </c>
      <c r="F2585" s="829">
        <v>34.949999999999996</v>
      </c>
      <c r="G2585" s="830">
        <v>10.44</v>
      </c>
      <c r="H2585" s="831">
        <v>45.39</v>
      </c>
      <c r="I2585" s="846"/>
      <c r="J2585" s="846"/>
      <c r="K2585" s="846"/>
      <c r="L2585" s="846"/>
      <c r="M2585" s="846"/>
      <c r="N2585" s="846"/>
      <c r="O2585" s="846"/>
      <c r="P2585" s="846"/>
      <c r="Q2585" s="846"/>
      <c r="R2585" s="846"/>
      <c r="S2585" s="846"/>
      <c r="T2585" s="846"/>
    </row>
    <row r="2586" spans="2:20" ht="25.5" hidden="1">
      <c r="B2586" s="828" t="s">
        <v>6572</v>
      </c>
      <c r="C2586" s="828">
        <v>93191</v>
      </c>
      <c r="D2586" s="630" t="s">
        <v>919</v>
      </c>
      <c r="E2586" s="630" t="s">
        <v>648</v>
      </c>
      <c r="F2586" s="829">
        <v>37.61</v>
      </c>
      <c r="G2586" s="830">
        <v>9.83</v>
      </c>
      <c r="H2586" s="831">
        <v>47.44</v>
      </c>
      <c r="I2586" s="846"/>
      <c r="J2586" s="846"/>
      <c r="K2586" s="846"/>
      <c r="L2586" s="846"/>
      <c r="M2586" s="846"/>
      <c r="N2586" s="846"/>
      <c r="O2586" s="846"/>
      <c r="P2586" s="846"/>
      <c r="Q2586" s="846"/>
      <c r="R2586" s="846"/>
      <c r="S2586" s="846"/>
      <c r="T2586" s="846"/>
    </row>
    <row r="2587" spans="2:20" ht="25.5" hidden="1">
      <c r="B2587" s="828" t="s">
        <v>6572</v>
      </c>
      <c r="C2587" s="828">
        <v>93192</v>
      </c>
      <c r="D2587" s="630" t="s">
        <v>920</v>
      </c>
      <c r="E2587" s="630" t="s">
        <v>648</v>
      </c>
      <c r="F2587" s="829">
        <v>38.72</v>
      </c>
      <c r="G2587" s="830">
        <v>10.83</v>
      </c>
      <c r="H2587" s="831">
        <v>49.55</v>
      </c>
      <c r="I2587" s="846"/>
      <c r="J2587" s="846"/>
      <c r="K2587" s="846"/>
      <c r="L2587" s="846"/>
      <c r="M2587" s="846"/>
      <c r="N2587" s="846"/>
      <c r="O2587" s="846"/>
      <c r="P2587" s="846"/>
      <c r="Q2587" s="846"/>
      <c r="R2587" s="846"/>
      <c r="S2587" s="846"/>
      <c r="T2587" s="846"/>
    </row>
    <row r="2588" spans="2:20" ht="25.5" hidden="1">
      <c r="B2588" s="828" t="s">
        <v>6572</v>
      </c>
      <c r="C2588" s="828">
        <v>93193</v>
      </c>
      <c r="D2588" s="630" t="s">
        <v>921</v>
      </c>
      <c r="E2588" s="630" t="s">
        <v>648</v>
      </c>
      <c r="F2588" s="829">
        <v>38.79</v>
      </c>
      <c r="G2588" s="830">
        <v>9.5</v>
      </c>
      <c r="H2588" s="831">
        <v>48.29</v>
      </c>
      <c r="I2588" s="846"/>
      <c r="J2588" s="846"/>
      <c r="K2588" s="846"/>
      <c r="L2588" s="846"/>
      <c r="M2588" s="846"/>
      <c r="N2588" s="846"/>
      <c r="O2588" s="846"/>
      <c r="P2588" s="846"/>
      <c r="Q2588" s="846"/>
      <c r="R2588" s="846"/>
      <c r="S2588" s="846"/>
      <c r="T2588" s="846"/>
    </row>
    <row r="2589" spans="2:20" ht="25.5" hidden="1">
      <c r="B2589" s="828" t="s">
        <v>6572</v>
      </c>
      <c r="C2589" s="828">
        <v>93194</v>
      </c>
      <c r="D2589" s="630" t="s">
        <v>922</v>
      </c>
      <c r="E2589" s="630" t="s">
        <v>648</v>
      </c>
      <c r="F2589" s="829">
        <v>43.95</v>
      </c>
      <c r="G2589" s="830">
        <v>10.16</v>
      </c>
      <c r="H2589" s="831">
        <v>54.11</v>
      </c>
      <c r="I2589" s="846"/>
      <c r="J2589" s="846"/>
      <c r="K2589" s="846"/>
      <c r="L2589" s="846"/>
      <c r="M2589" s="846"/>
      <c r="N2589" s="846"/>
      <c r="O2589" s="846"/>
      <c r="P2589" s="846"/>
      <c r="Q2589" s="846"/>
      <c r="R2589" s="846"/>
      <c r="S2589" s="846"/>
      <c r="T2589" s="846"/>
    </row>
    <row r="2590" spans="2:20" ht="25.5" hidden="1">
      <c r="B2590" s="828" t="s">
        <v>6572</v>
      </c>
      <c r="C2590" s="828">
        <v>93195</v>
      </c>
      <c r="D2590" s="630" t="s">
        <v>923</v>
      </c>
      <c r="E2590" s="630" t="s">
        <v>648</v>
      </c>
      <c r="F2590" s="829">
        <v>54.65</v>
      </c>
      <c r="G2590" s="830">
        <v>11.38</v>
      </c>
      <c r="H2590" s="831">
        <v>66.03</v>
      </c>
      <c r="I2590" s="846"/>
      <c r="J2590" s="846"/>
      <c r="K2590" s="846"/>
      <c r="L2590" s="846"/>
      <c r="M2590" s="846"/>
      <c r="N2590" s="846"/>
      <c r="O2590" s="846"/>
      <c r="P2590" s="846"/>
      <c r="Q2590" s="846"/>
      <c r="R2590" s="846"/>
      <c r="S2590" s="846"/>
      <c r="T2590" s="846"/>
    </row>
    <row r="2591" spans="2:20" ht="25.5" hidden="1">
      <c r="B2591" s="828" t="s">
        <v>6572</v>
      </c>
      <c r="C2591" s="828">
        <v>93196</v>
      </c>
      <c r="D2591" s="630" t="s">
        <v>955</v>
      </c>
      <c r="E2591" s="630" t="s">
        <v>648</v>
      </c>
      <c r="F2591" s="829">
        <v>79.190000000000012</v>
      </c>
      <c r="G2591" s="830">
        <v>24.06</v>
      </c>
      <c r="H2591" s="831">
        <v>103.25</v>
      </c>
      <c r="I2591" s="846"/>
      <c r="J2591" s="846"/>
      <c r="K2591" s="846"/>
      <c r="L2591" s="846"/>
      <c r="M2591" s="846"/>
      <c r="N2591" s="846"/>
      <c r="O2591" s="846"/>
      <c r="P2591" s="846"/>
      <c r="Q2591" s="846"/>
      <c r="R2591" s="846"/>
      <c r="S2591" s="846"/>
      <c r="T2591" s="846"/>
    </row>
    <row r="2592" spans="2:20" ht="25.5" hidden="1">
      <c r="B2592" s="828" t="s">
        <v>6572</v>
      </c>
      <c r="C2592" s="828">
        <v>93197</v>
      </c>
      <c r="D2592" s="630" t="s">
        <v>956</v>
      </c>
      <c r="E2592" s="630" t="s">
        <v>648</v>
      </c>
      <c r="F2592" s="829">
        <v>90.06</v>
      </c>
      <c r="G2592" s="830">
        <v>25.31</v>
      </c>
      <c r="H2592" s="831">
        <v>115.37</v>
      </c>
      <c r="I2592" s="846"/>
      <c r="J2592" s="846"/>
      <c r="K2592" s="846"/>
      <c r="L2592" s="846"/>
      <c r="M2592" s="846"/>
      <c r="N2592" s="846"/>
      <c r="O2592" s="846"/>
      <c r="P2592" s="846"/>
      <c r="Q2592" s="846"/>
      <c r="R2592" s="846"/>
      <c r="S2592" s="846"/>
      <c r="T2592" s="846"/>
    </row>
    <row r="2593" spans="2:20" ht="25.5" hidden="1">
      <c r="B2593" s="828" t="s">
        <v>6572</v>
      </c>
      <c r="C2593" s="828">
        <v>93198</v>
      </c>
      <c r="D2593" s="630" t="s">
        <v>957</v>
      </c>
      <c r="E2593" s="630" t="s">
        <v>648</v>
      </c>
      <c r="F2593" s="829">
        <v>28.19</v>
      </c>
      <c r="G2593" s="830">
        <v>10.45</v>
      </c>
      <c r="H2593" s="831">
        <v>38.64</v>
      </c>
      <c r="I2593" s="846"/>
      <c r="J2593" s="846"/>
      <c r="K2593" s="846"/>
      <c r="L2593" s="846"/>
      <c r="M2593" s="846"/>
      <c r="N2593" s="846"/>
      <c r="O2593" s="846"/>
      <c r="P2593" s="846"/>
      <c r="Q2593" s="846"/>
      <c r="R2593" s="846"/>
      <c r="S2593" s="846"/>
      <c r="T2593" s="846"/>
    </row>
    <row r="2594" spans="2:20" ht="25.5" hidden="1">
      <c r="B2594" s="828" t="s">
        <v>6572</v>
      </c>
      <c r="C2594" s="828">
        <v>93199</v>
      </c>
      <c r="D2594" s="630" t="s">
        <v>958</v>
      </c>
      <c r="E2594" s="630" t="s">
        <v>648</v>
      </c>
      <c r="F2594" s="829">
        <v>28.05</v>
      </c>
      <c r="G2594" s="830">
        <v>9.91</v>
      </c>
      <c r="H2594" s="831">
        <v>37.96</v>
      </c>
      <c r="I2594" s="846"/>
      <c r="J2594" s="846"/>
      <c r="K2594" s="846"/>
      <c r="L2594" s="846"/>
      <c r="M2594" s="846"/>
      <c r="N2594" s="846"/>
      <c r="O2594" s="846"/>
      <c r="P2594" s="846"/>
      <c r="Q2594" s="846"/>
      <c r="R2594" s="846"/>
      <c r="S2594" s="846"/>
      <c r="T2594" s="846"/>
    </row>
    <row r="2595" spans="2:20" ht="25.5" hidden="1">
      <c r="B2595" s="828" t="s">
        <v>6572</v>
      </c>
      <c r="C2595" s="828">
        <v>93200</v>
      </c>
      <c r="D2595" s="630" t="s">
        <v>1080</v>
      </c>
      <c r="E2595" s="630" t="s">
        <v>648</v>
      </c>
      <c r="F2595" s="829">
        <v>1.53</v>
      </c>
      <c r="G2595" s="830">
        <v>1.51</v>
      </c>
      <c r="H2595" s="831">
        <v>3.04</v>
      </c>
      <c r="I2595" s="846"/>
      <c r="J2595" s="846"/>
      <c r="K2595" s="846"/>
      <c r="L2595" s="846"/>
      <c r="M2595" s="846"/>
      <c r="N2595" s="846"/>
      <c r="O2595" s="846"/>
      <c r="P2595" s="846"/>
      <c r="Q2595" s="846"/>
      <c r="R2595" s="846"/>
      <c r="S2595" s="846"/>
      <c r="T2595" s="846"/>
    </row>
    <row r="2596" spans="2:20" ht="25.5" hidden="1">
      <c r="B2596" s="828" t="s">
        <v>6572</v>
      </c>
      <c r="C2596" s="828">
        <v>93201</v>
      </c>
      <c r="D2596" s="630" t="s">
        <v>1081</v>
      </c>
      <c r="E2596" s="630" t="s">
        <v>648</v>
      </c>
      <c r="F2596" s="829">
        <v>2.34</v>
      </c>
      <c r="G2596" s="830">
        <v>4.51</v>
      </c>
      <c r="H2596" s="831">
        <v>6.85</v>
      </c>
      <c r="I2596" s="846"/>
      <c r="J2596" s="846"/>
      <c r="K2596" s="846"/>
      <c r="L2596" s="846"/>
      <c r="M2596" s="846"/>
      <c r="N2596" s="846"/>
      <c r="O2596" s="846"/>
      <c r="P2596" s="846"/>
      <c r="Q2596" s="846"/>
      <c r="R2596" s="846"/>
      <c r="S2596" s="846"/>
      <c r="T2596" s="846"/>
    </row>
    <row r="2597" spans="2:20" ht="25.5" hidden="1">
      <c r="B2597" s="828" t="s">
        <v>6572</v>
      </c>
      <c r="C2597" s="828">
        <v>93202</v>
      </c>
      <c r="D2597" s="630" t="s">
        <v>1082</v>
      </c>
      <c r="E2597" s="630" t="s">
        <v>648</v>
      </c>
      <c r="F2597" s="829">
        <v>13.57</v>
      </c>
      <c r="G2597" s="830">
        <v>15.17</v>
      </c>
      <c r="H2597" s="831">
        <v>28.74</v>
      </c>
      <c r="I2597" s="846"/>
      <c r="J2597" s="846"/>
      <c r="K2597" s="846"/>
      <c r="L2597" s="846"/>
      <c r="M2597" s="846"/>
      <c r="N2597" s="846"/>
      <c r="O2597" s="846"/>
      <c r="P2597" s="846"/>
      <c r="Q2597" s="846"/>
      <c r="R2597" s="846"/>
      <c r="S2597" s="846"/>
      <c r="T2597" s="846"/>
    </row>
    <row r="2598" spans="2:20" ht="25.5" hidden="1">
      <c r="B2598" s="828" t="s">
        <v>6572</v>
      </c>
      <c r="C2598" s="828">
        <v>93203</v>
      </c>
      <c r="D2598" s="630" t="s">
        <v>2783</v>
      </c>
      <c r="E2598" s="630" t="s">
        <v>648</v>
      </c>
      <c r="F2598" s="829">
        <v>12.62</v>
      </c>
      <c r="G2598" s="830">
        <v>2.13</v>
      </c>
      <c r="H2598" s="831">
        <v>14.75</v>
      </c>
      <c r="I2598" s="846"/>
      <c r="J2598" s="846"/>
      <c r="K2598" s="846"/>
      <c r="L2598" s="846"/>
      <c r="M2598" s="846"/>
      <c r="N2598" s="846"/>
      <c r="O2598" s="846"/>
      <c r="P2598" s="846"/>
      <c r="Q2598" s="846"/>
      <c r="R2598" s="846"/>
      <c r="S2598" s="846"/>
      <c r="T2598" s="846"/>
    </row>
    <row r="2599" spans="2:20" ht="25.5" hidden="1">
      <c r="B2599" s="828" t="s">
        <v>6572</v>
      </c>
      <c r="C2599" s="828">
        <v>93204</v>
      </c>
      <c r="D2599" s="630" t="s">
        <v>959</v>
      </c>
      <c r="E2599" s="630" t="s">
        <v>648</v>
      </c>
      <c r="F2599" s="829">
        <v>54.730000000000004</v>
      </c>
      <c r="G2599" s="830">
        <v>18.93</v>
      </c>
      <c r="H2599" s="831">
        <v>73.66</v>
      </c>
      <c r="I2599" s="846"/>
      <c r="J2599" s="846"/>
      <c r="K2599" s="846"/>
      <c r="L2599" s="846"/>
      <c r="M2599" s="846"/>
      <c r="N2599" s="846"/>
      <c r="O2599" s="846"/>
      <c r="P2599" s="846"/>
      <c r="Q2599" s="846"/>
      <c r="R2599" s="846"/>
      <c r="S2599" s="846"/>
      <c r="T2599" s="846"/>
    </row>
    <row r="2600" spans="2:20" ht="25.5" hidden="1">
      <c r="B2600" s="828" t="s">
        <v>6572</v>
      </c>
      <c r="C2600" s="828">
        <v>93205</v>
      </c>
      <c r="D2600" s="630" t="s">
        <v>960</v>
      </c>
      <c r="E2600" s="630" t="s">
        <v>648</v>
      </c>
      <c r="F2600" s="829">
        <v>28.09</v>
      </c>
      <c r="G2600" s="830">
        <v>9.59</v>
      </c>
      <c r="H2600" s="831">
        <v>37.68</v>
      </c>
      <c r="I2600" s="846"/>
      <c r="J2600" s="846"/>
      <c r="K2600" s="846"/>
      <c r="L2600" s="846"/>
      <c r="M2600" s="846"/>
      <c r="N2600" s="846"/>
      <c r="O2600" s="846"/>
      <c r="P2600" s="846"/>
      <c r="Q2600" s="846"/>
      <c r="R2600" s="846"/>
      <c r="S2600" s="846"/>
      <c r="T2600" s="846"/>
    </row>
    <row r="2601" spans="2:20" ht="38.25" hidden="1">
      <c r="B2601" s="828" t="s">
        <v>6596</v>
      </c>
      <c r="C2601" s="828">
        <v>95952</v>
      </c>
      <c r="D2601" s="630" t="s">
        <v>2333</v>
      </c>
      <c r="E2601" s="630" t="s">
        <v>644</v>
      </c>
      <c r="F2601" s="829">
        <v>1781.83</v>
      </c>
      <c r="G2601" s="830">
        <v>457.43</v>
      </c>
      <c r="H2601" s="831">
        <v>2239.2600000000002</v>
      </c>
      <c r="I2601" s="846"/>
      <c r="J2601" s="846"/>
      <c r="K2601" s="846"/>
      <c r="L2601" s="846"/>
      <c r="M2601" s="846"/>
      <c r="N2601" s="846"/>
      <c r="O2601" s="846"/>
      <c r="P2601" s="846"/>
      <c r="Q2601" s="846"/>
      <c r="R2601" s="846"/>
      <c r="S2601" s="846"/>
      <c r="T2601" s="846"/>
    </row>
    <row r="2602" spans="2:20" ht="38.25" hidden="1">
      <c r="B2602" s="828" t="s">
        <v>6596</v>
      </c>
      <c r="C2602" s="828">
        <v>95953</v>
      </c>
      <c r="D2602" s="630" t="s">
        <v>2334</v>
      </c>
      <c r="E2602" s="630" t="s">
        <v>644</v>
      </c>
      <c r="F2602" s="829">
        <v>2708.21</v>
      </c>
      <c r="G2602" s="830">
        <v>978.02</v>
      </c>
      <c r="H2602" s="831">
        <v>3686.23</v>
      </c>
      <c r="I2602" s="846"/>
      <c r="J2602" s="846"/>
      <c r="K2602" s="846"/>
      <c r="L2602" s="846"/>
      <c r="M2602" s="846"/>
      <c r="N2602" s="846"/>
      <c r="O2602" s="846"/>
      <c r="P2602" s="846"/>
      <c r="Q2602" s="846"/>
      <c r="R2602" s="846"/>
      <c r="S2602" s="846"/>
      <c r="T2602" s="846"/>
    </row>
    <row r="2603" spans="2:20" ht="38.25" hidden="1">
      <c r="B2603" s="828" t="s">
        <v>6596</v>
      </c>
      <c r="C2603" s="828">
        <v>95954</v>
      </c>
      <c r="D2603" s="630" t="s">
        <v>2335</v>
      </c>
      <c r="E2603" s="630" t="s">
        <v>644</v>
      </c>
      <c r="F2603" s="829">
        <v>1992.24</v>
      </c>
      <c r="G2603" s="830">
        <v>614.05999999999995</v>
      </c>
      <c r="H2603" s="831">
        <v>2606.3000000000002</v>
      </c>
      <c r="I2603" s="846"/>
      <c r="J2603" s="846"/>
      <c r="K2603" s="846"/>
      <c r="L2603" s="846"/>
      <c r="M2603" s="846"/>
      <c r="N2603" s="846"/>
      <c r="O2603" s="846"/>
      <c r="P2603" s="846"/>
      <c r="Q2603" s="846"/>
      <c r="R2603" s="846"/>
      <c r="S2603" s="846"/>
      <c r="T2603" s="846"/>
    </row>
    <row r="2604" spans="2:20" ht="38.25" hidden="1">
      <c r="B2604" s="828" t="s">
        <v>6596</v>
      </c>
      <c r="C2604" s="828">
        <v>95955</v>
      </c>
      <c r="D2604" s="630" t="s">
        <v>2336</v>
      </c>
      <c r="E2604" s="630" t="s">
        <v>644</v>
      </c>
      <c r="F2604" s="829">
        <v>2492.9999999999995</v>
      </c>
      <c r="G2604" s="830">
        <v>819.57</v>
      </c>
      <c r="H2604" s="831">
        <v>3312.57</v>
      </c>
      <c r="I2604" s="846"/>
      <c r="J2604" s="846"/>
      <c r="K2604" s="846"/>
      <c r="L2604" s="846"/>
      <c r="M2604" s="846"/>
      <c r="N2604" s="846"/>
      <c r="O2604" s="846"/>
      <c r="P2604" s="846"/>
      <c r="Q2604" s="846"/>
      <c r="R2604" s="846"/>
      <c r="S2604" s="846"/>
      <c r="T2604" s="846"/>
    </row>
    <row r="2605" spans="2:20" ht="38.25" hidden="1">
      <c r="B2605" s="828" t="s">
        <v>6596</v>
      </c>
      <c r="C2605" s="828">
        <v>95956</v>
      </c>
      <c r="D2605" s="630" t="s">
        <v>2337</v>
      </c>
      <c r="E2605" s="630" t="s">
        <v>644</v>
      </c>
      <c r="F2605" s="829">
        <v>2012.4099999999999</v>
      </c>
      <c r="G2605" s="830">
        <v>583.42999999999995</v>
      </c>
      <c r="H2605" s="831">
        <v>2595.84</v>
      </c>
      <c r="I2605" s="846"/>
      <c r="J2605" s="846"/>
      <c r="K2605" s="846"/>
      <c r="L2605" s="846"/>
      <c r="M2605" s="846"/>
      <c r="N2605" s="846"/>
      <c r="O2605" s="846"/>
      <c r="P2605" s="846"/>
      <c r="Q2605" s="846"/>
      <c r="R2605" s="846"/>
      <c r="S2605" s="846"/>
      <c r="T2605" s="846"/>
    </row>
    <row r="2606" spans="2:20" ht="38.25" hidden="1">
      <c r="B2606" s="828" t="s">
        <v>6596</v>
      </c>
      <c r="C2606" s="828">
        <v>95957</v>
      </c>
      <c r="D2606" s="630" t="s">
        <v>2338</v>
      </c>
      <c r="E2606" s="630" t="s">
        <v>644</v>
      </c>
      <c r="F2606" s="829">
        <v>2607.1799999999998</v>
      </c>
      <c r="G2606" s="830">
        <v>663.04</v>
      </c>
      <c r="H2606" s="831">
        <v>3270.22</v>
      </c>
      <c r="I2606" s="846"/>
      <c r="J2606" s="846"/>
      <c r="K2606" s="846"/>
      <c r="L2606" s="846"/>
      <c r="M2606" s="846"/>
      <c r="N2606" s="846"/>
      <c r="O2606" s="846"/>
      <c r="P2606" s="846"/>
      <c r="Q2606" s="846"/>
      <c r="R2606" s="846"/>
      <c r="S2606" s="846"/>
      <c r="T2606" s="846"/>
    </row>
    <row r="2607" spans="2:20" ht="25.5" hidden="1">
      <c r="B2607" s="828" t="s">
        <v>6596</v>
      </c>
      <c r="C2607" s="828">
        <v>95969</v>
      </c>
      <c r="D2607" s="630" t="s">
        <v>2339</v>
      </c>
      <c r="E2607" s="630" t="s">
        <v>644</v>
      </c>
      <c r="F2607" s="829">
        <v>2116.8399999999997</v>
      </c>
      <c r="G2607" s="830">
        <v>1182.56</v>
      </c>
      <c r="H2607" s="831">
        <v>3299.4</v>
      </c>
      <c r="I2607" s="846"/>
      <c r="J2607" s="846"/>
      <c r="K2607" s="846"/>
      <c r="L2607" s="846"/>
      <c r="M2607" s="846"/>
      <c r="N2607" s="846"/>
      <c r="O2607" s="846"/>
      <c r="P2607" s="846"/>
      <c r="Q2607" s="846"/>
      <c r="R2607" s="846"/>
      <c r="S2607" s="846"/>
      <c r="T2607" s="846"/>
    </row>
    <row r="2608" spans="2:20" ht="25.5" hidden="1">
      <c r="B2608" s="828" t="s">
        <v>6596</v>
      </c>
      <c r="C2608" s="828">
        <v>97733</v>
      </c>
      <c r="D2608" s="630" t="s">
        <v>2899</v>
      </c>
      <c r="E2608" s="630" t="s">
        <v>644</v>
      </c>
      <c r="F2608" s="829">
        <v>1635.28</v>
      </c>
      <c r="G2608" s="830">
        <v>1918.89</v>
      </c>
      <c r="H2608" s="831">
        <v>3554.17</v>
      </c>
      <c r="I2608" s="846"/>
      <c r="J2608" s="846"/>
      <c r="K2608" s="846"/>
      <c r="L2608" s="846"/>
      <c r="M2608" s="846"/>
      <c r="N2608" s="846"/>
      <c r="O2608" s="846"/>
      <c r="P2608" s="846"/>
      <c r="Q2608" s="846"/>
      <c r="R2608" s="846"/>
      <c r="S2608" s="846"/>
      <c r="T2608" s="846"/>
    </row>
    <row r="2609" spans="2:20" ht="25.5" hidden="1">
      <c r="B2609" s="828" t="s">
        <v>6596</v>
      </c>
      <c r="C2609" s="828">
        <v>97734</v>
      </c>
      <c r="D2609" s="630" t="s">
        <v>2900</v>
      </c>
      <c r="E2609" s="630" t="s">
        <v>644</v>
      </c>
      <c r="F2609" s="829">
        <v>1378.0900000000001</v>
      </c>
      <c r="G2609" s="830">
        <v>1715.09</v>
      </c>
      <c r="H2609" s="831">
        <v>3093.18</v>
      </c>
      <c r="I2609" s="846"/>
      <c r="J2609" s="846"/>
      <c r="K2609" s="846"/>
      <c r="L2609" s="846"/>
      <c r="M2609" s="846"/>
      <c r="N2609" s="846"/>
      <c r="O2609" s="846"/>
      <c r="P2609" s="846"/>
      <c r="Q2609" s="846"/>
      <c r="R2609" s="846"/>
      <c r="S2609" s="846"/>
      <c r="T2609" s="846"/>
    </row>
    <row r="2610" spans="2:20" ht="25.5" hidden="1">
      <c r="B2610" s="828" t="s">
        <v>6596</v>
      </c>
      <c r="C2610" s="828">
        <v>97735</v>
      </c>
      <c r="D2610" s="630" t="s">
        <v>2901</v>
      </c>
      <c r="E2610" s="630" t="s">
        <v>644</v>
      </c>
      <c r="F2610" s="829">
        <v>1234.0500000000002</v>
      </c>
      <c r="G2610" s="830">
        <v>1288.8599999999999</v>
      </c>
      <c r="H2610" s="831">
        <v>2522.91</v>
      </c>
      <c r="I2610" s="846"/>
      <c r="J2610" s="846"/>
      <c r="K2610" s="846"/>
      <c r="L2610" s="846"/>
      <c r="M2610" s="846"/>
      <c r="N2610" s="846"/>
      <c r="O2610" s="846"/>
      <c r="P2610" s="846"/>
      <c r="Q2610" s="846"/>
      <c r="R2610" s="846"/>
      <c r="S2610" s="846"/>
      <c r="T2610" s="846"/>
    </row>
    <row r="2611" spans="2:20" ht="25.5" hidden="1">
      <c r="B2611" s="828" t="s">
        <v>6596</v>
      </c>
      <c r="C2611" s="828">
        <v>97736</v>
      </c>
      <c r="D2611" s="630" t="s">
        <v>2902</v>
      </c>
      <c r="E2611" s="630" t="s">
        <v>644</v>
      </c>
      <c r="F2611" s="829">
        <v>995.63</v>
      </c>
      <c r="G2611" s="830">
        <v>492.18</v>
      </c>
      <c r="H2611" s="831">
        <v>1487.81</v>
      </c>
      <c r="I2611" s="846"/>
      <c r="J2611" s="846"/>
      <c r="K2611" s="846"/>
      <c r="L2611" s="846"/>
      <c r="M2611" s="846"/>
      <c r="N2611" s="846"/>
      <c r="O2611" s="846"/>
      <c r="P2611" s="846"/>
      <c r="Q2611" s="846"/>
      <c r="R2611" s="846"/>
      <c r="S2611" s="846"/>
      <c r="T2611" s="846"/>
    </row>
    <row r="2612" spans="2:20" ht="25.5" hidden="1">
      <c r="B2612" s="828" t="s">
        <v>6596</v>
      </c>
      <c r="C2612" s="828">
        <v>97737</v>
      </c>
      <c r="D2612" s="630" t="s">
        <v>2903</v>
      </c>
      <c r="E2612" s="630" t="s">
        <v>644</v>
      </c>
      <c r="F2612" s="829">
        <v>1841.1799999999998</v>
      </c>
      <c r="G2612" s="830">
        <v>1534.9</v>
      </c>
      <c r="H2612" s="831">
        <v>3376.08</v>
      </c>
      <c r="I2612" s="846"/>
      <c r="J2612" s="846"/>
      <c r="K2612" s="846"/>
      <c r="L2612" s="846"/>
      <c r="M2612" s="846"/>
      <c r="N2612" s="846"/>
      <c r="O2612" s="846"/>
      <c r="P2612" s="846"/>
      <c r="Q2612" s="846"/>
      <c r="R2612" s="846"/>
      <c r="S2612" s="846"/>
      <c r="T2612" s="846"/>
    </row>
    <row r="2613" spans="2:20" ht="38.25" hidden="1">
      <c r="B2613" s="828" t="s">
        <v>6596</v>
      </c>
      <c r="C2613" s="828">
        <v>97738</v>
      </c>
      <c r="D2613" s="630" t="s">
        <v>2904</v>
      </c>
      <c r="E2613" s="630" t="s">
        <v>644</v>
      </c>
      <c r="F2613" s="829">
        <v>3002.2999999999997</v>
      </c>
      <c r="G2613" s="830">
        <v>2069.9299999999998</v>
      </c>
      <c r="H2613" s="831">
        <v>5072.2299999999996</v>
      </c>
      <c r="I2613" s="846"/>
      <c r="J2613" s="846"/>
      <c r="K2613" s="846"/>
      <c r="L2613" s="846"/>
      <c r="M2613" s="846"/>
      <c r="N2613" s="846"/>
      <c r="O2613" s="846"/>
      <c r="P2613" s="846"/>
      <c r="Q2613" s="846"/>
      <c r="R2613" s="846"/>
      <c r="S2613" s="846"/>
      <c r="T2613" s="846"/>
    </row>
    <row r="2614" spans="2:20" ht="25.5" hidden="1">
      <c r="B2614" s="828" t="s">
        <v>6596</v>
      </c>
      <c r="C2614" s="828">
        <v>97739</v>
      </c>
      <c r="D2614" s="630" t="s">
        <v>2905</v>
      </c>
      <c r="E2614" s="630" t="s">
        <v>644</v>
      </c>
      <c r="F2614" s="829">
        <v>1573.2499999999998</v>
      </c>
      <c r="G2614" s="830">
        <v>1361.12</v>
      </c>
      <c r="H2614" s="831">
        <v>2934.37</v>
      </c>
      <c r="I2614" s="846"/>
      <c r="J2614" s="846"/>
      <c r="K2614" s="846"/>
      <c r="L2614" s="846"/>
      <c r="M2614" s="846"/>
      <c r="N2614" s="846"/>
      <c r="O2614" s="846"/>
      <c r="P2614" s="846"/>
      <c r="Q2614" s="846"/>
      <c r="R2614" s="846"/>
      <c r="S2614" s="846"/>
      <c r="T2614" s="846"/>
    </row>
    <row r="2615" spans="2:20" ht="25.5" hidden="1">
      <c r="B2615" s="828" t="s">
        <v>6596</v>
      </c>
      <c r="C2615" s="828">
        <v>97740</v>
      </c>
      <c r="D2615" s="630" t="s">
        <v>2906</v>
      </c>
      <c r="E2615" s="630" t="s">
        <v>644</v>
      </c>
      <c r="F2615" s="829">
        <v>1389.2</v>
      </c>
      <c r="G2615" s="830">
        <v>645.58000000000004</v>
      </c>
      <c r="H2615" s="831">
        <v>2034.78</v>
      </c>
      <c r="I2615" s="846"/>
      <c r="J2615" s="846"/>
      <c r="K2615" s="846"/>
      <c r="L2615" s="846"/>
      <c r="M2615" s="846"/>
      <c r="N2615" s="846"/>
      <c r="O2615" s="846"/>
      <c r="P2615" s="846"/>
      <c r="Q2615" s="846"/>
      <c r="R2615" s="846"/>
      <c r="S2615" s="846"/>
      <c r="T2615" s="846"/>
    </row>
    <row r="2616" spans="2:20" ht="25.5" hidden="1">
      <c r="B2616" s="828" t="s">
        <v>6596</v>
      </c>
      <c r="C2616" s="828">
        <v>98615</v>
      </c>
      <c r="D2616" s="630" t="s">
        <v>2964</v>
      </c>
      <c r="E2616" s="630" t="s">
        <v>649</v>
      </c>
      <c r="F2616" s="829">
        <v>119.88</v>
      </c>
      <c r="G2616" s="830">
        <v>16.96</v>
      </c>
      <c r="H2616" s="831">
        <v>136.84</v>
      </c>
      <c r="I2616" s="846"/>
      <c r="J2616" s="846"/>
      <c r="K2616" s="846"/>
      <c r="L2616" s="846"/>
      <c r="M2616" s="846"/>
      <c r="N2616" s="846"/>
      <c r="O2616" s="846"/>
      <c r="P2616" s="846"/>
      <c r="Q2616" s="846"/>
      <c r="R2616" s="846"/>
      <c r="S2616" s="846"/>
      <c r="T2616" s="846"/>
    </row>
    <row r="2617" spans="2:20" ht="38.25" hidden="1">
      <c r="B2617" s="828" t="s">
        <v>6596</v>
      </c>
      <c r="C2617" s="828">
        <v>98616</v>
      </c>
      <c r="D2617" s="630" t="s">
        <v>2965</v>
      </c>
      <c r="E2617" s="630" t="s">
        <v>649</v>
      </c>
      <c r="F2617" s="829">
        <v>91.66</v>
      </c>
      <c r="G2617" s="830">
        <v>10.82</v>
      </c>
      <c r="H2617" s="831">
        <v>102.48</v>
      </c>
      <c r="I2617" s="846"/>
      <c r="J2617" s="846"/>
      <c r="K2617" s="846"/>
      <c r="L2617" s="846"/>
      <c r="M2617" s="846"/>
      <c r="N2617" s="846"/>
      <c r="O2617" s="846"/>
      <c r="P2617" s="846"/>
      <c r="Q2617" s="846"/>
      <c r="R2617" s="846"/>
      <c r="S2617" s="846"/>
      <c r="T2617" s="846"/>
    </row>
    <row r="2618" spans="2:20" ht="25.5" hidden="1">
      <c r="B2618" s="828" t="s">
        <v>6596</v>
      </c>
      <c r="C2618" s="828">
        <v>98617</v>
      </c>
      <c r="D2618" s="630" t="s">
        <v>2966</v>
      </c>
      <c r="E2618" s="630" t="s">
        <v>649</v>
      </c>
      <c r="F2618" s="829">
        <v>84.740000000000009</v>
      </c>
      <c r="G2618" s="830">
        <v>8.4700000000000006</v>
      </c>
      <c r="H2618" s="831">
        <v>93.21</v>
      </c>
      <c r="I2618" s="846"/>
      <c r="J2618" s="846"/>
      <c r="K2618" s="846"/>
      <c r="L2618" s="846"/>
      <c r="M2618" s="846"/>
      <c r="N2618" s="846"/>
      <c r="O2618" s="846"/>
      <c r="P2618" s="846"/>
      <c r="Q2618" s="846"/>
      <c r="R2618" s="846"/>
      <c r="S2618" s="846"/>
      <c r="T2618" s="846"/>
    </row>
    <row r="2619" spans="2:20" ht="25.5" hidden="1">
      <c r="B2619" s="828" t="s">
        <v>6596</v>
      </c>
      <c r="C2619" s="828">
        <v>98618</v>
      </c>
      <c r="D2619" s="630" t="s">
        <v>2967</v>
      </c>
      <c r="E2619" s="630" t="s">
        <v>649</v>
      </c>
      <c r="F2619" s="829">
        <v>116.24000000000001</v>
      </c>
      <c r="G2619" s="830">
        <v>12.47</v>
      </c>
      <c r="H2619" s="831">
        <v>128.71</v>
      </c>
      <c r="I2619" s="846"/>
      <c r="J2619" s="846"/>
      <c r="K2619" s="846"/>
      <c r="L2619" s="846"/>
      <c r="M2619" s="846"/>
      <c r="N2619" s="846"/>
      <c r="O2619" s="846"/>
      <c r="P2619" s="846"/>
      <c r="Q2619" s="846"/>
      <c r="R2619" s="846"/>
      <c r="S2619" s="846"/>
      <c r="T2619" s="846"/>
    </row>
    <row r="2620" spans="2:20" ht="38.25" hidden="1">
      <c r="B2620" s="828" t="s">
        <v>6596</v>
      </c>
      <c r="C2620" s="828">
        <v>98619</v>
      </c>
      <c r="D2620" s="630" t="s">
        <v>2968</v>
      </c>
      <c r="E2620" s="630" t="s">
        <v>649</v>
      </c>
      <c r="F2620" s="829">
        <v>105.69999999999999</v>
      </c>
      <c r="G2620" s="830">
        <v>8.98</v>
      </c>
      <c r="H2620" s="832">
        <v>114.68</v>
      </c>
      <c r="I2620" s="846"/>
      <c r="J2620" s="846"/>
      <c r="K2620" s="846"/>
      <c r="L2620" s="846"/>
      <c r="M2620" s="846"/>
      <c r="N2620" s="846"/>
      <c r="O2620" s="846"/>
      <c r="P2620" s="846"/>
      <c r="Q2620" s="846"/>
      <c r="R2620" s="846"/>
      <c r="S2620" s="846"/>
      <c r="T2620" s="846"/>
    </row>
    <row r="2621" spans="2:20" ht="25.5" hidden="1">
      <c r="B2621" s="828" t="s">
        <v>6596</v>
      </c>
      <c r="C2621" s="828">
        <v>98620</v>
      </c>
      <c r="D2621" s="630" t="s">
        <v>2969</v>
      </c>
      <c r="E2621" s="630" t="s">
        <v>649</v>
      </c>
      <c r="F2621" s="829">
        <v>100.37</v>
      </c>
      <c r="G2621" s="830">
        <v>7.23</v>
      </c>
      <c r="H2621" s="832">
        <v>107.6</v>
      </c>
      <c r="I2621" s="846"/>
      <c r="J2621" s="846"/>
      <c r="K2621" s="846"/>
      <c r="L2621" s="846"/>
      <c r="M2621" s="846"/>
      <c r="N2621" s="846"/>
      <c r="O2621" s="846"/>
      <c r="P2621" s="846"/>
      <c r="Q2621" s="846"/>
      <c r="R2621" s="846"/>
      <c r="S2621" s="846"/>
      <c r="T2621" s="846"/>
    </row>
    <row r="2622" spans="2:20" ht="25.5" hidden="1">
      <c r="B2622" s="828" t="s">
        <v>6596</v>
      </c>
      <c r="C2622" s="828">
        <v>98621</v>
      </c>
      <c r="D2622" s="630" t="s">
        <v>2970</v>
      </c>
      <c r="E2622" s="630" t="s">
        <v>649</v>
      </c>
      <c r="F2622" s="829">
        <v>131.85</v>
      </c>
      <c r="G2622" s="830">
        <v>10.91</v>
      </c>
      <c r="H2622" s="832">
        <v>142.76</v>
      </c>
      <c r="I2622" s="846"/>
      <c r="J2622" s="846"/>
      <c r="K2622" s="846"/>
      <c r="L2622" s="846"/>
      <c r="M2622" s="846"/>
      <c r="N2622" s="846"/>
      <c r="O2622" s="846"/>
      <c r="P2622" s="846"/>
      <c r="Q2622" s="846"/>
      <c r="R2622" s="846"/>
      <c r="S2622" s="846"/>
      <c r="T2622" s="846"/>
    </row>
    <row r="2623" spans="2:20" ht="38.25" hidden="1">
      <c r="B2623" s="828" t="s">
        <v>6596</v>
      </c>
      <c r="C2623" s="828">
        <v>98622</v>
      </c>
      <c r="D2623" s="630" t="s">
        <v>2971</v>
      </c>
      <c r="E2623" s="630" t="s">
        <v>649</v>
      </c>
      <c r="F2623" s="829">
        <v>123.41</v>
      </c>
      <c r="G2623" s="830">
        <v>8.11</v>
      </c>
      <c r="H2623" s="832">
        <v>131.52000000000001</v>
      </c>
      <c r="I2623" s="846"/>
      <c r="J2623" s="846"/>
      <c r="K2623" s="846"/>
      <c r="L2623" s="846"/>
      <c r="M2623" s="846"/>
      <c r="N2623" s="846"/>
      <c r="O2623" s="846"/>
      <c r="P2623" s="846"/>
      <c r="Q2623" s="846"/>
      <c r="R2623" s="846"/>
      <c r="S2623" s="846"/>
      <c r="T2623" s="846"/>
    </row>
    <row r="2624" spans="2:20" ht="25.5" hidden="1">
      <c r="B2624" s="828" t="s">
        <v>6596</v>
      </c>
      <c r="C2624" s="828">
        <v>98623</v>
      </c>
      <c r="D2624" s="630" t="s">
        <v>2972</v>
      </c>
      <c r="E2624" s="630" t="s">
        <v>649</v>
      </c>
      <c r="F2624" s="829">
        <v>119.06</v>
      </c>
      <c r="G2624" s="830">
        <v>6.74</v>
      </c>
      <c r="H2624" s="832">
        <v>125.8</v>
      </c>
      <c r="I2624" s="846"/>
      <c r="J2624" s="846"/>
      <c r="K2624" s="846"/>
      <c r="L2624" s="846"/>
      <c r="M2624" s="846"/>
      <c r="N2624" s="846"/>
      <c r="O2624" s="846"/>
      <c r="P2624" s="846"/>
      <c r="Q2624" s="846"/>
      <c r="R2624" s="846"/>
      <c r="S2624" s="846"/>
      <c r="T2624" s="846"/>
    </row>
    <row r="2625" spans="2:20" ht="25.5" hidden="1">
      <c r="B2625" s="828" t="s">
        <v>6596</v>
      </c>
      <c r="C2625" s="828">
        <v>98624</v>
      </c>
      <c r="D2625" s="630" t="s">
        <v>2973</v>
      </c>
      <c r="E2625" s="630" t="s">
        <v>649</v>
      </c>
      <c r="F2625" s="829">
        <v>148.67000000000002</v>
      </c>
      <c r="G2625" s="830">
        <v>10.02</v>
      </c>
      <c r="H2625" s="832">
        <v>158.69</v>
      </c>
      <c r="I2625" s="846"/>
      <c r="J2625" s="846"/>
      <c r="K2625" s="846"/>
      <c r="L2625" s="846"/>
      <c r="M2625" s="846"/>
      <c r="N2625" s="846"/>
      <c r="O2625" s="846"/>
      <c r="P2625" s="846"/>
      <c r="Q2625" s="846"/>
      <c r="R2625" s="846"/>
      <c r="S2625" s="846"/>
      <c r="T2625" s="846"/>
    </row>
    <row r="2626" spans="2:20" ht="38.25" hidden="1">
      <c r="B2626" s="828" t="s">
        <v>6596</v>
      </c>
      <c r="C2626" s="828">
        <v>98625</v>
      </c>
      <c r="D2626" s="630" t="s">
        <v>2974</v>
      </c>
      <c r="E2626" s="630" t="s">
        <v>649</v>
      </c>
      <c r="F2626" s="829">
        <v>141.51</v>
      </c>
      <c r="G2626" s="843">
        <v>7.71</v>
      </c>
      <c r="H2626" s="832">
        <v>149.22</v>
      </c>
      <c r="I2626" s="846"/>
      <c r="J2626" s="846"/>
      <c r="K2626" s="846"/>
      <c r="L2626" s="846"/>
      <c r="M2626" s="846"/>
      <c r="N2626" s="846"/>
      <c r="O2626" s="846"/>
      <c r="P2626" s="846"/>
      <c r="Q2626" s="846"/>
      <c r="R2626" s="846"/>
      <c r="S2626" s="846"/>
      <c r="T2626" s="846"/>
    </row>
    <row r="2627" spans="2:20" ht="25.5" hidden="1">
      <c r="B2627" s="828" t="s">
        <v>6596</v>
      </c>
      <c r="C2627" s="828">
        <v>98626</v>
      </c>
      <c r="D2627" s="630" t="s">
        <v>2975</v>
      </c>
      <c r="E2627" s="630" t="s">
        <v>649</v>
      </c>
      <c r="F2627" s="829">
        <v>137.81</v>
      </c>
      <c r="G2627" s="843">
        <v>6.55</v>
      </c>
      <c r="H2627" s="832">
        <v>144.36000000000001</v>
      </c>
      <c r="I2627" s="846"/>
      <c r="J2627" s="846"/>
      <c r="K2627" s="846"/>
      <c r="L2627" s="846"/>
      <c r="M2627" s="846"/>
      <c r="N2627" s="846"/>
      <c r="O2627" s="846"/>
      <c r="P2627" s="846"/>
      <c r="Q2627" s="846"/>
      <c r="R2627" s="846"/>
      <c r="S2627" s="846"/>
      <c r="T2627" s="846"/>
    </row>
    <row r="2628" spans="2:20" ht="25.5" hidden="1">
      <c r="B2628" s="828" t="s">
        <v>6596</v>
      </c>
      <c r="C2628" s="828">
        <v>98655</v>
      </c>
      <c r="D2628" s="630" t="s">
        <v>2976</v>
      </c>
      <c r="E2628" s="630" t="s">
        <v>648</v>
      </c>
      <c r="F2628" s="829">
        <v>472.91999999999996</v>
      </c>
      <c r="G2628" s="843">
        <v>180.37</v>
      </c>
      <c r="H2628" s="832">
        <v>653.29</v>
      </c>
      <c r="I2628" s="846"/>
      <c r="J2628" s="846"/>
      <c r="K2628" s="846"/>
      <c r="L2628" s="846"/>
      <c r="M2628" s="846"/>
      <c r="N2628" s="846"/>
      <c r="O2628" s="846"/>
      <c r="P2628" s="846"/>
      <c r="Q2628" s="846"/>
      <c r="R2628" s="846"/>
      <c r="S2628" s="846"/>
      <c r="T2628" s="846"/>
    </row>
    <row r="2629" spans="2:20" ht="25.5" hidden="1">
      <c r="B2629" s="828" t="s">
        <v>6596</v>
      </c>
      <c r="C2629" s="828">
        <v>98656</v>
      </c>
      <c r="D2629" s="630" t="s">
        <v>2977</v>
      </c>
      <c r="E2629" s="630" t="s">
        <v>648</v>
      </c>
      <c r="F2629" s="829">
        <v>480.75</v>
      </c>
      <c r="G2629" s="843">
        <v>181.94</v>
      </c>
      <c r="H2629" s="832">
        <v>662.69</v>
      </c>
      <c r="I2629" s="846"/>
      <c r="J2629" s="846"/>
      <c r="K2629" s="846"/>
      <c r="L2629" s="846"/>
      <c r="M2629" s="846"/>
      <c r="N2629" s="846"/>
      <c r="O2629" s="846"/>
      <c r="P2629" s="846"/>
      <c r="Q2629" s="846"/>
      <c r="R2629" s="846"/>
      <c r="S2629" s="846"/>
      <c r="T2629" s="846"/>
    </row>
    <row r="2630" spans="2:20" ht="25.5" hidden="1">
      <c r="B2630" s="828" t="s">
        <v>6596</v>
      </c>
      <c r="C2630" s="828">
        <v>98657</v>
      </c>
      <c r="D2630" s="630" t="s">
        <v>2978</v>
      </c>
      <c r="E2630" s="630" t="s">
        <v>648</v>
      </c>
      <c r="F2630" s="829">
        <v>488.59000000000003</v>
      </c>
      <c r="G2630" s="830">
        <v>183.51</v>
      </c>
      <c r="H2630" s="832">
        <v>672.1</v>
      </c>
      <c r="I2630" s="846"/>
      <c r="J2630" s="846"/>
      <c r="K2630" s="846"/>
      <c r="L2630" s="846"/>
      <c r="M2630" s="846"/>
      <c r="N2630" s="846"/>
      <c r="O2630" s="846"/>
      <c r="P2630" s="846"/>
      <c r="Q2630" s="846"/>
      <c r="R2630" s="846"/>
      <c r="S2630" s="846"/>
      <c r="T2630" s="846"/>
    </row>
    <row r="2631" spans="2:20" ht="25.5" hidden="1">
      <c r="B2631" s="828" t="s">
        <v>6596</v>
      </c>
      <c r="C2631" s="828">
        <v>98658</v>
      </c>
      <c r="D2631" s="630" t="s">
        <v>2979</v>
      </c>
      <c r="E2631" s="630" t="s">
        <v>648</v>
      </c>
      <c r="F2631" s="829">
        <v>496.40000000000003</v>
      </c>
      <c r="G2631" s="843">
        <v>185.09</v>
      </c>
      <c r="H2631" s="832">
        <v>681.49</v>
      </c>
      <c r="I2631" s="846"/>
      <c r="J2631" s="846"/>
      <c r="K2631" s="846"/>
      <c r="L2631" s="846"/>
      <c r="M2631" s="846"/>
      <c r="N2631" s="846"/>
      <c r="O2631" s="846"/>
      <c r="P2631" s="846"/>
      <c r="Q2631" s="846"/>
      <c r="R2631" s="846"/>
      <c r="S2631" s="846"/>
      <c r="T2631" s="846"/>
    </row>
    <row r="2632" spans="2:20" ht="25.5" hidden="1">
      <c r="B2632" s="828" t="s">
        <v>6596</v>
      </c>
      <c r="C2632" s="828">
        <v>98659</v>
      </c>
      <c r="D2632" s="630" t="s">
        <v>2980</v>
      </c>
      <c r="E2632" s="630" t="s">
        <v>648</v>
      </c>
      <c r="F2632" s="829">
        <v>512.04</v>
      </c>
      <c r="G2632" s="843">
        <v>188.25</v>
      </c>
      <c r="H2632" s="832">
        <v>700.29</v>
      </c>
      <c r="I2632" s="846"/>
      <c r="J2632" s="846"/>
      <c r="K2632" s="846"/>
      <c r="L2632" s="846"/>
      <c r="M2632" s="846"/>
      <c r="N2632" s="846"/>
      <c r="O2632" s="846"/>
      <c r="P2632" s="846"/>
      <c r="Q2632" s="846"/>
      <c r="R2632" s="846"/>
      <c r="S2632" s="846"/>
      <c r="T2632" s="846"/>
    </row>
    <row r="2633" spans="2:20" ht="25.5" hidden="1">
      <c r="B2633" s="828" t="s">
        <v>6596</v>
      </c>
      <c r="C2633" s="828">
        <v>98746</v>
      </c>
      <c r="D2633" s="630" t="s">
        <v>3002</v>
      </c>
      <c r="E2633" s="630" t="s">
        <v>648</v>
      </c>
      <c r="F2633" s="829">
        <v>40.590000000000003</v>
      </c>
      <c r="G2633" s="843">
        <v>38.74</v>
      </c>
      <c r="H2633" s="832">
        <v>79.33</v>
      </c>
      <c r="I2633" s="846"/>
      <c r="J2633" s="846"/>
      <c r="K2633" s="846"/>
      <c r="L2633" s="846"/>
      <c r="M2633" s="846"/>
      <c r="N2633" s="846"/>
      <c r="O2633" s="846"/>
      <c r="P2633" s="846"/>
      <c r="Q2633" s="846"/>
      <c r="R2633" s="846"/>
      <c r="S2633" s="846"/>
      <c r="T2633" s="846"/>
    </row>
    <row r="2634" spans="2:20" ht="25.5" hidden="1">
      <c r="B2634" s="828" t="s">
        <v>6596</v>
      </c>
      <c r="C2634" s="828">
        <v>98749</v>
      </c>
      <c r="D2634" s="630" t="s">
        <v>3003</v>
      </c>
      <c r="E2634" s="630" t="s">
        <v>648</v>
      </c>
      <c r="F2634" s="829">
        <v>55.76</v>
      </c>
      <c r="G2634" s="830">
        <v>40.229999999999997</v>
      </c>
      <c r="H2634" s="832">
        <v>95.99</v>
      </c>
      <c r="I2634" s="846"/>
      <c r="J2634" s="846"/>
      <c r="K2634" s="846"/>
      <c r="L2634" s="846"/>
      <c r="M2634" s="846"/>
      <c r="N2634" s="846"/>
      <c r="O2634" s="846"/>
      <c r="P2634" s="846"/>
      <c r="Q2634" s="846"/>
      <c r="R2634" s="846"/>
      <c r="S2634" s="846"/>
      <c r="T2634" s="846"/>
    </row>
    <row r="2635" spans="2:20" ht="25.5" hidden="1">
      <c r="B2635" s="828" t="s">
        <v>6596</v>
      </c>
      <c r="C2635" s="828">
        <v>98750</v>
      </c>
      <c r="D2635" s="630" t="s">
        <v>3004</v>
      </c>
      <c r="E2635" s="630" t="s">
        <v>648</v>
      </c>
      <c r="F2635" s="829">
        <v>74.8</v>
      </c>
      <c r="G2635" s="830">
        <v>41.47</v>
      </c>
      <c r="H2635" s="831">
        <v>116.27</v>
      </c>
      <c r="I2635" s="846"/>
      <c r="J2635" s="846"/>
      <c r="K2635" s="846"/>
      <c r="L2635" s="846"/>
      <c r="M2635" s="846"/>
      <c r="N2635" s="846"/>
      <c r="O2635" s="846"/>
      <c r="P2635" s="846"/>
      <c r="Q2635" s="846"/>
      <c r="R2635" s="846"/>
      <c r="S2635" s="846"/>
      <c r="T2635" s="846"/>
    </row>
    <row r="2636" spans="2:20" ht="25.5" hidden="1">
      <c r="B2636" s="828" t="s">
        <v>6596</v>
      </c>
      <c r="C2636" s="828">
        <v>98751</v>
      </c>
      <c r="D2636" s="630" t="s">
        <v>3005</v>
      </c>
      <c r="E2636" s="630" t="s">
        <v>648</v>
      </c>
      <c r="F2636" s="829">
        <v>124.8</v>
      </c>
      <c r="G2636" s="830">
        <v>44.44</v>
      </c>
      <c r="H2636" s="831">
        <v>169.24</v>
      </c>
      <c r="I2636" s="846"/>
      <c r="J2636" s="846"/>
      <c r="K2636" s="846"/>
      <c r="L2636" s="846"/>
      <c r="M2636" s="846"/>
      <c r="N2636" s="846"/>
      <c r="O2636" s="846"/>
      <c r="P2636" s="846"/>
      <c r="Q2636" s="846"/>
      <c r="R2636" s="846"/>
      <c r="S2636" s="846"/>
      <c r="T2636" s="846"/>
    </row>
    <row r="2637" spans="2:20" ht="25.5" hidden="1">
      <c r="B2637" s="828" t="s">
        <v>6596</v>
      </c>
      <c r="C2637" s="828">
        <v>98752</v>
      </c>
      <c r="D2637" s="630" t="s">
        <v>3006</v>
      </c>
      <c r="E2637" s="630" t="s">
        <v>648</v>
      </c>
      <c r="F2637" s="829">
        <v>186.03</v>
      </c>
      <c r="G2637" s="830">
        <v>47.17</v>
      </c>
      <c r="H2637" s="831">
        <v>233.2</v>
      </c>
      <c r="I2637" s="846"/>
      <c r="J2637" s="846"/>
      <c r="K2637" s="846"/>
      <c r="L2637" s="846"/>
      <c r="M2637" s="846"/>
      <c r="N2637" s="846"/>
      <c r="O2637" s="846"/>
      <c r="P2637" s="846"/>
      <c r="Q2637" s="846"/>
      <c r="R2637" s="846"/>
      <c r="S2637" s="846"/>
      <c r="T2637" s="846"/>
    </row>
    <row r="2638" spans="2:20" ht="25.5" hidden="1">
      <c r="B2638" s="828" t="s">
        <v>6596</v>
      </c>
      <c r="C2638" s="828">
        <v>98753</v>
      </c>
      <c r="D2638" s="630" t="s">
        <v>3007</v>
      </c>
      <c r="E2638" s="630" t="s">
        <v>648</v>
      </c>
      <c r="F2638" s="829">
        <v>262.95</v>
      </c>
      <c r="G2638" s="830">
        <v>49.9</v>
      </c>
      <c r="H2638" s="831">
        <v>312.85000000000002</v>
      </c>
      <c r="I2638" s="846"/>
      <c r="J2638" s="846"/>
      <c r="K2638" s="846"/>
      <c r="L2638" s="846"/>
      <c r="M2638" s="846"/>
      <c r="N2638" s="846"/>
      <c r="O2638" s="846"/>
      <c r="P2638" s="846"/>
      <c r="Q2638" s="846"/>
      <c r="R2638" s="846"/>
      <c r="S2638" s="846"/>
      <c r="T2638" s="846"/>
    </row>
    <row r="2639" spans="2:20" ht="51" hidden="1">
      <c r="B2639" s="828" t="s">
        <v>6596</v>
      </c>
      <c r="C2639" s="828">
        <v>100763</v>
      </c>
      <c r="D2639" s="630" t="s">
        <v>4060</v>
      </c>
      <c r="E2639" s="630" t="s">
        <v>645</v>
      </c>
      <c r="F2639" s="829">
        <v>17.739999999999998</v>
      </c>
      <c r="G2639" s="830">
        <v>1.29</v>
      </c>
      <c r="H2639" s="831">
        <v>19.03</v>
      </c>
      <c r="I2639" s="846"/>
      <c r="J2639" s="846"/>
      <c r="K2639" s="846"/>
      <c r="L2639" s="846"/>
      <c r="M2639" s="846"/>
      <c r="N2639" s="846"/>
      <c r="O2639" s="846"/>
      <c r="P2639" s="846"/>
      <c r="Q2639" s="846"/>
      <c r="R2639" s="846"/>
      <c r="S2639" s="846"/>
      <c r="T2639" s="846"/>
    </row>
    <row r="2640" spans="2:20" ht="51" hidden="1">
      <c r="B2640" s="828" t="s">
        <v>6596</v>
      </c>
      <c r="C2640" s="828">
        <v>100764</v>
      </c>
      <c r="D2640" s="630" t="s">
        <v>4061</v>
      </c>
      <c r="E2640" s="630" t="s">
        <v>645</v>
      </c>
      <c r="F2640" s="829">
        <v>17.529999999999998</v>
      </c>
      <c r="G2640" s="830">
        <v>1.39</v>
      </c>
      <c r="H2640" s="831">
        <v>18.920000000000002</v>
      </c>
      <c r="I2640" s="846"/>
      <c r="J2640" s="846"/>
      <c r="K2640" s="846"/>
      <c r="L2640" s="846"/>
      <c r="M2640" s="846"/>
      <c r="N2640" s="846"/>
      <c r="O2640" s="846"/>
      <c r="P2640" s="846"/>
      <c r="Q2640" s="846"/>
      <c r="R2640" s="846"/>
      <c r="S2640" s="846"/>
      <c r="T2640" s="846"/>
    </row>
    <row r="2641" spans="2:20" ht="51" hidden="1">
      <c r="B2641" s="828" t="s">
        <v>6596</v>
      </c>
      <c r="C2641" s="828">
        <v>100765</v>
      </c>
      <c r="D2641" s="630" t="s">
        <v>4062</v>
      </c>
      <c r="E2641" s="630" t="s">
        <v>645</v>
      </c>
      <c r="F2641" s="829">
        <v>17.790000000000003</v>
      </c>
      <c r="G2641" s="830">
        <v>0.59</v>
      </c>
      <c r="H2641" s="831">
        <v>18.38</v>
      </c>
      <c r="I2641" s="846"/>
      <c r="J2641" s="846"/>
      <c r="K2641" s="846"/>
      <c r="L2641" s="846"/>
      <c r="M2641" s="846"/>
      <c r="N2641" s="846"/>
      <c r="O2641" s="846"/>
      <c r="P2641" s="846"/>
      <c r="Q2641" s="846"/>
      <c r="R2641" s="846"/>
      <c r="S2641" s="846"/>
      <c r="T2641" s="846"/>
    </row>
    <row r="2642" spans="2:20" ht="51" hidden="1">
      <c r="B2642" s="828" t="s">
        <v>6596</v>
      </c>
      <c r="C2642" s="828">
        <v>100766</v>
      </c>
      <c r="D2642" s="630" t="s">
        <v>5826</v>
      </c>
      <c r="E2642" s="630" t="s">
        <v>645</v>
      </c>
      <c r="F2642" s="829">
        <v>17.670000000000002</v>
      </c>
      <c r="G2642" s="830">
        <v>1.06</v>
      </c>
      <c r="H2642" s="831">
        <v>18.73</v>
      </c>
      <c r="I2642" s="846"/>
      <c r="J2642" s="846"/>
      <c r="K2642" s="846"/>
      <c r="L2642" s="846"/>
      <c r="M2642" s="846"/>
      <c r="N2642" s="846"/>
      <c r="O2642" s="846"/>
      <c r="P2642" s="846"/>
      <c r="Q2642" s="846"/>
      <c r="R2642" s="846"/>
      <c r="S2642" s="846"/>
      <c r="T2642" s="846"/>
    </row>
    <row r="2643" spans="2:20" ht="51" hidden="1">
      <c r="B2643" s="828" t="s">
        <v>6596</v>
      </c>
      <c r="C2643" s="828">
        <v>100767</v>
      </c>
      <c r="D2643" s="630" t="s">
        <v>4063</v>
      </c>
      <c r="E2643" s="630" t="s">
        <v>645</v>
      </c>
      <c r="F2643" s="829">
        <v>15.5</v>
      </c>
      <c r="G2643" s="830">
        <v>3.7</v>
      </c>
      <c r="H2643" s="831">
        <v>19.2</v>
      </c>
      <c r="I2643" s="846"/>
      <c r="J2643" s="846"/>
      <c r="K2643" s="846"/>
      <c r="L2643" s="846"/>
      <c r="M2643" s="846"/>
      <c r="N2643" s="846"/>
      <c r="O2643" s="846"/>
      <c r="P2643" s="846"/>
      <c r="Q2643" s="846"/>
      <c r="R2643" s="846"/>
      <c r="S2643" s="846"/>
      <c r="T2643" s="846"/>
    </row>
    <row r="2644" spans="2:20" ht="51" hidden="1">
      <c r="B2644" s="828" t="s">
        <v>6596</v>
      </c>
      <c r="C2644" s="828">
        <v>100768</v>
      </c>
      <c r="D2644" s="630" t="s">
        <v>5827</v>
      </c>
      <c r="E2644" s="630" t="s">
        <v>645</v>
      </c>
      <c r="F2644" s="829">
        <v>20.239999999999998</v>
      </c>
      <c r="G2644" s="830">
        <v>7.02</v>
      </c>
      <c r="H2644" s="831">
        <v>27.26</v>
      </c>
      <c r="I2644" s="846"/>
      <c r="J2644" s="846"/>
      <c r="K2644" s="846"/>
      <c r="L2644" s="846"/>
      <c r="M2644" s="846"/>
      <c r="N2644" s="846"/>
      <c r="O2644" s="846"/>
      <c r="P2644" s="846"/>
      <c r="Q2644" s="846"/>
      <c r="R2644" s="846"/>
      <c r="S2644" s="846"/>
      <c r="T2644" s="846"/>
    </row>
    <row r="2645" spans="2:20" ht="51" hidden="1">
      <c r="B2645" s="828" t="s">
        <v>6596</v>
      </c>
      <c r="C2645" s="828">
        <v>100769</v>
      </c>
      <c r="D2645" s="630" t="s">
        <v>4064</v>
      </c>
      <c r="E2645" s="630" t="s">
        <v>645</v>
      </c>
      <c r="F2645" s="829">
        <v>21.22</v>
      </c>
      <c r="G2645" s="830">
        <v>3.96</v>
      </c>
      <c r="H2645" s="831">
        <v>25.18</v>
      </c>
      <c r="I2645" s="846"/>
      <c r="J2645" s="846"/>
      <c r="K2645" s="846"/>
      <c r="L2645" s="846"/>
      <c r="M2645" s="846"/>
      <c r="N2645" s="846"/>
      <c r="O2645" s="846"/>
      <c r="P2645" s="846"/>
      <c r="Q2645" s="846"/>
      <c r="R2645" s="846"/>
      <c r="S2645" s="846"/>
      <c r="T2645" s="846"/>
    </row>
    <row r="2646" spans="2:20" ht="51" hidden="1">
      <c r="B2646" s="828" t="s">
        <v>6596</v>
      </c>
      <c r="C2646" s="828">
        <v>100770</v>
      </c>
      <c r="D2646" s="630" t="s">
        <v>5828</v>
      </c>
      <c r="E2646" s="630" t="s">
        <v>645</v>
      </c>
      <c r="F2646" s="829">
        <v>20.399999999999999</v>
      </c>
      <c r="G2646" s="830">
        <v>4.09</v>
      </c>
      <c r="H2646" s="831">
        <v>24.49</v>
      </c>
      <c r="I2646" s="846"/>
      <c r="J2646" s="846"/>
      <c r="K2646" s="846"/>
      <c r="L2646" s="846"/>
      <c r="M2646" s="846"/>
      <c r="N2646" s="846"/>
      <c r="O2646" s="846"/>
      <c r="P2646" s="846"/>
      <c r="Q2646" s="846"/>
      <c r="R2646" s="846"/>
      <c r="S2646" s="846"/>
      <c r="T2646" s="846"/>
    </row>
    <row r="2647" spans="2:20" ht="51" hidden="1">
      <c r="B2647" s="828" t="s">
        <v>6596</v>
      </c>
      <c r="C2647" s="828">
        <v>100771</v>
      </c>
      <c r="D2647" s="630" t="s">
        <v>4065</v>
      </c>
      <c r="E2647" s="630" t="s">
        <v>645</v>
      </c>
      <c r="F2647" s="829">
        <v>26.639999999999997</v>
      </c>
      <c r="G2647" s="830">
        <v>7.63</v>
      </c>
      <c r="H2647" s="831">
        <v>34.270000000000003</v>
      </c>
      <c r="I2647" s="846"/>
      <c r="J2647" s="846"/>
      <c r="K2647" s="846"/>
      <c r="L2647" s="846"/>
      <c r="M2647" s="846"/>
      <c r="N2647" s="846"/>
      <c r="O2647" s="846"/>
      <c r="P2647" s="846"/>
      <c r="Q2647" s="846"/>
      <c r="R2647" s="846"/>
      <c r="S2647" s="846"/>
      <c r="T2647" s="846"/>
    </row>
    <row r="2648" spans="2:20" ht="51" hidden="1">
      <c r="B2648" s="828" t="s">
        <v>6596</v>
      </c>
      <c r="C2648" s="828">
        <v>100772</v>
      </c>
      <c r="D2648" s="630" t="s">
        <v>5829</v>
      </c>
      <c r="E2648" s="630" t="s">
        <v>645</v>
      </c>
      <c r="F2648" s="829">
        <v>16.209999999999997</v>
      </c>
      <c r="G2648" s="830">
        <v>3.47</v>
      </c>
      <c r="H2648" s="831">
        <v>19.68</v>
      </c>
      <c r="I2648" s="846"/>
      <c r="J2648" s="846"/>
      <c r="K2648" s="846"/>
      <c r="L2648" s="846"/>
      <c r="M2648" s="846"/>
      <c r="N2648" s="846"/>
      <c r="O2648" s="846"/>
      <c r="P2648" s="846"/>
      <c r="Q2648" s="846"/>
      <c r="R2648" s="846"/>
      <c r="S2648" s="846"/>
      <c r="T2648" s="846"/>
    </row>
    <row r="2649" spans="2:20" ht="51" hidden="1">
      <c r="B2649" s="828" t="s">
        <v>6596</v>
      </c>
      <c r="C2649" s="828">
        <v>100773</v>
      </c>
      <c r="D2649" s="630" t="s">
        <v>4066</v>
      </c>
      <c r="E2649" s="630" t="s">
        <v>645</v>
      </c>
      <c r="F2649" s="829">
        <v>20.89</v>
      </c>
      <c r="G2649" s="830">
        <v>1.46</v>
      </c>
      <c r="H2649" s="831">
        <v>22.35</v>
      </c>
      <c r="I2649" s="846"/>
      <c r="J2649" s="846"/>
      <c r="K2649" s="846"/>
      <c r="L2649" s="846"/>
      <c r="M2649" s="846"/>
      <c r="N2649" s="846"/>
      <c r="O2649" s="846"/>
      <c r="P2649" s="846"/>
      <c r="Q2649" s="846"/>
      <c r="R2649" s="846"/>
      <c r="S2649" s="846"/>
      <c r="T2649" s="846"/>
    </row>
    <row r="2650" spans="2:20" ht="51" hidden="1">
      <c r="B2650" s="828" t="s">
        <v>6596</v>
      </c>
      <c r="C2650" s="828">
        <v>100774</v>
      </c>
      <c r="D2650" s="630" t="s">
        <v>4067</v>
      </c>
      <c r="E2650" s="630" t="s">
        <v>645</v>
      </c>
      <c r="F2650" s="829">
        <v>13.74</v>
      </c>
      <c r="G2650" s="830">
        <v>0.39</v>
      </c>
      <c r="H2650" s="831">
        <v>14.13</v>
      </c>
      <c r="I2650" s="846"/>
      <c r="J2650" s="846"/>
      <c r="K2650" s="846"/>
      <c r="L2650" s="846"/>
      <c r="M2650" s="846"/>
      <c r="N2650" s="846"/>
      <c r="O2650" s="846"/>
      <c r="P2650" s="846"/>
      <c r="Q2650" s="846"/>
      <c r="R2650" s="846"/>
      <c r="S2650" s="846"/>
      <c r="T2650" s="846"/>
    </row>
    <row r="2651" spans="2:20" ht="51" hidden="1">
      <c r="B2651" s="828" t="s">
        <v>6596</v>
      </c>
      <c r="C2651" s="828">
        <v>100775</v>
      </c>
      <c r="D2651" s="630" t="s">
        <v>4068</v>
      </c>
      <c r="E2651" s="630" t="s">
        <v>645</v>
      </c>
      <c r="F2651" s="829">
        <v>15.280000000000001</v>
      </c>
      <c r="G2651" s="830">
        <v>1.06</v>
      </c>
      <c r="H2651" s="831">
        <v>16.34</v>
      </c>
      <c r="I2651" s="846"/>
      <c r="J2651" s="846"/>
      <c r="K2651" s="846"/>
      <c r="L2651" s="846"/>
      <c r="M2651" s="846"/>
      <c r="N2651" s="846"/>
      <c r="O2651" s="846"/>
      <c r="P2651" s="846"/>
      <c r="Q2651" s="846"/>
      <c r="R2651" s="846"/>
      <c r="S2651" s="846"/>
      <c r="T2651" s="846"/>
    </row>
    <row r="2652" spans="2:20" ht="51" hidden="1">
      <c r="B2652" s="828" t="s">
        <v>6596</v>
      </c>
      <c r="C2652" s="828">
        <v>100776</v>
      </c>
      <c r="D2652" s="630" t="s">
        <v>4069</v>
      </c>
      <c r="E2652" s="630" t="s">
        <v>645</v>
      </c>
      <c r="F2652" s="829">
        <v>20.990000000000002</v>
      </c>
      <c r="G2652" s="830">
        <v>1.41</v>
      </c>
      <c r="H2652" s="831">
        <v>22.4</v>
      </c>
      <c r="I2652" s="846"/>
      <c r="J2652" s="846"/>
      <c r="K2652" s="846"/>
      <c r="L2652" s="846"/>
      <c r="M2652" s="846"/>
      <c r="N2652" s="846"/>
      <c r="O2652" s="846"/>
      <c r="P2652" s="846"/>
      <c r="Q2652" s="846"/>
      <c r="R2652" s="846"/>
      <c r="S2652" s="846"/>
      <c r="T2652" s="846"/>
    </row>
    <row r="2653" spans="2:20" ht="51" hidden="1">
      <c r="B2653" s="828" t="s">
        <v>6596</v>
      </c>
      <c r="C2653" s="828">
        <v>100777</v>
      </c>
      <c r="D2653" s="630" t="s">
        <v>4070</v>
      </c>
      <c r="E2653" s="630" t="s">
        <v>645</v>
      </c>
      <c r="F2653" s="829">
        <v>15.350000000000001</v>
      </c>
      <c r="G2653" s="830">
        <v>1.39</v>
      </c>
      <c r="H2653" s="831">
        <v>16.739999999999998</v>
      </c>
      <c r="I2653" s="846"/>
      <c r="J2653" s="846"/>
      <c r="K2653" s="846"/>
      <c r="L2653" s="846"/>
      <c r="M2653" s="846"/>
      <c r="N2653" s="846"/>
      <c r="O2653" s="846"/>
      <c r="P2653" s="846"/>
      <c r="Q2653" s="846"/>
      <c r="R2653" s="846"/>
      <c r="S2653" s="846"/>
      <c r="T2653" s="846"/>
    </row>
    <row r="2654" spans="2:20" ht="51" hidden="1">
      <c r="B2654" s="828" t="s">
        <v>6596</v>
      </c>
      <c r="C2654" s="828">
        <v>100778</v>
      </c>
      <c r="D2654" s="630" t="s">
        <v>4071</v>
      </c>
      <c r="E2654" s="630" t="s">
        <v>645</v>
      </c>
      <c r="F2654" s="829">
        <v>12.23</v>
      </c>
      <c r="G2654" s="830">
        <v>0.19</v>
      </c>
      <c r="H2654" s="831">
        <v>12.42</v>
      </c>
      <c r="I2654" s="846"/>
      <c r="J2654" s="846"/>
      <c r="K2654" s="846"/>
      <c r="L2654" s="846"/>
      <c r="M2654" s="846"/>
      <c r="N2654" s="846"/>
      <c r="O2654" s="846"/>
      <c r="P2654" s="846"/>
      <c r="Q2654" s="846"/>
      <c r="R2654" s="846"/>
      <c r="S2654" s="846"/>
      <c r="T2654" s="846"/>
    </row>
    <row r="2655" spans="2:20" ht="25.5" hidden="1">
      <c r="B2655" s="828" t="s">
        <v>6626</v>
      </c>
      <c r="C2655" s="828">
        <v>98560</v>
      </c>
      <c r="D2655" s="630" t="s">
        <v>2981</v>
      </c>
      <c r="E2655" s="630" t="s">
        <v>649</v>
      </c>
      <c r="F2655" s="829">
        <v>22.49</v>
      </c>
      <c r="G2655" s="830">
        <v>29.12</v>
      </c>
      <c r="H2655" s="831">
        <v>51.61</v>
      </c>
      <c r="I2655" s="846"/>
      <c r="J2655" s="846"/>
      <c r="K2655" s="846"/>
      <c r="L2655" s="846"/>
      <c r="M2655" s="846"/>
      <c r="N2655" s="846"/>
      <c r="O2655" s="846"/>
      <c r="P2655" s="846"/>
      <c r="Q2655" s="846"/>
      <c r="R2655" s="846"/>
      <c r="S2655" s="846"/>
      <c r="T2655" s="846"/>
    </row>
    <row r="2656" spans="2:20" ht="25.5" hidden="1">
      <c r="B2656" s="828" t="s">
        <v>6626</v>
      </c>
      <c r="C2656" s="828">
        <v>98561</v>
      </c>
      <c r="D2656" s="630" t="s">
        <v>2982</v>
      </c>
      <c r="E2656" s="630" t="s">
        <v>649</v>
      </c>
      <c r="F2656" s="829">
        <v>19.010000000000002</v>
      </c>
      <c r="G2656" s="830">
        <v>26.46</v>
      </c>
      <c r="H2656" s="831">
        <v>45.47</v>
      </c>
      <c r="I2656" s="846"/>
      <c r="J2656" s="846"/>
      <c r="K2656" s="846"/>
      <c r="L2656" s="846"/>
      <c r="M2656" s="846"/>
      <c r="N2656" s="846"/>
      <c r="O2656" s="846"/>
      <c r="P2656" s="846"/>
      <c r="Q2656" s="846"/>
      <c r="R2656" s="846"/>
      <c r="S2656" s="846"/>
      <c r="T2656" s="846"/>
    </row>
    <row r="2657" spans="2:20" ht="38.25" hidden="1">
      <c r="B2657" s="828" t="s">
        <v>6626</v>
      </c>
      <c r="C2657" s="828">
        <v>98562</v>
      </c>
      <c r="D2657" s="630" t="s">
        <v>7200</v>
      </c>
      <c r="E2657" s="630" t="s">
        <v>649</v>
      </c>
      <c r="F2657" s="829">
        <v>22.46</v>
      </c>
      <c r="G2657" s="830">
        <v>22.29</v>
      </c>
      <c r="H2657" s="831">
        <v>44.75</v>
      </c>
      <c r="I2657" s="846"/>
      <c r="J2657" s="846"/>
      <c r="K2657" s="846"/>
      <c r="L2657" s="846"/>
      <c r="M2657" s="846"/>
      <c r="N2657" s="846"/>
      <c r="O2657" s="846"/>
      <c r="P2657" s="846"/>
      <c r="Q2657" s="846"/>
      <c r="R2657" s="846"/>
      <c r="S2657" s="846"/>
      <c r="T2657" s="846"/>
    </row>
    <row r="2658" spans="2:20" ht="25.5" hidden="1">
      <c r="B2658" s="828" t="s">
        <v>6624</v>
      </c>
      <c r="C2658" s="828">
        <v>98555</v>
      </c>
      <c r="D2658" s="630" t="s">
        <v>3280</v>
      </c>
      <c r="E2658" s="630" t="s">
        <v>649</v>
      </c>
      <c r="F2658" s="829">
        <v>14.23</v>
      </c>
      <c r="G2658" s="830">
        <v>14.96</v>
      </c>
      <c r="H2658" s="831">
        <v>29.19</v>
      </c>
      <c r="I2658" s="846"/>
      <c r="J2658" s="846"/>
      <c r="K2658" s="846"/>
      <c r="L2658" s="846"/>
      <c r="M2658" s="846"/>
      <c r="N2658" s="846"/>
      <c r="O2658" s="846"/>
      <c r="P2658" s="846"/>
      <c r="Q2658" s="846"/>
      <c r="R2658" s="846"/>
      <c r="S2658" s="846"/>
      <c r="T2658" s="846"/>
    </row>
    <row r="2659" spans="2:20" ht="38.25" hidden="1">
      <c r="B2659" s="828" t="s">
        <v>6624</v>
      </c>
      <c r="C2659" s="828">
        <v>98556</v>
      </c>
      <c r="D2659" s="630" t="s">
        <v>3281</v>
      </c>
      <c r="E2659" s="630" t="s">
        <v>649</v>
      </c>
      <c r="F2659" s="829">
        <v>30.31</v>
      </c>
      <c r="G2659" s="830">
        <v>24.76</v>
      </c>
      <c r="H2659" s="831">
        <v>55.07</v>
      </c>
      <c r="I2659" s="846"/>
      <c r="J2659" s="846"/>
      <c r="K2659" s="846"/>
      <c r="L2659" s="846"/>
      <c r="M2659" s="846"/>
      <c r="N2659" s="846"/>
      <c r="O2659" s="846"/>
      <c r="P2659" s="846"/>
      <c r="Q2659" s="846"/>
      <c r="R2659" s="846"/>
      <c r="S2659" s="846"/>
      <c r="T2659" s="846"/>
    </row>
    <row r="2660" spans="2:20" ht="38.25" hidden="1">
      <c r="B2660" s="828" t="s">
        <v>6624</v>
      </c>
      <c r="C2660" s="828">
        <v>98558</v>
      </c>
      <c r="D2660" s="630" t="s">
        <v>3282</v>
      </c>
      <c r="E2660" s="630" t="s">
        <v>646</v>
      </c>
      <c r="F2660" s="829">
        <v>5.03</v>
      </c>
      <c r="G2660" s="830">
        <v>3.37</v>
      </c>
      <c r="H2660" s="831">
        <v>8.4</v>
      </c>
      <c r="I2660" s="846"/>
      <c r="J2660" s="846"/>
      <c r="K2660" s="846"/>
      <c r="L2660" s="846"/>
      <c r="M2660" s="846"/>
      <c r="N2660" s="846"/>
      <c r="O2660" s="846"/>
      <c r="P2660" s="846"/>
      <c r="Q2660" s="846"/>
      <c r="R2660" s="846"/>
      <c r="S2660" s="846"/>
      <c r="T2660" s="846"/>
    </row>
    <row r="2661" spans="2:20" hidden="1">
      <c r="B2661" s="828" t="s">
        <v>6624</v>
      </c>
      <c r="C2661" s="828">
        <v>98559</v>
      </c>
      <c r="D2661" s="630" t="s">
        <v>2983</v>
      </c>
      <c r="E2661" s="630" t="s">
        <v>648</v>
      </c>
      <c r="F2661" s="829">
        <v>3.5</v>
      </c>
      <c r="G2661" s="830">
        <v>1.61</v>
      </c>
      <c r="H2661" s="831">
        <v>5.1100000000000003</v>
      </c>
      <c r="I2661" s="846"/>
      <c r="J2661" s="846"/>
      <c r="K2661" s="846"/>
      <c r="L2661" s="846"/>
      <c r="M2661" s="846"/>
      <c r="N2661" s="846"/>
      <c r="O2661" s="846"/>
      <c r="P2661" s="846"/>
      <c r="Q2661" s="846"/>
      <c r="R2661" s="846"/>
      <c r="S2661" s="846"/>
      <c r="T2661" s="846"/>
    </row>
    <row r="2662" spans="2:20" ht="38.25" hidden="1">
      <c r="B2662" s="828" t="s">
        <v>6623</v>
      </c>
      <c r="C2662" s="828">
        <v>98546</v>
      </c>
      <c r="D2662" s="630" t="s">
        <v>2984</v>
      </c>
      <c r="E2662" s="630" t="s">
        <v>649</v>
      </c>
      <c r="F2662" s="829">
        <v>83.43</v>
      </c>
      <c r="G2662" s="830">
        <v>26.62</v>
      </c>
      <c r="H2662" s="831">
        <v>110.05</v>
      </c>
      <c r="I2662" s="846"/>
      <c r="J2662" s="846"/>
      <c r="K2662" s="846"/>
      <c r="L2662" s="846"/>
      <c r="M2662" s="846"/>
      <c r="N2662" s="846"/>
      <c r="O2662" s="846"/>
      <c r="P2662" s="846"/>
      <c r="Q2662" s="846"/>
      <c r="R2662" s="846"/>
      <c r="S2662" s="846"/>
      <c r="T2662" s="846"/>
    </row>
    <row r="2663" spans="2:20" ht="38.25" hidden="1">
      <c r="B2663" s="828" t="s">
        <v>6623</v>
      </c>
      <c r="C2663" s="828">
        <v>98547</v>
      </c>
      <c r="D2663" s="630" t="s">
        <v>2985</v>
      </c>
      <c r="E2663" s="630" t="s">
        <v>649</v>
      </c>
      <c r="F2663" s="829">
        <v>168.59</v>
      </c>
      <c r="G2663" s="830">
        <v>38.61</v>
      </c>
      <c r="H2663" s="831">
        <v>207.2</v>
      </c>
      <c r="I2663" s="846"/>
      <c r="J2663" s="846"/>
      <c r="K2663" s="846"/>
      <c r="L2663" s="846"/>
      <c r="M2663" s="846"/>
      <c r="N2663" s="846"/>
      <c r="O2663" s="846"/>
      <c r="P2663" s="846"/>
      <c r="Q2663" s="846"/>
      <c r="R2663" s="846"/>
      <c r="S2663" s="846"/>
      <c r="T2663" s="846"/>
    </row>
    <row r="2664" spans="2:20" ht="25.5" hidden="1">
      <c r="B2664" s="828" t="s">
        <v>6623</v>
      </c>
      <c r="C2664" s="828">
        <v>98553</v>
      </c>
      <c r="D2664" s="630" t="s">
        <v>4072</v>
      </c>
      <c r="E2664" s="630" t="s">
        <v>649</v>
      </c>
      <c r="F2664" s="829">
        <v>117.43</v>
      </c>
      <c r="G2664" s="830">
        <v>13.34</v>
      </c>
      <c r="H2664" s="831">
        <v>130.77000000000001</v>
      </c>
      <c r="I2664" s="846"/>
      <c r="J2664" s="846"/>
      <c r="K2664" s="846"/>
      <c r="L2664" s="846"/>
      <c r="M2664" s="846"/>
      <c r="N2664" s="846"/>
      <c r="O2664" s="846"/>
      <c r="P2664" s="846"/>
      <c r="Q2664" s="846"/>
      <c r="R2664" s="846"/>
      <c r="S2664" s="846"/>
      <c r="T2664" s="846"/>
    </row>
    <row r="2665" spans="2:20" ht="25.5" hidden="1">
      <c r="B2665" s="828" t="s">
        <v>6623</v>
      </c>
      <c r="C2665" s="828">
        <v>98554</v>
      </c>
      <c r="D2665" s="630" t="s">
        <v>4073</v>
      </c>
      <c r="E2665" s="630" t="s">
        <v>649</v>
      </c>
      <c r="F2665" s="829">
        <v>31</v>
      </c>
      <c r="G2665" s="830">
        <v>16.23</v>
      </c>
      <c r="H2665" s="831">
        <v>47.23</v>
      </c>
      <c r="I2665" s="846"/>
      <c r="J2665" s="846"/>
      <c r="K2665" s="846"/>
      <c r="L2665" s="846"/>
      <c r="M2665" s="846"/>
      <c r="N2665" s="846"/>
      <c r="O2665" s="846"/>
      <c r="P2665" s="846"/>
      <c r="Q2665" s="846"/>
      <c r="R2665" s="846"/>
      <c r="S2665" s="846"/>
      <c r="T2665" s="846"/>
    </row>
    <row r="2666" spans="2:20" ht="25.5" hidden="1">
      <c r="B2666" s="828" t="s">
        <v>6625</v>
      </c>
      <c r="C2666" s="828">
        <v>98557</v>
      </c>
      <c r="D2666" s="630" t="s">
        <v>2986</v>
      </c>
      <c r="E2666" s="630" t="s">
        <v>649</v>
      </c>
      <c r="F2666" s="829">
        <v>31.43</v>
      </c>
      <c r="G2666" s="830">
        <v>11.85</v>
      </c>
      <c r="H2666" s="831">
        <v>43.28</v>
      </c>
      <c r="I2666" s="846"/>
      <c r="J2666" s="846"/>
      <c r="K2666" s="846"/>
      <c r="L2666" s="846"/>
      <c r="M2666" s="846"/>
      <c r="N2666" s="846"/>
      <c r="O2666" s="846"/>
      <c r="P2666" s="846"/>
      <c r="Q2666" s="846"/>
      <c r="R2666" s="846"/>
      <c r="S2666" s="846"/>
      <c r="T2666" s="846"/>
    </row>
    <row r="2667" spans="2:20" ht="25.5" hidden="1">
      <c r="B2667" s="828" t="s">
        <v>6627</v>
      </c>
      <c r="C2667" s="828">
        <v>98563</v>
      </c>
      <c r="D2667" s="630" t="s">
        <v>2987</v>
      </c>
      <c r="E2667" s="630" t="s">
        <v>649</v>
      </c>
      <c r="F2667" s="829">
        <v>19.489999999999998</v>
      </c>
      <c r="G2667" s="830">
        <v>16.7</v>
      </c>
      <c r="H2667" s="831">
        <v>36.19</v>
      </c>
      <c r="I2667" s="846"/>
      <c r="J2667" s="846"/>
      <c r="K2667" s="846"/>
      <c r="L2667" s="846"/>
      <c r="M2667" s="846"/>
      <c r="N2667" s="846"/>
      <c r="O2667" s="846"/>
      <c r="P2667" s="846"/>
      <c r="Q2667" s="846"/>
      <c r="R2667" s="846"/>
      <c r="S2667" s="846"/>
      <c r="T2667" s="846"/>
    </row>
    <row r="2668" spans="2:20" ht="25.5" hidden="1">
      <c r="B2668" s="828" t="s">
        <v>6627</v>
      </c>
      <c r="C2668" s="828">
        <v>98564</v>
      </c>
      <c r="D2668" s="630" t="s">
        <v>2988</v>
      </c>
      <c r="E2668" s="630" t="s">
        <v>649</v>
      </c>
      <c r="F2668" s="829">
        <v>33.4</v>
      </c>
      <c r="G2668" s="830">
        <v>18</v>
      </c>
      <c r="H2668" s="831">
        <v>51.4</v>
      </c>
      <c r="I2668" s="846"/>
      <c r="J2668" s="846"/>
      <c r="K2668" s="846"/>
      <c r="L2668" s="846"/>
      <c r="M2668" s="846"/>
      <c r="N2668" s="846"/>
      <c r="O2668" s="846"/>
      <c r="P2668" s="846"/>
      <c r="Q2668" s="846"/>
      <c r="R2668" s="846"/>
      <c r="S2668" s="846"/>
      <c r="T2668" s="846"/>
    </row>
    <row r="2669" spans="2:20" ht="25.5" hidden="1">
      <c r="B2669" s="828" t="s">
        <v>6627</v>
      </c>
      <c r="C2669" s="828">
        <v>98565</v>
      </c>
      <c r="D2669" s="630" t="s">
        <v>2989</v>
      </c>
      <c r="E2669" s="630" t="s">
        <v>649</v>
      </c>
      <c r="F2669" s="829">
        <v>26.96</v>
      </c>
      <c r="G2669" s="830">
        <v>25.37</v>
      </c>
      <c r="H2669" s="831">
        <v>52.33</v>
      </c>
      <c r="I2669" s="846"/>
      <c r="J2669" s="846"/>
      <c r="K2669" s="846"/>
      <c r="L2669" s="846"/>
      <c r="M2669" s="846"/>
      <c r="N2669" s="846"/>
      <c r="O2669" s="846"/>
      <c r="P2669" s="846"/>
      <c r="Q2669" s="846"/>
      <c r="R2669" s="846"/>
      <c r="S2669" s="846"/>
      <c r="T2669" s="846"/>
    </row>
    <row r="2670" spans="2:20" ht="25.5" hidden="1">
      <c r="B2670" s="828" t="s">
        <v>6627</v>
      </c>
      <c r="C2670" s="828">
        <v>98566</v>
      </c>
      <c r="D2670" s="630" t="s">
        <v>2990</v>
      </c>
      <c r="E2670" s="630" t="s">
        <v>649</v>
      </c>
      <c r="F2670" s="829">
        <v>40.86</v>
      </c>
      <c r="G2670" s="830">
        <v>26.67</v>
      </c>
      <c r="H2670" s="831">
        <v>67.53</v>
      </c>
      <c r="I2670" s="846"/>
      <c r="J2670" s="846"/>
      <c r="K2670" s="846"/>
      <c r="L2670" s="846"/>
      <c r="M2670" s="846"/>
      <c r="N2670" s="846"/>
      <c r="O2670" s="846"/>
      <c r="P2670" s="846"/>
      <c r="Q2670" s="846"/>
      <c r="R2670" s="846"/>
      <c r="S2670" s="846"/>
      <c r="T2670" s="846"/>
    </row>
    <row r="2671" spans="2:20" ht="25.5" hidden="1">
      <c r="B2671" s="828" t="s">
        <v>6627</v>
      </c>
      <c r="C2671" s="828">
        <v>98567</v>
      </c>
      <c r="D2671" s="630" t="s">
        <v>2991</v>
      </c>
      <c r="E2671" s="630" t="s">
        <v>649</v>
      </c>
      <c r="F2671" s="829">
        <v>33.880000000000003</v>
      </c>
      <c r="G2671" s="830">
        <v>33.85</v>
      </c>
      <c r="H2671" s="831">
        <v>67.73</v>
      </c>
      <c r="I2671" s="846"/>
      <c r="J2671" s="846"/>
      <c r="K2671" s="846"/>
      <c r="L2671" s="846"/>
      <c r="M2671" s="846"/>
      <c r="N2671" s="846"/>
      <c r="O2671" s="846"/>
      <c r="P2671" s="846"/>
      <c r="Q2671" s="846"/>
      <c r="R2671" s="846"/>
      <c r="S2671" s="846"/>
      <c r="T2671" s="846"/>
    </row>
    <row r="2672" spans="2:20" ht="25.5" hidden="1">
      <c r="B2672" s="828" t="s">
        <v>6627</v>
      </c>
      <c r="C2672" s="828">
        <v>98568</v>
      </c>
      <c r="D2672" s="630" t="s">
        <v>2992</v>
      </c>
      <c r="E2672" s="630" t="s">
        <v>649</v>
      </c>
      <c r="F2672" s="829">
        <v>47.77</v>
      </c>
      <c r="G2672" s="830">
        <v>35.130000000000003</v>
      </c>
      <c r="H2672" s="831">
        <v>82.9</v>
      </c>
      <c r="I2672" s="846"/>
      <c r="J2672" s="846"/>
      <c r="K2672" s="846"/>
      <c r="L2672" s="846"/>
      <c r="M2672" s="846"/>
      <c r="N2672" s="846"/>
      <c r="O2672" s="846"/>
      <c r="P2672" s="846"/>
      <c r="Q2672" s="846"/>
      <c r="R2672" s="846"/>
      <c r="S2672" s="846"/>
      <c r="T2672" s="846"/>
    </row>
    <row r="2673" spans="2:20" ht="25.5" hidden="1">
      <c r="B2673" s="828" t="s">
        <v>6627</v>
      </c>
      <c r="C2673" s="828">
        <v>98569</v>
      </c>
      <c r="D2673" s="630" t="s">
        <v>2993</v>
      </c>
      <c r="E2673" s="630" t="s">
        <v>649</v>
      </c>
      <c r="F2673" s="829">
        <v>41.33</v>
      </c>
      <c r="G2673" s="830">
        <v>42.5</v>
      </c>
      <c r="H2673" s="831">
        <v>83.83</v>
      </c>
      <c r="I2673" s="846"/>
      <c r="J2673" s="846"/>
      <c r="K2673" s="846"/>
      <c r="L2673" s="846"/>
      <c r="M2673" s="846"/>
      <c r="N2673" s="846"/>
      <c r="O2673" s="846"/>
      <c r="P2673" s="846"/>
      <c r="Q2673" s="846"/>
      <c r="R2673" s="846"/>
      <c r="S2673" s="846"/>
      <c r="T2673" s="846"/>
    </row>
    <row r="2674" spans="2:20" ht="25.5" hidden="1">
      <c r="B2674" s="828" t="s">
        <v>6627</v>
      </c>
      <c r="C2674" s="828">
        <v>98570</v>
      </c>
      <c r="D2674" s="630" t="s">
        <v>2994</v>
      </c>
      <c r="E2674" s="630" t="s">
        <v>649</v>
      </c>
      <c r="F2674" s="829">
        <v>55.24</v>
      </c>
      <c r="G2674" s="830">
        <v>43.83</v>
      </c>
      <c r="H2674" s="831">
        <v>99.07</v>
      </c>
      <c r="I2674" s="846"/>
      <c r="J2674" s="846"/>
      <c r="K2674" s="846"/>
      <c r="L2674" s="846"/>
      <c r="M2674" s="846"/>
      <c r="N2674" s="846"/>
      <c r="O2674" s="846"/>
      <c r="P2674" s="846"/>
      <c r="Q2674" s="846"/>
      <c r="R2674" s="846"/>
      <c r="S2674" s="846"/>
      <c r="T2674" s="846"/>
    </row>
    <row r="2675" spans="2:20" ht="25.5" hidden="1">
      <c r="B2675" s="828" t="s">
        <v>6627</v>
      </c>
      <c r="C2675" s="828">
        <v>98571</v>
      </c>
      <c r="D2675" s="630" t="s">
        <v>2995</v>
      </c>
      <c r="E2675" s="630" t="s">
        <v>649</v>
      </c>
      <c r="F2675" s="829">
        <v>23.61</v>
      </c>
      <c r="G2675" s="830">
        <v>17.739999999999998</v>
      </c>
      <c r="H2675" s="831">
        <v>41.35</v>
      </c>
      <c r="I2675" s="846"/>
      <c r="J2675" s="846"/>
      <c r="K2675" s="846"/>
      <c r="L2675" s="846"/>
      <c r="M2675" s="846"/>
      <c r="N2675" s="846"/>
      <c r="O2675" s="846"/>
      <c r="P2675" s="846"/>
      <c r="Q2675" s="846"/>
      <c r="R2675" s="846"/>
      <c r="S2675" s="846"/>
      <c r="T2675" s="846"/>
    </row>
    <row r="2676" spans="2:20" ht="25.5" hidden="1">
      <c r="B2676" s="828" t="s">
        <v>6627</v>
      </c>
      <c r="C2676" s="828">
        <v>98572</v>
      </c>
      <c r="D2676" s="828" t="s">
        <v>2996</v>
      </c>
      <c r="E2676" s="630" t="s">
        <v>649</v>
      </c>
      <c r="F2676" s="829">
        <v>28.65</v>
      </c>
      <c r="G2676" s="830">
        <v>22.41</v>
      </c>
      <c r="H2676" s="831">
        <v>51.06</v>
      </c>
      <c r="I2676" s="846"/>
      <c r="J2676" s="846"/>
      <c r="K2676" s="846"/>
      <c r="L2676" s="846"/>
      <c r="M2676" s="846"/>
      <c r="N2676" s="846"/>
      <c r="O2676" s="846"/>
      <c r="P2676" s="846"/>
      <c r="Q2676" s="846"/>
      <c r="R2676" s="846"/>
      <c r="S2676" s="846"/>
      <c r="T2676" s="846"/>
    </row>
    <row r="2677" spans="2:20" ht="25.5" hidden="1">
      <c r="B2677" s="828" t="s">
        <v>6627</v>
      </c>
      <c r="C2677" s="828">
        <v>98573</v>
      </c>
      <c r="D2677" s="630" t="s">
        <v>2997</v>
      </c>
      <c r="E2677" s="630" t="s">
        <v>649</v>
      </c>
      <c r="F2677" s="829">
        <v>42.45</v>
      </c>
      <c r="G2677" s="830">
        <v>23.35</v>
      </c>
      <c r="H2677" s="831">
        <v>65.8</v>
      </c>
      <c r="I2677" s="846"/>
      <c r="J2677" s="846"/>
      <c r="K2677" s="846"/>
      <c r="L2677" s="846"/>
      <c r="M2677" s="846"/>
      <c r="N2677" s="846"/>
      <c r="O2677" s="846"/>
      <c r="P2677" s="846"/>
      <c r="Q2677" s="846"/>
      <c r="R2677" s="846"/>
      <c r="S2677" s="846"/>
      <c r="T2677" s="846"/>
    </row>
    <row r="2678" spans="2:20" ht="38.25" hidden="1">
      <c r="B2678" s="828" t="s">
        <v>6559</v>
      </c>
      <c r="C2678" s="828">
        <v>91831</v>
      </c>
      <c r="D2678" s="630" t="s">
        <v>1058</v>
      </c>
      <c r="E2678" s="630" t="s">
        <v>648</v>
      </c>
      <c r="F2678" s="829">
        <v>5.48</v>
      </c>
      <c r="G2678" s="830">
        <v>4.2699999999999996</v>
      </c>
      <c r="H2678" s="831">
        <v>9.75</v>
      </c>
      <c r="I2678" s="846"/>
      <c r="J2678" s="846"/>
      <c r="K2678" s="846"/>
      <c r="L2678" s="846"/>
      <c r="M2678" s="846"/>
      <c r="N2678" s="846"/>
      <c r="O2678" s="846"/>
      <c r="P2678" s="846"/>
      <c r="Q2678" s="846"/>
      <c r="R2678" s="846"/>
      <c r="S2678" s="846"/>
      <c r="T2678" s="846"/>
    </row>
    <row r="2679" spans="2:20" ht="38.25" hidden="1">
      <c r="B2679" s="828" t="s">
        <v>6559</v>
      </c>
      <c r="C2679" s="828">
        <v>91833</v>
      </c>
      <c r="D2679" s="630" t="s">
        <v>3283</v>
      </c>
      <c r="E2679" s="630" t="s">
        <v>648</v>
      </c>
      <c r="F2679" s="829">
        <v>6.19</v>
      </c>
      <c r="G2679" s="830">
        <v>4.2699999999999996</v>
      </c>
      <c r="H2679" s="831">
        <v>10.46</v>
      </c>
      <c r="I2679" s="846"/>
      <c r="J2679" s="846"/>
      <c r="K2679" s="846"/>
      <c r="L2679" s="846"/>
      <c r="M2679" s="846"/>
      <c r="N2679" s="846"/>
      <c r="O2679" s="846"/>
      <c r="P2679" s="846"/>
      <c r="Q2679" s="846"/>
      <c r="R2679" s="846"/>
      <c r="S2679" s="846"/>
      <c r="T2679" s="846"/>
    </row>
    <row r="2680" spans="2:20" ht="38.25" hidden="1">
      <c r="B2680" s="828" t="s">
        <v>6559</v>
      </c>
      <c r="C2680" s="828">
        <v>91834</v>
      </c>
      <c r="D2680" s="630" t="s">
        <v>1059</v>
      </c>
      <c r="E2680" s="630" t="s">
        <v>648</v>
      </c>
      <c r="F2680" s="829">
        <v>5.93</v>
      </c>
      <c r="G2680" s="830">
        <v>4.9400000000000004</v>
      </c>
      <c r="H2680" s="831">
        <v>10.87</v>
      </c>
      <c r="I2680" s="846"/>
      <c r="J2680" s="846"/>
      <c r="K2680" s="846"/>
      <c r="L2680" s="846"/>
      <c r="M2680" s="846"/>
      <c r="N2680" s="846"/>
      <c r="O2680" s="846"/>
      <c r="P2680" s="846"/>
      <c r="Q2680" s="846"/>
      <c r="R2680" s="846"/>
      <c r="S2680" s="846"/>
      <c r="T2680" s="846"/>
    </row>
    <row r="2681" spans="2:20" ht="38.25" hidden="1">
      <c r="B2681" s="828" t="s">
        <v>6559</v>
      </c>
      <c r="C2681" s="828">
        <v>91835</v>
      </c>
      <c r="D2681" s="630" t="s">
        <v>3284</v>
      </c>
      <c r="E2681" s="630" t="s">
        <v>648</v>
      </c>
      <c r="F2681" s="829">
        <v>7.73</v>
      </c>
      <c r="G2681" s="830">
        <v>4.93</v>
      </c>
      <c r="H2681" s="831">
        <v>12.66</v>
      </c>
      <c r="I2681" s="846"/>
      <c r="J2681" s="846"/>
      <c r="K2681" s="846"/>
      <c r="L2681" s="846"/>
      <c r="M2681" s="846"/>
      <c r="N2681" s="846"/>
      <c r="O2681" s="846"/>
      <c r="P2681" s="846"/>
      <c r="Q2681" s="846"/>
      <c r="R2681" s="846"/>
      <c r="S2681" s="846"/>
      <c r="T2681" s="846"/>
    </row>
    <row r="2682" spans="2:20" ht="38.25" hidden="1">
      <c r="B2682" s="828" t="s">
        <v>6559</v>
      </c>
      <c r="C2682" s="828">
        <v>91836</v>
      </c>
      <c r="D2682" s="630" t="s">
        <v>1060</v>
      </c>
      <c r="E2682" s="630" t="s">
        <v>648</v>
      </c>
      <c r="F2682" s="829">
        <v>8.64</v>
      </c>
      <c r="G2682" s="830">
        <v>5.79</v>
      </c>
      <c r="H2682" s="831">
        <v>14.43</v>
      </c>
      <c r="I2682" s="846"/>
      <c r="J2682" s="846"/>
      <c r="K2682" s="846"/>
      <c r="L2682" s="846"/>
      <c r="M2682" s="846"/>
      <c r="N2682" s="846"/>
      <c r="O2682" s="846"/>
      <c r="P2682" s="846"/>
      <c r="Q2682" s="846"/>
      <c r="R2682" s="846"/>
      <c r="S2682" s="846"/>
      <c r="T2682" s="846"/>
    </row>
    <row r="2683" spans="2:20" ht="38.25" hidden="1">
      <c r="B2683" s="828" t="s">
        <v>6559</v>
      </c>
      <c r="C2683" s="828">
        <v>91837</v>
      </c>
      <c r="D2683" s="630" t="s">
        <v>3285</v>
      </c>
      <c r="E2683" s="630" t="s">
        <v>648</v>
      </c>
      <c r="F2683" s="829">
        <v>12.82</v>
      </c>
      <c r="G2683" s="830">
        <v>5.78</v>
      </c>
      <c r="H2683" s="831">
        <v>18.600000000000001</v>
      </c>
      <c r="I2683" s="846"/>
      <c r="J2683" s="846"/>
      <c r="K2683" s="846"/>
      <c r="L2683" s="846"/>
      <c r="M2683" s="846"/>
      <c r="N2683" s="846"/>
      <c r="O2683" s="846"/>
      <c r="P2683" s="846"/>
      <c r="Q2683" s="846"/>
      <c r="R2683" s="846"/>
      <c r="S2683" s="846"/>
      <c r="T2683" s="846"/>
    </row>
    <row r="2684" spans="2:20" ht="38.25" hidden="1">
      <c r="B2684" s="828" t="s">
        <v>6559</v>
      </c>
      <c r="C2684" s="828">
        <v>91839</v>
      </c>
      <c r="D2684" s="630" t="s">
        <v>3286</v>
      </c>
      <c r="E2684" s="630" t="s">
        <v>648</v>
      </c>
      <c r="F2684" s="829">
        <v>5.37</v>
      </c>
      <c r="G2684" s="830">
        <v>5.81</v>
      </c>
      <c r="H2684" s="831">
        <v>11.18</v>
      </c>
      <c r="I2684" s="846"/>
      <c r="J2684" s="846"/>
      <c r="K2684" s="846"/>
      <c r="L2684" s="846"/>
      <c r="M2684" s="846"/>
      <c r="N2684" s="846"/>
      <c r="O2684" s="846"/>
      <c r="P2684" s="846"/>
      <c r="Q2684" s="846"/>
      <c r="R2684" s="846"/>
      <c r="S2684" s="846"/>
      <c r="T2684" s="846"/>
    </row>
    <row r="2685" spans="2:20" ht="38.25" hidden="1">
      <c r="B2685" s="828" t="s">
        <v>6559</v>
      </c>
      <c r="C2685" s="828">
        <v>91840</v>
      </c>
      <c r="D2685" s="630" t="s">
        <v>3287</v>
      </c>
      <c r="E2685" s="630" t="s">
        <v>648</v>
      </c>
      <c r="F2685" s="829">
        <v>7.03</v>
      </c>
      <c r="G2685" s="830">
        <v>6.8</v>
      </c>
      <c r="H2685" s="831">
        <v>13.83</v>
      </c>
      <c r="I2685" s="846"/>
      <c r="J2685" s="846"/>
      <c r="K2685" s="846"/>
      <c r="L2685" s="846"/>
      <c r="M2685" s="846"/>
      <c r="N2685" s="846"/>
      <c r="O2685" s="846"/>
      <c r="P2685" s="846"/>
      <c r="Q2685" s="846"/>
      <c r="R2685" s="846"/>
      <c r="S2685" s="846"/>
      <c r="T2685" s="846"/>
    </row>
    <row r="2686" spans="2:20" ht="38.25" hidden="1">
      <c r="B2686" s="828" t="s">
        <v>6559</v>
      </c>
      <c r="C2686" s="828">
        <v>91841</v>
      </c>
      <c r="D2686" s="630" t="s">
        <v>3288</v>
      </c>
      <c r="E2686" s="630" t="s">
        <v>648</v>
      </c>
      <c r="F2686" s="829">
        <v>6.41</v>
      </c>
      <c r="G2686" s="830">
        <v>6.82</v>
      </c>
      <c r="H2686" s="831">
        <v>13.23</v>
      </c>
      <c r="I2686" s="846"/>
      <c r="J2686" s="846"/>
      <c r="K2686" s="846"/>
      <c r="L2686" s="846"/>
      <c r="M2686" s="846"/>
      <c r="N2686" s="846"/>
      <c r="O2686" s="846"/>
      <c r="P2686" s="846"/>
      <c r="Q2686" s="846"/>
      <c r="R2686" s="846"/>
      <c r="S2686" s="846"/>
      <c r="T2686" s="846"/>
    </row>
    <row r="2687" spans="2:20" ht="38.25" hidden="1">
      <c r="B2687" s="828" t="s">
        <v>6559</v>
      </c>
      <c r="C2687" s="828">
        <v>91842</v>
      </c>
      <c r="D2687" s="630" t="s">
        <v>1061</v>
      </c>
      <c r="E2687" s="630" t="s">
        <v>648</v>
      </c>
      <c r="F2687" s="829">
        <v>4.12</v>
      </c>
      <c r="G2687" s="830">
        <v>3.14</v>
      </c>
      <c r="H2687" s="831">
        <v>7.26</v>
      </c>
      <c r="I2687" s="846"/>
      <c r="J2687" s="846"/>
      <c r="K2687" s="846"/>
      <c r="L2687" s="846"/>
      <c r="M2687" s="846"/>
      <c r="N2687" s="846"/>
      <c r="O2687" s="846"/>
      <c r="P2687" s="846"/>
      <c r="Q2687" s="846"/>
      <c r="R2687" s="846"/>
      <c r="S2687" s="846"/>
      <c r="T2687" s="846"/>
    </row>
    <row r="2688" spans="2:20" ht="38.25" hidden="1">
      <c r="B2688" s="828" t="s">
        <v>6559</v>
      </c>
      <c r="C2688" s="828">
        <v>91843</v>
      </c>
      <c r="D2688" s="630" t="s">
        <v>3289</v>
      </c>
      <c r="E2688" s="630" t="s">
        <v>648</v>
      </c>
      <c r="F2688" s="829">
        <v>4.83</v>
      </c>
      <c r="G2688" s="830">
        <v>3.14</v>
      </c>
      <c r="H2688" s="831">
        <v>7.97</v>
      </c>
      <c r="I2688" s="846"/>
      <c r="J2688" s="846"/>
      <c r="K2688" s="846"/>
      <c r="L2688" s="846"/>
      <c r="M2688" s="846"/>
      <c r="N2688" s="846"/>
      <c r="O2688" s="846"/>
      <c r="P2688" s="846"/>
      <c r="Q2688" s="846"/>
      <c r="R2688" s="846"/>
      <c r="S2688" s="846"/>
      <c r="T2688" s="846"/>
    </row>
    <row r="2689" spans="2:20" ht="38.25" hidden="1">
      <c r="B2689" s="828" t="s">
        <v>6559</v>
      </c>
      <c r="C2689" s="828">
        <v>91844</v>
      </c>
      <c r="D2689" s="630" t="s">
        <v>1062</v>
      </c>
      <c r="E2689" s="630" t="s">
        <v>648</v>
      </c>
      <c r="F2689" s="829">
        <v>4.5999999999999996</v>
      </c>
      <c r="G2689" s="830">
        <v>3.8</v>
      </c>
      <c r="H2689" s="831">
        <v>8.4</v>
      </c>
      <c r="I2689" s="846"/>
      <c r="J2689" s="846"/>
      <c r="K2689" s="846"/>
      <c r="L2689" s="846"/>
      <c r="M2689" s="846"/>
      <c r="N2689" s="846"/>
      <c r="O2689" s="846"/>
      <c r="P2689" s="846"/>
      <c r="Q2689" s="846"/>
      <c r="R2689" s="846"/>
      <c r="S2689" s="846"/>
      <c r="T2689" s="846"/>
    </row>
    <row r="2690" spans="2:20" ht="38.25" hidden="1">
      <c r="B2690" s="828" t="s">
        <v>6559</v>
      </c>
      <c r="C2690" s="828">
        <v>91845</v>
      </c>
      <c r="D2690" s="630" t="s">
        <v>3290</v>
      </c>
      <c r="E2690" s="630" t="s">
        <v>648</v>
      </c>
      <c r="F2690" s="829">
        <v>6.4</v>
      </c>
      <c r="G2690" s="830">
        <v>3.79</v>
      </c>
      <c r="H2690" s="831">
        <v>10.19</v>
      </c>
      <c r="I2690" s="846"/>
      <c r="J2690" s="846"/>
      <c r="K2690" s="846"/>
      <c r="L2690" s="846"/>
      <c r="M2690" s="846"/>
      <c r="N2690" s="846"/>
      <c r="O2690" s="846"/>
      <c r="P2690" s="846"/>
      <c r="Q2690" s="846"/>
      <c r="R2690" s="846"/>
      <c r="S2690" s="846"/>
      <c r="T2690" s="846"/>
    </row>
    <row r="2691" spans="2:20" ht="38.25" hidden="1">
      <c r="B2691" s="828" t="s">
        <v>6559</v>
      </c>
      <c r="C2691" s="828">
        <v>91846</v>
      </c>
      <c r="D2691" s="630" t="s">
        <v>1063</v>
      </c>
      <c r="E2691" s="630" t="s">
        <v>648</v>
      </c>
      <c r="F2691" s="829">
        <v>7.31</v>
      </c>
      <c r="G2691" s="830">
        <v>4.66</v>
      </c>
      <c r="H2691" s="831">
        <v>11.97</v>
      </c>
      <c r="I2691" s="846"/>
      <c r="J2691" s="846"/>
      <c r="K2691" s="846"/>
      <c r="L2691" s="846"/>
      <c r="M2691" s="846"/>
      <c r="N2691" s="846"/>
      <c r="O2691" s="846"/>
      <c r="P2691" s="846"/>
      <c r="Q2691" s="846"/>
      <c r="R2691" s="846"/>
      <c r="S2691" s="846"/>
      <c r="T2691" s="846"/>
    </row>
    <row r="2692" spans="2:20" ht="38.25" hidden="1">
      <c r="B2692" s="828" t="s">
        <v>6559</v>
      </c>
      <c r="C2692" s="828">
        <v>91847</v>
      </c>
      <c r="D2692" s="630" t="s">
        <v>3291</v>
      </c>
      <c r="E2692" s="630" t="s">
        <v>648</v>
      </c>
      <c r="F2692" s="829">
        <v>11.49</v>
      </c>
      <c r="G2692" s="830">
        <v>4.6500000000000004</v>
      </c>
      <c r="H2692" s="831">
        <v>16.14</v>
      </c>
      <c r="I2692" s="846"/>
      <c r="J2692" s="846"/>
      <c r="K2692" s="846"/>
      <c r="L2692" s="846"/>
      <c r="M2692" s="846"/>
      <c r="N2692" s="846"/>
      <c r="O2692" s="846"/>
      <c r="P2692" s="846"/>
      <c r="Q2692" s="846"/>
      <c r="R2692" s="846"/>
      <c r="S2692" s="846"/>
      <c r="T2692" s="846"/>
    </row>
    <row r="2693" spans="2:20" ht="38.25" hidden="1">
      <c r="B2693" s="828" t="s">
        <v>6559</v>
      </c>
      <c r="C2693" s="828">
        <v>91849</v>
      </c>
      <c r="D2693" s="630" t="s">
        <v>3292</v>
      </c>
      <c r="E2693" s="630" t="s">
        <v>648</v>
      </c>
      <c r="F2693" s="829">
        <v>4.04</v>
      </c>
      <c r="G2693" s="830">
        <v>4.68</v>
      </c>
      <c r="H2693" s="831">
        <v>8.7200000000000006</v>
      </c>
      <c r="I2693" s="846"/>
      <c r="J2693" s="846"/>
      <c r="K2693" s="846"/>
      <c r="L2693" s="846"/>
      <c r="M2693" s="846"/>
      <c r="N2693" s="846"/>
      <c r="O2693" s="846"/>
      <c r="P2693" s="846"/>
      <c r="Q2693" s="846"/>
      <c r="R2693" s="846"/>
      <c r="S2693" s="846"/>
      <c r="T2693" s="846"/>
    </row>
    <row r="2694" spans="2:20" ht="38.25" hidden="1">
      <c r="B2694" s="828" t="s">
        <v>6559</v>
      </c>
      <c r="C2694" s="828">
        <v>91850</v>
      </c>
      <c r="D2694" s="630" t="s">
        <v>3293</v>
      </c>
      <c r="E2694" s="630" t="s">
        <v>648</v>
      </c>
      <c r="F2694" s="829">
        <v>5.7</v>
      </c>
      <c r="G2694" s="830">
        <v>5.73</v>
      </c>
      <c r="H2694" s="831">
        <v>11.43</v>
      </c>
      <c r="I2694" s="846"/>
      <c r="J2694" s="846"/>
      <c r="K2694" s="846"/>
      <c r="L2694" s="846"/>
      <c r="M2694" s="846"/>
      <c r="N2694" s="846"/>
      <c r="O2694" s="846"/>
      <c r="P2694" s="846"/>
      <c r="Q2694" s="846"/>
      <c r="R2694" s="846"/>
      <c r="S2694" s="846"/>
      <c r="T2694" s="846"/>
    </row>
    <row r="2695" spans="2:20" ht="38.25" hidden="1">
      <c r="B2695" s="828" t="s">
        <v>6559</v>
      </c>
      <c r="C2695" s="828">
        <v>91851</v>
      </c>
      <c r="D2695" s="630" t="s">
        <v>3294</v>
      </c>
      <c r="E2695" s="630" t="s">
        <v>648</v>
      </c>
      <c r="F2695" s="829">
        <v>5.0999999999999996</v>
      </c>
      <c r="G2695" s="830">
        <v>5.73</v>
      </c>
      <c r="H2695" s="831">
        <v>10.83</v>
      </c>
      <c r="I2695" s="846"/>
      <c r="J2695" s="846"/>
      <c r="K2695" s="846"/>
      <c r="L2695" s="846"/>
      <c r="M2695" s="846"/>
      <c r="N2695" s="846"/>
      <c r="O2695" s="846"/>
      <c r="P2695" s="846"/>
      <c r="Q2695" s="846"/>
      <c r="R2695" s="846"/>
      <c r="S2695" s="846"/>
      <c r="T2695" s="846"/>
    </row>
    <row r="2696" spans="2:20" ht="38.25" hidden="1">
      <c r="B2696" s="828" t="s">
        <v>6559</v>
      </c>
      <c r="C2696" s="828">
        <v>91852</v>
      </c>
      <c r="D2696" s="630" t="s">
        <v>1064</v>
      </c>
      <c r="E2696" s="630" t="s">
        <v>648</v>
      </c>
      <c r="F2696" s="829">
        <v>4.59</v>
      </c>
      <c r="G2696" s="830">
        <v>5.64</v>
      </c>
      <c r="H2696" s="831">
        <v>10.23</v>
      </c>
      <c r="I2696" s="846"/>
      <c r="J2696" s="846"/>
      <c r="K2696" s="846"/>
      <c r="L2696" s="846"/>
      <c r="M2696" s="846"/>
      <c r="N2696" s="846"/>
      <c r="O2696" s="846"/>
      <c r="P2696" s="846"/>
      <c r="Q2696" s="846"/>
      <c r="R2696" s="846"/>
      <c r="S2696" s="846"/>
      <c r="T2696" s="846"/>
    </row>
    <row r="2697" spans="2:20" ht="38.25" hidden="1">
      <c r="B2697" s="828" t="s">
        <v>6559</v>
      </c>
      <c r="C2697" s="828">
        <v>91853</v>
      </c>
      <c r="D2697" s="630" t="s">
        <v>3295</v>
      </c>
      <c r="E2697" s="630" t="s">
        <v>648</v>
      </c>
      <c r="F2697" s="829">
        <v>5.24</v>
      </c>
      <c r="G2697" s="830">
        <v>5.64</v>
      </c>
      <c r="H2697" s="831">
        <v>10.88</v>
      </c>
      <c r="I2697" s="846"/>
      <c r="J2697" s="846"/>
      <c r="K2697" s="846"/>
      <c r="L2697" s="846"/>
      <c r="M2697" s="846"/>
      <c r="N2697" s="846"/>
      <c r="O2697" s="846"/>
      <c r="P2697" s="846"/>
      <c r="Q2697" s="846"/>
      <c r="R2697" s="846"/>
      <c r="S2697" s="846"/>
      <c r="T2697" s="846"/>
    </row>
    <row r="2698" spans="2:20" ht="38.25" hidden="1">
      <c r="B2698" s="828" t="s">
        <v>6559</v>
      </c>
      <c r="C2698" s="828">
        <v>91854</v>
      </c>
      <c r="D2698" s="630" t="s">
        <v>1065</v>
      </c>
      <c r="E2698" s="630" t="s">
        <v>648</v>
      </c>
      <c r="F2698" s="829">
        <v>5.04</v>
      </c>
      <c r="G2698" s="830">
        <v>6.29</v>
      </c>
      <c r="H2698" s="831">
        <v>11.33</v>
      </c>
      <c r="I2698" s="846"/>
      <c r="J2698" s="846"/>
      <c r="K2698" s="846"/>
      <c r="L2698" s="846"/>
      <c r="M2698" s="846"/>
      <c r="N2698" s="846"/>
      <c r="O2698" s="846"/>
      <c r="P2698" s="846"/>
      <c r="Q2698" s="846"/>
      <c r="R2698" s="846"/>
      <c r="S2698" s="846"/>
      <c r="T2698" s="846"/>
    </row>
    <row r="2699" spans="2:20" ht="38.25" hidden="1">
      <c r="B2699" s="828" t="s">
        <v>6559</v>
      </c>
      <c r="C2699" s="828">
        <v>91855</v>
      </c>
      <c r="D2699" s="630" t="s">
        <v>3296</v>
      </c>
      <c r="E2699" s="630" t="s">
        <v>648</v>
      </c>
      <c r="F2699" s="829">
        <v>6.72</v>
      </c>
      <c r="G2699" s="830">
        <v>6.27</v>
      </c>
      <c r="H2699" s="831">
        <v>12.99</v>
      </c>
      <c r="I2699" s="846"/>
      <c r="J2699" s="846"/>
      <c r="K2699" s="846"/>
      <c r="L2699" s="846"/>
      <c r="M2699" s="846"/>
      <c r="N2699" s="846"/>
      <c r="O2699" s="846"/>
      <c r="P2699" s="846"/>
      <c r="Q2699" s="846"/>
      <c r="R2699" s="846"/>
      <c r="S2699" s="846"/>
      <c r="T2699" s="846"/>
    </row>
    <row r="2700" spans="2:20" ht="38.25" hidden="1">
      <c r="B2700" s="828" t="s">
        <v>6559</v>
      </c>
      <c r="C2700" s="828">
        <v>91856</v>
      </c>
      <c r="D2700" s="630" t="s">
        <v>1066</v>
      </c>
      <c r="E2700" s="630" t="s">
        <v>648</v>
      </c>
      <c r="F2700" s="829">
        <v>7.55</v>
      </c>
      <c r="G2700" s="830">
        <v>7.16</v>
      </c>
      <c r="H2700" s="831">
        <v>14.71</v>
      </c>
      <c r="I2700" s="846"/>
      <c r="J2700" s="846"/>
      <c r="K2700" s="846"/>
      <c r="L2700" s="846"/>
      <c r="M2700" s="846"/>
      <c r="N2700" s="846"/>
      <c r="O2700" s="846"/>
      <c r="P2700" s="846"/>
      <c r="Q2700" s="846"/>
      <c r="R2700" s="846"/>
      <c r="S2700" s="846"/>
      <c r="T2700" s="846"/>
    </row>
    <row r="2701" spans="2:20" ht="38.25" hidden="1">
      <c r="B2701" s="828" t="s">
        <v>6559</v>
      </c>
      <c r="C2701" s="828">
        <v>91857</v>
      </c>
      <c r="D2701" s="630" t="s">
        <v>3297</v>
      </c>
      <c r="E2701" s="630" t="s">
        <v>648</v>
      </c>
      <c r="F2701" s="829">
        <v>11.41</v>
      </c>
      <c r="G2701" s="830">
        <v>7.15</v>
      </c>
      <c r="H2701" s="831">
        <v>18.559999999999999</v>
      </c>
      <c r="I2701" s="846"/>
      <c r="J2701" s="846"/>
      <c r="K2701" s="846"/>
      <c r="L2701" s="846"/>
      <c r="M2701" s="846"/>
      <c r="N2701" s="846"/>
      <c r="O2701" s="846"/>
      <c r="P2701" s="846"/>
      <c r="Q2701" s="846"/>
      <c r="R2701" s="846"/>
      <c r="S2701" s="846"/>
      <c r="T2701" s="846"/>
    </row>
    <row r="2702" spans="2:20" ht="38.25" hidden="1">
      <c r="B2702" s="828" t="s">
        <v>6559</v>
      </c>
      <c r="C2702" s="828">
        <v>91859</v>
      </c>
      <c r="D2702" s="630" t="s">
        <v>3298</v>
      </c>
      <c r="E2702" s="630" t="s">
        <v>648</v>
      </c>
      <c r="F2702" s="829">
        <v>4.53</v>
      </c>
      <c r="G2702" s="830">
        <v>7.18</v>
      </c>
      <c r="H2702" s="831">
        <v>11.71</v>
      </c>
      <c r="I2702" s="846"/>
      <c r="J2702" s="846"/>
      <c r="K2702" s="846"/>
      <c r="L2702" s="846"/>
      <c r="M2702" s="846"/>
      <c r="N2702" s="846"/>
      <c r="O2702" s="846"/>
      <c r="P2702" s="846"/>
      <c r="Q2702" s="846"/>
      <c r="R2702" s="846"/>
      <c r="S2702" s="846"/>
      <c r="T2702" s="846"/>
    </row>
    <row r="2703" spans="2:20" ht="38.25" hidden="1">
      <c r="B2703" s="828" t="s">
        <v>6559</v>
      </c>
      <c r="C2703" s="828">
        <v>91860</v>
      </c>
      <c r="D2703" s="630" t="s">
        <v>3299</v>
      </c>
      <c r="E2703" s="630" t="s">
        <v>648</v>
      </c>
      <c r="F2703" s="829">
        <v>6.11</v>
      </c>
      <c r="G2703" s="830">
        <v>8.1999999999999993</v>
      </c>
      <c r="H2703" s="831">
        <v>14.31</v>
      </c>
      <c r="I2703" s="846"/>
      <c r="J2703" s="846"/>
      <c r="K2703" s="846"/>
      <c r="L2703" s="846"/>
      <c r="M2703" s="846"/>
      <c r="N2703" s="846"/>
      <c r="O2703" s="846"/>
      <c r="P2703" s="846"/>
      <c r="Q2703" s="846"/>
      <c r="R2703" s="846"/>
      <c r="S2703" s="846"/>
      <c r="T2703" s="846"/>
    </row>
    <row r="2704" spans="2:20" ht="38.25" hidden="1">
      <c r="B2704" s="828" t="s">
        <v>6559</v>
      </c>
      <c r="C2704" s="828">
        <v>91861</v>
      </c>
      <c r="D2704" s="630" t="s">
        <v>3300</v>
      </c>
      <c r="E2704" s="630" t="s">
        <v>648</v>
      </c>
      <c r="F2704" s="829">
        <v>5.55</v>
      </c>
      <c r="G2704" s="830">
        <v>8.1999999999999993</v>
      </c>
      <c r="H2704" s="831">
        <v>13.75</v>
      </c>
      <c r="I2704" s="846"/>
      <c r="J2704" s="846"/>
      <c r="K2704" s="846"/>
      <c r="L2704" s="846"/>
      <c r="M2704" s="846"/>
      <c r="N2704" s="846"/>
      <c r="O2704" s="846"/>
      <c r="P2704" s="846"/>
      <c r="Q2704" s="846"/>
      <c r="R2704" s="846"/>
      <c r="S2704" s="846"/>
      <c r="T2704" s="846"/>
    </row>
    <row r="2705" spans="2:20" ht="38.25" hidden="1">
      <c r="B2705" s="828" t="s">
        <v>6559</v>
      </c>
      <c r="C2705" s="828">
        <v>91862</v>
      </c>
      <c r="D2705" s="630" t="s">
        <v>966</v>
      </c>
      <c r="E2705" s="630" t="s">
        <v>648</v>
      </c>
      <c r="F2705" s="829">
        <v>7.29</v>
      </c>
      <c r="G2705" s="830">
        <v>4.7</v>
      </c>
      <c r="H2705" s="831">
        <v>11.99</v>
      </c>
      <c r="I2705" s="846"/>
      <c r="J2705" s="846"/>
      <c r="K2705" s="846"/>
      <c r="L2705" s="846"/>
      <c r="M2705" s="846"/>
      <c r="N2705" s="846"/>
      <c r="O2705" s="846"/>
      <c r="P2705" s="846"/>
      <c r="Q2705" s="846"/>
      <c r="R2705" s="846"/>
      <c r="S2705" s="846"/>
      <c r="T2705" s="846"/>
    </row>
    <row r="2706" spans="2:20" ht="38.25" hidden="1">
      <c r="B2706" s="828" t="s">
        <v>6559</v>
      </c>
      <c r="C2706" s="828">
        <v>91863</v>
      </c>
      <c r="D2706" s="630" t="s">
        <v>967</v>
      </c>
      <c r="E2706" s="630" t="s">
        <v>648</v>
      </c>
      <c r="F2706" s="829">
        <v>8.69</v>
      </c>
      <c r="G2706" s="830">
        <v>5.45</v>
      </c>
      <c r="H2706" s="831">
        <v>14.14</v>
      </c>
      <c r="I2706" s="846"/>
      <c r="J2706" s="846"/>
      <c r="K2706" s="846"/>
      <c r="L2706" s="846"/>
      <c r="M2706" s="846"/>
      <c r="N2706" s="846"/>
      <c r="O2706" s="846"/>
      <c r="P2706" s="846"/>
      <c r="Q2706" s="846"/>
      <c r="R2706" s="846"/>
      <c r="S2706" s="846"/>
      <c r="T2706" s="846"/>
    </row>
    <row r="2707" spans="2:20" ht="38.25" hidden="1">
      <c r="B2707" s="828" t="s">
        <v>6559</v>
      </c>
      <c r="C2707" s="828">
        <v>91864</v>
      </c>
      <c r="D2707" s="630" t="s">
        <v>968</v>
      </c>
      <c r="E2707" s="630" t="s">
        <v>648</v>
      </c>
      <c r="F2707" s="829">
        <v>12.39</v>
      </c>
      <c r="G2707" s="830">
        <v>6.48</v>
      </c>
      <c r="H2707" s="831">
        <v>18.87</v>
      </c>
      <c r="I2707" s="846"/>
      <c r="J2707" s="846"/>
      <c r="K2707" s="846"/>
      <c r="L2707" s="846"/>
      <c r="M2707" s="846"/>
      <c r="N2707" s="846"/>
      <c r="O2707" s="846"/>
      <c r="P2707" s="846"/>
      <c r="Q2707" s="846"/>
      <c r="R2707" s="846"/>
      <c r="S2707" s="846"/>
      <c r="T2707" s="846"/>
    </row>
    <row r="2708" spans="2:20" ht="38.25" hidden="1">
      <c r="B2708" s="828" t="s">
        <v>6559</v>
      </c>
      <c r="C2708" s="828">
        <v>91865</v>
      </c>
      <c r="D2708" s="630" t="s">
        <v>969</v>
      </c>
      <c r="E2708" s="630" t="s">
        <v>648</v>
      </c>
      <c r="F2708" s="829">
        <v>15.87</v>
      </c>
      <c r="G2708" s="830">
        <v>7.71</v>
      </c>
      <c r="H2708" s="831">
        <v>23.58</v>
      </c>
      <c r="I2708" s="846"/>
      <c r="J2708" s="846"/>
      <c r="K2708" s="846"/>
      <c r="L2708" s="846"/>
      <c r="M2708" s="846"/>
      <c r="N2708" s="846"/>
      <c r="O2708" s="846"/>
      <c r="P2708" s="846"/>
      <c r="Q2708" s="846"/>
      <c r="R2708" s="846"/>
      <c r="S2708" s="846"/>
      <c r="T2708" s="846"/>
    </row>
    <row r="2709" spans="2:20" ht="38.25" hidden="1">
      <c r="B2709" s="828" t="s">
        <v>6559</v>
      </c>
      <c r="C2709" s="828">
        <v>91866</v>
      </c>
      <c r="D2709" s="630" t="s">
        <v>970</v>
      </c>
      <c r="E2709" s="630" t="s">
        <v>648</v>
      </c>
      <c r="F2709" s="829">
        <v>5.98</v>
      </c>
      <c r="G2709" s="830">
        <v>3.71</v>
      </c>
      <c r="H2709" s="831">
        <v>9.69</v>
      </c>
      <c r="I2709" s="846"/>
      <c r="J2709" s="846"/>
      <c r="K2709" s="846"/>
      <c r="L2709" s="846"/>
      <c r="M2709" s="846"/>
      <c r="N2709" s="846"/>
      <c r="O2709" s="846"/>
      <c r="P2709" s="846"/>
      <c r="Q2709" s="846"/>
      <c r="R2709" s="846"/>
      <c r="S2709" s="846"/>
      <c r="T2709" s="846"/>
    </row>
    <row r="2710" spans="2:20" ht="38.25" hidden="1">
      <c r="B2710" s="828" t="s">
        <v>6559</v>
      </c>
      <c r="C2710" s="828">
        <v>91867</v>
      </c>
      <c r="D2710" s="630" t="s">
        <v>971</v>
      </c>
      <c r="E2710" s="630" t="s">
        <v>648</v>
      </c>
      <c r="F2710" s="829">
        <v>7.39</v>
      </c>
      <c r="G2710" s="830">
        <v>4.45</v>
      </c>
      <c r="H2710" s="831">
        <v>11.84</v>
      </c>
      <c r="I2710" s="846"/>
      <c r="J2710" s="846"/>
      <c r="K2710" s="846"/>
      <c r="L2710" s="846"/>
      <c r="M2710" s="846"/>
      <c r="N2710" s="846"/>
      <c r="O2710" s="846"/>
      <c r="P2710" s="846"/>
      <c r="Q2710" s="846"/>
      <c r="R2710" s="846"/>
      <c r="S2710" s="846"/>
      <c r="T2710" s="846"/>
    </row>
    <row r="2711" spans="2:20" ht="38.25" hidden="1">
      <c r="B2711" s="828" t="s">
        <v>6559</v>
      </c>
      <c r="C2711" s="828">
        <v>91868</v>
      </c>
      <c r="D2711" s="630" t="s">
        <v>972</v>
      </c>
      <c r="E2711" s="630" t="s">
        <v>648</v>
      </c>
      <c r="F2711" s="829">
        <v>11.09</v>
      </c>
      <c r="G2711" s="830">
        <v>5.48</v>
      </c>
      <c r="H2711" s="831">
        <v>16.57</v>
      </c>
      <c r="I2711" s="846"/>
      <c r="J2711" s="846"/>
      <c r="K2711" s="846"/>
      <c r="L2711" s="846"/>
      <c r="M2711" s="846"/>
      <c r="N2711" s="846"/>
      <c r="O2711" s="846"/>
      <c r="P2711" s="846"/>
      <c r="Q2711" s="846"/>
      <c r="R2711" s="846"/>
      <c r="S2711" s="846"/>
      <c r="T2711" s="846"/>
    </row>
    <row r="2712" spans="2:20" ht="38.25" hidden="1">
      <c r="B2712" s="828" t="s">
        <v>6559</v>
      </c>
      <c r="C2712" s="828">
        <v>91869</v>
      </c>
      <c r="D2712" s="630" t="s">
        <v>1083</v>
      </c>
      <c r="E2712" s="630" t="s">
        <v>648</v>
      </c>
      <c r="F2712" s="829">
        <v>14.59</v>
      </c>
      <c r="G2712" s="830">
        <v>6.7</v>
      </c>
      <c r="H2712" s="831">
        <v>21.29</v>
      </c>
      <c r="I2712" s="846"/>
      <c r="J2712" s="846"/>
      <c r="K2712" s="846"/>
      <c r="L2712" s="846"/>
      <c r="M2712" s="846"/>
      <c r="N2712" s="846"/>
      <c r="O2712" s="846"/>
      <c r="P2712" s="846"/>
      <c r="Q2712" s="846"/>
      <c r="R2712" s="846"/>
      <c r="S2712" s="846"/>
      <c r="T2712" s="846"/>
    </row>
    <row r="2713" spans="2:20" ht="38.25" hidden="1">
      <c r="B2713" s="828" t="s">
        <v>6559</v>
      </c>
      <c r="C2713" s="828">
        <v>91870</v>
      </c>
      <c r="D2713" s="630" t="s">
        <v>1084</v>
      </c>
      <c r="E2713" s="630" t="s">
        <v>648</v>
      </c>
      <c r="F2713" s="829">
        <v>6.83</v>
      </c>
      <c r="G2713" s="830">
        <v>6.63</v>
      </c>
      <c r="H2713" s="831">
        <v>13.46</v>
      </c>
      <c r="I2713" s="846"/>
      <c r="J2713" s="846"/>
      <c r="K2713" s="846"/>
      <c r="L2713" s="846"/>
      <c r="M2713" s="846"/>
      <c r="N2713" s="846"/>
      <c r="O2713" s="846"/>
      <c r="P2713" s="846"/>
      <c r="Q2713" s="846"/>
      <c r="R2713" s="846"/>
      <c r="S2713" s="846"/>
      <c r="T2713" s="846"/>
    </row>
    <row r="2714" spans="2:20" ht="38.25" hidden="1">
      <c r="B2714" s="828" t="s">
        <v>6559</v>
      </c>
      <c r="C2714" s="828">
        <v>91871</v>
      </c>
      <c r="D2714" s="630" t="s">
        <v>1085</v>
      </c>
      <c r="E2714" s="630" t="s">
        <v>648</v>
      </c>
      <c r="F2714" s="829">
        <v>8.26</v>
      </c>
      <c r="G2714" s="830">
        <v>7.4</v>
      </c>
      <c r="H2714" s="831">
        <v>15.66</v>
      </c>
      <c r="I2714" s="846"/>
      <c r="J2714" s="846"/>
      <c r="K2714" s="846"/>
      <c r="L2714" s="846"/>
      <c r="M2714" s="846"/>
      <c r="N2714" s="846"/>
      <c r="O2714" s="846"/>
      <c r="P2714" s="846"/>
      <c r="Q2714" s="846"/>
      <c r="R2714" s="846"/>
      <c r="S2714" s="846"/>
      <c r="T2714" s="846"/>
    </row>
    <row r="2715" spans="2:20" ht="38.25" hidden="1">
      <c r="B2715" s="828" t="s">
        <v>6559</v>
      </c>
      <c r="C2715" s="828">
        <v>91872</v>
      </c>
      <c r="D2715" s="630" t="s">
        <v>1086</v>
      </c>
      <c r="E2715" s="630" t="s">
        <v>648</v>
      </c>
      <c r="F2715" s="829">
        <v>11.94</v>
      </c>
      <c r="G2715" s="830">
        <v>8.4499999999999993</v>
      </c>
      <c r="H2715" s="831">
        <v>20.39</v>
      </c>
      <c r="I2715" s="846"/>
      <c r="J2715" s="846"/>
      <c r="K2715" s="846"/>
      <c r="L2715" s="846"/>
      <c r="M2715" s="846"/>
      <c r="N2715" s="846"/>
      <c r="O2715" s="846"/>
      <c r="P2715" s="846"/>
      <c r="Q2715" s="846"/>
      <c r="R2715" s="846"/>
      <c r="S2715" s="846"/>
      <c r="T2715" s="846"/>
    </row>
    <row r="2716" spans="2:20" ht="38.25" hidden="1">
      <c r="B2716" s="828" t="s">
        <v>6559</v>
      </c>
      <c r="C2716" s="828">
        <v>91873</v>
      </c>
      <c r="D2716" s="630" t="s">
        <v>1087</v>
      </c>
      <c r="E2716" s="630" t="s">
        <v>648</v>
      </c>
      <c r="F2716" s="829">
        <v>15.41</v>
      </c>
      <c r="G2716" s="830">
        <v>9.6300000000000008</v>
      </c>
      <c r="H2716" s="831">
        <v>25.04</v>
      </c>
      <c r="I2716" s="846"/>
      <c r="J2716" s="846"/>
      <c r="K2716" s="846"/>
      <c r="L2716" s="846"/>
      <c r="M2716" s="846"/>
      <c r="N2716" s="846"/>
      <c r="O2716" s="846"/>
      <c r="P2716" s="846"/>
      <c r="Q2716" s="846"/>
      <c r="R2716" s="846"/>
      <c r="S2716" s="846"/>
      <c r="T2716" s="846"/>
    </row>
    <row r="2717" spans="2:20" ht="38.25" hidden="1">
      <c r="B2717" s="828" t="s">
        <v>6559</v>
      </c>
      <c r="C2717" s="828">
        <v>93008</v>
      </c>
      <c r="D2717" s="630" t="s">
        <v>7095</v>
      </c>
      <c r="E2717" s="630" t="s">
        <v>648</v>
      </c>
      <c r="F2717" s="829">
        <v>16.34</v>
      </c>
      <c r="G2717" s="830">
        <v>4.88</v>
      </c>
      <c r="H2717" s="831">
        <v>21.22</v>
      </c>
      <c r="I2717" s="846"/>
      <c r="J2717" s="846"/>
      <c r="K2717" s="846"/>
      <c r="L2717" s="846"/>
      <c r="M2717" s="846"/>
      <c r="N2717" s="846"/>
      <c r="O2717" s="846"/>
      <c r="P2717" s="846"/>
      <c r="Q2717" s="846"/>
      <c r="R2717" s="846"/>
      <c r="S2717" s="846"/>
      <c r="T2717" s="846"/>
    </row>
    <row r="2718" spans="2:20" ht="38.25" hidden="1">
      <c r="B2718" s="828" t="s">
        <v>6559</v>
      </c>
      <c r="C2718" s="828">
        <v>93009</v>
      </c>
      <c r="D2718" s="630" t="s">
        <v>7096</v>
      </c>
      <c r="E2718" s="630" t="s">
        <v>648</v>
      </c>
      <c r="F2718" s="829">
        <v>25.98</v>
      </c>
      <c r="G2718" s="830">
        <v>5.61</v>
      </c>
      <c r="H2718" s="831">
        <v>31.59</v>
      </c>
      <c r="I2718" s="846"/>
      <c r="J2718" s="846"/>
      <c r="K2718" s="846"/>
      <c r="L2718" s="846"/>
      <c r="M2718" s="846"/>
      <c r="N2718" s="846"/>
      <c r="O2718" s="846"/>
      <c r="P2718" s="846"/>
      <c r="Q2718" s="846"/>
      <c r="R2718" s="846"/>
      <c r="S2718" s="846"/>
      <c r="T2718" s="846"/>
    </row>
    <row r="2719" spans="2:20" ht="38.25" hidden="1">
      <c r="B2719" s="828" t="s">
        <v>6559</v>
      </c>
      <c r="C2719" s="828">
        <v>93010</v>
      </c>
      <c r="D2719" s="630" t="s">
        <v>7097</v>
      </c>
      <c r="E2719" s="630" t="s">
        <v>648</v>
      </c>
      <c r="F2719" s="829">
        <v>37.44</v>
      </c>
      <c r="G2719" s="830">
        <v>6.7</v>
      </c>
      <c r="H2719" s="831">
        <v>44.14</v>
      </c>
      <c r="I2719" s="846"/>
      <c r="J2719" s="846"/>
      <c r="K2719" s="846"/>
      <c r="L2719" s="846"/>
      <c r="M2719" s="846"/>
      <c r="N2719" s="846"/>
      <c r="O2719" s="846"/>
      <c r="P2719" s="846"/>
      <c r="Q2719" s="846"/>
      <c r="R2719" s="846"/>
      <c r="S2719" s="846"/>
      <c r="T2719" s="846"/>
    </row>
    <row r="2720" spans="2:20" ht="38.25" hidden="1">
      <c r="B2720" s="828" t="s">
        <v>6559</v>
      </c>
      <c r="C2720" s="828">
        <v>93011</v>
      </c>
      <c r="D2720" s="630" t="s">
        <v>7098</v>
      </c>
      <c r="E2720" s="630" t="s">
        <v>648</v>
      </c>
      <c r="F2720" s="829">
        <v>46.66</v>
      </c>
      <c r="G2720" s="830">
        <v>7.43</v>
      </c>
      <c r="H2720" s="831">
        <v>54.09</v>
      </c>
      <c r="I2720" s="846"/>
      <c r="J2720" s="846"/>
      <c r="K2720" s="846"/>
      <c r="L2720" s="846"/>
      <c r="M2720" s="846"/>
      <c r="N2720" s="846"/>
      <c r="O2720" s="846"/>
      <c r="P2720" s="846"/>
      <c r="Q2720" s="846"/>
      <c r="R2720" s="846"/>
      <c r="S2720" s="846"/>
      <c r="T2720" s="846"/>
    </row>
    <row r="2721" spans="2:20" ht="38.25" hidden="1">
      <c r="B2721" s="828" t="s">
        <v>6559</v>
      </c>
      <c r="C2721" s="828">
        <v>93012</v>
      </c>
      <c r="D2721" s="630" t="s">
        <v>7099</v>
      </c>
      <c r="E2721" s="630" t="s">
        <v>648</v>
      </c>
      <c r="F2721" s="829">
        <v>72.790000000000006</v>
      </c>
      <c r="G2721" s="830">
        <v>9.25</v>
      </c>
      <c r="H2721" s="831">
        <v>82.04</v>
      </c>
      <c r="I2721" s="846"/>
      <c r="J2721" s="846"/>
      <c r="K2721" s="846"/>
      <c r="L2721" s="846"/>
      <c r="M2721" s="846"/>
      <c r="N2721" s="846"/>
      <c r="O2721" s="846"/>
      <c r="P2721" s="846"/>
      <c r="Q2721" s="846"/>
      <c r="R2721" s="846"/>
      <c r="S2721" s="846"/>
      <c r="T2721" s="846"/>
    </row>
    <row r="2722" spans="2:20" ht="25.5" hidden="1">
      <c r="B2722" s="828" t="s">
        <v>6559</v>
      </c>
      <c r="C2722" s="828">
        <v>95726</v>
      </c>
      <c r="D2722" s="630" t="s">
        <v>7820</v>
      </c>
      <c r="E2722" s="630" t="s">
        <v>648</v>
      </c>
      <c r="F2722" s="829">
        <v>4.91</v>
      </c>
      <c r="G2722" s="830">
        <v>3.2</v>
      </c>
      <c r="H2722" s="831">
        <v>8.11</v>
      </c>
      <c r="I2722" s="846"/>
      <c r="J2722" s="846"/>
      <c r="K2722" s="846"/>
      <c r="L2722" s="846"/>
      <c r="M2722" s="846"/>
      <c r="N2722" s="846"/>
      <c r="O2722" s="846"/>
      <c r="P2722" s="846"/>
      <c r="Q2722" s="846"/>
      <c r="R2722" s="846"/>
      <c r="S2722" s="846"/>
      <c r="T2722" s="846"/>
    </row>
    <row r="2723" spans="2:20" ht="25.5" hidden="1">
      <c r="B2723" s="828" t="s">
        <v>6559</v>
      </c>
      <c r="C2723" s="828">
        <v>95727</v>
      </c>
      <c r="D2723" s="630" t="s">
        <v>7821</v>
      </c>
      <c r="E2723" s="630" t="s">
        <v>648</v>
      </c>
      <c r="F2723" s="829">
        <v>5.74</v>
      </c>
      <c r="G2723" s="830">
        <v>3.57</v>
      </c>
      <c r="H2723" s="831">
        <v>9.31</v>
      </c>
      <c r="I2723" s="846"/>
      <c r="J2723" s="846"/>
      <c r="K2723" s="846"/>
      <c r="L2723" s="846"/>
      <c r="M2723" s="846"/>
      <c r="N2723" s="846"/>
      <c r="O2723" s="846"/>
      <c r="P2723" s="846"/>
      <c r="Q2723" s="846"/>
      <c r="R2723" s="846"/>
      <c r="S2723" s="846"/>
      <c r="T2723" s="846"/>
    </row>
    <row r="2724" spans="2:20" ht="25.5" hidden="1">
      <c r="B2724" s="828" t="s">
        <v>6559</v>
      </c>
      <c r="C2724" s="828">
        <v>95728</v>
      </c>
      <c r="D2724" s="630" t="s">
        <v>7822</v>
      </c>
      <c r="E2724" s="630" t="s">
        <v>648</v>
      </c>
      <c r="F2724" s="829">
        <v>7.86</v>
      </c>
      <c r="G2724" s="830">
        <v>4.07</v>
      </c>
      <c r="H2724" s="831">
        <v>11.93</v>
      </c>
      <c r="I2724" s="846"/>
      <c r="J2724" s="846"/>
      <c r="K2724" s="846"/>
      <c r="L2724" s="846"/>
      <c r="M2724" s="846"/>
      <c r="N2724" s="846"/>
      <c r="O2724" s="846"/>
      <c r="P2724" s="846"/>
      <c r="Q2724" s="846"/>
      <c r="R2724" s="846"/>
      <c r="S2724" s="846"/>
      <c r="T2724" s="846"/>
    </row>
    <row r="2725" spans="2:20" ht="25.5" hidden="1">
      <c r="B2725" s="828" t="s">
        <v>6559</v>
      </c>
      <c r="C2725" s="828">
        <v>95729</v>
      </c>
      <c r="D2725" s="630" t="s">
        <v>7823</v>
      </c>
      <c r="E2725" s="630" t="s">
        <v>648</v>
      </c>
      <c r="F2725" s="829">
        <v>5.45</v>
      </c>
      <c r="G2725" s="830">
        <v>5.1100000000000003</v>
      </c>
      <c r="H2725" s="831">
        <v>10.56</v>
      </c>
      <c r="I2725" s="846"/>
      <c r="J2725" s="846"/>
      <c r="K2725" s="846"/>
      <c r="L2725" s="846"/>
      <c r="M2725" s="846"/>
      <c r="N2725" s="846"/>
      <c r="O2725" s="846"/>
      <c r="P2725" s="846"/>
      <c r="Q2725" s="846"/>
      <c r="R2725" s="846"/>
      <c r="S2725" s="846"/>
      <c r="T2725" s="846"/>
    </row>
    <row r="2726" spans="2:20" ht="25.5" hidden="1">
      <c r="B2726" s="828" t="s">
        <v>6559</v>
      </c>
      <c r="C2726" s="828">
        <v>95730</v>
      </c>
      <c r="D2726" s="630" t="s">
        <v>7824</v>
      </c>
      <c r="E2726" s="630" t="s">
        <v>648</v>
      </c>
      <c r="F2726" s="829">
        <v>6.31</v>
      </c>
      <c r="G2726" s="830">
        <v>5.45</v>
      </c>
      <c r="H2726" s="831">
        <v>11.76</v>
      </c>
      <c r="I2726" s="846"/>
      <c r="J2726" s="846"/>
      <c r="K2726" s="846"/>
      <c r="L2726" s="846"/>
      <c r="M2726" s="846"/>
      <c r="N2726" s="846"/>
      <c r="O2726" s="846"/>
      <c r="P2726" s="846"/>
      <c r="Q2726" s="846"/>
      <c r="R2726" s="846"/>
      <c r="S2726" s="846"/>
      <c r="T2726" s="846"/>
    </row>
    <row r="2727" spans="2:20" ht="25.5" hidden="1">
      <c r="B2727" s="828" t="s">
        <v>6559</v>
      </c>
      <c r="C2727" s="828">
        <v>95731</v>
      </c>
      <c r="D2727" s="630" t="s">
        <v>7825</v>
      </c>
      <c r="E2727" s="630" t="s">
        <v>648</v>
      </c>
      <c r="F2727" s="829">
        <v>8.43</v>
      </c>
      <c r="G2727" s="830">
        <v>5.94</v>
      </c>
      <c r="H2727" s="831">
        <v>14.37</v>
      </c>
      <c r="I2727" s="846"/>
      <c r="J2727" s="846"/>
      <c r="K2727" s="846"/>
      <c r="L2727" s="846"/>
      <c r="M2727" s="846"/>
      <c r="N2727" s="846"/>
      <c r="O2727" s="846"/>
      <c r="P2727" s="846"/>
      <c r="Q2727" s="846"/>
      <c r="R2727" s="846"/>
      <c r="S2727" s="846"/>
      <c r="T2727" s="846"/>
    </row>
    <row r="2728" spans="2:20" ht="38.25" hidden="1">
      <c r="B2728" s="828" t="s">
        <v>6559</v>
      </c>
      <c r="C2728" s="828">
        <v>97667</v>
      </c>
      <c r="D2728" s="630" t="s">
        <v>7100</v>
      </c>
      <c r="E2728" s="630" t="s">
        <v>648</v>
      </c>
      <c r="F2728" s="829">
        <v>5.42</v>
      </c>
      <c r="G2728" s="830">
        <v>2.91</v>
      </c>
      <c r="H2728" s="831">
        <v>8.33</v>
      </c>
      <c r="I2728" s="846"/>
      <c r="J2728" s="846"/>
      <c r="K2728" s="846"/>
      <c r="L2728" s="846"/>
      <c r="M2728" s="846"/>
      <c r="N2728" s="846"/>
      <c r="O2728" s="846"/>
      <c r="P2728" s="846"/>
      <c r="Q2728" s="846"/>
      <c r="R2728" s="846"/>
      <c r="S2728" s="846"/>
      <c r="T2728" s="846"/>
    </row>
    <row r="2729" spans="2:20" ht="38.25" hidden="1">
      <c r="B2729" s="828" t="s">
        <v>6559</v>
      </c>
      <c r="C2729" s="828">
        <v>97668</v>
      </c>
      <c r="D2729" s="630" t="s">
        <v>7101</v>
      </c>
      <c r="E2729" s="630" t="s">
        <v>648</v>
      </c>
      <c r="F2729" s="829">
        <v>7.73</v>
      </c>
      <c r="G2729" s="830">
        <v>4.12</v>
      </c>
      <c r="H2729" s="831">
        <v>11.85</v>
      </c>
      <c r="I2729" s="846"/>
      <c r="J2729" s="846"/>
      <c r="K2729" s="846"/>
      <c r="L2729" s="846"/>
      <c r="M2729" s="846"/>
      <c r="N2729" s="846"/>
      <c r="O2729" s="846"/>
      <c r="P2729" s="846"/>
      <c r="Q2729" s="846"/>
      <c r="R2729" s="846"/>
      <c r="S2729" s="846"/>
      <c r="T2729" s="846"/>
    </row>
    <row r="2730" spans="2:20" ht="38.25" hidden="1">
      <c r="B2730" s="828" t="s">
        <v>6559</v>
      </c>
      <c r="C2730" s="828">
        <v>97669</v>
      </c>
      <c r="D2730" s="630" t="s">
        <v>7102</v>
      </c>
      <c r="E2730" s="630" t="s">
        <v>648</v>
      </c>
      <c r="F2730" s="829">
        <v>11.08</v>
      </c>
      <c r="G2730" s="830">
        <v>6.58</v>
      </c>
      <c r="H2730" s="831">
        <v>17.66</v>
      </c>
      <c r="I2730" s="846"/>
      <c r="J2730" s="846"/>
      <c r="K2730" s="846"/>
      <c r="L2730" s="846"/>
      <c r="M2730" s="846"/>
      <c r="N2730" s="846"/>
      <c r="O2730" s="846"/>
      <c r="P2730" s="846"/>
      <c r="Q2730" s="846"/>
      <c r="R2730" s="846"/>
      <c r="S2730" s="846"/>
      <c r="T2730" s="846"/>
    </row>
    <row r="2731" spans="2:20" ht="38.25" hidden="1">
      <c r="B2731" s="828" t="s">
        <v>6559</v>
      </c>
      <c r="C2731" s="828">
        <v>97670</v>
      </c>
      <c r="D2731" s="630" t="s">
        <v>7103</v>
      </c>
      <c r="E2731" s="630" t="s">
        <v>648</v>
      </c>
      <c r="F2731" s="829">
        <v>14.95</v>
      </c>
      <c r="G2731" s="830">
        <v>7.5</v>
      </c>
      <c r="H2731" s="831">
        <v>22.45</v>
      </c>
      <c r="I2731" s="846"/>
      <c r="J2731" s="846"/>
      <c r="K2731" s="846"/>
      <c r="L2731" s="846"/>
      <c r="M2731" s="846"/>
      <c r="N2731" s="846"/>
      <c r="O2731" s="846"/>
      <c r="P2731" s="846"/>
      <c r="Q2731" s="846"/>
      <c r="R2731" s="846"/>
      <c r="S2731" s="846"/>
      <c r="T2731" s="846"/>
    </row>
    <row r="2732" spans="2:20" ht="38.25" hidden="1">
      <c r="B2732" s="828" t="s">
        <v>6547</v>
      </c>
      <c r="C2732" s="828">
        <v>91874</v>
      </c>
      <c r="D2732" s="630" t="s">
        <v>1067</v>
      </c>
      <c r="E2732" s="630" t="s">
        <v>646</v>
      </c>
      <c r="F2732" s="829">
        <v>2.23</v>
      </c>
      <c r="G2732" s="830">
        <v>3.64</v>
      </c>
      <c r="H2732" s="831">
        <v>5.87</v>
      </c>
      <c r="I2732" s="846"/>
      <c r="J2732" s="846"/>
      <c r="K2732" s="846"/>
      <c r="L2732" s="846"/>
      <c r="M2732" s="846"/>
      <c r="N2732" s="846"/>
      <c r="O2732" s="846"/>
      <c r="P2732" s="846"/>
      <c r="Q2732" s="846"/>
      <c r="R2732" s="846"/>
      <c r="S2732" s="846"/>
      <c r="T2732" s="846"/>
    </row>
    <row r="2733" spans="2:20" ht="38.25" hidden="1">
      <c r="B2733" s="828" t="s">
        <v>6547</v>
      </c>
      <c r="C2733" s="828">
        <v>91875</v>
      </c>
      <c r="D2733" s="630" t="s">
        <v>1068</v>
      </c>
      <c r="E2733" s="630" t="s">
        <v>646</v>
      </c>
      <c r="F2733" s="829">
        <v>3.14</v>
      </c>
      <c r="G2733" s="830">
        <v>4.68</v>
      </c>
      <c r="H2733" s="831">
        <v>7.82</v>
      </c>
      <c r="I2733" s="846"/>
      <c r="J2733" s="846"/>
      <c r="K2733" s="846"/>
      <c r="L2733" s="846"/>
      <c r="M2733" s="846"/>
      <c r="N2733" s="846"/>
      <c r="O2733" s="846"/>
      <c r="P2733" s="846"/>
      <c r="Q2733" s="846"/>
      <c r="R2733" s="846"/>
      <c r="S2733" s="846"/>
      <c r="T2733" s="846"/>
    </row>
    <row r="2734" spans="2:20" ht="38.25" hidden="1">
      <c r="B2734" s="828" t="s">
        <v>6547</v>
      </c>
      <c r="C2734" s="828">
        <v>91876</v>
      </c>
      <c r="D2734" s="630" t="s">
        <v>1069</v>
      </c>
      <c r="E2734" s="630" t="s">
        <v>646</v>
      </c>
      <c r="F2734" s="829">
        <v>4.2300000000000004</v>
      </c>
      <c r="G2734" s="830">
        <v>6.08</v>
      </c>
      <c r="H2734" s="831">
        <v>10.31</v>
      </c>
      <c r="I2734" s="846"/>
      <c r="J2734" s="846"/>
      <c r="K2734" s="846"/>
      <c r="L2734" s="846"/>
      <c r="M2734" s="846"/>
      <c r="N2734" s="846"/>
      <c r="O2734" s="846"/>
      <c r="P2734" s="846"/>
      <c r="Q2734" s="846"/>
      <c r="R2734" s="846"/>
      <c r="S2734" s="846"/>
      <c r="T2734" s="846"/>
    </row>
    <row r="2735" spans="2:20" ht="38.25" hidden="1">
      <c r="B2735" s="828" t="s">
        <v>6547</v>
      </c>
      <c r="C2735" s="828">
        <v>91877</v>
      </c>
      <c r="D2735" s="630" t="s">
        <v>1070</v>
      </c>
      <c r="E2735" s="630" t="s">
        <v>646</v>
      </c>
      <c r="F2735" s="829">
        <v>6.07</v>
      </c>
      <c r="G2735" s="830">
        <v>7.69</v>
      </c>
      <c r="H2735" s="831">
        <v>13.76</v>
      </c>
      <c r="I2735" s="846"/>
      <c r="J2735" s="846"/>
      <c r="K2735" s="846"/>
      <c r="L2735" s="846"/>
      <c r="M2735" s="846"/>
      <c r="N2735" s="846"/>
      <c r="O2735" s="846"/>
      <c r="P2735" s="846"/>
      <c r="Q2735" s="846"/>
      <c r="R2735" s="846"/>
      <c r="S2735" s="846"/>
      <c r="T2735" s="846"/>
    </row>
    <row r="2736" spans="2:20" ht="38.25" hidden="1">
      <c r="B2736" s="828" t="s">
        <v>6547</v>
      </c>
      <c r="C2736" s="828">
        <v>91878</v>
      </c>
      <c r="D2736" s="630" t="s">
        <v>1071</v>
      </c>
      <c r="E2736" s="630" t="s">
        <v>646</v>
      </c>
      <c r="F2736" s="829">
        <v>2.61</v>
      </c>
      <c r="G2736" s="830">
        <v>4.91</v>
      </c>
      <c r="H2736" s="831">
        <v>7.52</v>
      </c>
      <c r="I2736" s="846"/>
      <c r="J2736" s="846"/>
      <c r="K2736" s="846"/>
      <c r="L2736" s="846"/>
      <c r="M2736" s="846"/>
      <c r="N2736" s="846"/>
      <c r="O2736" s="846"/>
      <c r="P2736" s="846"/>
      <c r="Q2736" s="846"/>
      <c r="R2736" s="846"/>
      <c r="S2736" s="846"/>
      <c r="T2736" s="846"/>
    </row>
    <row r="2737" spans="2:20" ht="38.25" hidden="1">
      <c r="B2737" s="828" t="s">
        <v>6547</v>
      </c>
      <c r="C2737" s="828">
        <v>91879</v>
      </c>
      <c r="D2737" s="630" t="s">
        <v>1072</v>
      </c>
      <c r="E2737" s="630" t="s">
        <v>646</v>
      </c>
      <c r="F2737" s="829">
        <v>3.48</v>
      </c>
      <c r="G2737" s="830">
        <v>5.92</v>
      </c>
      <c r="H2737" s="831">
        <v>9.4</v>
      </c>
      <c r="I2737" s="846"/>
      <c r="J2737" s="846"/>
      <c r="K2737" s="846"/>
      <c r="L2737" s="846"/>
      <c r="M2737" s="846"/>
      <c r="N2737" s="846"/>
      <c r="O2737" s="846"/>
      <c r="P2737" s="846"/>
      <c r="Q2737" s="846"/>
      <c r="R2737" s="846"/>
      <c r="S2737" s="846"/>
      <c r="T2737" s="846"/>
    </row>
    <row r="2738" spans="2:20" ht="38.25" hidden="1">
      <c r="B2738" s="828" t="s">
        <v>6547</v>
      </c>
      <c r="C2738" s="828">
        <v>91880</v>
      </c>
      <c r="D2738" s="630" t="s">
        <v>1073</v>
      </c>
      <c r="E2738" s="630" t="s">
        <v>646</v>
      </c>
      <c r="F2738" s="829">
        <v>4.63</v>
      </c>
      <c r="G2738" s="830">
        <v>7.33</v>
      </c>
      <c r="H2738" s="831">
        <v>11.96</v>
      </c>
      <c r="I2738" s="846"/>
      <c r="J2738" s="846"/>
      <c r="K2738" s="846"/>
      <c r="L2738" s="846"/>
      <c r="M2738" s="846"/>
      <c r="N2738" s="846"/>
      <c r="O2738" s="846"/>
      <c r="P2738" s="846"/>
      <c r="Q2738" s="846"/>
      <c r="R2738" s="846"/>
      <c r="S2738" s="846"/>
      <c r="T2738" s="846"/>
    </row>
    <row r="2739" spans="2:20" ht="38.25" hidden="1">
      <c r="B2739" s="828" t="s">
        <v>6547</v>
      </c>
      <c r="C2739" s="828">
        <v>91881</v>
      </c>
      <c r="D2739" s="630" t="s">
        <v>1074</v>
      </c>
      <c r="E2739" s="630" t="s">
        <v>646</v>
      </c>
      <c r="F2739" s="829">
        <v>6.45</v>
      </c>
      <c r="G2739" s="830">
        <v>8.9600000000000009</v>
      </c>
      <c r="H2739" s="831">
        <v>15.41</v>
      </c>
      <c r="I2739" s="846"/>
      <c r="J2739" s="846"/>
      <c r="K2739" s="846"/>
      <c r="L2739" s="846"/>
      <c r="M2739" s="846"/>
      <c r="N2739" s="846"/>
      <c r="O2739" s="846"/>
      <c r="P2739" s="846"/>
      <c r="Q2739" s="846"/>
      <c r="R2739" s="846"/>
      <c r="S2739" s="846"/>
      <c r="T2739" s="846"/>
    </row>
    <row r="2740" spans="2:20" ht="38.25" hidden="1">
      <c r="B2740" s="828" t="s">
        <v>6547</v>
      </c>
      <c r="C2740" s="828">
        <v>91882</v>
      </c>
      <c r="D2740" s="630" t="s">
        <v>1075</v>
      </c>
      <c r="E2740" s="630" t="s">
        <v>646</v>
      </c>
      <c r="F2740" s="829">
        <v>3.03</v>
      </c>
      <c r="G2740" s="830">
        <v>6.26</v>
      </c>
      <c r="H2740" s="831">
        <v>9.2899999999999991</v>
      </c>
      <c r="I2740" s="846"/>
      <c r="J2740" s="846"/>
      <c r="K2740" s="846"/>
      <c r="L2740" s="846"/>
      <c r="M2740" s="846"/>
      <c r="N2740" s="846"/>
      <c r="O2740" s="846"/>
      <c r="P2740" s="846"/>
      <c r="Q2740" s="846"/>
      <c r="R2740" s="846"/>
      <c r="S2740" s="846"/>
      <c r="T2740" s="846"/>
    </row>
    <row r="2741" spans="2:20" ht="38.25" hidden="1">
      <c r="B2741" s="828" t="s">
        <v>6547</v>
      </c>
      <c r="C2741" s="828">
        <v>91884</v>
      </c>
      <c r="D2741" s="630" t="s">
        <v>1076</v>
      </c>
      <c r="E2741" s="630" t="s">
        <v>646</v>
      </c>
      <c r="F2741" s="829">
        <v>3.82</v>
      </c>
      <c r="G2741" s="830">
        <v>6.94</v>
      </c>
      <c r="H2741" s="831">
        <v>10.76</v>
      </c>
      <c r="I2741" s="846"/>
      <c r="J2741" s="846"/>
      <c r="K2741" s="846"/>
      <c r="L2741" s="846"/>
      <c r="M2741" s="846"/>
      <c r="N2741" s="846"/>
      <c r="O2741" s="846"/>
      <c r="P2741" s="846"/>
      <c r="Q2741" s="846"/>
      <c r="R2741" s="846"/>
      <c r="S2741" s="846"/>
      <c r="T2741" s="846"/>
    </row>
    <row r="2742" spans="2:20" ht="38.25" hidden="1">
      <c r="B2742" s="828" t="s">
        <v>6547</v>
      </c>
      <c r="C2742" s="828">
        <v>91885</v>
      </c>
      <c r="D2742" s="630" t="s">
        <v>1077</v>
      </c>
      <c r="E2742" s="630" t="s">
        <v>646</v>
      </c>
      <c r="F2742" s="829">
        <v>4.8099999999999996</v>
      </c>
      <c r="G2742" s="830">
        <v>7.95</v>
      </c>
      <c r="H2742" s="831">
        <v>12.76</v>
      </c>
      <c r="I2742" s="846"/>
      <c r="J2742" s="846"/>
      <c r="K2742" s="846"/>
      <c r="L2742" s="846"/>
      <c r="M2742" s="846"/>
      <c r="N2742" s="846"/>
      <c r="O2742" s="846"/>
      <c r="P2742" s="846"/>
      <c r="Q2742" s="846"/>
      <c r="R2742" s="846"/>
      <c r="S2742" s="846"/>
      <c r="T2742" s="846"/>
    </row>
    <row r="2743" spans="2:20" ht="38.25" hidden="1">
      <c r="B2743" s="828" t="s">
        <v>6547</v>
      </c>
      <c r="C2743" s="828">
        <v>91886</v>
      </c>
      <c r="D2743" s="630" t="s">
        <v>1160</v>
      </c>
      <c r="E2743" s="630" t="s">
        <v>646</v>
      </c>
      <c r="F2743" s="829">
        <v>6.5</v>
      </c>
      <c r="G2743" s="830">
        <v>9.08</v>
      </c>
      <c r="H2743" s="831">
        <v>15.58</v>
      </c>
      <c r="I2743" s="846"/>
      <c r="J2743" s="846"/>
      <c r="K2743" s="846"/>
      <c r="L2743" s="846"/>
      <c r="M2743" s="846"/>
      <c r="N2743" s="846"/>
      <c r="O2743" s="846"/>
      <c r="P2743" s="846"/>
      <c r="Q2743" s="846"/>
      <c r="R2743" s="846"/>
      <c r="S2743" s="846"/>
      <c r="T2743" s="846"/>
    </row>
    <row r="2744" spans="2:20" ht="38.25" hidden="1">
      <c r="B2744" s="828" t="s">
        <v>6547</v>
      </c>
      <c r="C2744" s="828">
        <v>91887</v>
      </c>
      <c r="D2744" s="630" t="s">
        <v>1161</v>
      </c>
      <c r="E2744" s="630" t="s">
        <v>646</v>
      </c>
      <c r="F2744" s="829">
        <v>5.6</v>
      </c>
      <c r="G2744" s="830">
        <v>5.45</v>
      </c>
      <c r="H2744" s="831">
        <v>11.05</v>
      </c>
      <c r="I2744" s="846"/>
      <c r="J2744" s="846"/>
      <c r="K2744" s="846"/>
      <c r="L2744" s="846"/>
      <c r="M2744" s="846"/>
      <c r="N2744" s="846"/>
      <c r="O2744" s="846"/>
      <c r="P2744" s="846"/>
      <c r="Q2744" s="846"/>
      <c r="R2744" s="846"/>
      <c r="S2744" s="846"/>
      <c r="T2744" s="846"/>
    </row>
    <row r="2745" spans="2:20" ht="38.25" hidden="1">
      <c r="B2745" s="828" t="s">
        <v>6547</v>
      </c>
      <c r="C2745" s="828">
        <v>91889</v>
      </c>
      <c r="D2745" s="630" t="s">
        <v>1162</v>
      </c>
      <c r="E2745" s="630" t="s">
        <v>646</v>
      </c>
      <c r="F2745" s="829">
        <v>5.16</v>
      </c>
      <c r="G2745" s="830">
        <v>5.46</v>
      </c>
      <c r="H2745" s="831">
        <v>10.62</v>
      </c>
      <c r="I2745" s="846"/>
      <c r="J2745" s="846"/>
      <c r="K2745" s="846"/>
      <c r="L2745" s="846"/>
      <c r="M2745" s="846"/>
      <c r="N2745" s="846"/>
      <c r="O2745" s="846"/>
      <c r="P2745" s="846"/>
      <c r="Q2745" s="846"/>
      <c r="R2745" s="846"/>
      <c r="S2745" s="846"/>
      <c r="T2745" s="846"/>
    </row>
    <row r="2746" spans="2:20" ht="38.25" hidden="1">
      <c r="B2746" s="828" t="s">
        <v>6547</v>
      </c>
      <c r="C2746" s="828">
        <v>91890</v>
      </c>
      <c r="D2746" s="630" t="s">
        <v>1163</v>
      </c>
      <c r="E2746" s="630" t="s">
        <v>646</v>
      </c>
      <c r="F2746" s="829">
        <v>6.09</v>
      </c>
      <c r="G2746" s="830">
        <v>7</v>
      </c>
      <c r="H2746" s="831">
        <v>13.09</v>
      </c>
      <c r="I2746" s="846"/>
      <c r="J2746" s="846"/>
      <c r="K2746" s="846"/>
      <c r="L2746" s="846"/>
      <c r="M2746" s="846"/>
      <c r="N2746" s="846"/>
      <c r="O2746" s="846"/>
      <c r="P2746" s="846"/>
      <c r="Q2746" s="846"/>
      <c r="R2746" s="846"/>
      <c r="S2746" s="846"/>
      <c r="T2746" s="846"/>
    </row>
    <row r="2747" spans="2:20" ht="38.25" hidden="1">
      <c r="B2747" s="828" t="s">
        <v>6547</v>
      </c>
      <c r="C2747" s="828">
        <v>91892</v>
      </c>
      <c r="D2747" s="630" t="s">
        <v>1164</v>
      </c>
      <c r="E2747" s="630" t="s">
        <v>646</v>
      </c>
      <c r="F2747" s="829">
        <v>8.9700000000000006</v>
      </c>
      <c r="G2747" s="830">
        <v>6.98</v>
      </c>
      <c r="H2747" s="831">
        <v>15.95</v>
      </c>
      <c r="I2747" s="846"/>
      <c r="J2747" s="846"/>
      <c r="K2747" s="846"/>
      <c r="L2747" s="846"/>
      <c r="M2747" s="846"/>
      <c r="N2747" s="846"/>
      <c r="O2747" s="846"/>
      <c r="P2747" s="846"/>
      <c r="Q2747" s="846"/>
      <c r="R2747" s="846"/>
      <c r="S2747" s="846"/>
      <c r="T2747" s="846"/>
    </row>
    <row r="2748" spans="2:20" ht="38.25" hidden="1">
      <c r="B2748" s="828" t="s">
        <v>6547</v>
      </c>
      <c r="C2748" s="828">
        <v>91893</v>
      </c>
      <c r="D2748" s="630" t="s">
        <v>1165</v>
      </c>
      <c r="E2748" s="630" t="s">
        <v>646</v>
      </c>
      <c r="F2748" s="829">
        <v>8.81</v>
      </c>
      <c r="G2748" s="830">
        <v>9.1199999999999992</v>
      </c>
      <c r="H2748" s="831">
        <v>17.93</v>
      </c>
      <c r="I2748" s="846"/>
      <c r="J2748" s="846"/>
      <c r="K2748" s="846"/>
      <c r="L2748" s="846"/>
      <c r="M2748" s="846"/>
      <c r="N2748" s="846"/>
      <c r="O2748" s="846"/>
      <c r="P2748" s="846"/>
      <c r="Q2748" s="846"/>
      <c r="R2748" s="846"/>
      <c r="S2748" s="846"/>
      <c r="T2748" s="846"/>
    </row>
    <row r="2749" spans="2:20" ht="38.25" hidden="1">
      <c r="B2749" s="828" t="s">
        <v>6547</v>
      </c>
      <c r="C2749" s="828">
        <v>91895</v>
      </c>
      <c r="D2749" s="630" t="s">
        <v>3301</v>
      </c>
      <c r="E2749" s="630" t="s">
        <v>646</v>
      </c>
      <c r="F2749" s="829">
        <v>11.73</v>
      </c>
      <c r="G2749" s="830">
        <v>9.11</v>
      </c>
      <c r="H2749" s="831">
        <v>20.84</v>
      </c>
      <c r="I2749" s="846"/>
      <c r="J2749" s="846"/>
      <c r="K2749" s="846"/>
      <c r="L2749" s="846"/>
      <c r="M2749" s="846"/>
      <c r="N2749" s="846"/>
      <c r="O2749" s="846"/>
      <c r="P2749" s="846"/>
      <c r="Q2749" s="846"/>
      <c r="R2749" s="846"/>
      <c r="S2749" s="846"/>
      <c r="T2749" s="846"/>
    </row>
    <row r="2750" spans="2:20" ht="38.25" hidden="1">
      <c r="B2750" s="828" t="s">
        <v>6547</v>
      </c>
      <c r="C2750" s="828">
        <v>91896</v>
      </c>
      <c r="D2750" s="630" t="s">
        <v>1166</v>
      </c>
      <c r="E2750" s="630" t="s">
        <v>646</v>
      </c>
      <c r="F2750" s="829">
        <v>10.32</v>
      </c>
      <c r="G2750" s="830">
        <v>11.51</v>
      </c>
      <c r="H2750" s="831">
        <v>21.83</v>
      </c>
      <c r="I2750" s="846"/>
      <c r="J2750" s="846"/>
      <c r="K2750" s="846"/>
      <c r="L2750" s="846"/>
      <c r="M2750" s="846"/>
      <c r="N2750" s="846"/>
      <c r="O2750" s="846"/>
      <c r="P2750" s="846"/>
      <c r="Q2750" s="846"/>
      <c r="R2750" s="846"/>
      <c r="S2750" s="846"/>
      <c r="T2750" s="846"/>
    </row>
    <row r="2751" spans="2:20" ht="38.25" hidden="1">
      <c r="B2751" s="828" t="s">
        <v>6547</v>
      </c>
      <c r="C2751" s="828">
        <v>91898</v>
      </c>
      <c r="D2751" s="630" t="s">
        <v>1167</v>
      </c>
      <c r="E2751" s="630" t="s">
        <v>646</v>
      </c>
      <c r="F2751" s="829">
        <v>13.45</v>
      </c>
      <c r="G2751" s="830">
        <v>11.5</v>
      </c>
      <c r="H2751" s="831">
        <v>24.95</v>
      </c>
      <c r="I2751" s="846"/>
      <c r="J2751" s="846"/>
      <c r="K2751" s="846"/>
      <c r="L2751" s="846"/>
      <c r="M2751" s="846"/>
      <c r="N2751" s="846"/>
      <c r="O2751" s="846"/>
      <c r="P2751" s="846"/>
      <c r="Q2751" s="846"/>
      <c r="R2751" s="846"/>
      <c r="S2751" s="846"/>
      <c r="T2751" s="846"/>
    </row>
    <row r="2752" spans="2:20" ht="38.25" hidden="1">
      <c r="B2752" s="828" t="s">
        <v>6547</v>
      </c>
      <c r="C2752" s="828">
        <v>91899</v>
      </c>
      <c r="D2752" s="630" t="s">
        <v>1168</v>
      </c>
      <c r="E2752" s="630" t="s">
        <v>646</v>
      </c>
      <c r="F2752" s="829">
        <v>6.15</v>
      </c>
      <c r="G2752" s="830">
        <v>7.29</v>
      </c>
      <c r="H2752" s="831">
        <v>13.44</v>
      </c>
      <c r="I2752" s="846"/>
      <c r="J2752" s="846"/>
      <c r="K2752" s="846"/>
      <c r="L2752" s="846"/>
      <c r="M2752" s="846"/>
      <c r="N2752" s="846"/>
      <c r="O2752" s="846"/>
      <c r="P2752" s="846"/>
      <c r="Q2752" s="846"/>
      <c r="R2752" s="846"/>
      <c r="S2752" s="846"/>
      <c r="T2752" s="846"/>
    </row>
    <row r="2753" spans="2:20" ht="38.25" hidden="1">
      <c r="B2753" s="828" t="s">
        <v>6547</v>
      </c>
      <c r="C2753" s="828">
        <v>91901</v>
      </c>
      <c r="D2753" s="630" t="s">
        <v>1169</v>
      </c>
      <c r="E2753" s="630" t="s">
        <v>646</v>
      </c>
      <c r="F2753" s="829">
        <v>5.72</v>
      </c>
      <c r="G2753" s="830">
        <v>7.29</v>
      </c>
      <c r="H2753" s="831">
        <v>13.01</v>
      </c>
      <c r="I2753" s="846"/>
      <c r="J2753" s="846"/>
      <c r="K2753" s="846"/>
      <c r="L2753" s="846"/>
      <c r="M2753" s="846"/>
      <c r="N2753" s="846"/>
      <c r="O2753" s="846"/>
      <c r="P2753" s="846"/>
      <c r="Q2753" s="846"/>
      <c r="R2753" s="846"/>
      <c r="S2753" s="846"/>
      <c r="T2753" s="846"/>
    </row>
    <row r="2754" spans="2:20" ht="38.25" hidden="1">
      <c r="B2754" s="828" t="s">
        <v>6547</v>
      </c>
      <c r="C2754" s="828">
        <v>91902</v>
      </c>
      <c r="D2754" s="630" t="s">
        <v>1170</v>
      </c>
      <c r="E2754" s="630" t="s">
        <v>646</v>
      </c>
      <c r="F2754" s="829">
        <v>6.66</v>
      </c>
      <c r="G2754" s="830">
        <v>8.81</v>
      </c>
      <c r="H2754" s="831">
        <v>15.47</v>
      </c>
      <c r="I2754" s="846"/>
      <c r="J2754" s="846"/>
      <c r="K2754" s="846"/>
      <c r="L2754" s="846"/>
      <c r="M2754" s="846"/>
      <c r="N2754" s="846"/>
      <c r="O2754" s="846"/>
      <c r="P2754" s="846"/>
      <c r="Q2754" s="846"/>
      <c r="R2754" s="846"/>
      <c r="S2754" s="846"/>
      <c r="T2754" s="846"/>
    </row>
    <row r="2755" spans="2:20" ht="38.25" hidden="1">
      <c r="B2755" s="828" t="s">
        <v>6547</v>
      </c>
      <c r="C2755" s="828">
        <v>91904</v>
      </c>
      <c r="D2755" s="630" t="s">
        <v>1171</v>
      </c>
      <c r="E2755" s="630" t="s">
        <v>646</v>
      </c>
      <c r="F2755" s="829">
        <v>9.5299999999999994</v>
      </c>
      <c r="G2755" s="830">
        <v>8.8000000000000007</v>
      </c>
      <c r="H2755" s="831">
        <v>18.329999999999998</v>
      </c>
      <c r="I2755" s="846"/>
      <c r="J2755" s="846"/>
      <c r="K2755" s="846"/>
      <c r="L2755" s="846"/>
      <c r="M2755" s="846"/>
      <c r="N2755" s="846"/>
      <c r="O2755" s="846"/>
      <c r="P2755" s="846"/>
      <c r="Q2755" s="846"/>
      <c r="R2755" s="846"/>
      <c r="S2755" s="846"/>
      <c r="T2755" s="846"/>
    </row>
    <row r="2756" spans="2:20" ht="38.25" hidden="1">
      <c r="B2756" s="828" t="s">
        <v>6547</v>
      </c>
      <c r="C2756" s="828">
        <v>91905</v>
      </c>
      <c r="D2756" s="630" t="s">
        <v>1172</v>
      </c>
      <c r="E2756" s="630" t="s">
        <v>646</v>
      </c>
      <c r="F2756" s="829">
        <v>9.3699999999999992</v>
      </c>
      <c r="G2756" s="830">
        <v>10.95</v>
      </c>
      <c r="H2756" s="831">
        <v>20.32</v>
      </c>
      <c r="I2756" s="846"/>
      <c r="J2756" s="846"/>
      <c r="K2756" s="846"/>
      <c r="L2756" s="846"/>
      <c r="M2756" s="846"/>
      <c r="N2756" s="846"/>
      <c r="O2756" s="846"/>
      <c r="P2756" s="846"/>
      <c r="Q2756" s="846"/>
      <c r="R2756" s="846"/>
      <c r="S2756" s="846"/>
      <c r="T2756" s="846"/>
    </row>
    <row r="2757" spans="2:20" ht="38.25" hidden="1">
      <c r="B2757" s="828" t="s">
        <v>6547</v>
      </c>
      <c r="C2757" s="828">
        <v>91907</v>
      </c>
      <c r="D2757" s="630" t="s">
        <v>3302</v>
      </c>
      <c r="E2757" s="630" t="s">
        <v>646</v>
      </c>
      <c r="F2757" s="829">
        <v>12.3</v>
      </c>
      <c r="G2757" s="830">
        <v>10.93</v>
      </c>
      <c r="H2757" s="831">
        <v>23.23</v>
      </c>
      <c r="I2757" s="846"/>
      <c r="J2757" s="846"/>
      <c r="K2757" s="846"/>
      <c r="L2757" s="846"/>
      <c r="M2757" s="846"/>
      <c r="N2757" s="846"/>
      <c r="O2757" s="846"/>
      <c r="P2757" s="846"/>
      <c r="Q2757" s="846"/>
      <c r="R2757" s="846"/>
      <c r="S2757" s="846"/>
      <c r="T2757" s="846"/>
    </row>
    <row r="2758" spans="2:20" ht="38.25" hidden="1">
      <c r="B2758" s="828" t="s">
        <v>6547</v>
      </c>
      <c r="C2758" s="828">
        <v>91908</v>
      </c>
      <c r="D2758" s="630" t="s">
        <v>1173</v>
      </c>
      <c r="E2758" s="630" t="s">
        <v>646</v>
      </c>
      <c r="F2758" s="829">
        <v>10.88</v>
      </c>
      <c r="G2758" s="830">
        <v>13.4</v>
      </c>
      <c r="H2758" s="831">
        <v>24.28</v>
      </c>
      <c r="I2758" s="846"/>
      <c r="J2758" s="846"/>
      <c r="K2758" s="846"/>
      <c r="L2758" s="846"/>
      <c r="M2758" s="846"/>
      <c r="N2758" s="846"/>
      <c r="O2758" s="846"/>
      <c r="P2758" s="846"/>
      <c r="Q2758" s="846"/>
      <c r="R2758" s="846"/>
      <c r="S2758" s="846"/>
      <c r="T2758" s="846"/>
    </row>
    <row r="2759" spans="2:20" ht="38.25" hidden="1">
      <c r="B2759" s="828" t="s">
        <v>6547</v>
      </c>
      <c r="C2759" s="828">
        <v>91910</v>
      </c>
      <c r="D2759" s="630" t="s">
        <v>1174</v>
      </c>
      <c r="E2759" s="630" t="s">
        <v>646</v>
      </c>
      <c r="F2759" s="829">
        <v>14.02</v>
      </c>
      <c r="G2759" s="830">
        <v>13.38</v>
      </c>
      <c r="H2759" s="831">
        <v>27.4</v>
      </c>
      <c r="I2759" s="846"/>
      <c r="J2759" s="846"/>
      <c r="K2759" s="846"/>
      <c r="L2759" s="846"/>
      <c r="M2759" s="846"/>
      <c r="N2759" s="846"/>
      <c r="O2759" s="846"/>
      <c r="P2759" s="846"/>
      <c r="Q2759" s="846"/>
      <c r="R2759" s="846"/>
      <c r="S2759" s="846"/>
      <c r="T2759" s="846"/>
    </row>
    <row r="2760" spans="2:20" ht="38.25" hidden="1">
      <c r="B2760" s="828" t="s">
        <v>6547</v>
      </c>
      <c r="C2760" s="828">
        <v>91911</v>
      </c>
      <c r="D2760" s="630" t="s">
        <v>1175</v>
      </c>
      <c r="E2760" s="630" t="s">
        <v>646</v>
      </c>
      <c r="F2760" s="829">
        <v>6.79</v>
      </c>
      <c r="G2760" s="830">
        <v>9.3699999999999992</v>
      </c>
      <c r="H2760" s="831">
        <v>16.16</v>
      </c>
      <c r="I2760" s="846"/>
      <c r="J2760" s="846"/>
      <c r="K2760" s="846"/>
      <c r="L2760" s="846"/>
      <c r="M2760" s="846"/>
      <c r="N2760" s="846"/>
      <c r="O2760" s="846"/>
      <c r="P2760" s="846"/>
      <c r="Q2760" s="846"/>
      <c r="R2760" s="846"/>
      <c r="S2760" s="846"/>
      <c r="T2760" s="846"/>
    </row>
    <row r="2761" spans="2:20" ht="38.25" hidden="1">
      <c r="B2761" s="828" t="s">
        <v>6547</v>
      </c>
      <c r="C2761" s="828">
        <v>91913</v>
      </c>
      <c r="D2761" s="630" t="s">
        <v>1176</v>
      </c>
      <c r="E2761" s="630" t="s">
        <v>646</v>
      </c>
      <c r="F2761" s="829">
        <v>6.36</v>
      </c>
      <c r="G2761" s="830">
        <v>9.3699999999999992</v>
      </c>
      <c r="H2761" s="831">
        <v>15.73</v>
      </c>
      <c r="I2761" s="846"/>
      <c r="J2761" s="846"/>
      <c r="K2761" s="846"/>
      <c r="L2761" s="846"/>
      <c r="M2761" s="846"/>
      <c r="N2761" s="846"/>
      <c r="O2761" s="846"/>
      <c r="P2761" s="846"/>
      <c r="Q2761" s="846"/>
      <c r="R2761" s="846"/>
      <c r="S2761" s="846"/>
      <c r="T2761" s="846"/>
    </row>
    <row r="2762" spans="2:20" ht="38.25" hidden="1">
      <c r="B2762" s="828" t="s">
        <v>6547</v>
      </c>
      <c r="C2762" s="828">
        <v>91914</v>
      </c>
      <c r="D2762" s="630" t="s">
        <v>1177</v>
      </c>
      <c r="E2762" s="630" t="s">
        <v>646</v>
      </c>
      <c r="F2762" s="829">
        <v>7.14</v>
      </c>
      <c r="G2762" s="830">
        <v>10.44</v>
      </c>
      <c r="H2762" s="831">
        <v>17.579999999999998</v>
      </c>
      <c r="I2762" s="846"/>
      <c r="J2762" s="846"/>
      <c r="K2762" s="846"/>
      <c r="L2762" s="846"/>
      <c r="M2762" s="846"/>
      <c r="N2762" s="846"/>
      <c r="O2762" s="846"/>
      <c r="P2762" s="846"/>
      <c r="Q2762" s="846"/>
      <c r="R2762" s="846"/>
      <c r="S2762" s="846"/>
      <c r="T2762" s="846"/>
    </row>
    <row r="2763" spans="2:20" ht="38.25" hidden="1">
      <c r="B2763" s="828" t="s">
        <v>6547</v>
      </c>
      <c r="C2763" s="828">
        <v>91916</v>
      </c>
      <c r="D2763" s="630" t="s">
        <v>962</v>
      </c>
      <c r="E2763" s="630" t="s">
        <v>646</v>
      </c>
      <c r="F2763" s="829">
        <v>10.01</v>
      </c>
      <c r="G2763" s="830">
        <v>10.43</v>
      </c>
      <c r="H2763" s="831">
        <v>20.440000000000001</v>
      </c>
      <c r="I2763" s="846"/>
      <c r="J2763" s="846"/>
      <c r="K2763" s="846"/>
      <c r="L2763" s="846"/>
      <c r="M2763" s="846"/>
      <c r="N2763" s="846"/>
      <c r="O2763" s="846"/>
      <c r="P2763" s="846"/>
      <c r="Q2763" s="846"/>
      <c r="R2763" s="846"/>
      <c r="S2763" s="846"/>
      <c r="T2763" s="846"/>
    </row>
    <row r="2764" spans="2:20" ht="38.25" hidden="1">
      <c r="B2764" s="828" t="s">
        <v>6547</v>
      </c>
      <c r="C2764" s="828">
        <v>91917</v>
      </c>
      <c r="D2764" s="630" t="s">
        <v>963</v>
      </c>
      <c r="E2764" s="630" t="s">
        <v>646</v>
      </c>
      <c r="F2764" s="829">
        <v>9.67</v>
      </c>
      <c r="G2764" s="830">
        <v>11.9</v>
      </c>
      <c r="H2764" s="831">
        <v>21.57</v>
      </c>
      <c r="I2764" s="846"/>
      <c r="J2764" s="846"/>
      <c r="K2764" s="846"/>
      <c r="L2764" s="846"/>
      <c r="M2764" s="846"/>
      <c r="N2764" s="846"/>
      <c r="O2764" s="846"/>
      <c r="P2764" s="846"/>
      <c r="Q2764" s="846"/>
      <c r="R2764" s="846"/>
      <c r="S2764" s="846"/>
      <c r="T2764" s="846"/>
    </row>
    <row r="2765" spans="2:20" ht="38.25" hidden="1">
      <c r="B2765" s="828" t="s">
        <v>6547</v>
      </c>
      <c r="C2765" s="828">
        <v>91919</v>
      </c>
      <c r="D2765" s="630" t="s">
        <v>3303</v>
      </c>
      <c r="E2765" s="630" t="s">
        <v>646</v>
      </c>
      <c r="F2765" s="829">
        <v>12.6</v>
      </c>
      <c r="G2765" s="830">
        <v>11.88</v>
      </c>
      <c r="H2765" s="831">
        <v>24.48</v>
      </c>
      <c r="I2765" s="846"/>
      <c r="J2765" s="846"/>
      <c r="K2765" s="846"/>
      <c r="L2765" s="846"/>
      <c r="M2765" s="846"/>
      <c r="N2765" s="846"/>
      <c r="O2765" s="846"/>
      <c r="P2765" s="846"/>
      <c r="Q2765" s="846"/>
      <c r="R2765" s="846"/>
      <c r="S2765" s="846"/>
      <c r="T2765" s="846"/>
    </row>
    <row r="2766" spans="2:20" ht="38.25" hidden="1">
      <c r="B2766" s="828" t="s">
        <v>6547</v>
      </c>
      <c r="C2766" s="828">
        <v>91920</v>
      </c>
      <c r="D2766" s="630" t="s">
        <v>964</v>
      </c>
      <c r="E2766" s="630" t="s">
        <v>646</v>
      </c>
      <c r="F2766" s="829">
        <v>10.97</v>
      </c>
      <c r="G2766" s="830">
        <v>13.6</v>
      </c>
      <c r="H2766" s="831">
        <v>24.57</v>
      </c>
      <c r="I2766" s="846"/>
      <c r="J2766" s="846"/>
      <c r="K2766" s="846"/>
      <c r="L2766" s="846"/>
      <c r="M2766" s="846"/>
      <c r="N2766" s="846"/>
      <c r="O2766" s="846"/>
      <c r="P2766" s="846"/>
      <c r="Q2766" s="846"/>
      <c r="R2766" s="846"/>
      <c r="S2766" s="846"/>
      <c r="T2766" s="846"/>
    </row>
    <row r="2767" spans="2:20" ht="38.25" hidden="1">
      <c r="B2767" s="828" t="s">
        <v>6547</v>
      </c>
      <c r="C2767" s="828">
        <v>91922</v>
      </c>
      <c r="D2767" s="630" t="s">
        <v>965</v>
      </c>
      <c r="E2767" s="630" t="s">
        <v>646</v>
      </c>
      <c r="F2767" s="829">
        <v>14.1</v>
      </c>
      <c r="G2767" s="830">
        <v>13.59</v>
      </c>
      <c r="H2767" s="831">
        <v>27.69</v>
      </c>
      <c r="I2767" s="846"/>
      <c r="J2767" s="846"/>
      <c r="K2767" s="846"/>
      <c r="L2767" s="846"/>
      <c r="M2767" s="846"/>
      <c r="N2767" s="846"/>
      <c r="O2767" s="846"/>
      <c r="P2767" s="846"/>
      <c r="Q2767" s="846"/>
      <c r="R2767" s="846"/>
      <c r="S2767" s="846"/>
      <c r="T2767" s="846"/>
    </row>
    <row r="2768" spans="2:20" ht="38.25" hidden="1">
      <c r="B2768" s="828" t="s">
        <v>6547</v>
      </c>
      <c r="C2768" s="828">
        <v>93013</v>
      </c>
      <c r="D2768" s="630" t="s">
        <v>7104</v>
      </c>
      <c r="E2768" s="630" t="s">
        <v>646</v>
      </c>
      <c r="F2768" s="829">
        <v>8.1300000000000008</v>
      </c>
      <c r="G2768" s="830">
        <v>9.7799999999999994</v>
      </c>
      <c r="H2768" s="831">
        <v>17.91</v>
      </c>
      <c r="I2768" s="846"/>
      <c r="J2768" s="846"/>
      <c r="K2768" s="846"/>
      <c r="L2768" s="846"/>
      <c r="M2768" s="846"/>
      <c r="N2768" s="846"/>
      <c r="O2768" s="846"/>
      <c r="P2768" s="846"/>
      <c r="Q2768" s="846"/>
      <c r="R2768" s="846"/>
      <c r="S2768" s="846"/>
      <c r="T2768" s="846"/>
    </row>
    <row r="2769" spans="2:20" ht="38.25" hidden="1">
      <c r="B2769" s="828" t="s">
        <v>6547</v>
      </c>
      <c r="C2769" s="828">
        <v>93014</v>
      </c>
      <c r="D2769" s="630" t="s">
        <v>7105</v>
      </c>
      <c r="E2769" s="630" t="s">
        <v>646</v>
      </c>
      <c r="F2769" s="829">
        <v>10.88</v>
      </c>
      <c r="G2769" s="830">
        <v>11.25</v>
      </c>
      <c r="H2769" s="831">
        <v>22.13</v>
      </c>
      <c r="I2769" s="846"/>
      <c r="J2769" s="846"/>
      <c r="K2769" s="846"/>
      <c r="L2769" s="846"/>
      <c r="M2769" s="846"/>
      <c r="N2769" s="846"/>
      <c r="O2769" s="846"/>
      <c r="P2769" s="846"/>
      <c r="Q2769" s="846"/>
      <c r="R2769" s="846"/>
      <c r="S2769" s="846"/>
      <c r="T2769" s="846"/>
    </row>
    <row r="2770" spans="2:20" ht="38.25" hidden="1">
      <c r="B2770" s="828" t="s">
        <v>6547</v>
      </c>
      <c r="C2770" s="828">
        <v>93015</v>
      </c>
      <c r="D2770" s="630" t="s">
        <v>7106</v>
      </c>
      <c r="E2770" s="630" t="s">
        <v>646</v>
      </c>
      <c r="F2770" s="829">
        <v>20.73</v>
      </c>
      <c r="G2770" s="830">
        <v>13.43</v>
      </c>
      <c r="H2770" s="831">
        <v>34.159999999999997</v>
      </c>
      <c r="I2770" s="846"/>
      <c r="J2770" s="846"/>
      <c r="K2770" s="846"/>
      <c r="L2770" s="846"/>
      <c r="M2770" s="846"/>
      <c r="N2770" s="846"/>
      <c r="O2770" s="846"/>
      <c r="P2770" s="846"/>
      <c r="Q2770" s="846"/>
      <c r="R2770" s="846"/>
      <c r="S2770" s="846"/>
      <c r="T2770" s="846"/>
    </row>
    <row r="2771" spans="2:20" ht="38.25" hidden="1">
      <c r="B2771" s="828" t="s">
        <v>6547</v>
      </c>
      <c r="C2771" s="828">
        <v>93016</v>
      </c>
      <c r="D2771" s="630" t="s">
        <v>7107</v>
      </c>
      <c r="E2771" s="630" t="s">
        <v>646</v>
      </c>
      <c r="F2771" s="829">
        <v>26.9</v>
      </c>
      <c r="G2771" s="830">
        <v>14.88</v>
      </c>
      <c r="H2771" s="831">
        <v>41.78</v>
      </c>
      <c r="I2771" s="846"/>
      <c r="J2771" s="846"/>
      <c r="K2771" s="846"/>
      <c r="L2771" s="846"/>
      <c r="M2771" s="846"/>
      <c r="N2771" s="846"/>
      <c r="O2771" s="846"/>
      <c r="P2771" s="846"/>
      <c r="Q2771" s="846"/>
      <c r="R2771" s="846"/>
      <c r="S2771" s="846"/>
      <c r="T2771" s="846"/>
    </row>
    <row r="2772" spans="2:20" ht="38.25" hidden="1">
      <c r="B2772" s="828" t="s">
        <v>6547</v>
      </c>
      <c r="C2772" s="828">
        <v>93017</v>
      </c>
      <c r="D2772" s="630" t="s">
        <v>7108</v>
      </c>
      <c r="E2772" s="630" t="s">
        <v>646</v>
      </c>
      <c r="F2772" s="829">
        <v>44.94</v>
      </c>
      <c r="G2772" s="830">
        <v>18.54</v>
      </c>
      <c r="H2772" s="831">
        <v>63.48</v>
      </c>
      <c r="I2772" s="846"/>
      <c r="J2772" s="846"/>
      <c r="K2772" s="846"/>
      <c r="L2772" s="846"/>
      <c r="M2772" s="846"/>
      <c r="N2772" s="846"/>
      <c r="O2772" s="846"/>
      <c r="P2772" s="846"/>
      <c r="Q2772" s="846"/>
      <c r="R2772" s="846"/>
      <c r="S2772" s="846"/>
      <c r="T2772" s="846"/>
    </row>
    <row r="2773" spans="2:20" ht="38.25" hidden="1">
      <c r="B2773" s="828" t="s">
        <v>6547</v>
      </c>
      <c r="C2773" s="828">
        <v>93018</v>
      </c>
      <c r="D2773" s="630" t="s">
        <v>7109</v>
      </c>
      <c r="E2773" s="630" t="s">
        <v>646</v>
      </c>
      <c r="F2773" s="829">
        <v>12.75</v>
      </c>
      <c r="G2773" s="830">
        <v>14.65</v>
      </c>
      <c r="H2773" s="831">
        <v>27.4</v>
      </c>
      <c r="I2773" s="846"/>
      <c r="J2773" s="846"/>
      <c r="K2773" s="846"/>
      <c r="L2773" s="846"/>
      <c r="M2773" s="846"/>
      <c r="N2773" s="846"/>
      <c r="O2773" s="846"/>
      <c r="P2773" s="846"/>
      <c r="Q2773" s="846"/>
      <c r="R2773" s="846"/>
      <c r="S2773" s="846"/>
      <c r="T2773" s="846"/>
    </row>
    <row r="2774" spans="2:20" ht="38.25" hidden="1">
      <c r="B2774" s="828" t="s">
        <v>6547</v>
      </c>
      <c r="C2774" s="828">
        <v>93020</v>
      </c>
      <c r="D2774" s="630" t="s">
        <v>7110</v>
      </c>
      <c r="E2774" s="630" t="s">
        <v>646</v>
      </c>
      <c r="F2774" s="829">
        <v>18.600000000000001</v>
      </c>
      <c r="G2774" s="830">
        <v>16.84</v>
      </c>
      <c r="H2774" s="831">
        <v>35.44</v>
      </c>
      <c r="I2774" s="846"/>
      <c r="J2774" s="846"/>
      <c r="K2774" s="846"/>
      <c r="L2774" s="846"/>
      <c r="M2774" s="846"/>
      <c r="N2774" s="846"/>
      <c r="O2774" s="846"/>
      <c r="P2774" s="846"/>
      <c r="Q2774" s="846"/>
      <c r="R2774" s="846"/>
      <c r="S2774" s="846"/>
      <c r="T2774" s="846"/>
    </row>
    <row r="2775" spans="2:20" ht="38.25" hidden="1">
      <c r="B2775" s="828" t="s">
        <v>6547</v>
      </c>
      <c r="C2775" s="828">
        <v>93022</v>
      </c>
      <c r="D2775" s="630" t="s">
        <v>7111</v>
      </c>
      <c r="E2775" s="630" t="s">
        <v>646</v>
      </c>
      <c r="F2775" s="829">
        <v>40.49</v>
      </c>
      <c r="G2775" s="830">
        <v>20.13</v>
      </c>
      <c r="H2775" s="831">
        <v>60.62</v>
      </c>
      <c r="I2775" s="846"/>
      <c r="J2775" s="846"/>
      <c r="K2775" s="846"/>
      <c r="L2775" s="846"/>
      <c r="M2775" s="846"/>
      <c r="N2775" s="846"/>
      <c r="O2775" s="846"/>
      <c r="P2775" s="846"/>
      <c r="Q2775" s="846"/>
      <c r="R2775" s="846"/>
      <c r="S2775" s="846"/>
      <c r="T2775" s="846"/>
    </row>
    <row r="2776" spans="2:20" ht="38.25" hidden="1">
      <c r="B2776" s="828" t="s">
        <v>6547</v>
      </c>
      <c r="C2776" s="828">
        <v>93024</v>
      </c>
      <c r="D2776" s="630" t="s">
        <v>7112</v>
      </c>
      <c r="E2776" s="630" t="s">
        <v>646</v>
      </c>
      <c r="F2776" s="829">
        <v>41.21</v>
      </c>
      <c r="G2776" s="830">
        <v>22.33</v>
      </c>
      <c r="H2776" s="831">
        <v>63.54</v>
      </c>
      <c r="I2776" s="846"/>
      <c r="J2776" s="846"/>
      <c r="K2776" s="846"/>
      <c r="L2776" s="846"/>
      <c r="M2776" s="846"/>
      <c r="N2776" s="846"/>
      <c r="O2776" s="846"/>
      <c r="P2776" s="846"/>
      <c r="Q2776" s="846"/>
      <c r="R2776" s="846"/>
      <c r="S2776" s="846"/>
      <c r="T2776" s="846"/>
    </row>
    <row r="2777" spans="2:20" ht="38.25" hidden="1">
      <c r="B2777" s="828" t="s">
        <v>6547</v>
      </c>
      <c r="C2777" s="828">
        <v>93026</v>
      </c>
      <c r="D2777" s="630" t="s">
        <v>7113</v>
      </c>
      <c r="E2777" s="630" t="s">
        <v>646</v>
      </c>
      <c r="F2777" s="829">
        <v>77.59</v>
      </c>
      <c r="G2777" s="830">
        <v>27.82</v>
      </c>
      <c r="H2777" s="831">
        <v>105.41</v>
      </c>
      <c r="I2777" s="846"/>
      <c r="J2777" s="846"/>
      <c r="K2777" s="846"/>
      <c r="L2777" s="846"/>
      <c r="M2777" s="846"/>
      <c r="N2777" s="846"/>
      <c r="O2777" s="846"/>
      <c r="P2777" s="846"/>
      <c r="Q2777" s="846"/>
      <c r="R2777" s="846"/>
      <c r="S2777" s="846"/>
      <c r="T2777" s="846"/>
    </row>
    <row r="2778" spans="2:20" ht="38.25" hidden="1">
      <c r="B2778" s="828" t="s">
        <v>6547</v>
      </c>
      <c r="C2778" s="828">
        <v>97559</v>
      </c>
      <c r="D2778" s="630" t="s">
        <v>3304</v>
      </c>
      <c r="E2778" s="630" t="s">
        <v>646</v>
      </c>
      <c r="F2778" s="829">
        <v>5.77</v>
      </c>
      <c r="G2778" s="830">
        <v>7</v>
      </c>
      <c r="H2778" s="831">
        <v>12.77</v>
      </c>
      <c r="I2778" s="846"/>
      <c r="J2778" s="846"/>
      <c r="K2778" s="846"/>
      <c r="L2778" s="846"/>
      <c r="M2778" s="846"/>
      <c r="N2778" s="846"/>
      <c r="O2778" s="846"/>
      <c r="P2778" s="846"/>
      <c r="Q2778" s="846"/>
      <c r="R2778" s="846"/>
      <c r="S2778" s="846"/>
      <c r="T2778" s="846"/>
    </row>
    <row r="2779" spans="2:20" ht="38.25" hidden="1">
      <c r="B2779" s="828" t="s">
        <v>6547</v>
      </c>
      <c r="C2779" s="828">
        <v>97562</v>
      </c>
      <c r="D2779" s="630" t="s">
        <v>3305</v>
      </c>
      <c r="E2779" s="630" t="s">
        <v>646</v>
      </c>
      <c r="F2779" s="829">
        <v>6.34</v>
      </c>
      <c r="G2779" s="830">
        <v>8.81</v>
      </c>
      <c r="H2779" s="831">
        <v>15.15</v>
      </c>
      <c r="I2779" s="846"/>
      <c r="J2779" s="846"/>
      <c r="K2779" s="846"/>
      <c r="L2779" s="846"/>
      <c r="M2779" s="846"/>
      <c r="N2779" s="846"/>
      <c r="O2779" s="846"/>
      <c r="P2779" s="846"/>
      <c r="Q2779" s="846"/>
      <c r="R2779" s="846"/>
      <c r="S2779" s="846"/>
      <c r="T2779" s="846"/>
    </row>
    <row r="2780" spans="2:20" ht="38.25" hidden="1">
      <c r="B2780" s="828" t="s">
        <v>6547</v>
      </c>
      <c r="C2780" s="828">
        <v>97564</v>
      </c>
      <c r="D2780" s="630" t="s">
        <v>3306</v>
      </c>
      <c r="E2780" s="630" t="s">
        <v>646</v>
      </c>
      <c r="F2780" s="829">
        <v>6.82</v>
      </c>
      <c r="G2780" s="830">
        <v>10.44</v>
      </c>
      <c r="H2780" s="831">
        <v>17.260000000000002</v>
      </c>
      <c r="I2780" s="846"/>
      <c r="J2780" s="846"/>
      <c r="K2780" s="846"/>
      <c r="L2780" s="846"/>
      <c r="M2780" s="846"/>
      <c r="N2780" s="846"/>
      <c r="O2780" s="846"/>
      <c r="P2780" s="846"/>
      <c r="Q2780" s="846"/>
      <c r="R2780" s="846"/>
      <c r="S2780" s="846"/>
      <c r="T2780" s="846"/>
    </row>
    <row r="2781" spans="2:20" ht="25.5" hidden="1">
      <c r="B2781" s="828" t="s">
        <v>6560</v>
      </c>
      <c r="C2781" s="828">
        <v>91924</v>
      </c>
      <c r="D2781" s="630" t="s">
        <v>976</v>
      </c>
      <c r="E2781" s="630" t="s">
        <v>648</v>
      </c>
      <c r="F2781" s="829">
        <v>1.95</v>
      </c>
      <c r="G2781" s="830">
        <v>1.05</v>
      </c>
      <c r="H2781" s="831">
        <v>3</v>
      </c>
      <c r="I2781" s="846"/>
      <c r="J2781" s="846"/>
      <c r="K2781" s="846"/>
      <c r="L2781" s="846"/>
      <c r="M2781" s="846"/>
      <c r="N2781" s="846"/>
      <c r="O2781" s="846"/>
      <c r="P2781" s="846"/>
      <c r="Q2781" s="846"/>
      <c r="R2781" s="846"/>
      <c r="S2781" s="846"/>
      <c r="T2781" s="846"/>
    </row>
    <row r="2782" spans="2:20" ht="25.5" hidden="1">
      <c r="B2782" s="828" t="s">
        <v>6560</v>
      </c>
      <c r="C2782" s="828">
        <v>91925</v>
      </c>
      <c r="D2782" s="630" t="s">
        <v>1088</v>
      </c>
      <c r="E2782" s="630" t="s">
        <v>648</v>
      </c>
      <c r="F2782" s="829">
        <v>3.08</v>
      </c>
      <c r="G2782" s="830">
        <v>1.04</v>
      </c>
      <c r="H2782" s="831">
        <v>4.12</v>
      </c>
      <c r="I2782" s="846"/>
      <c r="J2782" s="846"/>
      <c r="K2782" s="846"/>
      <c r="L2782" s="846"/>
      <c r="M2782" s="846"/>
      <c r="N2782" s="846"/>
      <c r="O2782" s="846"/>
      <c r="P2782" s="846"/>
      <c r="Q2782" s="846"/>
      <c r="R2782" s="846"/>
      <c r="S2782" s="846"/>
      <c r="T2782" s="846"/>
    </row>
    <row r="2783" spans="2:20" ht="25.5" hidden="1">
      <c r="B2783" s="828" t="s">
        <v>6560</v>
      </c>
      <c r="C2783" s="828">
        <v>91926</v>
      </c>
      <c r="D2783" s="630" t="s">
        <v>977</v>
      </c>
      <c r="E2783" s="630" t="s">
        <v>648</v>
      </c>
      <c r="F2783" s="829">
        <v>2.97</v>
      </c>
      <c r="G2783" s="830">
        <v>1.3</v>
      </c>
      <c r="H2783" s="831">
        <v>4.2699999999999996</v>
      </c>
      <c r="I2783" s="846"/>
      <c r="J2783" s="846"/>
      <c r="K2783" s="846"/>
      <c r="L2783" s="846"/>
      <c r="M2783" s="846"/>
      <c r="N2783" s="846"/>
      <c r="O2783" s="846"/>
      <c r="P2783" s="846"/>
      <c r="Q2783" s="846"/>
      <c r="R2783" s="846"/>
      <c r="S2783" s="846"/>
      <c r="T2783" s="846"/>
    </row>
    <row r="2784" spans="2:20" ht="25.5" hidden="1">
      <c r="B2784" s="828" t="s">
        <v>6560</v>
      </c>
      <c r="C2784" s="828">
        <v>91927</v>
      </c>
      <c r="D2784" s="630" t="s">
        <v>1089</v>
      </c>
      <c r="E2784" s="630" t="s">
        <v>648</v>
      </c>
      <c r="F2784" s="829">
        <v>4.2</v>
      </c>
      <c r="G2784" s="830">
        <v>1.29</v>
      </c>
      <c r="H2784" s="831">
        <v>5.49</v>
      </c>
      <c r="I2784" s="846"/>
      <c r="J2784" s="846"/>
      <c r="K2784" s="846"/>
      <c r="L2784" s="846"/>
      <c r="M2784" s="846"/>
      <c r="N2784" s="846"/>
      <c r="O2784" s="846"/>
      <c r="P2784" s="846"/>
      <c r="Q2784" s="846"/>
      <c r="R2784" s="846"/>
      <c r="S2784" s="846"/>
      <c r="T2784" s="846"/>
    </row>
    <row r="2785" spans="2:20" ht="25.5" hidden="1">
      <c r="B2785" s="828" t="s">
        <v>6560</v>
      </c>
      <c r="C2785" s="828">
        <v>91928</v>
      </c>
      <c r="D2785" s="630" t="s">
        <v>978</v>
      </c>
      <c r="E2785" s="630" t="s">
        <v>648</v>
      </c>
      <c r="F2785" s="829">
        <v>5.1100000000000003</v>
      </c>
      <c r="G2785" s="830">
        <v>1.73</v>
      </c>
      <c r="H2785" s="831">
        <v>6.84</v>
      </c>
      <c r="I2785" s="846"/>
      <c r="J2785" s="846"/>
      <c r="K2785" s="846"/>
      <c r="L2785" s="846"/>
      <c r="M2785" s="846"/>
      <c r="N2785" s="846"/>
      <c r="O2785" s="846"/>
      <c r="P2785" s="846"/>
      <c r="Q2785" s="846"/>
      <c r="R2785" s="846"/>
      <c r="S2785" s="846"/>
      <c r="T2785" s="846"/>
    </row>
    <row r="2786" spans="2:20" ht="25.5" hidden="1">
      <c r="B2786" s="828" t="s">
        <v>6560</v>
      </c>
      <c r="C2786" s="828">
        <v>91929</v>
      </c>
      <c r="D2786" s="630" t="s">
        <v>1090</v>
      </c>
      <c r="E2786" s="630" t="s">
        <v>648</v>
      </c>
      <c r="F2786" s="829">
        <v>5.96</v>
      </c>
      <c r="G2786" s="830">
        <v>1.73</v>
      </c>
      <c r="H2786" s="831">
        <v>7.69</v>
      </c>
      <c r="I2786" s="846"/>
      <c r="J2786" s="846"/>
      <c r="K2786" s="846"/>
      <c r="L2786" s="846"/>
      <c r="M2786" s="846"/>
      <c r="N2786" s="846"/>
      <c r="O2786" s="846"/>
      <c r="P2786" s="846"/>
      <c r="Q2786" s="846"/>
      <c r="R2786" s="846"/>
      <c r="S2786" s="846"/>
      <c r="T2786" s="846"/>
    </row>
    <row r="2787" spans="2:20" ht="25.5" hidden="1">
      <c r="B2787" s="828" t="s">
        <v>6560</v>
      </c>
      <c r="C2787" s="828">
        <v>91930</v>
      </c>
      <c r="D2787" s="630" t="s">
        <v>979</v>
      </c>
      <c r="E2787" s="630" t="s">
        <v>648</v>
      </c>
      <c r="F2787" s="829">
        <v>7.06</v>
      </c>
      <c r="G2787" s="830">
        <v>2.2400000000000002</v>
      </c>
      <c r="H2787" s="831">
        <v>9.3000000000000007</v>
      </c>
      <c r="I2787" s="846"/>
      <c r="J2787" s="846"/>
      <c r="K2787" s="846"/>
      <c r="L2787" s="846"/>
      <c r="M2787" s="846"/>
      <c r="N2787" s="846"/>
      <c r="O2787" s="846"/>
      <c r="P2787" s="846"/>
      <c r="Q2787" s="846"/>
      <c r="R2787" s="846"/>
      <c r="S2787" s="846"/>
      <c r="T2787" s="846"/>
    </row>
    <row r="2788" spans="2:20" ht="25.5" hidden="1">
      <c r="B2788" s="828" t="s">
        <v>6560</v>
      </c>
      <c r="C2788" s="828">
        <v>91931</v>
      </c>
      <c r="D2788" s="630" t="s">
        <v>1091</v>
      </c>
      <c r="E2788" s="630" t="s">
        <v>648</v>
      </c>
      <c r="F2788" s="829">
        <v>8.1</v>
      </c>
      <c r="G2788" s="830">
        <v>2.2400000000000002</v>
      </c>
      <c r="H2788" s="831">
        <v>10.34</v>
      </c>
      <c r="I2788" s="846"/>
      <c r="J2788" s="846"/>
      <c r="K2788" s="846"/>
      <c r="L2788" s="846"/>
      <c r="M2788" s="846"/>
      <c r="N2788" s="846"/>
      <c r="O2788" s="846"/>
      <c r="P2788" s="846"/>
      <c r="Q2788" s="846"/>
      <c r="R2788" s="846"/>
      <c r="S2788" s="846"/>
      <c r="T2788" s="846"/>
    </row>
    <row r="2789" spans="2:20" ht="25.5" hidden="1">
      <c r="B2789" s="828" t="s">
        <v>6560</v>
      </c>
      <c r="C2789" s="828">
        <v>91932</v>
      </c>
      <c r="D2789" s="630" t="s">
        <v>980</v>
      </c>
      <c r="E2789" s="630" t="s">
        <v>648</v>
      </c>
      <c r="F2789" s="829">
        <v>11.87</v>
      </c>
      <c r="G2789" s="830">
        <v>3.34</v>
      </c>
      <c r="H2789" s="831">
        <v>15.21</v>
      </c>
      <c r="I2789" s="846"/>
      <c r="J2789" s="846"/>
      <c r="K2789" s="846"/>
      <c r="L2789" s="846"/>
      <c r="M2789" s="846"/>
      <c r="N2789" s="846"/>
      <c r="O2789" s="846"/>
      <c r="P2789" s="846"/>
      <c r="Q2789" s="846"/>
      <c r="R2789" s="846"/>
      <c r="S2789" s="846"/>
      <c r="T2789" s="846"/>
    </row>
    <row r="2790" spans="2:20" ht="25.5" hidden="1">
      <c r="B2790" s="828" t="s">
        <v>6560</v>
      </c>
      <c r="C2790" s="828">
        <v>91933</v>
      </c>
      <c r="D2790" s="630" t="s">
        <v>1092</v>
      </c>
      <c r="E2790" s="630" t="s">
        <v>648</v>
      </c>
      <c r="F2790" s="829">
        <v>12.84</v>
      </c>
      <c r="G2790" s="830">
        <v>3.34</v>
      </c>
      <c r="H2790" s="831">
        <v>16.18</v>
      </c>
      <c r="I2790" s="846"/>
      <c r="J2790" s="846"/>
      <c r="K2790" s="846"/>
      <c r="L2790" s="846"/>
      <c r="M2790" s="846"/>
      <c r="N2790" s="846"/>
      <c r="O2790" s="846"/>
      <c r="P2790" s="846"/>
      <c r="Q2790" s="846"/>
      <c r="R2790" s="846"/>
      <c r="S2790" s="846"/>
      <c r="T2790" s="846"/>
    </row>
    <row r="2791" spans="2:20" ht="25.5" hidden="1">
      <c r="B2791" s="828" t="s">
        <v>6560</v>
      </c>
      <c r="C2791" s="828">
        <v>91934</v>
      </c>
      <c r="D2791" s="630" t="s">
        <v>981</v>
      </c>
      <c r="E2791" s="630" t="s">
        <v>648</v>
      </c>
      <c r="F2791" s="829">
        <v>18.2</v>
      </c>
      <c r="G2791" s="830">
        <v>5</v>
      </c>
      <c r="H2791" s="831">
        <v>23.2</v>
      </c>
      <c r="I2791" s="846"/>
      <c r="J2791" s="846"/>
      <c r="K2791" s="846"/>
      <c r="L2791" s="846"/>
      <c r="M2791" s="846"/>
      <c r="N2791" s="846"/>
      <c r="O2791" s="846"/>
      <c r="P2791" s="846"/>
      <c r="Q2791" s="846"/>
      <c r="R2791" s="846"/>
      <c r="S2791" s="846"/>
      <c r="T2791" s="846"/>
    </row>
    <row r="2792" spans="2:20" ht="25.5" hidden="1">
      <c r="B2792" s="828" t="s">
        <v>6560</v>
      </c>
      <c r="C2792" s="828">
        <v>91935</v>
      </c>
      <c r="D2792" s="630" t="s">
        <v>1093</v>
      </c>
      <c r="E2792" s="630" t="s">
        <v>648</v>
      </c>
      <c r="F2792" s="829">
        <v>19.61</v>
      </c>
      <c r="G2792" s="830">
        <v>5</v>
      </c>
      <c r="H2792" s="831">
        <v>24.61</v>
      </c>
      <c r="I2792" s="846"/>
      <c r="J2792" s="846"/>
      <c r="K2792" s="846"/>
      <c r="L2792" s="846"/>
      <c r="M2792" s="846"/>
      <c r="N2792" s="846"/>
      <c r="O2792" s="846"/>
      <c r="P2792" s="846"/>
      <c r="Q2792" s="846"/>
      <c r="R2792" s="846"/>
      <c r="S2792" s="846"/>
      <c r="T2792" s="846"/>
    </row>
    <row r="2793" spans="2:20" ht="25.5" hidden="1">
      <c r="B2793" s="828" t="s">
        <v>6560</v>
      </c>
      <c r="C2793" s="828">
        <v>92979</v>
      </c>
      <c r="D2793" s="630" t="s">
        <v>982</v>
      </c>
      <c r="E2793" s="630" t="s">
        <v>648</v>
      </c>
      <c r="F2793" s="829">
        <v>9.49</v>
      </c>
      <c r="G2793" s="830">
        <v>0.37</v>
      </c>
      <c r="H2793" s="831">
        <v>9.86</v>
      </c>
      <c r="I2793" s="846"/>
      <c r="J2793" s="846"/>
      <c r="K2793" s="846"/>
      <c r="L2793" s="846"/>
      <c r="M2793" s="846"/>
      <c r="N2793" s="846"/>
      <c r="O2793" s="846"/>
      <c r="P2793" s="846"/>
      <c r="Q2793" s="846"/>
      <c r="R2793" s="846"/>
      <c r="S2793" s="846"/>
      <c r="T2793" s="846"/>
    </row>
    <row r="2794" spans="2:20" ht="25.5" hidden="1">
      <c r="B2794" s="828" t="s">
        <v>6560</v>
      </c>
      <c r="C2794" s="828">
        <v>92980</v>
      </c>
      <c r="D2794" s="630" t="s">
        <v>1094</v>
      </c>
      <c r="E2794" s="630" t="s">
        <v>648</v>
      </c>
      <c r="F2794" s="829">
        <v>10.33</v>
      </c>
      <c r="G2794" s="830">
        <v>0.37</v>
      </c>
      <c r="H2794" s="831">
        <v>10.7</v>
      </c>
      <c r="I2794" s="846"/>
      <c r="J2794" s="846"/>
      <c r="K2794" s="846"/>
      <c r="L2794" s="846"/>
      <c r="M2794" s="846"/>
      <c r="N2794" s="846"/>
      <c r="O2794" s="846"/>
      <c r="P2794" s="846"/>
      <c r="Q2794" s="846"/>
      <c r="R2794" s="846"/>
      <c r="S2794" s="846"/>
      <c r="T2794" s="846"/>
    </row>
    <row r="2795" spans="2:20" ht="25.5" hidden="1">
      <c r="B2795" s="828" t="s">
        <v>6560</v>
      </c>
      <c r="C2795" s="828">
        <v>92981</v>
      </c>
      <c r="D2795" s="630" t="s">
        <v>983</v>
      </c>
      <c r="E2795" s="630" t="s">
        <v>648</v>
      </c>
      <c r="F2795" s="829">
        <v>14.58</v>
      </c>
      <c r="G2795" s="830">
        <v>0.54</v>
      </c>
      <c r="H2795" s="831">
        <v>15.12</v>
      </c>
      <c r="I2795" s="846"/>
      <c r="J2795" s="846"/>
      <c r="K2795" s="846"/>
      <c r="L2795" s="846"/>
      <c r="M2795" s="846"/>
      <c r="N2795" s="846"/>
      <c r="O2795" s="846"/>
      <c r="P2795" s="846"/>
      <c r="Q2795" s="846"/>
      <c r="R2795" s="846"/>
      <c r="S2795" s="846"/>
      <c r="T2795" s="846"/>
    </row>
    <row r="2796" spans="2:20" ht="25.5" hidden="1">
      <c r="B2796" s="828" t="s">
        <v>6560</v>
      </c>
      <c r="C2796" s="828">
        <v>92982</v>
      </c>
      <c r="D2796" s="630" t="s">
        <v>1095</v>
      </c>
      <c r="E2796" s="630" t="s">
        <v>648</v>
      </c>
      <c r="F2796" s="829">
        <v>15.8</v>
      </c>
      <c r="G2796" s="830">
        <v>0.54</v>
      </c>
      <c r="H2796" s="831">
        <v>16.34</v>
      </c>
      <c r="I2796" s="846"/>
      <c r="J2796" s="846"/>
      <c r="K2796" s="846"/>
      <c r="L2796" s="846"/>
      <c r="M2796" s="846"/>
      <c r="N2796" s="846"/>
      <c r="O2796" s="846"/>
      <c r="P2796" s="846"/>
      <c r="Q2796" s="846"/>
      <c r="R2796" s="846"/>
      <c r="S2796" s="846"/>
      <c r="T2796" s="846"/>
    </row>
    <row r="2797" spans="2:20" ht="38.25" hidden="1">
      <c r="B2797" s="828" t="s">
        <v>6560</v>
      </c>
      <c r="C2797" s="828">
        <v>92984</v>
      </c>
      <c r="D2797" s="630" t="s">
        <v>7114</v>
      </c>
      <c r="E2797" s="630" t="s">
        <v>648</v>
      </c>
      <c r="F2797" s="829">
        <v>24.29</v>
      </c>
      <c r="G2797" s="830">
        <v>2.63</v>
      </c>
      <c r="H2797" s="831">
        <v>26.92</v>
      </c>
      <c r="I2797" s="846"/>
      <c r="J2797" s="846"/>
      <c r="K2797" s="846"/>
      <c r="L2797" s="846"/>
      <c r="M2797" s="846"/>
      <c r="N2797" s="846"/>
      <c r="O2797" s="846"/>
      <c r="P2797" s="846"/>
      <c r="Q2797" s="846"/>
      <c r="R2797" s="846"/>
      <c r="S2797" s="846"/>
      <c r="T2797" s="846"/>
    </row>
    <row r="2798" spans="2:20" ht="38.25" hidden="1">
      <c r="B2798" s="828" t="s">
        <v>6560</v>
      </c>
      <c r="C2798" s="828">
        <v>92986</v>
      </c>
      <c r="D2798" s="630" t="s">
        <v>7115</v>
      </c>
      <c r="E2798" s="630" t="s">
        <v>648</v>
      </c>
      <c r="F2798" s="829">
        <v>33.270000000000003</v>
      </c>
      <c r="G2798" s="830">
        <v>3.01</v>
      </c>
      <c r="H2798" s="831">
        <v>36.28</v>
      </c>
      <c r="I2798" s="846"/>
      <c r="J2798" s="846"/>
      <c r="K2798" s="846"/>
      <c r="L2798" s="846"/>
      <c r="M2798" s="846"/>
      <c r="N2798" s="846"/>
      <c r="O2798" s="846"/>
      <c r="P2798" s="846"/>
      <c r="Q2798" s="846"/>
      <c r="R2798" s="846"/>
      <c r="S2798" s="846"/>
      <c r="T2798" s="846"/>
    </row>
    <row r="2799" spans="2:20" ht="38.25" hidden="1">
      <c r="B2799" s="828" t="s">
        <v>6560</v>
      </c>
      <c r="C2799" s="828">
        <v>92988</v>
      </c>
      <c r="D2799" s="630" t="s">
        <v>7116</v>
      </c>
      <c r="E2799" s="630" t="s">
        <v>648</v>
      </c>
      <c r="F2799" s="829">
        <v>47.16</v>
      </c>
      <c r="G2799" s="830">
        <v>3.59</v>
      </c>
      <c r="H2799" s="831">
        <v>50.75</v>
      </c>
      <c r="I2799" s="846"/>
      <c r="J2799" s="846"/>
      <c r="K2799" s="846"/>
      <c r="L2799" s="846"/>
      <c r="M2799" s="846"/>
      <c r="N2799" s="846"/>
      <c r="O2799" s="846"/>
      <c r="P2799" s="846"/>
      <c r="Q2799" s="846"/>
      <c r="R2799" s="846"/>
      <c r="S2799" s="846"/>
      <c r="T2799" s="846"/>
    </row>
    <row r="2800" spans="2:20" ht="38.25" hidden="1">
      <c r="B2800" s="828" t="s">
        <v>6560</v>
      </c>
      <c r="C2800" s="828">
        <v>92990</v>
      </c>
      <c r="D2800" s="630" t="s">
        <v>7117</v>
      </c>
      <c r="E2800" s="630" t="s">
        <v>648</v>
      </c>
      <c r="F2800" s="829">
        <v>65.14</v>
      </c>
      <c r="G2800" s="830">
        <v>4.37</v>
      </c>
      <c r="H2800" s="831">
        <v>69.510000000000005</v>
      </c>
      <c r="I2800" s="846"/>
      <c r="J2800" s="846"/>
      <c r="K2800" s="846"/>
      <c r="L2800" s="846"/>
      <c r="M2800" s="846"/>
      <c r="N2800" s="846"/>
      <c r="O2800" s="846"/>
      <c r="P2800" s="846"/>
      <c r="Q2800" s="846"/>
      <c r="R2800" s="846"/>
      <c r="S2800" s="846"/>
      <c r="T2800" s="846"/>
    </row>
    <row r="2801" spans="2:20" ht="38.25" hidden="1">
      <c r="B2801" s="828" t="s">
        <v>6560</v>
      </c>
      <c r="C2801" s="828">
        <v>92992</v>
      </c>
      <c r="D2801" s="630" t="s">
        <v>7118</v>
      </c>
      <c r="E2801" s="630" t="s">
        <v>648</v>
      </c>
      <c r="F2801" s="829">
        <v>86.37</v>
      </c>
      <c r="G2801" s="830">
        <v>5.31</v>
      </c>
      <c r="H2801" s="831">
        <v>91.68</v>
      </c>
      <c r="I2801" s="846"/>
      <c r="J2801" s="846"/>
      <c r="K2801" s="846"/>
      <c r="L2801" s="846"/>
      <c r="M2801" s="846"/>
      <c r="N2801" s="846"/>
      <c r="O2801" s="846"/>
      <c r="P2801" s="846"/>
      <c r="Q2801" s="846"/>
      <c r="R2801" s="846"/>
      <c r="S2801" s="846"/>
      <c r="T2801" s="846"/>
    </row>
    <row r="2802" spans="2:20" ht="38.25" hidden="1">
      <c r="B2802" s="828" t="s">
        <v>6560</v>
      </c>
      <c r="C2802" s="828">
        <v>92994</v>
      </c>
      <c r="D2802" s="630" t="s">
        <v>7119</v>
      </c>
      <c r="E2802" s="630" t="s">
        <v>648</v>
      </c>
      <c r="F2802" s="829">
        <v>112.2</v>
      </c>
      <c r="G2802" s="830">
        <v>6.29</v>
      </c>
      <c r="H2802" s="831">
        <v>118.49</v>
      </c>
      <c r="I2802" s="846"/>
      <c r="J2802" s="846"/>
      <c r="K2802" s="846"/>
      <c r="L2802" s="846"/>
      <c r="M2802" s="846"/>
      <c r="N2802" s="846"/>
      <c r="O2802" s="846"/>
      <c r="P2802" s="846"/>
      <c r="Q2802" s="846"/>
      <c r="R2802" s="846"/>
      <c r="S2802" s="846"/>
      <c r="T2802" s="846"/>
    </row>
    <row r="2803" spans="2:20" ht="38.25" hidden="1">
      <c r="B2803" s="828" t="s">
        <v>6560</v>
      </c>
      <c r="C2803" s="828">
        <v>92996</v>
      </c>
      <c r="D2803" s="630" t="s">
        <v>7120</v>
      </c>
      <c r="E2803" s="630" t="s">
        <v>648</v>
      </c>
      <c r="F2803" s="829">
        <v>138.88</v>
      </c>
      <c r="G2803" s="830">
        <v>7.45</v>
      </c>
      <c r="H2803" s="831">
        <v>146.33000000000001</v>
      </c>
      <c r="I2803" s="846"/>
      <c r="J2803" s="846"/>
      <c r="K2803" s="846"/>
      <c r="L2803" s="846"/>
      <c r="M2803" s="846"/>
      <c r="N2803" s="846"/>
      <c r="O2803" s="846"/>
      <c r="P2803" s="846"/>
      <c r="Q2803" s="846"/>
      <c r="R2803" s="846"/>
      <c r="S2803" s="846"/>
      <c r="T2803" s="846"/>
    </row>
    <row r="2804" spans="2:20" ht="38.25" hidden="1">
      <c r="B2804" s="828" t="s">
        <v>6560</v>
      </c>
      <c r="C2804" s="828">
        <v>92998</v>
      </c>
      <c r="D2804" s="630" t="s">
        <v>7121</v>
      </c>
      <c r="E2804" s="630" t="s">
        <v>648</v>
      </c>
      <c r="F2804" s="829">
        <v>170.14</v>
      </c>
      <c r="G2804" s="830">
        <v>8.7899999999999991</v>
      </c>
      <c r="H2804" s="831">
        <v>178.93</v>
      </c>
      <c r="I2804" s="846"/>
      <c r="J2804" s="846"/>
      <c r="K2804" s="846"/>
      <c r="L2804" s="846"/>
      <c r="M2804" s="846"/>
      <c r="N2804" s="846"/>
      <c r="O2804" s="846"/>
      <c r="P2804" s="846"/>
      <c r="Q2804" s="846"/>
      <c r="R2804" s="846"/>
      <c r="S2804" s="846"/>
      <c r="T2804" s="846"/>
    </row>
    <row r="2805" spans="2:20" ht="38.25" hidden="1">
      <c r="B2805" s="828" t="s">
        <v>6560</v>
      </c>
      <c r="C2805" s="828">
        <v>93000</v>
      </c>
      <c r="D2805" s="630" t="s">
        <v>7122</v>
      </c>
      <c r="E2805" s="630" t="s">
        <v>648</v>
      </c>
      <c r="F2805" s="829">
        <v>223.8</v>
      </c>
      <c r="G2805" s="830">
        <v>10.92</v>
      </c>
      <c r="H2805" s="831">
        <v>234.72</v>
      </c>
      <c r="I2805" s="846"/>
      <c r="J2805" s="846"/>
      <c r="K2805" s="846"/>
      <c r="L2805" s="846"/>
      <c r="M2805" s="846"/>
      <c r="N2805" s="846"/>
      <c r="O2805" s="846"/>
      <c r="P2805" s="846"/>
      <c r="Q2805" s="846"/>
      <c r="R2805" s="846"/>
      <c r="S2805" s="846"/>
      <c r="T2805" s="846"/>
    </row>
    <row r="2806" spans="2:20" ht="38.25" hidden="1">
      <c r="B2806" s="828" t="s">
        <v>6560</v>
      </c>
      <c r="C2806" s="828">
        <v>93002</v>
      </c>
      <c r="D2806" s="630" t="s">
        <v>7123</v>
      </c>
      <c r="E2806" s="630" t="s">
        <v>648</v>
      </c>
      <c r="F2806" s="829">
        <v>279.95</v>
      </c>
      <c r="G2806" s="830">
        <v>13.22</v>
      </c>
      <c r="H2806" s="831">
        <v>293.17</v>
      </c>
      <c r="I2806" s="846"/>
      <c r="J2806" s="846"/>
      <c r="K2806" s="846"/>
      <c r="L2806" s="846"/>
      <c r="M2806" s="846"/>
      <c r="N2806" s="846"/>
      <c r="O2806" s="846"/>
      <c r="P2806" s="846"/>
      <c r="Q2806" s="846"/>
      <c r="R2806" s="846"/>
      <c r="S2806" s="846"/>
      <c r="T2806" s="846"/>
    </row>
    <row r="2807" spans="2:20" ht="25.5" hidden="1">
      <c r="B2807" s="828" t="s">
        <v>6560</v>
      </c>
      <c r="C2807" s="828">
        <v>101884</v>
      </c>
      <c r="D2807" s="630" t="s">
        <v>5211</v>
      </c>
      <c r="E2807" s="630" t="s">
        <v>648</v>
      </c>
      <c r="F2807" s="829">
        <v>9.41</v>
      </c>
      <c r="G2807" s="830">
        <v>0.15</v>
      </c>
      <c r="H2807" s="831">
        <v>9.56</v>
      </c>
      <c r="I2807" s="846"/>
      <c r="J2807" s="846"/>
      <c r="K2807" s="846"/>
      <c r="L2807" s="846"/>
      <c r="M2807" s="846"/>
      <c r="N2807" s="846"/>
      <c r="O2807" s="846"/>
      <c r="P2807" s="846"/>
      <c r="Q2807" s="846"/>
      <c r="R2807" s="846"/>
      <c r="S2807" s="846"/>
      <c r="T2807" s="846"/>
    </row>
    <row r="2808" spans="2:20" ht="25.5" hidden="1">
      <c r="B2808" s="828" t="s">
        <v>6560</v>
      </c>
      <c r="C2808" s="828">
        <v>101885</v>
      </c>
      <c r="D2808" s="630" t="s">
        <v>5212</v>
      </c>
      <c r="E2808" s="630" t="s">
        <v>648</v>
      </c>
      <c r="F2808" s="829">
        <v>10.25</v>
      </c>
      <c r="G2808" s="830">
        <v>0.15</v>
      </c>
      <c r="H2808" s="831">
        <v>10.4</v>
      </c>
      <c r="I2808" s="846"/>
      <c r="J2808" s="846"/>
      <c r="K2808" s="846"/>
      <c r="L2808" s="846"/>
      <c r="M2808" s="846"/>
      <c r="N2808" s="846"/>
      <c r="O2808" s="846"/>
      <c r="P2808" s="846"/>
      <c r="Q2808" s="846"/>
      <c r="R2808" s="846"/>
      <c r="S2808" s="846"/>
      <c r="T2808" s="846"/>
    </row>
    <row r="2809" spans="2:20" ht="25.5" hidden="1">
      <c r="B2809" s="828" t="s">
        <v>6560</v>
      </c>
      <c r="C2809" s="828">
        <v>101886</v>
      </c>
      <c r="D2809" s="630" t="s">
        <v>5213</v>
      </c>
      <c r="E2809" s="630" t="s">
        <v>648</v>
      </c>
      <c r="F2809" s="829">
        <v>14.5</v>
      </c>
      <c r="G2809" s="830">
        <v>0.28999999999999998</v>
      </c>
      <c r="H2809" s="831">
        <v>14.79</v>
      </c>
      <c r="I2809" s="846"/>
      <c r="J2809" s="846"/>
      <c r="K2809" s="846"/>
      <c r="L2809" s="846"/>
      <c r="M2809" s="846"/>
      <c r="N2809" s="846"/>
      <c r="O2809" s="846"/>
      <c r="P2809" s="846"/>
      <c r="Q2809" s="846"/>
      <c r="R2809" s="846"/>
      <c r="S2809" s="846"/>
      <c r="T2809" s="846"/>
    </row>
    <row r="2810" spans="2:20" ht="25.5" hidden="1">
      <c r="B2810" s="828" t="s">
        <v>6560</v>
      </c>
      <c r="C2810" s="828">
        <v>101887</v>
      </c>
      <c r="D2810" s="630" t="s">
        <v>5214</v>
      </c>
      <c r="E2810" s="630" t="s">
        <v>648</v>
      </c>
      <c r="F2810" s="829">
        <v>15.72</v>
      </c>
      <c r="G2810" s="830">
        <v>0.28999999999999998</v>
      </c>
      <c r="H2810" s="831">
        <v>16.010000000000002</v>
      </c>
      <c r="I2810" s="846"/>
      <c r="J2810" s="846"/>
      <c r="K2810" s="846"/>
      <c r="L2810" s="846"/>
      <c r="M2810" s="846"/>
      <c r="N2810" s="846"/>
      <c r="O2810" s="846"/>
      <c r="P2810" s="846"/>
      <c r="Q2810" s="846"/>
      <c r="R2810" s="846"/>
      <c r="S2810" s="846"/>
      <c r="T2810" s="846"/>
    </row>
    <row r="2811" spans="2:20" ht="25.5" hidden="1">
      <c r="B2811" s="828" t="s">
        <v>6560</v>
      </c>
      <c r="C2811" s="828">
        <v>101888</v>
      </c>
      <c r="D2811" s="630" t="s">
        <v>5215</v>
      </c>
      <c r="E2811" s="630" t="s">
        <v>648</v>
      </c>
      <c r="F2811" s="829">
        <v>23.24</v>
      </c>
      <c r="G2811" s="830">
        <v>0.49</v>
      </c>
      <c r="H2811" s="831">
        <v>23.73</v>
      </c>
      <c r="I2811" s="846"/>
      <c r="J2811" s="846"/>
      <c r="K2811" s="846"/>
      <c r="L2811" s="846"/>
      <c r="M2811" s="846"/>
      <c r="N2811" s="846"/>
      <c r="O2811" s="846"/>
      <c r="P2811" s="846"/>
      <c r="Q2811" s="846"/>
      <c r="R2811" s="846"/>
      <c r="S2811" s="846"/>
      <c r="T2811" s="846"/>
    </row>
    <row r="2812" spans="2:20" ht="25.5" hidden="1">
      <c r="B2812" s="828" t="s">
        <v>6560</v>
      </c>
      <c r="C2812" s="828">
        <v>101889</v>
      </c>
      <c r="D2812" s="630" t="s">
        <v>5216</v>
      </c>
      <c r="E2812" s="630" t="s">
        <v>648</v>
      </c>
      <c r="F2812" s="829">
        <v>23.93</v>
      </c>
      <c r="G2812" s="830">
        <v>0.49</v>
      </c>
      <c r="H2812" s="831">
        <v>24.42</v>
      </c>
      <c r="I2812" s="846"/>
      <c r="J2812" s="846"/>
      <c r="K2812" s="846"/>
      <c r="L2812" s="846"/>
      <c r="M2812" s="846"/>
      <c r="N2812" s="846"/>
      <c r="O2812" s="846"/>
      <c r="P2812" s="846"/>
      <c r="Q2812" s="846"/>
      <c r="R2812" s="846"/>
      <c r="S2812" s="846"/>
      <c r="T2812" s="846"/>
    </row>
    <row r="2813" spans="2:20" ht="25.5" hidden="1">
      <c r="B2813" s="828" t="s">
        <v>6561</v>
      </c>
      <c r="C2813" s="828">
        <v>91936</v>
      </c>
      <c r="D2813" s="630" t="s">
        <v>1020</v>
      </c>
      <c r="E2813" s="630" t="s">
        <v>646</v>
      </c>
      <c r="F2813" s="829">
        <v>10.83</v>
      </c>
      <c r="G2813" s="830">
        <v>6.22</v>
      </c>
      <c r="H2813" s="831">
        <v>17.05</v>
      </c>
      <c r="I2813" s="846"/>
      <c r="J2813" s="846"/>
      <c r="K2813" s="846"/>
      <c r="L2813" s="846"/>
      <c r="M2813" s="846"/>
      <c r="N2813" s="846"/>
      <c r="O2813" s="846"/>
      <c r="P2813" s="846"/>
      <c r="Q2813" s="846"/>
      <c r="R2813" s="846"/>
      <c r="S2813" s="846"/>
      <c r="T2813" s="846"/>
    </row>
    <row r="2814" spans="2:20" ht="25.5" hidden="1">
      <c r="B2814" s="828" t="s">
        <v>6561</v>
      </c>
      <c r="C2814" s="828">
        <v>91937</v>
      </c>
      <c r="D2814" s="630" t="s">
        <v>1021</v>
      </c>
      <c r="E2814" s="630" t="s">
        <v>646</v>
      </c>
      <c r="F2814" s="829">
        <v>8.07</v>
      </c>
      <c r="G2814" s="830">
        <v>6.23</v>
      </c>
      <c r="H2814" s="831">
        <v>14.3</v>
      </c>
      <c r="I2814" s="846"/>
      <c r="J2814" s="846"/>
      <c r="K2814" s="846"/>
      <c r="L2814" s="846"/>
      <c r="M2814" s="846"/>
      <c r="N2814" s="846"/>
      <c r="O2814" s="846"/>
      <c r="P2814" s="846"/>
      <c r="Q2814" s="846"/>
      <c r="R2814" s="846"/>
      <c r="S2814" s="846"/>
      <c r="T2814" s="846"/>
    </row>
    <row r="2815" spans="2:20" ht="25.5" hidden="1">
      <c r="B2815" s="828" t="s">
        <v>6561</v>
      </c>
      <c r="C2815" s="828">
        <v>91939</v>
      </c>
      <c r="D2815" s="630" t="s">
        <v>1099</v>
      </c>
      <c r="E2815" s="630" t="s">
        <v>646</v>
      </c>
      <c r="F2815" s="829">
        <v>10.73</v>
      </c>
      <c r="G2815" s="830">
        <v>22.77</v>
      </c>
      <c r="H2815" s="831">
        <v>33.5</v>
      </c>
      <c r="I2815" s="846"/>
      <c r="J2815" s="846"/>
      <c r="K2815" s="846"/>
      <c r="L2815" s="846"/>
      <c r="M2815" s="846"/>
      <c r="N2815" s="846"/>
      <c r="O2815" s="846"/>
      <c r="P2815" s="846"/>
      <c r="Q2815" s="846"/>
      <c r="R2815" s="846"/>
      <c r="S2815" s="846"/>
      <c r="T2815" s="846"/>
    </row>
    <row r="2816" spans="2:20" ht="25.5" hidden="1">
      <c r="B2816" s="828" t="s">
        <v>6561</v>
      </c>
      <c r="C2816" s="828">
        <v>91940</v>
      </c>
      <c r="D2816" s="630" t="s">
        <v>1100</v>
      </c>
      <c r="E2816" s="630" t="s">
        <v>646</v>
      </c>
      <c r="F2816" s="829">
        <v>7.12</v>
      </c>
      <c r="G2816" s="830">
        <v>10.91</v>
      </c>
      <c r="H2816" s="831">
        <v>18.03</v>
      </c>
      <c r="I2816" s="846"/>
      <c r="J2816" s="846"/>
      <c r="K2816" s="846"/>
      <c r="L2816" s="846"/>
      <c r="M2816" s="846"/>
      <c r="N2816" s="846"/>
      <c r="O2816" s="846"/>
      <c r="P2816" s="846"/>
      <c r="Q2816" s="846"/>
      <c r="R2816" s="846"/>
      <c r="S2816" s="846"/>
      <c r="T2816" s="846"/>
    </row>
    <row r="2817" spans="2:20" ht="25.5" hidden="1">
      <c r="B2817" s="828" t="s">
        <v>6561</v>
      </c>
      <c r="C2817" s="828">
        <v>91941</v>
      </c>
      <c r="D2817" s="630" t="s">
        <v>1101</v>
      </c>
      <c r="E2817" s="630" t="s">
        <v>646</v>
      </c>
      <c r="F2817" s="829">
        <v>5.75</v>
      </c>
      <c r="G2817" s="830">
        <v>6.49</v>
      </c>
      <c r="H2817" s="831">
        <v>12.24</v>
      </c>
      <c r="I2817" s="846"/>
      <c r="J2817" s="846"/>
      <c r="K2817" s="846"/>
      <c r="L2817" s="846"/>
      <c r="M2817" s="846"/>
      <c r="N2817" s="846"/>
      <c r="O2817" s="846"/>
      <c r="P2817" s="846"/>
      <c r="Q2817" s="846"/>
      <c r="R2817" s="846"/>
      <c r="S2817" s="846"/>
      <c r="T2817" s="846"/>
    </row>
    <row r="2818" spans="2:20" ht="25.5" hidden="1">
      <c r="B2818" s="828" t="s">
        <v>6561</v>
      </c>
      <c r="C2818" s="828">
        <v>91942</v>
      </c>
      <c r="D2818" s="630" t="s">
        <v>1102</v>
      </c>
      <c r="E2818" s="630" t="s">
        <v>646</v>
      </c>
      <c r="F2818" s="829">
        <v>15.3</v>
      </c>
      <c r="G2818" s="830">
        <v>26.16</v>
      </c>
      <c r="H2818" s="831">
        <v>41.46</v>
      </c>
      <c r="I2818" s="846"/>
      <c r="J2818" s="846"/>
      <c r="K2818" s="846"/>
      <c r="L2818" s="846"/>
      <c r="M2818" s="846"/>
      <c r="N2818" s="846"/>
      <c r="O2818" s="846"/>
      <c r="P2818" s="846"/>
      <c r="Q2818" s="846"/>
      <c r="R2818" s="846"/>
      <c r="S2818" s="846"/>
      <c r="T2818" s="846"/>
    </row>
    <row r="2819" spans="2:20" ht="25.5" hidden="1">
      <c r="B2819" s="828" t="s">
        <v>6561</v>
      </c>
      <c r="C2819" s="828">
        <v>91943</v>
      </c>
      <c r="D2819" s="630" t="s">
        <v>1103</v>
      </c>
      <c r="E2819" s="630" t="s">
        <v>646</v>
      </c>
      <c r="F2819" s="829">
        <v>11.13</v>
      </c>
      <c r="G2819" s="830">
        <v>12.54</v>
      </c>
      <c r="H2819" s="831">
        <v>23.67</v>
      </c>
      <c r="I2819" s="846"/>
      <c r="J2819" s="846"/>
      <c r="K2819" s="846"/>
      <c r="L2819" s="846"/>
      <c r="M2819" s="846"/>
      <c r="N2819" s="846"/>
      <c r="O2819" s="846"/>
      <c r="P2819" s="846"/>
      <c r="Q2819" s="846"/>
      <c r="R2819" s="846"/>
      <c r="S2819" s="846"/>
      <c r="T2819" s="846"/>
    </row>
    <row r="2820" spans="2:20" ht="25.5" hidden="1">
      <c r="B2820" s="828" t="s">
        <v>6561</v>
      </c>
      <c r="C2820" s="828">
        <v>91944</v>
      </c>
      <c r="D2820" s="630" t="s">
        <v>1104</v>
      </c>
      <c r="E2820" s="630" t="s">
        <v>646</v>
      </c>
      <c r="F2820" s="829">
        <v>9.58</v>
      </c>
      <c r="G2820" s="830">
        <v>7.43</v>
      </c>
      <c r="H2820" s="831">
        <v>17.010000000000002</v>
      </c>
      <c r="I2820" s="846"/>
      <c r="J2820" s="846"/>
      <c r="K2820" s="846"/>
      <c r="L2820" s="846"/>
      <c r="M2820" s="846"/>
      <c r="N2820" s="846"/>
      <c r="O2820" s="846"/>
      <c r="P2820" s="846"/>
      <c r="Q2820" s="846"/>
      <c r="R2820" s="846"/>
      <c r="S2820" s="846"/>
      <c r="T2820" s="846"/>
    </row>
    <row r="2821" spans="2:20" ht="25.5" hidden="1">
      <c r="B2821" s="828" t="s">
        <v>6561</v>
      </c>
      <c r="C2821" s="828">
        <v>92865</v>
      </c>
      <c r="D2821" s="630" t="s">
        <v>1105</v>
      </c>
      <c r="E2821" s="630" t="s">
        <v>646</v>
      </c>
      <c r="F2821" s="829">
        <v>6.14</v>
      </c>
      <c r="G2821" s="830">
        <v>6.25</v>
      </c>
      <c r="H2821" s="831">
        <v>12.39</v>
      </c>
      <c r="I2821" s="846"/>
      <c r="J2821" s="846"/>
      <c r="K2821" s="846"/>
      <c r="L2821" s="846"/>
      <c r="M2821" s="846"/>
      <c r="N2821" s="846"/>
      <c r="O2821" s="846"/>
      <c r="P2821" s="846"/>
      <c r="Q2821" s="846"/>
      <c r="R2821" s="846"/>
      <c r="S2821" s="846"/>
      <c r="T2821" s="846"/>
    </row>
    <row r="2822" spans="2:20" ht="25.5" hidden="1">
      <c r="B2822" s="828" t="s">
        <v>6561</v>
      </c>
      <c r="C2822" s="828">
        <v>92866</v>
      </c>
      <c r="D2822" s="630" t="s">
        <v>1106</v>
      </c>
      <c r="E2822" s="630" t="s">
        <v>646</v>
      </c>
      <c r="F2822" s="829">
        <v>3.82</v>
      </c>
      <c r="G2822" s="830">
        <v>6.25</v>
      </c>
      <c r="H2822" s="831">
        <v>10.07</v>
      </c>
      <c r="I2822" s="846"/>
      <c r="J2822" s="846"/>
      <c r="K2822" s="846"/>
      <c r="L2822" s="846"/>
      <c r="M2822" s="846"/>
      <c r="N2822" s="846"/>
      <c r="O2822" s="846"/>
      <c r="P2822" s="846"/>
      <c r="Q2822" s="846"/>
      <c r="R2822" s="846"/>
      <c r="S2822" s="846"/>
      <c r="T2822" s="846"/>
    </row>
    <row r="2823" spans="2:20" ht="25.5" hidden="1">
      <c r="B2823" s="828" t="s">
        <v>6561</v>
      </c>
      <c r="C2823" s="828">
        <v>92867</v>
      </c>
      <c r="D2823" s="630" t="s">
        <v>1107</v>
      </c>
      <c r="E2823" s="630" t="s">
        <v>646</v>
      </c>
      <c r="F2823" s="829">
        <v>9.3000000000000007</v>
      </c>
      <c r="G2823" s="830">
        <v>22.77</v>
      </c>
      <c r="H2823" s="831">
        <v>32.07</v>
      </c>
      <c r="I2823" s="846"/>
      <c r="J2823" s="846"/>
      <c r="K2823" s="846"/>
      <c r="L2823" s="846"/>
      <c r="M2823" s="846"/>
      <c r="N2823" s="846"/>
      <c r="O2823" s="846"/>
      <c r="P2823" s="846"/>
      <c r="Q2823" s="846"/>
      <c r="R2823" s="846"/>
      <c r="S2823" s="846"/>
      <c r="T2823" s="846"/>
    </row>
    <row r="2824" spans="2:20" ht="25.5" hidden="1">
      <c r="B2824" s="828" t="s">
        <v>6561</v>
      </c>
      <c r="C2824" s="828">
        <v>92868</v>
      </c>
      <c r="D2824" s="630" t="s">
        <v>1108</v>
      </c>
      <c r="E2824" s="630" t="s">
        <v>646</v>
      </c>
      <c r="F2824" s="829">
        <v>5.68</v>
      </c>
      <c r="G2824" s="830">
        <v>10.92</v>
      </c>
      <c r="H2824" s="831">
        <v>16.600000000000001</v>
      </c>
      <c r="I2824" s="846"/>
      <c r="J2824" s="846"/>
      <c r="K2824" s="846"/>
      <c r="L2824" s="846"/>
      <c r="M2824" s="846"/>
      <c r="N2824" s="846"/>
      <c r="O2824" s="846"/>
      <c r="P2824" s="846"/>
      <c r="Q2824" s="846"/>
      <c r="R2824" s="846"/>
      <c r="S2824" s="846"/>
      <c r="T2824" s="846"/>
    </row>
    <row r="2825" spans="2:20" ht="25.5" hidden="1">
      <c r="B2825" s="828" t="s">
        <v>6561</v>
      </c>
      <c r="C2825" s="828">
        <v>92869</v>
      </c>
      <c r="D2825" s="630" t="s">
        <v>1109</v>
      </c>
      <c r="E2825" s="630" t="s">
        <v>646</v>
      </c>
      <c r="F2825" s="829">
        <v>4.3099999999999996</v>
      </c>
      <c r="G2825" s="830">
        <v>6.5</v>
      </c>
      <c r="H2825" s="831">
        <v>10.81</v>
      </c>
      <c r="I2825" s="846"/>
      <c r="J2825" s="846"/>
      <c r="K2825" s="846"/>
      <c r="L2825" s="846"/>
      <c r="M2825" s="846"/>
      <c r="N2825" s="846"/>
      <c r="O2825" s="846"/>
      <c r="P2825" s="846"/>
      <c r="Q2825" s="846"/>
      <c r="R2825" s="846"/>
      <c r="S2825" s="846"/>
      <c r="T2825" s="846"/>
    </row>
    <row r="2826" spans="2:20" ht="25.5" hidden="1">
      <c r="B2826" s="828" t="s">
        <v>6561</v>
      </c>
      <c r="C2826" s="828">
        <v>92870</v>
      </c>
      <c r="D2826" s="630" t="s">
        <v>1110</v>
      </c>
      <c r="E2826" s="630" t="s">
        <v>646</v>
      </c>
      <c r="F2826" s="829">
        <v>12.7</v>
      </c>
      <c r="G2826" s="830">
        <v>26.17</v>
      </c>
      <c r="H2826" s="831">
        <v>38.869999999999997</v>
      </c>
      <c r="I2826" s="846"/>
      <c r="J2826" s="846"/>
      <c r="K2826" s="846"/>
      <c r="L2826" s="846"/>
      <c r="M2826" s="846"/>
      <c r="N2826" s="846"/>
      <c r="O2826" s="846"/>
      <c r="P2826" s="846"/>
      <c r="Q2826" s="846"/>
      <c r="R2826" s="846"/>
      <c r="S2826" s="846"/>
      <c r="T2826" s="846"/>
    </row>
    <row r="2827" spans="2:20" ht="25.5" hidden="1">
      <c r="B2827" s="828" t="s">
        <v>6561</v>
      </c>
      <c r="C2827" s="828">
        <v>92871</v>
      </c>
      <c r="D2827" s="630" t="s">
        <v>1111</v>
      </c>
      <c r="E2827" s="630" t="s">
        <v>646</v>
      </c>
      <c r="F2827" s="829">
        <v>8.5299999999999994</v>
      </c>
      <c r="G2827" s="830">
        <v>12.55</v>
      </c>
      <c r="H2827" s="831">
        <v>21.08</v>
      </c>
      <c r="I2827" s="846"/>
      <c r="J2827" s="846"/>
      <c r="K2827" s="846"/>
      <c r="L2827" s="846"/>
      <c r="M2827" s="846"/>
      <c r="N2827" s="846"/>
      <c r="O2827" s="846"/>
      <c r="P2827" s="846"/>
      <c r="Q2827" s="846"/>
      <c r="R2827" s="846"/>
      <c r="S2827" s="846"/>
      <c r="T2827" s="846"/>
    </row>
    <row r="2828" spans="2:20" ht="25.5" hidden="1">
      <c r="B2828" s="828" t="s">
        <v>6561</v>
      </c>
      <c r="C2828" s="828">
        <v>92872</v>
      </c>
      <c r="D2828" s="630" t="s">
        <v>1214</v>
      </c>
      <c r="E2828" s="630" t="s">
        <v>646</v>
      </c>
      <c r="F2828" s="829">
        <v>6.97</v>
      </c>
      <c r="G2828" s="830">
        <v>7.45</v>
      </c>
      <c r="H2828" s="831">
        <v>14.42</v>
      </c>
      <c r="I2828" s="846"/>
      <c r="J2828" s="846"/>
      <c r="K2828" s="846"/>
      <c r="L2828" s="846"/>
      <c r="M2828" s="846"/>
      <c r="N2828" s="846"/>
      <c r="O2828" s="846"/>
      <c r="P2828" s="846"/>
      <c r="Q2828" s="846"/>
      <c r="R2828" s="846"/>
      <c r="S2828" s="846"/>
      <c r="T2828" s="846"/>
    </row>
    <row r="2829" spans="2:20" ht="38.25" hidden="1">
      <c r="B2829" s="828" t="s">
        <v>6561</v>
      </c>
      <c r="C2829" s="828">
        <v>95777</v>
      </c>
      <c r="D2829" s="630" t="s">
        <v>2340</v>
      </c>
      <c r="E2829" s="630" t="s">
        <v>646</v>
      </c>
      <c r="F2829" s="829">
        <v>18.04</v>
      </c>
      <c r="G2829" s="830">
        <v>14.96</v>
      </c>
      <c r="H2829" s="831">
        <v>33</v>
      </c>
      <c r="I2829" s="846"/>
      <c r="J2829" s="846"/>
      <c r="K2829" s="846"/>
      <c r="L2829" s="846"/>
      <c r="M2829" s="846"/>
      <c r="N2829" s="846"/>
      <c r="O2829" s="846"/>
      <c r="P2829" s="846"/>
      <c r="Q2829" s="846"/>
      <c r="R2829" s="846"/>
      <c r="S2829" s="846"/>
      <c r="T2829" s="846"/>
    </row>
    <row r="2830" spans="2:20" ht="38.25" hidden="1">
      <c r="B2830" s="828" t="s">
        <v>6561</v>
      </c>
      <c r="C2830" s="828">
        <v>95778</v>
      </c>
      <c r="D2830" s="630" t="s">
        <v>2341</v>
      </c>
      <c r="E2830" s="630" t="s">
        <v>646</v>
      </c>
      <c r="F2830" s="829">
        <v>18.82</v>
      </c>
      <c r="G2830" s="830">
        <v>14.96</v>
      </c>
      <c r="H2830" s="831">
        <v>33.78</v>
      </c>
      <c r="I2830" s="846"/>
      <c r="J2830" s="846"/>
      <c r="K2830" s="846"/>
      <c r="L2830" s="846"/>
      <c r="M2830" s="846"/>
      <c r="N2830" s="846"/>
      <c r="O2830" s="846"/>
      <c r="P2830" s="846"/>
      <c r="Q2830" s="846"/>
      <c r="R2830" s="846"/>
      <c r="S2830" s="846"/>
      <c r="T2830" s="846"/>
    </row>
    <row r="2831" spans="2:20" ht="38.25" hidden="1">
      <c r="B2831" s="828" t="s">
        <v>6561</v>
      </c>
      <c r="C2831" s="828">
        <v>95779</v>
      </c>
      <c r="D2831" s="630" t="s">
        <v>2342</v>
      </c>
      <c r="E2831" s="630" t="s">
        <v>646</v>
      </c>
      <c r="F2831" s="829">
        <v>16.2</v>
      </c>
      <c r="G2831" s="830">
        <v>14.96</v>
      </c>
      <c r="H2831" s="831">
        <v>31.16</v>
      </c>
      <c r="I2831" s="846"/>
      <c r="J2831" s="846"/>
      <c r="K2831" s="846"/>
      <c r="L2831" s="846"/>
      <c r="M2831" s="846"/>
      <c r="N2831" s="846"/>
      <c r="O2831" s="846"/>
      <c r="P2831" s="846"/>
      <c r="Q2831" s="846"/>
      <c r="R2831" s="846"/>
      <c r="S2831" s="846"/>
      <c r="T2831" s="846"/>
    </row>
    <row r="2832" spans="2:20" ht="38.25" hidden="1">
      <c r="B2832" s="828" t="s">
        <v>6561</v>
      </c>
      <c r="C2832" s="828">
        <v>95780</v>
      </c>
      <c r="D2832" s="630" t="s">
        <v>2343</v>
      </c>
      <c r="E2832" s="630" t="s">
        <v>646</v>
      </c>
      <c r="F2832" s="829">
        <v>21.89</v>
      </c>
      <c r="G2832" s="830">
        <v>15.54</v>
      </c>
      <c r="H2832" s="831">
        <v>37.43</v>
      </c>
      <c r="I2832" s="846"/>
      <c r="J2832" s="846"/>
      <c r="K2832" s="846"/>
      <c r="L2832" s="846"/>
      <c r="M2832" s="846"/>
      <c r="N2832" s="846"/>
      <c r="O2832" s="846"/>
      <c r="P2832" s="846"/>
      <c r="Q2832" s="846"/>
      <c r="R2832" s="846"/>
      <c r="S2832" s="846"/>
      <c r="T2832" s="846"/>
    </row>
    <row r="2833" spans="2:20" ht="38.25" hidden="1">
      <c r="B2833" s="828" t="s">
        <v>6561</v>
      </c>
      <c r="C2833" s="828">
        <v>95781</v>
      </c>
      <c r="D2833" s="630" t="s">
        <v>2344</v>
      </c>
      <c r="E2833" s="630" t="s">
        <v>646</v>
      </c>
      <c r="F2833" s="829">
        <v>22.47</v>
      </c>
      <c r="G2833" s="830">
        <v>15.54</v>
      </c>
      <c r="H2833" s="831">
        <v>38.01</v>
      </c>
      <c r="I2833" s="846"/>
      <c r="J2833" s="846"/>
      <c r="K2833" s="846"/>
      <c r="L2833" s="846"/>
      <c r="M2833" s="846"/>
      <c r="N2833" s="846"/>
      <c r="O2833" s="846"/>
      <c r="P2833" s="846"/>
      <c r="Q2833" s="846"/>
      <c r="R2833" s="846"/>
      <c r="S2833" s="846"/>
      <c r="T2833" s="846"/>
    </row>
    <row r="2834" spans="2:20" ht="25.5" hidden="1">
      <c r="B2834" s="828" t="s">
        <v>6561</v>
      </c>
      <c r="C2834" s="828">
        <v>95782</v>
      </c>
      <c r="D2834" s="630" t="s">
        <v>2345</v>
      </c>
      <c r="E2834" s="630" t="s">
        <v>646</v>
      </c>
      <c r="F2834" s="829">
        <v>23.99</v>
      </c>
      <c r="G2834" s="830">
        <v>15.54</v>
      </c>
      <c r="H2834" s="831">
        <v>39.53</v>
      </c>
      <c r="I2834" s="846"/>
      <c r="J2834" s="846"/>
      <c r="K2834" s="846"/>
      <c r="L2834" s="846"/>
      <c r="M2834" s="846"/>
      <c r="N2834" s="846"/>
      <c r="O2834" s="846"/>
      <c r="P2834" s="846"/>
      <c r="Q2834" s="846"/>
      <c r="R2834" s="846"/>
      <c r="S2834" s="846"/>
      <c r="T2834" s="846"/>
    </row>
    <row r="2835" spans="2:20" ht="38.25" hidden="1">
      <c r="B2835" s="828" t="s">
        <v>6561</v>
      </c>
      <c r="C2835" s="828">
        <v>95785</v>
      </c>
      <c r="D2835" s="630" t="s">
        <v>2346</v>
      </c>
      <c r="E2835" s="630" t="s">
        <v>646</v>
      </c>
      <c r="F2835" s="829">
        <v>28.48</v>
      </c>
      <c r="G2835" s="830">
        <v>16.38</v>
      </c>
      <c r="H2835" s="831">
        <v>44.86</v>
      </c>
      <c r="I2835" s="846"/>
      <c r="J2835" s="846"/>
      <c r="K2835" s="846"/>
      <c r="L2835" s="846"/>
      <c r="M2835" s="846"/>
      <c r="N2835" s="846"/>
      <c r="O2835" s="846"/>
      <c r="P2835" s="846"/>
      <c r="Q2835" s="846"/>
      <c r="R2835" s="846"/>
      <c r="S2835" s="846"/>
      <c r="T2835" s="846"/>
    </row>
    <row r="2836" spans="2:20" ht="38.25" hidden="1">
      <c r="B2836" s="828" t="s">
        <v>6561</v>
      </c>
      <c r="C2836" s="828">
        <v>95787</v>
      </c>
      <c r="D2836" s="630" t="s">
        <v>2347</v>
      </c>
      <c r="E2836" s="630" t="s">
        <v>646</v>
      </c>
      <c r="F2836" s="829">
        <v>17.02</v>
      </c>
      <c r="G2836" s="830">
        <v>16.420000000000002</v>
      </c>
      <c r="H2836" s="831">
        <v>33.44</v>
      </c>
      <c r="I2836" s="846"/>
      <c r="J2836" s="846"/>
      <c r="K2836" s="846"/>
      <c r="L2836" s="846"/>
      <c r="M2836" s="846"/>
      <c r="N2836" s="846"/>
      <c r="O2836" s="846"/>
      <c r="P2836" s="846"/>
      <c r="Q2836" s="846"/>
      <c r="R2836" s="846"/>
      <c r="S2836" s="846"/>
      <c r="T2836" s="846"/>
    </row>
    <row r="2837" spans="2:20" ht="38.25" hidden="1">
      <c r="B2837" s="828" t="s">
        <v>6561</v>
      </c>
      <c r="C2837" s="828">
        <v>95789</v>
      </c>
      <c r="D2837" s="630" t="s">
        <v>2348</v>
      </c>
      <c r="E2837" s="630" t="s">
        <v>646</v>
      </c>
      <c r="F2837" s="829">
        <v>23.91</v>
      </c>
      <c r="G2837" s="830">
        <v>17.309999999999999</v>
      </c>
      <c r="H2837" s="831">
        <v>41.22</v>
      </c>
      <c r="I2837" s="846"/>
      <c r="J2837" s="846"/>
      <c r="K2837" s="846"/>
      <c r="L2837" s="846"/>
      <c r="M2837" s="846"/>
      <c r="N2837" s="846"/>
      <c r="O2837" s="846"/>
      <c r="P2837" s="846"/>
      <c r="Q2837" s="846"/>
      <c r="R2837" s="846"/>
      <c r="S2837" s="846"/>
      <c r="T2837" s="846"/>
    </row>
    <row r="2838" spans="2:20" ht="38.25" hidden="1">
      <c r="B2838" s="828" t="s">
        <v>6561</v>
      </c>
      <c r="C2838" s="828">
        <v>95791</v>
      </c>
      <c r="D2838" s="630" t="s">
        <v>2349</v>
      </c>
      <c r="E2838" s="630" t="s">
        <v>646</v>
      </c>
      <c r="F2838" s="829">
        <v>34.25</v>
      </c>
      <c r="G2838" s="830">
        <v>18.59</v>
      </c>
      <c r="H2838" s="831">
        <v>52.84</v>
      </c>
      <c r="I2838" s="846"/>
      <c r="J2838" s="846"/>
      <c r="K2838" s="846"/>
      <c r="L2838" s="846"/>
      <c r="M2838" s="846"/>
      <c r="N2838" s="846"/>
      <c r="O2838" s="846"/>
      <c r="P2838" s="846"/>
      <c r="Q2838" s="846"/>
      <c r="R2838" s="846"/>
      <c r="S2838" s="846"/>
      <c r="T2838" s="846"/>
    </row>
    <row r="2839" spans="2:20" ht="38.25" hidden="1">
      <c r="B2839" s="828" t="s">
        <v>6561</v>
      </c>
      <c r="C2839" s="828">
        <v>95795</v>
      </c>
      <c r="D2839" s="630" t="s">
        <v>2350</v>
      </c>
      <c r="E2839" s="630" t="s">
        <v>646</v>
      </c>
      <c r="F2839" s="829">
        <v>19.59</v>
      </c>
      <c r="G2839" s="830">
        <v>19.03</v>
      </c>
      <c r="H2839" s="831">
        <v>38.619999999999997</v>
      </c>
      <c r="I2839" s="846"/>
      <c r="J2839" s="846"/>
      <c r="K2839" s="846"/>
      <c r="L2839" s="846"/>
      <c r="M2839" s="846"/>
      <c r="N2839" s="846"/>
      <c r="O2839" s="846"/>
      <c r="P2839" s="846"/>
      <c r="Q2839" s="846"/>
      <c r="R2839" s="846"/>
      <c r="S2839" s="846"/>
      <c r="T2839" s="846"/>
    </row>
    <row r="2840" spans="2:20" ht="25.5" hidden="1">
      <c r="B2840" s="828" t="s">
        <v>6561</v>
      </c>
      <c r="C2840" s="828">
        <v>95796</v>
      </c>
      <c r="D2840" s="630" t="s">
        <v>2351</v>
      </c>
      <c r="E2840" s="630" t="s">
        <v>646</v>
      </c>
      <c r="F2840" s="829">
        <v>28.14</v>
      </c>
      <c r="G2840" s="830">
        <v>20.39</v>
      </c>
      <c r="H2840" s="831">
        <v>48.53</v>
      </c>
      <c r="I2840" s="846"/>
      <c r="J2840" s="846"/>
      <c r="K2840" s="846"/>
      <c r="L2840" s="846"/>
      <c r="M2840" s="846"/>
      <c r="N2840" s="846"/>
      <c r="O2840" s="846"/>
      <c r="P2840" s="846"/>
      <c r="Q2840" s="846"/>
      <c r="R2840" s="846"/>
      <c r="S2840" s="846"/>
      <c r="T2840" s="846"/>
    </row>
    <row r="2841" spans="2:20" ht="38.25" hidden="1">
      <c r="B2841" s="828" t="s">
        <v>6561</v>
      </c>
      <c r="C2841" s="828">
        <v>95797</v>
      </c>
      <c r="D2841" s="630" t="s">
        <v>2352</v>
      </c>
      <c r="E2841" s="630" t="s">
        <v>646</v>
      </c>
      <c r="F2841" s="829">
        <v>39.130000000000003</v>
      </c>
      <c r="G2841" s="830">
        <v>22.3</v>
      </c>
      <c r="H2841" s="831">
        <v>61.43</v>
      </c>
      <c r="I2841" s="846"/>
      <c r="J2841" s="846"/>
      <c r="K2841" s="846"/>
      <c r="L2841" s="846"/>
      <c r="M2841" s="846"/>
      <c r="N2841" s="846"/>
      <c r="O2841" s="846"/>
      <c r="P2841" s="846"/>
      <c r="Q2841" s="846"/>
      <c r="R2841" s="846"/>
      <c r="S2841" s="846"/>
      <c r="T2841" s="846"/>
    </row>
    <row r="2842" spans="2:20" ht="38.25" hidden="1">
      <c r="B2842" s="828" t="s">
        <v>6561</v>
      </c>
      <c r="C2842" s="828">
        <v>95801</v>
      </c>
      <c r="D2842" s="630" t="s">
        <v>2353</v>
      </c>
      <c r="E2842" s="630" t="s">
        <v>646</v>
      </c>
      <c r="F2842" s="829">
        <v>24.64</v>
      </c>
      <c r="G2842" s="830">
        <v>21.64</v>
      </c>
      <c r="H2842" s="831">
        <v>46.28</v>
      </c>
      <c r="I2842" s="846"/>
      <c r="J2842" s="846"/>
      <c r="K2842" s="846"/>
      <c r="L2842" s="846"/>
      <c r="M2842" s="846"/>
      <c r="N2842" s="846"/>
      <c r="O2842" s="846"/>
      <c r="P2842" s="846"/>
      <c r="Q2842" s="846"/>
      <c r="R2842" s="846"/>
      <c r="S2842" s="846"/>
      <c r="T2842" s="846"/>
    </row>
    <row r="2843" spans="2:20" ht="38.25" hidden="1">
      <c r="B2843" s="828" t="s">
        <v>6561</v>
      </c>
      <c r="C2843" s="828">
        <v>95802</v>
      </c>
      <c r="D2843" s="630" t="s">
        <v>2354</v>
      </c>
      <c r="E2843" s="630" t="s">
        <v>646</v>
      </c>
      <c r="F2843" s="829">
        <v>28.16</v>
      </c>
      <c r="G2843" s="830">
        <v>23.44</v>
      </c>
      <c r="H2843" s="831">
        <v>51.6</v>
      </c>
      <c r="I2843" s="846"/>
      <c r="J2843" s="846"/>
      <c r="K2843" s="846"/>
      <c r="L2843" s="846"/>
      <c r="M2843" s="846"/>
      <c r="N2843" s="846"/>
      <c r="O2843" s="846"/>
      <c r="P2843" s="846"/>
      <c r="Q2843" s="846"/>
      <c r="R2843" s="846"/>
      <c r="S2843" s="846"/>
      <c r="T2843" s="846"/>
    </row>
    <row r="2844" spans="2:20" ht="38.25" hidden="1">
      <c r="B2844" s="828" t="s">
        <v>6561</v>
      </c>
      <c r="C2844" s="828">
        <v>95803</v>
      </c>
      <c r="D2844" s="630" t="s">
        <v>2355</v>
      </c>
      <c r="E2844" s="630" t="s">
        <v>646</v>
      </c>
      <c r="F2844" s="829">
        <v>42.11</v>
      </c>
      <c r="G2844" s="830">
        <v>25.99</v>
      </c>
      <c r="H2844" s="831">
        <v>68.099999999999994</v>
      </c>
      <c r="I2844" s="846"/>
      <c r="J2844" s="846"/>
      <c r="K2844" s="846"/>
      <c r="L2844" s="846"/>
      <c r="M2844" s="846"/>
      <c r="N2844" s="846"/>
      <c r="O2844" s="846"/>
      <c r="P2844" s="846"/>
      <c r="Q2844" s="846"/>
      <c r="R2844" s="846"/>
      <c r="S2844" s="846"/>
      <c r="T2844" s="846"/>
    </row>
    <row r="2845" spans="2:20" ht="25.5" hidden="1">
      <c r="B2845" s="828" t="s">
        <v>6561</v>
      </c>
      <c r="C2845" s="828">
        <v>95804</v>
      </c>
      <c r="D2845" s="630" t="s">
        <v>1005</v>
      </c>
      <c r="E2845" s="630" t="s">
        <v>646</v>
      </c>
      <c r="F2845" s="829">
        <v>18.77</v>
      </c>
      <c r="G2845" s="830">
        <v>12.37</v>
      </c>
      <c r="H2845" s="831">
        <v>31.14</v>
      </c>
      <c r="I2845" s="846"/>
      <c r="J2845" s="846"/>
      <c r="K2845" s="846"/>
      <c r="L2845" s="846"/>
      <c r="M2845" s="846"/>
      <c r="N2845" s="846"/>
      <c r="O2845" s="846"/>
      <c r="P2845" s="846"/>
      <c r="Q2845" s="846"/>
      <c r="R2845" s="846"/>
      <c r="S2845" s="846"/>
      <c r="T2845" s="846"/>
    </row>
    <row r="2846" spans="2:20" ht="25.5" hidden="1">
      <c r="B2846" s="828" t="s">
        <v>6561</v>
      </c>
      <c r="C2846" s="828">
        <v>95805</v>
      </c>
      <c r="D2846" s="630" t="s">
        <v>1006</v>
      </c>
      <c r="E2846" s="630" t="s">
        <v>646</v>
      </c>
      <c r="F2846" s="829">
        <v>18.82</v>
      </c>
      <c r="G2846" s="830">
        <v>12.58</v>
      </c>
      <c r="H2846" s="831">
        <v>31.4</v>
      </c>
      <c r="I2846" s="846"/>
      <c r="J2846" s="846"/>
      <c r="K2846" s="846"/>
      <c r="L2846" s="846"/>
      <c r="M2846" s="846"/>
      <c r="N2846" s="846"/>
      <c r="O2846" s="846"/>
      <c r="P2846" s="846"/>
      <c r="Q2846" s="846"/>
      <c r="R2846" s="846"/>
      <c r="S2846" s="846"/>
      <c r="T2846" s="846"/>
    </row>
    <row r="2847" spans="2:20" ht="25.5" hidden="1">
      <c r="B2847" s="828" t="s">
        <v>6561</v>
      </c>
      <c r="C2847" s="828">
        <v>95806</v>
      </c>
      <c r="D2847" s="630" t="s">
        <v>1007</v>
      </c>
      <c r="E2847" s="630" t="s">
        <v>646</v>
      </c>
      <c r="F2847" s="829">
        <v>19.57</v>
      </c>
      <c r="G2847" s="830">
        <v>12.88</v>
      </c>
      <c r="H2847" s="831">
        <v>32.450000000000003</v>
      </c>
      <c r="I2847" s="846"/>
      <c r="J2847" s="846"/>
      <c r="K2847" s="846"/>
      <c r="L2847" s="846"/>
      <c r="M2847" s="846"/>
      <c r="N2847" s="846"/>
      <c r="O2847" s="846"/>
      <c r="P2847" s="846"/>
      <c r="Q2847" s="846"/>
      <c r="R2847" s="846"/>
      <c r="S2847" s="846"/>
      <c r="T2847" s="846"/>
    </row>
    <row r="2848" spans="2:20" ht="25.5" hidden="1">
      <c r="B2848" s="828" t="s">
        <v>6561</v>
      </c>
      <c r="C2848" s="828">
        <v>95807</v>
      </c>
      <c r="D2848" s="630" t="s">
        <v>1008</v>
      </c>
      <c r="E2848" s="630" t="s">
        <v>646</v>
      </c>
      <c r="F2848" s="829">
        <v>20.97</v>
      </c>
      <c r="G2848" s="830">
        <v>14.72</v>
      </c>
      <c r="H2848" s="831">
        <v>35.69</v>
      </c>
      <c r="I2848" s="846"/>
      <c r="J2848" s="846"/>
      <c r="K2848" s="846"/>
      <c r="L2848" s="846"/>
      <c r="M2848" s="846"/>
      <c r="N2848" s="846"/>
      <c r="O2848" s="846"/>
      <c r="P2848" s="846"/>
      <c r="Q2848" s="846"/>
      <c r="R2848" s="846"/>
      <c r="S2848" s="846"/>
      <c r="T2848" s="846"/>
    </row>
    <row r="2849" spans="2:20" ht="25.5" hidden="1">
      <c r="B2849" s="828" t="s">
        <v>6561</v>
      </c>
      <c r="C2849" s="828">
        <v>95808</v>
      </c>
      <c r="D2849" s="630" t="s">
        <v>1009</v>
      </c>
      <c r="E2849" s="630" t="s">
        <v>646</v>
      </c>
      <c r="F2849" s="829">
        <v>21.15</v>
      </c>
      <c r="G2849" s="830">
        <v>15.34</v>
      </c>
      <c r="H2849" s="831">
        <v>36.49</v>
      </c>
      <c r="I2849" s="846"/>
      <c r="J2849" s="846"/>
      <c r="K2849" s="846"/>
      <c r="L2849" s="846"/>
      <c r="M2849" s="846"/>
      <c r="N2849" s="846"/>
      <c r="O2849" s="846"/>
      <c r="P2849" s="846"/>
      <c r="Q2849" s="846"/>
      <c r="R2849" s="846"/>
      <c r="S2849" s="846"/>
      <c r="T2849" s="846"/>
    </row>
    <row r="2850" spans="2:20" ht="25.5" hidden="1">
      <c r="B2850" s="828" t="s">
        <v>6561</v>
      </c>
      <c r="C2850" s="828">
        <v>95809</v>
      </c>
      <c r="D2850" s="630" t="s">
        <v>1010</v>
      </c>
      <c r="E2850" s="630" t="s">
        <v>646</v>
      </c>
      <c r="F2850" s="829">
        <v>24.04</v>
      </c>
      <c r="G2850" s="830">
        <v>16.2</v>
      </c>
      <c r="H2850" s="831">
        <v>40.24</v>
      </c>
      <c r="I2850" s="846"/>
      <c r="J2850" s="846"/>
      <c r="K2850" s="846"/>
      <c r="L2850" s="846"/>
      <c r="M2850" s="846"/>
      <c r="N2850" s="846"/>
      <c r="O2850" s="846"/>
      <c r="P2850" s="846"/>
      <c r="Q2850" s="846"/>
      <c r="R2850" s="846"/>
      <c r="S2850" s="846"/>
      <c r="T2850" s="846"/>
    </row>
    <row r="2851" spans="2:20" ht="25.5" hidden="1">
      <c r="B2851" s="828" t="s">
        <v>6561</v>
      </c>
      <c r="C2851" s="828">
        <v>95810</v>
      </c>
      <c r="D2851" s="630" t="s">
        <v>1011</v>
      </c>
      <c r="E2851" s="630" t="s">
        <v>646</v>
      </c>
      <c r="F2851" s="829">
        <v>17.079999999999998</v>
      </c>
      <c r="G2851" s="830">
        <v>3.52</v>
      </c>
      <c r="H2851" s="831">
        <v>20.6</v>
      </c>
      <c r="I2851" s="846"/>
      <c r="J2851" s="846"/>
      <c r="K2851" s="846"/>
      <c r="L2851" s="846"/>
      <c r="M2851" s="846"/>
      <c r="N2851" s="846"/>
      <c r="O2851" s="846"/>
      <c r="P2851" s="846"/>
      <c r="Q2851" s="846"/>
      <c r="R2851" s="846"/>
      <c r="S2851" s="846"/>
      <c r="T2851" s="846"/>
    </row>
    <row r="2852" spans="2:20" ht="25.5" hidden="1">
      <c r="B2852" s="828" t="s">
        <v>6561</v>
      </c>
      <c r="C2852" s="828">
        <v>95811</v>
      </c>
      <c r="D2852" s="630" t="s">
        <v>1012</v>
      </c>
      <c r="E2852" s="630" t="s">
        <v>646</v>
      </c>
      <c r="F2852" s="829">
        <v>17.27</v>
      </c>
      <c r="G2852" s="830">
        <v>4.13</v>
      </c>
      <c r="H2852" s="831">
        <v>21.4</v>
      </c>
      <c r="I2852" s="846"/>
      <c r="J2852" s="846"/>
      <c r="K2852" s="846"/>
      <c r="L2852" s="846"/>
      <c r="M2852" s="846"/>
      <c r="N2852" s="846"/>
      <c r="O2852" s="846"/>
      <c r="P2852" s="846"/>
      <c r="Q2852" s="846"/>
      <c r="R2852" s="846"/>
      <c r="S2852" s="846"/>
      <c r="T2852" s="846"/>
    </row>
    <row r="2853" spans="2:20" ht="25.5" hidden="1">
      <c r="B2853" s="828" t="s">
        <v>6561</v>
      </c>
      <c r="C2853" s="828">
        <v>95812</v>
      </c>
      <c r="D2853" s="630" t="s">
        <v>1013</v>
      </c>
      <c r="E2853" s="630" t="s">
        <v>646</v>
      </c>
      <c r="F2853" s="829">
        <v>20.14</v>
      </c>
      <c r="G2853" s="830">
        <v>5</v>
      </c>
      <c r="H2853" s="831">
        <v>25.14</v>
      </c>
      <c r="I2853" s="846"/>
      <c r="J2853" s="846"/>
      <c r="K2853" s="846"/>
      <c r="L2853" s="846"/>
      <c r="M2853" s="846"/>
      <c r="N2853" s="846"/>
      <c r="O2853" s="846"/>
      <c r="P2853" s="846"/>
      <c r="Q2853" s="846"/>
      <c r="R2853" s="846"/>
      <c r="S2853" s="846"/>
      <c r="T2853" s="846"/>
    </row>
    <row r="2854" spans="2:20" ht="25.5" hidden="1">
      <c r="B2854" s="828" t="s">
        <v>6561</v>
      </c>
      <c r="C2854" s="828">
        <v>95813</v>
      </c>
      <c r="D2854" s="630" t="s">
        <v>1014</v>
      </c>
      <c r="E2854" s="630" t="s">
        <v>646</v>
      </c>
      <c r="F2854" s="829">
        <v>19.260000000000002</v>
      </c>
      <c r="G2854" s="830">
        <v>5.28</v>
      </c>
      <c r="H2854" s="831">
        <v>24.54</v>
      </c>
      <c r="I2854" s="846"/>
      <c r="J2854" s="846"/>
      <c r="K2854" s="846"/>
      <c r="L2854" s="846"/>
      <c r="M2854" s="846"/>
      <c r="N2854" s="846"/>
      <c r="O2854" s="846"/>
      <c r="P2854" s="846"/>
      <c r="Q2854" s="846"/>
      <c r="R2854" s="846"/>
      <c r="S2854" s="846"/>
      <c r="T2854" s="846"/>
    </row>
    <row r="2855" spans="2:20" ht="25.5" hidden="1">
      <c r="B2855" s="828" t="s">
        <v>6561</v>
      </c>
      <c r="C2855" s="828">
        <v>95814</v>
      </c>
      <c r="D2855" s="630" t="s">
        <v>1015</v>
      </c>
      <c r="E2855" s="630" t="s">
        <v>646</v>
      </c>
      <c r="F2855" s="829">
        <v>19.55</v>
      </c>
      <c r="G2855" s="830">
        <v>6.2</v>
      </c>
      <c r="H2855" s="831">
        <v>25.75</v>
      </c>
      <c r="I2855" s="846"/>
      <c r="J2855" s="846"/>
      <c r="K2855" s="846"/>
      <c r="L2855" s="846"/>
      <c r="M2855" s="846"/>
      <c r="N2855" s="846"/>
      <c r="O2855" s="846"/>
      <c r="P2855" s="846"/>
      <c r="Q2855" s="846"/>
      <c r="R2855" s="846"/>
      <c r="S2855" s="846"/>
      <c r="T2855" s="846"/>
    </row>
    <row r="2856" spans="2:20" ht="25.5" hidden="1">
      <c r="B2856" s="828" t="s">
        <v>6561</v>
      </c>
      <c r="C2856" s="828">
        <v>95815</v>
      </c>
      <c r="D2856" s="630" t="s">
        <v>1016</v>
      </c>
      <c r="E2856" s="630" t="s">
        <v>646</v>
      </c>
      <c r="F2856" s="829">
        <v>25.56</v>
      </c>
      <c r="G2856" s="830">
        <v>7.5</v>
      </c>
      <c r="H2856" s="831">
        <v>33.06</v>
      </c>
      <c r="I2856" s="846"/>
      <c r="J2856" s="846"/>
      <c r="K2856" s="846"/>
      <c r="L2856" s="846"/>
      <c r="M2856" s="846"/>
      <c r="N2856" s="846"/>
      <c r="O2856" s="846"/>
      <c r="P2856" s="846"/>
      <c r="Q2856" s="846"/>
      <c r="R2856" s="846"/>
      <c r="S2856" s="846"/>
      <c r="T2856" s="846"/>
    </row>
    <row r="2857" spans="2:20" ht="25.5" hidden="1">
      <c r="B2857" s="828" t="s">
        <v>6561</v>
      </c>
      <c r="C2857" s="828">
        <v>95816</v>
      </c>
      <c r="D2857" s="630" t="s">
        <v>1017</v>
      </c>
      <c r="E2857" s="630" t="s">
        <v>646</v>
      </c>
      <c r="F2857" s="829">
        <v>25.68</v>
      </c>
      <c r="G2857" s="830">
        <v>18.27</v>
      </c>
      <c r="H2857" s="831">
        <v>43.95</v>
      </c>
      <c r="I2857" s="846"/>
      <c r="J2857" s="846"/>
      <c r="K2857" s="846"/>
      <c r="L2857" s="846"/>
      <c r="M2857" s="846"/>
      <c r="N2857" s="846"/>
      <c r="O2857" s="846"/>
      <c r="P2857" s="846"/>
      <c r="Q2857" s="846"/>
      <c r="R2857" s="846"/>
      <c r="S2857" s="846"/>
      <c r="T2857" s="846"/>
    </row>
    <row r="2858" spans="2:20" ht="25.5" hidden="1">
      <c r="B2858" s="828" t="s">
        <v>6561</v>
      </c>
      <c r="C2858" s="828">
        <v>95817</v>
      </c>
      <c r="D2858" s="630" t="s">
        <v>1018</v>
      </c>
      <c r="E2858" s="630" t="s">
        <v>646</v>
      </c>
      <c r="F2858" s="829">
        <v>25.4</v>
      </c>
      <c r="G2858" s="830">
        <v>19.5</v>
      </c>
      <c r="H2858" s="831">
        <v>44.9</v>
      </c>
      <c r="I2858" s="846"/>
      <c r="J2858" s="846"/>
      <c r="K2858" s="846"/>
      <c r="L2858" s="846"/>
      <c r="M2858" s="846"/>
      <c r="N2858" s="846"/>
      <c r="O2858" s="846"/>
      <c r="P2858" s="846"/>
      <c r="Q2858" s="846"/>
      <c r="R2858" s="846"/>
      <c r="S2858" s="846"/>
      <c r="T2858" s="846"/>
    </row>
    <row r="2859" spans="2:20" ht="25.5" hidden="1">
      <c r="B2859" s="828" t="s">
        <v>6561</v>
      </c>
      <c r="C2859" s="828">
        <v>95818</v>
      </c>
      <c r="D2859" s="630" t="s">
        <v>1019</v>
      </c>
      <c r="E2859" s="630" t="s">
        <v>646</v>
      </c>
      <c r="F2859" s="829">
        <v>33.54</v>
      </c>
      <c r="G2859" s="830">
        <v>21.2</v>
      </c>
      <c r="H2859" s="831">
        <v>54.74</v>
      </c>
      <c r="I2859" s="846"/>
      <c r="J2859" s="846"/>
      <c r="K2859" s="846"/>
      <c r="L2859" s="846"/>
      <c r="M2859" s="846"/>
      <c r="N2859" s="846"/>
      <c r="O2859" s="846"/>
      <c r="P2859" s="846"/>
      <c r="Q2859" s="846"/>
      <c r="R2859" s="846"/>
      <c r="S2859" s="846"/>
      <c r="T2859" s="846"/>
    </row>
    <row r="2860" spans="2:20" ht="25.5" hidden="1">
      <c r="B2860" s="828" t="s">
        <v>6561</v>
      </c>
      <c r="C2860" s="828">
        <v>97881</v>
      </c>
      <c r="D2860" s="630" t="s">
        <v>5601</v>
      </c>
      <c r="E2860" s="630" t="s">
        <v>646</v>
      </c>
      <c r="F2860" s="829">
        <v>78.759999999999991</v>
      </c>
      <c r="G2860" s="830">
        <v>22.99</v>
      </c>
      <c r="H2860" s="831">
        <v>101.75</v>
      </c>
      <c r="I2860" s="846"/>
      <c r="J2860" s="846"/>
      <c r="K2860" s="846"/>
      <c r="L2860" s="846"/>
      <c r="M2860" s="846"/>
      <c r="N2860" s="846"/>
      <c r="O2860" s="846"/>
      <c r="P2860" s="846"/>
      <c r="Q2860" s="846"/>
      <c r="R2860" s="846"/>
      <c r="S2860" s="846"/>
      <c r="T2860" s="846"/>
    </row>
    <row r="2861" spans="2:20" ht="25.5" hidden="1">
      <c r="B2861" s="833" t="s">
        <v>6561</v>
      </c>
      <c r="C2861" s="828">
        <v>97882</v>
      </c>
      <c r="D2861" s="630" t="s">
        <v>5602</v>
      </c>
      <c r="E2861" s="630" t="s">
        <v>646</v>
      </c>
      <c r="F2861" s="829">
        <v>125.17</v>
      </c>
      <c r="G2861" s="830">
        <v>32.799999999999997</v>
      </c>
      <c r="H2861" s="831">
        <v>157.97</v>
      </c>
      <c r="I2861" s="846"/>
      <c r="J2861" s="846"/>
      <c r="K2861" s="846"/>
      <c r="L2861" s="846"/>
      <c r="M2861" s="846"/>
      <c r="N2861" s="846"/>
      <c r="O2861" s="846"/>
      <c r="P2861" s="846"/>
      <c r="Q2861" s="846"/>
      <c r="R2861" s="846"/>
      <c r="S2861" s="846"/>
      <c r="T2861" s="846"/>
    </row>
    <row r="2862" spans="2:20" ht="25.5" hidden="1">
      <c r="B2862" s="833" t="s">
        <v>6561</v>
      </c>
      <c r="C2862" s="828">
        <v>97883</v>
      </c>
      <c r="D2862" s="630" t="s">
        <v>5603</v>
      </c>
      <c r="E2862" s="630" t="s">
        <v>646</v>
      </c>
      <c r="F2862" s="829">
        <v>248.35999999999999</v>
      </c>
      <c r="G2862" s="830">
        <v>57.01</v>
      </c>
      <c r="H2862" s="831">
        <v>305.37</v>
      </c>
      <c r="I2862" s="846"/>
      <c r="J2862" s="846"/>
      <c r="K2862" s="846"/>
      <c r="L2862" s="846"/>
      <c r="M2862" s="846"/>
      <c r="N2862" s="846"/>
      <c r="O2862" s="846"/>
      <c r="P2862" s="846"/>
      <c r="Q2862" s="846"/>
      <c r="R2862" s="846"/>
      <c r="S2862" s="846"/>
      <c r="T2862" s="846"/>
    </row>
    <row r="2863" spans="2:20" ht="25.5" hidden="1">
      <c r="B2863" s="828" t="s">
        <v>6561</v>
      </c>
      <c r="C2863" s="828">
        <v>97884</v>
      </c>
      <c r="D2863" s="630" t="s">
        <v>5604</v>
      </c>
      <c r="E2863" s="630" t="s">
        <v>646</v>
      </c>
      <c r="F2863" s="829">
        <v>492.71999999999997</v>
      </c>
      <c r="G2863" s="830">
        <v>95.54</v>
      </c>
      <c r="H2863" s="831">
        <v>588.26</v>
      </c>
      <c r="I2863" s="846"/>
      <c r="J2863" s="846"/>
      <c r="K2863" s="846"/>
      <c r="L2863" s="846"/>
      <c r="M2863" s="846"/>
      <c r="N2863" s="846"/>
      <c r="O2863" s="846"/>
      <c r="P2863" s="846"/>
      <c r="Q2863" s="846"/>
      <c r="R2863" s="846"/>
      <c r="S2863" s="846"/>
      <c r="T2863" s="846"/>
    </row>
    <row r="2864" spans="2:20" ht="25.5" hidden="1">
      <c r="B2864" s="828" t="s">
        <v>6561</v>
      </c>
      <c r="C2864" s="828">
        <v>97885</v>
      </c>
      <c r="D2864" s="630" t="s">
        <v>5605</v>
      </c>
      <c r="E2864" s="630" t="s">
        <v>646</v>
      </c>
      <c r="F2864" s="829">
        <v>767.6</v>
      </c>
      <c r="G2864" s="830">
        <v>129.35</v>
      </c>
      <c r="H2864" s="831">
        <v>896.95</v>
      </c>
      <c r="I2864" s="846"/>
      <c r="J2864" s="846"/>
      <c r="K2864" s="846"/>
      <c r="L2864" s="846"/>
      <c r="M2864" s="846"/>
      <c r="N2864" s="846"/>
      <c r="O2864" s="846"/>
      <c r="P2864" s="846"/>
      <c r="Q2864" s="846"/>
      <c r="R2864" s="846"/>
      <c r="S2864" s="846"/>
      <c r="T2864" s="846"/>
    </row>
    <row r="2865" spans="2:20" ht="38.25" hidden="1">
      <c r="B2865" s="828" t="s">
        <v>6561</v>
      </c>
      <c r="C2865" s="828">
        <v>97886</v>
      </c>
      <c r="D2865" s="630" t="s">
        <v>5606</v>
      </c>
      <c r="E2865" s="630" t="s">
        <v>646</v>
      </c>
      <c r="F2865" s="829">
        <v>86.27</v>
      </c>
      <c r="G2865" s="830">
        <v>85.11</v>
      </c>
      <c r="H2865" s="831">
        <v>171.38</v>
      </c>
      <c r="I2865" s="846"/>
      <c r="J2865" s="846"/>
      <c r="K2865" s="846"/>
      <c r="L2865" s="846"/>
      <c r="M2865" s="846"/>
      <c r="N2865" s="846"/>
      <c r="O2865" s="846"/>
      <c r="P2865" s="846"/>
      <c r="Q2865" s="846"/>
      <c r="R2865" s="846"/>
      <c r="S2865" s="846"/>
      <c r="T2865" s="846"/>
    </row>
    <row r="2866" spans="2:20" ht="38.25" hidden="1">
      <c r="B2866" s="828" t="s">
        <v>6561</v>
      </c>
      <c r="C2866" s="828">
        <v>97887</v>
      </c>
      <c r="D2866" s="630" t="s">
        <v>5607</v>
      </c>
      <c r="E2866" s="630" t="s">
        <v>646</v>
      </c>
      <c r="F2866" s="829">
        <v>137.06</v>
      </c>
      <c r="G2866" s="830">
        <v>133.38999999999999</v>
      </c>
      <c r="H2866" s="831">
        <v>270.45</v>
      </c>
      <c r="I2866" s="846"/>
      <c r="J2866" s="846"/>
      <c r="K2866" s="846"/>
      <c r="L2866" s="846"/>
      <c r="M2866" s="846"/>
      <c r="N2866" s="846"/>
      <c r="O2866" s="846"/>
      <c r="P2866" s="846"/>
      <c r="Q2866" s="846"/>
      <c r="R2866" s="846"/>
      <c r="S2866" s="846"/>
      <c r="T2866" s="846"/>
    </row>
    <row r="2867" spans="2:20" ht="38.25" hidden="1">
      <c r="B2867" s="828" t="s">
        <v>6561</v>
      </c>
      <c r="C2867" s="828">
        <v>97888</v>
      </c>
      <c r="D2867" s="630" t="s">
        <v>5608</v>
      </c>
      <c r="E2867" s="630" t="s">
        <v>646</v>
      </c>
      <c r="F2867" s="829">
        <v>273.37</v>
      </c>
      <c r="G2867" s="830">
        <v>248.7</v>
      </c>
      <c r="H2867" s="831">
        <v>522.07000000000005</v>
      </c>
      <c r="I2867" s="846"/>
      <c r="J2867" s="846"/>
      <c r="K2867" s="846"/>
      <c r="L2867" s="846"/>
      <c r="M2867" s="846"/>
      <c r="N2867" s="846"/>
      <c r="O2867" s="846"/>
      <c r="P2867" s="846"/>
      <c r="Q2867" s="846"/>
      <c r="R2867" s="846"/>
      <c r="S2867" s="846"/>
      <c r="T2867" s="846"/>
    </row>
    <row r="2868" spans="2:20" ht="38.25" hidden="1">
      <c r="B2868" s="828" t="s">
        <v>6561</v>
      </c>
      <c r="C2868" s="828">
        <v>97889</v>
      </c>
      <c r="D2868" s="630" t="s">
        <v>5609</v>
      </c>
      <c r="E2868" s="630" t="s">
        <v>646</v>
      </c>
      <c r="F2868" s="829">
        <v>368.59</v>
      </c>
      <c r="G2868" s="830">
        <v>338.36</v>
      </c>
      <c r="H2868" s="831">
        <v>706.95</v>
      </c>
      <c r="I2868" s="846"/>
      <c r="J2868" s="846"/>
      <c r="K2868" s="846"/>
      <c r="L2868" s="846"/>
      <c r="M2868" s="846"/>
      <c r="N2868" s="846"/>
      <c r="O2868" s="846"/>
      <c r="P2868" s="846"/>
      <c r="Q2868" s="846"/>
      <c r="R2868" s="846"/>
      <c r="S2868" s="846"/>
      <c r="T2868" s="846"/>
    </row>
    <row r="2869" spans="2:20" ht="38.25" hidden="1">
      <c r="B2869" s="828" t="s">
        <v>6561</v>
      </c>
      <c r="C2869" s="828">
        <v>97890</v>
      </c>
      <c r="D2869" s="630" t="s">
        <v>5610</v>
      </c>
      <c r="E2869" s="630" t="s">
        <v>646</v>
      </c>
      <c r="F2869" s="829">
        <v>449.46999999999997</v>
      </c>
      <c r="G2869" s="830">
        <v>345.14</v>
      </c>
      <c r="H2869" s="831">
        <v>794.61</v>
      </c>
      <c r="I2869" s="846"/>
      <c r="J2869" s="846"/>
      <c r="K2869" s="846"/>
      <c r="L2869" s="846"/>
      <c r="M2869" s="846"/>
      <c r="N2869" s="846"/>
      <c r="O2869" s="846"/>
      <c r="P2869" s="846"/>
      <c r="Q2869" s="846"/>
      <c r="R2869" s="846"/>
      <c r="S2869" s="846"/>
      <c r="T2869" s="846"/>
    </row>
    <row r="2870" spans="2:20" ht="38.25" hidden="1">
      <c r="B2870" s="828" t="s">
        <v>6561</v>
      </c>
      <c r="C2870" s="828">
        <v>97891</v>
      </c>
      <c r="D2870" s="630" t="s">
        <v>5611</v>
      </c>
      <c r="E2870" s="630" t="s">
        <v>646</v>
      </c>
      <c r="F2870" s="829">
        <v>96.679999999999993</v>
      </c>
      <c r="G2870" s="830">
        <v>104.15</v>
      </c>
      <c r="H2870" s="831">
        <v>200.83</v>
      </c>
      <c r="I2870" s="846"/>
      <c r="J2870" s="846"/>
      <c r="K2870" s="846"/>
      <c r="L2870" s="846"/>
      <c r="M2870" s="846"/>
      <c r="N2870" s="846"/>
      <c r="O2870" s="846"/>
      <c r="P2870" s="846"/>
      <c r="Q2870" s="846"/>
      <c r="R2870" s="846"/>
      <c r="S2870" s="846"/>
      <c r="T2870" s="846"/>
    </row>
    <row r="2871" spans="2:20" ht="38.25" hidden="1">
      <c r="B2871" s="828" t="s">
        <v>6561</v>
      </c>
      <c r="C2871" s="828">
        <v>97892</v>
      </c>
      <c r="D2871" s="630" t="s">
        <v>5612</v>
      </c>
      <c r="E2871" s="630" t="s">
        <v>646</v>
      </c>
      <c r="F2871" s="829">
        <v>188.10999999999999</v>
      </c>
      <c r="G2871" s="830">
        <v>186.78</v>
      </c>
      <c r="H2871" s="831">
        <v>374.89</v>
      </c>
      <c r="I2871" s="846"/>
      <c r="J2871" s="846"/>
      <c r="K2871" s="846"/>
      <c r="L2871" s="846"/>
      <c r="M2871" s="846"/>
      <c r="N2871" s="846"/>
      <c r="O2871" s="846"/>
      <c r="P2871" s="846"/>
      <c r="Q2871" s="846"/>
      <c r="R2871" s="846"/>
      <c r="S2871" s="846"/>
      <c r="T2871" s="846"/>
    </row>
    <row r="2872" spans="2:20" ht="38.25" hidden="1">
      <c r="B2872" s="828" t="s">
        <v>6561</v>
      </c>
      <c r="C2872" s="828">
        <v>97893</v>
      </c>
      <c r="D2872" s="630" t="s">
        <v>5613</v>
      </c>
      <c r="E2872" s="630" t="s">
        <v>646</v>
      </c>
      <c r="F2872" s="829">
        <v>259.85000000000002</v>
      </c>
      <c r="G2872" s="830">
        <v>259.42</v>
      </c>
      <c r="H2872" s="831">
        <v>519.27</v>
      </c>
      <c r="I2872" s="846"/>
      <c r="J2872" s="846"/>
      <c r="K2872" s="846"/>
      <c r="L2872" s="846"/>
      <c r="M2872" s="846"/>
      <c r="N2872" s="846"/>
      <c r="O2872" s="846"/>
      <c r="P2872" s="846"/>
      <c r="Q2872" s="846"/>
      <c r="R2872" s="846"/>
      <c r="S2872" s="846"/>
      <c r="T2872" s="846"/>
    </row>
    <row r="2873" spans="2:20" ht="38.25" hidden="1">
      <c r="B2873" s="828" t="s">
        <v>6561</v>
      </c>
      <c r="C2873" s="828">
        <v>97894</v>
      </c>
      <c r="D2873" s="630" t="s">
        <v>5614</v>
      </c>
      <c r="E2873" s="630" t="s">
        <v>646</v>
      </c>
      <c r="F2873" s="829">
        <v>317.73999999999995</v>
      </c>
      <c r="G2873" s="830">
        <v>249.43</v>
      </c>
      <c r="H2873" s="831">
        <v>567.16999999999996</v>
      </c>
      <c r="I2873" s="846"/>
      <c r="J2873" s="846"/>
      <c r="K2873" s="846"/>
      <c r="L2873" s="846"/>
      <c r="M2873" s="846"/>
      <c r="N2873" s="846"/>
      <c r="O2873" s="846"/>
      <c r="P2873" s="846"/>
      <c r="Q2873" s="846"/>
      <c r="R2873" s="846"/>
      <c r="S2873" s="846"/>
      <c r="T2873" s="846"/>
    </row>
    <row r="2874" spans="2:20" ht="25.5" hidden="1">
      <c r="B2874" s="828" t="s">
        <v>6577</v>
      </c>
      <c r="C2874" s="828">
        <v>93653</v>
      </c>
      <c r="D2874" s="630" t="s">
        <v>5070</v>
      </c>
      <c r="E2874" s="630" t="s">
        <v>646</v>
      </c>
      <c r="F2874" s="829">
        <v>12.25</v>
      </c>
      <c r="G2874" s="830">
        <v>1.51</v>
      </c>
      <c r="H2874" s="831">
        <v>13.76</v>
      </c>
      <c r="I2874" s="846"/>
      <c r="J2874" s="846"/>
      <c r="K2874" s="846"/>
      <c r="L2874" s="846"/>
      <c r="M2874" s="846"/>
      <c r="N2874" s="846"/>
      <c r="O2874" s="846"/>
      <c r="P2874" s="846"/>
      <c r="Q2874" s="846"/>
      <c r="R2874" s="846"/>
      <c r="S2874" s="846"/>
      <c r="T2874" s="846"/>
    </row>
    <row r="2875" spans="2:20" ht="25.5" hidden="1">
      <c r="B2875" s="828" t="s">
        <v>6577</v>
      </c>
      <c r="C2875" s="828">
        <v>93654</v>
      </c>
      <c r="D2875" s="630" t="s">
        <v>5071</v>
      </c>
      <c r="E2875" s="630" t="s">
        <v>646</v>
      </c>
      <c r="F2875" s="829">
        <v>12.42</v>
      </c>
      <c r="G2875" s="830">
        <v>2.0499999999999998</v>
      </c>
      <c r="H2875" s="831">
        <v>14.47</v>
      </c>
      <c r="I2875" s="846"/>
      <c r="J2875" s="846"/>
      <c r="K2875" s="846"/>
      <c r="L2875" s="846"/>
      <c r="M2875" s="846"/>
      <c r="N2875" s="846"/>
      <c r="O2875" s="846"/>
      <c r="P2875" s="846"/>
      <c r="Q2875" s="846"/>
      <c r="R2875" s="846"/>
      <c r="S2875" s="846"/>
      <c r="T2875" s="846"/>
    </row>
    <row r="2876" spans="2:20" ht="25.5" hidden="1">
      <c r="B2876" s="828" t="s">
        <v>6577</v>
      </c>
      <c r="C2876" s="828">
        <v>93655</v>
      </c>
      <c r="D2876" s="630" t="s">
        <v>5072</v>
      </c>
      <c r="E2876" s="630" t="s">
        <v>646</v>
      </c>
      <c r="F2876" s="829">
        <v>12.92</v>
      </c>
      <c r="G2876" s="830">
        <v>2.87</v>
      </c>
      <c r="H2876" s="831">
        <v>15.79</v>
      </c>
      <c r="I2876" s="846"/>
      <c r="J2876" s="846"/>
      <c r="K2876" s="846"/>
      <c r="L2876" s="846"/>
      <c r="M2876" s="846"/>
      <c r="N2876" s="846"/>
      <c r="O2876" s="846"/>
      <c r="P2876" s="846"/>
      <c r="Q2876" s="846"/>
      <c r="R2876" s="846"/>
      <c r="S2876" s="846"/>
      <c r="T2876" s="846"/>
    </row>
    <row r="2877" spans="2:20" ht="25.5" hidden="1">
      <c r="B2877" s="828" t="s">
        <v>6577</v>
      </c>
      <c r="C2877" s="828">
        <v>93656</v>
      </c>
      <c r="D2877" s="630" t="s">
        <v>5073</v>
      </c>
      <c r="E2877" s="630" t="s">
        <v>646</v>
      </c>
      <c r="F2877" s="829">
        <v>12.92</v>
      </c>
      <c r="G2877" s="830">
        <v>2.87</v>
      </c>
      <c r="H2877" s="831">
        <v>15.79</v>
      </c>
      <c r="I2877" s="846"/>
      <c r="J2877" s="846"/>
      <c r="K2877" s="846"/>
      <c r="L2877" s="846"/>
      <c r="M2877" s="846"/>
      <c r="N2877" s="846"/>
      <c r="O2877" s="846"/>
      <c r="P2877" s="846"/>
      <c r="Q2877" s="846"/>
      <c r="R2877" s="846"/>
      <c r="S2877" s="846"/>
      <c r="T2877" s="846"/>
    </row>
    <row r="2878" spans="2:20" ht="25.5" hidden="1">
      <c r="B2878" s="828" t="s">
        <v>6577</v>
      </c>
      <c r="C2878" s="828">
        <v>93657</v>
      </c>
      <c r="D2878" s="630" t="s">
        <v>5074</v>
      </c>
      <c r="E2878" s="630" t="s">
        <v>646</v>
      </c>
      <c r="F2878" s="829">
        <v>13.45</v>
      </c>
      <c r="G2878" s="830">
        <v>3.96</v>
      </c>
      <c r="H2878" s="831">
        <v>17.41</v>
      </c>
      <c r="I2878" s="846"/>
      <c r="J2878" s="846"/>
      <c r="K2878" s="846"/>
      <c r="L2878" s="846"/>
      <c r="M2878" s="846"/>
      <c r="N2878" s="846"/>
      <c r="O2878" s="846"/>
      <c r="P2878" s="846"/>
      <c r="Q2878" s="846"/>
      <c r="R2878" s="846"/>
      <c r="S2878" s="846"/>
      <c r="T2878" s="846"/>
    </row>
    <row r="2879" spans="2:20" ht="25.5" hidden="1">
      <c r="B2879" s="828" t="s">
        <v>6577</v>
      </c>
      <c r="C2879" s="828">
        <v>93658</v>
      </c>
      <c r="D2879" s="630" t="s">
        <v>5075</v>
      </c>
      <c r="E2879" s="630" t="s">
        <v>646</v>
      </c>
      <c r="F2879" s="829">
        <v>19.41</v>
      </c>
      <c r="G2879" s="830">
        <v>5.88</v>
      </c>
      <c r="H2879" s="831">
        <v>25.29</v>
      </c>
      <c r="I2879" s="846"/>
      <c r="J2879" s="846"/>
      <c r="K2879" s="846"/>
      <c r="L2879" s="846"/>
      <c r="M2879" s="846"/>
      <c r="N2879" s="846"/>
      <c r="O2879" s="846"/>
      <c r="P2879" s="846"/>
      <c r="Q2879" s="846"/>
      <c r="R2879" s="846"/>
      <c r="S2879" s="846"/>
      <c r="T2879" s="846"/>
    </row>
    <row r="2880" spans="2:20" ht="25.5" hidden="1">
      <c r="B2880" s="828" t="s">
        <v>6577</v>
      </c>
      <c r="C2880" s="828">
        <v>93659</v>
      </c>
      <c r="D2880" s="630" t="s">
        <v>5076</v>
      </c>
      <c r="E2880" s="630" t="s">
        <v>646</v>
      </c>
      <c r="F2880" s="829">
        <v>20.41</v>
      </c>
      <c r="G2880" s="830">
        <v>8.2200000000000006</v>
      </c>
      <c r="H2880" s="831">
        <v>28.63</v>
      </c>
      <c r="I2880" s="846"/>
      <c r="J2880" s="846"/>
      <c r="K2880" s="846"/>
      <c r="L2880" s="846"/>
      <c r="M2880" s="846"/>
      <c r="N2880" s="846"/>
      <c r="O2880" s="846"/>
      <c r="P2880" s="846"/>
      <c r="Q2880" s="846"/>
      <c r="R2880" s="846"/>
      <c r="S2880" s="846"/>
      <c r="T2880" s="846"/>
    </row>
    <row r="2881" spans="2:20" ht="25.5" hidden="1">
      <c r="B2881" s="828" t="s">
        <v>6577</v>
      </c>
      <c r="C2881" s="828">
        <v>93660</v>
      </c>
      <c r="D2881" s="630" t="s">
        <v>5077</v>
      </c>
      <c r="E2881" s="630" t="s">
        <v>646</v>
      </c>
      <c r="F2881" s="829">
        <v>65.180000000000007</v>
      </c>
      <c r="G2881" s="830">
        <v>3.04</v>
      </c>
      <c r="H2881" s="831">
        <v>68.22</v>
      </c>
      <c r="I2881" s="846"/>
      <c r="J2881" s="846"/>
      <c r="K2881" s="846"/>
      <c r="L2881" s="846"/>
      <c r="M2881" s="846"/>
      <c r="N2881" s="846"/>
      <c r="O2881" s="846"/>
      <c r="P2881" s="846"/>
      <c r="Q2881" s="846"/>
      <c r="R2881" s="846"/>
      <c r="S2881" s="846"/>
      <c r="T2881" s="846"/>
    </row>
    <row r="2882" spans="2:20" ht="25.5" hidden="1">
      <c r="B2882" s="828" t="s">
        <v>6577</v>
      </c>
      <c r="C2882" s="828">
        <v>93661</v>
      </c>
      <c r="D2882" s="630" t="s">
        <v>5078</v>
      </c>
      <c r="E2882" s="630" t="s">
        <v>646</v>
      </c>
      <c r="F2882" s="829">
        <v>65.52</v>
      </c>
      <c r="G2882" s="830">
        <v>4.12</v>
      </c>
      <c r="H2882" s="831">
        <v>69.64</v>
      </c>
      <c r="I2882" s="846"/>
      <c r="J2882" s="846"/>
      <c r="K2882" s="846"/>
      <c r="L2882" s="846"/>
      <c r="M2882" s="846"/>
      <c r="N2882" s="846"/>
      <c r="O2882" s="846"/>
      <c r="P2882" s="846"/>
      <c r="Q2882" s="846"/>
      <c r="R2882" s="846"/>
      <c r="S2882" s="846"/>
      <c r="T2882" s="846"/>
    </row>
    <row r="2883" spans="2:20" ht="25.5" hidden="1">
      <c r="B2883" s="828" t="s">
        <v>6577</v>
      </c>
      <c r="C2883" s="828">
        <v>93662</v>
      </c>
      <c r="D2883" s="630" t="s">
        <v>5079</v>
      </c>
      <c r="E2883" s="630" t="s">
        <v>646</v>
      </c>
      <c r="F2883" s="829">
        <v>66.52</v>
      </c>
      <c r="G2883" s="830">
        <v>5.75</v>
      </c>
      <c r="H2883" s="831">
        <v>72.27</v>
      </c>
      <c r="I2883" s="846"/>
      <c r="J2883" s="846"/>
      <c r="K2883" s="846"/>
      <c r="L2883" s="846"/>
      <c r="M2883" s="846"/>
      <c r="N2883" s="846"/>
      <c r="O2883" s="846"/>
      <c r="P2883" s="846"/>
      <c r="Q2883" s="846"/>
      <c r="R2883" s="846"/>
      <c r="S2883" s="846"/>
      <c r="T2883" s="846"/>
    </row>
    <row r="2884" spans="2:20" ht="25.5" hidden="1">
      <c r="B2884" s="828" t="s">
        <v>6577</v>
      </c>
      <c r="C2884" s="828">
        <v>93663</v>
      </c>
      <c r="D2884" s="630" t="s">
        <v>5080</v>
      </c>
      <c r="E2884" s="630" t="s">
        <v>646</v>
      </c>
      <c r="F2884" s="829">
        <v>66.52</v>
      </c>
      <c r="G2884" s="830">
        <v>5.75</v>
      </c>
      <c r="H2884" s="831">
        <v>72.27</v>
      </c>
      <c r="I2884" s="846"/>
      <c r="J2884" s="846"/>
      <c r="K2884" s="846"/>
      <c r="L2884" s="846"/>
      <c r="M2884" s="846"/>
      <c r="N2884" s="846"/>
      <c r="O2884" s="846"/>
      <c r="P2884" s="846"/>
      <c r="Q2884" s="846"/>
      <c r="R2884" s="846"/>
      <c r="S2884" s="846"/>
      <c r="T2884" s="846"/>
    </row>
    <row r="2885" spans="2:20" ht="25.5" hidden="1">
      <c r="B2885" s="828" t="s">
        <v>6577</v>
      </c>
      <c r="C2885" s="828">
        <v>93664</v>
      </c>
      <c r="D2885" s="630" t="s">
        <v>5081</v>
      </c>
      <c r="E2885" s="630" t="s">
        <v>646</v>
      </c>
      <c r="F2885" s="829">
        <v>67.599999999999994</v>
      </c>
      <c r="G2885" s="830">
        <v>7.92</v>
      </c>
      <c r="H2885" s="831">
        <v>75.52</v>
      </c>
      <c r="I2885" s="846"/>
      <c r="J2885" s="846"/>
      <c r="K2885" s="846"/>
      <c r="L2885" s="846"/>
      <c r="M2885" s="846"/>
      <c r="N2885" s="846"/>
      <c r="O2885" s="846"/>
      <c r="P2885" s="846"/>
      <c r="Q2885" s="846"/>
      <c r="R2885" s="846"/>
      <c r="S2885" s="846"/>
      <c r="T2885" s="846"/>
    </row>
    <row r="2886" spans="2:20" ht="25.5" hidden="1">
      <c r="B2886" s="828" t="s">
        <v>6577</v>
      </c>
      <c r="C2886" s="828">
        <v>93665</v>
      </c>
      <c r="D2886" s="630" t="s">
        <v>5082</v>
      </c>
      <c r="E2886" s="630" t="s">
        <v>646</v>
      </c>
      <c r="F2886" s="829">
        <v>68.040000000000006</v>
      </c>
      <c r="G2886" s="830">
        <v>11.76</v>
      </c>
      <c r="H2886" s="831">
        <v>79.8</v>
      </c>
      <c r="I2886" s="846"/>
      <c r="J2886" s="846"/>
      <c r="K2886" s="846"/>
      <c r="L2886" s="846"/>
      <c r="M2886" s="846"/>
      <c r="N2886" s="846"/>
      <c r="O2886" s="846"/>
      <c r="P2886" s="846"/>
      <c r="Q2886" s="846"/>
      <c r="R2886" s="846"/>
      <c r="S2886" s="846"/>
      <c r="T2886" s="846"/>
    </row>
    <row r="2887" spans="2:20" ht="25.5" hidden="1">
      <c r="B2887" s="828" t="s">
        <v>6577</v>
      </c>
      <c r="C2887" s="828">
        <v>93666</v>
      </c>
      <c r="D2887" s="630" t="s">
        <v>5083</v>
      </c>
      <c r="E2887" s="630" t="s">
        <v>646</v>
      </c>
      <c r="F2887" s="829">
        <v>70.02</v>
      </c>
      <c r="G2887" s="830">
        <v>16.46</v>
      </c>
      <c r="H2887" s="831">
        <v>86.48</v>
      </c>
      <c r="I2887" s="846"/>
      <c r="J2887" s="846"/>
      <c r="K2887" s="846"/>
      <c r="L2887" s="846"/>
      <c r="M2887" s="846"/>
      <c r="N2887" s="846"/>
      <c r="O2887" s="846"/>
      <c r="P2887" s="846"/>
      <c r="Q2887" s="846"/>
      <c r="R2887" s="846"/>
      <c r="S2887" s="846"/>
      <c r="T2887" s="846"/>
    </row>
    <row r="2888" spans="2:20" ht="25.5" hidden="1">
      <c r="B2888" s="828" t="s">
        <v>6577</v>
      </c>
      <c r="C2888" s="828">
        <v>93667</v>
      </c>
      <c r="D2888" s="630" t="s">
        <v>5084</v>
      </c>
      <c r="E2888" s="630" t="s">
        <v>646</v>
      </c>
      <c r="F2888" s="829">
        <v>80.59</v>
      </c>
      <c r="G2888" s="830">
        <v>4.57</v>
      </c>
      <c r="H2888" s="831">
        <v>85.16</v>
      </c>
      <c r="I2888" s="846"/>
      <c r="J2888" s="846"/>
      <c r="K2888" s="846"/>
      <c r="L2888" s="846"/>
      <c r="M2888" s="846"/>
      <c r="N2888" s="846"/>
      <c r="O2888" s="846"/>
      <c r="P2888" s="846"/>
      <c r="Q2888" s="846"/>
      <c r="R2888" s="846"/>
      <c r="S2888" s="846"/>
      <c r="T2888" s="846"/>
    </row>
    <row r="2889" spans="2:20" ht="25.5" hidden="1">
      <c r="B2889" s="828" t="s">
        <v>6577</v>
      </c>
      <c r="C2889" s="828">
        <v>93668</v>
      </c>
      <c r="D2889" s="630" t="s">
        <v>5085</v>
      </c>
      <c r="E2889" s="630" t="s">
        <v>646</v>
      </c>
      <c r="F2889" s="829">
        <v>81.09</v>
      </c>
      <c r="G2889" s="830">
        <v>6.19</v>
      </c>
      <c r="H2889" s="831">
        <v>87.28</v>
      </c>
      <c r="I2889" s="846"/>
      <c r="J2889" s="846"/>
      <c r="K2889" s="846"/>
      <c r="L2889" s="846"/>
      <c r="M2889" s="846"/>
      <c r="N2889" s="846"/>
      <c r="O2889" s="846"/>
      <c r="P2889" s="846"/>
      <c r="Q2889" s="846"/>
      <c r="R2889" s="846"/>
      <c r="S2889" s="846"/>
      <c r="T2889" s="846"/>
    </row>
    <row r="2890" spans="2:20" ht="25.5" hidden="1">
      <c r="B2890" s="828" t="s">
        <v>6577</v>
      </c>
      <c r="C2890" s="828">
        <v>93669</v>
      </c>
      <c r="D2890" s="630" t="s">
        <v>5086</v>
      </c>
      <c r="E2890" s="630" t="s">
        <v>646</v>
      </c>
      <c r="F2890" s="829">
        <v>82.61</v>
      </c>
      <c r="G2890" s="830">
        <v>8.6300000000000008</v>
      </c>
      <c r="H2890" s="831">
        <v>91.24</v>
      </c>
      <c r="I2890" s="846"/>
      <c r="J2890" s="846"/>
      <c r="K2890" s="846"/>
      <c r="L2890" s="846"/>
      <c r="M2890" s="846"/>
      <c r="N2890" s="846"/>
      <c r="O2890" s="846"/>
      <c r="P2890" s="846"/>
      <c r="Q2890" s="846"/>
      <c r="R2890" s="846"/>
      <c r="S2890" s="846"/>
      <c r="T2890" s="846"/>
    </row>
    <row r="2891" spans="2:20" ht="25.5" hidden="1">
      <c r="B2891" s="828" t="s">
        <v>6577</v>
      </c>
      <c r="C2891" s="828">
        <v>93670</v>
      </c>
      <c r="D2891" s="630" t="s">
        <v>5087</v>
      </c>
      <c r="E2891" s="630" t="s">
        <v>646</v>
      </c>
      <c r="F2891" s="829">
        <v>82.61</v>
      </c>
      <c r="G2891" s="830">
        <v>8.6300000000000008</v>
      </c>
      <c r="H2891" s="831">
        <v>91.24</v>
      </c>
      <c r="I2891" s="846"/>
      <c r="J2891" s="846"/>
      <c r="K2891" s="846"/>
      <c r="L2891" s="846"/>
      <c r="M2891" s="846"/>
      <c r="N2891" s="846"/>
      <c r="O2891" s="846"/>
      <c r="P2891" s="846"/>
      <c r="Q2891" s="846"/>
      <c r="R2891" s="846"/>
      <c r="S2891" s="846"/>
      <c r="T2891" s="846"/>
    </row>
    <row r="2892" spans="2:20" ht="25.5" hidden="1">
      <c r="B2892" s="828" t="s">
        <v>6577</v>
      </c>
      <c r="C2892" s="828">
        <v>93671</v>
      </c>
      <c r="D2892" s="630" t="s">
        <v>5088</v>
      </c>
      <c r="E2892" s="630" t="s">
        <v>646</v>
      </c>
      <c r="F2892" s="829">
        <v>84.23</v>
      </c>
      <c r="G2892" s="830">
        <v>11.88</v>
      </c>
      <c r="H2892" s="831">
        <v>96.11</v>
      </c>
      <c r="I2892" s="846"/>
      <c r="J2892" s="846"/>
      <c r="K2892" s="846"/>
      <c r="L2892" s="846"/>
      <c r="M2892" s="846"/>
      <c r="N2892" s="846"/>
      <c r="O2892" s="846"/>
      <c r="P2892" s="846"/>
      <c r="Q2892" s="846"/>
      <c r="R2892" s="846"/>
      <c r="S2892" s="846"/>
      <c r="T2892" s="846"/>
    </row>
    <row r="2893" spans="2:20" ht="25.5" hidden="1">
      <c r="B2893" s="828" t="s">
        <v>6577</v>
      </c>
      <c r="C2893" s="828">
        <v>93672</v>
      </c>
      <c r="D2893" s="630" t="s">
        <v>5089</v>
      </c>
      <c r="E2893" s="630" t="s">
        <v>646</v>
      </c>
      <c r="F2893" s="829">
        <v>86.3</v>
      </c>
      <c r="G2893" s="830">
        <v>17.66</v>
      </c>
      <c r="H2893" s="831">
        <v>103.96</v>
      </c>
      <c r="I2893" s="846"/>
      <c r="J2893" s="846"/>
      <c r="K2893" s="846"/>
      <c r="L2893" s="846"/>
      <c r="M2893" s="846"/>
      <c r="N2893" s="846"/>
      <c r="O2893" s="846"/>
      <c r="P2893" s="846"/>
      <c r="Q2893" s="846"/>
      <c r="R2893" s="846"/>
      <c r="S2893" s="846"/>
      <c r="T2893" s="846"/>
    </row>
    <row r="2894" spans="2:20" ht="25.5" hidden="1">
      <c r="B2894" s="828" t="s">
        <v>6577</v>
      </c>
      <c r="C2894" s="828">
        <v>93673</v>
      </c>
      <c r="D2894" s="630" t="s">
        <v>5090</v>
      </c>
      <c r="E2894" s="630" t="s">
        <v>646</v>
      </c>
      <c r="F2894" s="829">
        <v>89.28</v>
      </c>
      <c r="G2894" s="830">
        <v>24.71</v>
      </c>
      <c r="H2894" s="831">
        <v>113.99</v>
      </c>
      <c r="I2894" s="846"/>
      <c r="J2894" s="846"/>
      <c r="K2894" s="846"/>
      <c r="L2894" s="846"/>
      <c r="M2894" s="846"/>
      <c r="N2894" s="846"/>
      <c r="O2894" s="846"/>
      <c r="P2894" s="846"/>
      <c r="Q2894" s="846"/>
      <c r="R2894" s="846"/>
      <c r="S2894" s="846"/>
      <c r="T2894" s="846"/>
    </row>
    <row r="2895" spans="2:20" ht="25.5" hidden="1">
      <c r="B2895" s="828" t="s">
        <v>6577</v>
      </c>
      <c r="C2895" s="828">
        <v>97359</v>
      </c>
      <c r="D2895" s="630" t="s">
        <v>5094</v>
      </c>
      <c r="E2895" s="630" t="s">
        <v>646</v>
      </c>
      <c r="F2895" s="829">
        <v>3958.74</v>
      </c>
      <c r="G2895" s="830">
        <v>159.31</v>
      </c>
      <c r="H2895" s="831">
        <v>4118.05</v>
      </c>
      <c r="I2895" s="846"/>
      <c r="J2895" s="846"/>
      <c r="K2895" s="846"/>
      <c r="L2895" s="846"/>
      <c r="M2895" s="846"/>
      <c r="N2895" s="846"/>
      <c r="O2895" s="846"/>
      <c r="P2895" s="846"/>
      <c r="Q2895" s="846"/>
      <c r="R2895" s="846"/>
      <c r="S2895" s="846"/>
      <c r="T2895" s="846"/>
    </row>
    <row r="2896" spans="2:20" ht="25.5" hidden="1">
      <c r="B2896" s="828" t="s">
        <v>6577</v>
      </c>
      <c r="C2896" s="828">
        <v>97360</v>
      </c>
      <c r="D2896" s="630" t="s">
        <v>5095</v>
      </c>
      <c r="E2896" s="630" t="s">
        <v>646</v>
      </c>
      <c r="F2896" s="829">
        <v>7697.59</v>
      </c>
      <c r="G2896" s="830">
        <v>238.98</v>
      </c>
      <c r="H2896" s="831">
        <v>7936.57</v>
      </c>
      <c r="I2896" s="846"/>
      <c r="J2896" s="846"/>
      <c r="K2896" s="846"/>
      <c r="L2896" s="846"/>
      <c r="M2896" s="846"/>
      <c r="N2896" s="846"/>
      <c r="O2896" s="846"/>
      <c r="P2896" s="846"/>
      <c r="Q2896" s="846"/>
      <c r="R2896" s="846"/>
      <c r="S2896" s="846"/>
      <c r="T2896" s="846"/>
    </row>
    <row r="2897" spans="2:20" ht="25.5" hidden="1">
      <c r="B2897" s="828" t="s">
        <v>6577</v>
      </c>
      <c r="C2897" s="828">
        <v>97361</v>
      </c>
      <c r="D2897" s="630" t="s">
        <v>5096</v>
      </c>
      <c r="E2897" s="630" t="s">
        <v>646</v>
      </c>
      <c r="F2897" s="829">
        <v>10263.459999999999</v>
      </c>
      <c r="G2897" s="830">
        <v>318.64999999999998</v>
      </c>
      <c r="H2897" s="831">
        <v>10582.11</v>
      </c>
      <c r="I2897" s="846"/>
      <c r="J2897" s="846"/>
      <c r="K2897" s="846"/>
      <c r="L2897" s="846"/>
      <c r="M2897" s="846"/>
      <c r="N2897" s="846"/>
      <c r="O2897" s="846"/>
      <c r="P2897" s="846"/>
      <c r="Q2897" s="846"/>
      <c r="R2897" s="846"/>
      <c r="S2897" s="846"/>
      <c r="T2897" s="846"/>
    </row>
    <row r="2898" spans="2:20" ht="25.5" hidden="1">
      <c r="B2898" s="828" t="s">
        <v>6577</v>
      </c>
      <c r="C2898" s="828">
        <v>97362</v>
      </c>
      <c r="D2898" s="630" t="s">
        <v>5097</v>
      </c>
      <c r="E2898" s="630" t="s">
        <v>646</v>
      </c>
      <c r="F2898" s="829">
        <v>2268.35</v>
      </c>
      <c r="G2898" s="830">
        <v>36.92</v>
      </c>
      <c r="H2898" s="831">
        <v>2305.27</v>
      </c>
      <c r="I2898" s="846"/>
      <c r="J2898" s="846"/>
      <c r="K2898" s="846"/>
      <c r="L2898" s="846"/>
      <c r="M2898" s="846"/>
      <c r="N2898" s="846"/>
      <c r="O2898" s="846"/>
      <c r="P2898" s="846"/>
      <c r="Q2898" s="846"/>
      <c r="R2898" s="846"/>
      <c r="S2898" s="846"/>
      <c r="T2898" s="846"/>
    </row>
    <row r="2899" spans="2:20" ht="38.25" hidden="1">
      <c r="B2899" s="828" t="s">
        <v>6577</v>
      </c>
      <c r="C2899" s="828">
        <v>101875</v>
      </c>
      <c r="D2899" s="630" t="s">
        <v>5202</v>
      </c>
      <c r="E2899" s="630" t="s">
        <v>646</v>
      </c>
      <c r="F2899" s="829">
        <v>468.63</v>
      </c>
      <c r="G2899" s="830">
        <v>23.17</v>
      </c>
      <c r="H2899" s="831">
        <v>491.8</v>
      </c>
      <c r="I2899" s="846"/>
      <c r="J2899" s="846"/>
      <c r="K2899" s="846"/>
      <c r="L2899" s="846"/>
      <c r="M2899" s="846"/>
      <c r="N2899" s="846"/>
      <c r="O2899" s="846"/>
      <c r="P2899" s="846"/>
      <c r="Q2899" s="846"/>
      <c r="R2899" s="846"/>
      <c r="S2899" s="846"/>
      <c r="T2899" s="846"/>
    </row>
    <row r="2900" spans="2:20" ht="38.25" hidden="1">
      <c r="B2900" s="828" t="s">
        <v>6577</v>
      </c>
      <c r="C2900" s="828">
        <v>101876</v>
      </c>
      <c r="D2900" s="630" t="s">
        <v>5203</v>
      </c>
      <c r="E2900" s="630" t="s">
        <v>646</v>
      </c>
      <c r="F2900" s="829">
        <v>76.92</v>
      </c>
      <c r="G2900" s="830">
        <v>15.03</v>
      </c>
      <c r="H2900" s="831">
        <v>91.95</v>
      </c>
      <c r="I2900" s="846"/>
      <c r="J2900" s="846"/>
      <c r="K2900" s="846"/>
      <c r="L2900" s="846"/>
      <c r="M2900" s="846"/>
      <c r="N2900" s="846"/>
      <c r="O2900" s="846"/>
      <c r="P2900" s="846"/>
      <c r="Q2900" s="846"/>
      <c r="R2900" s="846"/>
      <c r="S2900" s="846"/>
      <c r="T2900" s="846"/>
    </row>
    <row r="2901" spans="2:20" ht="38.25" hidden="1">
      <c r="B2901" s="828" t="s">
        <v>6577</v>
      </c>
      <c r="C2901" s="828">
        <v>101877</v>
      </c>
      <c r="D2901" s="630" t="s">
        <v>5204</v>
      </c>
      <c r="E2901" s="630" t="s">
        <v>646</v>
      </c>
      <c r="F2901" s="829">
        <v>50.08</v>
      </c>
      <c r="G2901" s="830">
        <v>13.33</v>
      </c>
      <c r="H2901" s="831">
        <v>63.41</v>
      </c>
      <c r="I2901" s="846"/>
      <c r="J2901" s="846"/>
      <c r="K2901" s="846"/>
      <c r="L2901" s="846"/>
      <c r="M2901" s="846"/>
      <c r="N2901" s="846"/>
      <c r="O2901" s="846"/>
      <c r="P2901" s="846"/>
      <c r="Q2901" s="846"/>
      <c r="R2901" s="846"/>
      <c r="S2901" s="846"/>
      <c r="T2901" s="846"/>
    </row>
    <row r="2902" spans="2:20" ht="38.25" hidden="1">
      <c r="B2902" s="828" t="s">
        <v>6577</v>
      </c>
      <c r="C2902" s="828">
        <v>101878</v>
      </c>
      <c r="D2902" s="630" t="s">
        <v>5205</v>
      </c>
      <c r="E2902" s="630" t="s">
        <v>646</v>
      </c>
      <c r="F2902" s="829">
        <v>613.41</v>
      </c>
      <c r="G2902" s="830">
        <v>66.28</v>
      </c>
      <c r="H2902" s="831">
        <v>679.69</v>
      </c>
      <c r="I2902" s="846"/>
      <c r="J2902" s="846"/>
      <c r="K2902" s="846"/>
      <c r="L2902" s="846"/>
      <c r="M2902" s="846"/>
      <c r="N2902" s="846"/>
      <c r="O2902" s="846"/>
      <c r="P2902" s="846"/>
      <c r="Q2902" s="846"/>
      <c r="R2902" s="846"/>
      <c r="S2902" s="846"/>
      <c r="T2902" s="846"/>
    </row>
    <row r="2903" spans="2:20" ht="38.25" hidden="1">
      <c r="B2903" s="828" t="s">
        <v>6577</v>
      </c>
      <c r="C2903" s="828">
        <v>101879</v>
      </c>
      <c r="D2903" s="630" t="s">
        <v>5206</v>
      </c>
      <c r="E2903" s="630" t="s">
        <v>646</v>
      </c>
      <c r="F2903" s="829">
        <v>686.64</v>
      </c>
      <c r="G2903" s="830">
        <v>26.02</v>
      </c>
      <c r="H2903" s="831">
        <v>712.66</v>
      </c>
      <c r="I2903" s="846"/>
      <c r="J2903" s="846"/>
      <c r="K2903" s="846"/>
      <c r="L2903" s="846"/>
      <c r="M2903" s="846"/>
      <c r="N2903" s="846"/>
      <c r="O2903" s="846"/>
      <c r="P2903" s="846"/>
      <c r="Q2903" s="846"/>
      <c r="R2903" s="846"/>
      <c r="S2903" s="846"/>
      <c r="T2903" s="846"/>
    </row>
    <row r="2904" spans="2:20" ht="38.25" hidden="1">
      <c r="B2904" s="828" t="s">
        <v>6577</v>
      </c>
      <c r="C2904" s="828">
        <v>101880</v>
      </c>
      <c r="D2904" s="630" t="s">
        <v>5207</v>
      </c>
      <c r="E2904" s="630" t="s">
        <v>646</v>
      </c>
      <c r="F2904" s="829">
        <v>788.84</v>
      </c>
      <c r="G2904" s="830">
        <v>31.26</v>
      </c>
      <c r="H2904" s="831">
        <v>820.1</v>
      </c>
      <c r="I2904" s="846"/>
      <c r="J2904" s="846"/>
      <c r="K2904" s="846"/>
      <c r="L2904" s="846"/>
      <c r="M2904" s="846"/>
      <c r="N2904" s="846"/>
      <c r="O2904" s="846"/>
      <c r="P2904" s="846"/>
      <c r="Q2904" s="846"/>
      <c r="R2904" s="846"/>
      <c r="S2904" s="846"/>
      <c r="T2904" s="846"/>
    </row>
    <row r="2905" spans="2:20" ht="38.25" hidden="1">
      <c r="B2905" s="828" t="s">
        <v>6577</v>
      </c>
      <c r="C2905" s="828">
        <v>101881</v>
      </c>
      <c r="D2905" s="630" t="s">
        <v>5208</v>
      </c>
      <c r="E2905" s="630" t="s">
        <v>646</v>
      </c>
      <c r="F2905" s="829">
        <v>1149.72</v>
      </c>
      <c r="G2905" s="830">
        <v>31.41</v>
      </c>
      <c r="H2905" s="831">
        <v>1181.1300000000001</v>
      </c>
      <c r="I2905" s="846"/>
      <c r="J2905" s="846"/>
      <c r="K2905" s="846"/>
      <c r="L2905" s="846"/>
      <c r="M2905" s="846"/>
      <c r="N2905" s="846"/>
      <c r="O2905" s="846"/>
      <c r="P2905" s="846"/>
      <c r="Q2905" s="846"/>
      <c r="R2905" s="846"/>
      <c r="S2905" s="846"/>
      <c r="T2905" s="846"/>
    </row>
    <row r="2906" spans="2:20" ht="38.25" hidden="1">
      <c r="B2906" s="828" t="s">
        <v>6577</v>
      </c>
      <c r="C2906" s="828">
        <v>101882</v>
      </c>
      <c r="D2906" s="630" t="s">
        <v>5209</v>
      </c>
      <c r="E2906" s="630" t="s">
        <v>646</v>
      </c>
      <c r="F2906" s="829">
        <v>1647.26</v>
      </c>
      <c r="G2906" s="830">
        <v>31.32</v>
      </c>
      <c r="H2906" s="831">
        <v>1678.58</v>
      </c>
      <c r="I2906" s="846"/>
      <c r="J2906" s="846"/>
      <c r="K2906" s="846"/>
      <c r="L2906" s="846"/>
      <c r="M2906" s="846"/>
      <c r="N2906" s="846"/>
      <c r="O2906" s="846"/>
      <c r="P2906" s="846"/>
      <c r="Q2906" s="846"/>
      <c r="R2906" s="846"/>
      <c r="S2906" s="846"/>
      <c r="T2906" s="846"/>
    </row>
    <row r="2907" spans="2:20" ht="38.25" hidden="1">
      <c r="B2907" s="828" t="s">
        <v>6577</v>
      </c>
      <c r="C2907" s="828">
        <v>101883</v>
      </c>
      <c r="D2907" s="630" t="s">
        <v>5210</v>
      </c>
      <c r="E2907" s="630" t="s">
        <v>646</v>
      </c>
      <c r="F2907" s="829">
        <v>653.58000000000004</v>
      </c>
      <c r="G2907" s="830">
        <v>25.79</v>
      </c>
      <c r="H2907" s="831">
        <v>679.37</v>
      </c>
      <c r="I2907" s="846"/>
      <c r="J2907" s="846"/>
      <c r="K2907" s="846"/>
      <c r="L2907" s="846"/>
      <c r="M2907" s="846"/>
      <c r="N2907" s="846"/>
      <c r="O2907" s="846"/>
      <c r="P2907" s="846"/>
      <c r="Q2907" s="846"/>
      <c r="R2907" s="846"/>
      <c r="S2907" s="846"/>
      <c r="T2907" s="846"/>
    </row>
    <row r="2908" spans="2:20" ht="25.5" hidden="1">
      <c r="B2908" s="828" t="s">
        <v>6577</v>
      </c>
      <c r="C2908" s="828">
        <v>101890</v>
      </c>
      <c r="D2908" s="630" t="s">
        <v>5217</v>
      </c>
      <c r="E2908" s="630" t="s">
        <v>646</v>
      </c>
      <c r="F2908" s="829">
        <v>16.149999999999999</v>
      </c>
      <c r="G2908" s="830">
        <v>2.86</v>
      </c>
      <c r="H2908" s="831">
        <v>19.010000000000002</v>
      </c>
      <c r="I2908" s="846"/>
      <c r="J2908" s="846"/>
      <c r="K2908" s="846"/>
      <c r="L2908" s="846"/>
      <c r="M2908" s="846"/>
      <c r="N2908" s="846"/>
      <c r="O2908" s="846"/>
      <c r="P2908" s="846"/>
      <c r="Q2908" s="846"/>
      <c r="R2908" s="846"/>
      <c r="S2908" s="846"/>
      <c r="T2908" s="846"/>
    </row>
    <row r="2909" spans="2:20" ht="25.5" hidden="1">
      <c r="B2909" s="828" t="s">
        <v>6577</v>
      </c>
      <c r="C2909" s="828">
        <v>101891</v>
      </c>
      <c r="D2909" s="630" t="s">
        <v>5218</v>
      </c>
      <c r="E2909" s="630" t="s">
        <v>646</v>
      </c>
      <c r="F2909" s="829">
        <v>26.95</v>
      </c>
      <c r="G2909" s="830">
        <v>5.87</v>
      </c>
      <c r="H2909" s="831">
        <v>32.82</v>
      </c>
      <c r="I2909" s="846"/>
      <c r="J2909" s="846"/>
      <c r="K2909" s="846"/>
      <c r="L2909" s="846"/>
      <c r="M2909" s="846"/>
      <c r="N2909" s="846"/>
      <c r="O2909" s="846"/>
      <c r="P2909" s="846"/>
      <c r="Q2909" s="846"/>
      <c r="R2909" s="846"/>
      <c r="S2909" s="846"/>
      <c r="T2909" s="846"/>
    </row>
    <row r="2910" spans="2:20" ht="25.5" hidden="1">
      <c r="B2910" s="828" t="s">
        <v>6577</v>
      </c>
      <c r="C2910" s="828">
        <v>101892</v>
      </c>
      <c r="D2910" s="630" t="s">
        <v>5219</v>
      </c>
      <c r="E2910" s="630" t="s">
        <v>646</v>
      </c>
      <c r="F2910" s="829">
        <v>80.02</v>
      </c>
      <c r="G2910" s="830">
        <v>5.75</v>
      </c>
      <c r="H2910" s="831">
        <v>85.77</v>
      </c>
      <c r="I2910" s="846"/>
      <c r="J2910" s="846"/>
      <c r="K2910" s="846"/>
      <c r="L2910" s="846"/>
      <c r="M2910" s="846"/>
      <c r="N2910" s="846"/>
      <c r="O2910" s="846"/>
      <c r="P2910" s="846"/>
      <c r="Q2910" s="846"/>
      <c r="R2910" s="846"/>
      <c r="S2910" s="846"/>
      <c r="T2910" s="846"/>
    </row>
    <row r="2911" spans="2:20" ht="25.5" hidden="1">
      <c r="B2911" s="828" t="s">
        <v>6577</v>
      </c>
      <c r="C2911" s="828">
        <v>101893</v>
      </c>
      <c r="D2911" s="630" t="s">
        <v>5220</v>
      </c>
      <c r="E2911" s="630" t="s">
        <v>646</v>
      </c>
      <c r="F2911" s="829">
        <v>100.83</v>
      </c>
      <c r="G2911" s="830">
        <v>8.6300000000000008</v>
      </c>
      <c r="H2911" s="831">
        <v>109.46</v>
      </c>
      <c r="I2911" s="846"/>
      <c r="J2911" s="846"/>
      <c r="K2911" s="846"/>
      <c r="L2911" s="846"/>
      <c r="M2911" s="846"/>
      <c r="N2911" s="846"/>
      <c r="O2911" s="846"/>
      <c r="P2911" s="846"/>
      <c r="Q2911" s="846"/>
      <c r="R2911" s="846"/>
      <c r="S2911" s="846"/>
      <c r="T2911" s="846"/>
    </row>
    <row r="2912" spans="2:20" ht="25.5" hidden="1">
      <c r="B2912" s="828" t="s">
        <v>6577</v>
      </c>
      <c r="C2912" s="828">
        <v>101894</v>
      </c>
      <c r="D2912" s="630" t="s">
        <v>5221</v>
      </c>
      <c r="E2912" s="630" t="s">
        <v>646</v>
      </c>
      <c r="F2912" s="829">
        <v>151.13</v>
      </c>
      <c r="G2912" s="830">
        <v>34.08</v>
      </c>
      <c r="H2912" s="831">
        <v>185.21</v>
      </c>
      <c r="I2912" s="846"/>
      <c r="J2912" s="846"/>
      <c r="K2912" s="846"/>
      <c r="L2912" s="846"/>
      <c r="M2912" s="846"/>
      <c r="N2912" s="846"/>
      <c r="O2912" s="846"/>
      <c r="P2912" s="846"/>
      <c r="Q2912" s="846"/>
      <c r="R2912" s="846"/>
      <c r="S2912" s="846"/>
      <c r="T2912" s="846"/>
    </row>
    <row r="2913" spans="2:20" ht="25.5" hidden="1">
      <c r="B2913" s="828" t="s">
        <v>6577</v>
      </c>
      <c r="C2913" s="828">
        <v>101895</v>
      </c>
      <c r="D2913" s="630" t="s">
        <v>5222</v>
      </c>
      <c r="E2913" s="630" t="s">
        <v>646</v>
      </c>
      <c r="F2913" s="829">
        <v>449.28</v>
      </c>
      <c r="G2913" s="830">
        <v>57.58</v>
      </c>
      <c r="H2913" s="831">
        <v>506.86</v>
      </c>
      <c r="I2913" s="846"/>
      <c r="J2913" s="846"/>
      <c r="K2913" s="846"/>
      <c r="L2913" s="846"/>
      <c r="M2913" s="846"/>
      <c r="N2913" s="846"/>
      <c r="O2913" s="846"/>
      <c r="P2913" s="846"/>
      <c r="Q2913" s="846"/>
      <c r="R2913" s="846"/>
      <c r="S2913" s="846"/>
      <c r="T2913" s="846"/>
    </row>
    <row r="2914" spans="2:20" ht="25.5" hidden="1">
      <c r="B2914" s="833" t="s">
        <v>6577</v>
      </c>
      <c r="C2914" s="828">
        <v>101896</v>
      </c>
      <c r="D2914" s="630" t="s">
        <v>5223</v>
      </c>
      <c r="E2914" s="630" t="s">
        <v>646</v>
      </c>
      <c r="F2914" s="829">
        <v>704.07</v>
      </c>
      <c r="G2914" s="830">
        <v>57.58</v>
      </c>
      <c r="H2914" s="831">
        <v>761.65</v>
      </c>
      <c r="I2914" s="846"/>
      <c r="J2914" s="846"/>
      <c r="K2914" s="846"/>
      <c r="L2914" s="846"/>
      <c r="M2914" s="846"/>
      <c r="N2914" s="846"/>
      <c r="O2914" s="846"/>
      <c r="P2914" s="846"/>
      <c r="Q2914" s="846"/>
      <c r="R2914" s="846"/>
      <c r="S2914" s="846"/>
      <c r="T2914" s="846"/>
    </row>
    <row r="2915" spans="2:20" ht="25.5" hidden="1">
      <c r="B2915" s="828" t="s">
        <v>6577</v>
      </c>
      <c r="C2915" s="828">
        <v>101897</v>
      </c>
      <c r="D2915" s="630" t="s">
        <v>5224</v>
      </c>
      <c r="E2915" s="630" t="s">
        <v>646</v>
      </c>
      <c r="F2915" s="829">
        <v>1161.4100000000001</v>
      </c>
      <c r="G2915" s="830">
        <v>57.58</v>
      </c>
      <c r="H2915" s="831">
        <v>1218.99</v>
      </c>
      <c r="I2915" s="846"/>
      <c r="J2915" s="846"/>
      <c r="K2915" s="846"/>
      <c r="L2915" s="846"/>
      <c r="M2915" s="846"/>
      <c r="N2915" s="846"/>
      <c r="O2915" s="846"/>
      <c r="P2915" s="846"/>
      <c r="Q2915" s="846"/>
      <c r="R2915" s="846"/>
      <c r="S2915" s="846"/>
      <c r="T2915" s="846"/>
    </row>
    <row r="2916" spans="2:20" ht="25.5" hidden="1">
      <c r="B2916" s="828" t="s">
        <v>6577</v>
      </c>
      <c r="C2916" s="828">
        <v>101898</v>
      </c>
      <c r="D2916" s="630" t="s">
        <v>5225</v>
      </c>
      <c r="E2916" s="630" t="s">
        <v>646</v>
      </c>
      <c r="F2916" s="829">
        <v>1577.45</v>
      </c>
      <c r="G2916" s="830">
        <v>57.58</v>
      </c>
      <c r="H2916" s="831">
        <v>1635.03</v>
      </c>
      <c r="I2916" s="846"/>
      <c r="J2916" s="846"/>
      <c r="K2916" s="846"/>
      <c r="L2916" s="846"/>
      <c r="M2916" s="846"/>
      <c r="N2916" s="846"/>
      <c r="O2916" s="846"/>
      <c r="P2916" s="846"/>
      <c r="Q2916" s="846"/>
      <c r="R2916" s="846"/>
      <c r="S2916" s="846"/>
      <c r="T2916" s="846"/>
    </row>
    <row r="2917" spans="2:20" ht="25.5" hidden="1">
      <c r="B2917" s="828" t="s">
        <v>6577</v>
      </c>
      <c r="C2917" s="828">
        <v>101899</v>
      </c>
      <c r="D2917" s="630" t="s">
        <v>5226</v>
      </c>
      <c r="E2917" s="630" t="s">
        <v>646</v>
      </c>
      <c r="F2917" s="829">
        <v>2567.06</v>
      </c>
      <c r="G2917" s="830">
        <v>57.58</v>
      </c>
      <c r="H2917" s="831">
        <v>2624.64</v>
      </c>
      <c r="I2917" s="846"/>
      <c r="J2917" s="846"/>
      <c r="K2917" s="846"/>
      <c r="L2917" s="846"/>
      <c r="M2917" s="846"/>
      <c r="N2917" s="846"/>
      <c r="O2917" s="846"/>
      <c r="P2917" s="846"/>
      <c r="Q2917" s="846"/>
      <c r="R2917" s="846"/>
      <c r="S2917" s="846"/>
      <c r="T2917" s="846"/>
    </row>
    <row r="2918" spans="2:20" ht="25.5" hidden="1">
      <c r="B2918" s="828" t="s">
        <v>6577</v>
      </c>
      <c r="C2918" s="828">
        <v>101900</v>
      </c>
      <c r="D2918" s="630" t="s">
        <v>5227</v>
      </c>
      <c r="E2918" s="630" t="s">
        <v>646</v>
      </c>
      <c r="F2918" s="829">
        <v>5433.39</v>
      </c>
      <c r="G2918" s="830">
        <v>57.58</v>
      </c>
      <c r="H2918" s="831">
        <v>5490.97</v>
      </c>
      <c r="I2918" s="846"/>
      <c r="J2918" s="846"/>
      <c r="K2918" s="846"/>
      <c r="L2918" s="846"/>
      <c r="M2918" s="846"/>
      <c r="N2918" s="846"/>
      <c r="O2918" s="846"/>
      <c r="P2918" s="846"/>
      <c r="Q2918" s="846"/>
      <c r="R2918" s="846"/>
      <c r="S2918" s="846"/>
      <c r="T2918" s="846"/>
    </row>
    <row r="2919" spans="2:20" ht="25.5" hidden="1">
      <c r="B2919" s="828" t="s">
        <v>6577</v>
      </c>
      <c r="C2919" s="828">
        <v>101901</v>
      </c>
      <c r="D2919" s="630" t="s">
        <v>5228</v>
      </c>
      <c r="E2919" s="630" t="s">
        <v>646</v>
      </c>
      <c r="F2919" s="829">
        <v>134.27000000000001</v>
      </c>
      <c r="G2919" s="830">
        <v>6.19</v>
      </c>
      <c r="H2919" s="831">
        <v>140.46</v>
      </c>
      <c r="I2919" s="846"/>
      <c r="J2919" s="846"/>
      <c r="K2919" s="846"/>
      <c r="L2919" s="846"/>
      <c r="M2919" s="846"/>
      <c r="N2919" s="846"/>
      <c r="O2919" s="846"/>
      <c r="P2919" s="846"/>
      <c r="Q2919" s="846"/>
      <c r="R2919" s="846"/>
      <c r="S2919" s="846"/>
      <c r="T2919" s="846"/>
    </row>
    <row r="2920" spans="2:20" ht="25.5" hidden="1">
      <c r="B2920" s="828" t="s">
        <v>6577</v>
      </c>
      <c r="C2920" s="828">
        <v>101902</v>
      </c>
      <c r="D2920" s="630" t="s">
        <v>5229</v>
      </c>
      <c r="E2920" s="630" t="s">
        <v>646</v>
      </c>
      <c r="F2920" s="829">
        <v>165.13</v>
      </c>
      <c r="G2920" s="830">
        <v>8.6300000000000008</v>
      </c>
      <c r="H2920" s="831">
        <v>173.76</v>
      </c>
      <c r="I2920" s="846"/>
      <c r="J2920" s="846"/>
      <c r="K2920" s="846"/>
      <c r="L2920" s="846"/>
      <c r="M2920" s="846"/>
      <c r="N2920" s="846"/>
      <c r="O2920" s="846"/>
      <c r="P2920" s="846"/>
      <c r="Q2920" s="846"/>
      <c r="R2920" s="846"/>
      <c r="S2920" s="846"/>
      <c r="T2920" s="846"/>
    </row>
    <row r="2921" spans="2:20" ht="25.5" hidden="1">
      <c r="B2921" s="828" t="s">
        <v>6577</v>
      </c>
      <c r="C2921" s="828">
        <v>101903</v>
      </c>
      <c r="D2921" s="630" t="s">
        <v>5230</v>
      </c>
      <c r="E2921" s="630" t="s">
        <v>646</v>
      </c>
      <c r="F2921" s="829">
        <v>344.87</v>
      </c>
      <c r="G2921" s="830">
        <v>17.649999999999999</v>
      </c>
      <c r="H2921" s="831">
        <v>362.52</v>
      </c>
      <c r="I2921" s="846"/>
      <c r="J2921" s="846"/>
      <c r="K2921" s="846"/>
      <c r="L2921" s="846"/>
      <c r="M2921" s="846"/>
      <c r="N2921" s="846"/>
      <c r="O2921" s="846"/>
      <c r="P2921" s="846"/>
      <c r="Q2921" s="846"/>
      <c r="R2921" s="846"/>
      <c r="S2921" s="846"/>
      <c r="T2921" s="846"/>
    </row>
    <row r="2922" spans="2:20" ht="25.5" hidden="1">
      <c r="B2922" s="828" t="s">
        <v>6577</v>
      </c>
      <c r="C2922" s="828">
        <v>101904</v>
      </c>
      <c r="D2922" s="630" t="s">
        <v>5231</v>
      </c>
      <c r="E2922" s="630" t="s">
        <v>646</v>
      </c>
      <c r="F2922" s="829">
        <v>1292.33</v>
      </c>
      <c r="G2922" s="830">
        <v>34.07</v>
      </c>
      <c r="H2922" s="831">
        <v>1326.4</v>
      </c>
      <c r="I2922" s="846"/>
      <c r="J2922" s="846"/>
      <c r="K2922" s="846"/>
      <c r="L2922" s="846"/>
      <c r="M2922" s="846"/>
      <c r="N2922" s="846"/>
      <c r="O2922" s="846"/>
      <c r="P2922" s="846"/>
      <c r="Q2922" s="846"/>
      <c r="R2922" s="846"/>
      <c r="S2922" s="846"/>
      <c r="T2922" s="846"/>
    </row>
    <row r="2923" spans="2:20" ht="25.5" hidden="1">
      <c r="B2923" s="828" t="s">
        <v>6577</v>
      </c>
      <c r="C2923" s="828">
        <v>101938</v>
      </c>
      <c r="D2923" s="630" t="s">
        <v>5908</v>
      </c>
      <c r="E2923" s="630" t="s">
        <v>646</v>
      </c>
      <c r="F2923" s="829">
        <v>104.18</v>
      </c>
      <c r="G2923" s="830">
        <v>18.82</v>
      </c>
      <c r="H2923" s="831">
        <v>123</v>
      </c>
      <c r="I2923" s="846"/>
      <c r="J2923" s="846"/>
      <c r="K2923" s="846"/>
      <c r="L2923" s="846"/>
      <c r="M2923" s="846"/>
      <c r="N2923" s="846"/>
      <c r="O2923" s="846"/>
      <c r="P2923" s="846"/>
      <c r="Q2923" s="846"/>
      <c r="R2923" s="846"/>
      <c r="S2923" s="846"/>
      <c r="T2923" s="846"/>
    </row>
    <row r="2924" spans="2:20" ht="25.5" hidden="1">
      <c r="B2924" s="828" t="s">
        <v>6577</v>
      </c>
      <c r="C2924" s="828">
        <v>101946</v>
      </c>
      <c r="D2924" s="630" t="s">
        <v>5909</v>
      </c>
      <c r="E2924" s="630" t="s">
        <v>646</v>
      </c>
      <c r="F2924" s="829">
        <v>116.54</v>
      </c>
      <c r="G2924" s="830">
        <v>66.3</v>
      </c>
      <c r="H2924" s="831">
        <v>182.84</v>
      </c>
      <c r="I2924" s="846"/>
      <c r="J2924" s="846"/>
      <c r="K2924" s="846"/>
      <c r="L2924" s="846"/>
      <c r="M2924" s="846"/>
      <c r="N2924" s="846"/>
      <c r="O2924" s="846"/>
      <c r="P2924" s="846"/>
      <c r="Q2924" s="846"/>
      <c r="R2924" s="846"/>
      <c r="S2924" s="846"/>
      <c r="T2924" s="846"/>
    </row>
    <row r="2925" spans="2:20" ht="25.5" hidden="1">
      <c r="B2925" s="828" t="s">
        <v>6562</v>
      </c>
      <c r="C2925" s="828">
        <v>91945</v>
      </c>
      <c r="D2925" s="630" t="s">
        <v>1215</v>
      </c>
      <c r="E2925" s="630" t="s">
        <v>646</v>
      </c>
      <c r="F2925" s="829">
        <v>6.72</v>
      </c>
      <c r="G2925" s="830">
        <v>4.49</v>
      </c>
      <c r="H2925" s="831">
        <v>11.21</v>
      </c>
      <c r="I2925" s="846"/>
      <c r="J2925" s="846"/>
      <c r="K2925" s="846"/>
      <c r="L2925" s="846"/>
      <c r="M2925" s="846"/>
      <c r="N2925" s="846"/>
      <c r="O2925" s="846"/>
      <c r="P2925" s="846"/>
      <c r="Q2925" s="846"/>
      <c r="R2925" s="846"/>
      <c r="S2925" s="846"/>
      <c r="T2925" s="846"/>
    </row>
    <row r="2926" spans="2:20" ht="25.5" hidden="1">
      <c r="B2926" s="828" t="s">
        <v>6562</v>
      </c>
      <c r="C2926" s="828">
        <v>91946</v>
      </c>
      <c r="D2926" s="630" t="s">
        <v>1216</v>
      </c>
      <c r="E2926" s="630" t="s">
        <v>646</v>
      </c>
      <c r="F2926" s="829">
        <v>6.34</v>
      </c>
      <c r="G2926" s="830">
        <v>3.05</v>
      </c>
      <c r="H2926" s="831">
        <v>9.39</v>
      </c>
      <c r="I2926" s="846"/>
      <c r="J2926" s="846"/>
      <c r="K2926" s="846"/>
      <c r="L2926" s="846"/>
      <c r="M2926" s="846"/>
      <c r="N2926" s="846"/>
      <c r="O2926" s="846"/>
      <c r="P2926" s="846"/>
      <c r="Q2926" s="846"/>
      <c r="R2926" s="846"/>
      <c r="S2926" s="846"/>
      <c r="T2926" s="846"/>
    </row>
    <row r="2927" spans="2:20" ht="25.5" hidden="1">
      <c r="B2927" s="828" t="s">
        <v>6562</v>
      </c>
      <c r="C2927" s="828">
        <v>91947</v>
      </c>
      <c r="D2927" s="630" t="s">
        <v>1217</v>
      </c>
      <c r="E2927" s="630" t="s">
        <v>646</v>
      </c>
      <c r="F2927" s="829">
        <v>6.09</v>
      </c>
      <c r="G2927" s="830">
        <v>2.17</v>
      </c>
      <c r="H2927" s="831">
        <v>8.26</v>
      </c>
      <c r="I2927" s="846"/>
      <c r="J2927" s="846"/>
      <c r="K2927" s="846"/>
      <c r="L2927" s="846"/>
      <c r="M2927" s="846"/>
      <c r="N2927" s="846"/>
      <c r="O2927" s="846"/>
      <c r="P2927" s="846"/>
      <c r="Q2927" s="846"/>
      <c r="R2927" s="846"/>
      <c r="S2927" s="846"/>
      <c r="T2927" s="846"/>
    </row>
    <row r="2928" spans="2:20" ht="25.5" hidden="1">
      <c r="B2928" s="828" t="s">
        <v>6562</v>
      </c>
      <c r="C2928" s="828">
        <v>91949</v>
      </c>
      <c r="D2928" s="630" t="s">
        <v>1218</v>
      </c>
      <c r="E2928" s="630" t="s">
        <v>646</v>
      </c>
      <c r="F2928" s="829">
        <v>11.89</v>
      </c>
      <c r="G2928" s="830">
        <v>5.32</v>
      </c>
      <c r="H2928" s="831">
        <v>17.21</v>
      </c>
      <c r="I2928" s="846"/>
      <c r="J2928" s="846"/>
      <c r="K2928" s="846"/>
      <c r="L2928" s="846"/>
      <c r="M2928" s="846"/>
      <c r="N2928" s="846"/>
      <c r="O2928" s="846"/>
      <c r="P2928" s="846"/>
      <c r="Q2928" s="846"/>
      <c r="R2928" s="846"/>
      <c r="S2928" s="846"/>
      <c r="T2928" s="846"/>
    </row>
    <row r="2929" spans="2:20" ht="25.5" hidden="1">
      <c r="B2929" s="828" t="s">
        <v>6562</v>
      </c>
      <c r="C2929" s="828">
        <v>91950</v>
      </c>
      <c r="D2929" s="630" t="s">
        <v>1219</v>
      </c>
      <c r="E2929" s="630" t="s">
        <v>646</v>
      </c>
      <c r="F2929" s="829">
        <v>11.42</v>
      </c>
      <c r="G2929" s="830">
        <v>3.6</v>
      </c>
      <c r="H2929" s="831">
        <v>15.02</v>
      </c>
      <c r="I2929" s="846"/>
      <c r="J2929" s="846"/>
      <c r="K2929" s="846"/>
      <c r="L2929" s="846"/>
      <c r="M2929" s="846"/>
      <c r="N2929" s="846"/>
      <c r="O2929" s="846"/>
      <c r="P2929" s="846"/>
      <c r="Q2929" s="846"/>
      <c r="R2929" s="846"/>
      <c r="S2929" s="846"/>
      <c r="T2929" s="846"/>
    </row>
    <row r="2930" spans="2:20" ht="25.5" hidden="1">
      <c r="B2930" s="828" t="s">
        <v>6562</v>
      </c>
      <c r="C2930" s="828">
        <v>91951</v>
      </c>
      <c r="D2930" s="630" t="s">
        <v>1220</v>
      </c>
      <c r="E2930" s="630" t="s">
        <v>646</v>
      </c>
      <c r="F2930" s="829">
        <v>11.15</v>
      </c>
      <c r="G2930" s="830">
        <v>2.5499999999999998</v>
      </c>
      <c r="H2930" s="831">
        <v>13.7</v>
      </c>
      <c r="I2930" s="846"/>
      <c r="J2930" s="846"/>
      <c r="K2930" s="846"/>
      <c r="L2930" s="846"/>
      <c r="M2930" s="846"/>
      <c r="N2930" s="846"/>
      <c r="O2930" s="846"/>
      <c r="P2930" s="846"/>
      <c r="Q2930" s="846"/>
      <c r="R2930" s="846"/>
      <c r="S2930" s="846"/>
      <c r="T2930" s="846"/>
    </row>
    <row r="2931" spans="2:20" ht="25.5" hidden="1">
      <c r="B2931" s="828" t="s">
        <v>6562</v>
      </c>
      <c r="C2931" s="828">
        <v>91952</v>
      </c>
      <c r="D2931" s="630" t="s">
        <v>1221</v>
      </c>
      <c r="E2931" s="630" t="s">
        <v>646</v>
      </c>
      <c r="F2931" s="829">
        <v>11.54</v>
      </c>
      <c r="G2931" s="830">
        <v>9.8000000000000007</v>
      </c>
      <c r="H2931" s="831">
        <v>21.34</v>
      </c>
      <c r="I2931" s="846"/>
      <c r="J2931" s="846"/>
      <c r="K2931" s="846"/>
      <c r="L2931" s="846"/>
      <c r="M2931" s="846"/>
      <c r="N2931" s="846"/>
      <c r="O2931" s="846"/>
      <c r="P2931" s="846"/>
      <c r="Q2931" s="846"/>
      <c r="R2931" s="846"/>
      <c r="S2931" s="846"/>
      <c r="T2931" s="846"/>
    </row>
    <row r="2932" spans="2:20" ht="25.5" hidden="1">
      <c r="B2932" s="828" t="s">
        <v>6562</v>
      </c>
      <c r="C2932" s="828">
        <v>91953</v>
      </c>
      <c r="D2932" s="630" t="s">
        <v>1222</v>
      </c>
      <c r="E2932" s="630" t="s">
        <v>646</v>
      </c>
      <c r="F2932" s="829">
        <v>17.87</v>
      </c>
      <c r="G2932" s="830">
        <v>12.86</v>
      </c>
      <c r="H2932" s="831">
        <v>30.73</v>
      </c>
      <c r="I2932" s="846"/>
      <c r="J2932" s="846"/>
      <c r="K2932" s="846"/>
      <c r="L2932" s="846"/>
      <c r="M2932" s="846"/>
      <c r="N2932" s="846"/>
      <c r="O2932" s="846"/>
      <c r="P2932" s="846"/>
      <c r="Q2932" s="846"/>
      <c r="R2932" s="846"/>
      <c r="S2932" s="846"/>
      <c r="T2932" s="846"/>
    </row>
    <row r="2933" spans="2:20" ht="25.5" hidden="1">
      <c r="B2933" s="828" t="s">
        <v>6562</v>
      </c>
      <c r="C2933" s="828">
        <v>91954</v>
      </c>
      <c r="D2933" s="630" t="s">
        <v>1028</v>
      </c>
      <c r="E2933" s="630" t="s">
        <v>646</v>
      </c>
      <c r="F2933" s="829">
        <v>15.23</v>
      </c>
      <c r="G2933" s="830">
        <v>13.42</v>
      </c>
      <c r="H2933" s="831">
        <v>28.65</v>
      </c>
      <c r="I2933" s="846"/>
      <c r="J2933" s="846"/>
      <c r="K2933" s="846"/>
      <c r="L2933" s="846"/>
      <c r="M2933" s="846"/>
      <c r="N2933" s="846"/>
      <c r="O2933" s="846"/>
      <c r="P2933" s="846"/>
      <c r="Q2933" s="846"/>
      <c r="R2933" s="846"/>
      <c r="S2933" s="846"/>
      <c r="T2933" s="846"/>
    </row>
    <row r="2934" spans="2:20" ht="25.5" hidden="1">
      <c r="B2934" s="828" t="s">
        <v>6562</v>
      </c>
      <c r="C2934" s="828">
        <v>91955</v>
      </c>
      <c r="D2934" s="630" t="s">
        <v>1029</v>
      </c>
      <c r="E2934" s="630" t="s">
        <v>646</v>
      </c>
      <c r="F2934" s="829">
        <v>21.57</v>
      </c>
      <c r="G2934" s="830">
        <v>16.47</v>
      </c>
      <c r="H2934" s="831">
        <v>38.04</v>
      </c>
      <c r="I2934" s="846"/>
      <c r="J2934" s="846"/>
      <c r="K2934" s="846"/>
      <c r="L2934" s="846"/>
      <c r="M2934" s="846"/>
      <c r="N2934" s="846"/>
      <c r="O2934" s="846"/>
      <c r="P2934" s="846"/>
      <c r="Q2934" s="846"/>
      <c r="R2934" s="846"/>
      <c r="S2934" s="846"/>
      <c r="T2934" s="846"/>
    </row>
    <row r="2935" spans="2:20" ht="38.25" hidden="1">
      <c r="B2935" s="828" t="s">
        <v>6562</v>
      </c>
      <c r="C2935" s="828">
        <v>91956</v>
      </c>
      <c r="D2935" s="630" t="s">
        <v>1223</v>
      </c>
      <c r="E2935" s="630" t="s">
        <v>646</v>
      </c>
      <c r="F2935" s="829">
        <v>25.99</v>
      </c>
      <c r="G2935" s="830">
        <v>20.55</v>
      </c>
      <c r="H2935" s="831">
        <v>46.54</v>
      </c>
      <c r="I2935" s="846"/>
      <c r="J2935" s="846"/>
      <c r="K2935" s="846"/>
      <c r="L2935" s="846"/>
      <c r="M2935" s="846"/>
      <c r="N2935" s="846"/>
      <c r="O2935" s="846"/>
      <c r="P2935" s="846"/>
      <c r="Q2935" s="846"/>
      <c r="R2935" s="846"/>
      <c r="S2935" s="846"/>
      <c r="T2935" s="846"/>
    </row>
    <row r="2936" spans="2:20" ht="38.25" hidden="1">
      <c r="B2936" s="828" t="s">
        <v>6562</v>
      </c>
      <c r="C2936" s="828">
        <v>91957</v>
      </c>
      <c r="D2936" s="630" t="s">
        <v>1224</v>
      </c>
      <c r="E2936" s="630" t="s">
        <v>646</v>
      </c>
      <c r="F2936" s="829">
        <v>32.33</v>
      </c>
      <c r="G2936" s="830">
        <v>23.6</v>
      </c>
      <c r="H2936" s="832">
        <v>55.93</v>
      </c>
      <c r="I2936" s="846"/>
      <c r="J2936" s="846"/>
      <c r="K2936" s="846"/>
      <c r="L2936" s="846"/>
      <c r="M2936" s="846"/>
      <c r="N2936" s="846"/>
      <c r="O2936" s="846"/>
      <c r="P2936" s="846"/>
      <c r="Q2936" s="846"/>
      <c r="R2936" s="846"/>
      <c r="S2936" s="846"/>
      <c r="T2936" s="846"/>
    </row>
    <row r="2937" spans="2:20" ht="25.5" hidden="1">
      <c r="B2937" s="828" t="s">
        <v>6562</v>
      </c>
      <c r="C2937" s="828">
        <v>91958</v>
      </c>
      <c r="D2937" s="630" t="s">
        <v>1225</v>
      </c>
      <c r="E2937" s="630" t="s">
        <v>646</v>
      </c>
      <c r="F2937" s="829">
        <v>22.29</v>
      </c>
      <c r="G2937" s="830">
        <v>16.989999999999998</v>
      </c>
      <c r="H2937" s="832">
        <v>39.28</v>
      </c>
      <c r="I2937" s="846"/>
      <c r="J2937" s="846"/>
      <c r="K2937" s="846"/>
      <c r="L2937" s="846"/>
      <c r="M2937" s="846"/>
      <c r="N2937" s="846"/>
      <c r="O2937" s="846"/>
      <c r="P2937" s="846"/>
      <c r="Q2937" s="846"/>
      <c r="R2937" s="846"/>
      <c r="S2937" s="846"/>
      <c r="T2937" s="846"/>
    </row>
    <row r="2938" spans="2:20" ht="25.5" hidden="1">
      <c r="B2938" s="828" t="s">
        <v>6562</v>
      </c>
      <c r="C2938" s="828">
        <v>91959</v>
      </c>
      <c r="D2938" s="630" t="s">
        <v>1226</v>
      </c>
      <c r="E2938" s="630" t="s">
        <v>646</v>
      </c>
      <c r="F2938" s="829">
        <v>28.63</v>
      </c>
      <c r="G2938" s="830">
        <v>20.04</v>
      </c>
      <c r="H2938" s="832">
        <v>48.67</v>
      </c>
      <c r="I2938" s="846"/>
      <c r="J2938" s="846"/>
      <c r="K2938" s="846"/>
      <c r="L2938" s="846"/>
      <c r="M2938" s="846"/>
      <c r="N2938" s="846"/>
      <c r="O2938" s="846"/>
      <c r="P2938" s="846"/>
      <c r="Q2938" s="846"/>
      <c r="R2938" s="846"/>
      <c r="S2938" s="846"/>
      <c r="T2938" s="846"/>
    </row>
    <row r="2939" spans="2:20" ht="25.5" hidden="1">
      <c r="B2939" s="828" t="s">
        <v>6562</v>
      </c>
      <c r="C2939" s="828">
        <v>91960</v>
      </c>
      <c r="D2939" s="630" t="s">
        <v>1030</v>
      </c>
      <c r="E2939" s="630" t="s">
        <v>646</v>
      </c>
      <c r="F2939" s="829">
        <v>29.68</v>
      </c>
      <c r="G2939" s="830">
        <v>24.16</v>
      </c>
      <c r="H2939" s="832">
        <v>53.84</v>
      </c>
      <c r="I2939" s="846"/>
      <c r="J2939" s="846"/>
      <c r="K2939" s="846"/>
      <c r="L2939" s="846"/>
      <c r="M2939" s="846"/>
      <c r="N2939" s="846"/>
      <c r="O2939" s="846"/>
      <c r="P2939" s="846"/>
      <c r="Q2939" s="846"/>
      <c r="R2939" s="846"/>
      <c r="S2939" s="846"/>
      <c r="T2939" s="846"/>
    </row>
    <row r="2940" spans="2:20" ht="25.5" hidden="1">
      <c r="B2940" s="828" t="s">
        <v>6562</v>
      </c>
      <c r="C2940" s="828">
        <v>91961</v>
      </c>
      <c r="D2940" s="630" t="s">
        <v>1031</v>
      </c>
      <c r="E2940" s="630" t="s">
        <v>646</v>
      </c>
      <c r="F2940" s="829">
        <v>36.020000000000003</v>
      </c>
      <c r="G2940" s="830">
        <v>27.21</v>
      </c>
      <c r="H2940" s="831">
        <v>63.23</v>
      </c>
      <c r="I2940" s="846"/>
      <c r="J2940" s="846"/>
      <c r="K2940" s="846"/>
      <c r="L2940" s="846"/>
      <c r="M2940" s="846"/>
      <c r="N2940" s="846"/>
      <c r="O2940" s="846"/>
      <c r="P2940" s="846"/>
      <c r="Q2940" s="846"/>
      <c r="R2940" s="846"/>
      <c r="S2940" s="846"/>
      <c r="T2940" s="846"/>
    </row>
    <row r="2941" spans="2:20" ht="38.25" hidden="1">
      <c r="B2941" s="828" t="s">
        <v>6562</v>
      </c>
      <c r="C2941" s="828">
        <v>91962</v>
      </c>
      <c r="D2941" s="630" t="s">
        <v>1227</v>
      </c>
      <c r="E2941" s="630" t="s">
        <v>646</v>
      </c>
      <c r="F2941" s="829">
        <v>40.450000000000003</v>
      </c>
      <c r="G2941" s="830">
        <v>31.34</v>
      </c>
      <c r="H2941" s="831">
        <v>71.790000000000006</v>
      </c>
      <c r="I2941" s="846"/>
      <c r="J2941" s="846"/>
      <c r="K2941" s="846"/>
      <c r="L2941" s="846"/>
      <c r="M2941" s="846"/>
      <c r="N2941" s="846"/>
      <c r="O2941" s="846"/>
      <c r="P2941" s="846"/>
      <c r="Q2941" s="846"/>
      <c r="R2941" s="846"/>
      <c r="S2941" s="846"/>
      <c r="T2941" s="846"/>
    </row>
    <row r="2942" spans="2:20" ht="38.25" hidden="1">
      <c r="B2942" s="828" t="s">
        <v>6562</v>
      </c>
      <c r="C2942" s="828">
        <v>91963</v>
      </c>
      <c r="D2942" s="630" t="s">
        <v>1228</v>
      </c>
      <c r="E2942" s="630" t="s">
        <v>646</v>
      </c>
      <c r="F2942" s="829">
        <v>46.79</v>
      </c>
      <c r="G2942" s="830">
        <v>34.39</v>
      </c>
      <c r="H2942" s="831">
        <v>81.180000000000007</v>
      </c>
      <c r="I2942" s="846"/>
      <c r="J2942" s="846"/>
      <c r="K2942" s="846"/>
      <c r="L2942" s="846"/>
      <c r="M2942" s="846"/>
      <c r="N2942" s="846"/>
      <c r="O2942" s="846"/>
      <c r="P2942" s="846"/>
      <c r="Q2942" s="846"/>
      <c r="R2942" s="846"/>
      <c r="S2942" s="846"/>
      <c r="T2942" s="846"/>
    </row>
    <row r="2943" spans="2:20" ht="38.25" hidden="1">
      <c r="B2943" s="828" t="s">
        <v>6562</v>
      </c>
      <c r="C2943" s="828">
        <v>91964</v>
      </c>
      <c r="D2943" s="630" t="s">
        <v>1229</v>
      </c>
      <c r="E2943" s="630" t="s">
        <v>646</v>
      </c>
      <c r="F2943" s="829">
        <v>36.75</v>
      </c>
      <c r="G2943" s="830">
        <v>27.73</v>
      </c>
      <c r="H2943" s="831">
        <v>64.48</v>
      </c>
      <c r="I2943" s="846"/>
      <c r="J2943" s="846"/>
      <c r="K2943" s="846"/>
      <c r="L2943" s="846"/>
      <c r="M2943" s="846"/>
      <c r="N2943" s="846"/>
      <c r="O2943" s="846"/>
      <c r="P2943" s="846"/>
      <c r="Q2943" s="846"/>
      <c r="R2943" s="846"/>
      <c r="S2943" s="846"/>
      <c r="T2943" s="846"/>
    </row>
    <row r="2944" spans="2:20" ht="38.25" hidden="1">
      <c r="B2944" s="828" t="s">
        <v>6562</v>
      </c>
      <c r="C2944" s="828">
        <v>91965</v>
      </c>
      <c r="D2944" s="630" t="s">
        <v>1230</v>
      </c>
      <c r="E2944" s="630" t="s">
        <v>646</v>
      </c>
      <c r="F2944" s="829">
        <v>43.08</v>
      </c>
      <c r="G2944" s="830">
        <v>30.79</v>
      </c>
      <c r="H2944" s="831">
        <v>73.87</v>
      </c>
      <c r="I2944" s="846"/>
      <c r="J2944" s="846"/>
      <c r="K2944" s="846"/>
      <c r="L2944" s="846"/>
      <c r="M2944" s="846"/>
      <c r="N2944" s="846"/>
      <c r="O2944" s="846"/>
      <c r="P2944" s="846"/>
      <c r="Q2944" s="846"/>
      <c r="R2944" s="846"/>
      <c r="S2944" s="846"/>
      <c r="T2944" s="846"/>
    </row>
    <row r="2945" spans="2:20" ht="25.5" hidden="1">
      <c r="B2945" s="828" t="s">
        <v>6562</v>
      </c>
      <c r="C2945" s="828">
        <v>91966</v>
      </c>
      <c r="D2945" s="630" t="s">
        <v>1231</v>
      </c>
      <c r="E2945" s="630" t="s">
        <v>646</v>
      </c>
      <c r="F2945" s="829">
        <v>33.07</v>
      </c>
      <c r="G2945" s="830">
        <v>24.15</v>
      </c>
      <c r="H2945" s="831">
        <v>57.22</v>
      </c>
      <c r="I2945" s="846"/>
      <c r="J2945" s="846"/>
      <c r="K2945" s="846"/>
      <c r="L2945" s="846"/>
      <c r="M2945" s="846"/>
      <c r="N2945" s="846"/>
      <c r="O2945" s="846"/>
      <c r="P2945" s="846"/>
      <c r="Q2945" s="846"/>
      <c r="R2945" s="846"/>
      <c r="S2945" s="846"/>
      <c r="T2945" s="846"/>
    </row>
    <row r="2946" spans="2:20" ht="25.5" hidden="1">
      <c r="B2946" s="828" t="s">
        <v>6562</v>
      </c>
      <c r="C2946" s="828">
        <v>91967</v>
      </c>
      <c r="D2946" s="630" t="s">
        <v>1232</v>
      </c>
      <c r="E2946" s="630" t="s">
        <v>646</v>
      </c>
      <c r="F2946" s="829">
        <v>39.4</v>
      </c>
      <c r="G2946" s="830">
        <v>27.21</v>
      </c>
      <c r="H2946" s="832">
        <v>66.61</v>
      </c>
      <c r="I2946" s="846"/>
      <c r="J2946" s="846"/>
      <c r="K2946" s="846"/>
      <c r="L2946" s="846"/>
      <c r="M2946" s="846"/>
      <c r="N2946" s="846"/>
      <c r="O2946" s="846"/>
      <c r="P2946" s="846"/>
      <c r="Q2946" s="846"/>
      <c r="R2946" s="846"/>
      <c r="S2946" s="846"/>
      <c r="T2946" s="846"/>
    </row>
    <row r="2947" spans="2:20" ht="25.5" hidden="1">
      <c r="B2947" s="828" t="s">
        <v>6562</v>
      </c>
      <c r="C2947" s="828">
        <v>91968</v>
      </c>
      <c r="D2947" s="630" t="s">
        <v>1032</v>
      </c>
      <c r="E2947" s="630" t="s">
        <v>646</v>
      </c>
      <c r="F2947" s="829">
        <v>44.11</v>
      </c>
      <c r="G2947" s="830">
        <v>34.92</v>
      </c>
      <c r="H2947" s="832">
        <v>79.03</v>
      </c>
      <c r="I2947" s="846"/>
      <c r="J2947" s="846"/>
      <c r="K2947" s="846"/>
      <c r="L2947" s="846"/>
      <c r="M2947" s="846"/>
      <c r="N2947" s="846"/>
      <c r="O2947" s="846"/>
      <c r="P2947" s="846"/>
      <c r="Q2947" s="846"/>
      <c r="R2947" s="846"/>
      <c r="S2947" s="846"/>
      <c r="T2947" s="846"/>
    </row>
    <row r="2948" spans="2:20" ht="25.5" hidden="1">
      <c r="B2948" s="828" t="s">
        <v>6562</v>
      </c>
      <c r="C2948" s="828">
        <v>91969</v>
      </c>
      <c r="D2948" s="630" t="s">
        <v>1033</v>
      </c>
      <c r="E2948" s="630" t="s">
        <v>646</v>
      </c>
      <c r="F2948" s="829">
        <v>50.44</v>
      </c>
      <c r="G2948" s="830">
        <v>37.979999999999997</v>
      </c>
      <c r="H2948" s="831">
        <v>88.42</v>
      </c>
      <c r="I2948" s="846"/>
      <c r="J2948" s="846"/>
      <c r="K2948" s="846"/>
      <c r="L2948" s="846"/>
      <c r="M2948" s="846"/>
      <c r="N2948" s="846"/>
      <c r="O2948" s="846"/>
      <c r="P2948" s="846"/>
      <c r="Q2948" s="846"/>
      <c r="R2948" s="846"/>
      <c r="S2948" s="846"/>
      <c r="T2948" s="846"/>
    </row>
    <row r="2949" spans="2:20" ht="38.25" hidden="1">
      <c r="B2949" s="828" t="s">
        <v>6562</v>
      </c>
      <c r="C2949" s="828">
        <v>91970</v>
      </c>
      <c r="D2949" s="630" t="s">
        <v>1233</v>
      </c>
      <c r="E2949" s="630" t="s">
        <v>646</v>
      </c>
      <c r="F2949" s="829">
        <v>47.59</v>
      </c>
      <c r="G2949" s="830">
        <v>35.22</v>
      </c>
      <c r="H2949" s="831">
        <v>82.81</v>
      </c>
      <c r="I2949" s="846"/>
      <c r="J2949" s="846"/>
      <c r="K2949" s="846"/>
      <c r="L2949" s="846"/>
      <c r="M2949" s="846"/>
      <c r="N2949" s="846"/>
      <c r="O2949" s="846"/>
      <c r="P2949" s="846"/>
      <c r="Q2949" s="846"/>
      <c r="R2949" s="846"/>
      <c r="S2949" s="846"/>
      <c r="T2949" s="846"/>
    </row>
    <row r="2950" spans="2:20" ht="38.25" hidden="1">
      <c r="B2950" s="828" t="s">
        <v>6562</v>
      </c>
      <c r="C2950" s="828">
        <v>91971</v>
      </c>
      <c r="D2950" s="630" t="s">
        <v>1234</v>
      </c>
      <c r="E2950" s="630" t="s">
        <v>646</v>
      </c>
      <c r="F2950" s="829">
        <v>59</v>
      </c>
      <c r="G2950" s="830">
        <v>38.83</v>
      </c>
      <c r="H2950" s="831">
        <v>97.83</v>
      </c>
      <c r="I2950" s="846"/>
      <c r="J2950" s="846"/>
      <c r="K2950" s="846"/>
      <c r="L2950" s="846"/>
      <c r="M2950" s="846"/>
      <c r="N2950" s="846"/>
      <c r="O2950" s="846"/>
      <c r="P2950" s="846"/>
      <c r="Q2950" s="846"/>
      <c r="R2950" s="846"/>
      <c r="S2950" s="846"/>
      <c r="T2950" s="846"/>
    </row>
    <row r="2951" spans="2:20" ht="38.25" hidden="1">
      <c r="B2951" s="828" t="s">
        <v>6562</v>
      </c>
      <c r="C2951" s="828">
        <v>91972</v>
      </c>
      <c r="D2951" s="630" t="s">
        <v>1235</v>
      </c>
      <c r="E2951" s="630" t="s">
        <v>646</v>
      </c>
      <c r="F2951" s="829">
        <v>51.28</v>
      </c>
      <c r="G2951" s="830">
        <v>38.840000000000003</v>
      </c>
      <c r="H2951" s="831">
        <v>90.12</v>
      </c>
      <c r="I2951" s="846"/>
      <c r="J2951" s="846"/>
      <c r="K2951" s="846"/>
      <c r="L2951" s="846"/>
      <c r="M2951" s="846"/>
      <c r="N2951" s="846"/>
      <c r="O2951" s="846"/>
      <c r="P2951" s="846"/>
      <c r="Q2951" s="846"/>
      <c r="R2951" s="846"/>
      <c r="S2951" s="846"/>
      <c r="T2951" s="846"/>
    </row>
    <row r="2952" spans="2:20" ht="38.25" hidden="1">
      <c r="B2952" s="828" t="s">
        <v>6562</v>
      </c>
      <c r="C2952" s="828">
        <v>91973</v>
      </c>
      <c r="D2952" s="630" t="s">
        <v>1236</v>
      </c>
      <c r="E2952" s="630" t="s">
        <v>646</v>
      </c>
      <c r="F2952" s="829">
        <v>62.69</v>
      </c>
      <c r="G2952" s="830">
        <v>42.45</v>
      </c>
      <c r="H2952" s="831">
        <v>105.14</v>
      </c>
      <c r="I2952" s="846"/>
      <c r="J2952" s="846"/>
      <c r="K2952" s="846"/>
      <c r="L2952" s="846"/>
      <c r="M2952" s="846"/>
      <c r="N2952" s="846"/>
      <c r="O2952" s="846"/>
      <c r="P2952" s="846"/>
      <c r="Q2952" s="846"/>
      <c r="R2952" s="846"/>
      <c r="S2952" s="846"/>
      <c r="T2952" s="846"/>
    </row>
    <row r="2953" spans="2:20" ht="25.5" hidden="1">
      <c r="B2953" s="828" t="s">
        <v>6562</v>
      </c>
      <c r="C2953" s="828">
        <v>91974</v>
      </c>
      <c r="D2953" s="630" t="s">
        <v>1237</v>
      </c>
      <c r="E2953" s="630" t="s">
        <v>646</v>
      </c>
      <c r="F2953" s="829">
        <v>43.89</v>
      </c>
      <c r="G2953" s="830">
        <v>31.61</v>
      </c>
      <c r="H2953" s="831">
        <v>75.5</v>
      </c>
      <c r="I2953" s="846"/>
      <c r="J2953" s="846"/>
      <c r="K2953" s="846"/>
      <c r="L2953" s="846"/>
      <c r="M2953" s="846"/>
      <c r="N2953" s="846"/>
      <c r="O2953" s="846"/>
      <c r="P2953" s="846"/>
      <c r="Q2953" s="846"/>
      <c r="R2953" s="846"/>
      <c r="S2953" s="846"/>
      <c r="T2953" s="846"/>
    </row>
    <row r="2954" spans="2:20" ht="25.5" hidden="1">
      <c r="B2954" s="828" t="s">
        <v>6562</v>
      </c>
      <c r="C2954" s="828">
        <v>91975</v>
      </c>
      <c r="D2954" s="630" t="s">
        <v>1238</v>
      </c>
      <c r="E2954" s="630" t="s">
        <v>646</v>
      </c>
      <c r="F2954" s="829">
        <v>55.3</v>
      </c>
      <c r="G2954" s="830">
        <v>35.22</v>
      </c>
      <c r="H2954" s="831">
        <v>90.52</v>
      </c>
      <c r="I2954" s="846"/>
      <c r="J2954" s="846"/>
      <c r="K2954" s="846"/>
      <c r="L2954" s="846"/>
      <c r="M2954" s="846"/>
      <c r="N2954" s="846"/>
      <c r="O2954" s="846"/>
      <c r="P2954" s="846"/>
      <c r="Q2954" s="846"/>
      <c r="R2954" s="846"/>
      <c r="S2954" s="846"/>
      <c r="T2954" s="846"/>
    </row>
    <row r="2955" spans="2:20" ht="25.5" hidden="1">
      <c r="B2955" s="828" t="s">
        <v>6562</v>
      </c>
      <c r="C2955" s="828">
        <v>91976</v>
      </c>
      <c r="D2955" s="630" t="s">
        <v>1239</v>
      </c>
      <c r="E2955" s="630" t="s">
        <v>646</v>
      </c>
      <c r="F2955" s="829">
        <v>65.44</v>
      </c>
      <c r="G2955" s="830">
        <v>46.06</v>
      </c>
      <c r="H2955" s="831">
        <v>111.5</v>
      </c>
      <c r="I2955" s="846"/>
      <c r="J2955" s="846"/>
      <c r="K2955" s="846"/>
      <c r="L2955" s="846"/>
      <c r="M2955" s="846"/>
      <c r="N2955" s="846"/>
      <c r="O2955" s="846"/>
      <c r="P2955" s="846"/>
      <c r="Q2955" s="846"/>
      <c r="R2955" s="846"/>
      <c r="S2955" s="846"/>
      <c r="T2955" s="846"/>
    </row>
    <row r="2956" spans="2:20" ht="25.5" hidden="1">
      <c r="B2956" s="828" t="s">
        <v>6562</v>
      </c>
      <c r="C2956" s="828">
        <v>91977</v>
      </c>
      <c r="D2956" s="630" t="s">
        <v>1240</v>
      </c>
      <c r="E2956" s="630" t="s">
        <v>646</v>
      </c>
      <c r="F2956" s="829">
        <v>76.849999999999994</v>
      </c>
      <c r="G2956" s="830">
        <v>49.67</v>
      </c>
      <c r="H2956" s="832">
        <v>126.52</v>
      </c>
      <c r="I2956" s="846"/>
      <c r="J2956" s="846"/>
      <c r="K2956" s="846"/>
      <c r="L2956" s="846"/>
      <c r="M2956" s="846"/>
      <c r="N2956" s="846"/>
      <c r="O2956" s="846"/>
      <c r="P2956" s="846"/>
      <c r="Q2956" s="846"/>
      <c r="R2956" s="846"/>
      <c r="S2956" s="846"/>
      <c r="T2956" s="846"/>
    </row>
    <row r="2957" spans="2:20" ht="25.5" hidden="1">
      <c r="B2957" s="828" t="s">
        <v>6562</v>
      </c>
      <c r="C2957" s="828">
        <v>91978</v>
      </c>
      <c r="D2957" s="630" t="s">
        <v>2356</v>
      </c>
      <c r="E2957" s="630" t="s">
        <v>646</v>
      </c>
      <c r="F2957" s="829">
        <v>28.87</v>
      </c>
      <c r="G2957" s="830">
        <v>16.98</v>
      </c>
      <c r="H2957" s="832">
        <v>45.85</v>
      </c>
      <c r="I2957" s="846"/>
      <c r="J2957" s="846"/>
      <c r="K2957" s="846"/>
      <c r="L2957" s="846"/>
      <c r="M2957" s="846"/>
      <c r="N2957" s="846"/>
      <c r="O2957" s="846"/>
      <c r="P2957" s="846"/>
      <c r="Q2957" s="846"/>
      <c r="R2957" s="846"/>
      <c r="S2957" s="846"/>
      <c r="T2957" s="846"/>
    </row>
    <row r="2958" spans="2:20" ht="25.5" hidden="1">
      <c r="B2958" s="828" t="s">
        <v>6562</v>
      </c>
      <c r="C2958" s="828">
        <v>91979</v>
      </c>
      <c r="D2958" s="630" t="s">
        <v>2357</v>
      </c>
      <c r="E2958" s="630" t="s">
        <v>646</v>
      </c>
      <c r="F2958" s="829">
        <v>35.200000000000003</v>
      </c>
      <c r="G2958" s="830">
        <v>20.04</v>
      </c>
      <c r="H2958" s="832">
        <v>55.24</v>
      </c>
      <c r="I2958" s="846"/>
      <c r="J2958" s="846"/>
      <c r="K2958" s="846"/>
      <c r="L2958" s="846"/>
      <c r="M2958" s="846"/>
      <c r="N2958" s="846"/>
      <c r="O2958" s="846"/>
      <c r="P2958" s="846"/>
      <c r="Q2958" s="846"/>
      <c r="R2958" s="846"/>
      <c r="S2958" s="846"/>
      <c r="T2958" s="846"/>
    </row>
    <row r="2959" spans="2:20" ht="25.5" hidden="1">
      <c r="B2959" s="828" t="s">
        <v>6562</v>
      </c>
      <c r="C2959" s="828">
        <v>91980</v>
      </c>
      <c r="D2959" s="630" t="s">
        <v>2358</v>
      </c>
      <c r="E2959" s="630" t="s">
        <v>646</v>
      </c>
      <c r="F2959" s="829">
        <v>27.35</v>
      </c>
      <c r="G2959" s="830">
        <v>16.989999999999998</v>
      </c>
      <c r="H2959" s="832">
        <v>44.34</v>
      </c>
      <c r="I2959" s="846"/>
      <c r="J2959" s="846"/>
      <c r="K2959" s="846"/>
      <c r="L2959" s="846"/>
      <c r="M2959" s="846"/>
      <c r="N2959" s="846"/>
      <c r="O2959" s="846"/>
      <c r="P2959" s="846"/>
      <c r="Q2959" s="846"/>
      <c r="R2959" s="846"/>
      <c r="S2959" s="846"/>
      <c r="T2959" s="846"/>
    </row>
    <row r="2960" spans="2:20" ht="25.5" hidden="1">
      <c r="B2960" s="828" t="s">
        <v>6562</v>
      </c>
      <c r="C2960" s="828">
        <v>91981</v>
      </c>
      <c r="D2960" s="630" t="s">
        <v>2359</v>
      </c>
      <c r="E2960" s="630" t="s">
        <v>646</v>
      </c>
      <c r="F2960" s="829">
        <v>33.69</v>
      </c>
      <c r="G2960" s="830">
        <v>20.04</v>
      </c>
      <c r="H2960" s="831">
        <v>53.73</v>
      </c>
      <c r="I2960" s="846"/>
      <c r="J2960" s="846"/>
      <c r="K2960" s="846"/>
      <c r="L2960" s="846"/>
      <c r="M2960" s="846"/>
      <c r="N2960" s="846"/>
      <c r="O2960" s="846"/>
      <c r="P2960" s="846"/>
      <c r="Q2960" s="846"/>
      <c r="R2960" s="846"/>
      <c r="S2960" s="846"/>
      <c r="T2960" s="846"/>
    </row>
    <row r="2961" spans="2:20" ht="25.5" hidden="1">
      <c r="B2961" s="828" t="s">
        <v>6562</v>
      </c>
      <c r="C2961" s="828">
        <v>91982</v>
      </c>
      <c r="D2961" s="630" t="s">
        <v>2360</v>
      </c>
      <c r="E2961" s="630" t="s">
        <v>646</v>
      </c>
      <c r="F2961" s="829">
        <v>98.3</v>
      </c>
      <c r="G2961" s="830">
        <v>9.7799999999999994</v>
      </c>
      <c r="H2961" s="831">
        <v>108.08</v>
      </c>
      <c r="I2961" s="846"/>
      <c r="J2961" s="846"/>
      <c r="K2961" s="846"/>
      <c r="L2961" s="846"/>
      <c r="M2961" s="846"/>
      <c r="N2961" s="846"/>
      <c r="O2961" s="846"/>
      <c r="P2961" s="846"/>
      <c r="Q2961" s="846"/>
      <c r="R2961" s="846"/>
      <c r="S2961" s="846"/>
      <c r="T2961" s="846"/>
    </row>
    <row r="2962" spans="2:20" ht="25.5" hidden="1">
      <c r="B2962" s="828" t="s">
        <v>6562</v>
      </c>
      <c r="C2962" s="828">
        <v>91983</v>
      </c>
      <c r="D2962" s="630" t="s">
        <v>2361</v>
      </c>
      <c r="E2962" s="630" t="s">
        <v>646</v>
      </c>
      <c r="F2962" s="829">
        <v>104.64</v>
      </c>
      <c r="G2962" s="830">
        <v>12.83</v>
      </c>
      <c r="H2962" s="831">
        <v>117.47</v>
      </c>
      <c r="I2962" s="846"/>
      <c r="J2962" s="846"/>
      <c r="K2962" s="846"/>
      <c r="L2962" s="846"/>
      <c r="M2962" s="846"/>
      <c r="N2962" s="846"/>
      <c r="O2962" s="846"/>
      <c r="P2962" s="846"/>
      <c r="Q2962" s="846"/>
      <c r="R2962" s="846"/>
      <c r="S2962" s="846"/>
      <c r="T2962" s="846"/>
    </row>
    <row r="2963" spans="2:20" ht="25.5" hidden="1">
      <c r="B2963" s="828" t="s">
        <v>6562</v>
      </c>
      <c r="C2963" s="828">
        <v>91984</v>
      </c>
      <c r="D2963" s="630" t="s">
        <v>2362</v>
      </c>
      <c r="E2963" s="630" t="s">
        <v>646</v>
      </c>
      <c r="F2963" s="829">
        <v>10.15</v>
      </c>
      <c r="G2963" s="830">
        <v>9.8000000000000007</v>
      </c>
      <c r="H2963" s="832">
        <v>19.95</v>
      </c>
      <c r="I2963" s="846"/>
      <c r="J2963" s="846"/>
      <c r="K2963" s="846"/>
      <c r="L2963" s="846"/>
      <c r="M2963" s="846"/>
      <c r="N2963" s="846"/>
      <c r="O2963" s="846"/>
      <c r="P2963" s="846"/>
      <c r="Q2963" s="846"/>
      <c r="R2963" s="846"/>
      <c r="S2963" s="846"/>
      <c r="T2963" s="846"/>
    </row>
    <row r="2964" spans="2:20" ht="25.5" hidden="1">
      <c r="B2964" s="828" t="s">
        <v>6562</v>
      </c>
      <c r="C2964" s="828">
        <v>91985</v>
      </c>
      <c r="D2964" s="630" t="s">
        <v>2363</v>
      </c>
      <c r="E2964" s="630" t="s">
        <v>646</v>
      </c>
      <c r="F2964" s="829">
        <v>16.48</v>
      </c>
      <c r="G2964" s="830">
        <v>12.86</v>
      </c>
      <c r="H2964" s="831">
        <v>29.34</v>
      </c>
      <c r="I2964" s="846"/>
      <c r="J2964" s="846"/>
      <c r="K2964" s="846"/>
      <c r="L2964" s="846"/>
      <c r="M2964" s="846"/>
      <c r="N2964" s="846"/>
      <c r="O2964" s="846"/>
      <c r="P2964" s="846"/>
      <c r="Q2964" s="846"/>
      <c r="R2964" s="846"/>
      <c r="S2964" s="846"/>
      <c r="T2964" s="846"/>
    </row>
    <row r="2965" spans="2:20" ht="25.5" hidden="1">
      <c r="B2965" s="828" t="s">
        <v>6562</v>
      </c>
      <c r="C2965" s="828">
        <v>91986</v>
      </c>
      <c r="D2965" s="630" t="s">
        <v>2364</v>
      </c>
      <c r="E2965" s="630" t="s">
        <v>646</v>
      </c>
      <c r="F2965" s="829">
        <v>27.61</v>
      </c>
      <c r="G2965" s="830">
        <v>15.28</v>
      </c>
      <c r="H2965" s="831">
        <v>42.89</v>
      </c>
      <c r="I2965" s="846"/>
      <c r="J2965" s="846"/>
      <c r="K2965" s="846"/>
      <c r="L2965" s="846"/>
      <c r="M2965" s="846"/>
      <c r="N2965" s="846"/>
      <c r="O2965" s="846"/>
      <c r="P2965" s="846"/>
      <c r="Q2965" s="846"/>
      <c r="R2965" s="846"/>
      <c r="S2965" s="846"/>
      <c r="T2965" s="846"/>
    </row>
    <row r="2966" spans="2:20" ht="25.5" hidden="1">
      <c r="B2966" s="828" t="s">
        <v>6562</v>
      </c>
      <c r="C2966" s="828">
        <v>91987</v>
      </c>
      <c r="D2966" s="630" t="s">
        <v>2365</v>
      </c>
      <c r="E2966" s="630" t="s">
        <v>646</v>
      </c>
      <c r="F2966" s="829">
        <v>33.950000000000003</v>
      </c>
      <c r="G2966" s="830">
        <v>18.329999999999998</v>
      </c>
      <c r="H2966" s="831">
        <v>52.28</v>
      </c>
      <c r="I2966" s="846"/>
      <c r="J2966" s="846"/>
      <c r="K2966" s="846"/>
      <c r="L2966" s="846"/>
      <c r="M2966" s="846"/>
      <c r="N2966" s="846"/>
      <c r="O2966" s="846"/>
      <c r="P2966" s="846"/>
      <c r="Q2966" s="846"/>
      <c r="R2966" s="846"/>
      <c r="S2966" s="846"/>
      <c r="T2966" s="846"/>
    </row>
    <row r="2967" spans="2:20" ht="25.5" hidden="1">
      <c r="B2967" s="828" t="s">
        <v>6562</v>
      </c>
      <c r="C2967" s="828">
        <v>91988</v>
      </c>
      <c r="D2967" s="630" t="s">
        <v>2366</v>
      </c>
      <c r="E2967" s="630" t="s">
        <v>646</v>
      </c>
      <c r="F2967" s="829">
        <v>15.19</v>
      </c>
      <c r="G2967" s="830">
        <v>9.8000000000000007</v>
      </c>
      <c r="H2967" s="831">
        <v>24.99</v>
      </c>
      <c r="I2967" s="846"/>
      <c r="J2967" s="846"/>
      <c r="K2967" s="846"/>
      <c r="L2967" s="846"/>
      <c r="M2967" s="846"/>
      <c r="N2967" s="846"/>
      <c r="O2967" s="846"/>
      <c r="P2967" s="846"/>
      <c r="Q2967" s="846"/>
      <c r="R2967" s="846"/>
      <c r="S2967" s="846"/>
      <c r="T2967" s="846"/>
    </row>
    <row r="2968" spans="2:20" ht="25.5" hidden="1">
      <c r="B2968" s="828" t="s">
        <v>6562</v>
      </c>
      <c r="C2968" s="828">
        <v>91989</v>
      </c>
      <c r="D2968" s="630" t="s">
        <v>2367</v>
      </c>
      <c r="E2968" s="630" t="s">
        <v>646</v>
      </c>
      <c r="F2968" s="829">
        <v>21.53</v>
      </c>
      <c r="G2968" s="830">
        <v>12.85</v>
      </c>
      <c r="H2968" s="831">
        <v>34.380000000000003</v>
      </c>
      <c r="I2968" s="846"/>
      <c r="J2968" s="846"/>
      <c r="K2968" s="846"/>
      <c r="L2968" s="846"/>
      <c r="M2968" s="846"/>
      <c r="N2968" s="846"/>
      <c r="O2968" s="846"/>
      <c r="P2968" s="846"/>
      <c r="Q2968" s="846"/>
      <c r="R2968" s="846"/>
      <c r="S2968" s="846"/>
      <c r="T2968" s="846"/>
    </row>
    <row r="2969" spans="2:20" ht="25.5" hidden="1">
      <c r="B2969" s="828" t="s">
        <v>6562</v>
      </c>
      <c r="C2969" s="828">
        <v>91990</v>
      </c>
      <c r="D2969" s="630" t="s">
        <v>1040</v>
      </c>
      <c r="E2969" s="630" t="s">
        <v>646</v>
      </c>
      <c r="F2969" s="829">
        <v>16.309999999999999</v>
      </c>
      <c r="G2969" s="830">
        <v>21.62</v>
      </c>
      <c r="H2969" s="831">
        <v>37.93</v>
      </c>
      <c r="I2969" s="846"/>
      <c r="J2969" s="846"/>
      <c r="K2969" s="846"/>
      <c r="L2969" s="846"/>
      <c r="M2969" s="846"/>
      <c r="N2969" s="846"/>
      <c r="O2969" s="846"/>
      <c r="P2969" s="846"/>
      <c r="Q2969" s="846"/>
      <c r="R2969" s="846"/>
      <c r="S2969" s="846"/>
      <c r="T2969" s="846"/>
    </row>
    <row r="2970" spans="2:20" ht="25.5" hidden="1">
      <c r="B2970" s="828" t="s">
        <v>6562</v>
      </c>
      <c r="C2970" s="828">
        <v>91991</v>
      </c>
      <c r="D2970" s="630" t="s">
        <v>1041</v>
      </c>
      <c r="E2970" s="630" t="s">
        <v>646</v>
      </c>
      <c r="F2970" s="829">
        <v>19.03</v>
      </c>
      <c r="G2970" s="830">
        <v>21.62</v>
      </c>
      <c r="H2970" s="831">
        <v>40.65</v>
      </c>
      <c r="I2970" s="846"/>
      <c r="J2970" s="846"/>
      <c r="K2970" s="846"/>
      <c r="L2970" s="846"/>
      <c r="M2970" s="846"/>
      <c r="N2970" s="846"/>
      <c r="O2970" s="846"/>
      <c r="P2970" s="846"/>
      <c r="Q2970" s="846"/>
      <c r="R2970" s="846"/>
      <c r="S2970" s="846"/>
      <c r="T2970" s="846"/>
    </row>
    <row r="2971" spans="2:20" ht="25.5" hidden="1">
      <c r="B2971" s="828" t="s">
        <v>6562</v>
      </c>
      <c r="C2971" s="828">
        <v>91992</v>
      </c>
      <c r="D2971" s="630" t="s">
        <v>1042</v>
      </c>
      <c r="E2971" s="630" t="s">
        <v>646</v>
      </c>
      <c r="F2971" s="829">
        <v>22.64</v>
      </c>
      <c r="G2971" s="830">
        <v>24.68</v>
      </c>
      <c r="H2971" s="831">
        <v>47.32</v>
      </c>
      <c r="I2971" s="846"/>
      <c r="J2971" s="846"/>
      <c r="K2971" s="846"/>
      <c r="L2971" s="846"/>
      <c r="M2971" s="846"/>
      <c r="N2971" s="846"/>
      <c r="O2971" s="846"/>
      <c r="P2971" s="846"/>
      <c r="Q2971" s="846"/>
      <c r="R2971" s="846"/>
      <c r="S2971" s="846"/>
      <c r="T2971" s="846"/>
    </row>
    <row r="2972" spans="2:20" ht="25.5" hidden="1">
      <c r="B2972" s="828" t="s">
        <v>6562</v>
      </c>
      <c r="C2972" s="828">
        <v>91993</v>
      </c>
      <c r="D2972" s="630" t="s">
        <v>1043</v>
      </c>
      <c r="E2972" s="630" t="s">
        <v>646</v>
      </c>
      <c r="F2972" s="829">
        <v>25.38</v>
      </c>
      <c r="G2972" s="830">
        <v>24.66</v>
      </c>
      <c r="H2972" s="831">
        <v>50.04</v>
      </c>
      <c r="I2972" s="846"/>
      <c r="J2972" s="846"/>
      <c r="K2972" s="846"/>
      <c r="L2972" s="846"/>
      <c r="M2972" s="846"/>
      <c r="N2972" s="846"/>
      <c r="O2972" s="846"/>
      <c r="P2972" s="846"/>
      <c r="Q2972" s="846"/>
      <c r="R2972" s="846"/>
      <c r="S2972" s="846"/>
      <c r="T2972" s="846"/>
    </row>
    <row r="2973" spans="2:20" ht="25.5" hidden="1">
      <c r="B2973" s="828" t="s">
        <v>6562</v>
      </c>
      <c r="C2973" s="828">
        <v>91994</v>
      </c>
      <c r="D2973" s="630" t="s">
        <v>1044</v>
      </c>
      <c r="E2973" s="630" t="s">
        <v>646</v>
      </c>
      <c r="F2973" s="829">
        <v>13.82</v>
      </c>
      <c r="G2973" s="830">
        <v>13.42</v>
      </c>
      <c r="H2973" s="831">
        <v>27.24</v>
      </c>
      <c r="I2973" s="846"/>
      <c r="J2973" s="846"/>
      <c r="K2973" s="846"/>
      <c r="L2973" s="846"/>
      <c r="M2973" s="846"/>
      <c r="N2973" s="846"/>
      <c r="O2973" s="846"/>
      <c r="P2973" s="846"/>
      <c r="Q2973" s="846"/>
      <c r="R2973" s="846"/>
      <c r="S2973" s="846"/>
      <c r="T2973" s="846"/>
    </row>
    <row r="2974" spans="2:20" ht="25.5" hidden="1">
      <c r="B2974" s="828" t="s">
        <v>6562</v>
      </c>
      <c r="C2974" s="828">
        <v>91995</v>
      </c>
      <c r="D2974" s="630" t="s">
        <v>1045</v>
      </c>
      <c r="E2974" s="630" t="s">
        <v>646</v>
      </c>
      <c r="F2974" s="829">
        <v>16.54</v>
      </c>
      <c r="G2974" s="830">
        <v>13.42</v>
      </c>
      <c r="H2974" s="831">
        <v>29.96</v>
      </c>
      <c r="I2974" s="846"/>
      <c r="J2974" s="846"/>
      <c r="K2974" s="846"/>
      <c r="L2974" s="846"/>
      <c r="M2974" s="846"/>
      <c r="N2974" s="846"/>
      <c r="O2974" s="846"/>
      <c r="P2974" s="846"/>
      <c r="Q2974" s="846"/>
      <c r="R2974" s="846"/>
      <c r="S2974" s="846"/>
      <c r="T2974" s="846"/>
    </row>
    <row r="2975" spans="2:20" ht="25.5" hidden="1">
      <c r="B2975" s="828" t="s">
        <v>6562</v>
      </c>
      <c r="C2975" s="828">
        <v>91996</v>
      </c>
      <c r="D2975" s="630" t="s">
        <v>1046</v>
      </c>
      <c r="E2975" s="630" t="s">
        <v>646</v>
      </c>
      <c r="F2975" s="829">
        <v>20.16</v>
      </c>
      <c r="G2975" s="830">
        <v>16.47</v>
      </c>
      <c r="H2975" s="831">
        <v>36.630000000000003</v>
      </c>
      <c r="I2975" s="846"/>
      <c r="J2975" s="846"/>
      <c r="K2975" s="846"/>
      <c r="L2975" s="846"/>
      <c r="M2975" s="846"/>
      <c r="N2975" s="846"/>
      <c r="O2975" s="846"/>
      <c r="P2975" s="846"/>
      <c r="Q2975" s="846"/>
      <c r="R2975" s="846"/>
      <c r="S2975" s="846"/>
      <c r="T2975" s="846"/>
    </row>
    <row r="2976" spans="2:20" ht="25.5" hidden="1">
      <c r="B2976" s="828" t="s">
        <v>6562</v>
      </c>
      <c r="C2976" s="828">
        <v>91997</v>
      </c>
      <c r="D2976" s="630" t="s">
        <v>1047</v>
      </c>
      <c r="E2976" s="630" t="s">
        <v>646</v>
      </c>
      <c r="F2976" s="829">
        <v>22.88</v>
      </c>
      <c r="G2976" s="830">
        <v>16.47</v>
      </c>
      <c r="H2976" s="831">
        <v>39.35</v>
      </c>
      <c r="I2976" s="846"/>
      <c r="J2976" s="846"/>
      <c r="K2976" s="846"/>
      <c r="L2976" s="846"/>
      <c r="M2976" s="846"/>
      <c r="N2976" s="846"/>
      <c r="O2976" s="846"/>
      <c r="P2976" s="846"/>
      <c r="Q2976" s="846"/>
      <c r="R2976" s="846"/>
      <c r="S2976" s="846"/>
      <c r="T2976" s="846"/>
    </row>
    <row r="2977" spans="2:20" ht="25.5" hidden="1">
      <c r="B2977" s="828" t="s">
        <v>6562</v>
      </c>
      <c r="C2977" s="828">
        <v>91998</v>
      </c>
      <c r="D2977" s="630" t="s">
        <v>1048</v>
      </c>
      <c r="E2977" s="630" t="s">
        <v>646</v>
      </c>
      <c r="F2977" s="829">
        <v>12.87</v>
      </c>
      <c r="G2977" s="830">
        <v>10.220000000000001</v>
      </c>
      <c r="H2977" s="831">
        <v>23.09</v>
      </c>
      <c r="I2977" s="846"/>
      <c r="J2977" s="846"/>
      <c r="K2977" s="846"/>
      <c r="L2977" s="846"/>
      <c r="M2977" s="846"/>
      <c r="N2977" s="846"/>
      <c r="O2977" s="846"/>
      <c r="P2977" s="846"/>
      <c r="Q2977" s="846"/>
      <c r="R2977" s="846"/>
      <c r="S2977" s="846"/>
      <c r="T2977" s="846"/>
    </row>
    <row r="2978" spans="2:20" ht="25.5" hidden="1">
      <c r="B2978" s="828" t="s">
        <v>6562</v>
      </c>
      <c r="C2978" s="828">
        <v>91999</v>
      </c>
      <c r="D2978" s="630" t="s">
        <v>1115</v>
      </c>
      <c r="E2978" s="630" t="s">
        <v>646</v>
      </c>
      <c r="F2978" s="829">
        <v>15.6</v>
      </c>
      <c r="G2978" s="830">
        <v>10.210000000000001</v>
      </c>
      <c r="H2978" s="831">
        <v>25.81</v>
      </c>
      <c r="I2978" s="846"/>
      <c r="J2978" s="846"/>
      <c r="K2978" s="846"/>
      <c r="L2978" s="846"/>
      <c r="M2978" s="846"/>
      <c r="N2978" s="846"/>
      <c r="O2978" s="846"/>
      <c r="P2978" s="846"/>
      <c r="Q2978" s="846"/>
      <c r="R2978" s="846"/>
      <c r="S2978" s="846"/>
      <c r="T2978" s="846"/>
    </row>
    <row r="2979" spans="2:20" ht="25.5" hidden="1">
      <c r="B2979" s="828" t="s">
        <v>6562</v>
      </c>
      <c r="C2979" s="828">
        <v>92000</v>
      </c>
      <c r="D2979" s="630" t="s">
        <v>1116</v>
      </c>
      <c r="E2979" s="630" t="s">
        <v>646</v>
      </c>
      <c r="F2979" s="829">
        <v>19.21</v>
      </c>
      <c r="G2979" s="830">
        <v>13.27</v>
      </c>
      <c r="H2979" s="831">
        <v>32.479999999999997</v>
      </c>
      <c r="I2979" s="846"/>
      <c r="J2979" s="846"/>
      <c r="K2979" s="846"/>
      <c r="L2979" s="846"/>
      <c r="M2979" s="846"/>
      <c r="N2979" s="846"/>
      <c r="O2979" s="846"/>
      <c r="P2979" s="846"/>
      <c r="Q2979" s="846"/>
      <c r="R2979" s="846"/>
      <c r="S2979" s="846"/>
      <c r="T2979" s="846"/>
    </row>
    <row r="2980" spans="2:20" ht="25.5" hidden="1">
      <c r="B2980" s="828" t="s">
        <v>6562</v>
      </c>
      <c r="C2980" s="828">
        <v>92001</v>
      </c>
      <c r="D2980" s="630" t="s">
        <v>1117</v>
      </c>
      <c r="E2980" s="630" t="s">
        <v>646</v>
      </c>
      <c r="F2980" s="829">
        <v>21.93</v>
      </c>
      <c r="G2980" s="830">
        <v>13.27</v>
      </c>
      <c r="H2980" s="831">
        <v>35.200000000000003</v>
      </c>
      <c r="I2980" s="846"/>
      <c r="J2980" s="846"/>
      <c r="K2980" s="846"/>
      <c r="L2980" s="846"/>
      <c r="M2980" s="846"/>
      <c r="N2980" s="846"/>
      <c r="O2980" s="846"/>
      <c r="P2980" s="846"/>
      <c r="Q2980" s="846"/>
      <c r="R2980" s="846"/>
      <c r="S2980" s="846"/>
      <c r="T2980" s="846"/>
    </row>
    <row r="2981" spans="2:20" ht="25.5" hidden="1">
      <c r="B2981" s="828" t="s">
        <v>6562</v>
      </c>
      <c r="C2981" s="828">
        <v>92002</v>
      </c>
      <c r="D2981" s="630" t="s">
        <v>1118</v>
      </c>
      <c r="E2981" s="630" t="s">
        <v>646</v>
      </c>
      <c r="F2981" s="829">
        <v>26.86</v>
      </c>
      <c r="G2981" s="830">
        <v>24.16</v>
      </c>
      <c r="H2981" s="831">
        <v>51.02</v>
      </c>
      <c r="I2981" s="846"/>
      <c r="J2981" s="846"/>
      <c r="K2981" s="846"/>
      <c r="L2981" s="846"/>
      <c r="M2981" s="846"/>
      <c r="N2981" s="846"/>
      <c r="O2981" s="846"/>
      <c r="P2981" s="846"/>
      <c r="Q2981" s="846"/>
      <c r="R2981" s="846"/>
      <c r="S2981" s="846"/>
      <c r="T2981" s="846"/>
    </row>
    <row r="2982" spans="2:20" ht="25.5" hidden="1">
      <c r="B2982" s="828" t="s">
        <v>6562</v>
      </c>
      <c r="C2982" s="828">
        <v>92003</v>
      </c>
      <c r="D2982" s="630" t="s">
        <v>1119</v>
      </c>
      <c r="E2982" s="630" t="s">
        <v>646</v>
      </c>
      <c r="F2982" s="829">
        <v>32.31</v>
      </c>
      <c r="G2982" s="830">
        <v>24.15</v>
      </c>
      <c r="H2982" s="831">
        <v>56.46</v>
      </c>
      <c r="I2982" s="846"/>
      <c r="J2982" s="846"/>
      <c r="K2982" s="846"/>
      <c r="L2982" s="846"/>
      <c r="M2982" s="846"/>
      <c r="N2982" s="846"/>
      <c r="O2982" s="846"/>
      <c r="P2982" s="846"/>
      <c r="Q2982" s="846"/>
      <c r="R2982" s="846"/>
      <c r="S2982" s="846"/>
      <c r="T2982" s="846"/>
    </row>
    <row r="2983" spans="2:20" ht="25.5" hidden="1">
      <c r="B2983" s="828" t="s">
        <v>6562</v>
      </c>
      <c r="C2983" s="828">
        <v>92004</v>
      </c>
      <c r="D2983" s="630" t="s">
        <v>1120</v>
      </c>
      <c r="E2983" s="630" t="s">
        <v>646</v>
      </c>
      <c r="F2983" s="829">
        <v>33.200000000000003</v>
      </c>
      <c r="G2983" s="830">
        <v>27.21</v>
      </c>
      <c r="H2983" s="831">
        <v>60.41</v>
      </c>
      <c r="I2983" s="846"/>
      <c r="J2983" s="846"/>
      <c r="K2983" s="846"/>
      <c r="L2983" s="846"/>
      <c r="M2983" s="846"/>
      <c r="N2983" s="846"/>
      <c r="O2983" s="846"/>
      <c r="P2983" s="846"/>
      <c r="Q2983" s="846"/>
      <c r="R2983" s="846"/>
      <c r="S2983" s="846"/>
      <c r="T2983" s="846"/>
    </row>
    <row r="2984" spans="2:20" ht="25.5" hidden="1">
      <c r="B2984" s="828" t="s">
        <v>6562</v>
      </c>
      <c r="C2984" s="828">
        <v>92005</v>
      </c>
      <c r="D2984" s="630" t="s">
        <v>1121</v>
      </c>
      <c r="E2984" s="630" t="s">
        <v>646</v>
      </c>
      <c r="F2984" s="829">
        <v>38.64</v>
      </c>
      <c r="G2984" s="830">
        <v>27.21</v>
      </c>
      <c r="H2984" s="831">
        <v>65.849999999999994</v>
      </c>
      <c r="I2984" s="846"/>
      <c r="J2984" s="846"/>
      <c r="K2984" s="846"/>
      <c r="L2984" s="846"/>
      <c r="M2984" s="846"/>
      <c r="N2984" s="846"/>
      <c r="O2984" s="846"/>
      <c r="P2984" s="846"/>
      <c r="Q2984" s="846"/>
      <c r="R2984" s="846"/>
      <c r="S2984" s="846"/>
      <c r="T2984" s="846"/>
    </row>
    <row r="2985" spans="2:20" ht="25.5" hidden="1">
      <c r="B2985" s="828" t="s">
        <v>6562</v>
      </c>
      <c r="C2985" s="828">
        <v>92006</v>
      </c>
      <c r="D2985" s="630" t="s">
        <v>1122</v>
      </c>
      <c r="E2985" s="630" t="s">
        <v>646</v>
      </c>
      <c r="F2985" s="829">
        <v>24.91</v>
      </c>
      <c r="G2985" s="830">
        <v>17.809999999999999</v>
      </c>
      <c r="H2985" s="831">
        <v>42.72</v>
      </c>
      <c r="I2985" s="846"/>
      <c r="J2985" s="846"/>
      <c r="K2985" s="846"/>
      <c r="L2985" s="846"/>
      <c r="M2985" s="846"/>
      <c r="N2985" s="846"/>
      <c r="O2985" s="846"/>
      <c r="P2985" s="846"/>
      <c r="Q2985" s="846"/>
      <c r="R2985" s="846"/>
      <c r="S2985" s="846"/>
      <c r="T2985" s="846"/>
    </row>
    <row r="2986" spans="2:20" ht="25.5" hidden="1">
      <c r="B2986" s="828" t="s">
        <v>6562</v>
      </c>
      <c r="C2986" s="828">
        <v>92007</v>
      </c>
      <c r="D2986" s="630" t="s">
        <v>1123</v>
      </c>
      <c r="E2986" s="630" t="s">
        <v>646</v>
      </c>
      <c r="F2986" s="829">
        <v>30.35</v>
      </c>
      <c r="G2986" s="830">
        <v>17.809999999999999</v>
      </c>
      <c r="H2986" s="831">
        <v>48.16</v>
      </c>
      <c r="I2986" s="846"/>
      <c r="J2986" s="846"/>
      <c r="K2986" s="846"/>
      <c r="L2986" s="846"/>
      <c r="M2986" s="846"/>
      <c r="N2986" s="846"/>
      <c r="O2986" s="846"/>
      <c r="P2986" s="846"/>
      <c r="Q2986" s="846"/>
      <c r="R2986" s="846"/>
      <c r="S2986" s="846"/>
      <c r="T2986" s="846"/>
    </row>
    <row r="2987" spans="2:20" ht="25.5" hidden="1">
      <c r="B2987" s="828" t="s">
        <v>6562</v>
      </c>
      <c r="C2987" s="828">
        <v>92008</v>
      </c>
      <c r="D2987" s="630" t="s">
        <v>1124</v>
      </c>
      <c r="E2987" s="630" t="s">
        <v>646</v>
      </c>
      <c r="F2987" s="829">
        <v>31.24</v>
      </c>
      <c r="G2987" s="830">
        <v>20.87</v>
      </c>
      <c r="H2987" s="831">
        <v>52.11</v>
      </c>
      <c r="I2987" s="846"/>
      <c r="J2987" s="846"/>
      <c r="K2987" s="846"/>
      <c r="L2987" s="846"/>
      <c r="M2987" s="846"/>
      <c r="N2987" s="846"/>
      <c r="O2987" s="846"/>
      <c r="P2987" s="846"/>
      <c r="Q2987" s="846"/>
      <c r="R2987" s="846"/>
      <c r="S2987" s="846"/>
      <c r="T2987" s="846"/>
    </row>
    <row r="2988" spans="2:20" ht="25.5" hidden="1">
      <c r="B2988" s="828" t="s">
        <v>6562</v>
      </c>
      <c r="C2988" s="828">
        <v>92009</v>
      </c>
      <c r="D2988" s="630" t="s">
        <v>1125</v>
      </c>
      <c r="E2988" s="630" t="s">
        <v>646</v>
      </c>
      <c r="F2988" s="829">
        <v>36.69</v>
      </c>
      <c r="G2988" s="830">
        <v>20.86</v>
      </c>
      <c r="H2988" s="831">
        <v>57.55</v>
      </c>
      <c r="I2988" s="846"/>
      <c r="J2988" s="846"/>
      <c r="K2988" s="846"/>
      <c r="L2988" s="846"/>
      <c r="M2988" s="846"/>
      <c r="N2988" s="846"/>
      <c r="O2988" s="846"/>
      <c r="P2988" s="846"/>
      <c r="Q2988" s="846"/>
      <c r="R2988" s="846"/>
      <c r="S2988" s="846"/>
      <c r="T2988" s="846"/>
    </row>
    <row r="2989" spans="2:20" ht="25.5" hidden="1">
      <c r="B2989" s="828" t="s">
        <v>6562</v>
      </c>
      <c r="C2989" s="828">
        <v>92010</v>
      </c>
      <c r="D2989" s="630" t="s">
        <v>1126</v>
      </c>
      <c r="E2989" s="630" t="s">
        <v>646</v>
      </c>
      <c r="F2989" s="829">
        <v>39.869999999999997</v>
      </c>
      <c r="G2989" s="830">
        <v>34.93</v>
      </c>
      <c r="H2989" s="831">
        <v>74.8</v>
      </c>
      <c r="I2989" s="846"/>
      <c r="J2989" s="846"/>
      <c r="K2989" s="846"/>
      <c r="L2989" s="846"/>
      <c r="M2989" s="846"/>
      <c r="N2989" s="846"/>
      <c r="O2989" s="846"/>
      <c r="P2989" s="846"/>
      <c r="Q2989" s="846"/>
      <c r="R2989" s="846"/>
      <c r="S2989" s="846"/>
      <c r="T2989" s="846"/>
    </row>
    <row r="2990" spans="2:20" ht="25.5" hidden="1">
      <c r="B2990" s="828" t="s">
        <v>6562</v>
      </c>
      <c r="C2990" s="828">
        <v>92011</v>
      </c>
      <c r="D2990" s="630" t="s">
        <v>1127</v>
      </c>
      <c r="E2990" s="630" t="s">
        <v>646</v>
      </c>
      <c r="F2990" s="829">
        <v>48.04</v>
      </c>
      <c r="G2990" s="830">
        <v>34.92</v>
      </c>
      <c r="H2990" s="831">
        <v>82.96</v>
      </c>
      <c r="I2990" s="846"/>
      <c r="J2990" s="846"/>
      <c r="K2990" s="846"/>
      <c r="L2990" s="846"/>
      <c r="M2990" s="846"/>
      <c r="N2990" s="846"/>
      <c r="O2990" s="846"/>
      <c r="P2990" s="846"/>
      <c r="Q2990" s="846"/>
      <c r="R2990" s="846"/>
      <c r="S2990" s="846"/>
      <c r="T2990" s="846"/>
    </row>
    <row r="2991" spans="2:20" ht="25.5" hidden="1">
      <c r="B2991" s="828" t="s">
        <v>6562</v>
      </c>
      <c r="C2991" s="828">
        <v>92012</v>
      </c>
      <c r="D2991" s="630" t="s">
        <v>1128</v>
      </c>
      <c r="E2991" s="630" t="s">
        <v>646</v>
      </c>
      <c r="F2991" s="829">
        <v>46.21</v>
      </c>
      <c r="G2991" s="830">
        <v>37.979999999999997</v>
      </c>
      <c r="H2991" s="831">
        <v>84.19</v>
      </c>
      <c r="I2991" s="846"/>
      <c r="J2991" s="846"/>
      <c r="K2991" s="846"/>
      <c r="L2991" s="846"/>
      <c r="M2991" s="846"/>
      <c r="N2991" s="846"/>
      <c r="O2991" s="846"/>
      <c r="P2991" s="846"/>
      <c r="Q2991" s="846"/>
      <c r="R2991" s="846"/>
      <c r="S2991" s="846"/>
      <c r="T2991" s="846"/>
    </row>
    <row r="2992" spans="2:20" ht="25.5" hidden="1">
      <c r="B2992" s="828" t="s">
        <v>6562</v>
      </c>
      <c r="C2992" s="828">
        <v>92013</v>
      </c>
      <c r="D2992" s="630" t="s">
        <v>1129</v>
      </c>
      <c r="E2992" s="630" t="s">
        <v>646</v>
      </c>
      <c r="F2992" s="829">
        <v>54.37</v>
      </c>
      <c r="G2992" s="830">
        <v>37.979999999999997</v>
      </c>
      <c r="H2992" s="831">
        <v>92.35</v>
      </c>
      <c r="I2992" s="846"/>
      <c r="J2992" s="846"/>
      <c r="K2992" s="846"/>
      <c r="L2992" s="846"/>
      <c r="M2992" s="846"/>
      <c r="N2992" s="846"/>
      <c r="O2992" s="846"/>
      <c r="P2992" s="846"/>
      <c r="Q2992" s="846"/>
      <c r="R2992" s="846"/>
      <c r="S2992" s="846"/>
      <c r="T2992" s="846"/>
    </row>
    <row r="2993" spans="2:20" ht="25.5" hidden="1">
      <c r="B2993" s="828" t="s">
        <v>6562</v>
      </c>
      <c r="C2993" s="828">
        <v>92014</v>
      </c>
      <c r="D2993" s="630" t="s">
        <v>1130</v>
      </c>
      <c r="E2993" s="630" t="s">
        <v>646</v>
      </c>
      <c r="F2993" s="829">
        <v>36.97</v>
      </c>
      <c r="G2993" s="830">
        <v>25.38</v>
      </c>
      <c r="H2993" s="831">
        <v>62.35</v>
      </c>
      <c r="I2993" s="846"/>
      <c r="J2993" s="846"/>
      <c r="K2993" s="846"/>
      <c r="L2993" s="846"/>
      <c r="M2993" s="846"/>
      <c r="N2993" s="846"/>
      <c r="O2993" s="846"/>
      <c r="P2993" s="846"/>
      <c r="Q2993" s="846"/>
      <c r="R2993" s="846"/>
      <c r="S2993" s="846"/>
      <c r="T2993" s="846"/>
    </row>
    <row r="2994" spans="2:20" ht="25.5" hidden="1">
      <c r="B2994" s="828" t="s">
        <v>6562</v>
      </c>
      <c r="C2994" s="828">
        <v>92015</v>
      </c>
      <c r="D2994" s="630" t="s">
        <v>1131</v>
      </c>
      <c r="E2994" s="630" t="s">
        <v>646</v>
      </c>
      <c r="F2994" s="829">
        <v>45.14</v>
      </c>
      <c r="G2994" s="830">
        <v>25.37</v>
      </c>
      <c r="H2994" s="831">
        <v>70.510000000000005</v>
      </c>
      <c r="I2994" s="846"/>
      <c r="J2994" s="846"/>
      <c r="K2994" s="846"/>
      <c r="L2994" s="846"/>
      <c r="M2994" s="846"/>
      <c r="N2994" s="846"/>
      <c r="O2994" s="846"/>
      <c r="P2994" s="846"/>
      <c r="Q2994" s="846"/>
      <c r="R2994" s="846"/>
      <c r="S2994" s="846"/>
      <c r="T2994" s="846"/>
    </row>
    <row r="2995" spans="2:20" ht="25.5" hidden="1">
      <c r="B2995" s="828" t="s">
        <v>6562</v>
      </c>
      <c r="C2995" s="828">
        <v>92016</v>
      </c>
      <c r="D2995" s="630" t="s">
        <v>1132</v>
      </c>
      <c r="E2995" s="630" t="s">
        <v>646</v>
      </c>
      <c r="F2995" s="829">
        <v>43.31</v>
      </c>
      <c r="G2995" s="830">
        <v>28.43</v>
      </c>
      <c r="H2995" s="831">
        <v>71.739999999999995</v>
      </c>
      <c r="I2995" s="846"/>
      <c r="J2995" s="846"/>
      <c r="K2995" s="846"/>
      <c r="L2995" s="846"/>
      <c r="M2995" s="846"/>
      <c r="N2995" s="846"/>
      <c r="O2995" s="846"/>
      <c r="P2995" s="846"/>
      <c r="Q2995" s="846"/>
      <c r="R2995" s="846"/>
      <c r="S2995" s="846"/>
      <c r="T2995" s="846"/>
    </row>
    <row r="2996" spans="2:20" ht="25.5" hidden="1">
      <c r="B2996" s="828" t="s">
        <v>6562</v>
      </c>
      <c r="C2996" s="828">
        <v>92017</v>
      </c>
      <c r="D2996" s="630" t="s">
        <v>1133</v>
      </c>
      <c r="E2996" s="630" t="s">
        <v>646</v>
      </c>
      <c r="F2996" s="829">
        <v>51.47</v>
      </c>
      <c r="G2996" s="830">
        <v>28.43</v>
      </c>
      <c r="H2996" s="831">
        <v>79.900000000000006</v>
      </c>
      <c r="I2996" s="846"/>
      <c r="J2996" s="846"/>
      <c r="K2996" s="846"/>
      <c r="L2996" s="846"/>
      <c r="M2996" s="846"/>
      <c r="N2996" s="846"/>
      <c r="O2996" s="846"/>
      <c r="P2996" s="846"/>
      <c r="Q2996" s="846"/>
      <c r="R2996" s="846"/>
      <c r="S2996" s="846"/>
      <c r="T2996" s="846"/>
    </row>
    <row r="2997" spans="2:20" ht="25.5" hidden="1">
      <c r="B2997" s="828" t="s">
        <v>6562</v>
      </c>
      <c r="C2997" s="828">
        <v>92018</v>
      </c>
      <c r="D2997" s="630" t="s">
        <v>1134</v>
      </c>
      <c r="E2997" s="630" t="s">
        <v>646</v>
      </c>
      <c r="F2997" s="829">
        <v>49.16</v>
      </c>
      <c r="G2997" s="830">
        <v>33.4</v>
      </c>
      <c r="H2997" s="831">
        <v>82.56</v>
      </c>
      <c r="I2997" s="846"/>
      <c r="J2997" s="846"/>
      <c r="K2997" s="846"/>
      <c r="L2997" s="846"/>
      <c r="M2997" s="846"/>
      <c r="N2997" s="846"/>
      <c r="O2997" s="846"/>
      <c r="P2997" s="846"/>
      <c r="Q2997" s="846"/>
      <c r="R2997" s="846"/>
      <c r="S2997" s="846"/>
      <c r="T2997" s="846"/>
    </row>
    <row r="2998" spans="2:20" ht="25.5" hidden="1">
      <c r="B2998" s="828" t="s">
        <v>6562</v>
      </c>
      <c r="C2998" s="828">
        <v>92019</v>
      </c>
      <c r="D2998" s="630" t="s">
        <v>1135</v>
      </c>
      <c r="E2998" s="630" t="s">
        <v>646</v>
      </c>
      <c r="F2998" s="829">
        <v>60.57</v>
      </c>
      <c r="G2998" s="830">
        <v>37.01</v>
      </c>
      <c r="H2998" s="831">
        <v>97.58</v>
      </c>
      <c r="I2998" s="846"/>
      <c r="J2998" s="846"/>
      <c r="K2998" s="846"/>
      <c r="L2998" s="846"/>
      <c r="M2998" s="846"/>
      <c r="N2998" s="846"/>
      <c r="O2998" s="846"/>
      <c r="P2998" s="846"/>
      <c r="Q2998" s="846"/>
      <c r="R2998" s="846"/>
      <c r="S2998" s="846"/>
      <c r="T2998" s="846"/>
    </row>
    <row r="2999" spans="2:20" ht="25.5" hidden="1">
      <c r="B2999" s="828" t="s">
        <v>6562</v>
      </c>
      <c r="C2999" s="828">
        <v>92020</v>
      </c>
      <c r="D2999" s="630" t="s">
        <v>1136</v>
      </c>
      <c r="E2999" s="630" t="s">
        <v>646</v>
      </c>
      <c r="F2999" s="829">
        <v>73.34</v>
      </c>
      <c r="G2999" s="830">
        <v>48.76</v>
      </c>
      <c r="H2999" s="831">
        <v>122.1</v>
      </c>
      <c r="I2999" s="846"/>
      <c r="J2999" s="846"/>
      <c r="K2999" s="846"/>
      <c r="L2999" s="846"/>
      <c r="M2999" s="846"/>
      <c r="N2999" s="846"/>
      <c r="O2999" s="846"/>
      <c r="P2999" s="846"/>
      <c r="Q2999" s="846"/>
      <c r="R2999" s="846"/>
      <c r="S2999" s="846"/>
      <c r="T2999" s="846"/>
    </row>
    <row r="3000" spans="2:20" ht="25.5" hidden="1">
      <c r="B3000" s="828" t="s">
        <v>6562</v>
      </c>
      <c r="C3000" s="828">
        <v>92021</v>
      </c>
      <c r="D3000" s="630" t="s">
        <v>1137</v>
      </c>
      <c r="E3000" s="630" t="s">
        <v>646</v>
      </c>
      <c r="F3000" s="829">
        <v>84.75</v>
      </c>
      <c r="G3000" s="830">
        <v>52.37</v>
      </c>
      <c r="H3000" s="831">
        <v>137.12</v>
      </c>
      <c r="I3000" s="846"/>
      <c r="J3000" s="846"/>
      <c r="K3000" s="846"/>
      <c r="L3000" s="846"/>
      <c r="M3000" s="846"/>
      <c r="N3000" s="846"/>
      <c r="O3000" s="846"/>
      <c r="P3000" s="846"/>
      <c r="Q3000" s="846"/>
      <c r="R3000" s="846"/>
      <c r="S3000" s="846"/>
      <c r="T3000" s="846"/>
    </row>
    <row r="3001" spans="2:20" ht="25.5" hidden="1">
      <c r="B3001" s="828" t="s">
        <v>6562</v>
      </c>
      <c r="C3001" s="828">
        <v>92022</v>
      </c>
      <c r="D3001" s="630" t="s">
        <v>1112</v>
      </c>
      <c r="E3001" s="630" t="s">
        <v>646</v>
      </c>
      <c r="F3001" s="829">
        <v>24.58</v>
      </c>
      <c r="G3001" s="830">
        <v>20.55</v>
      </c>
      <c r="H3001" s="831">
        <v>45.13</v>
      </c>
      <c r="I3001" s="846"/>
      <c r="J3001" s="846"/>
      <c r="K3001" s="846"/>
      <c r="L3001" s="846"/>
      <c r="M3001" s="846"/>
      <c r="N3001" s="846"/>
      <c r="O3001" s="846"/>
      <c r="P3001" s="846"/>
      <c r="Q3001" s="846"/>
      <c r="R3001" s="846"/>
      <c r="S3001" s="846"/>
      <c r="T3001" s="846"/>
    </row>
    <row r="3002" spans="2:20" ht="38.25" hidden="1">
      <c r="B3002" s="828" t="s">
        <v>6562</v>
      </c>
      <c r="C3002" s="828">
        <v>92023</v>
      </c>
      <c r="D3002" s="630" t="s">
        <v>1113</v>
      </c>
      <c r="E3002" s="630" t="s">
        <v>646</v>
      </c>
      <c r="F3002" s="829">
        <v>30.91</v>
      </c>
      <c r="G3002" s="830">
        <v>23.61</v>
      </c>
      <c r="H3002" s="831">
        <v>54.52</v>
      </c>
      <c r="I3002" s="846"/>
      <c r="J3002" s="846"/>
      <c r="K3002" s="846"/>
      <c r="L3002" s="846"/>
      <c r="M3002" s="846"/>
      <c r="N3002" s="846"/>
      <c r="O3002" s="846"/>
      <c r="P3002" s="846"/>
      <c r="Q3002" s="846"/>
      <c r="R3002" s="846"/>
      <c r="S3002" s="846"/>
      <c r="T3002" s="846"/>
    </row>
    <row r="3003" spans="2:20" ht="25.5" hidden="1">
      <c r="B3003" s="828" t="s">
        <v>6562</v>
      </c>
      <c r="C3003" s="828">
        <v>92024</v>
      </c>
      <c r="D3003" s="630" t="s">
        <v>1114</v>
      </c>
      <c r="E3003" s="630" t="s">
        <v>646</v>
      </c>
      <c r="F3003" s="829">
        <v>37.630000000000003</v>
      </c>
      <c r="G3003" s="830">
        <v>31.34</v>
      </c>
      <c r="H3003" s="831">
        <v>68.97</v>
      </c>
      <c r="I3003" s="846"/>
      <c r="J3003" s="846"/>
      <c r="K3003" s="846"/>
      <c r="L3003" s="846"/>
      <c r="M3003" s="846"/>
      <c r="N3003" s="846"/>
      <c r="O3003" s="846"/>
      <c r="P3003" s="846"/>
      <c r="Q3003" s="846"/>
      <c r="R3003" s="846"/>
      <c r="S3003" s="846"/>
      <c r="T3003" s="846"/>
    </row>
    <row r="3004" spans="2:20" ht="38.25" hidden="1">
      <c r="B3004" s="828" t="s">
        <v>6562</v>
      </c>
      <c r="C3004" s="828">
        <v>92025</v>
      </c>
      <c r="D3004" s="630" t="s">
        <v>1023</v>
      </c>
      <c r="E3004" s="630" t="s">
        <v>646</v>
      </c>
      <c r="F3004" s="829">
        <v>43.97</v>
      </c>
      <c r="G3004" s="830">
        <v>34.39</v>
      </c>
      <c r="H3004" s="831">
        <v>78.36</v>
      </c>
      <c r="I3004" s="846"/>
      <c r="J3004" s="846"/>
      <c r="K3004" s="846"/>
      <c r="L3004" s="846"/>
      <c r="M3004" s="846"/>
      <c r="N3004" s="846"/>
      <c r="O3004" s="846"/>
      <c r="P3004" s="846"/>
      <c r="Q3004" s="846"/>
      <c r="R3004" s="846"/>
      <c r="S3004" s="846"/>
      <c r="T3004" s="846"/>
    </row>
    <row r="3005" spans="2:20" ht="25.5" hidden="1">
      <c r="B3005" s="828" t="s">
        <v>6562</v>
      </c>
      <c r="C3005" s="828">
        <v>92026</v>
      </c>
      <c r="D3005" s="630" t="s">
        <v>1024</v>
      </c>
      <c r="E3005" s="630" t="s">
        <v>646</v>
      </c>
      <c r="F3005" s="829">
        <v>35.340000000000003</v>
      </c>
      <c r="G3005" s="830">
        <v>27.73</v>
      </c>
      <c r="H3005" s="831">
        <v>63.07</v>
      </c>
      <c r="I3005" s="846"/>
      <c r="J3005" s="846"/>
      <c r="K3005" s="846"/>
      <c r="L3005" s="846"/>
      <c r="M3005" s="846"/>
      <c r="N3005" s="846"/>
      <c r="O3005" s="846"/>
      <c r="P3005" s="846"/>
      <c r="Q3005" s="846"/>
      <c r="R3005" s="846"/>
      <c r="S3005" s="846"/>
      <c r="T3005" s="846"/>
    </row>
    <row r="3006" spans="2:20" ht="38.25" hidden="1">
      <c r="B3006" s="828" t="s">
        <v>6562</v>
      </c>
      <c r="C3006" s="828">
        <v>92027</v>
      </c>
      <c r="D3006" s="630" t="s">
        <v>1025</v>
      </c>
      <c r="E3006" s="630" t="s">
        <v>646</v>
      </c>
      <c r="F3006" s="829">
        <v>41.67</v>
      </c>
      <c r="G3006" s="830">
        <v>30.79</v>
      </c>
      <c r="H3006" s="831">
        <v>72.459999999999994</v>
      </c>
      <c r="I3006" s="846"/>
      <c r="J3006" s="846"/>
      <c r="K3006" s="846"/>
      <c r="L3006" s="846"/>
      <c r="M3006" s="846"/>
      <c r="N3006" s="846"/>
      <c r="O3006" s="846"/>
      <c r="P3006" s="846"/>
      <c r="Q3006" s="846"/>
      <c r="R3006" s="846"/>
      <c r="S3006" s="846"/>
      <c r="T3006" s="846"/>
    </row>
    <row r="3007" spans="2:20" ht="25.5" hidden="1">
      <c r="B3007" s="828" t="s">
        <v>6562</v>
      </c>
      <c r="C3007" s="828">
        <v>92028</v>
      </c>
      <c r="D3007" s="630" t="s">
        <v>1034</v>
      </c>
      <c r="E3007" s="630" t="s">
        <v>646</v>
      </c>
      <c r="F3007" s="829">
        <v>28.27</v>
      </c>
      <c r="G3007" s="830">
        <v>24.16</v>
      </c>
      <c r="H3007" s="831">
        <v>52.43</v>
      </c>
      <c r="I3007" s="846"/>
      <c r="J3007" s="846"/>
      <c r="K3007" s="846"/>
      <c r="L3007" s="846"/>
      <c r="M3007" s="846"/>
      <c r="N3007" s="846"/>
      <c r="O3007" s="846"/>
      <c r="P3007" s="846"/>
      <c r="Q3007" s="846"/>
      <c r="R3007" s="846"/>
      <c r="S3007" s="846"/>
      <c r="T3007" s="846"/>
    </row>
    <row r="3008" spans="2:20" ht="38.25" hidden="1">
      <c r="B3008" s="828" t="s">
        <v>6562</v>
      </c>
      <c r="C3008" s="828">
        <v>92029</v>
      </c>
      <c r="D3008" s="630" t="s">
        <v>1035</v>
      </c>
      <c r="E3008" s="630" t="s">
        <v>646</v>
      </c>
      <c r="F3008" s="829">
        <v>34.61</v>
      </c>
      <c r="G3008" s="830">
        <v>27.21</v>
      </c>
      <c r="H3008" s="831">
        <v>61.82</v>
      </c>
      <c r="I3008" s="846"/>
      <c r="J3008" s="846"/>
      <c r="K3008" s="846"/>
      <c r="L3008" s="846"/>
      <c r="M3008" s="846"/>
      <c r="N3008" s="846"/>
      <c r="O3008" s="846"/>
      <c r="P3008" s="846"/>
      <c r="Q3008" s="846"/>
      <c r="R3008" s="846"/>
      <c r="S3008" s="846"/>
      <c r="T3008" s="846"/>
    </row>
    <row r="3009" spans="2:20" ht="38.25" hidden="1">
      <c r="B3009" s="828" t="s">
        <v>6562</v>
      </c>
      <c r="C3009" s="828">
        <v>92030</v>
      </c>
      <c r="D3009" s="630" t="s">
        <v>1036</v>
      </c>
      <c r="E3009" s="630" t="s">
        <v>646</v>
      </c>
      <c r="F3009" s="829">
        <v>41.28</v>
      </c>
      <c r="G3009" s="830">
        <v>34.93</v>
      </c>
      <c r="H3009" s="831">
        <v>76.209999999999994</v>
      </c>
      <c r="I3009" s="846"/>
      <c r="J3009" s="846"/>
      <c r="K3009" s="846"/>
      <c r="L3009" s="846"/>
      <c r="M3009" s="846"/>
      <c r="N3009" s="846"/>
      <c r="O3009" s="846"/>
      <c r="P3009" s="846"/>
      <c r="Q3009" s="846"/>
      <c r="R3009" s="846"/>
      <c r="S3009" s="846"/>
      <c r="T3009" s="846"/>
    </row>
    <row r="3010" spans="2:20" ht="38.25" hidden="1">
      <c r="B3010" s="828" t="s">
        <v>6562</v>
      </c>
      <c r="C3010" s="828">
        <v>92031</v>
      </c>
      <c r="D3010" s="630" t="s">
        <v>1037</v>
      </c>
      <c r="E3010" s="630" t="s">
        <v>646</v>
      </c>
      <c r="F3010" s="829">
        <v>47.62</v>
      </c>
      <c r="G3010" s="830">
        <v>37.979999999999997</v>
      </c>
      <c r="H3010" s="831">
        <v>85.6</v>
      </c>
      <c r="I3010" s="846"/>
      <c r="J3010" s="846"/>
      <c r="K3010" s="846"/>
      <c r="L3010" s="846"/>
      <c r="M3010" s="846"/>
      <c r="N3010" s="846"/>
      <c r="O3010" s="846"/>
      <c r="P3010" s="846"/>
      <c r="Q3010" s="846"/>
      <c r="R3010" s="846"/>
      <c r="S3010" s="846"/>
      <c r="T3010" s="846"/>
    </row>
    <row r="3011" spans="2:20" ht="38.25" hidden="1">
      <c r="B3011" s="828" t="s">
        <v>6562</v>
      </c>
      <c r="C3011" s="828">
        <v>92032</v>
      </c>
      <c r="D3011" s="630" t="s">
        <v>1038</v>
      </c>
      <c r="E3011" s="630" t="s">
        <v>646</v>
      </c>
      <c r="F3011" s="829">
        <v>42.69</v>
      </c>
      <c r="G3011" s="830">
        <v>34.93</v>
      </c>
      <c r="H3011" s="831">
        <v>77.62</v>
      </c>
      <c r="I3011" s="846"/>
      <c r="J3011" s="846"/>
      <c r="K3011" s="846"/>
      <c r="L3011" s="846"/>
      <c r="M3011" s="846"/>
      <c r="N3011" s="846"/>
      <c r="O3011" s="846"/>
      <c r="P3011" s="846"/>
      <c r="Q3011" s="846"/>
      <c r="R3011" s="846"/>
      <c r="S3011" s="846"/>
      <c r="T3011" s="846"/>
    </row>
    <row r="3012" spans="2:20" ht="38.25" hidden="1">
      <c r="B3012" s="828" t="s">
        <v>6562</v>
      </c>
      <c r="C3012" s="828">
        <v>92033</v>
      </c>
      <c r="D3012" s="630" t="s">
        <v>1039</v>
      </c>
      <c r="E3012" s="630" t="s">
        <v>646</v>
      </c>
      <c r="F3012" s="829">
        <v>49.03</v>
      </c>
      <c r="G3012" s="830">
        <v>37.979999999999997</v>
      </c>
      <c r="H3012" s="831">
        <v>87.01</v>
      </c>
      <c r="I3012" s="846"/>
      <c r="J3012" s="846"/>
      <c r="K3012" s="846"/>
      <c r="L3012" s="846"/>
      <c r="M3012" s="846"/>
      <c r="N3012" s="846"/>
      <c r="O3012" s="846"/>
      <c r="P3012" s="846"/>
      <c r="Q3012" s="846"/>
      <c r="R3012" s="846"/>
      <c r="S3012" s="846"/>
      <c r="T3012" s="846"/>
    </row>
    <row r="3013" spans="2:20" ht="38.25" hidden="1">
      <c r="B3013" s="828" t="s">
        <v>6562</v>
      </c>
      <c r="C3013" s="828">
        <v>92034</v>
      </c>
      <c r="D3013" s="630" t="s">
        <v>1026</v>
      </c>
      <c r="E3013" s="630" t="s">
        <v>646</v>
      </c>
      <c r="F3013" s="829">
        <v>39.04</v>
      </c>
      <c r="G3013" s="830">
        <v>31.34</v>
      </c>
      <c r="H3013" s="831">
        <v>70.38</v>
      </c>
      <c r="I3013" s="846"/>
      <c r="J3013" s="846"/>
      <c r="K3013" s="846"/>
      <c r="L3013" s="846"/>
      <c r="M3013" s="846"/>
      <c r="N3013" s="846"/>
      <c r="O3013" s="846"/>
      <c r="P3013" s="846"/>
      <c r="Q3013" s="846"/>
      <c r="R3013" s="846"/>
      <c r="S3013" s="846"/>
      <c r="T3013" s="846"/>
    </row>
    <row r="3014" spans="2:20" ht="38.25" hidden="1">
      <c r="B3014" s="828" t="s">
        <v>6562</v>
      </c>
      <c r="C3014" s="828">
        <v>92035</v>
      </c>
      <c r="D3014" s="630" t="s">
        <v>1027</v>
      </c>
      <c r="E3014" s="630" t="s">
        <v>646</v>
      </c>
      <c r="F3014" s="829">
        <v>45.38</v>
      </c>
      <c r="G3014" s="830">
        <v>34.39</v>
      </c>
      <c r="H3014" s="831">
        <v>79.77</v>
      </c>
      <c r="I3014" s="846"/>
      <c r="J3014" s="846"/>
      <c r="K3014" s="846"/>
      <c r="L3014" s="846"/>
      <c r="M3014" s="846"/>
      <c r="N3014" s="846"/>
      <c r="O3014" s="846"/>
      <c r="P3014" s="846"/>
      <c r="Q3014" s="846"/>
      <c r="R3014" s="846"/>
      <c r="S3014" s="846"/>
      <c r="T3014" s="846"/>
    </row>
    <row r="3015" spans="2:20" ht="38.25" hidden="1">
      <c r="B3015" s="828" t="s">
        <v>6610</v>
      </c>
      <c r="C3015" s="828">
        <v>97583</v>
      </c>
      <c r="D3015" s="630" t="s">
        <v>4074</v>
      </c>
      <c r="E3015" s="630" t="s">
        <v>646</v>
      </c>
      <c r="F3015" s="829">
        <v>90.37</v>
      </c>
      <c r="G3015" s="830">
        <v>11.84</v>
      </c>
      <c r="H3015" s="831">
        <v>102.21</v>
      </c>
      <c r="I3015" s="846"/>
      <c r="J3015" s="846"/>
      <c r="K3015" s="846"/>
      <c r="L3015" s="846"/>
      <c r="M3015" s="846"/>
      <c r="N3015" s="846"/>
      <c r="O3015" s="846"/>
      <c r="P3015" s="846"/>
      <c r="Q3015" s="846"/>
      <c r="R3015" s="846"/>
      <c r="S3015" s="846"/>
      <c r="T3015" s="846"/>
    </row>
    <row r="3016" spans="2:20" ht="38.25" hidden="1">
      <c r="B3016" s="828" t="s">
        <v>6610</v>
      </c>
      <c r="C3016" s="828">
        <v>97584</v>
      </c>
      <c r="D3016" s="630" t="s">
        <v>4075</v>
      </c>
      <c r="E3016" s="630" t="s">
        <v>646</v>
      </c>
      <c r="F3016" s="829">
        <v>131.69</v>
      </c>
      <c r="G3016" s="830">
        <v>11.84</v>
      </c>
      <c r="H3016" s="831">
        <v>143.53</v>
      </c>
      <c r="I3016" s="846"/>
      <c r="J3016" s="846"/>
      <c r="K3016" s="846"/>
      <c r="L3016" s="846"/>
      <c r="M3016" s="846"/>
      <c r="N3016" s="846"/>
      <c r="O3016" s="846"/>
      <c r="P3016" s="846"/>
      <c r="Q3016" s="846"/>
      <c r="R3016" s="846"/>
      <c r="S3016" s="846"/>
      <c r="T3016" s="846"/>
    </row>
    <row r="3017" spans="2:20" ht="38.25" hidden="1">
      <c r="B3017" s="828" t="s">
        <v>6610</v>
      </c>
      <c r="C3017" s="828">
        <v>97585</v>
      </c>
      <c r="D3017" s="630" t="s">
        <v>4076</v>
      </c>
      <c r="E3017" s="630" t="s">
        <v>646</v>
      </c>
      <c r="F3017" s="829">
        <v>124.37</v>
      </c>
      <c r="G3017" s="830">
        <v>13.46</v>
      </c>
      <c r="H3017" s="831">
        <v>137.83000000000001</v>
      </c>
      <c r="I3017" s="846"/>
      <c r="J3017" s="846"/>
      <c r="K3017" s="846"/>
      <c r="L3017" s="846"/>
      <c r="M3017" s="846"/>
      <c r="N3017" s="846"/>
      <c r="O3017" s="846"/>
      <c r="P3017" s="846"/>
      <c r="Q3017" s="846"/>
      <c r="R3017" s="846"/>
      <c r="S3017" s="846"/>
      <c r="T3017" s="846"/>
    </row>
    <row r="3018" spans="2:20" ht="38.25" hidden="1">
      <c r="B3018" s="828" t="s">
        <v>6610</v>
      </c>
      <c r="C3018" s="828">
        <v>97586</v>
      </c>
      <c r="D3018" s="630" t="s">
        <v>4077</v>
      </c>
      <c r="E3018" s="630" t="s">
        <v>646</v>
      </c>
      <c r="F3018" s="829">
        <v>174.28</v>
      </c>
      <c r="G3018" s="830">
        <v>13.46</v>
      </c>
      <c r="H3018" s="831">
        <v>187.74</v>
      </c>
      <c r="I3018" s="846"/>
      <c r="J3018" s="846"/>
      <c r="K3018" s="846"/>
      <c r="L3018" s="846"/>
      <c r="M3018" s="846"/>
      <c r="N3018" s="846"/>
      <c r="O3018" s="846"/>
      <c r="P3018" s="846"/>
      <c r="Q3018" s="846"/>
      <c r="R3018" s="846"/>
      <c r="S3018" s="846"/>
      <c r="T3018" s="846"/>
    </row>
    <row r="3019" spans="2:20" ht="38.25" hidden="1">
      <c r="B3019" s="828" t="s">
        <v>6610</v>
      </c>
      <c r="C3019" s="828">
        <v>97587</v>
      </c>
      <c r="D3019" s="630" t="s">
        <v>4078</v>
      </c>
      <c r="E3019" s="630" t="s">
        <v>646</v>
      </c>
      <c r="F3019" s="829">
        <v>332.57</v>
      </c>
      <c r="G3019" s="830">
        <v>11.54</v>
      </c>
      <c r="H3019" s="831">
        <v>344.11</v>
      </c>
      <c r="I3019" s="846"/>
      <c r="J3019" s="846"/>
      <c r="K3019" s="846"/>
      <c r="L3019" s="846"/>
      <c r="M3019" s="846"/>
      <c r="N3019" s="846"/>
      <c r="O3019" s="846"/>
      <c r="P3019" s="846"/>
      <c r="Q3019" s="846"/>
      <c r="R3019" s="846"/>
      <c r="S3019" s="846"/>
      <c r="T3019" s="846"/>
    </row>
    <row r="3020" spans="2:20" ht="38.25" hidden="1">
      <c r="B3020" s="828" t="s">
        <v>6610</v>
      </c>
      <c r="C3020" s="828">
        <v>97589</v>
      </c>
      <c r="D3020" s="630" t="s">
        <v>4079</v>
      </c>
      <c r="E3020" s="630" t="s">
        <v>646</v>
      </c>
      <c r="F3020" s="829">
        <v>28.36</v>
      </c>
      <c r="G3020" s="830">
        <v>17.41</v>
      </c>
      <c r="H3020" s="831">
        <v>45.77</v>
      </c>
      <c r="I3020" s="846"/>
      <c r="J3020" s="846"/>
      <c r="K3020" s="846"/>
      <c r="L3020" s="846"/>
      <c r="M3020" s="846"/>
      <c r="N3020" s="846"/>
      <c r="O3020" s="846"/>
      <c r="P3020" s="846"/>
      <c r="Q3020" s="846"/>
      <c r="R3020" s="846"/>
      <c r="S3020" s="846"/>
      <c r="T3020" s="846"/>
    </row>
    <row r="3021" spans="2:20" ht="38.25" hidden="1">
      <c r="B3021" s="828" t="s">
        <v>6610</v>
      </c>
      <c r="C3021" s="828">
        <v>97590</v>
      </c>
      <c r="D3021" s="630" t="s">
        <v>4080</v>
      </c>
      <c r="E3021" s="630" t="s">
        <v>646</v>
      </c>
      <c r="F3021" s="829">
        <v>97.32</v>
      </c>
      <c r="G3021" s="830">
        <v>17.399999999999999</v>
      </c>
      <c r="H3021" s="831">
        <v>114.72</v>
      </c>
      <c r="I3021" s="846"/>
      <c r="J3021" s="846"/>
      <c r="K3021" s="846"/>
      <c r="L3021" s="846"/>
      <c r="M3021" s="846"/>
      <c r="N3021" s="846"/>
      <c r="O3021" s="846"/>
      <c r="P3021" s="846"/>
      <c r="Q3021" s="846"/>
      <c r="R3021" s="846"/>
      <c r="S3021" s="846"/>
      <c r="T3021" s="846"/>
    </row>
    <row r="3022" spans="2:20" ht="38.25" hidden="1">
      <c r="B3022" s="828" t="s">
        <v>6610</v>
      </c>
      <c r="C3022" s="828">
        <v>97591</v>
      </c>
      <c r="D3022" s="630" t="s">
        <v>4081</v>
      </c>
      <c r="E3022" s="630" t="s">
        <v>646</v>
      </c>
      <c r="F3022" s="829">
        <v>126.11</v>
      </c>
      <c r="G3022" s="830">
        <v>22.49</v>
      </c>
      <c r="H3022" s="831">
        <v>148.6</v>
      </c>
      <c r="I3022" s="846"/>
      <c r="J3022" s="846"/>
      <c r="K3022" s="846"/>
      <c r="L3022" s="846"/>
      <c r="M3022" s="846"/>
      <c r="N3022" s="846"/>
      <c r="O3022" s="846"/>
      <c r="P3022" s="846"/>
      <c r="Q3022" s="846"/>
      <c r="R3022" s="846"/>
      <c r="S3022" s="846"/>
      <c r="T3022" s="846"/>
    </row>
    <row r="3023" spans="2:20" ht="25.5" hidden="1">
      <c r="B3023" s="828" t="s">
        <v>6610</v>
      </c>
      <c r="C3023" s="828">
        <v>97593</v>
      </c>
      <c r="D3023" s="630" t="s">
        <v>4082</v>
      </c>
      <c r="E3023" s="630" t="s">
        <v>646</v>
      </c>
      <c r="F3023" s="829">
        <v>153.33000000000001</v>
      </c>
      <c r="G3023" s="830">
        <v>14.58</v>
      </c>
      <c r="H3023" s="831">
        <v>167.91</v>
      </c>
      <c r="I3023" s="846"/>
      <c r="J3023" s="846"/>
      <c r="K3023" s="846"/>
      <c r="L3023" s="846"/>
      <c r="M3023" s="846"/>
      <c r="N3023" s="846"/>
      <c r="O3023" s="846"/>
      <c r="P3023" s="846"/>
      <c r="Q3023" s="846"/>
      <c r="R3023" s="846"/>
      <c r="S3023" s="846"/>
      <c r="T3023" s="846"/>
    </row>
    <row r="3024" spans="2:20" ht="25.5" hidden="1">
      <c r="B3024" s="828" t="s">
        <v>6610</v>
      </c>
      <c r="C3024" s="828">
        <v>97594</v>
      </c>
      <c r="D3024" s="630" t="s">
        <v>4083</v>
      </c>
      <c r="E3024" s="630" t="s">
        <v>646</v>
      </c>
      <c r="F3024" s="829">
        <v>130.76</v>
      </c>
      <c r="G3024" s="830">
        <v>18.97</v>
      </c>
      <c r="H3024" s="831">
        <v>149.72999999999999</v>
      </c>
      <c r="I3024" s="846"/>
      <c r="J3024" s="846"/>
      <c r="K3024" s="846"/>
      <c r="L3024" s="846"/>
      <c r="M3024" s="846"/>
      <c r="N3024" s="846"/>
      <c r="O3024" s="846"/>
      <c r="P3024" s="846"/>
      <c r="Q3024" s="846"/>
      <c r="R3024" s="846"/>
      <c r="S3024" s="846"/>
      <c r="T3024" s="846"/>
    </row>
    <row r="3025" spans="2:20" ht="25.5" hidden="1">
      <c r="B3025" s="828" t="s">
        <v>6610</v>
      </c>
      <c r="C3025" s="828">
        <v>97595</v>
      </c>
      <c r="D3025" s="630" t="s">
        <v>4084</v>
      </c>
      <c r="E3025" s="630" t="s">
        <v>646</v>
      </c>
      <c r="F3025" s="829">
        <v>102.97</v>
      </c>
      <c r="G3025" s="830">
        <v>18.329999999999998</v>
      </c>
      <c r="H3025" s="831">
        <v>121.3</v>
      </c>
      <c r="I3025" s="846"/>
      <c r="J3025" s="846"/>
      <c r="K3025" s="846"/>
      <c r="L3025" s="846"/>
      <c r="M3025" s="846"/>
      <c r="N3025" s="846"/>
      <c r="O3025" s="846"/>
      <c r="P3025" s="846"/>
      <c r="Q3025" s="846"/>
      <c r="R3025" s="846"/>
      <c r="S3025" s="846"/>
      <c r="T3025" s="846"/>
    </row>
    <row r="3026" spans="2:20" ht="25.5" hidden="1">
      <c r="B3026" s="828" t="s">
        <v>6610</v>
      </c>
      <c r="C3026" s="828">
        <v>97596</v>
      </c>
      <c r="D3026" s="630" t="s">
        <v>4085</v>
      </c>
      <c r="E3026" s="630" t="s">
        <v>646</v>
      </c>
      <c r="F3026" s="829">
        <v>65.709999999999994</v>
      </c>
      <c r="G3026" s="830">
        <v>18.34</v>
      </c>
      <c r="H3026" s="831">
        <v>84.05</v>
      </c>
      <c r="I3026" s="846"/>
      <c r="J3026" s="846"/>
      <c r="K3026" s="846"/>
      <c r="L3026" s="846"/>
      <c r="M3026" s="846"/>
      <c r="N3026" s="846"/>
      <c r="O3026" s="846"/>
      <c r="P3026" s="846"/>
      <c r="Q3026" s="846"/>
      <c r="R3026" s="846"/>
      <c r="S3026" s="846"/>
      <c r="T3026" s="846"/>
    </row>
    <row r="3027" spans="2:20" ht="25.5" hidden="1">
      <c r="B3027" s="828" t="s">
        <v>6610</v>
      </c>
      <c r="C3027" s="828">
        <v>97597</v>
      </c>
      <c r="D3027" s="630" t="s">
        <v>4086</v>
      </c>
      <c r="E3027" s="630" t="s">
        <v>646</v>
      </c>
      <c r="F3027" s="829">
        <v>71.510000000000005</v>
      </c>
      <c r="G3027" s="830">
        <v>12.21</v>
      </c>
      <c r="H3027" s="831">
        <v>83.72</v>
      </c>
      <c r="I3027" s="846"/>
      <c r="J3027" s="846"/>
      <c r="K3027" s="846"/>
      <c r="L3027" s="846"/>
      <c r="M3027" s="846"/>
      <c r="N3027" s="846"/>
      <c r="O3027" s="846"/>
      <c r="P3027" s="846"/>
      <c r="Q3027" s="846"/>
      <c r="R3027" s="846"/>
      <c r="S3027" s="846"/>
      <c r="T3027" s="846"/>
    </row>
    <row r="3028" spans="2:20" ht="25.5" hidden="1">
      <c r="B3028" s="828" t="s">
        <v>6610</v>
      </c>
      <c r="C3028" s="828">
        <v>97598</v>
      </c>
      <c r="D3028" s="630" t="s">
        <v>4087</v>
      </c>
      <c r="E3028" s="630" t="s">
        <v>646</v>
      </c>
      <c r="F3028" s="829">
        <v>66.739999999999995</v>
      </c>
      <c r="G3028" s="830">
        <v>12.21</v>
      </c>
      <c r="H3028" s="831">
        <v>78.95</v>
      </c>
      <c r="I3028" s="846"/>
      <c r="J3028" s="846"/>
      <c r="K3028" s="846"/>
      <c r="L3028" s="846"/>
      <c r="M3028" s="846"/>
      <c r="N3028" s="846"/>
      <c r="O3028" s="846"/>
      <c r="P3028" s="846"/>
      <c r="Q3028" s="846"/>
      <c r="R3028" s="846"/>
      <c r="S3028" s="846"/>
      <c r="T3028" s="846"/>
    </row>
    <row r="3029" spans="2:20" ht="25.5" hidden="1">
      <c r="B3029" s="828" t="s">
        <v>6610</v>
      </c>
      <c r="C3029" s="828">
        <v>97599</v>
      </c>
      <c r="D3029" s="630" t="s">
        <v>4088</v>
      </c>
      <c r="E3029" s="630" t="s">
        <v>646</v>
      </c>
      <c r="F3029" s="829">
        <v>22.04</v>
      </c>
      <c r="G3029" s="830">
        <v>5.83</v>
      </c>
      <c r="H3029" s="831">
        <v>27.87</v>
      </c>
      <c r="I3029" s="846"/>
      <c r="J3029" s="846"/>
      <c r="K3029" s="846"/>
      <c r="L3029" s="846"/>
      <c r="M3029" s="846"/>
      <c r="N3029" s="846"/>
      <c r="O3029" s="846"/>
      <c r="P3029" s="846"/>
      <c r="Q3029" s="846"/>
      <c r="R3029" s="846"/>
      <c r="S3029" s="846"/>
      <c r="T3029" s="846"/>
    </row>
    <row r="3030" spans="2:20" ht="25.5" hidden="1">
      <c r="B3030" s="828" t="s">
        <v>6610</v>
      </c>
      <c r="C3030" s="828">
        <v>97609</v>
      </c>
      <c r="D3030" s="630" t="s">
        <v>4089</v>
      </c>
      <c r="E3030" s="630" t="s">
        <v>646</v>
      </c>
      <c r="F3030" s="829">
        <v>12.05</v>
      </c>
      <c r="G3030" s="830">
        <v>5.38</v>
      </c>
      <c r="H3030" s="831">
        <v>17.43</v>
      </c>
      <c r="I3030" s="846"/>
      <c r="J3030" s="846"/>
      <c r="K3030" s="846"/>
      <c r="L3030" s="846"/>
      <c r="M3030" s="846"/>
      <c r="N3030" s="846"/>
      <c r="O3030" s="846"/>
      <c r="P3030" s="846"/>
      <c r="Q3030" s="846"/>
      <c r="R3030" s="846"/>
      <c r="S3030" s="846"/>
      <c r="T3030" s="846"/>
    </row>
    <row r="3031" spans="2:20" ht="25.5" hidden="1">
      <c r="B3031" s="828" t="s">
        <v>6610</v>
      </c>
      <c r="C3031" s="828">
        <v>97610</v>
      </c>
      <c r="D3031" s="630" t="s">
        <v>4090</v>
      </c>
      <c r="E3031" s="630" t="s">
        <v>646</v>
      </c>
      <c r="F3031" s="829">
        <v>13.11</v>
      </c>
      <c r="G3031" s="830">
        <v>5.38</v>
      </c>
      <c r="H3031" s="831">
        <v>18.489999999999998</v>
      </c>
      <c r="I3031" s="846"/>
      <c r="J3031" s="846"/>
      <c r="K3031" s="846"/>
      <c r="L3031" s="846"/>
      <c r="M3031" s="846"/>
      <c r="N3031" s="846"/>
      <c r="O3031" s="846"/>
      <c r="P3031" s="846"/>
      <c r="Q3031" s="846"/>
      <c r="R3031" s="846"/>
      <c r="S3031" s="846"/>
      <c r="T3031" s="846"/>
    </row>
    <row r="3032" spans="2:20" ht="25.5" hidden="1">
      <c r="B3032" s="828" t="s">
        <v>6610</v>
      </c>
      <c r="C3032" s="828">
        <v>97611</v>
      </c>
      <c r="D3032" s="630" t="s">
        <v>4091</v>
      </c>
      <c r="E3032" s="630" t="s">
        <v>646</v>
      </c>
      <c r="F3032" s="829">
        <v>20.149999999999999</v>
      </c>
      <c r="G3032" s="830">
        <v>5.37</v>
      </c>
      <c r="H3032" s="831">
        <v>25.52</v>
      </c>
      <c r="I3032" s="846"/>
      <c r="J3032" s="846"/>
      <c r="K3032" s="846"/>
      <c r="L3032" s="846"/>
      <c r="M3032" s="846"/>
      <c r="N3032" s="846"/>
      <c r="O3032" s="846"/>
      <c r="P3032" s="846"/>
      <c r="Q3032" s="846"/>
      <c r="R3032" s="846"/>
      <c r="S3032" s="846"/>
      <c r="T3032" s="846"/>
    </row>
    <row r="3033" spans="2:20" ht="25.5" hidden="1">
      <c r="B3033" s="828" t="s">
        <v>6610</v>
      </c>
      <c r="C3033" s="828">
        <v>97612</v>
      </c>
      <c r="D3033" s="630" t="s">
        <v>4092</v>
      </c>
      <c r="E3033" s="630" t="s">
        <v>646</v>
      </c>
      <c r="F3033" s="829">
        <v>22.28</v>
      </c>
      <c r="G3033" s="830">
        <v>5.37</v>
      </c>
      <c r="H3033" s="831">
        <v>27.65</v>
      </c>
      <c r="I3033" s="846"/>
      <c r="J3033" s="846"/>
      <c r="K3033" s="846"/>
      <c r="L3033" s="846"/>
      <c r="M3033" s="846"/>
      <c r="N3033" s="846"/>
      <c r="O3033" s="846"/>
      <c r="P3033" s="846"/>
      <c r="Q3033" s="846"/>
      <c r="R3033" s="846"/>
      <c r="S3033" s="846"/>
      <c r="T3033" s="846"/>
    </row>
    <row r="3034" spans="2:20" ht="25.5" hidden="1">
      <c r="B3034" s="828" t="s">
        <v>6610</v>
      </c>
      <c r="C3034" s="828">
        <v>97613</v>
      </c>
      <c r="D3034" s="630" t="s">
        <v>4093</v>
      </c>
      <c r="E3034" s="630" t="s">
        <v>646</v>
      </c>
      <c r="F3034" s="829">
        <v>29.37</v>
      </c>
      <c r="G3034" s="830">
        <v>5.37</v>
      </c>
      <c r="H3034" s="831">
        <v>34.74</v>
      </c>
      <c r="I3034" s="846"/>
      <c r="J3034" s="846"/>
      <c r="K3034" s="846"/>
      <c r="L3034" s="846"/>
      <c r="M3034" s="846"/>
      <c r="N3034" s="846"/>
      <c r="O3034" s="846"/>
      <c r="P3034" s="846"/>
      <c r="Q3034" s="846"/>
      <c r="R3034" s="846"/>
      <c r="S3034" s="846"/>
      <c r="T3034" s="846"/>
    </row>
    <row r="3035" spans="2:20" ht="25.5" hidden="1">
      <c r="B3035" s="828" t="s">
        <v>6610</v>
      </c>
      <c r="C3035" s="828">
        <v>97614</v>
      </c>
      <c r="D3035" s="630" t="s">
        <v>4094</v>
      </c>
      <c r="E3035" s="630" t="s">
        <v>646</v>
      </c>
      <c r="F3035" s="829">
        <v>54.96</v>
      </c>
      <c r="G3035" s="830">
        <v>5.36</v>
      </c>
      <c r="H3035" s="831">
        <v>60.32</v>
      </c>
      <c r="I3035" s="846"/>
      <c r="J3035" s="846"/>
      <c r="K3035" s="846"/>
      <c r="L3035" s="846"/>
      <c r="M3035" s="846"/>
      <c r="N3035" s="846"/>
      <c r="O3035" s="846"/>
      <c r="P3035" s="846"/>
      <c r="Q3035" s="846"/>
      <c r="R3035" s="846"/>
      <c r="S3035" s="846"/>
      <c r="T3035" s="846"/>
    </row>
    <row r="3036" spans="2:20" ht="25.5" hidden="1">
      <c r="B3036" s="828" t="s">
        <v>6610</v>
      </c>
      <c r="C3036" s="828">
        <v>97615</v>
      </c>
      <c r="D3036" s="630" t="s">
        <v>4095</v>
      </c>
      <c r="E3036" s="630" t="s">
        <v>646</v>
      </c>
      <c r="F3036" s="829">
        <v>54.03</v>
      </c>
      <c r="G3036" s="830">
        <v>8.0399999999999991</v>
      </c>
      <c r="H3036" s="831">
        <v>62.07</v>
      </c>
      <c r="I3036" s="846"/>
      <c r="J3036" s="846"/>
      <c r="K3036" s="846"/>
      <c r="L3036" s="846"/>
      <c r="M3036" s="846"/>
      <c r="N3036" s="846"/>
      <c r="O3036" s="846"/>
      <c r="P3036" s="846"/>
      <c r="Q3036" s="846"/>
      <c r="R3036" s="846"/>
      <c r="S3036" s="846"/>
      <c r="T3036" s="846"/>
    </row>
    <row r="3037" spans="2:20" ht="25.5" hidden="1">
      <c r="B3037" s="828" t="s">
        <v>6610</v>
      </c>
      <c r="C3037" s="828">
        <v>97616</v>
      </c>
      <c r="D3037" s="630" t="s">
        <v>4096</v>
      </c>
      <c r="E3037" s="630" t="s">
        <v>646</v>
      </c>
      <c r="F3037" s="829">
        <v>63.48</v>
      </c>
      <c r="G3037" s="830">
        <v>8.0399999999999991</v>
      </c>
      <c r="H3037" s="831">
        <v>71.52</v>
      </c>
      <c r="I3037" s="846"/>
      <c r="J3037" s="846"/>
      <c r="K3037" s="846"/>
      <c r="L3037" s="846"/>
      <c r="M3037" s="846"/>
      <c r="N3037" s="846"/>
      <c r="O3037" s="846"/>
      <c r="P3037" s="846"/>
      <c r="Q3037" s="846"/>
      <c r="R3037" s="846"/>
      <c r="S3037" s="846"/>
      <c r="T3037" s="846"/>
    </row>
    <row r="3038" spans="2:20" ht="25.5" hidden="1">
      <c r="B3038" s="828" t="s">
        <v>6610</v>
      </c>
      <c r="C3038" s="828">
        <v>97617</v>
      </c>
      <c r="D3038" s="630" t="s">
        <v>4097</v>
      </c>
      <c r="E3038" s="630" t="s">
        <v>646</v>
      </c>
      <c r="F3038" s="829">
        <v>63.15</v>
      </c>
      <c r="G3038" s="830">
        <v>8.0399999999999991</v>
      </c>
      <c r="H3038" s="831">
        <v>71.19</v>
      </c>
      <c r="I3038" s="846"/>
      <c r="J3038" s="846"/>
      <c r="K3038" s="846"/>
      <c r="L3038" s="846"/>
      <c r="M3038" s="846"/>
      <c r="N3038" s="846"/>
      <c r="O3038" s="846"/>
      <c r="P3038" s="846"/>
      <c r="Q3038" s="846"/>
      <c r="R3038" s="846"/>
      <c r="S3038" s="846"/>
      <c r="T3038" s="846"/>
    </row>
    <row r="3039" spans="2:20" ht="25.5" hidden="1">
      <c r="B3039" s="828" t="s">
        <v>6610</v>
      </c>
      <c r="C3039" s="828">
        <v>97618</v>
      </c>
      <c r="D3039" s="630" t="s">
        <v>4098</v>
      </c>
      <c r="E3039" s="630" t="s">
        <v>646</v>
      </c>
      <c r="F3039" s="829">
        <v>57.03</v>
      </c>
      <c r="G3039" s="830">
        <v>8.0399999999999991</v>
      </c>
      <c r="H3039" s="831">
        <v>65.069999999999993</v>
      </c>
      <c r="I3039" s="846"/>
      <c r="J3039" s="846"/>
      <c r="K3039" s="846"/>
      <c r="L3039" s="846"/>
      <c r="M3039" s="846"/>
      <c r="N3039" s="846"/>
      <c r="O3039" s="846"/>
      <c r="P3039" s="846"/>
      <c r="Q3039" s="846"/>
      <c r="R3039" s="846"/>
      <c r="S3039" s="846"/>
      <c r="T3039" s="846"/>
    </row>
    <row r="3040" spans="2:20" ht="25.5" hidden="1">
      <c r="B3040" s="828" t="s">
        <v>6610</v>
      </c>
      <c r="C3040" s="828">
        <v>100902</v>
      </c>
      <c r="D3040" s="630" t="s">
        <v>4099</v>
      </c>
      <c r="E3040" s="630" t="s">
        <v>646</v>
      </c>
      <c r="F3040" s="829">
        <v>20.07</v>
      </c>
      <c r="G3040" s="830">
        <v>8.0500000000000007</v>
      </c>
      <c r="H3040" s="831">
        <v>28.12</v>
      </c>
      <c r="I3040" s="846"/>
      <c r="J3040" s="846"/>
      <c r="K3040" s="846"/>
      <c r="L3040" s="846"/>
      <c r="M3040" s="846"/>
      <c r="N3040" s="846"/>
      <c r="O3040" s="846"/>
      <c r="P3040" s="846"/>
      <c r="Q3040" s="846"/>
      <c r="R3040" s="846"/>
      <c r="S3040" s="846"/>
      <c r="T3040" s="846"/>
    </row>
    <row r="3041" spans="2:20" ht="25.5" hidden="1">
      <c r="B3041" s="828" t="s">
        <v>6610</v>
      </c>
      <c r="C3041" s="828">
        <v>100903</v>
      </c>
      <c r="D3041" s="630" t="s">
        <v>4100</v>
      </c>
      <c r="E3041" s="630" t="s">
        <v>646</v>
      </c>
      <c r="F3041" s="829">
        <v>24.77</v>
      </c>
      <c r="G3041" s="830">
        <v>8.0500000000000007</v>
      </c>
      <c r="H3041" s="831">
        <v>32.82</v>
      </c>
      <c r="I3041" s="846"/>
      <c r="J3041" s="846"/>
      <c r="K3041" s="846"/>
      <c r="L3041" s="846"/>
      <c r="M3041" s="846"/>
      <c r="N3041" s="846"/>
      <c r="O3041" s="846"/>
      <c r="P3041" s="846"/>
      <c r="Q3041" s="846"/>
      <c r="R3041" s="846"/>
      <c r="S3041" s="846"/>
      <c r="T3041" s="846"/>
    </row>
    <row r="3042" spans="2:20" ht="38.25" hidden="1">
      <c r="B3042" s="828" t="s">
        <v>6610</v>
      </c>
      <c r="C3042" s="828">
        <v>100904</v>
      </c>
      <c r="D3042" s="630" t="s">
        <v>4101</v>
      </c>
      <c r="E3042" s="630" t="s">
        <v>646</v>
      </c>
      <c r="F3042" s="829">
        <v>90.37</v>
      </c>
      <c r="G3042" s="830">
        <v>11.84</v>
      </c>
      <c r="H3042" s="831">
        <v>102.21</v>
      </c>
      <c r="I3042" s="846"/>
      <c r="J3042" s="846"/>
      <c r="K3042" s="846"/>
      <c r="L3042" s="846"/>
      <c r="M3042" s="846"/>
      <c r="N3042" s="846"/>
      <c r="O3042" s="846"/>
      <c r="P3042" s="846"/>
      <c r="Q3042" s="846"/>
      <c r="R3042" s="846"/>
      <c r="S3042" s="846"/>
      <c r="T3042" s="846"/>
    </row>
    <row r="3043" spans="2:20" ht="38.25" hidden="1">
      <c r="B3043" s="828" t="s">
        <v>6610</v>
      </c>
      <c r="C3043" s="828">
        <v>100905</v>
      </c>
      <c r="D3043" s="630" t="s">
        <v>4102</v>
      </c>
      <c r="E3043" s="630" t="s">
        <v>646</v>
      </c>
      <c r="F3043" s="829">
        <v>248.75</v>
      </c>
      <c r="G3043" s="830">
        <v>26.93</v>
      </c>
      <c r="H3043" s="831">
        <v>275.68</v>
      </c>
      <c r="I3043" s="846"/>
      <c r="J3043" s="846"/>
      <c r="K3043" s="846"/>
      <c r="L3043" s="846"/>
      <c r="M3043" s="846"/>
      <c r="N3043" s="846"/>
      <c r="O3043" s="846"/>
      <c r="P3043" s="846"/>
      <c r="Q3043" s="846"/>
      <c r="R3043" s="846"/>
      <c r="S3043" s="846"/>
      <c r="T3043" s="846"/>
    </row>
    <row r="3044" spans="2:20" ht="38.25" hidden="1">
      <c r="B3044" s="828" t="s">
        <v>6610</v>
      </c>
      <c r="C3044" s="828">
        <v>100906</v>
      </c>
      <c r="D3044" s="630" t="s">
        <v>4103</v>
      </c>
      <c r="E3044" s="630" t="s">
        <v>646</v>
      </c>
      <c r="F3044" s="829">
        <v>348.57</v>
      </c>
      <c r="G3044" s="830">
        <v>26.93</v>
      </c>
      <c r="H3044" s="831">
        <v>375.5</v>
      </c>
      <c r="I3044" s="846"/>
      <c r="J3044" s="846"/>
      <c r="K3044" s="846"/>
      <c r="L3044" s="846"/>
      <c r="M3044" s="846"/>
      <c r="N3044" s="846"/>
      <c r="O3044" s="846"/>
      <c r="P3044" s="846"/>
      <c r="Q3044" s="846"/>
      <c r="R3044" s="846"/>
      <c r="S3044" s="846"/>
      <c r="T3044" s="846"/>
    </row>
    <row r="3045" spans="2:20" ht="25.5" hidden="1">
      <c r="B3045" s="828" t="s">
        <v>6610</v>
      </c>
      <c r="C3045" s="828">
        <v>100919</v>
      </c>
      <c r="D3045" s="630" t="s">
        <v>4104</v>
      </c>
      <c r="E3045" s="630" t="s">
        <v>646</v>
      </c>
      <c r="F3045" s="829">
        <v>63.32</v>
      </c>
      <c r="G3045" s="830">
        <v>5.36</v>
      </c>
      <c r="H3045" s="831">
        <v>68.680000000000007</v>
      </c>
      <c r="I3045" s="846"/>
      <c r="J3045" s="846"/>
      <c r="K3045" s="846"/>
      <c r="L3045" s="846"/>
      <c r="M3045" s="846"/>
      <c r="N3045" s="846"/>
      <c r="O3045" s="846"/>
      <c r="P3045" s="846"/>
      <c r="Q3045" s="846"/>
      <c r="R3045" s="846"/>
      <c r="S3045" s="846"/>
      <c r="T3045" s="846"/>
    </row>
    <row r="3046" spans="2:20" ht="25.5" hidden="1">
      <c r="B3046" s="828" t="s">
        <v>6610</v>
      </c>
      <c r="C3046" s="828">
        <v>100920</v>
      </c>
      <c r="D3046" s="630" t="s">
        <v>4105</v>
      </c>
      <c r="E3046" s="630" t="s">
        <v>646</v>
      </c>
      <c r="F3046" s="829">
        <v>110.5</v>
      </c>
      <c r="G3046" s="830">
        <v>5.36</v>
      </c>
      <c r="H3046" s="831">
        <v>115.86</v>
      </c>
      <c r="I3046" s="846"/>
      <c r="J3046" s="846"/>
      <c r="K3046" s="846"/>
      <c r="L3046" s="846"/>
      <c r="M3046" s="846"/>
      <c r="N3046" s="846"/>
      <c r="O3046" s="846"/>
      <c r="P3046" s="846"/>
      <c r="Q3046" s="846"/>
      <c r="R3046" s="846"/>
      <c r="S3046" s="846"/>
      <c r="T3046" s="846"/>
    </row>
    <row r="3047" spans="2:20" ht="25.5" hidden="1">
      <c r="B3047" s="828" t="s">
        <v>6610</v>
      </c>
      <c r="C3047" s="828">
        <v>100921</v>
      </c>
      <c r="D3047" s="630" t="s">
        <v>4106</v>
      </c>
      <c r="E3047" s="630" t="s">
        <v>646</v>
      </c>
      <c r="F3047" s="829">
        <v>55.03</v>
      </c>
      <c r="G3047" s="830">
        <v>22.4</v>
      </c>
      <c r="H3047" s="831">
        <v>77.430000000000007</v>
      </c>
      <c r="I3047" s="846"/>
      <c r="J3047" s="846"/>
      <c r="K3047" s="846"/>
      <c r="L3047" s="846"/>
      <c r="M3047" s="846"/>
      <c r="N3047" s="846"/>
      <c r="O3047" s="846"/>
      <c r="P3047" s="846"/>
      <c r="Q3047" s="846"/>
      <c r="R3047" s="846"/>
      <c r="S3047" s="846"/>
      <c r="T3047" s="846"/>
    </row>
    <row r="3048" spans="2:20" ht="25.5" hidden="1">
      <c r="B3048" s="828" t="s">
        <v>6610</v>
      </c>
      <c r="C3048" s="828">
        <v>100922</v>
      </c>
      <c r="D3048" s="630" t="s">
        <v>4107</v>
      </c>
      <c r="E3048" s="630" t="s">
        <v>646</v>
      </c>
      <c r="F3048" s="829">
        <v>40.229999999999997</v>
      </c>
      <c r="G3048" s="830">
        <v>15.42</v>
      </c>
      <c r="H3048" s="831">
        <v>55.65</v>
      </c>
      <c r="I3048" s="846"/>
      <c r="J3048" s="846"/>
      <c r="K3048" s="846"/>
      <c r="L3048" s="846"/>
      <c r="M3048" s="846"/>
      <c r="N3048" s="846"/>
      <c r="O3048" s="846"/>
      <c r="P3048" s="846"/>
      <c r="Q3048" s="846"/>
      <c r="R3048" s="846"/>
      <c r="S3048" s="846"/>
      <c r="T3048" s="846"/>
    </row>
    <row r="3049" spans="2:20" ht="25.5" hidden="1">
      <c r="B3049" s="828" t="s">
        <v>6610</v>
      </c>
      <c r="C3049" s="828">
        <v>100923</v>
      </c>
      <c r="D3049" s="630" t="s">
        <v>4108</v>
      </c>
      <c r="E3049" s="630" t="s">
        <v>646</v>
      </c>
      <c r="F3049" s="829">
        <v>49.14</v>
      </c>
      <c r="G3049" s="830">
        <v>15.42</v>
      </c>
      <c r="H3049" s="831">
        <v>64.56</v>
      </c>
      <c r="I3049" s="846"/>
      <c r="J3049" s="846"/>
      <c r="K3049" s="846"/>
      <c r="L3049" s="846"/>
      <c r="M3049" s="846"/>
      <c r="N3049" s="846"/>
      <c r="O3049" s="846"/>
      <c r="P3049" s="846"/>
      <c r="Q3049" s="846"/>
      <c r="R3049" s="846"/>
      <c r="S3049" s="846"/>
      <c r="T3049" s="846"/>
    </row>
    <row r="3050" spans="2:20" ht="25.5" hidden="1">
      <c r="B3050" s="828" t="s">
        <v>6610</v>
      </c>
      <c r="C3050" s="828">
        <v>103782</v>
      </c>
      <c r="D3050" s="630" t="s">
        <v>7201</v>
      </c>
      <c r="E3050" s="630" t="s">
        <v>646</v>
      </c>
      <c r="F3050" s="829">
        <v>23.52</v>
      </c>
      <c r="G3050" s="830">
        <v>16.11</v>
      </c>
      <c r="H3050" s="831">
        <v>39.630000000000003</v>
      </c>
      <c r="I3050" s="846"/>
      <c r="J3050" s="846"/>
      <c r="K3050" s="846"/>
      <c r="L3050" s="846"/>
      <c r="M3050" s="846"/>
      <c r="N3050" s="846"/>
      <c r="O3050" s="846"/>
      <c r="P3050" s="846"/>
      <c r="Q3050" s="846"/>
      <c r="R3050" s="846"/>
      <c r="S3050" s="846"/>
      <c r="T3050" s="846"/>
    </row>
    <row r="3051" spans="2:20" ht="38.25" hidden="1">
      <c r="B3051" s="828" t="s">
        <v>6652</v>
      </c>
      <c r="C3051" s="828">
        <v>101489</v>
      </c>
      <c r="D3051" s="630" t="s">
        <v>4109</v>
      </c>
      <c r="E3051" s="630" t="s">
        <v>646</v>
      </c>
      <c r="F3051" s="829">
        <v>1145.06</v>
      </c>
      <c r="G3051" s="830">
        <v>365.59</v>
      </c>
      <c r="H3051" s="831">
        <v>1510.65</v>
      </c>
      <c r="I3051" s="846"/>
      <c r="J3051" s="846"/>
      <c r="K3051" s="846"/>
      <c r="L3051" s="846"/>
      <c r="M3051" s="846"/>
      <c r="N3051" s="846"/>
      <c r="O3051" s="846"/>
      <c r="P3051" s="846"/>
      <c r="Q3051" s="846"/>
      <c r="R3051" s="846"/>
      <c r="S3051" s="846"/>
      <c r="T3051" s="846"/>
    </row>
    <row r="3052" spans="2:20" ht="38.25" hidden="1">
      <c r="B3052" s="828" t="s">
        <v>6652</v>
      </c>
      <c r="C3052" s="828">
        <v>101490</v>
      </c>
      <c r="D3052" s="630" t="s">
        <v>4110</v>
      </c>
      <c r="E3052" s="630" t="s">
        <v>646</v>
      </c>
      <c r="F3052" s="829">
        <v>1219.51</v>
      </c>
      <c r="G3052" s="830">
        <v>383.87</v>
      </c>
      <c r="H3052" s="831">
        <v>1603.38</v>
      </c>
      <c r="I3052" s="846"/>
      <c r="J3052" s="846"/>
      <c r="K3052" s="846"/>
      <c r="L3052" s="846"/>
      <c r="M3052" s="846"/>
      <c r="N3052" s="846"/>
      <c r="O3052" s="846"/>
      <c r="P3052" s="846"/>
      <c r="Q3052" s="846"/>
      <c r="R3052" s="846"/>
      <c r="S3052" s="846"/>
      <c r="T3052" s="846"/>
    </row>
    <row r="3053" spans="2:20" ht="38.25" hidden="1">
      <c r="B3053" s="828" t="s">
        <v>6652</v>
      </c>
      <c r="C3053" s="828">
        <v>101491</v>
      </c>
      <c r="D3053" s="630" t="s">
        <v>4111</v>
      </c>
      <c r="E3053" s="630" t="s">
        <v>646</v>
      </c>
      <c r="F3053" s="829">
        <v>1270.92</v>
      </c>
      <c r="G3053" s="830">
        <v>357.87</v>
      </c>
      <c r="H3053" s="831">
        <v>1628.79</v>
      </c>
      <c r="I3053" s="846"/>
      <c r="J3053" s="846"/>
      <c r="K3053" s="846"/>
      <c r="L3053" s="846"/>
      <c r="M3053" s="846"/>
      <c r="N3053" s="846"/>
      <c r="O3053" s="846"/>
      <c r="P3053" s="846"/>
      <c r="Q3053" s="846"/>
      <c r="R3053" s="846"/>
      <c r="S3053" s="846"/>
      <c r="T3053" s="846"/>
    </row>
    <row r="3054" spans="2:20" ht="38.25" hidden="1">
      <c r="B3054" s="828" t="s">
        <v>6652</v>
      </c>
      <c r="C3054" s="828">
        <v>101492</v>
      </c>
      <c r="D3054" s="630" t="s">
        <v>4112</v>
      </c>
      <c r="E3054" s="630" t="s">
        <v>646</v>
      </c>
      <c r="F3054" s="829">
        <v>1395.23</v>
      </c>
      <c r="G3054" s="830">
        <v>373.69</v>
      </c>
      <c r="H3054" s="831">
        <v>1768.92</v>
      </c>
      <c r="I3054" s="846"/>
      <c r="J3054" s="846"/>
      <c r="K3054" s="846"/>
      <c r="L3054" s="846"/>
      <c r="M3054" s="846"/>
      <c r="N3054" s="846"/>
      <c r="O3054" s="846"/>
      <c r="P3054" s="846"/>
      <c r="Q3054" s="846"/>
      <c r="R3054" s="846"/>
      <c r="S3054" s="846"/>
      <c r="T3054" s="846"/>
    </row>
    <row r="3055" spans="2:20" ht="38.25" hidden="1">
      <c r="B3055" s="828" t="s">
        <v>6652</v>
      </c>
      <c r="C3055" s="828">
        <v>101493</v>
      </c>
      <c r="D3055" s="630" t="s">
        <v>4113</v>
      </c>
      <c r="E3055" s="630" t="s">
        <v>646</v>
      </c>
      <c r="F3055" s="829">
        <v>1142.57</v>
      </c>
      <c r="G3055" s="830">
        <v>349.43</v>
      </c>
      <c r="H3055" s="831">
        <v>1492</v>
      </c>
      <c r="I3055" s="846"/>
      <c r="J3055" s="846"/>
      <c r="K3055" s="846"/>
      <c r="L3055" s="846"/>
      <c r="M3055" s="846"/>
      <c r="N3055" s="846"/>
      <c r="O3055" s="846"/>
      <c r="P3055" s="846"/>
      <c r="Q3055" s="846"/>
      <c r="R3055" s="846"/>
      <c r="S3055" s="846"/>
      <c r="T3055" s="846"/>
    </row>
    <row r="3056" spans="2:20" ht="38.25" hidden="1">
      <c r="B3056" s="828" t="s">
        <v>6652</v>
      </c>
      <c r="C3056" s="828">
        <v>101494</v>
      </c>
      <c r="D3056" s="630" t="s">
        <v>4114</v>
      </c>
      <c r="E3056" s="630" t="s">
        <v>646</v>
      </c>
      <c r="F3056" s="829">
        <v>1217.02</v>
      </c>
      <c r="G3056" s="830">
        <v>367.71</v>
      </c>
      <c r="H3056" s="831">
        <v>1584.73</v>
      </c>
      <c r="I3056" s="846"/>
      <c r="J3056" s="846"/>
      <c r="K3056" s="846"/>
      <c r="L3056" s="846"/>
      <c r="M3056" s="846"/>
      <c r="N3056" s="846"/>
      <c r="O3056" s="846"/>
      <c r="P3056" s="846"/>
      <c r="Q3056" s="846"/>
      <c r="R3056" s="846"/>
      <c r="S3056" s="846"/>
      <c r="T3056" s="846"/>
    </row>
    <row r="3057" spans="2:20" ht="38.25" hidden="1">
      <c r="B3057" s="828" t="s">
        <v>6652</v>
      </c>
      <c r="C3057" s="828">
        <v>101495</v>
      </c>
      <c r="D3057" s="630" t="s">
        <v>4115</v>
      </c>
      <c r="E3057" s="630" t="s">
        <v>646</v>
      </c>
      <c r="F3057" s="829">
        <v>1268.44</v>
      </c>
      <c r="G3057" s="830">
        <v>341.7</v>
      </c>
      <c r="H3057" s="831">
        <v>1610.14</v>
      </c>
      <c r="I3057" s="846"/>
      <c r="J3057" s="846"/>
      <c r="K3057" s="846"/>
      <c r="L3057" s="846"/>
      <c r="M3057" s="846"/>
      <c r="N3057" s="846"/>
      <c r="O3057" s="846"/>
      <c r="P3057" s="846"/>
      <c r="Q3057" s="846"/>
      <c r="R3057" s="846"/>
      <c r="S3057" s="846"/>
      <c r="T3057" s="846"/>
    </row>
    <row r="3058" spans="2:20" ht="38.25" hidden="1">
      <c r="B3058" s="828" t="s">
        <v>6652</v>
      </c>
      <c r="C3058" s="828">
        <v>101496</v>
      </c>
      <c r="D3058" s="630" t="s">
        <v>4116</v>
      </c>
      <c r="E3058" s="630" t="s">
        <v>646</v>
      </c>
      <c r="F3058" s="829">
        <v>1392.75</v>
      </c>
      <c r="G3058" s="830">
        <v>357.52</v>
      </c>
      <c r="H3058" s="831">
        <v>1750.27</v>
      </c>
      <c r="I3058" s="846"/>
      <c r="J3058" s="846"/>
      <c r="K3058" s="846"/>
      <c r="L3058" s="846"/>
      <c r="M3058" s="846"/>
      <c r="N3058" s="846"/>
      <c r="O3058" s="846"/>
      <c r="P3058" s="846"/>
      <c r="Q3058" s="846"/>
      <c r="R3058" s="846"/>
      <c r="S3058" s="846"/>
      <c r="T3058" s="846"/>
    </row>
    <row r="3059" spans="2:20" ht="38.25" hidden="1">
      <c r="B3059" s="828" t="s">
        <v>6652</v>
      </c>
      <c r="C3059" s="828">
        <v>101497</v>
      </c>
      <c r="D3059" s="630" t="s">
        <v>4117</v>
      </c>
      <c r="E3059" s="630" t="s">
        <v>646</v>
      </c>
      <c r="F3059" s="829">
        <v>1397.95</v>
      </c>
      <c r="G3059" s="830">
        <v>392.7</v>
      </c>
      <c r="H3059" s="831">
        <v>1790.65</v>
      </c>
      <c r="I3059" s="846"/>
      <c r="J3059" s="846"/>
      <c r="K3059" s="846"/>
      <c r="L3059" s="846"/>
      <c r="M3059" s="846"/>
      <c r="N3059" s="846"/>
      <c r="O3059" s="846"/>
      <c r="P3059" s="846"/>
      <c r="Q3059" s="846"/>
      <c r="R3059" s="846"/>
      <c r="S3059" s="846"/>
      <c r="T3059" s="846"/>
    </row>
    <row r="3060" spans="2:20" ht="38.25" hidden="1">
      <c r="B3060" s="828" t="s">
        <v>6652</v>
      </c>
      <c r="C3060" s="828">
        <v>101498</v>
      </c>
      <c r="D3060" s="630" t="s">
        <v>4118</v>
      </c>
      <c r="E3060" s="630" t="s">
        <v>646</v>
      </c>
      <c r="F3060" s="829">
        <v>1510.66</v>
      </c>
      <c r="G3060" s="830">
        <v>420.35</v>
      </c>
      <c r="H3060" s="831">
        <v>1931.01</v>
      </c>
      <c r="I3060" s="846"/>
      <c r="J3060" s="846"/>
      <c r="K3060" s="846"/>
      <c r="L3060" s="846"/>
      <c r="M3060" s="846"/>
      <c r="N3060" s="846"/>
      <c r="O3060" s="846"/>
      <c r="P3060" s="846"/>
      <c r="Q3060" s="846"/>
      <c r="R3060" s="846"/>
      <c r="S3060" s="846"/>
      <c r="T3060" s="846"/>
    </row>
    <row r="3061" spans="2:20" ht="38.25" hidden="1">
      <c r="B3061" s="828" t="s">
        <v>6652</v>
      </c>
      <c r="C3061" s="828">
        <v>101499</v>
      </c>
      <c r="D3061" s="630" t="s">
        <v>4119</v>
      </c>
      <c r="E3061" s="630" t="s">
        <v>646</v>
      </c>
      <c r="F3061" s="829">
        <v>1588.47</v>
      </c>
      <c r="G3061" s="830">
        <v>381</v>
      </c>
      <c r="H3061" s="831">
        <v>1969.47</v>
      </c>
      <c r="I3061" s="846"/>
      <c r="J3061" s="846"/>
      <c r="K3061" s="846"/>
      <c r="L3061" s="846"/>
      <c r="M3061" s="846"/>
      <c r="N3061" s="846"/>
      <c r="O3061" s="846"/>
      <c r="P3061" s="846"/>
      <c r="Q3061" s="846"/>
      <c r="R3061" s="846"/>
      <c r="S3061" s="846"/>
      <c r="T3061" s="846"/>
    </row>
    <row r="3062" spans="2:20" ht="38.25" hidden="1">
      <c r="B3062" s="828" t="s">
        <v>6652</v>
      </c>
      <c r="C3062" s="828">
        <v>101500</v>
      </c>
      <c r="D3062" s="630" t="s">
        <v>4120</v>
      </c>
      <c r="E3062" s="630" t="s">
        <v>646</v>
      </c>
      <c r="F3062" s="829">
        <v>1763.54</v>
      </c>
      <c r="G3062" s="830">
        <v>398.95</v>
      </c>
      <c r="H3062" s="831">
        <v>2162.4899999999998</v>
      </c>
      <c r="I3062" s="846"/>
      <c r="J3062" s="846"/>
      <c r="K3062" s="846"/>
      <c r="L3062" s="846"/>
      <c r="M3062" s="846"/>
      <c r="N3062" s="846"/>
      <c r="O3062" s="846"/>
      <c r="P3062" s="846"/>
      <c r="Q3062" s="846"/>
      <c r="R3062" s="846"/>
      <c r="S3062" s="846"/>
      <c r="T3062" s="846"/>
    </row>
    <row r="3063" spans="2:20" ht="38.25" hidden="1">
      <c r="B3063" s="828" t="s">
        <v>6652</v>
      </c>
      <c r="C3063" s="828">
        <v>101501</v>
      </c>
      <c r="D3063" s="630" t="s">
        <v>4121</v>
      </c>
      <c r="E3063" s="630" t="s">
        <v>646</v>
      </c>
      <c r="F3063" s="829">
        <v>1399.54</v>
      </c>
      <c r="G3063" s="830">
        <v>379.91</v>
      </c>
      <c r="H3063" s="831">
        <v>1779.45</v>
      </c>
      <c r="I3063" s="846"/>
      <c r="J3063" s="846"/>
      <c r="K3063" s="846"/>
      <c r="L3063" s="846"/>
      <c r="M3063" s="846"/>
      <c r="N3063" s="846"/>
      <c r="O3063" s="846"/>
      <c r="P3063" s="846"/>
      <c r="Q3063" s="846"/>
      <c r="R3063" s="846"/>
      <c r="S3063" s="846"/>
      <c r="T3063" s="846"/>
    </row>
    <row r="3064" spans="2:20" ht="38.25" hidden="1">
      <c r="B3064" s="828" t="s">
        <v>6652</v>
      </c>
      <c r="C3064" s="828">
        <v>101502</v>
      </c>
      <c r="D3064" s="630" t="s">
        <v>4122</v>
      </c>
      <c r="E3064" s="630" t="s">
        <v>646</v>
      </c>
      <c r="F3064" s="829">
        <v>1512.25</v>
      </c>
      <c r="G3064" s="830">
        <v>407.56</v>
      </c>
      <c r="H3064" s="831">
        <v>1919.81</v>
      </c>
      <c r="I3064" s="846"/>
      <c r="J3064" s="846"/>
      <c r="K3064" s="846"/>
      <c r="L3064" s="846"/>
      <c r="M3064" s="846"/>
      <c r="N3064" s="846"/>
      <c r="O3064" s="846"/>
      <c r="P3064" s="846"/>
      <c r="Q3064" s="846"/>
      <c r="R3064" s="846"/>
      <c r="S3064" s="846"/>
      <c r="T3064" s="846"/>
    </row>
    <row r="3065" spans="2:20" ht="38.25" hidden="1">
      <c r="B3065" s="828" t="s">
        <v>6652</v>
      </c>
      <c r="C3065" s="828">
        <v>101503</v>
      </c>
      <c r="D3065" s="630" t="s">
        <v>4123</v>
      </c>
      <c r="E3065" s="630" t="s">
        <v>646</v>
      </c>
      <c r="F3065" s="829">
        <v>1590.07</v>
      </c>
      <c r="G3065" s="830">
        <v>368.2</v>
      </c>
      <c r="H3065" s="831">
        <v>1958.27</v>
      </c>
      <c r="I3065" s="846"/>
      <c r="J3065" s="846"/>
      <c r="K3065" s="846"/>
      <c r="L3065" s="846"/>
      <c r="M3065" s="846"/>
      <c r="N3065" s="846"/>
      <c r="O3065" s="846"/>
      <c r="P3065" s="846"/>
      <c r="Q3065" s="846"/>
      <c r="R3065" s="846"/>
      <c r="S3065" s="846"/>
      <c r="T3065" s="846"/>
    </row>
    <row r="3066" spans="2:20" ht="38.25" hidden="1">
      <c r="B3066" s="828" t="s">
        <v>6652</v>
      </c>
      <c r="C3066" s="828">
        <v>101504</v>
      </c>
      <c r="D3066" s="630" t="s">
        <v>4124</v>
      </c>
      <c r="E3066" s="630" t="s">
        <v>646</v>
      </c>
      <c r="F3066" s="829">
        <v>1765.13</v>
      </c>
      <c r="G3066" s="830">
        <v>386.16</v>
      </c>
      <c r="H3066" s="831">
        <v>2151.29</v>
      </c>
      <c r="I3066" s="846"/>
      <c r="J3066" s="846"/>
      <c r="K3066" s="846"/>
      <c r="L3066" s="846"/>
      <c r="M3066" s="846"/>
      <c r="N3066" s="846"/>
      <c r="O3066" s="846"/>
      <c r="P3066" s="846"/>
      <c r="Q3066" s="846"/>
      <c r="R3066" s="846"/>
      <c r="S3066" s="846"/>
      <c r="T3066" s="846"/>
    </row>
    <row r="3067" spans="2:20" ht="38.25" hidden="1">
      <c r="B3067" s="828" t="s">
        <v>6652</v>
      </c>
      <c r="C3067" s="828">
        <v>101505</v>
      </c>
      <c r="D3067" s="630" t="s">
        <v>4125</v>
      </c>
      <c r="E3067" s="630" t="s">
        <v>646</v>
      </c>
      <c r="F3067" s="829">
        <v>1488.44</v>
      </c>
      <c r="G3067" s="830">
        <v>419.52</v>
      </c>
      <c r="H3067" s="831">
        <v>1907.96</v>
      </c>
      <c r="I3067" s="846"/>
      <c r="J3067" s="846"/>
      <c r="K3067" s="846"/>
      <c r="L3067" s="846"/>
      <c r="M3067" s="846"/>
      <c r="N3067" s="846"/>
      <c r="O3067" s="846"/>
      <c r="P3067" s="846"/>
      <c r="Q3067" s="846"/>
      <c r="R3067" s="846"/>
      <c r="S3067" s="846"/>
      <c r="T3067" s="846"/>
    </row>
    <row r="3068" spans="2:20" ht="38.25" hidden="1">
      <c r="B3068" s="828" t="s">
        <v>6652</v>
      </c>
      <c r="C3068" s="828">
        <v>101506</v>
      </c>
      <c r="D3068" s="630" t="s">
        <v>4126</v>
      </c>
      <c r="E3068" s="630" t="s">
        <v>646</v>
      </c>
      <c r="F3068" s="829">
        <v>1638.71</v>
      </c>
      <c r="G3068" s="830">
        <v>456.4</v>
      </c>
      <c r="H3068" s="831">
        <v>2095.11</v>
      </c>
      <c r="I3068" s="846"/>
      <c r="J3068" s="846"/>
      <c r="K3068" s="846"/>
      <c r="L3068" s="846"/>
      <c r="M3068" s="846"/>
      <c r="N3068" s="846"/>
      <c r="O3068" s="846"/>
      <c r="P3068" s="846"/>
      <c r="Q3068" s="846"/>
      <c r="R3068" s="846"/>
      <c r="S3068" s="846"/>
      <c r="T3068" s="846"/>
    </row>
    <row r="3069" spans="2:20" ht="38.25" hidden="1">
      <c r="B3069" s="828" t="s">
        <v>6652</v>
      </c>
      <c r="C3069" s="828">
        <v>101507</v>
      </c>
      <c r="D3069" s="630" t="s">
        <v>4127</v>
      </c>
      <c r="E3069" s="630" t="s">
        <v>646</v>
      </c>
      <c r="F3069" s="829">
        <v>1742.48</v>
      </c>
      <c r="G3069" s="830">
        <v>403.91</v>
      </c>
      <c r="H3069" s="831">
        <v>2146.39</v>
      </c>
      <c r="I3069" s="846"/>
      <c r="J3069" s="846"/>
      <c r="K3069" s="846"/>
      <c r="L3069" s="846"/>
      <c r="M3069" s="846"/>
      <c r="N3069" s="846"/>
      <c r="O3069" s="846"/>
      <c r="P3069" s="846"/>
      <c r="Q3069" s="846"/>
      <c r="R3069" s="846"/>
      <c r="S3069" s="846"/>
      <c r="T3069" s="846"/>
    </row>
    <row r="3070" spans="2:20" ht="38.25" hidden="1">
      <c r="B3070" s="828" t="s">
        <v>6652</v>
      </c>
      <c r="C3070" s="828">
        <v>101508</v>
      </c>
      <c r="D3070" s="630" t="s">
        <v>4128</v>
      </c>
      <c r="E3070" s="630" t="s">
        <v>646</v>
      </c>
      <c r="F3070" s="829">
        <v>1967.38</v>
      </c>
      <c r="G3070" s="830">
        <v>423.97</v>
      </c>
      <c r="H3070" s="831">
        <v>2391.35</v>
      </c>
      <c r="I3070" s="846"/>
      <c r="J3070" s="846"/>
      <c r="K3070" s="846"/>
      <c r="L3070" s="846"/>
      <c r="M3070" s="846"/>
      <c r="N3070" s="846"/>
      <c r="O3070" s="846"/>
      <c r="P3070" s="846"/>
      <c r="Q3070" s="846"/>
      <c r="R3070" s="846"/>
      <c r="S3070" s="846"/>
      <c r="T3070" s="846"/>
    </row>
    <row r="3071" spans="2:20" ht="38.25" hidden="1">
      <c r="B3071" s="828" t="s">
        <v>6652</v>
      </c>
      <c r="C3071" s="828">
        <v>101509</v>
      </c>
      <c r="D3071" s="630" t="s">
        <v>4129</v>
      </c>
      <c r="E3071" s="630" t="s">
        <v>646</v>
      </c>
      <c r="F3071" s="829">
        <v>1607.3700000000001</v>
      </c>
      <c r="G3071" s="830">
        <v>407.25</v>
      </c>
      <c r="H3071" s="831">
        <v>2014.62</v>
      </c>
      <c r="I3071" s="846"/>
      <c r="J3071" s="846"/>
      <c r="K3071" s="846"/>
      <c r="L3071" s="846"/>
      <c r="M3071" s="846"/>
      <c r="N3071" s="846"/>
      <c r="O3071" s="846"/>
      <c r="P3071" s="846"/>
      <c r="Q3071" s="846"/>
      <c r="R3071" s="846"/>
      <c r="S3071" s="846"/>
      <c r="T3071" s="846"/>
    </row>
    <row r="3072" spans="2:20" ht="38.25" hidden="1">
      <c r="B3072" s="828" t="s">
        <v>6652</v>
      </c>
      <c r="C3072" s="828">
        <v>101510</v>
      </c>
      <c r="D3072" s="630" t="s">
        <v>4130</v>
      </c>
      <c r="E3072" s="630" t="s">
        <v>646</v>
      </c>
      <c r="F3072" s="829">
        <v>1757.65</v>
      </c>
      <c r="G3072" s="830">
        <v>444.12</v>
      </c>
      <c r="H3072" s="831">
        <v>2201.77</v>
      </c>
      <c r="I3072" s="846"/>
      <c r="J3072" s="846"/>
      <c r="K3072" s="846"/>
      <c r="L3072" s="846"/>
      <c r="M3072" s="846"/>
      <c r="N3072" s="846"/>
      <c r="O3072" s="846"/>
      <c r="P3072" s="846"/>
      <c r="Q3072" s="846"/>
      <c r="R3072" s="846"/>
      <c r="S3072" s="846"/>
      <c r="T3072" s="846"/>
    </row>
    <row r="3073" spans="2:20" ht="38.25" hidden="1">
      <c r="B3073" s="828" t="s">
        <v>6652</v>
      </c>
      <c r="C3073" s="828">
        <v>101511</v>
      </c>
      <c r="D3073" s="630" t="s">
        <v>4131</v>
      </c>
      <c r="E3073" s="630" t="s">
        <v>646</v>
      </c>
      <c r="F3073" s="829">
        <v>1861.42</v>
      </c>
      <c r="G3073" s="830">
        <v>391.63</v>
      </c>
      <c r="H3073" s="831">
        <v>2253.0500000000002</v>
      </c>
      <c r="I3073" s="846"/>
      <c r="J3073" s="846"/>
      <c r="K3073" s="846"/>
      <c r="L3073" s="846"/>
      <c r="M3073" s="846"/>
      <c r="N3073" s="846"/>
      <c r="O3073" s="846"/>
      <c r="P3073" s="846"/>
      <c r="Q3073" s="846"/>
      <c r="R3073" s="846"/>
      <c r="S3073" s="846"/>
      <c r="T3073" s="846"/>
    </row>
    <row r="3074" spans="2:20" ht="38.25" hidden="1">
      <c r="B3074" s="828" t="s">
        <v>6652</v>
      </c>
      <c r="C3074" s="828">
        <v>101512</v>
      </c>
      <c r="D3074" s="630" t="s">
        <v>4132</v>
      </c>
      <c r="E3074" s="630" t="s">
        <v>646</v>
      </c>
      <c r="F3074" s="829">
        <v>2086.3200000000002</v>
      </c>
      <c r="G3074" s="830">
        <v>411.69</v>
      </c>
      <c r="H3074" s="831">
        <v>2498.0100000000002</v>
      </c>
      <c r="I3074" s="846"/>
      <c r="J3074" s="846"/>
      <c r="K3074" s="846"/>
      <c r="L3074" s="846"/>
      <c r="M3074" s="846"/>
      <c r="N3074" s="846"/>
      <c r="O3074" s="846"/>
      <c r="P3074" s="846"/>
      <c r="Q3074" s="846"/>
      <c r="R3074" s="846"/>
      <c r="S3074" s="846"/>
      <c r="T3074" s="846"/>
    </row>
    <row r="3075" spans="2:20" ht="38.25" hidden="1">
      <c r="B3075" s="828" t="s">
        <v>6652</v>
      </c>
      <c r="C3075" s="828">
        <v>101513</v>
      </c>
      <c r="D3075" s="630" t="s">
        <v>4133</v>
      </c>
      <c r="E3075" s="630" t="s">
        <v>646</v>
      </c>
      <c r="F3075" s="829">
        <v>677.68</v>
      </c>
      <c r="G3075" s="830">
        <v>161.02000000000001</v>
      </c>
      <c r="H3075" s="831">
        <v>838.7</v>
      </c>
      <c r="I3075" s="846"/>
      <c r="J3075" s="846"/>
      <c r="K3075" s="846"/>
      <c r="L3075" s="846"/>
      <c r="M3075" s="846"/>
      <c r="N3075" s="846"/>
      <c r="O3075" s="846"/>
      <c r="P3075" s="846"/>
      <c r="Q3075" s="846"/>
      <c r="R3075" s="846"/>
      <c r="S3075" s="846"/>
      <c r="T3075" s="846"/>
    </row>
    <row r="3076" spans="2:20" ht="38.25" hidden="1">
      <c r="B3076" s="828" t="s">
        <v>6652</v>
      </c>
      <c r="C3076" s="828">
        <v>101514</v>
      </c>
      <c r="D3076" s="630" t="s">
        <v>4134</v>
      </c>
      <c r="E3076" s="630" t="s">
        <v>646</v>
      </c>
      <c r="F3076" s="829">
        <v>767.04</v>
      </c>
      <c r="G3076" s="830">
        <v>182.94</v>
      </c>
      <c r="H3076" s="831">
        <v>949.98</v>
      </c>
      <c r="I3076" s="846"/>
      <c r="J3076" s="846"/>
      <c r="K3076" s="846"/>
      <c r="L3076" s="846"/>
      <c r="M3076" s="846"/>
      <c r="N3076" s="846"/>
      <c r="O3076" s="846"/>
      <c r="P3076" s="846"/>
      <c r="Q3076" s="846"/>
      <c r="R3076" s="846"/>
      <c r="S3076" s="846"/>
      <c r="T3076" s="846"/>
    </row>
    <row r="3077" spans="2:20" ht="38.25" hidden="1">
      <c r="B3077" s="828" t="s">
        <v>6652</v>
      </c>
      <c r="C3077" s="828">
        <v>101515</v>
      </c>
      <c r="D3077" s="630" t="s">
        <v>4135</v>
      </c>
      <c r="E3077" s="630" t="s">
        <v>646</v>
      </c>
      <c r="F3077" s="829">
        <v>828.77</v>
      </c>
      <c r="G3077" s="830">
        <v>151.69999999999999</v>
      </c>
      <c r="H3077" s="831">
        <v>980.47</v>
      </c>
      <c r="I3077" s="846"/>
      <c r="J3077" s="846"/>
      <c r="K3077" s="846"/>
      <c r="L3077" s="846"/>
      <c r="M3077" s="846"/>
      <c r="N3077" s="846"/>
      <c r="O3077" s="846"/>
      <c r="P3077" s="846"/>
      <c r="Q3077" s="846"/>
      <c r="R3077" s="846"/>
      <c r="S3077" s="846"/>
      <c r="T3077" s="846"/>
    </row>
    <row r="3078" spans="2:20" ht="38.25" hidden="1">
      <c r="B3078" s="828" t="s">
        <v>6652</v>
      </c>
      <c r="C3078" s="828">
        <v>101516</v>
      </c>
      <c r="D3078" s="630" t="s">
        <v>4136</v>
      </c>
      <c r="E3078" s="630" t="s">
        <v>646</v>
      </c>
      <c r="F3078" s="829">
        <v>947.33</v>
      </c>
      <c r="G3078" s="830">
        <v>156.69</v>
      </c>
      <c r="H3078" s="831">
        <v>1104.02</v>
      </c>
      <c r="I3078" s="846"/>
      <c r="J3078" s="846"/>
      <c r="K3078" s="846"/>
      <c r="L3078" s="846"/>
      <c r="M3078" s="846"/>
      <c r="N3078" s="846"/>
      <c r="O3078" s="846"/>
      <c r="P3078" s="846"/>
      <c r="Q3078" s="846"/>
      <c r="R3078" s="846"/>
      <c r="S3078" s="846"/>
      <c r="T3078" s="846"/>
    </row>
    <row r="3079" spans="2:20" ht="38.25" hidden="1">
      <c r="B3079" s="828" t="s">
        <v>6652</v>
      </c>
      <c r="C3079" s="828">
        <v>101517</v>
      </c>
      <c r="D3079" s="630" t="s">
        <v>4137</v>
      </c>
      <c r="E3079" s="630" t="s">
        <v>646</v>
      </c>
      <c r="F3079" s="829">
        <v>675.22</v>
      </c>
      <c r="G3079" s="830">
        <v>144.83000000000001</v>
      </c>
      <c r="H3079" s="831">
        <v>820.05</v>
      </c>
      <c r="I3079" s="846"/>
      <c r="J3079" s="846"/>
      <c r="K3079" s="846"/>
      <c r="L3079" s="846"/>
      <c r="M3079" s="846"/>
      <c r="N3079" s="846"/>
      <c r="O3079" s="846"/>
      <c r="P3079" s="846"/>
      <c r="Q3079" s="846"/>
      <c r="R3079" s="846"/>
      <c r="S3079" s="846"/>
      <c r="T3079" s="846"/>
    </row>
    <row r="3080" spans="2:20" ht="38.25" hidden="1">
      <c r="B3080" s="828" t="s">
        <v>6652</v>
      </c>
      <c r="C3080" s="828">
        <v>101518</v>
      </c>
      <c r="D3080" s="630" t="s">
        <v>4138</v>
      </c>
      <c r="E3080" s="630" t="s">
        <v>646</v>
      </c>
      <c r="F3080" s="829">
        <v>764.58</v>
      </c>
      <c r="G3080" s="830">
        <v>166.75</v>
      </c>
      <c r="H3080" s="831">
        <v>931.33</v>
      </c>
      <c r="I3080" s="846"/>
      <c r="J3080" s="846"/>
      <c r="K3080" s="846"/>
      <c r="L3080" s="846"/>
      <c r="M3080" s="846"/>
      <c r="N3080" s="846"/>
      <c r="O3080" s="846"/>
      <c r="P3080" s="846"/>
      <c r="Q3080" s="846"/>
      <c r="R3080" s="846"/>
      <c r="S3080" s="846"/>
      <c r="T3080" s="846"/>
    </row>
    <row r="3081" spans="2:20" ht="38.25" hidden="1">
      <c r="B3081" s="828" t="s">
        <v>6652</v>
      </c>
      <c r="C3081" s="828">
        <v>101519</v>
      </c>
      <c r="D3081" s="630" t="s">
        <v>4139</v>
      </c>
      <c r="E3081" s="630" t="s">
        <v>646</v>
      </c>
      <c r="F3081" s="829">
        <v>826.31</v>
      </c>
      <c r="G3081" s="830">
        <v>135.51</v>
      </c>
      <c r="H3081" s="831">
        <v>961.82</v>
      </c>
      <c r="I3081" s="846"/>
      <c r="J3081" s="846"/>
      <c r="K3081" s="846"/>
      <c r="L3081" s="846"/>
      <c r="M3081" s="846"/>
      <c r="N3081" s="846"/>
      <c r="O3081" s="846"/>
      <c r="P3081" s="846"/>
      <c r="Q3081" s="846"/>
      <c r="R3081" s="846"/>
      <c r="S3081" s="846"/>
      <c r="T3081" s="846"/>
    </row>
    <row r="3082" spans="2:20" ht="38.25" hidden="1">
      <c r="B3082" s="828" t="s">
        <v>6652</v>
      </c>
      <c r="C3082" s="828">
        <v>101520</v>
      </c>
      <c r="D3082" s="630" t="s">
        <v>4140</v>
      </c>
      <c r="E3082" s="630" t="s">
        <v>646</v>
      </c>
      <c r="F3082" s="829">
        <v>944.87</v>
      </c>
      <c r="G3082" s="830">
        <v>140.5</v>
      </c>
      <c r="H3082" s="831">
        <v>1085.3699999999999</v>
      </c>
      <c r="I3082" s="846"/>
      <c r="J3082" s="846"/>
      <c r="K3082" s="846"/>
      <c r="L3082" s="846"/>
      <c r="M3082" s="846"/>
      <c r="N3082" s="846"/>
      <c r="O3082" s="846"/>
      <c r="P3082" s="846"/>
      <c r="Q3082" s="846"/>
      <c r="R3082" s="846"/>
      <c r="S3082" s="846"/>
      <c r="T3082" s="846"/>
    </row>
    <row r="3083" spans="2:20" ht="38.25" hidden="1">
      <c r="B3083" s="828" t="s">
        <v>6652</v>
      </c>
      <c r="C3083" s="828">
        <v>101521</v>
      </c>
      <c r="D3083" s="630" t="s">
        <v>4141</v>
      </c>
      <c r="E3083" s="630" t="s">
        <v>646</v>
      </c>
      <c r="F3083" s="829">
        <v>942.77</v>
      </c>
      <c r="G3083" s="830">
        <v>191.31</v>
      </c>
      <c r="H3083" s="831">
        <v>1134.08</v>
      </c>
      <c r="I3083" s="846"/>
      <c r="J3083" s="846"/>
      <c r="K3083" s="846"/>
      <c r="L3083" s="846"/>
      <c r="M3083" s="846"/>
      <c r="N3083" s="846"/>
      <c r="O3083" s="846"/>
      <c r="P3083" s="846"/>
      <c r="Q3083" s="846"/>
      <c r="R3083" s="846"/>
      <c r="S3083" s="846"/>
      <c r="T3083" s="846"/>
    </row>
    <row r="3084" spans="2:20" ht="38.25" hidden="1">
      <c r="B3084" s="828" t="s">
        <v>6652</v>
      </c>
      <c r="C3084" s="828">
        <v>101522</v>
      </c>
      <c r="D3084" s="630" t="s">
        <v>4142</v>
      </c>
      <c r="E3084" s="630" t="s">
        <v>646</v>
      </c>
      <c r="F3084" s="829">
        <v>1076.83</v>
      </c>
      <c r="G3084" s="830">
        <v>224.16</v>
      </c>
      <c r="H3084" s="831">
        <v>1300.99</v>
      </c>
      <c r="I3084" s="846"/>
      <c r="J3084" s="846"/>
      <c r="K3084" s="846"/>
      <c r="L3084" s="846"/>
      <c r="M3084" s="846"/>
      <c r="N3084" s="846"/>
      <c r="O3084" s="846"/>
      <c r="P3084" s="846"/>
      <c r="Q3084" s="846"/>
      <c r="R3084" s="846"/>
      <c r="S3084" s="846"/>
      <c r="T3084" s="846"/>
    </row>
    <row r="3085" spans="2:20" ht="38.25" hidden="1">
      <c r="B3085" s="828" t="s">
        <v>6652</v>
      </c>
      <c r="C3085" s="828">
        <v>101523</v>
      </c>
      <c r="D3085" s="630" t="s">
        <v>4143</v>
      </c>
      <c r="E3085" s="630" t="s">
        <v>646</v>
      </c>
      <c r="F3085" s="829">
        <v>1169.4100000000001</v>
      </c>
      <c r="G3085" s="830">
        <v>177.32</v>
      </c>
      <c r="H3085" s="831">
        <v>1346.73</v>
      </c>
      <c r="I3085" s="846"/>
      <c r="J3085" s="846"/>
      <c r="K3085" s="846"/>
      <c r="L3085" s="846"/>
      <c r="M3085" s="846"/>
      <c r="N3085" s="846"/>
      <c r="O3085" s="846"/>
      <c r="P3085" s="846"/>
      <c r="Q3085" s="846"/>
      <c r="R3085" s="846"/>
      <c r="S3085" s="846"/>
      <c r="T3085" s="846"/>
    </row>
    <row r="3086" spans="2:20" ht="38.25" hidden="1">
      <c r="B3086" s="828" t="s">
        <v>6652</v>
      </c>
      <c r="C3086" s="828">
        <v>101524</v>
      </c>
      <c r="D3086" s="630" t="s">
        <v>4144</v>
      </c>
      <c r="E3086" s="630" t="s">
        <v>646</v>
      </c>
      <c r="F3086" s="829">
        <v>1347.25</v>
      </c>
      <c r="G3086" s="830">
        <v>184.81</v>
      </c>
      <c r="H3086" s="831">
        <v>1532.06</v>
      </c>
      <c r="I3086" s="846"/>
      <c r="J3086" s="846"/>
      <c r="K3086" s="846"/>
      <c r="L3086" s="846"/>
      <c r="M3086" s="846"/>
      <c r="N3086" s="846"/>
      <c r="O3086" s="846"/>
      <c r="P3086" s="846"/>
      <c r="Q3086" s="846"/>
      <c r="R3086" s="846"/>
      <c r="S3086" s="846"/>
      <c r="T3086" s="846"/>
    </row>
    <row r="3087" spans="2:20" ht="38.25" hidden="1">
      <c r="B3087" s="828" t="s">
        <v>6652</v>
      </c>
      <c r="C3087" s="828">
        <v>101525</v>
      </c>
      <c r="D3087" s="630" t="s">
        <v>4145</v>
      </c>
      <c r="E3087" s="630" t="s">
        <v>646</v>
      </c>
      <c r="F3087" s="829">
        <v>944.37</v>
      </c>
      <c r="G3087" s="830">
        <v>178.52</v>
      </c>
      <c r="H3087" s="831">
        <v>1122.8900000000001</v>
      </c>
      <c r="I3087" s="846"/>
      <c r="J3087" s="846"/>
      <c r="K3087" s="846"/>
      <c r="L3087" s="846"/>
      <c r="M3087" s="846"/>
      <c r="N3087" s="846"/>
      <c r="O3087" s="846"/>
      <c r="P3087" s="846"/>
      <c r="Q3087" s="846"/>
      <c r="R3087" s="846"/>
      <c r="S3087" s="846"/>
      <c r="T3087" s="846"/>
    </row>
    <row r="3088" spans="2:20" ht="38.25" hidden="1">
      <c r="B3088" s="828" t="s">
        <v>6652</v>
      </c>
      <c r="C3088" s="828">
        <v>101526</v>
      </c>
      <c r="D3088" s="630" t="s">
        <v>4146</v>
      </c>
      <c r="E3088" s="630" t="s">
        <v>646</v>
      </c>
      <c r="F3088" s="829">
        <v>1078.44</v>
      </c>
      <c r="G3088" s="830">
        <v>211.36</v>
      </c>
      <c r="H3088" s="831">
        <v>1289.8</v>
      </c>
      <c r="I3088" s="846"/>
      <c r="J3088" s="846"/>
      <c r="K3088" s="846"/>
      <c r="L3088" s="846"/>
      <c r="M3088" s="846"/>
      <c r="N3088" s="846"/>
      <c r="O3088" s="846"/>
      <c r="P3088" s="846"/>
      <c r="Q3088" s="846"/>
      <c r="R3088" s="846"/>
      <c r="S3088" s="846"/>
      <c r="T3088" s="846"/>
    </row>
    <row r="3089" spans="2:20" ht="38.25" hidden="1">
      <c r="B3089" s="828" t="s">
        <v>6652</v>
      </c>
      <c r="C3089" s="828">
        <v>101527</v>
      </c>
      <c r="D3089" s="630" t="s">
        <v>4147</v>
      </c>
      <c r="E3089" s="630" t="s">
        <v>646</v>
      </c>
      <c r="F3089" s="829">
        <v>1171.02</v>
      </c>
      <c r="G3089" s="830">
        <v>164.52</v>
      </c>
      <c r="H3089" s="831">
        <v>1335.54</v>
      </c>
      <c r="I3089" s="846"/>
      <c r="J3089" s="846"/>
      <c r="K3089" s="846"/>
      <c r="L3089" s="846"/>
      <c r="M3089" s="846"/>
      <c r="N3089" s="846"/>
      <c r="O3089" s="846"/>
      <c r="P3089" s="846"/>
      <c r="Q3089" s="846"/>
      <c r="R3089" s="846"/>
      <c r="S3089" s="846"/>
      <c r="T3089" s="846"/>
    </row>
    <row r="3090" spans="2:20" ht="38.25" hidden="1">
      <c r="B3090" s="828" t="s">
        <v>6652</v>
      </c>
      <c r="C3090" s="828">
        <v>101528</v>
      </c>
      <c r="D3090" s="630" t="s">
        <v>4148</v>
      </c>
      <c r="E3090" s="630" t="s">
        <v>646</v>
      </c>
      <c r="F3090" s="829">
        <v>1348.86</v>
      </c>
      <c r="G3090" s="830">
        <v>172.01</v>
      </c>
      <c r="H3090" s="831">
        <v>1520.87</v>
      </c>
      <c r="I3090" s="846"/>
      <c r="J3090" s="846"/>
      <c r="K3090" s="846"/>
      <c r="L3090" s="846"/>
      <c r="M3090" s="846"/>
      <c r="N3090" s="846"/>
      <c r="O3090" s="846"/>
      <c r="P3090" s="846"/>
      <c r="Q3090" s="846"/>
      <c r="R3090" s="846"/>
      <c r="S3090" s="846"/>
      <c r="T3090" s="846"/>
    </row>
    <row r="3091" spans="2:20" ht="38.25" hidden="1">
      <c r="B3091" s="828" t="s">
        <v>6652</v>
      </c>
      <c r="C3091" s="828">
        <v>101529</v>
      </c>
      <c r="D3091" s="630" t="s">
        <v>4149</v>
      </c>
      <c r="E3091" s="630" t="s">
        <v>646</v>
      </c>
      <c r="F3091" s="829">
        <v>1046.74</v>
      </c>
      <c r="G3091" s="830">
        <v>221.64</v>
      </c>
      <c r="H3091" s="831">
        <v>1268.3800000000001</v>
      </c>
      <c r="I3091" s="846"/>
      <c r="J3091" s="846"/>
      <c r="K3091" s="846"/>
      <c r="L3091" s="846"/>
      <c r="M3091" s="846"/>
      <c r="N3091" s="846"/>
      <c r="O3091" s="846"/>
      <c r="P3091" s="846"/>
      <c r="Q3091" s="846"/>
      <c r="R3091" s="846"/>
      <c r="S3091" s="846"/>
      <c r="T3091" s="846"/>
    </row>
    <row r="3092" spans="2:20" ht="38.25" hidden="1">
      <c r="B3092" s="828" t="s">
        <v>6652</v>
      </c>
      <c r="C3092" s="828">
        <v>101530</v>
      </c>
      <c r="D3092" s="630" t="s">
        <v>4150</v>
      </c>
      <c r="E3092" s="630" t="s">
        <v>646</v>
      </c>
      <c r="F3092" s="829">
        <v>1225.47</v>
      </c>
      <c r="G3092" s="830">
        <v>265.45999999999998</v>
      </c>
      <c r="H3092" s="832">
        <v>1490.93</v>
      </c>
      <c r="I3092" s="846"/>
      <c r="J3092" s="846"/>
      <c r="K3092" s="846"/>
      <c r="L3092" s="846"/>
      <c r="M3092" s="846"/>
      <c r="N3092" s="846"/>
      <c r="O3092" s="846"/>
      <c r="P3092" s="846"/>
      <c r="Q3092" s="846"/>
      <c r="R3092" s="846"/>
      <c r="S3092" s="846"/>
      <c r="T3092" s="846"/>
    </row>
    <row r="3093" spans="2:20" ht="38.25" hidden="1">
      <c r="B3093" s="828" t="s">
        <v>6652</v>
      </c>
      <c r="C3093" s="828">
        <v>101531</v>
      </c>
      <c r="D3093" s="630" t="s">
        <v>4151</v>
      </c>
      <c r="E3093" s="630" t="s">
        <v>646</v>
      </c>
      <c r="F3093" s="829">
        <v>1348.91</v>
      </c>
      <c r="G3093" s="830">
        <v>203</v>
      </c>
      <c r="H3093" s="832">
        <v>1551.91</v>
      </c>
      <c r="I3093" s="846"/>
      <c r="J3093" s="846"/>
      <c r="K3093" s="846"/>
      <c r="L3093" s="846"/>
      <c r="M3093" s="846"/>
      <c r="N3093" s="846"/>
      <c r="O3093" s="846"/>
      <c r="P3093" s="846"/>
      <c r="Q3093" s="846"/>
      <c r="R3093" s="846"/>
      <c r="S3093" s="846"/>
      <c r="T3093" s="846"/>
    </row>
    <row r="3094" spans="2:20" ht="38.25" hidden="1">
      <c r="B3094" s="828" t="s">
        <v>6652</v>
      </c>
      <c r="C3094" s="828">
        <v>101532</v>
      </c>
      <c r="D3094" s="630" t="s">
        <v>4152</v>
      </c>
      <c r="E3094" s="630" t="s">
        <v>646</v>
      </c>
      <c r="F3094" s="829">
        <v>1586.03</v>
      </c>
      <c r="G3094" s="830">
        <v>212.99</v>
      </c>
      <c r="H3094" s="832">
        <v>1799.02</v>
      </c>
      <c r="I3094" s="846"/>
      <c r="J3094" s="846"/>
      <c r="K3094" s="846"/>
      <c r="L3094" s="846"/>
      <c r="M3094" s="846"/>
      <c r="N3094" s="846"/>
      <c r="O3094" s="846"/>
      <c r="P3094" s="846"/>
      <c r="Q3094" s="846"/>
      <c r="R3094" s="846"/>
      <c r="S3094" s="846"/>
      <c r="T3094" s="846"/>
    </row>
    <row r="3095" spans="2:20" ht="38.25" hidden="1">
      <c r="B3095" s="828" t="s">
        <v>6652</v>
      </c>
      <c r="C3095" s="828">
        <v>101533</v>
      </c>
      <c r="D3095" s="630" t="s">
        <v>4153</v>
      </c>
      <c r="E3095" s="630" t="s">
        <v>646</v>
      </c>
      <c r="F3095" s="829">
        <v>1165.69</v>
      </c>
      <c r="G3095" s="830">
        <v>209.36</v>
      </c>
      <c r="H3095" s="832">
        <v>1375.05</v>
      </c>
      <c r="I3095" s="846"/>
      <c r="J3095" s="846"/>
      <c r="K3095" s="846"/>
      <c r="L3095" s="846"/>
      <c r="M3095" s="846"/>
      <c r="N3095" s="846"/>
      <c r="O3095" s="846"/>
      <c r="P3095" s="846"/>
      <c r="Q3095" s="846"/>
      <c r="R3095" s="846"/>
      <c r="S3095" s="846"/>
      <c r="T3095" s="846"/>
    </row>
    <row r="3096" spans="2:20" ht="38.25" hidden="1">
      <c r="B3096" s="828" t="s">
        <v>6652</v>
      </c>
      <c r="C3096" s="828">
        <v>101534</v>
      </c>
      <c r="D3096" s="630" t="s">
        <v>4154</v>
      </c>
      <c r="E3096" s="630" t="s">
        <v>646</v>
      </c>
      <c r="F3096" s="829">
        <v>1344.44</v>
      </c>
      <c r="G3096" s="830">
        <v>253.16</v>
      </c>
      <c r="H3096" s="832">
        <v>1597.6</v>
      </c>
      <c r="I3096" s="846"/>
      <c r="J3096" s="846"/>
      <c r="K3096" s="846"/>
      <c r="L3096" s="846"/>
      <c r="M3096" s="846"/>
      <c r="N3096" s="846"/>
      <c r="O3096" s="846"/>
      <c r="P3096" s="846"/>
      <c r="Q3096" s="846"/>
      <c r="R3096" s="846"/>
      <c r="S3096" s="846"/>
      <c r="T3096" s="846"/>
    </row>
    <row r="3097" spans="2:20" ht="38.25" hidden="1">
      <c r="B3097" s="828" t="s">
        <v>6652</v>
      </c>
      <c r="C3097" s="828">
        <v>101535</v>
      </c>
      <c r="D3097" s="630" t="s">
        <v>4155</v>
      </c>
      <c r="E3097" s="630" t="s">
        <v>646</v>
      </c>
      <c r="F3097" s="829">
        <v>1467.87</v>
      </c>
      <c r="G3097" s="830">
        <v>190.71</v>
      </c>
      <c r="H3097" s="832">
        <v>1658.58</v>
      </c>
      <c r="I3097" s="846"/>
      <c r="J3097" s="846"/>
      <c r="K3097" s="846"/>
      <c r="L3097" s="846"/>
      <c r="M3097" s="846"/>
      <c r="N3097" s="846"/>
      <c r="O3097" s="846"/>
      <c r="P3097" s="846"/>
      <c r="Q3097" s="846"/>
      <c r="R3097" s="846"/>
      <c r="S3097" s="846"/>
      <c r="T3097" s="846"/>
    </row>
    <row r="3098" spans="2:20" ht="38.25" hidden="1">
      <c r="B3098" s="828" t="s">
        <v>6652</v>
      </c>
      <c r="C3098" s="828">
        <v>101536</v>
      </c>
      <c r="D3098" s="630" t="s">
        <v>4156</v>
      </c>
      <c r="E3098" s="630" t="s">
        <v>646</v>
      </c>
      <c r="F3098" s="829">
        <v>1704.98</v>
      </c>
      <c r="G3098" s="830">
        <v>200.71</v>
      </c>
      <c r="H3098" s="832">
        <v>1905.69</v>
      </c>
      <c r="I3098" s="846"/>
      <c r="J3098" s="846"/>
      <c r="K3098" s="846"/>
      <c r="L3098" s="846"/>
      <c r="M3098" s="846"/>
      <c r="N3098" s="846"/>
      <c r="O3098" s="846"/>
      <c r="P3098" s="846"/>
      <c r="Q3098" s="846"/>
      <c r="R3098" s="846"/>
      <c r="S3098" s="846"/>
      <c r="T3098" s="846"/>
    </row>
    <row r="3099" spans="2:20" ht="25.5" hidden="1">
      <c r="B3099" s="828" t="s">
        <v>6652</v>
      </c>
      <c r="C3099" s="828">
        <v>101537</v>
      </c>
      <c r="D3099" s="630" t="s">
        <v>4157</v>
      </c>
      <c r="E3099" s="630" t="s">
        <v>646</v>
      </c>
      <c r="F3099" s="829">
        <v>99.38</v>
      </c>
      <c r="G3099" s="830">
        <v>35.65</v>
      </c>
      <c r="H3099" s="832">
        <v>135.03</v>
      </c>
      <c r="I3099" s="846"/>
      <c r="J3099" s="846"/>
      <c r="K3099" s="846"/>
      <c r="L3099" s="846"/>
      <c r="M3099" s="846"/>
      <c r="N3099" s="846"/>
      <c r="O3099" s="846"/>
      <c r="P3099" s="846"/>
      <c r="Q3099" s="846"/>
      <c r="R3099" s="846"/>
      <c r="S3099" s="846"/>
      <c r="T3099" s="846"/>
    </row>
    <row r="3100" spans="2:20" ht="25.5" hidden="1">
      <c r="B3100" s="828" t="s">
        <v>6652</v>
      </c>
      <c r="C3100" s="828">
        <v>101538</v>
      </c>
      <c r="D3100" s="630" t="s">
        <v>4158</v>
      </c>
      <c r="E3100" s="630" t="s">
        <v>646</v>
      </c>
      <c r="F3100" s="829">
        <v>25.09</v>
      </c>
      <c r="G3100" s="830">
        <v>9.9700000000000006</v>
      </c>
      <c r="H3100" s="832">
        <v>35.06</v>
      </c>
      <c r="I3100" s="846"/>
      <c r="J3100" s="846"/>
      <c r="K3100" s="846"/>
      <c r="L3100" s="846"/>
      <c r="M3100" s="846"/>
      <c r="N3100" s="846"/>
      <c r="O3100" s="846"/>
      <c r="P3100" s="846"/>
      <c r="Q3100" s="846"/>
      <c r="R3100" s="846"/>
      <c r="S3100" s="846"/>
      <c r="T3100" s="846"/>
    </row>
    <row r="3101" spans="2:20" ht="25.5" hidden="1">
      <c r="B3101" s="828" t="s">
        <v>6652</v>
      </c>
      <c r="C3101" s="828">
        <v>101539</v>
      </c>
      <c r="D3101" s="630" t="s">
        <v>4159</v>
      </c>
      <c r="E3101" s="630" t="s">
        <v>646</v>
      </c>
      <c r="F3101" s="829">
        <v>40.56</v>
      </c>
      <c r="G3101" s="830">
        <v>19.97</v>
      </c>
      <c r="H3101" s="832">
        <v>60.53</v>
      </c>
      <c r="I3101" s="846"/>
      <c r="J3101" s="846"/>
      <c r="K3101" s="846"/>
      <c r="L3101" s="846"/>
      <c r="M3101" s="846"/>
      <c r="N3101" s="846"/>
      <c r="O3101" s="846"/>
      <c r="P3101" s="846"/>
      <c r="Q3101" s="846"/>
      <c r="R3101" s="846"/>
      <c r="S3101" s="846"/>
      <c r="T3101" s="846"/>
    </row>
    <row r="3102" spans="2:20" ht="25.5" hidden="1">
      <c r="B3102" s="828" t="s">
        <v>6652</v>
      </c>
      <c r="C3102" s="828">
        <v>101540</v>
      </c>
      <c r="D3102" s="630" t="s">
        <v>4160</v>
      </c>
      <c r="E3102" s="630" t="s">
        <v>646</v>
      </c>
      <c r="F3102" s="829">
        <v>69.38</v>
      </c>
      <c r="G3102" s="830">
        <v>29.97</v>
      </c>
      <c r="H3102" s="832">
        <v>99.35</v>
      </c>
      <c r="I3102" s="846"/>
      <c r="J3102" s="846"/>
      <c r="K3102" s="846"/>
      <c r="L3102" s="846"/>
      <c r="M3102" s="846"/>
      <c r="N3102" s="846"/>
      <c r="O3102" s="846"/>
      <c r="P3102" s="846"/>
      <c r="Q3102" s="846"/>
      <c r="R3102" s="846"/>
      <c r="S3102" s="846"/>
      <c r="T3102" s="846"/>
    </row>
    <row r="3103" spans="2:20" ht="25.5" hidden="1">
      <c r="B3103" s="828" t="s">
        <v>6652</v>
      </c>
      <c r="C3103" s="828">
        <v>101541</v>
      </c>
      <c r="D3103" s="630" t="s">
        <v>4161</v>
      </c>
      <c r="E3103" s="630" t="s">
        <v>646</v>
      </c>
      <c r="F3103" s="829">
        <v>90.24</v>
      </c>
      <c r="G3103" s="830">
        <v>39.97</v>
      </c>
      <c r="H3103" s="832">
        <v>130.21</v>
      </c>
      <c r="I3103" s="846"/>
      <c r="J3103" s="846"/>
      <c r="K3103" s="846"/>
      <c r="L3103" s="846"/>
      <c r="M3103" s="846"/>
      <c r="N3103" s="846"/>
      <c r="O3103" s="846"/>
      <c r="P3103" s="846"/>
      <c r="Q3103" s="846"/>
      <c r="R3103" s="846"/>
      <c r="S3103" s="846"/>
      <c r="T3103" s="846"/>
    </row>
    <row r="3104" spans="2:20" ht="25.5" hidden="1">
      <c r="B3104" s="828" t="s">
        <v>6652</v>
      </c>
      <c r="C3104" s="828">
        <v>101542</v>
      </c>
      <c r="D3104" s="630" t="s">
        <v>4162</v>
      </c>
      <c r="E3104" s="630" t="s">
        <v>646</v>
      </c>
      <c r="F3104" s="829">
        <v>19</v>
      </c>
      <c r="G3104" s="830">
        <v>8.33</v>
      </c>
      <c r="H3104" s="832">
        <v>27.33</v>
      </c>
      <c r="I3104" s="846"/>
      <c r="J3104" s="846"/>
      <c r="K3104" s="846"/>
      <c r="L3104" s="846"/>
      <c r="M3104" s="846"/>
      <c r="N3104" s="846"/>
      <c r="O3104" s="846"/>
      <c r="P3104" s="846"/>
      <c r="Q3104" s="846"/>
      <c r="R3104" s="846"/>
      <c r="S3104" s="846"/>
      <c r="T3104" s="846"/>
    </row>
    <row r="3105" spans="2:20" ht="25.5" hidden="1">
      <c r="B3105" s="828" t="s">
        <v>6652</v>
      </c>
      <c r="C3105" s="828">
        <v>101543</v>
      </c>
      <c r="D3105" s="630" t="s">
        <v>4163</v>
      </c>
      <c r="E3105" s="630" t="s">
        <v>646</v>
      </c>
      <c r="F3105" s="829">
        <v>33.369999999999997</v>
      </c>
      <c r="G3105" s="830">
        <v>16.66</v>
      </c>
      <c r="H3105" s="832">
        <v>50.03</v>
      </c>
      <c r="I3105" s="846"/>
      <c r="J3105" s="846"/>
      <c r="K3105" s="846"/>
      <c r="L3105" s="846"/>
      <c r="M3105" s="846"/>
      <c r="N3105" s="846"/>
      <c r="O3105" s="846"/>
      <c r="P3105" s="846"/>
      <c r="Q3105" s="846"/>
      <c r="R3105" s="846"/>
      <c r="S3105" s="846"/>
      <c r="T3105" s="846"/>
    </row>
    <row r="3106" spans="2:20" ht="25.5" hidden="1">
      <c r="B3106" s="828" t="s">
        <v>6652</v>
      </c>
      <c r="C3106" s="828">
        <v>101544</v>
      </c>
      <c r="D3106" s="630" t="s">
        <v>4164</v>
      </c>
      <c r="E3106" s="630" t="s">
        <v>646</v>
      </c>
      <c r="F3106" s="829">
        <v>53.74</v>
      </c>
      <c r="G3106" s="830">
        <v>25.01</v>
      </c>
      <c r="H3106" s="832">
        <v>78.75</v>
      </c>
      <c r="I3106" s="846"/>
      <c r="J3106" s="846"/>
      <c r="K3106" s="846"/>
      <c r="L3106" s="846"/>
      <c r="M3106" s="846"/>
      <c r="N3106" s="846"/>
      <c r="O3106" s="846"/>
      <c r="P3106" s="846"/>
      <c r="Q3106" s="846"/>
      <c r="R3106" s="846"/>
      <c r="S3106" s="846"/>
      <c r="T3106" s="846"/>
    </row>
    <row r="3107" spans="2:20" ht="25.5" hidden="1">
      <c r="B3107" s="828" t="s">
        <v>6652</v>
      </c>
      <c r="C3107" s="828">
        <v>101545</v>
      </c>
      <c r="D3107" s="630" t="s">
        <v>4165</v>
      </c>
      <c r="E3107" s="630" t="s">
        <v>646</v>
      </c>
      <c r="F3107" s="829">
        <v>78.650000000000006</v>
      </c>
      <c r="G3107" s="830">
        <v>33.340000000000003</v>
      </c>
      <c r="H3107" s="832">
        <v>111.99</v>
      </c>
      <c r="I3107" s="846"/>
      <c r="J3107" s="846"/>
      <c r="K3107" s="846"/>
      <c r="L3107" s="846"/>
      <c r="M3107" s="846"/>
      <c r="N3107" s="846"/>
      <c r="O3107" s="846"/>
      <c r="P3107" s="846"/>
      <c r="Q3107" s="846"/>
      <c r="R3107" s="846"/>
      <c r="S3107" s="846"/>
      <c r="T3107" s="846"/>
    </row>
    <row r="3108" spans="2:20" ht="25.5" hidden="1">
      <c r="B3108" s="828" t="s">
        <v>6652</v>
      </c>
      <c r="C3108" s="828">
        <v>101546</v>
      </c>
      <c r="D3108" s="630" t="s">
        <v>4166</v>
      </c>
      <c r="E3108" s="630" t="s">
        <v>646</v>
      </c>
      <c r="F3108" s="829">
        <v>30.46</v>
      </c>
      <c r="G3108" s="830">
        <v>1.64</v>
      </c>
      <c r="H3108" s="832">
        <v>32.1</v>
      </c>
      <c r="I3108" s="846"/>
      <c r="J3108" s="846"/>
      <c r="K3108" s="846"/>
      <c r="L3108" s="846"/>
      <c r="M3108" s="846"/>
      <c r="N3108" s="846"/>
      <c r="O3108" s="846"/>
      <c r="P3108" s="846"/>
      <c r="Q3108" s="846"/>
      <c r="R3108" s="846"/>
      <c r="S3108" s="846"/>
      <c r="T3108" s="846"/>
    </row>
    <row r="3109" spans="2:20" ht="25.5" hidden="1">
      <c r="B3109" s="828" t="s">
        <v>6652</v>
      </c>
      <c r="C3109" s="828">
        <v>101547</v>
      </c>
      <c r="D3109" s="630" t="s">
        <v>4167</v>
      </c>
      <c r="E3109" s="630" t="s">
        <v>646</v>
      </c>
      <c r="F3109" s="829">
        <v>98.47</v>
      </c>
      <c r="G3109" s="830">
        <v>1.64</v>
      </c>
      <c r="H3109" s="832">
        <v>100.11</v>
      </c>
      <c r="I3109" s="846"/>
      <c r="J3109" s="846"/>
      <c r="K3109" s="846"/>
      <c r="L3109" s="846"/>
      <c r="M3109" s="846"/>
      <c r="N3109" s="846"/>
      <c r="O3109" s="846"/>
      <c r="P3109" s="846"/>
      <c r="Q3109" s="846"/>
      <c r="R3109" s="846"/>
      <c r="S3109" s="846"/>
      <c r="T3109" s="846"/>
    </row>
    <row r="3110" spans="2:20" ht="25.5" hidden="1">
      <c r="B3110" s="828" t="s">
        <v>6652</v>
      </c>
      <c r="C3110" s="828">
        <v>101548</v>
      </c>
      <c r="D3110" s="630" t="s">
        <v>4168</v>
      </c>
      <c r="E3110" s="630" t="s">
        <v>646</v>
      </c>
      <c r="F3110" s="829">
        <v>6.46</v>
      </c>
      <c r="G3110" s="830">
        <v>1.65</v>
      </c>
      <c r="H3110" s="832">
        <v>8.11</v>
      </c>
      <c r="I3110" s="846"/>
      <c r="J3110" s="846"/>
      <c r="K3110" s="846"/>
      <c r="L3110" s="846"/>
      <c r="M3110" s="846"/>
      <c r="N3110" s="846"/>
      <c r="O3110" s="846"/>
      <c r="P3110" s="846"/>
      <c r="Q3110" s="846"/>
      <c r="R3110" s="846"/>
      <c r="S3110" s="846"/>
      <c r="T3110" s="846"/>
    </row>
    <row r="3111" spans="2:20" ht="38.25" hidden="1">
      <c r="B3111" s="828" t="s">
        <v>6652</v>
      </c>
      <c r="C3111" s="828">
        <v>101549</v>
      </c>
      <c r="D3111" s="630" t="s">
        <v>4169</v>
      </c>
      <c r="E3111" s="630" t="s">
        <v>646</v>
      </c>
      <c r="F3111" s="829">
        <v>18.2</v>
      </c>
      <c r="G3111" s="830">
        <v>5.35</v>
      </c>
      <c r="H3111" s="832">
        <v>23.55</v>
      </c>
      <c r="I3111" s="846"/>
      <c r="J3111" s="846"/>
      <c r="K3111" s="846"/>
      <c r="L3111" s="846"/>
      <c r="M3111" s="846"/>
      <c r="N3111" s="846"/>
      <c r="O3111" s="846"/>
      <c r="P3111" s="846"/>
      <c r="Q3111" s="846"/>
      <c r="R3111" s="846"/>
      <c r="S3111" s="846"/>
      <c r="T3111" s="846"/>
    </row>
    <row r="3112" spans="2:20" ht="25.5" hidden="1">
      <c r="B3112" s="828" t="s">
        <v>6652</v>
      </c>
      <c r="C3112" s="828">
        <v>101553</v>
      </c>
      <c r="D3112" s="630" t="s">
        <v>4170</v>
      </c>
      <c r="E3112" s="630" t="s">
        <v>646</v>
      </c>
      <c r="F3112" s="829">
        <v>8.02</v>
      </c>
      <c r="G3112" s="830">
        <v>4.1900000000000004</v>
      </c>
      <c r="H3112" s="832">
        <v>12.21</v>
      </c>
      <c r="I3112" s="846"/>
      <c r="J3112" s="846"/>
      <c r="K3112" s="846"/>
      <c r="L3112" s="846"/>
      <c r="M3112" s="846"/>
      <c r="N3112" s="846"/>
      <c r="O3112" s="846"/>
      <c r="P3112" s="846"/>
      <c r="Q3112" s="846"/>
      <c r="R3112" s="846"/>
      <c r="S3112" s="846"/>
      <c r="T3112" s="846"/>
    </row>
    <row r="3113" spans="2:20" ht="25.5" hidden="1">
      <c r="B3113" s="828" t="s">
        <v>6652</v>
      </c>
      <c r="C3113" s="828">
        <v>101554</v>
      </c>
      <c r="D3113" s="630" t="s">
        <v>4171</v>
      </c>
      <c r="E3113" s="630" t="s">
        <v>646</v>
      </c>
      <c r="F3113" s="829">
        <v>5.29</v>
      </c>
      <c r="G3113" s="830">
        <v>4.2</v>
      </c>
      <c r="H3113" s="832">
        <v>9.49</v>
      </c>
      <c r="I3113" s="846"/>
      <c r="J3113" s="846"/>
      <c r="K3113" s="846"/>
      <c r="L3113" s="846"/>
      <c r="M3113" s="846"/>
      <c r="N3113" s="846"/>
      <c r="O3113" s="846"/>
      <c r="P3113" s="846"/>
      <c r="Q3113" s="846"/>
      <c r="R3113" s="846"/>
      <c r="S3113" s="846"/>
      <c r="T3113" s="846"/>
    </row>
    <row r="3114" spans="2:20" ht="25.5" hidden="1">
      <c r="B3114" s="828" t="s">
        <v>6652</v>
      </c>
      <c r="C3114" s="828">
        <v>101555</v>
      </c>
      <c r="D3114" s="630" t="s">
        <v>4172</v>
      </c>
      <c r="E3114" s="630" t="s">
        <v>646</v>
      </c>
      <c r="F3114" s="829">
        <v>2.79</v>
      </c>
      <c r="G3114" s="830">
        <v>4.22</v>
      </c>
      <c r="H3114" s="832">
        <v>7.01</v>
      </c>
      <c r="I3114" s="846"/>
      <c r="J3114" s="846"/>
      <c r="K3114" s="846"/>
      <c r="L3114" s="846"/>
      <c r="M3114" s="846"/>
      <c r="N3114" s="846"/>
      <c r="O3114" s="846"/>
      <c r="P3114" s="846"/>
      <c r="Q3114" s="846"/>
      <c r="R3114" s="846"/>
      <c r="S3114" s="846"/>
      <c r="T3114" s="846"/>
    </row>
    <row r="3115" spans="2:20" ht="25.5" hidden="1">
      <c r="B3115" s="828" t="s">
        <v>6652</v>
      </c>
      <c r="C3115" s="828">
        <v>101556</v>
      </c>
      <c r="D3115" s="630" t="s">
        <v>4173</v>
      </c>
      <c r="E3115" s="630" t="s">
        <v>646</v>
      </c>
      <c r="F3115" s="829">
        <v>2.38</v>
      </c>
      <c r="G3115" s="830">
        <v>4.2300000000000004</v>
      </c>
      <c r="H3115" s="832">
        <v>6.61</v>
      </c>
      <c r="I3115" s="846"/>
      <c r="J3115" s="846"/>
      <c r="K3115" s="846"/>
      <c r="L3115" s="846"/>
      <c r="M3115" s="846"/>
      <c r="N3115" s="846"/>
      <c r="O3115" s="846"/>
      <c r="P3115" s="846"/>
      <c r="Q3115" s="846"/>
      <c r="R3115" s="846"/>
      <c r="S3115" s="846"/>
      <c r="T3115" s="846"/>
    </row>
    <row r="3116" spans="2:20" ht="38.25" hidden="1">
      <c r="B3116" s="828" t="s">
        <v>6652</v>
      </c>
      <c r="C3116" s="828">
        <v>101560</v>
      </c>
      <c r="D3116" s="630" t="s">
        <v>4174</v>
      </c>
      <c r="E3116" s="630" t="s">
        <v>648</v>
      </c>
      <c r="F3116" s="829">
        <v>10.3</v>
      </c>
      <c r="G3116" s="830">
        <v>0.06</v>
      </c>
      <c r="H3116" s="831">
        <v>10.36</v>
      </c>
      <c r="I3116" s="846"/>
      <c r="J3116" s="846"/>
      <c r="K3116" s="846"/>
      <c r="L3116" s="846"/>
      <c r="M3116" s="846"/>
      <c r="N3116" s="846"/>
      <c r="O3116" s="846"/>
      <c r="P3116" s="846"/>
      <c r="Q3116" s="846"/>
      <c r="R3116" s="846"/>
      <c r="S3116" s="846"/>
      <c r="T3116" s="846"/>
    </row>
    <row r="3117" spans="2:20" ht="38.25" hidden="1">
      <c r="B3117" s="828" t="s">
        <v>6652</v>
      </c>
      <c r="C3117" s="828">
        <v>101561</v>
      </c>
      <c r="D3117" s="630" t="s">
        <v>4175</v>
      </c>
      <c r="E3117" s="630" t="s">
        <v>648</v>
      </c>
      <c r="F3117" s="829">
        <v>15.78</v>
      </c>
      <c r="G3117" s="830">
        <v>0.06</v>
      </c>
      <c r="H3117" s="831">
        <v>15.84</v>
      </c>
      <c r="I3117" s="846"/>
      <c r="J3117" s="846"/>
      <c r="K3117" s="846"/>
      <c r="L3117" s="846"/>
      <c r="M3117" s="846"/>
      <c r="N3117" s="846"/>
      <c r="O3117" s="846"/>
      <c r="P3117" s="846"/>
      <c r="Q3117" s="846"/>
      <c r="R3117" s="846"/>
      <c r="S3117" s="846"/>
      <c r="T3117" s="846"/>
    </row>
    <row r="3118" spans="2:20" ht="38.25" hidden="1">
      <c r="B3118" s="828" t="s">
        <v>6652</v>
      </c>
      <c r="C3118" s="828">
        <v>101562</v>
      </c>
      <c r="D3118" s="630" t="s">
        <v>4176</v>
      </c>
      <c r="E3118" s="630" t="s">
        <v>648</v>
      </c>
      <c r="F3118" s="829">
        <v>24.02</v>
      </c>
      <c r="G3118" s="830">
        <v>0.06</v>
      </c>
      <c r="H3118" s="831">
        <v>24.08</v>
      </c>
      <c r="I3118" s="846"/>
      <c r="J3118" s="846"/>
      <c r="K3118" s="846"/>
      <c r="L3118" s="846"/>
      <c r="M3118" s="846"/>
      <c r="N3118" s="846"/>
      <c r="O3118" s="846"/>
      <c r="P3118" s="846"/>
      <c r="Q3118" s="846"/>
      <c r="R3118" s="846"/>
      <c r="S3118" s="846"/>
      <c r="T3118" s="846"/>
    </row>
    <row r="3119" spans="2:20" ht="38.25" hidden="1">
      <c r="B3119" s="828" t="s">
        <v>6652</v>
      </c>
      <c r="C3119" s="828">
        <v>101563</v>
      </c>
      <c r="D3119" s="630" t="s">
        <v>4177</v>
      </c>
      <c r="E3119" s="630" t="s">
        <v>648</v>
      </c>
      <c r="F3119" s="829">
        <v>33.090000000000003</v>
      </c>
      <c r="G3119" s="830">
        <v>7.0000000000000007E-2</v>
      </c>
      <c r="H3119" s="832">
        <v>33.159999999999997</v>
      </c>
      <c r="I3119" s="846"/>
      <c r="J3119" s="846"/>
      <c r="K3119" s="846"/>
      <c r="L3119" s="846"/>
      <c r="M3119" s="846"/>
      <c r="N3119" s="846"/>
      <c r="O3119" s="846"/>
      <c r="P3119" s="846"/>
      <c r="Q3119" s="846"/>
      <c r="R3119" s="846"/>
      <c r="S3119" s="846"/>
      <c r="T3119" s="846"/>
    </row>
    <row r="3120" spans="2:20" ht="38.25" hidden="1">
      <c r="B3120" s="828" t="s">
        <v>6652</v>
      </c>
      <c r="C3120" s="828">
        <v>101564</v>
      </c>
      <c r="D3120" s="630" t="s">
        <v>4178</v>
      </c>
      <c r="E3120" s="630" t="s">
        <v>648</v>
      </c>
      <c r="F3120" s="829">
        <v>47.15</v>
      </c>
      <c r="G3120" s="830">
        <v>7.0000000000000007E-2</v>
      </c>
      <c r="H3120" s="831">
        <v>47.22</v>
      </c>
      <c r="I3120" s="846"/>
      <c r="J3120" s="846"/>
      <c r="K3120" s="846"/>
      <c r="L3120" s="846"/>
      <c r="M3120" s="846"/>
      <c r="N3120" s="846"/>
      <c r="O3120" s="846"/>
      <c r="P3120" s="846"/>
      <c r="Q3120" s="846"/>
      <c r="R3120" s="846"/>
      <c r="S3120" s="846"/>
      <c r="T3120" s="846"/>
    </row>
    <row r="3121" spans="2:20" ht="38.25" hidden="1">
      <c r="B3121" s="828" t="s">
        <v>6652</v>
      </c>
      <c r="C3121" s="828">
        <v>101565</v>
      </c>
      <c r="D3121" s="630" t="s">
        <v>4179</v>
      </c>
      <c r="E3121" s="630" t="s">
        <v>648</v>
      </c>
      <c r="F3121" s="829">
        <v>65.319999999999993</v>
      </c>
      <c r="G3121" s="830">
        <v>7.0000000000000007E-2</v>
      </c>
      <c r="H3121" s="831">
        <v>65.39</v>
      </c>
      <c r="I3121" s="846"/>
      <c r="J3121" s="846"/>
      <c r="K3121" s="846"/>
      <c r="L3121" s="846"/>
      <c r="M3121" s="846"/>
      <c r="N3121" s="846"/>
      <c r="O3121" s="846"/>
      <c r="P3121" s="846"/>
      <c r="Q3121" s="846"/>
      <c r="R3121" s="846"/>
      <c r="S3121" s="846"/>
      <c r="T3121" s="846"/>
    </row>
    <row r="3122" spans="2:20" ht="38.25" hidden="1">
      <c r="B3122" s="828" t="s">
        <v>6652</v>
      </c>
      <c r="C3122" s="828">
        <v>101567</v>
      </c>
      <c r="D3122" s="630" t="s">
        <v>4180</v>
      </c>
      <c r="E3122" s="630" t="s">
        <v>648</v>
      </c>
      <c r="F3122" s="829">
        <v>86.77</v>
      </c>
      <c r="G3122" s="830">
        <v>7.0000000000000007E-2</v>
      </c>
      <c r="H3122" s="831">
        <v>86.84</v>
      </c>
      <c r="I3122" s="846"/>
      <c r="J3122" s="846"/>
      <c r="K3122" s="846"/>
      <c r="L3122" s="846"/>
      <c r="M3122" s="846"/>
      <c r="N3122" s="846"/>
      <c r="O3122" s="846"/>
      <c r="P3122" s="846"/>
      <c r="Q3122" s="846"/>
      <c r="R3122" s="846"/>
      <c r="S3122" s="846"/>
      <c r="T3122" s="846"/>
    </row>
    <row r="3123" spans="2:20" ht="38.25" hidden="1">
      <c r="B3123" s="828" t="s">
        <v>6652</v>
      </c>
      <c r="C3123" s="828">
        <v>101568</v>
      </c>
      <c r="D3123" s="630" t="s">
        <v>4181</v>
      </c>
      <c r="E3123" s="630" t="s">
        <v>648</v>
      </c>
      <c r="F3123" s="829">
        <v>112.95</v>
      </c>
      <c r="G3123" s="830">
        <v>7.0000000000000007E-2</v>
      </c>
      <c r="H3123" s="832">
        <v>113.02</v>
      </c>
      <c r="I3123" s="846"/>
      <c r="J3123" s="846"/>
      <c r="K3123" s="846"/>
      <c r="L3123" s="846"/>
      <c r="M3123" s="846"/>
      <c r="N3123" s="846"/>
      <c r="O3123" s="846"/>
      <c r="P3123" s="846"/>
      <c r="Q3123" s="846"/>
      <c r="R3123" s="846"/>
      <c r="S3123" s="846"/>
      <c r="T3123" s="846"/>
    </row>
    <row r="3124" spans="2:20" ht="25.5" hidden="1">
      <c r="B3124" s="828" t="s">
        <v>6652</v>
      </c>
      <c r="C3124" s="828">
        <v>101626</v>
      </c>
      <c r="D3124" s="630" t="s">
        <v>4182</v>
      </c>
      <c r="E3124" s="630" t="s">
        <v>646</v>
      </c>
      <c r="F3124" s="829">
        <v>194.9</v>
      </c>
      <c r="G3124" s="830">
        <v>8.44</v>
      </c>
      <c r="H3124" s="832">
        <v>203.34</v>
      </c>
      <c r="I3124" s="846"/>
      <c r="J3124" s="846"/>
      <c r="K3124" s="846"/>
      <c r="L3124" s="846"/>
      <c r="M3124" s="846"/>
      <c r="N3124" s="846"/>
      <c r="O3124" s="846"/>
      <c r="P3124" s="846"/>
      <c r="Q3124" s="846"/>
      <c r="R3124" s="846"/>
      <c r="S3124" s="846"/>
      <c r="T3124" s="846"/>
    </row>
    <row r="3125" spans="2:20" ht="25.5" hidden="1">
      <c r="B3125" s="828" t="s">
        <v>6652</v>
      </c>
      <c r="C3125" s="828">
        <v>101627</v>
      </c>
      <c r="D3125" s="630" t="s">
        <v>4183</v>
      </c>
      <c r="E3125" s="630" t="s">
        <v>646</v>
      </c>
      <c r="F3125" s="829">
        <v>307.89</v>
      </c>
      <c r="G3125" s="830">
        <v>8.44</v>
      </c>
      <c r="H3125" s="832">
        <v>316.33</v>
      </c>
      <c r="I3125" s="846"/>
      <c r="J3125" s="846"/>
      <c r="K3125" s="846"/>
      <c r="L3125" s="846"/>
      <c r="M3125" s="846"/>
      <c r="N3125" s="846"/>
      <c r="O3125" s="846"/>
      <c r="P3125" s="846"/>
      <c r="Q3125" s="846"/>
      <c r="R3125" s="846"/>
      <c r="S3125" s="846"/>
      <c r="T3125" s="846"/>
    </row>
    <row r="3126" spans="2:20" ht="25.5" hidden="1">
      <c r="B3126" s="828" t="s">
        <v>6652</v>
      </c>
      <c r="C3126" s="828">
        <v>101628</v>
      </c>
      <c r="D3126" s="630" t="s">
        <v>4184</v>
      </c>
      <c r="E3126" s="630" t="s">
        <v>646</v>
      </c>
      <c r="F3126" s="829">
        <v>142.63</v>
      </c>
      <c r="G3126" s="830">
        <v>8.44</v>
      </c>
      <c r="H3126" s="832">
        <v>151.07</v>
      </c>
      <c r="I3126" s="846"/>
      <c r="J3126" s="846"/>
      <c r="K3126" s="846"/>
      <c r="L3126" s="846"/>
      <c r="M3126" s="846"/>
      <c r="N3126" s="846"/>
      <c r="O3126" s="846"/>
      <c r="P3126" s="846"/>
      <c r="Q3126" s="846"/>
      <c r="R3126" s="846"/>
      <c r="S3126" s="846"/>
      <c r="T3126" s="846"/>
    </row>
    <row r="3127" spans="2:20" ht="25.5" hidden="1">
      <c r="B3127" s="828" t="s">
        <v>6652</v>
      </c>
      <c r="C3127" s="828">
        <v>101629</v>
      </c>
      <c r="D3127" s="630" t="s">
        <v>4185</v>
      </c>
      <c r="E3127" s="630" t="s">
        <v>646</v>
      </c>
      <c r="F3127" s="829">
        <v>169.55</v>
      </c>
      <c r="G3127" s="830">
        <v>8.44</v>
      </c>
      <c r="H3127" s="832">
        <v>177.99</v>
      </c>
      <c r="I3127" s="846"/>
      <c r="J3127" s="846"/>
      <c r="K3127" s="846"/>
      <c r="L3127" s="846"/>
      <c r="M3127" s="846"/>
      <c r="N3127" s="846"/>
      <c r="O3127" s="846"/>
      <c r="P3127" s="846"/>
      <c r="Q3127" s="846"/>
      <c r="R3127" s="846"/>
      <c r="S3127" s="846"/>
      <c r="T3127" s="846"/>
    </row>
    <row r="3128" spans="2:20" ht="25.5" hidden="1">
      <c r="B3128" s="828" t="s">
        <v>6652</v>
      </c>
      <c r="C3128" s="828">
        <v>101630</v>
      </c>
      <c r="D3128" s="630" t="s">
        <v>4186</v>
      </c>
      <c r="E3128" s="630" t="s">
        <v>646</v>
      </c>
      <c r="F3128" s="829">
        <v>68.22</v>
      </c>
      <c r="G3128" s="830">
        <v>17.71</v>
      </c>
      <c r="H3128" s="832">
        <v>85.93</v>
      </c>
      <c r="I3128" s="846"/>
      <c r="J3128" s="846"/>
      <c r="K3128" s="846"/>
      <c r="L3128" s="846"/>
      <c r="M3128" s="846"/>
      <c r="N3128" s="846"/>
      <c r="O3128" s="846"/>
      <c r="P3128" s="846"/>
      <c r="Q3128" s="846"/>
      <c r="R3128" s="846"/>
      <c r="S3128" s="846"/>
      <c r="T3128" s="846"/>
    </row>
    <row r="3129" spans="2:20" ht="25.5" hidden="1">
      <c r="B3129" s="828" t="s">
        <v>6652</v>
      </c>
      <c r="C3129" s="828">
        <v>101631</v>
      </c>
      <c r="D3129" s="630" t="s">
        <v>4187</v>
      </c>
      <c r="E3129" s="630" t="s">
        <v>646</v>
      </c>
      <c r="F3129" s="829">
        <v>17.22</v>
      </c>
      <c r="G3129" s="830">
        <v>8.4600000000000009</v>
      </c>
      <c r="H3129" s="832">
        <v>25.68</v>
      </c>
      <c r="I3129" s="846"/>
      <c r="J3129" s="846"/>
      <c r="K3129" s="846"/>
      <c r="L3129" s="846"/>
      <c r="M3129" s="846"/>
      <c r="N3129" s="846"/>
      <c r="O3129" s="846"/>
      <c r="P3129" s="846"/>
      <c r="Q3129" s="846"/>
      <c r="R3129" s="846"/>
      <c r="S3129" s="846"/>
      <c r="T3129" s="846"/>
    </row>
    <row r="3130" spans="2:20" ht="25.5" hidden="1">
      <c r="B3130" s="828" t="s">
        <v>6652</v>
      </c>
      <c r="C3130" s="828">
        <v>101632</v>
      </c>
      <c r="D3130" s="630" t="s">
        <v>4188</v>
      </c>
      <c r="E3130" s="630" t="s">
        <v>646</v>
      </c>
      <c r="F3130" s="829">
        <v>44.57</v>
      </c>
      <c r="G3130" s="830">
        <v>0.71</v>
      </c>
      <c r="H3130" s="832">
        <v>45.28</v>
      </c>
      <c r="I3130" s="846"/>
      <c r="J3130" s="846"/>
      <c r="K3130" s="846"/>
      <c r="L3130" s="846"/>
      <c r="M3130" s="846"/>
      <c r="N3130" s="846"/>
      <c r="O3130" s="846"/>
      <c r="P3130" s="846"/>
      <c r="Q3130" s="846"/>
      <c r="R3130" s="846"/>
      <c r="S3130" s="846"/>
      <c r="T3130" s="846"/>
    </row>
    <row r="3131" spans="2:20" ht="25.5" hidden="1">
      <c r="B3131" s="828" t="s">
        <v>6652</v>
      </c>
      <c r="C3131" s="828">
        <v>101633</v>
      </c>
      <c r="D3131" s="630" t="s">
        <v>4189</v>
      </c>
      <c r="E3131" s="630" t="s">
        <v>646</v>
      </c>
      <c r="F3131" s="829">
        <v>109.32</v>
      </c>
      <c r="G3131" s="830">
        <v>7.07</v>
      </c>
      <c r="H3131" s="832">
        <v>116.39</v>
      </c>
      <c r="I3131" s="846"/>
      <c r="J3131" s="846"/>
      <c r="K3131" s="846"/>
      <c r="L3131" s="846"/>
      <c r="M3131" s="846"/>
      <c r="N3131" s="846"/>
      <c r="O3131" s="846"/>
      <c r="P3131" s="846"/>
      <c r="Q3131" s="846"/>
      <c r="R3131" s="846"/>
      <c r="S3131" s="846"/>
      <c r="T3131" s="846"/>
    </row>
    <row r="3132" spans="2:20" ht="38.25" hidden="1">
      <c r="B3132" s="828" t="s">
        <v>6652</v>
      </c>
      <c r="C3132" s="828">
        <v>101636</v>
      </c>
      <c r="D3132" s="630" t="s">
        <v>4190</v>
      </c>
      <c r="E3132" s="630" t="s">
        <v>646</v>
      </c>
      <c r="F3132" s="829">
        <v>137.82999999999998</v>
      </c>
      <c r="G3132" s="830">
        <v>34.93</v>
      </c>
      <c r="H3132" s="832">
        <v>172.76</v>
      </c>
      <c r="I3132" s="846"/>
      <c r="J3132" s="846"/>
      <c r="K3132" s="846"/>
      <c r="L3132" s="846"/>
      <c r="M3132" s="846"/>
      <c r="N3132" s="846"/>
      <c r="O3132" s="846"/>
      <c r="P3132" s="846"/>
      <c r="Q3132" s="846"/>
      <c r="R3132" s="846"/>
      <c r="S3132" s="846"/>
      <c r="T3132" s="846"/>
    </row>
    <row r="3133" spans="2:20" ht="38.25" hidden="1">
      <c r="B3133" s="828" t="s">
        <v>6652</v>
      </c>
      <c r="C3133" s="828">
        <v>101637</v>
      </c>
      <c r="D3133" s="630" t="s">
        <v>4191</v>
      </c>
      <c r="E3133" s="630" t="s">
        <v>646</v>
      </c>
      <c r="F3133" s="829">
        <v>131.53</v>
      </c>
      <c r="G3133" s="830">
        <v>34.93</v>
      </c>
      <c r="H3133" s="832">
        <v>166.46</v>
      </c>
      <c r="I3133" s="846"/>
      <c r="J3133" s="846"/>
      <c r="K3133" s="846"/>
      <c r="L3133" s="846"/>
      <c r="M3133" s="846"/>
      <c r="N3133" s="846"/>
      <c r="O3133" s="846"/>
      <c r="P3133" s="846"/>
      <c r="Q3133" s="846"/>
      <c r="R3133" s="846"/>
      <c r="S3133" s="846"/>
      <c r="T3133" s="846"/>
    </row>
    <row r="3134" spans="2:20" ht="25.5" hidden="1">
      <c r="B3134" s="828" t="s">
        <v>6652</v>
      </c>
      <c r="C3134" s="828">
        <v>101640</v>
      </c>
      <c r="D3134" s="630" t="s">
        <v>4192</v>
      </c>
      <c r="E3134" s="630" t="s">
        <v>646</v>
      </c>
      <c r="F3134" s="829">
        <v>98.07</v>
      </c>
      <c r="G3134" s="830">
        <v>1.17</v>
      </c>
      <c r="H3134" s="832">
        <v>99.24</v>
      </c>
      <c r="I3134" s="846"/>
      <c r="J3134" s="846"/>
      <c r="K3134" s="846"/>
      <c r="L3134" s="846"/>
      <c r="M3134" s="846"/>
      <c r="N3134" s="846"/>
      <c r="O3134" s="846"/>
      <c r="P3134" s="846"/>
      <c r="Q3134" s="846"/>
      <c r="R3134" s="846"/>
      <c r="S3134" s="846"/>
      <c r="T3134" s="846"/>
    </row>
    <row r="3135" spans="2:20" ht="25.5" hidden="1">
      <c r="B3135" s="828" t="s">
        <v>6652</v>
      </c>
      <c r="C3135" s="828">
        <v>101641</v>
      </c>
      <c r="D3135" s="630" t="s">
        <v>4193</v>
      </c>
      <c r="E3135" s="630" t="s">
        <v>646</v>
      </c>
      <c r="F3135" s="829">
        <v>50.3</v>
      </c>
      <c r="G3135" s="830">
        <v>1.17</v>
      </c>
      <c r="H3135" s="832">
        <v>51.47</v>
      </c>
      <c r="I3135" s="846"/>
      <c r="J3135" s="846"/>
      <c r="K3135" s="846"/>
      <c r="L3135" s="846"/>
      <c r="M3135" s="846"/>
      <c r="N3135" s="846"/>
      <c r="O3135" s="846"/>
      <c r="P3135" s="846"/>
      <c r="Q3135" s="846"/>
      <c r="R3135" s="846"/>
      <c r="S3135" s="846"/>
      <c r="T3135" s="846"/>
    </row>
    <row r="3136" spans="2:20" ht="25.5" hidden="1">
      <c r="B3136" s="828" t="s">
        <v>6652</v>
      </c>
      <c r="C3136" s="828">
        <v>101642</v>
      </c>
      <c r="D3136" s="630" t="s">
        <v>4194</v>
      </c>
      <c r="E3136" s="630" t="s">
        <v>646</v>
      </c>
      <c r="F3136" s="829">
        <v>24.72</v>
      </c>
      <c r="G3136" s="830">
        <v>1.17</v>
      </c>
      <c r="H3136" s="832">
        <v>25.89</v>
      </c>
      <c r="I3136" s="846"/>
      <c r="J3136" s="846"/>
      <c r="K3136" s="846"/>
      <c r="L3136" s="846"/>
      <c r="M3136" s="846"/>
      <c r="N3136" s="846"/>
      <c r="O3136" s="846"/>
      <c r="P3136" s="846"/>
      <c r="Q3136" s="846"/>
      <c r="R3136" s="846"/>
      <c r="S3136" s="846"/>
      <c r="T3136" s="846"/>
    </row>
    <row r="3137" spans="2:20" ht="25.5" hidden="1">
      <c r="B3137" s="828" t="s">
        <v>6652</v>
      </c>
      <c r="C3137" s="828">
        <v>101643</v>
      </c>
      <c r="D3137" s="630" t="s">
        <v>4195</v>
      </c>
      <c r="E3137" s="630" t="s">
        <v>646</v>
      </c>
      <c r="F3137" s="829">
        <v>43.77</v>
      </c>
      <c r="G3137" s="830">
        <v>1.17</v>
      </c>
      <c r="H3137" s="832">
        <v>44.94</v>
      </c>
      <c r="I3137" s="846"/>
      <c r="J3137" s="846"/>
      <c r="K3137" s="846"/>
      <c r="L3137" s="846"/>
      <c r="M3137" s="846"/>
      <c r="N3137" s="846"/>
      <c r="O3137" s="846"/>
      <c r="P3137" s="846"/>
      <c r="Q3137" s="846"/>
      <c r="R3137" s="846"/>
      <c r="S3137" s="846"/>
      <c r="T3137" s="846"/>
    </row>
    <row r="3138" spans="2:20" ht="25.5" hidden="1">
      <c r="B3138" s="828" t="s">
        <v>6652</v>
      </c>
      <c r="C3138" s="828">
        <v>101644</v>
      </c>
      <c r="D3138" s="630" t="s">
        <v>4196</v>
      </c>
      <c r="E3138" s="630" t="s">
        <v>646</v>
      </c>
      <c r="F3138" s="829">
        <v>59.6</v>
      </c>
      <c r="G3138" s="830">
        <v>1.17</v>
      </c>
      <c r="H3138" s="832">
        <v>60.77</v>
      </c>
      <c r="I3138" s="846"/>
      <c r="J3138" s="846"/>
      <c r="K3138" s="846"/>
      <c r="L3138" s="846"/>
      <c r="M3138" s="846"/>
      <c r="N3138" s="846"/>
      <c r="O3138" s="846"/>
      <c r="P3138" s="846"/>
      <c r="Q3138" s="846"/>
      <c r="R3138" s="846"/>
      <c r="S3138" s="846"/>
      <c r="T3138" s="846"/>
    </row>
    <row r="3139" spans="2:20" ht="25.5" hidden="1">
      <c r="B3139" s="828" t="s">
        <v>6652</v>
      </c>
      <c r="C3139" s="828">
        <v>101645</v>
      </c>
      <c r="D3139" s="630" t="s">
        <v>4197</v>
      </c>
      <c r="E3139" s="630" t="s">
        <v>646</v>
      </c>
      <c r="F3139" s="829">
        <v>27.67</v>
      </c>
      <c r="G3139" s="830">
        <v>1.17</v>
      </c>
      <c r="H3139" s="832">
        <v>28.84</v>
      </c>
      <c r="I3139" s="846"/>
      <c r="J3139" s="846"/>
      <c r="K3139" s="846"/>
      <c r="L3139" s="846"/>
      <c r="M3139" s="846"/>
      <c r="N3139" s="846"/>
      <c r="O3139" s="846"/>
      <c r="P3139" s="846"/>
      <c r="Q3139" s="846"/>
      <c r="R3139" s="846"/>
      <c r="S3139" s="846"/>
      <c r="T3139" s="846"/>
    </row>
    <row r="3140" spans="2:20" ht="25.5" hidden="1">
      <c r="B3140" s="828" t="s">
        <v>6652</v>
      </c>
      <c r="C3140" s="828">
        <v>101646</v>
      </c>
      <c r="D3140" s="630" t="s">
        <v>4198</v>
      </c>
      <c r="E3140" s="630" t="s">
        <v>646</v>
      </c>
      <c r="F3140" s="829">
        <v>37.08</v>
      </c>
      <c r="G3140" s="830">
        <v>1.17</v>
      </c>
      <c r="H3140" s="831">
        <v>38.25</v>
      </c>
      <c r="I3140" s="846"/>
      <c r="J3140" s="846"/>
      <c r="K3140" s="846"/>
      <c r="L3140" s="846"/>
      <c r="M3140" s="846"/>
      <c r="N3140" s="846"/>
      <c r="O3140" s="846"/>
      <c r="P3140" s="846"/>
      <c r="Q3140" s="846"/>
      <c r="R3140" s="846"/>
      <c r="S3140" s="846"/>
      <c r="T3140" s="846"/>
    </row>
    <row r="3141" spans="2:20" ht="25.5" hidden="1">
      <c r="B3141" s="828" t="s">
        <v>6652</v>
      </c>
      <c r="C3141" s="828">
        <v>101647</v>
      </c>
      <c r="D3141" s="630" t="s">
        <v>4199</v>
      </c>
      <c r="E3141" s="630" t="s">
        <v>646</v>
      </c>
      <c r="F3141" s="829">
        <v>68.97</v>
      </c>
      <c r="G3141" s="830">
        <v>1.17</v>
      </c>
      <c r="H3141" s="831">
        <v>70.14</v>
      </c>
      <c r="I3141" s="846"/>
      <c r="J3141" s="846"/>
      <c r="K3141" s="846"/>
      <c r="L3141" s="846"/>
      <c r="M3141" s="846"/>
      <c r="N3141" s="846"/>
      <c r="O3141" s="846"/>
      <c r="P3141" s="846"/>
      <c r="Q3141" s="846"/>
      <c r="R3141" s="846"/>
      <c r="S3141" s="846"/>
      <c r="T3141" s="846"/>
    </row>
    <row r="3142" spans="2:20" ht="25.5" hidden="1">
      <c r="B3142" s="828" t="s">
        <v>6652</v>
      </c>
      <c r="C3142" s="828">
        <v>101648</v>
      </c>
      <c r="D3142" s="630" t="s">
        <v>4200</v>
      </c>
      <c r="E3142" s="630" t="s">
        <v>646</v>
      </c>
      <c r="F3142" s="829">
        <v>53.11</v>
      </c>
      <c r="G3142" s="830">
        <v>1.17</v>
      </c>
      <c r="H3142" s="831">
        <v>54.28</v>
      </c>
      <c r="I3142" s="846"/>
      <c r="J3142" s="846"/>
      <c r="K3142" s="846"/>
      <c r="L3142" s="846"/>
      <c r="M3142" s="846"/>
      <c r="N3142" s="846"/>
      <c r="O3142" s="846"/>
      <c r="P3142" s="846"/>
      <c r="Q3142" s="846"/>
      <c r="R3142" s="846"/>
      <c r="S3142" s="846"/>
      <c r="T3142" s="846"/>
    </row>
    <row r="3143" spans="2:20" ht="25.5" hidden="1">
      <c r="B3143" s="828" t="s">
        <v>6652</v>
      </c>
      <c r="C3143" s="828">
        <v>101649</v>
      </c>
      <c r="D3143" s="630" t="s">
        <v>4201</v>
      </c>
      <c r="E3143" s="630" t="s">
        <v>646</v>
      </c>
      <c r="F3143" s="829">
        <v>61.36</v>
      </c>
      <c r="G3143" s="830">
        <v>1.17</v>
      </c>
      <c r="H3143" s="831">
        <v>62.53</v>
      </c>
      <c r="I3143" s="846"/>
      <c r="J3143" s="846"/>
      <c r="K3143" s="846"/>
      <c r="L3143" s="846"/>
      <c r="M3143" s="846"/>
      <c r="N3143" s="846"/>
      <c r="O3143" s="846"/>
      <c r="P3143" s="846"/>
      <c r="Q3143" s="846"/>
      <c r="R3143" s="846"/>
      <c r="S3143" s="846"/>
      <c r="T3143" s="846"/>
    </row>
    <row r="3144" spans="2:20" ht="25.5" hidden="1">
      <c r="B3144" s="828" t="s">
        <v>6652</v>
      </c>
      <c r="C3144" s="828">
        <v>101650</v>
      </c>
      <c r="D3144" s="630" t="s">
        <v>4202</v>
      </c>
      <c r="E3144" s="630" t="s">
        <v>646</v>
      </c>
      <c r="F3144" s="829">
        <v>71.48</v>
      </c>
      <c r="G3144" s="830">
        <v>1.17</v>
      </c>
      <c r="H3144" s="831">
        <v>72.650000000000006</v>
      </c>
      <c r="I3144" s="846"/>
      <c r="J3144" s="846"/>
      <c r="K3144" s="846"/>
      <c r="L3144" s="846"/>
      <c r="M3144" s="846"/>
      <c r="N3144" s="846"/>
      <c r="O3144" s="846"/>
      <c r="P3144" s="846"/>
      <c r="Q3144" s="846"/>
      <c r="R3144" s="846"/>
      <c r="S3144" s="846"/>
      <c r="T3144" s="846"/>
    </row>
    <row r="3145" spans="2:20" ht="25.5" hidden="1">
      <c r="B3145" s="828" t="s">
        <v>6652</v>
      </c>
      <c r="C3145" s="828">
        <v>101651</v>
      </c>
      <c r="D3145" s="630" t="s">
        <v>4203</v>
      </c>
      <c r="E3145" s="630" t="s">
        <v>646</v>
      </c>
      <c r="F3145" s="829">
        <v>65.31</v>
      </c>
      <c r="G3145" s="830">
        <v>8.16</v>
      </c>
      <c r="H3145" s="831">
        <v>73.47</v>
      </c>
      <c r="I3145" s="846"/>
      <c r="J3145" s="846"/>
      <c r="K3145" s="846"/>
      <c r="L3145" s="846"/>
      <c r="M3145" s="846"/>
      <c r="N3145" s="846"/>
      <c r="O3145" s="846"/>
      <c r="P3145" s="846"/>
      <c r="Q3145" s="846"/>
      <c r="R3145" s="846"/>
      <c r="S3145" s="846"/>
      <c r="T3145" s="846"/>
    </row>
    <row r="3146" spans="2:20" ht="38.25" hidden="1">
      <c r="B3146" s="828" t="s">
        <v>6652</v>
      </c>
      <c r="C3146" s="828">
        <v>101652</v>
      </c>
      <c r="D3146" s="630" t="s">
        <v>4204</v>
      </c>
      <c r="E3146" s="630" t="s">
        <v>646</v>
      </c>
      <c r="F3146" s="829">
        <v>561.48</v>
      </c>
      <c r="G3146" s="830">
        <v>40.909999999999997</v>
      </c>
      <c r="H3146" s="831">
        <v>602.39</v>
      </c>
      <c r="I3146" s="846"/>
      <c r="J3146" s="846"/>
      <c r="K3146" s="846"/>
      <c r="L3146" s="846"/>
      <c r="M3146" s="846"/>
      <c r="N3146" s="846"/>
      <c r="O3146" s="846"/>
      <c r="P3146" s="846"/>
      <c r="Q3146" s="846"/>
      <c r="R3146" s="846"/>
      <c r="S3146" s="846"/>
      <c r="T3146" s="846"/>
    </row>
    <row r="3147" spans="2:20" ht="63.75" hidden="1">
      <c r="B3147" s="828" t="s">
        <v>6652</v>
      </c>
      <c r="C3147" s="828">
        <v>101653</v>
      </c>
      <c r="D3147" s="630" t="s">
        <v>4205</v>
      </c>
      <c r="E3147" s="630" t="s">
        <v>646</v>
      </c>
      <c r="F3147" s="829">
        <v>252.87</v>
      </c>
      <c r="G3147" s="830">
        <v>70.22</v>
      </c>
      <c r="H3147" s="831">
        <v>323.08999999999997</v>
      </c>
      <c r="I3147" s="846"/>
      <c r="J3147" s="846"/>
      <c r="K3147" s="846"/>
      <c r="L3147" s="846"/>
      <c r="M3147" s="846"/>
      <c r="N3147" s="846"/>
      <c r="O3147" s="846"/>
      <c r="P3147" s="846"/>
      <c r="Q3147" s="846"/>
      <c r="R3147" s="846"/>
      <c r="S3147" s="846"/>
      <c r="T3147" s="846"/>
    </row>
    <row r="3148" spans="2:20" ht="25.5" hidden="1">
      <c r="B3148" s="828" t="s">
        <v>6652</v>
      </c>
      <c r="C3148" s="828">
        <v>101654</v>
      </c>
      <c r="D3148" s="630" t="s">
        <v>4206</v>
      </c>
      <c r="E3148" s="630" t="s">
        <v>646</v>
      </c>
      <c r="F3148" s="829">
        <v>276.51</v>
      </c>
      <c r="G3148" s="830">
        <v>15.99</v>
      </c>
      <c r="H3148" s="831">
        <v>292.5</v>
      </c>
      <c r="I3148" s="846"/>
      <c r="J3148" s="846"/>
      <c r="K3148" s="846"/>
      <c r="L3148" s="846"/>
      <c r="M3148" s="846"/>
      <c r="N3148" s="846"/>
      <c r="O3148" s="846"/>
      <c r="P3148" s="846"/>
      <c r="Q3148" s="846"/>
      <c r="R3148" s="846"/>
      <c r="S3148" s="846"/>
      <c r="T3148" s="846"/>
    </row>
    <row r="3149" spans="2:20" ht="25.5" hidden="1">
      <c r="B3149" s="828" t="s">
        <v>6652</v>
      </c>
      <c r="C3149" s="828">
        <v>101655</v>
      </c>
      <c r="D3149" s="630" t="s">
        <v>4207</v>
      </c>
      <c r="E3149" s="630" t="s">
        <v>646</v>
      </c>
      <c r="F3149" s="829">
        <v>452.95</v>
      </c>
      <c r="G3149" s="830">
        <v>15.99</v>
      </c>
      <c r="H3149" s="831">
        <v>468.94</v>
      </c>
      <c r="I3149" s="846"/>
      <c r="J3149" s="846"/>
      <c r="K3149" s="846"/>
      <c r="L3149" s="846"/>
      <c r="M3149" s="846"/>
      <c r="N3149" s="846"/>
      <c r="O3149" s="846"/>
      <c r="P3149" s="846"/>
      <c r="Q3149" s="846"/>
      <c r="R3149" s="846"/>
      <c r="S3149" s="846"/>
      <c r="T3149" s="846"/>
    </row>
    <row r="3150" spans="2:20" ht="25.5" hidden="1">
      <c r="B3150" s="828" t="s">
        <v>6652</v>
      </c>
      <c r="C3150" s="828">
        <v>101656</v>
      </c>
      <c r="D3150" s="630" t="s">
        <v>4208</v>
      </c>
      <c r="E3150" s="630" t="s">
        <v>646</v>
      </c>
      <c r="F3150" s="829">
        <v>494.15</v>
      </c>
      <c r="G3150" s="830">
        <v>15.99</v>
      </c>
      <c r="H3150" s="831">
        <v>510.14</v>
      </c>
      <c r="I3150" s="846"/>
      <c r="J3150" s="846"/>
      <c r="K3150" s="846"/>
      <c r="L3150" s="846"/>
      <c r="M3150" s="846"/>
      <c r="N3150" s="846"/>
      <c r="O3150" s="846"/>
      <c r="P3150" s="846"/>
      <c r="Q3150" s="846"/>
      <c r="R3150" s="846"/>
      <c r="S3150" s="846"/>
      <c r="T3150" s="846"/>
    </row>
    <row r="3151" spans="2:20" ht="25.5" hidden="1">
      <c r="B3151" s="828" t="s">
        <v>6652</v>
      </c>
      <c r="C3151" s="828">
        <v>101657</v>
      </c>
      <c r="D3151" s="630" t="s">
        <v>4209</v>
      </c>
      <c r="E3151" s="630" t="s">
        <v>646</v>
      </c>
      <c r="F3151" s="829">
        <v>581.9</v>
      </c>
      <c r="G3151" s="830">
        <v>15.99</v>
      </c>
      <c r="H3151" s="831">
        <v>597.89</v>
      </c>
      <c r="I3151" s="846"/>
      <c r="J3151" s="846"/>
      <c r="K3151" s="846"/>
      <c r="L3151" s="846"/>
      <c r="M3151" s="846"/>
      <c r="N3151" s="846"/>
      <c r="O3151" s="846"/>
      <c r="P3151" s="846"/>
      <c r="Q3151" s="846"/>
      <c r="R3151" s="846"/>
      <c r="S3151" s="846"/>
      <c r="T3151" s="846"/>
    </row>
    <row r="3152" spans="2:20" ht="25.5" hidden="1">
      <c r="B3152" s="828" t="s">
        <v>6652</v>
      </c>
      <c r="C3152" s="828">
        <v>101658</v>
      </c>
      <c r="D3152" s="630" t="s">
        <v>4210</v>
      </c>
      <c r="E3152" s="630" t="s">
        <v>646</v>
      </c>
      <c r="F3152" s="829">
        <v>762.34</v>
      </c>
      <c r="G3152" s="830">
        <v>15.99</v>
      </c>
      <c r="H3152" s="831">
        <v>778.33</v>
      </c>
      <c r="I3152" s="846"/>
      <c r="J3152" s="846"/>
      <c r="K3152" s="846"/>
      <c r="L3152" s="846"/>
      <c r="M3152" s="846"/>
      <c r="N3152" s="846"/>
      <c r="O3152" s="846"/>
      <c r="P3152" s="846"/>
      <c r="Q3152" s="846"/>
      <c r="R3152" s="846"/>
      <c r="S3152" s="846"/>
      <c r="T3152" s="846"/>
    </row>
    <row r="3153" spans="2:20" ht="25.5" hidden="1">
      <c r="B3153" s="828" t="s">
        <v>6652</v>
      </c>
      <c r="C3153" s="828">
        <v>101659</v>
      </c>
      <c r="D3153" s="630" t="s">
        <v>4211</v>
      </c>
      <c r="E3153" s="630" t="s">
        <v>646</v>
      </c>
      <c r="F3153" s="829">
        <v>874.56999999999994</v>
      </c>
      <c r="G3153" s="830">
        <v>15.99</v>
      </c>
      <c r="H3153" s="831">
        <v>890.56</v>
      </c>
      <c r="I3153" s="846"/>
      <c r="J3153" s="846"/>
      <c r="K3153" s="846"/>
      <c r="L3153" s="846"/>
      <c r="M3153" s="846"/>
      <c r="N3153" s="846"/>
      <c r="O3153" s="846"/>
      <c r="P3153" s="846"/>
      <c r="Q3153" s="846"/>
      <c r="R3153" s="846"/>
      <c r="S3153" s="846"/>
      <c r="T3153" s="846"/>
    </row>
    <row r="3154" spans="2:20" ht="25.5" hidden="1">
      <c r="B3154" s="828" t="s">
        <v>6652</v>
      </c>
      <c r="C3154" s="828">
        <v>101660</v>
      </c>
      <c r="D3154" s="630" t="s">
        <v>4212</v>
      </c>
      <c r="E3154" s="630" t="s">
        <v>646</v>
      </c>
      <c r="F3154" s="829">
        <v>1404.34</v>
      </c>
      <c r="G3154" s="830">
        <v>15.99</v>
      </c>
      <c r="H3154" s="831">
        <v>1420.33</v>
      </c>
      <c r="I3154" s="846"/>
      <c r="J3154" s="846"/>
      <c r="K3154" s="846"/>
      <c r="L3154" s="846"/>
      <c r="M3154" s="846"/>
      <c r="N3154" s="846"/>
      <c r="O3154" s="846"/>
      <c r="P3154" s="846"/>
      <c r="Q3154" s="846"/>
      <c r="R3154" s="846"/>
      <c r="S3154" s="846"/>
      <c r="T3154" s="846"/>
    </row>
    <row r="3155" spans="2:20" ht="38.25" hidden="1">
      <c r="B3155" s="828" t="s">
        <v>6652</v>
      </c>
      <c r="C3155" s="828">
        <v>101661</v>
      </c>
      <c r="D3155" s="630" t="s">
        <v>4213</v>
      </c>
      <c r="E3155" s="630" t="s">
        <v>646</v>
      </c>
      <c r="F3155" s="829">
        <v>78.460000000000008</v>
      </c>
      <c r="G3155" s="830">
        <v>51.31</v>
      </c>
      <c r="H3155" s="831">
        <v>129.77000000000001</v>
      </c>
      <c r="I3155" s="846"/>
      <c r="J3155" s="846"/>
      <c r="K3155" s="846"/>
      <c r="L3155" s="846"/>
      <c r="M3155" s="846"/>
      <c r="N3155" s="846"/>
      <c r="O3155" s="846"/>
      <c r="P3155" s="846"/>
      <c r="Q3155" s="846"/>
      <c r="R3155" s="846"/>
      <c r="S3155" s="846"/>
      <c r="T3155" s="846"/>
    </row>
    <row r="3156" spans="2:20" ht="38.25" hidden="1">
      <c r="B3156" s="828" t="s">
        <v>6652</v>
      </c>
      <c r="C3156" s="828">
        <v>101662</v>
      </c>
      <c r="D3156" s="630" t="s">
        <v>4214</v>
      </c>
      <c r="E3156" s="630" t="s">
        <v>646</v>
      </c>
      <c r="F3156" s="829">
        <v>774.81</v>
      </c>
      <c r="G3156" s="830">
        <v>50.55</v>
      </c>
      <c r="H3156" s="831">
        <v>825.36</v>
      </c>
      <c r="I3156" s="846"/>
      <c r="J3156" s="846"/>
      <c r="K3156" s="846"/>
      <c r="L3156" s="846"/>
      <c r="M3156" s="846"/>
      <c r="N3156" s="846"/>
      <c r="O3156" s="846"/>
      <c r="P3156" s="846"/>
      <c r="Q3156" s="846"/>
      <c r="R3156" s="846"/>
      <c r="S3156" s="846"/>
      <c r="T3156" s="846"/>
    </row>
    <row r="3157" spans="2:20" ht="25.5" hidden="1">
      <c r="B3157" s="828" t="s">
        <v>6652</v>
      </c>
      <c r="C3157" s="828">
        <v>101663</v>
      </c>
      <c r="D3157" s="630" t="s">
        <v>4215</v>
      </c>
      <c r="E3157" s="630" t="s">
        <v>646</v>
      </c>
      <c r="F3157" s="829">
        <v>11.66</v>
      </c>
      <c r="G3157" s="830">
        <v>16.03</v>
      </c>
      <c r="H3157" s="831">
        <v>27.69</v>
      </c>
      <c r="I3157" s="846"/>
      <c r="J3157" s="846"/>
      <c r="K3157" s="846"/>
      <c r="L3157" s="846"/>
      <c r="M3157" s="846"/>
      <c r="N3157" s="846"/>
      <c r="O3157" s="846"/>
      <c r="P3157" s="846"/>
      <c r="Q3157" s="846"/>
      <c r="R3157" s="846"/>
      <c r="S3157" s="846"/>
      <c r="T3157" s="846"/>
    </row>
    <row r="3158" spans="2:20" ht="25.5" hidden="1">
      <c r="B3158" s="828" t="s">
        <v>6652</v>
      </c>
      <c r="C3158" s="828">
        <v>101664</v>
      </c>
      <c r="D3158" s="630" t="s">
        <v>4216</v>
      </c>
      <c r="E3158" s="630" t="s">
        <v>646</v>
      </c>
      <c r="F3158" s="829">
        <v>12.66</v>
      </c>
      <c r="G3158" s="830">
        <v>16.02</v>
      </c>
      <c r="H3158" s="831">
        <v>28.68</v>
      </c>
      <c r="I3158" s="846"/>
      <c r="J3158" s="846"/>
      <c r="K3158" s="846"/>
      <c r="L3158" s="846"/>
      <c r="M3158" s="846"/>
      <c r="N3158" s="846"/>
      <c r="O3158" s="846"/>
      <c r="P3158" s="846"/>
      <c r="Q3158" s="846"/>
      <c r="R3158" s="846"/>
      <c r="S3158" s="846"/>
      <c r="T3158" s="846"/>
    </row>
    <row r="3159" spans="2:20" ht="25.5" hidden="1">
      <c r="B3159" s="828" t="s">
        <v>6652</v>
      </c>
      <c r="C3159" s="828">
        <v>101665</v>
      </c>
      <c r="D3159" s="630" t="s">
        <v>4217</v>
      </c>
      <c r="E3159" s="630" t="s">
        <v>646</v>
      </c>
      <c r="F3159" s="829">
        <v>16.940000000000001</v>
      </c>
      <c r="G3159" s="830">
        <v>16.010000000000002</v>
      </c>
      <c r="H3159" s="831">
        <v>32.950000000000003</v>
      </c>
      <c r="I3159" s="846"/>
      <c r="J3159" s="846"/>
      <c r="K3159" s="846"/>
      <c r="L3159" s="846"/>
      <c r="M3159" s="846"/>
      <c r="N3159" s="846"/>
      <c r="O3159" s="846"/>
      <c r="P3159" s="846"/>
      <c r="Q3159" s="846"/>
      <c r="R3159" s="846"/>
      <c r="S3159" s="846"/>
      <c r="T3159" s="846"/>
    </row>
    <row r="3160" spans="2:20" ht="25.5" hidden="1">
      <c r="B3160" s="828" t="s">
        <v>6652</v>
      </c>
      <c r="C3160" s="828">
        <v>101666</v>
      </c>
      <c r="D3160" s="630" t="s">
        <v>4218</v>
      </c>
      <c r="E3160" s="630" t="s">
        <v>646</v>
      </c>
      <c r="F3160" s="829">
        <v>432.56</v>
      </c>
      <c r="G3160" s="830">
        <v>25.61</v>
      </c>
      <c r="H3160" s="831">
        <v>458.17</v>
      </c>
      <c r="I3160" s="846"/>
      <c r="J3160" s="846"/>
      <c r="K3160" s="846"/>
      <c r="L3160" s="846"/>
      <c r="M3160" s="846"/>
      <c r="N3160" s="846"/>
      <c r="O3160" s="846"/>
      <c r="P3160" s="846"/>
      <c r="Q3160" s="846"/>
      <c r="R3160" s="846"/>
      <c r="S3160" s="846"/>
      <c r="T3160" s="846"/>
    </row>
    <row r="3161" spans="2:20" ht="25.5" hidden="1">
      <c r="B3161" s="828" t="s">
        <v>6652</v>
      </c>
      <c r="C3161" s="828">
        <v>102085</v>
      </c>
      <c r="D3161" s="630" t="s">
        <v>5997</v>
      </c>
      <c r="E3161" s="630" t="s">
        <v>646</v>
      </c>
      <c r="F3161" s="829">
        <v>206.88</v>
      </c>
      <c r="G3161" s="830">
        <v>29.1</v>
      </c>
      <c r="H3161" s="831">
        <v>235.98</v>
      </c>
      <c r="I3161" s="846"/>
      <c r="J3161" s="846"/>
      <c r="K3161" s="846"/>
      <c r="L3161" s="846"/>
      <c r="M3161" s="846"/>
      <c r="N3161" s="846"/>
      <c r="O3161" s="846"/>
      <c r="P3161" s="846"/>
      <c r="Q3161" s="846"/>
      <c r="R3161" s="846"/>
      <c r="S3161" s="846"/>
      <c r="T3161" s="846"/>
    </row>
    <row r="3162" spans="2:20" ht="38.25" hidden="1">
      <c r="B3162" s="828" t="s">
        <v>6636</v>
      </c>
      <c r="C3162" s="828">
        <v>100578</v>
      </c>
      <c r="D3162" s="630" t="s">
        <v>3307</v>
      </c>
      <c r="E3162" s="630" t="s">
        <v>646</v>
      </c>
      <c r="F3162" s="829">
        <v>396.16999999999996</v>
      </c>
      <c r="G3162" s="830">
        <v>123.92</v>
      </c>
      <c r="H3162" s="831">
        <v>520.09</v>
      </c>
      <c r="I3162" s="846"/>
      <c r="J3162" s="846"/>
      <c r="K3162" s="846"/>
      <c r="L3162" s="846"/>
      <c r="M3162" s="846"/>
      <c r="N3162" s="846"/>
      <c r="O3162" s="846"/>
      <c r="P3162" s="846"/>
      <c r="Q3162" s="846"/>
      <c r="R3162" s="846"/>
      <c r="S3162" s="846"/>
      <c r="T3162" s="846"/>
    </row>
    <row r="3163" spans="2:20" ht="38.25" hidden="1">
      <c r="B3163" s="828" t="s">
        <v>6636</v>
      </c>
      <c r="C3163" s="828">
        <v>100579</v>
      </c>
      <c r="D3163" s="630" t="s">
        <v>3308</v>
      </c>
      <c r="E3163" s="630" t="s">
        <v>646</v>
      </c>
      <c r="F3163" s="829">
        <v>436.91999999999996</v>
      </c>
      <c r="G3163" s="830">
        <v>133.21</v>
      </c>
      <c r="H3163" s="831">
        <v>570.13</v>
      </c>
      <c r="I3163" s="846"/>
      <c r="J3163" s="846"/>
      <c r="K3163" s="846"/>
      <c r="L3163" s="846"/>
      <c r="M3163" s="846"/>
      <c r="N3163" s="846"/>
      <c r="O3163" s="846"/>
      <c r="P3163" s="846"/>
      <c r="Q3163" s="846"/>
      <c r="R3163" s="846"/>
      <c r="S3163" s="846"/>
      <c r="T3163" s="846"/>
    </row>
    <row r="3164" spans="2:20" ht="38.25" hidden="1">
      <c r="B3164" s="828" t="s">
        <v>6636</v>
      </c>
      <c r="C3164" s="828">
        <v>100580</v>
      </c>
      <c r="D3164" s="630" t="s">
        <v>3309</v>
      </c>
      <c r="E3164" s="630" t="s">
        <v>646</v>
      </c>
      <c r="F3164" s="829">
        <v>451.11</v>
      </c>
      <c r="G3164" s="830">
        <v>173.64</v>
      </c>
      <c r="H3164" s="831">
        <v>624.75</v>
      </c>
      <c r="I3164" s="846"/>
      <c r="J3164" s="846"/>
      <c r="K3164" s="846"/>
      <c r="L3164" s="846"/>
      <c r="M3164" s="846"/>
      <c r="N3164" s="846"/>
      <c r="O3164" s="846"/>
      <c r="P3164" s="846"/>
      <c r="Q3164" s="846"/>
      <c r="R3164" s="846"/>
      <c r="S3164" s="846"/>
      <c r="T3164" s="846"/>
    </row>
    <row r="3165" spans="2:20" ht="38.25" hidden="1">
      <c r="B3165" s="828" t="s">
        <v>6636</v>
      </c>
      <c r="C3165" s="828">
        <v>100581</v>
      </c>
      <c r="D3165" s="630" t="s">
        <v>3310</v>
      </c>
      <c r="E3165" s="630" t="s">
        <v>646</v>
      </c>
      <c r="F3165" s="829">
        <v>457.11999999999995</v>
      </c>
      <c r="G3165" s="830">
        <v>137.79</v>
      </c>
      <c r="H3165" s="831">
        <v>594.91</v>
      </c>
      <c r="I3165" s="846"/>
      <c r="J3165" s="846"/>
      <c r="K3165" s="846"/>
      <c r="L3165" s="846"/>
      <c r="M3165" s="846"/>
      <c r="N3165" s="846"/>
      <c r="O3165" s="846"/>
      <c r="P3165" s="846"/>
      <c r="Q3165" s="846"/>
      <c r="R3165" s="846"/>
      <c r="S3165" s="846"/>
      <c r="T3165" s="846"/>
    </row>
    <row r="3166" spans="2:20" ht="38.25" hidden="1">
      <c r="B3166" s="828" t="s">
        <v>6636</v>
      </c>
      <c r="C3166" s="828">
        <v>100582</v>
      </c>
      <c r="D3166" s="630" t="s">
        <v>3311</v>
      </c>
      <c r="E3166" s="630" t="s">
        <v>646</v>
      </c>
      <c r="F3166" s="829">
        <v>482.3</v>
      </c>
      <c r="G3166" s="830">
        <v>211.03</v>
      </c>
      <c r="H3166" s="831">
        <v>693.33</v>
      </c>
      <c r="I3166" s="846"/>
      <c r="J3166" s="846"/>
      <c r="K3166" s="846"/>
      <c r="L3166" s="846"/>
      <c r="M3166" s="846"/>
      <c r="N3166" s="846"/>
      <c r="O3166" s="846"/>
      <c r="P3166" s="846"/>
      <c r="Q3166" s="846"/>
      <c r="R3166" s="846"/>
      <c r="S3166" s="846"/>
      <c r="T3166" s="846"/>
    </row>
    <row r="3167" spans="2:20" ht="38.25" hidden="1">
      <c r="B3167" s="828" t="s">
        <v>6636</v>
      </c>
      <c r="C3167" s="828">
        <v>100583</v>
      </c>
      <c r="D3167" s="630" t="s">
        <v>3312</v>
      </c>
      <c r="E3167" s="630" t="s">
        <v>646</v>
      </c>
      <c r="F3167" s="829">
        <v>477.97</v>
      </c>
      <c r="G3167" s="830">
        <v>143.53</v>
      </c>
      <c r="H3167" s="831">
        <v>621.5</v>
      </c>
      <c r="I3167" s="846"/>
      <c r="J3167" s="846"/>
      <c r="K3167" s="846"/>
      <c r="L3167" s="846"/>
      <c r="M3167" s="846"/>
      <c r="N3167" s="846"/>
      <c r="O3167" s="846"/>
      <c r="P3167" s="846"/>
      <c r="Q3167" s="846"/>
      <c r="R3167" s="846"/>
      <c r="S3167" s="846"/>
      <c r="T3167" s="846"/>
    </row>
    <row r="3168" spans="2:20" ht="38.25" hidden="1">
      <c r="B3168" s="828" t="s">
        <v>6636</v>
      </c>
      <c r="C3168" s="828">
        <v>100584</v>
      </c>
      <c r="D3168" s="630" t="s">
        <v>3313</v>
      </c>
      <c r="E3168" s="630" t="s">
        <v>646</v>
      </c>
      <c r="F3168" s="829">
        <v>493.38</v>
      </c>
      <c r="G3168" s="830">
        <v>187.32</v>
      </c>
      <c r="H3168" s="831">
        <v>680.7</v>
      </c>
      <c r="I3168" s="846"/>
      <c r="J3168" s="846"/>
      <c r="K3168" s="846"/>
      <c r="L3168" s="846"/>
      <c r="M3168" s="846"/>
      <c r="N3168" s="846"/>
      <c r="O3168" s="846"/>
      <c r="P3168" s="846"/>
      <c r="Q3168" s="846"/>
      <c r="R3168" s="846"/>
      <c r="S3168" s="846"/>
      <c r="T3168" s="846"/>
    </row>
    <row r="3169" spans="2:20" ht="38.25" hidden="1">
      <c r="B3169" s="828" t="s">
        <v>6636</v>
      </c>
      <c r="C3169" s="828">
        <v>100585</v>
      </c>
      <c r="D3169" s="630" t="s">
        <v>3314</v>
      </c>
      <c r="E3169" s="630" t="s">
        <v>646</v>
      </c>
      <c r="F3169" s="829">
        <v>519.06999999999994</v>
      </c>
      <c r="G3169" s="830">
        <v>154.06</v>
      </c>
      <c r="H3169" s="831">
        <v>673.13</v>
      </c>
      <c r="I3169" s="846"/>
      <c r="J3169" s="846"/>
      <c r="K3169" s="846"/>
      <c r="L3169" s="846"/>
      <c r="M3169" s="846"/>
      <c r="N3169" s="846"/>
      <c r="O3169" s="846"/>
      <c r="P3169" s="846"/>
      <c r="Q3169" s="846"/>
      <c r="R3169" s="846"/>
      <c r="S3169" s="846"/>
      <c r="T3169" s="846"/>
    </row>
    <row r="3170" spans="2:20" ht="38.25" hidden="1">
      <c r="B3170" s="828" t="s">
        <v>6636</v>
      </c>
      <c r="C3170" s="828">
        <v>100586</v>
      </c>
      <c r="D3170" s="630" t="s">
        <v>3315</v>
      </c>
      <c r="E3170" s="630" t="s">
        <v>646</v>
      </c>
      <c r="F3170" s="829">
        <v>543.94999999999993</v>
      </c>
      <c r="G3170" s="830">
        <v>223.54</v>
      </c>
      <c r="H3170" s="831">
        <v>767.49</v>
      </c>
      <c r="I3170" s="846"/>
      <c r="J3170" s="846"/>
      <c r="K3170" s="846"/>
      <c r="L3170" s="846"/>
      <c r="M3170" s="846"/>
      <c r="N3170" s="846"/>
      <c r="O3170" s="846"/>
      <c r="P3170" s="846"/>
      <c r="Q3170" s="846"/>
      <c r="R3170" s="846"/>
      <c r="S3170" s="846"/>
      <c r="T3170" s="846"/>
    </row>
    <row r="3171" spans="2:20" ht="38.25" hidden="1">
      <c r="B3171" s="828" t="s">
        <v>6636</v>
      </c>
      <c r="C3171" s="828">
        <v>100587</v>
      </c>
      <c r="D3171" s="630" t="s">
        <v>3316</v>
      </c>
      <c r="E3171" s="630" t="s">
        <v>646</v>
      </c>
      <c r="F3171" s="829">
        <v>560.59</v>
      </c>
      <c r="G3171" s="830">
        <v>166.04</v>
      </c>
      <c r="H3171" s="831">
        <v>726.63</v>
      </c>
      <c r="I3171" s="846"/>
      <c r="J3171" s="846"/>
      <c r="K3171" s="846"/>
      <c r="L3171" s="846"/>
      <c r="M3171" s="846"/>
      <c r="N3171" s="846"/>
      <c r="O3171" s="846"/>
      <c r="P3171" s="846"/>
      <c r="Q3171" s="846"/>
      <c r="R3171" s="846"/>
      <c r="S3171" s="846"/>
      <c r="T3171" s="846"/>
    </row>
    <row r="3172" spans="2:20" ht="38.25" hidden="1">
      <c r="B3172" s="828" t="s">
        <v>6636</v>
      </c>
      <c r="C3172" s="828">
        <v>100588</v>
      </c>
      <c r="D3172" s="630" t="s">
        <v>3317</v>
      </c>
      <c r="E3172" s="630" t="s">
        <v>646</v>
      </c>
      <c r="F3172" s="829">
        <v>579.97</v>
      </c>
      <c r="G3172" s="830">
        <v>220</v>
      </c>
      <c r="H3172" s="831">
        <v>799.97</v>
      </c>
      <c r="I3172" s="846"/>
      <c r="J3172" s="846"/>
      <c r="K3172" s="846"/>
      <c r="L3172" s="846"/>
      <c r="M3172" s="846"/>
      <c r="N3172" s="846"/>
      <c r="O3172" s="846"/>
      <c r="P3172" s="846"/>
      <c r="Q3172" s="846"/>
      <c r="R3172" s="846"/>
      <c r="S3172" s="846"/>
      <c r="T3172" s="846"/>
    </row>
    <row r="3173" spans="2:20" ht="38.25" hidden="1">
      <c r="B3173" s="828" t="s">
        <v>6636</v>
      </c>
      <c r="C3173" s="828">
        <v>100589</v>
      </c>
      <c r="D3173" s="630" t="s">
        <v>3318</v>
      </c>
      <c r="E3173" s="630" t="s">
        <v>646</v>
      </c>
      <c r="F3173" s="829">
        <v>593.76</v>
      </c>
      <c r="G3173" s="830">
        <v>210.4</v>
      </c>
      <c r="H3173" s="831">
        <v>804.16</v>
      </c>
      <c r="I3173" s="846"/>
      <c r="J3173" s="846"/>
      <c r="K3173" s="846"/>
      <c r="L3173" s="846"/>
      <c r="M3173" s="846"/>
      <c r="N3173" s="846"/>
      <c r="O3173" s="846"/>
      <c r="P3173" s="846"/>
      <c r="Q3173" s="846"/>
      <c r="R3173" s="846"/>
      <c r="S3173" s="846"/>
      <c r="T3173" s="846"/>
    </row>
    <row r="3174" spans="2:20" ht="38.25" hidden="1">
      <c r="B3174" s="828" t="s">
        <v>6636</v>
      </c>
      <c r="C3174" s="828">
        <v>100590</v>
      </c>
      <c r="D3174" s="630" t="s">
        <v>3319</v>
      </c>
      <c r="E3174" s="630" t="s">
        <v>646</v>
      </c>
      <c r="F3174" s="829">
        <v>612.1</v>
      </c>
      <c r="G3174" s="830">
        <v>264.49</v>
      </c>
      <c r="H3174" s="831">
        <v>876.59</v>
      </c>
      <c r="I3174" s="846"/>
      <c r="J3174" s="846"/>
      <c r="K3174" s="846"/>
      <c r="L3174" s="846"/>
      <c r="M3174" s="846"/>
      <c r="N3174" s="846"/>
      <c r="O3174" s="846"/>
      <c r="P3174" s="846"/>
      <c r="Q3174" s="846"/>
      <c r="R3174" s="846"/>
      <c r="S3174" s="846"/>
      <c r="T3174" s="846"/>
    </row>
    <row r="3175" spans="2:20" ht="38.25" hidden="1">
      <c r="B3175" s="828" t="s">
        <v>6636</v>
      </c>
      <c r="C3175" s="828">
        <v>100591</v>
      </c>
      <c r="D3175" s="630" t="s">
        <v>3320</v>
      </c>
      <c r="E3175" s="630" t="s">
        <v>646</v>
      </c>
      <c r="F3175" s="829">
        <v>607.6</v>
      </c>
      <c r="G3175" s="830">
        <v>191.77</v>
      </c>
      <c r="H3175" s="831">
        <v>799.37</v>
      </c>
      <c r="I3175" s="846"/>
      <c r="J3175" s="846"/>
      <c r="K3175" s="846"/>
      <c r="L3175" s="846"/>
      <c r="M3175" s="846"/>
      <c r="N3175" s="846"/>
      <c r="O3175" s="846"/>
      <c r="P3175" s="846"/>
      <c r="Q3175" s="846"/>
      <c r="R3175" s="846"/>
      <c r="S3175" s="846"/>
      <c r="T3175" s="846"/>
    </row>
    <row r="3176" spans="2:20" ht="38.25" hidden="1">
      <c r="B3176" s="828" t="s">
        <v>6636</v>
      </c>
      <c r="C3176" s="828">
        <v>100592</v>
      </c>
      <c r="D3176" s="630" t="s">
        <v>3321</v>
      </c>
      <c r="E3176" s="630" t="s">
        <v>646</v>
      </c>
      <c r="F3176" s="829">
        <v>623.01</v>
      </c>
      <c r="G3176" s="830">
        <v>236.41</v>
      </c>
      <c r="H3176" s="831">
        <v>859.42</v>
      </c>
      <c r="I3176" s="846"/>
      <c r="J3176" s="846"/>
      <c r="K3176" s="846"/>
      <c r="L3176" s="846"/>
      <c r="M3176" s="846"/>
      <c r="N3176" s="846"/>
      <c r="O3176" s="846"/>
      <c r="P3176" s="846"/>
      <c r="Q3176" s="846"/>
      <c r="R3176" s="846"/>
      <c r="S3176" s="846"/>
      <c r="T3176" s="846"/>
    </row>
    <row r="3177" spans="2:20" ht="38.25" hidden="1">
      <c r="B3177" s="828" t="s">
        <v>6636</v>
      </c>
      <c r="C3177" s="828">
        <v>100593</v>
      </c>
      <c r="D3177" s="630" t="s">
        <v>3322</v>
      </c>
      <c r="E3177" s="630" t="s">
        <v>646</v>
      </c>
      <c r="F3177" s="829">
        <v>650.05999999999995</v>
      </c>
      <c r="G3177" s="830">
        <v>206.1</v>
      </c>
      <c r="H3177" s="831">
        <v>856.16</v>
      </c>
      <c r="I3177" s="846"/>
      <c r="J3177" s="846"/>
      <c r="K3177" s="846"/>
      <c r="L3177" s="846"/>
      <c r="M3177" s="846"/>
      <c r="N3177" s="846"/>
      <c r="O3177" s="846"/>
      <c r="P3177" s="846"/>
      <c r="Q3177" s="846"/>
      <c r="R3177" s="846"/>
      <c r="S3177" s="846"/>
      <c r="T3177" s="846"/>
    </row>
    <row r="3178" spans="2:20" ht="38.25" hidden="1">
      <c r="B3178" s="828" t="s">
        <v>6636</v>
      </c>
      <c r="C3178" s="828">
        <v>100594</v>
      </c>
      <c r="D3178" s="630" t="s">
        <v>3323</v>
      </c>
      <c r="E3178" s="630" t="s">
        <v>646</v>
      </c>
      <c r="F3178" s="829">
        <v>676.8</v>
      </c>
      <c r="G3178" s="830">
        <v>281.2</v>
      </c>
      <c r="H3178" s="831">
        <v>958</v>
      </c>
      <c r="I3178" s="846"/>
      <c r="J3178" s="846"/>
      <c r="K3178" s="846"/>
      <c r="L3178" s="846"/>
      <c r="M3178" s="846"/>
      <c r="N3178" s="846"/>
      <c r="O3178" s="846"/>
      <c r="P3178" s="846"/>
      <c r="Q3178" s="846"/>
      <c r="R3178" s="846"/>
      <c r="S3178" s="846"/>
      <c r="T3178" s="846"/>
    </row>
    <row r="3179" spans="2:20" ht="38.25" hidden="1">
      <c r="B3179" s="828" t="s">
        <v>6636</v>
      </c>
      <c r="C3179" s="828">
        <v>100595</v>
      </c>
      <c r="D3179" s="630" t="s">
        <v>3324</v>
      </c>
      <c r="E3179" s="630" t="s">
        <v>646</v>
      </c>
      <c r="F3179" s="829">
        <v>777.02</v>
      </c>
      <c r="G3179" s="830">
        <v>249.47</v>
      </c>
      <c r="H3179" s="831">
        <v>1026.49</v>
      </c>
      <c r="I3179" s="846"/>
      <c r="J3179" s="846"/>
      <c r="K3179" s="846"/>
      <c r="L3179" s="846"/>
      <c r="M3179" s="846"/>
      <c r="N3179" s="846"/>
      <c r="O3179" s="846"/>
      <c r="P3179" s="846"/>
      <c r="Q3179" s="846"/>
      <c r="R3179" s="846"/>
      <c r="S3179" s="846"/>
      <c r="T3179" s="846"/>
    </row>
    <row r="3180" spans="2:20" ht="38.25" hidden="1">
      <c r="B3180" s="828" t="s">
        <v>6636</v>
      </c>
      <c r="C3180" s="828">
        <v>100596</v>
      </c>
      <c r="D3180" s="630" t="s">
        <v>3325</v>
      </c>
      <c r="E3180" s="630" t="s">
        <v>646</v>
      </c>
      <c r="F3180" s="829">
        <v>813.72</v>
      </c>
      <c r="G3180" s="830">
        <v>350.19</v>
      </c>
      <c r="H3180" s="831">
        <v>1163.9100000000001</v>
      </c>
      <c r="I3180" s="846"/>
      <c r="J3180" s="846"/>
      <c r="K3180" s="846"/>
      <c r="L3180" s="846"/>
      <c r="M3180" s="846"/>
      <c r="N3180" s="846"/>
      <c r="O3180" s="846"/>
      <c r="P3180" s="846"/>
      <c r="Q3180" s="846"/>
      <c r="R3180" s="846"/>
      <c r="S3180" s="846"/>
      <c r="T3180" s="846"/>
    </row>
    <row r="3181" spans="2:20" ht="38.25" hidden="1">
      <c r="B3181" s="828" t="s">
        <v>6636</v>
      </c>
      <c r="C3181" s="828">
        <v>100597</v>
      </c>
      <c r="D3181" s="630" t="s">
        <v>3326</v>
      </c>
      <c r="E3181" s="630" t="s">
        <v>646</v>
      </c>
      <c r="F3181" s="829">
        <v>873.93999999999994</v>
      </c>
      <c r="G3181" s="830">
        <v>312.83</v>
      </c>
      <c r="H3181" s="831">
        <v>1186.77</v>
      </c>
      <c r="I3181" s="846"/>
      <c r="J3181" s="846"/>
      <c r="K3181" s="846"/>
      <c r="L3181" s="846"/>
      <c r="M3181" s="846"/>
      <c r="N3181" s="846"/>
      <c r="O3181" s="846"/>
      <c r="P3181" s="846"/>
      <c r="Q3181" s="846"/>
      <c r="R3181" s="846"/>
      <c r="S3181" s="846"/>
      <c r="T3181" s="846"/>
    </row>
    <row r="3182" spans="2:20" ht="38.25" hidden="1">
      <c r="B3182" s="828" t="s">
        <v>6636</v>
      </c>
      <c r="C3182" s="828">
        <v>100598</v>
      </c>
      <c r="D3182" s="630" t="s">
        <v>3327</v>
      </c>
      <c r="E3182" s="630" t="s">
        <v>646</v>
      </c>
      <c r="F3182" s="829">
        <v>904.24</v>
      </c>
      <c r="G3182" s="830">
        <v>395.84</v>
      </c>
      <c r="H3182" s="831">
        <v>1300.08</v>
      </c>
      <c r="I3182" s="846"/>
      <c r="J3182" s="846"/>
      <c r="K3182" s="846"/>
      <c r="L3182" s="846"/>
      <c r="M3182" s="846"/>
      <c r="N3182" s="846"/>
      <c r="O3182" s="846"/>
      <c r="P3182" s="846"/>
      <c r="Q3182" s="846"/>
      <c r="R3182" s="846"/>
      <c r="S3182" s="846"/>
      <c r="T3182" s="846"/>
    </row>
    <row r="3183" spans="2:20" ht="51" hidden="1">
      <c r="B3183" s="828" t="s">
        <v>6636</v>
      </c>
      <c r="C3183" s="828">
        <v>100599</v>
      </c>
      <c r="D3183" s="630" t="s">
        <v>3328</v>
      </c>
      <c r="E3183" s="630" t="s">
        <v>646</v>
      </c>
      <c r="F3183" s="829">
        <v>425.29</v>
      </c>
      <c r="G3183" s="830">
        <v>102.89</v>
      </c>
      <c r="H3183" s="831">
        <v>528.17999999999995</v>
      </c>
      <c r="I3183" s="846"/>
      <c r="J3183" s="846"/>
      <c r="K3183" s="846"/>
      <c r="L3183" s="846"/>
      <c r="M3183" s="846"/>
      <c r="N3183" s="846"/>
      <c r="O3183" s="846"/>
      <c r="P3183" s="846"/>
      <c r="Q3183" s="846"/>
      <c r="R3183" s="846"/>
      <c r="S3183" s="846"/>
      <c r="T3183" s="846"/>
    </row>
    <row r="3184" spans="2:20" ht="51" hidden="1">
      <c r="B3184" s="828" t="s">
        <v>6636</v>
      </c>
      <c r="C3184" s="828">
        <v>100600</v>
      </c>
      <c r="D3184" s="630" t="s">
        <v>3329</v>
      </c>
      <c r="E3184" s="630" t="s">
        <v>646</v>
      </c>
      <c r="F3184" s="829">
        <v>470.32</v>
      </c>
      <c r="G3184" s="830">
        <v>150.22999999999999</v>
      </c>
      <c r="H3184" s="831">
        <v>620.54999999999995</v>
      </c>
      <c r="I3184" s="846"/>
      <c r="J3184" s="846"/>
      <c r="K3184" s="846"/>
      <c r="L3184" s="846"/>
      <c r="M3184" s="846"/>
      <c r="N3184" s="846"/>
      <c r="O3184" s="846"/>
      <c r="P3184" s="846"/>
      <c r="Q3184" s="846"/>
      <c r="R3184" s="846"/>
      <c r="S3184" s="846"/>
      <c r="T3184" s="846"/>
    </row>
    <row r="3185" spans="2:20" ht="51" hidden="1">
      <c r="B3185" s="828" t="s">
        <v>6636</v>
      </c>
      <c r="C3185" s="828">
        <v>100601</v>
      </c>
      <c r="D3185" s="630" t="s">
        <v>3330</v>
      </c>
      <c r="E3185" s="630" t="s">
        <v>646</v>
      </c>
      <c r="F3185" s="829">
        <v>552.92999999999995</v>
      </c>
      <c r="G3185" s="830">
        <v>220.71</v>
      </c>
      <c r="H3185" s="831">
        <v>773.64</v>
      </c>
      <c r="I3185" s="846"/>
      <c r="J3185" s="846"/>
      <c r="K3185" s="846"/>
      <c r="L3185" s="846"/>
      <c r="M3185" s="846"/>
      <c r="N3185" s="846"/>
      <c r="O3185" s="846"/>
      <c r="P3185" s="846"/>
      <c r="Q3185" s="846"/>
      <c r="R3185" s="846"/>
      <c r="S3185" s="846"/>
      <c r="T3185" s="846"/>
    </row>
    <row r="3186" spans="2:20" ht="51" hidden="1">
      <c r="B3186" s="828" t="s">
        <v>6636</v>
      </c>
      <c r="C3186" s="828">
        <v>100602</v>
      </c>
      <c r="D3186" s="630" t="s">
        <v>3331</v>
      </c>
      <c r="E3186" s="630" t="s">
        <v>646</v>
      </c>
      <c r="F3186" s="829">
        <v>655.88</v>
      </c>
      <c r="G3186" s="830">
        <v>308.75</v>
      </c>
      <c r="H3186" s="831">
        <v>964.63</v>
      </c>
      <c r="I3186" s="846"/>
      <c r="J3186" s="846"/>
      <c r="K3186" s="846"/>
      <c r="L3186" s="846"/>
      <c r="M3186" s="846"/>
      <c r="N3186" s="846"/>
      <c r="O3186" s="846"/>
      <c r="P3186" s="846"/>
      <c r="Q3186" s="846"/>
      <c r="R3186" s="846"/>
      <c r="S3186" s="846"/>
      <c r="T3186" s="846"/>
    </row>
    <row r="3187" spans="2:20" ht="51" hidden="1">
      <c r="B3187" s="828" t="s">
        <v>6636</v>
      </c>
      <c r="C3187" s="828">
        <v>100603</v>
      </c>
      <c r="D3187" s="630" t="s">
        <v>3332</v>
      </c>
      <c r="E3187" s="630" t="s">
        <v>646</v>
      </c>
      <c r="F3187" s="829">
        <v>918.6099999999999</v>
      </c>
      <c r="G3187" s="830">
        <v>538.44000000000005</v>
      </c>
      <c r="H3187" s="831">
        <v>1457.05</v>
      </c>
      <c r="I3187" s="846"/>
      <c r="J3187" s="846"/>
      <c r="K3187" s="846"/>
      <c r="L3187" s="846"/>
      <c r="M3187" s="846"/>
      <c r="N3187" s="846"/>
      <c r="O3187" s="846"/>
      <c r="P3187" s="846"/>
      <c r="Q3187" s="846"/>
      <c r="R3187" s="846"/>
      <c r="S3187" s="846"/>
      <c r="T3187" s="846"/>
    </row>
    <row r="3188" spans="2:20" ht="51" hidden="1">
      <c r="B3188" s="828" t="s">
        <v>6636</v>
      </c>
      <c r="C3188" s="828">
        <v>100604</v>
      </c>
      <c r="D3188" s="630" t="s">
        <v>3333</v>
      </c>
      <c r="E3188" s="630" t="s">
        <v>646</v>
      </c>
      <c r="F3188" s="829">
        <v>506.33</v>
      </c>
      <c r="G3188" s="830">
        <v>155.03</v>
      </c>
      <c r="H3188" s="831">
        <v>661.36</v>
      </c>
      <c r="I3188" s="846"/>
      <c r="J3188" s="846"/>
      <c r="K3188" s="846"/>
      <c r="L3188" s="846"/>
      <c r="M3188" s="846"/>
      <c r="N3188" s="846"/>
      <c r="O3188" s="846"/>
      <c r="P3188" s="846"/>
      <c r="Q3188" s="846"/>
      <c r="R3188" s="846"/>
      <c r="S3188" s="846"/>
      <c r="T3188" s="846"/>
    </row>
    <row r="3189" spans="2:20" ht="51" hidden="1">
      <c r="B3189" s="828" t="s">
        <v>6636</v>
      </c>
      <c r="C3189" s="828">
        <v>100605</v>
      </c>
      <c r="D3189" s="630" t="s">
        <v>3334</v>
      </c>
      <c r="E3189" s="630" t="s">
        <v>646</v>
      </c>
      <c r="F3189" s="829">
        <v>693.93</v>
      </c>
      <c r="G3189" s="830">
        <v>321.52</v>
      </c>
      <c r="H3189" s="831">
        <v>1015.45</v>
      </c>
      <c r="I3189" s="846"/>
      <c r="J3189" s="846"/>
      <c r="K3189" s="846"/>
      <c r="L3189" s="846"/>
      <c r="M3189" s="846"/>
      <c r="N3189" s="846"/>
      <c r="O3189" s="846"/>
      <c r="P3189" s="846"/>
      <c r="Q3189" s="846"/>
      <c r="R3189" s="846"/>
      <c r="S3189" s="846"/>
      <c r="T3189" s="846"/>
    </row>
    <row r="3190" spans="2:20" ht="51" hidden="1">
      <c r="B3190" s="828" t="s">
        <v>6636</v>
      </c>
      <c r="C3190" s="828">
        <v>100606</v>
      </c>
      <c r="D3190" s="630" t="s">
        <v>3335</v>
      </c>
      <c r="E3190" s="630" t="s">
        <v>646</v>
      </c>
      <c r="F3190" s="829">
        <v>958.97</v>
      </c>
      <c r="G3190" s="830">
        <v>561.88</v>
      </c>
      <c r="H3190" s="831">
        <v>1520.85</v>
      </c>
      <c r="I3190" s="846"/>
      <c r="J3190" s="846"/>
      <c r="K3190" s="846"/>
      <c r="L3190" s="846"/>
      <c r="M3190" s="846"/>
      <c r="N3190" s="846"/>
      <c r="O3190" s="846"/>
      <c r="P3190" s="846"/>
      <c r="Q3190" s="846"/>
      <c r="R3190" s="846"/>
      <c r="S3190" s="846"/>
      <c r="T3190" s="846"/>
    </row>
    <row r="3191" spans="2:20" ht="51" hidden="1">
      <c r="B3191" s="828" t="s">
        <v>6636</v>
      </c>
      <c r="C3191" s="828">
        <v>100607</v>
      </c>
      <c r="D3191" s="630" t="s">
        <v>3336</v>
      </c>
      <c r="E3191" s="630" t="s">
        <v>646</v>
      </c>
      <c r="F3191" s="829">
        <v>523.65000000000009</v>
      </c>
      <c r="G3191" s="830">
        <v>157.24</v>
      </c>
      <c r="H3191" s="831">
        <v>680.89</v>
      </c>
      <c r="I3191" s="846"/>
      <c r="J3191" s="846"/>
      <c r="K3191" s="846"/>
      <c r="L3191" s="846"/>
      <c r="M3191" s="846"/>
      <c r="N3191" s="846"/>
      <c r="O3191" s="846"/>
      <c r="P3191" s="846"/>
      <c r="Q3191" s="846"/>
      <c r="R3191" s="846"/>
      <c r="S3191" s="846"/>
      <c r="T3191" s="846"/>
    </row>
    <row r="3192" spans="2:20" ht="51" hidden="1">
      <c r="B3192" s="828" t="s">
        <v>6636</v>
      </c>
      <c r="C3192" s="828">
        <v>100608</v>
      </c>
      <c r="D3192" s="630" t="s">
        <v>3337</v>
      </c>
      <c r="E3192" s="630" t="s">
        <v>646</v>
      </c>
      <c r="F3192" s="829">
        <v>712.66</v>
      </c>
      <c r="G3192" s="830">
        <v>327.85</v>
      </c>
      <c r="H3192" s="831">
        <v>1040.51</v>
      </c>
      <c r="I3192" s="846"/>
      <c r="J3192" s="846"/>
      <c r="K3192" s="846"/>
      <c r="L3192" s="846"/>
      <c r="M3192" s="846"/>
      <c r="N3192" s="846"/>
      <c r="O3192" s="846"/>
      <c r="P3192" s="846"/>
      <c r="Q3192" s="846"/>
      <c r="R3192" s="846"/>
      <c r="S3192" s="846"/>
      <c r="T3192" s="846"/>
    </row>
    <row r="3193" spans="2:20" ht="51" hidden="1">
      <c r="B3193" s="828" t="s">
        <v>6636</v>
      </c>
      <c r="C3193" s="828">
        <v>100609</v>
      </c>
      <c r="D3193" s="630" t="s">
        <v>3338</v>
      </c>
      <c r="E3193" s="630" t="s">
        <v>646</v>
      </c>
      <c r="F3193" s="829">
        <v>979.93</v>
      </c>
      <c r="G3193" s="830">
        <v>575</v>
      </c>
      <c r="H3193" s="831">
        <v>1554.93</v>
      </c>
      <c r="I3193" s="846"/>
      <c r="J3193" s="846"/>
      <c r="K3193" s="846"/>
      <c r="L3193" s="846"/>
      <c r="M3193" s="846"/>
      <c r="N3193" s="846"/>
      <c r="O3193" s="846"/>
      <c r="P3193" s="846"/>
      <c r="Q3193" s="846"/>
      <c r="R3193" s="846"/>
      <c r="S3193" s="846"/>
      <c r="T3193" s="846"/>
    </row>
    <row r="3194" spans="2:20" ht="51" hidden="1">
      <c r="B3194" s="828" t="s">
        <v>6636</v>
      </c>
      <c r="C3194" s="828">
        <v>100610</v>
      </c>
      <c r="D3194" s="630" t="s">
        <v>3339</v>
      </c>
      <c r="E3194" s="630" t="s">
        <v>646</v>
      </c>
      <c r="F3194" s="829">
        <v>541.17999999999995</v>
      </c>
      <c r="G3194" s="830">
        <v>159.19999999999999</v>
      </c>
      <c r="H3194" s="831">
        <v>700.38</v>
      </c>
      <c r="I3194" s="846"/>
      <c r="J3194" s="846"/>
      <c r="K3194" s="846"/>
      <c r="L3194" s="846"/>
      <c r="M3194" s="846"/>
      <c r="N3194" s="846"/>
      <c r="O3194" s="846"/>
      <c r="P3194" s="846"/>
      <c r="Q3194" s="846"/>
      <c r="R3194" s="846"/>
      <c r="S3194" s="846"/>
      <c r="T3194" s="846"/>
    </row>
    <row r="3195" spans="2:20" ht="51" hidden="1">
      <c r="B3195" s="828" t="s">
        <v>6636</v>
      </c>
      <c r="C3195" s="828">
        <v>100611</v>
      </c>
      <c r="D3195" s="630" t="s">
        <v>3340</v>
      </c>
      <c r="E3195" s="630" t="s">
        <v>646</v>
      </c>
      <c r="F3195" s="829">
        <v>625.55999999999995</v>
      </c>
      <c r="G3195" s="830">
        <v>236.78</v>
      </c>
      <c r="H3195" s="832">
        <v>862.34</v>
      </c>
      <c r="I3195" s="846"/>
      <c r="J3195" s="846"/>
      <c r="K3195" s="846"/>
      <c r="L3195" s="846"/>
      <c r="M3195" s="846"/>
      <c r="N3195" s="846"/>
      <c r="O3195" s="846"/>
      <c r="P3195" s="846"/>
      <c r="Q3195" s="846"/>
      <c r="R3195" s="846"/>
      <c r="S3195" s="846"/>
      <c r="T3195" s="846"/>
    </row>
    <row r="3196" spans="2:20" ht="51" hidden="1">
      <c r="B3196" s="828" t="s">
        <v>6636</v>
      </c>
      <c r="C3196" s="828">
        <v>100612</v>
      </c>
      <c r="D3196" s="630" t="s">
        <v>3341</v>
      </c>
      <c r="E3196" s="630" t="s">
        <v>646</v>
      </c>
      <c r="F3196" s="829">
        <v>731.3599999999999</v>
      </c>
      <c r="G3196" s="830">
        <v>333.84</v>
      </c>
      <c r="H3196" s="831">
        <v>1065.2</v>
      </c>
      <c r="I3196" s="846"/>
      <c r="J3196" s="846"/>
      <c r="K3196" s="846"/>
      <c r="L3196" s="846"/>
      <c r="M3196" s="846"/>
      <c r="N3196" s="846"/>
      <c r="O3196" s="846"/>
      <c r="P3196" s="846"/>
      <c r="Q3196" s="846"/>
      <c r="R3196" s="846"/>
      <c r="S3196" s="846"/>
      <c r="T3196" s="846"/>
    </row>
    <row r="3197" spans="2:20" ht="51" hidden="1">
      <c r="B3197" s="828" t="s">
        <v>6636</v>
      </c>
      <c r="C3197" s="828">
        <v>100613</v>
      </c>
      <c r="D3197" s="630" t="s">
        <v>3342</v>
      </c>
      <c r="E3197" s="630" t="s">
        <v>646</v>
      </c>
      <c r="F3197" s="829">
        <v>1000.3399999999999</v>
      </c>
      <c r="G3197" s="830">
        <v>587.97</v>
      </c>
      <c r="H3197" s="831">
        <v>1588.31</v>
      </c>
      <c r="I3197" s="846"/>
      <c r="J3197" s="846"/>
      <c r="K3197" s="846"/>
      <c r="L3197" s="846"/>
      <c r="M3197" s="846"/>
      <c r="N3197" s="846"/>
      <c r="O3197" s="846"/>
      <c r="P3197" s="846"/>
      <c r="Q3197" s="846"/>
      <c r="R3197" s="846"/>
      <c r="S3197" s="846"/>
      <c r="T3197" s="846"/>
    </row>
    <row r="3198" spans="2:20" ht="51" hidden="1">
      <c r="B3198" s="828" t="s">
        <v>6636</v>
      </c>
      <c r="C3198" s="828">
        <v>100614</v>
      </c>
      <c r="D3198" s="630" t="s">
        <v>3343</v>
      </c>
      <c r="E3198" s="630" t="s">
        <v>646</v>
      </c>
      <c r="F3198" s="829">
        <v>661.59999999999991</v>
      </c>
      <c r="G3198" s="830">
        <v>244.4</v>
      </c>
      <c r="H3198" s="831">
        <v>906</v>
      </c>
      <c r="I3198" s="846"/>
      <c r="J3198" s="846"/>
      <c r="K3198" s="846"/>
      <c r="L3198" s="846"/>
      <c r="M3198" s="846"/>
      <c r="N3198" s="846"/>
      <c r="O3198" s="846"/>
      <c r="P3198" s="846"/>
      <c r="Q3198" s="846"/>
      <c r="R3198" s="846"/>
      <c r="S3198" s="846"/>
      <c r="T3198" s="846"/>
    </row>
    <row r="3199" spans="2:20" ht="51" hidden="1">
      <c r="B3199" s="828" t="s">
        <v>6636</v>
      </c>
      <c r="C3199" s="828">
        <v>100615</v>
      </c>
      <c r="D3199" s="630" t="s">
        <v>3344</v>
      </c>
      <c r="E3199" s="630" t="s">
        <v>646</v>
      </c>
      <c r="F3199" s="829">
        <v>768.43</v>
      </c>
      <c r="G3199" s="830">
        <v>345.85</v>
      </c>
      <c r="H3199" s="831">
        <v>1114.28</v>
      </c>
      <c r="I3199" s="846"/>
      <c r="J3199" s="846"/>
      <c r="K3199" s="846"/>
      <c r="L3199" s="846"/>
      <c r="M3199" s="846"/>
      <c r="N3199" s="846"/>
      <c r="O3199" s="846"/>
      <c r="P3199" s="846"/>
      <c r="Q3199" s="846"/>
      <c r="R3199" s="846"/>
      <c r="S3199" s="846"/>
      <c r="T3199" s="846"/>
    </row>
    <row r="3200" spans="2:20" ht="51" hidden="1">
      <c r="B3200" s="828" t="s">
        <v>6636</v>
      </c>
      <c r="C3200" s="828">
        <v>100616</v>
      </c>
      <c r="D3200" s="630" t="s">
        <v>3345</v>
      </c>
      <c r="E3200" s="630" t="s">
        <v>646</v>
      </c>
      <c r="F3200" s="829">
        <v>1042.3</v>
      </c>
      <c r="G3200" s="830">
        <v>616.20000000000005</v>
      </c>
      <c r="H3200" s="831">
        <v>1658.5</v>
      </c>
      <c r="I3200" s="846"/>
      <c r="J3200" s="846"/>
      <c r="K3200" s="846"/>
      <c r="L3200" s="846"/>
      <c r="M3200" s="846"/>
      <c r="N3200" s="846"/>
      <c r="O3200" s="846"/>
      <c r="P3200" s="846"/>
      <c r="Q3200" s="846"/>
      <c r="R3200" s="846"/>
      <c r="S3200" s="846"/>
      <c r="T3200" s="846"/>
    </row>
    <row r="3201" spans="2:20" ht="51" hidden="1">
      <c r="B3201" s="828" t="s">
        <v>6636</v>
      </c>
      <c r="C3201" s="828">
        <v>100617</v>
      </c>
      <c r="D3201" s="630" t="s">
        <v>3346</v>
      </c>
      <c r="E3201" s="630" t="s">
        <v>646</v>
      </c>
      <c r="F3201" s="829">
        <v>805.28</v>
      </c>
      <c r="G3201" s="830">
        <v>357.94</v>
      </c>
      <c r="H3201" s="831">
        <v>1163.22</v>
      </c>
      <c r="I3201" s="846"/>
      <c r="J3201" s="846"/>
      <c r="K3201" s="846"/>
      <c r="L3201" s="846"/>
      <c r="M3201" s="846"/>
      <c r="N3201" s="846"/>
      <c r="O3201" s="846"/>
      <c r="P3201" s="846"/>
      <c r="Q3201" s="846"/>
      <c r="R3201" s="846"/>
      <c r="S3201" s="846"/>
      <c r="T3201" s="846"/>
    </row>
    <row r="3202" spans="2:20" ht="51" hidden="1">
      <c r="B3202" s="828" t="s">
        <v>6636</v>
      </c>
      <c r="C3202" s="828">
        <v>100618</v>
      </c>
      <c r="D3202" s="630" t="s">
        <v>3347</v>
      </c>
      <c r="E3202" s="630" t="s">
        <v>646</v>
      </c>
      <c r="F3202" s="829">
        <v>1089.79</v>
      </c>
      <c r="G3202" s="830">
        <v>642.07000000000005</v>
      </c>
      <c r="H3202" s="831">
        <v>1731.86</v>
      </c>
      <c r="I3202" s="846"/>
      <c r="J3202" s="846"/>
      <c r="K3202" s="846"/>
      <c r="L3202" s="846"/>
      <c r="M3202" s="846"/>
      <c r="N3202" s="846"/>
      <c r="O3202" s="846"/>
      <c r="P3202" s="846"/>
      <c r="Q3202" s="846"/>
      <c r="R3202" s="846"/>
      <c r="S3202" s="846"/>
      <c r="T3202" s="846"/>
    </row>
    <row r="3203" spans="2:20" ht="25.5" hidden="1">
      <c r="B3203" s="828" t="s">
        <v>6637</v>
      </c>
      <c r="C3203" s="828">
        <v>100619</v>
      </c>
      <c r="D3203" s="630" t="s">
        <v>3348</v>
      </c>
      <c r="E3203" s="630" t="s">
        <v>646</v>
      </c>
      <c r="F3203" s="829">
        <v>502.26</v>
      </c>
      <c r="G3203" s="830">
        <v>104.72</v>
      </c>
      <c r="H3203" s="831">
        <v>606.98</v>
      </c>
      <c r="I3203" s="846"/>
      <c r="J3203" s="846"/>
      <c r="K3203" s="846"/>
      <c r="L3203" s="846"/>
      <c r="M3203" s="846"/>
      <c r="N3203" s="846"/>
      <c r="O3203" s="846"/>
      <c r="P3203" s="846"/>
      <c r="Q3203" s="846"/>
      <c r="R3203" s="846"/>
      <c r="S3203" s="846"/>
      <c r="T3203" s="846"/>
    </row>
    <row r="3204" spans="2:20" ht="38.25" hidden="1">
      <c r="B3204" s="828" t="s">
        <v>6637</v>
      </c>
      <c r="C3204" s="828">
        <v>100620</v>
      </c>
      <c r="D3204" s="630" t="s">
        <v>3349</v>
      </c>
      <c r="E3204" s="630" t="s">
        <v>646</v>
      </c>
      <c r="F3204" s="829">
        <v>3489.7999999999997</v>
      </c>
      <c r="G3204" s="830">
        <v>67.72</v>
      </c>
      <c r="H3204" s="831">
        <v>3557.52</v>
      </c>
      <c r="I3204" s="846"/>
      <c r="J3204" s="846"/>
      <c r="K3204" s="846"/>
      <c r="L3204" s="846"/>
      <c r="M3204" s="846"/>
      <c r="N3204" s="846"/>
      <c r="O3204" s="846"/>
      <c r="P3204" s="846"/>
      <c r="Q3204" s="846"/>
      <c r="R3204" s="846"/>
      <c r="S3204" s="846"/>
      <c r="T3204" s="846"/>
    </row>
    <row r="3205" spans="2:20" ht="38.25" hidden="1">
      <c r="B3205" s="828" t="s">
        <v>6637</v>
      </c>
      <c r="C3205" s="828">
        <v>100621</v>
      </c>
      <c r="D3205" s="630" t="s">
        <v>3350</v>
      </c>
      <c r="E3205" s="630" t="s">
        <v>646</v>
      </c>
      <c r="F3205" s="829">
        <v>3967.8199999999997</v>
      </c>
      <c r="G3205" s="830">
        <v>96.38</v>
      </c>
      <c r="H3205" s="831">
        <v>4064.2</v>
      </c>
      <c r="I3205" s="846"/>
      <c r="J3205" s="846"/>
      <c r="K3205" s="846"/>
      <c r="L3205" s="846"/>
      <c r="M3205" s="846"/>
      <c r="N3205" s="846"/>
      <c r="O3205" s="846"/>
      <c r="P3205" s="846"/>
      <c r="Q3205" s="846"/>
      <c r="R3205" s="846"/>
      <c r="S3205" s="846"/>
      <c r="T3205" s="846"/>
    </row>
    <row r="3206" spans="2:20" ht="38.25" hidden="1">
      <c r="B3206" s="828" t="s">
        <v>6637</v>
      </c>
      <c r="C3206" s="828">
        <v>100622</v>
      </c>
      <c r="D3206" s="630" t="s">
        <v>3351</v>
      </c>
      <c r="E3206" s="630" t="s">
        <v>646</v>
      </c>
      <c r="F3206" s="829">
        <v>2569.38</v>
      </c>
      <c r="G3206" s="830">
        <v>113.89</v>
      </c>
      <c r="H3206" s="831">
        <v>2683.27</v>
      </c>
      <c r="I3206" s="846"/>
      <c r="J3206" s="846"/>
      <c r="K3206" s="846"/>
      <c r="L3206" s="846"/>
      <c r="M3206" s="846"/>
      <c r="N3206" s="846"/>
      <c r="O3206" s="846"/>
      <c r="P3206" s="846"/>
      <c r="Q3206" s="846"/>
      <c r="R3206" s="846"/>
      <c r="S3206" s="846"/>
      <c r="T3206" s="846"/>
    </row>
    <row r="3207" spans="2:20" ht="38.25" hidden="1">
      <c r="B3207" s="828" t="s">
        <v>6637</v>
      </c>
      <c r="C3207" s="828">
        <v>100623</v>
      </c>
      <c r="D3207" s="630" t="s">
        <v>3352</v>
      </c>
      <c r="E3207" s="630" t="s">
        <v>646</v>
      </c>
      <c r="F3207" s="829">
        <v>2752.9500000000003</v>
      </c>
      <c r="G3207" s="830">
        <v>142.51</v>
      </c>
      <c r="H3207" s="831">
        <v>2895.46</v>
      </c>
      <c r="I3207" s="846"/>
      <c r="J3207" s="846"/>
      <c r="K3207" s="846"/>
      <c r="L3207" s="846"/>
      <c r="M3207" s="846"/>
      <c r="N3207" s="846"/>
      <c r="O3207" s="846"/>
      <c r="P3207" s="846"/>
      <c r="Q3207" s="846"/>
      <c r="R3207" s="846"/>
      <c r="S3207" s="846"/>
      <c r="T3207" s="846"/>
    </row>
    <row r="3208" spans="2:20" ht="38.25" hidden="1">
      <c r="B3208" s="828" t="s">
        <v>6611</v>
      </c>
      <c r="C3208" s="828">
        <v>97600</v>
      </c>
      <c r="D3208" s="630" t="s">
        <v>4219</v>
      </c>
      <c r="E3208" s="630" t="s">
        <v>646</v>
      </c>
      <c r="F3208" s="829">
        <v>303.31</v>
      </c>
      <c r="G3208" s="830">
        <v>13.52</v>
      </c>
      <c r="H3208" s="831">
        <v>316.83</v>
      </c>
      <c r="I3208" s="846"/>
      <c r="J3208" s="846"/>
      <c r="K3208" s="846"/>
      <c r="L3208" s="846"/>
      <c r="M3208" s="846"/>
      <c r="N3208" s="846"/>
      <c r="O3208" s="846"/>
      <c r="P3208" s="846"/>
      <c r="Q3208" s="846"/>
      <c r="R3208" s="846"/>
      <c r="S3208" s="846"/>
      <c r="T3208" s="846"/>
    </row>
    <row r="3209" spans="2:20" ht="38.25" hidden="1">
      <c r="B3209" s="828" t="s">
        <v>6611</v>
      </c>
      <c r="C3209" s="828">
        <v>97601</v>
      </c>
      <c r="D3209" s="630" t="s">
        <v>4220</v>
      </c>
      <c r="E3209" s="630" t="s">
        <v>646</v>
      </c>
      <c r="F3209" s="829">
        <v>322.36</v>
      </c>
      <c r="G3209" s="830">
        <v>13.52</v>
      </c>
      <c r="H3209" s="831">
        <v>335.88</v>
      </c>
      <c r="I3209" s="846"/>
      <c r="J3209" s="846"/>
      <c r="K3209" s="846"/>
      <c r="L3209" s="846"/>
      <c r="M3209" s="846"/>
      <c r="N3209" s="846"/>
      <c r="O3209" s="846"/>
      <c r="P3209" s="846"/>
      <c r="Q3209" s="846"/>
      <c r="R3209" s="846"/>
      <c r="S3209" s="846"/>
      <c r="T3209" s="846"/>
    </row>
    <row r="3210" spans="2:20" ht="25.5" hidden="1">
      <c r="B3210" s="828" t="s">
        <v>6611</v>
      </c>
      <c r="C3210" s="828">
        <v>97605</v>
      </c>
      <c r="D3210" s="630" t="s">
        <v>4221</v>
      </c>
      <c r="E3210" s="630" t="s">
        <v>646</v>
      </c>
      <c r="F3210" s="829">
        <v>92.87</v>
      </c>
      <c r="G3210" s="830">
        <v>15.37</v>
      </c>
      <c r="H3210" s="831">
        <v>108.24</v>
      </c>
      <c r="I3210" s="846"/>
      <c r="J3210" s="846"/>
      <c r="K3210" s="846"/>
      <c r="L3210" s="846"/>
      <c r="M3210" s="846"/>
      <c r="N3210" s="846"/>
      <c r="O3210" s="846"/>
      <c r="P3210" s="846"/>
      <c r="Q3210" s="846"/>
      <c r="R3210" s="846"/>
      <c r="S3210" s="846"/>
      <c r="T3210" s="846"/>
    </row>
    <row r="3211" spans="2:20" ht="38.25" hidden="1">
      <c r="B3211" s="828" t="s">
        <v>6611</v>
      </c>
      <c r="C3211" s="828">
        <v>97606</v>
      </c>
      <c r="D3211" s="630" t="s">
        <v>4222</v>
      </c>
      <c r="E3211" s="630" t="s">
        <v>646</v>
      </c>
      <c r="F3211" s="829">
        <v>100.96</v>
      </c>
      <c r="G3211" s="830">
        <v>15.37</v>
      </c>
      <c r="H3211" s="831">
        <v>116.33</v>
      </c>
      <c r="I3211" s="846"/>
      <c r="J3211" s="846"/>
      <c r="K3211" s="846"/>
      <c r="L3211" s="846"/>
      <c r="M3211" s="846"/>
      <c r="N3211" s="846"/>
      <c r="O3211" s="846"/>
      <c r="P3211" s="846"/>
      <c r="Q3211" s="846"/>
      <c r="R3211" s="846"/>
      <c r="S3211" s="846"/>
      <c r="T3211" s="846"/>
    </row>
    <row r="3212" spans="2:20" ht="25.5" hidden="1">
      <c r="B3212" s="828" t="s">
        <v>6611</v>
      </c>
      <c r="C3212" s="828">
        <v>97607</v>
      </c>
      <c r="D3212" s="630" t="s">
        <v>4223</v>
      </c>
      <c r="E3212" s="630" t="s">
        <v>646</v>
      </c>
      <c r="F3212" s="829">
        <v>112.94</v>
      </c>
      <c r="G3212" s="830">
        <v>17.93</v>
      </c>
      <c r="H3212" s="831">
        <v>130.87</v>
      </c>
      <c r="I3212" s="846"/>
      <c r="J3212" s="846"/>
      <c r="K3212" s="846"/>
      <c r="L3212" s="846"/>
      <c r="M3212" s="846"/>
      <c r="N3212" s="846"/>
      <c r="O3212" s="846"/>
      <c r="P3212" s="846"/>
      <c r="Q3212" s="846"/>
      <c r="R3212" s="846"/>
      <c r="S3212" s="846"/>
      <c r="T3212" s="846"/>
    </row>
    <row r="3213" spans="2:20" ht="38.25" hidden="1">
      <c r="B3213" s="828" t="s">
        <v>6611</v>
      </c>
      <c r="C3213" s="828">
        <v>97608</v>
      </c>
      <c r="D3213" s="630" t="s">
        <v>4224</v>
      </c>
      <c r="E3213" s="630" t="s">
        <v>646</v>
      </c>
      <c r="F3213" s="829">
        <v>121.03</v>
      </c>
      <c r="G3213" s="830">
        <v>17.93</v>
      </c>
      <c r="H3213" s="831">
        <v>138.96</v>
      </c>
      <c r="I3213" s="846"/>
      <c r="J3213" s="846"/>
      <c r="K3213" s="846"/>
      <c r="L3213" s="846"/>
      <c r="M3213" s="846"/>
      <c r="N3213" s="846"/>
      <c r="O3213" s="846"/>
      <c r="P3213" s="846"/>
      <c r="Q3213" s="846"/>
      <c r="R3213" s="846"/>
      <c r="S3213" s="846"/>
      <c r="T3213" s="846"/>
    </row>
    <row r="3214" spans="2:20" ht="38.25" hidden="1">
      <c r="B3214" s="828" t="s">
        <v>6673</v>
      </c>
      <c r="C3214" s="828">
        <v>102102</v>
      </c>
      <c r="D3214" s="630" t="s">
        <v>6007</v>
      </c>
      <c r="E3214" s="630" t="s">
        <v>646</v>
      </c>
      <c r="F3214" s="829">
        <v>9552.51</v>
      </c>
      <c r="G3214" s="830">
        <v>383.23</v>
      </c>
      <c r="H3214" s="831">
        <v>9935.74</v>
      </c>
      <c r="I3214" s="846"/>
      <c r="J3214" s="846"/>
      <c r="K3214" s="846"/>
      <c r="L3214" s="846"/>
      <c r="M3214" s="846"/>
      <c r="N3214" s="846"/>
      <c r="O3214" s="846"/>
      <c r="P3214" s="846"/>
      <c r="Q3214" s="846"/>
      <c r="R3214" s="846"/>
      <c r="S3214" s="846"/>
      <c r="T3214" s="846"/>
    </row>
    <row r="3215" spans="2:20" ht="38.25" hidden="1">
      <c r="B3215" s="828" t="s">
        <v>6673</v>
      </c>
      <c r="C3215" s="828">
        <v>102103</v>
      </c>
      <c r="D3215" s="630" t="s">
        <v>6008</v>
      </c>
      <c r="E3215" s="630" t="s">
        <v>646</v>
      </c>
      <c r="F3215" s="829">
        <v>10659.230000000001</v>
      </c>
      <c r="G3215" s="830">
        <v>389.79</v>
      </c>
      <c r="H3215" s="831">
        <v>11049.02</v>
      </c>
      <c r="I3215" s="846"/>
      <c r="J3215" s="846"/>
      <c r="K3215" s="846"/>
      <c r="L3215" s="846"/>
      <c r="M3215" s="846"/>
      <c r="N3215" s="846"/>
      <c r="O3215" s="846"/>
      <c r="P3215" s="846"/>
      <c r="Q3215" s="846"/>
      <c r="R3215" s="846"/>
      <c r="S3215" s="846"/>
      <c r="T3215" s="846"/>
    </row>
    <row r="3216" spans="2:20" ht="38.25" hidden="1">
      <c r="B3216" s="828" t="s">
        <v>6673</v>
      </c>
      <c r="C3216" s="828">
        <v>102104</v>
      </c>
      <c r="D3216" s="630" t="s">
        <v>6009</v>
      </c>
      <c r="E3216" s="630" t="s">
        <v>646</v>
      </c>
      <c r="F3216" s="829">
        <v>13749.470000000001</v>
      </c>
      <c r="G3216" s="830">
        <v>401.01</v>
      </c>
      <c r="H3216" s="831">
        <v>14150.48</v>
      </c>
      <c r="I3216" s="846"/>
      <c r="J3216" s="846"/>
      <c r="K3216" s="846"/>
      <c r="L3216" s="846"/>
      <c r="M3216" s="846"/>
      <c r="N3216" s="846"/>
      <c r="O3216" s="846"/>
      <c r="P3216" s="846"/>
      <c r="Q3216" s="846"/>
      <c r="R3216" s="846"/>
      <c r="S3216" s="846"/>
      <c r="T3216" s="846"/>
    </row>
    <row r="3217" spans="2:20" ht="38.25" hidden="1">
      <c r="B3217" s="828" t="s">
        <v>6673</v>
      </c>
      <c r="C3217" s="828">
        <v>102105</v>
      </c>
      <c r="D3217" s="630" t="s">
        <v>6010</v>
      </c>
      <c r="E3217" s="630" t="s">
        <v>646</v>
      </c>
      <c r="F3217" s="829">
        <v>16960.63</v>
      </c>
      <c r="G3217" s="830">
        <v>412.23</v>
      </c>
      <c r="H3217" s="831">
        <v>17372.86</v>
      </c>
      <c r="I3217" s="846"/>
      <c r="J3217" s="846"/>
      <c r="K3217" s="846"/>
      <c r="L3217" s="846"/>
      <c r="M3217" s="846"/>
      <c r="N3217" s="846"/>
      <c r="O3217" s="846"/>
      <c r="P3217" s="846"/>
      <c r="Q3217" s="846"/>
      <c r="R3217" s="846"/>
      <c r="S3217" s="846"/>
      <c r="T3217" s="846"/>
    </row>
    <row r="3218" spans="2:20" ht="38.25" hidden="1">
      <c r="B3218" s="828" t="s">
        <v>6673</v>
      </c>
      <c r="C3218" s="828">
        <v>102106</v>
      </c>
      <c r="D3218" s="630" t="s">
        <v>6011</v>
      </c>
      <c r="E3218" s="630" t="s">
        <v>646</v>
      </c>
      <c r="F3218" s="829">
        <v>21348.969999999998</v>
      </c>
      <c r="G3218" s="830">
        <v>418.78</v>
      </c>
      <c r="H3218" s="831">
        <v>21767.75</v>
      </c>
      <c r="I3218" s="846"/>
      <c r="J3218" s="846"/>
      <c r="K3218" s="846"/>
      <c r="L3218" s="846"/>
      <c r="M3218" s="846"/>
      <c r="N3218" s="846"/>
      <c r="O3218" s="846"/>
      <c r="P3218" s="846"/>
      <c r="Q3218" s="846"/>
      <c r="R3218" s="846"/>
      <c r="S3218" s="846"/>
      <c r="T3218" s="846"/>
    </row>
    <row r="3219" spans="2:20" ht="38.25" hidden="1">
      <c r="B3219" s="828" t="s">
        <v>6673</v>
      </c>
      <c r="C3219" s="828">
        <v>102107</v>
      </c>
      <c r="D3219" s="630" t="s">
        <v>6012</v>
      </c>
      <c r="E3219" s="630" t="s">
        <v>646</v>
      </c>
      <c r="F3219" s="829">
        <v>29898.05</v>
      </c>
      <c r="G3219" s="830">
        <v>443.1</v>
      </c>
      <c r="H3219" s="831">
        <v>30341.15</v>
      </c>
      <c r="I3219" s="846"/>
      <c r="J3219" s="846"/>
      <c r="K3219" s="846"/>
      <c r="L3219" s="846"/>
      <c r="M3219" s="846"/>
      <c r="N3219" s="846"/>
      <c r="O3219" s="846"/>
      <c r="P3219" s="846"/>
      <c r="Q3219" s="846"/>
      <c r="R3219" s="846"/>
      <c r="S3219" s="846"/>
      <c r="T3219" s="846"/>
    </row>
    <row r="3220" spans="2:20" ht="38.25" hidden="1">
      <c r="B3220" s="828" t="s">
        <v>6673</v>
      </c>
      <c r="C3220" s="828">
        <v>102108</v>
      </c>
      <c r="D3220" s="630" t="s">
        <v>6013</v>
      </c>
      <c r="E3220" s="630" t="s">
        <v>646</v>
      </c>
      <c r="F3220" s="829">
        <v>34860.810000000005</v>
      </c>
      <c r="G3220" s="830">
        <v>458.07</v>
      </c>
      <c r="H3220" s="831">
        <v>35318.879999999997</v>
      </c>
      <c r="I3220" s="846"/>
      <c r="J3220" s="846"/>
      <c r="K3220" s="846"/>
      <c r="L3220" s="846"/>
      <c r="M3220" s="846"/>
      <c r="N3220" s="846"/>
      <c r="O3220" s="846"/>
      <c r="P3220" s="846"/>
      <c r="Q3220" s="846"/>
      <c r="R3220" s="846"/>
      <c r="S3220" s="846"/>
      <c r="T3220" s="846"/>
    </row>
    <row r="3221" spans="2:20" ht="25.5" hidden="1">
      <c r="B3221" s="828" t="s">
        <v>6673</v>
      </c>
      <c r="C3221" s="828">
        <v>102109</v>
      </c>
      <c r="D3221" s="630" t="s">
        <v>6014</v>
      </c>
      <c r="E3221" s="630" t="s">
        <v>646</v>
      </c>
      <c r="F3221" s="829">
        <v>29.12</v>
      </c>
      <c r="G3221" s="830">
        <v>19.309999999999999</v>
      </c>
      <c r="H3221" s="832">
        <v>48.43</v>
      </c>
      <c r="I3221" s="846"/>
      <c r="J3221" s="846"/>
      <c r="K3221" s="846"/>
      <c r="L3221" s="846"/>
      <c r="M3221" s="846"/>
      <c r="N3221" s="846"/>
      <c r="O3221" s="846"/>
      <c r="P3221" s="846"/>
      <c r="Q3221" s="846"/>
      <c r="R3221" s="846"/>
      <c r="S3221" s="846"/>
      <c r="T3221" s="846"/>
    </row>
    <row r="3222" spans="2:20" ht="25.5" hidden="1">
      <c r="B3222" s="828" t="s">
        <v>6673</v>
      </c>
      <c r="C3222" s="828">
        <v>102110</v>
      </c>
      <c r="D3222" s="630" t="s">
        <v>6015</v>
      </c>
      <c r="E3222" s="630" t="s">
        <v>646</v>
      </c>
      <c r="F3222" s="829">
        <v>107.18</v>
      </c>
      <c r="G3222" s="830">
        <v>19.29</v>
      </c>
      <c r="H3222" s="832">
        <v>126.47</v>
      </c>
      <c r="I3222" s="846"/>
      <c r="J3222" s="846"/>
      <c r="K3222" s="846"/>
      <c r="L3222" s="846"/>
      <c r="M3222" s="846"/>
      <c r="N3222" s="846"/>
      <c r="O3222" s="846"/>
      <c r="P3222" s="846"/>
      <c r="Q3222" s="846"/>
      <c r="R3222" s="846"/>
      <c r="S3222" s="846"/>
      <c r="T3222" s="846"/>
    </row>
    <row r="3223" spans="2:20" ht="38.25" hidden="1">
      <c r="B3223" s="828" t="s">
        <v>6673</v>
      </c>
      <c r="C3223" s="828">
        <v>103654</v>
      </c>
      <c r="D3223" s="630" t="s">
        <v>7124</v>
      </c>
      <c r="E3223" s="630" t="s">
        <v>646</v>
      </c>
      <c r="F3223" s="829">
        <v>56658.559999999998</v>
      </c>
      <c r="G3223" s="830">
        <v>459.29</v>
      </c>
      <c r="H3223" s="832">
        <v>57117.85</v>
      </c>
      <c r="I3223" s="846"/>
      <c r="J3223" s="846"/>
      <c r="K3223" s="846"/>
      <c r="L3223" s="846"/>
      <c r="M3223" s="846"/>
      <c r="N3223" s="846"/>
      <c r="O3223" s="846"/>
      <c r="P3223" s="846"/>
      <c r="Q3223" s="846"/>
      <c r="R3223" s="846"/>
      <c r="S3223" s="846"/>
      <c r="T3223" s="846"/>
    </row>
    <row r="3224" spans="2:20" ht="38.25" hidden="1">
      <c r="B3224" s="828" t="s">
        <v>6673</v>
      </c>
      <c r="C3224" s="828">
        <v>103655</v>
      </c>
      <c r="D3224" s="630" t="s">
        <v>7125</v>
      </c>
      <c r="E3224" s="630" t="s">
        <v>646</v>
      </c>
      <c r="F3224" s="829">
        <v>77684.430000000008</v>
      </c>
      <c r="G3224" s="830">
        <v>537.67999999999995</v>
      </c>
      <c r="H3224" s="831">
        <v>78222.11</v>
      </c>
      <c r="I3224" s="846"/>
      <c r="J3224" s="846"/>
      <c r="K3224" s="846"/>
      <c r="L3224" s="846"/>
      <c r="M3224" s="846"/>
      <c r="N3224" s="846"/>
      <c r="O3224" s="846"/>
      <c r="P3224" s="846"/>
      <c r="Q3224" s="846"/>
      <c r="R3224" s="846"/>
      <c r="S3224" s="846"/>
      <c r="T3224" s="846"/>
    </row>
    <row r="3225" spans="2:20" ht="38.25" hidden="1">
      <c r="B3225" s="828" t="s">
        <v>6673</v>
      </c>
      <c r="C3225" s="828">
        <v>103656</v>
      </c>
      <c r="D3225" s="630" t="s">
        <v>7126</v>
      </c>
      <c r="E3225" s="630" t="s">
        <v>646</v>
      </c>
      <c r="F3225" s="829">
        <v>108716.96</v>
      </c>
      <c r="G3225" s="830">
        <v>615.54</v>
      </c>
      <c r="H3225" s="831">
        <v>109332.5</v>
      </c>
      <c r="I3225" s="846"/>
      <c r="J3225" s="846"/>
      <c r="K3225" s="846"/>
      <c r="L3225" s="846"/>
      <c r="M3225" s="846"/>
      <c r="N3225" s="846"/>
      <c r="O3225" s="846"/>
      <c r="P3225" s="846"/>
      <c r="Q3225" s="846"/>
      <c r="R3225" s="846"/>
      <c r="S3225" s="846"/>
      <c r="T3225" s="846"/>
    </row>
    <row r="3226" spans="2:20" ht="38.25" hidden="1">
      <c r="B3226" s="828" t="s">
        <v>6571</v>
      </c>
      <c r="C3226" s="828">
        <v>93128</v>
      </c>
      <c r="D3226" s="630" t="s">
        <v>1052</v>
      </c>
      <c r="E3226" s="630" t="s">
        <v>646</v>
      </c>
      <c r="F3226" s="829">
        <v>75.89</v>
      </c>
      <c r="G3226" s="830">
        <v>95.25</v>
      </c>
      <c r="H3226" s="831">
        <v>171.14</v>
      </c>
      <c r="I3226" s="846"/>
      <c r="J3226" s="846"/>
      <c r="K3226" s="846"/>
      <c r="L3226" s="846"/>
      <c r="M3226" s="846"/>
      <c r="N3226" s="846"/>
      <c r="O3226" s="846"/>
      <c r="P3226" s="846"/>
      <c r="Q3226" s="846"/>
      <c r="R3226" s="846"/>
      <c r="S3226" s="846"/>
      <c r="T3226" s="846"/>
    </row>
    <row r="3227" spans="2:20" ht="38.25" hidden="1">
      <c r="B3227" s="828" t="s">
        <v>6571</v>
      </c>
      <c r="C3227" s="828">
        <v>93137</v>
      </c>
      <c r="D3227" s="630" t="s">
        <v>1053</v>
      </c>
      <c r="E3227" s="630" t="s">
        <v>646</v>
      </c>
      <c r="F3227" s="829">
        <v>94.79</v>
      </c>
      <c r="G3227" s="830">
        <v>106.89</v>
      </c>
      <c r="H3227" s="831">
        <v>201.68</v>
      </c>
      <c r="I3227" s="846"/>
      <c r="J3227" s="846"/>
      <c r="K3227" s="846"/>
      <c r="L3227" s="846"/>
      <c r="M3227" s="846"/>
      <c r="N3227" s="846"/>
      <c r="O3227" s="846"/>
      <c r="P3227" s="846"/>
      <c r="Q3227" s="846"/>
      <c r="R3227" s="846"/>
      <c r="S3227" s="846"/>
      <c r="T3227" s="846"/>
    </row>
    <row r="3228" spans="2:20" ht="38.25" hidden="1">
      <c r="B3228" s="828" t="s">
        <v>6571</v>
      </c>
      <c r="C3228" s="828">
        <v>93138</v>
      </c>
      <c r="D3228" s="630" t="s">
        <v>1054</v>
      </c>
      <c r="E3228" s="630" t="s">
        <v>646</v>
      </c>
      <c r="F3228" s="829">
        <v>87.71</v>
      </c>
      <c r="G3228" s="830">
        <v>103.34</v>
      </c>
      <c r="H3228" s="832">
        <v>191.05</v>
      </c>
      <c r="I3228" s="846"/>
      <c r="J3228" s="846"/>
      <c r="K3228" s="846"/>
      <c r="L3228" s="846"/>
      <c r="M3228" s="846"/>
      <c r="N3228" s="846"/>
      <c r="O3228" s="846"/>
      <c r="P3228" s="846"/>
      <c r="Q3228" s="846"/>
      <c r="R3228" s="846"/>
      <c r="S3228" s="846"/>
      <c r="T3228" s="846"/>
    </row>
    <row r="3229" spans="2:20" ht="38.25" hidden="1">
      <c r="B3229" s="828" t="s">
        <v>6571</v>
      </c>
      <c r="C3229" s="828">
        <v>93139</v>
      </c>
      <c r="D3229" s="630" t="s">
        <v>1055</v>
      </c>
      <c r="E3229" s="630" t="s">
        <v>646</v>
      </c>
      <c r="F3229" s="829">
        <v>118.46</v>
      </c>
      <c r="G3229" s="830">
        <v>122.98</v>
      </c>
      <c r="H3229" s="831">
        <v>241.44</v>
      </c>
      <c r="I3229" s="846"/>
      <c r="J3229" s="846"/>
      <c r="K3229" s="846"/>
      <c r="L3229" s="846"/>
      <c r="M3229" s="846"/>
      <c r="N3229" s="846"/>
      <c r="O3229" s="846"/>
      <c r="P3229" s="846"/>
      <c r="Q3229" s="846"/>
      <c r="R3229" s="846"/>
      <c r="S3229" s="846"/>
      <c r="T3229" s="846"/>
    </row>
    <row r="3230" spans="2:20" ht="51" hidden="1">
      <c r="B3230" s="828" t="s">
        <v>6571</v>
      </c>
      <c r="C3230" s="828">
        <v>93140</v>
      </c>
      <c r="D3230" s="630" t="s">
        <v>1056</v>
      </c>
      <c r="E3230" s="630" t="s">
        <v>646</v>
      </c>
      <c r="F3230" s="829">
        <v>110.67</v>
      </c>
      <c r="G3230" s="830">
        <v>117.17</v>
      </c>
      <c r="H3230" s="831">
        <v>227.84</v>
      </c>
      <c r="I3230" s="846"/>
      <c r="J3230" s="846"/>
      <c r="K3230" s="846"/>
      <c r="L3230" s="846"/>
      <c r="M3230" s="846"/>
      <c r="N3230" s="846"/>
      <c r="O3230" s="846"/>
      <c r="P3230" s="846"/>
      <c r="Q3230" s="846"/>
      <c r="R3230" s="846"/>
      <c r="S3230" s="846"/>
      <c r="T3230" s="846"/>
    </row>
    <row r="3231" spans="2:20" ht="38.25" hidden="1">
      <c r="B3231" s="828" t="s">
        <v>6571</v>
      </c>
      <c r="C3231" s="828">
        <v>93141</v>
      </c>
      <c r="D3231" s="630" t="s">
        <v>1138</v>
      </c>
      <c r="E3231" s="630" t="s">
        <v>646</v>
      </c>
      <c r="F3231" s="829">
        <v>99.28</v>
      </c>
      <c r="G3231" s="830">
        <v>106.36</v>
      </c>
      <c r="H3231" s="832">
        <v>205.64</v>
      </c>
      <c r="I3231" s="846"/>
      <c r="J3231" s="846"/>
      <c r="K3231" s="846"/>
      <c r="L3231" s="846"/>
      <c r="M3231" s="846"/>
      <c r="N3231" s="846"/>
      <c r="O3231" s="846"/>
      <c r="P3231" s="846"/>
      <c r="Q3231" s="846"/>
      <c r="R3231" s="846"/>
      <c r="S3231" s="846"/>
      <c r="T3231" s="846"/>
    </row>
    <row r="3232" spans="2:20" ht="38.25" hidden="1">
      <c r="B3232" s="828" t="s">
        <v>6571</v>
      </c>
      <c r="C3232" s="828">
        <v>93142</v>
      </c>
      <c r="D3232" s="630" t="s">
        <v>1139</v>
      </c>
      <c r="E3232" s="630" t="s">
        <v>646</v>
      </c>
      <c r="F3232" s="829">
        <v>112.34</v>
      </c>
      <c r="G3232" s="830">
        <v>117.08</v>
      </c>
      <c r="H3232" s="831">
        <v>229.42</v>
      </c>
      <c r="I3232" s="846"/>
      <c r="J3232" s="846"/>
      <c r="K3232" s="846"/>
      <c r="L3232" s="846"/>
      <c r="M3232" s="846"/>
      <c r="N3232" s="846"/>
      <c r="O3232" s="846"/>
      <c r="P3232" s="846"/>
      <c r="Q3232" s="846"/>
      <c r="R3232" s="846"/>
      <c r="S3232" s="846"/>
      <c r="T3232" s="846"/>
    </row>
    <row r="3233" spans="2:20" ht="38.25" hidden="1">
      <c r="B3233" s="828" t="s">
        <v>6571</v>
      </c>
      <c r="C3233" s="828">
        <v>93143</v>
      </c>
      <c r="D3233" s="630" t="s">
        <v>1140</v>
      </c>
      <c r="E3233" s="630" t="s">
        <v>646</v>
      </c>
      <c r="F3233" s="829">
        <v>102.02</v>
      </c>
      <c r="G3233" s="830">
        <v>106.34</v>
      </c>
      <c r="H3233" s="831">
        <v>208.36</v>
      </c>
      <c r="I3233" s="846"/>
      <c r="J3233" s="846"/>
      <c r="K3233" s="846"/>
      <c r="L3233" s="846"/>
      <c r="M3233" s="846"/>
      <c r="N3233" s="846"/>
      <c r="O3233" s="846"/>
      <c r="P3233" s="846"/>
      <c r="Q3233" s="846"/>
      <c r="R3233" s="846"/>
      <c r="S3233" s="846"/>
      <c r="T3233" s="846"/>
    </row>
    <row r="3234" spans="2:20" ht="38.25" hidden="1">
      <c r="B3234" s="828" t="s">
        <v>6571</v>
      </c>
      <c r="C3234" s="828">
        <v>93144</v>
      </c>
      <c r="D3234" s="630" t="s">
        <v>1141</v>
      </c>
      <c r="E3234" s="630" t="s">
        <v>646</v>
      </c>
      <c r="F3234" s="829">
        <v>148.75</v>
      </c>
      <c r="G3234" s="830">
        <v>115.31</v>
      </c>
      <c r="H3234" s="832">
        <v>264.06</v>
      </c>
      <c r="I3234" s="846"/>
      <c r="J3234" s="846"/>
      <c r="K3234" s="846"/>
      <c r="L3234" s="846"/>
      <c r="M3234" s="846"/>
      <c r="N3234" s="846"/>
      <c r="O3234" s="846"/>
      <c r="P3234" s="846"/>
      <c r="Q3234" s="846"/>
      <c r="R3234" s="846"/>
      <c r="S3234" s="846"/>
      <c r="T3234" s="846"/>
    </row>
    <row r="3235" spans="2:20" ht="51" hidden="1">
      <c r="B3235" s="828" t="s">
        <v>6571</v>
      </c>
      <c r="C3235" s="828">
        <v>93145</v>
      </c>
      <c r="D3235" s="630" t="s">
        <v>1049</v>
      </c>
      <c r="E3235" s="630" t="s">
        <v>646</v>
      </c>
      <c r="F3235" s="829">
        <v>126.3</v>
      </c>
      <c r="G3235" s="830">
        <v>122.43</v>
      </c>
      <c r="H3235" s="831">
        <v>248.73</v>
      </c>
      <c r="I3235" s="846"/>
      <c r="J3235" s="846"/>
      <c r="K3235" s="846"/>
      <c r="L3235" s="846"/>
      <c r="M3235" s="846"/>
      <c r="N3235" s="846"/>
      <c r="O3235" s="846"/>
      <c r="P3235" s="846"/>
      <c r="Q3235" s="846"/>
      <c r="R3235" s="846"/>
      <c r="S3235" s="846"/>
      <c r="T3235" s="846"/>
    </row>
    <row r="3236" spans="2:20" ht="51" hidden="1">
      <c r="B3236" s="828" t="s">
        <v>6571</v>
      </c>
      <c r="C3236" s="828">
        <v>93146</v>
      </c>
      <c r="D3236" s="630" t="s">
        <v>1050</v>
      </c>
      <c r="E3236" s="630" t="s">
        <v>646</v>
      </c>
      <c r="F3236" s="829">
        <v>138.13</v>
      </c>
      <c r="G3236" s="830">
        <v>130.5</v>
      </c>
      <c r="H3236" s="831">
        <v>268.63</v>
      </c>
      <c r="I3236" s="846"/>
      <c r="J3236" s="846"/>
      <c r="K3236" s="846"/>
      <c r="L3236" s="846"/>
      <c r="M3236" s="846"/>
      <c r="N3236" s="846"/>
      <c r="O3236" s="846"/>
      <c r="P3236" s="846"/>
      <c r="Q3236" s="846"/>
      <c r="R3236" s="846"/>
      <c r="S3236" s="846"/>
      <c r="T3236" s="846"/>
    </row>
    <row r="3237" spans="2:20" ht="51" hidden="1">
      <c r="B3237" s="828" t="s">
        <v>6571</v>
      </c>
      <c r="C3237" s="828">
        <v>93147</v>
      </c>
      <c r="D3237" s="630" t="s">
        <v>1051</v>
      </c>
      <c r="E3237" s="630" t="s">
        <v>646</v>
      </c>
      <c r="F3237" s="829">
        <v>161.11000000000001</v>
      </c>
      <c r="G3237" s="830">
        <v>144.37</v>
      </c>
      <c r="H3237" s="831">
        <v>305.48</v>
      </c>
      <c r="I3237" s="846"/>
      <c r="J3237" s="846"/>
      <c r="K3237" s="846"/>
      <c r="L3237" s="846"/>
      <c r="M3237" s="846"/>
      <c r="N3237" s="846"/>
      <c r="O3237" s="846"/>
      <c r="P3237" s="846"/>
      <c r="Q3237" s="846"/>
      <c r="R3237" s="846"/>
      <c r="S3237" s="846"/>
      <c r="T3237" s="846"/>
    </row>
    <row r="3238" spans="2:20" ht="25.5" hidden="1">
      <c r="B3238" s="828" t="s">
        <v>6606</v>
      </c>
      <c r="C3238" s="828">
        <v>96971</v>
      </c>
      <c r="D3238" s="630" t="s">
        <v>2784</v>
      </c>
      <c r="E3238" s="630" t="s">
        <v>648</v>
      </c>
      <c r="F3238" s="829">
        <v>26.49</v>
      </c>
      <c r="G3238" s="830">
        <v>11.05</v>
      </c>
      <c r="H3238" s="832">
        <v>37.54</v>
      </c>
      <c r="I3238" s="846"/>
      <c r="J3238" s="846"/>
      <c r="K3238" s="846"/>
      <c r="L3238" s="846"/>
      <c r="M3238" s="846"/>
      <c r="N3238" s="846"/>
      <c r="O3238" s="846"/>
      <c r="P3238" s="846"/>
      <c r="Q3238" s="846"/>
      <c r="R3238" s="846"/>
      <c r="S3238" s="846"/>
      <c r="T3238" s="846"/>
    </row>
    <row r="3239" spans="2:20" ht="25.5" hidden="1">
      <c r="B3239" s="828" t="s">
        <v>6606</v>
      </c>
      <c r="C3239" s="828">
        <v>96972</v>
      </c>
      <c r="D3239" s="630" t="s">
        <v>2785</v>
      </c>
      <c r="E3239" s="630" t="s">
        <v>648</v>
      </c>
      <c r="F3239" s="829">
        <v>37.81</v>
      </c>
      <c r="G3239" s="830">
        <v>14.96</v>
      </c>
      <c r="H3239" s="831">
        <v>52.77</v>
      </c>
      <c r="I3239" s="846"/>
      <c r="J3239" s="846"/>
      <c r="K3239" s="846"/>
      <c r="L3239" s="846"/>
      <c r="M3239" s="846"/>
      <c r="N3239" s="846"/>
      <c r="O3239" s="846"/>
      <c r="P3239" s="846"/>
      <c r="Q3239" s="846"/>
      <c r="R3239" s="846"/>
      <c r="S3239" s="846"/>
      <c r="T3239" s="846"/>
    </row>
    <row r="3240" spans="2:20" ht="25.5" hidden="1">
      <c r="B3240" s="828" t="s">
        <v>6606</v>
      </c>
      <c r="C3240" s="828">
        <v>96973</v>
      </c>
      <c r="D3240" s="630" t="s">
        <v>2786</v>
      </c>
      <c r="E3240" s="630" t="s">
        <v>648</v>
      </c>
      <c r="F3240" s="829">
        <v>49.7</v>
      </c>
      <c r="G3240" s="830">
        <v>17.91</v>
      </c>
      <c r="H3240" s="832">
        <v>67.61</v>
      </c>
      <c r="I3240" s="846"/>
      <c r="J3240" s="846"/>
      <c r="K3240" s="846"/>
      <c r="L3240" s="846"/>
      <c r="M3240" s="846"/>
      <c r="N3240" s="846"/>
      <c r="O3240" s="846"/>
      <c r="P3240" s="846"/>
      <c r="Q3240" s="846"/>
      <c r="R3240" s="846"/>
      <c r="S3240" s="846"/>
      <c r="T3240" s="846"/>
    </row>
    <row r="3241" spans="2:20" ht="25.5" hidden="1">
      <c r="B3241" s="828" t="s">
        <v>6606</v>
      </c>
      <c r="C3241" s="828">
        <v>96974</v>
      </c>
      <c r="D3241" s="630" t="s">
        <v>2787</v>
      </c>
      <c r="E3241" s="630" t="s">
        <v>648</v>
      </c>
      <c r="F3241" s="829">
        <v>66.260000000000005</v>
      </c>
      <c r="G3241" s="830">
        <v>21.03</v>
      </c>
      <c r="H3241" s="832">
        <v>87.29</v>
      </c>
      <c r="I3241" s="846"/>
      <c r="J3241" s="846"/>
      <c r="K3241" s="846"/>
      <c r="L3241" s="846"/>
      <c r="M3241" s="846"/>
      <c r="N3241" s="846"/>
      <c r="O3241" s="846"/>
      <c r="P3241" s="846"/>
      <c r="Q3241" s="846"/>
      <c r="R3241" s="846"/>
      <c r="S3241" s="846"/>
      <c r="T3241" s="846"/>
    </row>
    <row r="3242" spans="2:20" ht="25.5" hidden="1">
      <c r="B3242" s="828" t="s">
        <v>6606</v>
      </c>
      <c r="C3242" s="828">
        <v>96975</v>
      </c>
      <c r="D3242" s="630" t="s">
        <v>2788</v>
      </c>
      <c r="E3242" s="630" t="s">
        <v>648</v>
      </c>
      <c r="F3242" s="829">
        <v>89.79</v>
      </c>
      <c r="G3242" s="830">
        <v>23.97</v>
      </c>
      <c r="H3242" s="832">
        <v>113.76</v>
      </c>
      <c r="I3242" s="846"/>
      <c r="J3242" s="846"/>
      <c r="K3242" s="846"/>
      <c r="L3242" s="846"/>
      <c r="M3242" s="846"/>
      <c r="N3242" s="846"/>
      <c r="O3242" s="846"/>
      <c r="P3242" s="846"/>
      <c r="Q3242" s="846"/>
      <c r="R3242" s="846"/>
      <c r="S3242" s="846"/>
      <c r="T3242" s="846"/>
    </row>
    <row r="3243" spans="2:20" ht="25.5" hidden="1">
      <c r="B3243" s="828" t="s">
        <v>6606</v>
      </c>
      <c r="C3243" s="828">
        <v>96976</v>
      </c>
      <c r="D3243" s="630" t="s">
        <v>2789</v>
      </c>
      <c r="E3243" s="630" t="s">
        <v>648</v>
      </c>
      <c r="F3243" s="829">
        <v>122.44</v>
      </c>
      <c r="G3243" s="830">
        <v>26.64</v>
      </c>
      <c r="H3243" s="832">
        <v>149.08000000000001</v>
      </c>
      <c r="I3243" s="846"/>
      <c r="J3243" s="846"/>
      <c r="K3243" s="846"/>
      <c r="L3243" s="846"/>
      <c r="M3243" s="846"/>
      <c r="N3243" s="846"/>
      <c r="O3243" s="846"/>
      <c r="P3243" s="846"/>
      <c r="Q3243" s="846"/>
      <c r="R3243" s="846"/>
      <c r="S3243" s="846"/>
      <c r="T3243" s="846"/>
    </row>
    <row r="3244" spans="2:20" ht="25.5" hidden="1">
      <c r="B3244" s="828" t="s">
        <v>6606</v>
      </c>
      <c r="C3244" s="828">
        <v>96977</v>
      </c>
      <c r="D3244" s="630" t="s">
        <v>2790</v>
      </c>
      <c r="E3244" s="630" t="s">
        <v>648</v>
      </c>
      <c r="F3244" s="829">
        <v>58.42</v>
      </c>
      <c r="G3244" s="830">
        <v>1.44</v>
      </c>
      <c r="H3244" s="831">
        <v>59.86</v>
      </c>
      <c r="I3244" s="846"/>
      <c r="J3244" s="846"/>
      <c r="K3244" s="846"/>
      <c r="L3244" s="846"/>
      <c r="M3244" s="846"/>
      <c r="N3244" s="846"/>
      <c r="O3244" s="846"/>
      <c r="P3244" s="846"/>
      <c r="Q3244" s="846"/>
      <c r="R3244" s="846"/>
      <c r="S3244" s="846"/>
      <c r="T3244" s="846"/>
    </row>
    <row r="3245" spans="2:20" ht="25.5" hidden="1">
      <c r="B3245" s="828" t="s">
        <v>6606</v>
      </c>
      <c r="C3245" s="828">
        <v>96978</v>
      </c>
      <c r="D3245" s="630" t="s">
        <v>2791</v>
      </c>
      <c r="E3245" s="630" t="s">
        <v>648</v>
      </c>
      <c r="F3245" s="829">
        <v>82.2</v>
      </c>
      <c r="G3245" s="830">
        <v>1.75</v>
      </c>
      <c r="H3245" s="832">
        <v>83.95</v>
      </c>
      <c r="I3245" s="846"/>
      <c r="J3245" s="846"/>
      <c r="K3245" s="846"/>
      <c r="L3245" s="846"/>
      <c r="M3245" s="846"/>
      <c r="N3245" s="846"/>
      <c r="O3245" s="846"/>
      <c r="P3245" s="846"/>
      <c r="Q3245" s="846"/>
      <c r="R3245" s="846"/>
      <c r="S3245" s="846"/>
      <c r="T3245" s="846"/>
    </row>
    <row r="3246" spans="2:20" ht="25.5" hidden="1">
      <c r="B3246" s="828" t="s">
        <v>6606</v>
      </c>
      <c r="C3246" s="828">
        <v>96979</v>
      </c>
      <c r="D3246" s="630" t="s">
        <v>2792</v>
      </c>
      <c r="E3246" s="630" t="s">
        <v>648</v>
      </c>
      <c r="F3246" s="829">
        <v>115.64</v>
      </c>
      <c r="G3246" s="830">
        <v>2.0299999999999998</v>
      </c>
      <c r="H3246" s="832">
        <v>117.67</v>
      </c>
      <c r="I3246" s="846"/>
      <c r="J3246" s="846"/>
      <c r="K3246" s="846"/>
      <c r="L3246" s="846"/>
      <c r="M3246" s="846"/>
      <c r="N3246" s="846"/>
      <c r="O3246" s="846"/>
      <c r="P3246" s="846"/>
      <c r="Q3246" s="846"/>
      <c r="R3246" s="846"/>
      <c r="S3246" s="846"/>
      <c r="T3246" s="846"/>
    </row>
    <row r="3247" spans="2:20" ht="25.5" hidden="1">
      <c r="B3247" s="828" t="s">
        <v>6606</v>
      </c>
      <c r="C3247" s="828">
        <v>96984</v>
      </c>
      <c r="D3247" s="630" t="s">
        <v>2794</v>
      </c>
      <c r="E3247" s="630" t="s">
        <v>646</v>
      </c>
      <c r="F3247" s="829">
        <v>34.81</v>
      </c>
      <c r="G3247" s="830">
        <v>36.11</v>
      </c>
      <c r="H3247" s="832">
        <v>70.92</v>
      </c>
      <c r="I3247" s="846"/>
      <c r="J3247" s="846"/>
      <c r="K3247" s="846"/>
      <c r="L3247" s="846"/>
      <c r="M3247" s="846"/>
      <c r="N3247" s="846"/>
      <c r="O3247" s="846"/>
      <c r="P3247" s="846"/>
      <c r="Q3247" s="846"/>
      <c r="R3247" s="846"/>
      <c r="S3247" s="846"/>
      <c r="T3247" s="846"/>
    </row>
    <row r="3248" spans="2:20" ht="25.5" hidden="1">
      <c r="B3248" s="828" t="s">
        <v>6606</v>
      </c>
      <c r="C3248" s="828">
        <v>96985</v>
      </c>
      <c r="D3248" s="630" t="s">
        <v>2795</v>
      </c>
      <c r="E3248" s="630" t="s">
        <v>646</v>
      </c>
      <c r="F3248" s="829">
        <v>89.27</v>
      </c>
      <c r="G3248" s="830">
        <v>10.99</v>
      </c>
      <c r="H3248" s="832">
        <v>100.26</v>
      </c>
      <c r="I3248" s="846"/>
      <c r="J3248" s="846"/>
      <c r="K3248" s="846"/>
      <c r="L3248" s="846"/>
      <c r="M3248" s="846"/>
      <c r="N3248" s="846"/>
      <c r="O3248" s="846"/>
      <c r="P3248" s="846"/>
      <c r="Q3248" s="846"/>
      <c r="R3248" s="846"/>
      <c r="S3248" s="846"/>
      <c r="T3248" s="846"/>
    </row>
    <row r="3249" spans="2:20" ht="25.5" hidden="1">
      <c r="B3249" s="828" t="s">
        <v>6606</v>
      </c>
      <c r="C3249" s="828">
        <v>96986</v>
      </c>
      <c r="D3249" s="630" t="s">
        <v>2796</v>
      </c>
      <c r="E3249" s="630" t="s">
        <v>646</v>
      </c>
      <c r="F3249" s="829">
        <v>132.35</v>
      </c>
      <c r="G3249" s="830">
        <v>17.190000000000001</v>
      </c>
      <c r="H3249" s="831">
        <v>149.54</v>
      </c>
      <c r="I3249" s="846"/>
      <c r="J3249" s="846"/>
      <c r="K3249" s="846"/>
      <c r="L3249" s="846"/>
      <c r="M3249" s="846"/>
      <c r="N3249" s="846"/>
      <c r="O3249" s="846"/>
      <c r="P3249" s="846"/>
      <c r="Q3249" s="846"/>
      <c r="R3249" s="846"/>
      <c r="S3249" s="846"/>
      <c r="T3249" s="846"/>
    </row>
    <row r="3250" spans="2:20" ht="25.5" hidden="1">
      <c r="B3250" s="828" t="s">
        <v>6606</v>
      </c>
      <c r="C3250" s="828">
        <v>96987</v>
      </c>
      <c r="D3250" s="630" t="s">
        <v>2797</v>
      </c>
      <c r="E3250" s="630" t="s">
        <v>646</v>
      </c>
      <c r="F3250" s="829">
        <v>74.510000000000005</v>
      </c>
      <c r="G3250" s="830">
        <v>49.32</v>
      </c>
      <c r="H3250" s="831">
        <v>123.83</v>
      </c>
      <c r="I3250" s="846"/>
      <c r="J3250" s="846"/>
      <c r="K3250" s="846"/>
      <c r="L3250" s="846"/>
      <c r="M3250" s="846"/>
      <c r="N3250" s="846"/>
      <c r="O3250" s="846"/>
      <c r="P3250" s="846"/>
      <c r="Q3250" s="846"/>
      <c r="R3250" s="846"/>
      <c r="S3250" s="846"/>
      <c r="T3250" s="846"/>
    </row>
    <row r="3251" spans="2:20" hidden="1">
      <c r="B3251" s="828" t="s">
        <v>6606</v>
      </c>
      <c r="C3251" s="828">
        <v>96988</v>
      </c>
      <c r="D3251" s="630" t="s">
        <v>2798</v>
      </c>
      <c r="E3251" s="630" t="s">
        <v>646</v>
      </c>
      <c r="F3251" s="829">
        <v>177.74</v>
      </c>
      <c r="G3251" s="830">
        <v>6.86</v>
      </c>
      <c r="H3251" s="831">
        <v>184.6</v>
      </c>
      <c r="I3251" s="846"/>
      <c r="J3251" s="846"/>
      <c r="K3251" s="846"/>
      <c r="L3251" s="846"/>
      <c r="M3251" s="846"/>
      <c r="N3251" s="846"/>
      <c r="O3251" s="846"/>
      <c r="P3251" s="846"/>
      <c r="Q3251" s="846"/>
      <c r="R3251" s="846"/>
      <c r="S3251" s="846"/>
      <c r="T3251" s="846"/>
    </row>
    <row r="3252" spans="2:20" ht="25.5" hidden="1">
      <c r="B3252" s="828" t="s">
        <v>6606</v>
      </c>
      <c r="C3252" s="828">
        <v>96989</v>
      </c>
      <c r="D3252" s="630" t="s">
        <v>2799</v>
      </c>
      <c r="E3252" s="630" t="s">
        <v>646</v>
      </c>
      <c r="F3252" s="829">
        <v>148.99</v>
      </c>
      <c r="G3252" s="830">
        <v>5.48</v>
      </c>
      <c r="H3252" s="831">
        <v>154.47</v>
      </c>
      <c r="I3252" s="846"/>
      <c r="J3252" s="846"/>
      <c r="K3252" s="846"/>
      <c r="L3252" s="846"/>
      <c r="M3252" s="846"/>
      <c r="N3252" s="846"/>
      <c r="O3252" s="846"/>
      <c r="P3252" s="846"/>
      <c r="Q3252" s="846"/>
      <c r="R3252" s="846"/>
      <c r="S3252" s="846"/>
      <c r="T3252" s="846"/>
    </row>
    <row r="3253" spans="2:20" ht="25.5" hidden="1">
      <c r="B3253" s="828" t="s">
        <v>6606</v>
      </c>
      <c r="C3253" s="828">
        <v>98463</v>
      </c>
      <c r="D3253" s="630" t="s">
        <v>2793</v>
      </c>
      <c r="E3253" s="630" t="s">
        <v>646</v>
      </c>
      <c r="F3253" s="829">
        <v>13.2</v>
      </c>
      <c r="G3253" s="830">
        <v>13.81</v>
      </c>
      <c r="H3253" s="831">
        <v>27.01</v>
      </c>
      <c r="I3253" s="846"/>
      <c r="J3253" s="846"/>
      <c r="K3253" s="846"/>
      <c r="L3253" s="846"/>
      <c r="M3253" s="846"/>
      <c r="N3253" s="846"/>
      <c r="O3253" s="846"/>
      <c r="P3253" s="846"/>
      <c r="Q3253" s="846"/>
      <c r="R3253" s="846"/>
      <c r="S3253" s="846"/>
      <c r="T3253" s="846"/>
    </row>
    <row r="3254" spans="2:20" ht="38.25" hidden="1">
      <c r="B3254" s="828" t="s">
        <v>3432</v>
      </c>
      <c r="C3254" s="828">
        <v>103490</v>
      </c>
      <c r="D3254" s="630" t="s">
        <v>7127</v>
      </c>
      <c r="E3254" s="630" t="s">
        <v>644</v>
      </c>
      <c r="F3254" s="829">
        <v>1418.72</v>
      </c>
      <c r="G3254" s="830">
        <v>1848.15</v>
      </c>
      <c r="H3254" s="831">
        <v>3266.87</v>
      </c>
      <c r="I3254" s="846"/>
      <c r="J3254" s="846"/>
      <c r="K3254" s="846"/>
      <c r="L3254" s="846"/>
      <c r="M3254" s="846"/>
      <c r="N3254" s="846"/>
      <c r="O3254" s="846"/>
      <c r="P3254" s="846"/>
      <c r="Q3254" s="846"/>
      <c r="R3254" s="846"/>
      <c r="S3254" s="846"/>
      <c r="T3254" s="846"/>
    </row>
    <row r="3255" spans="2:20" ht="38.25" hidden="1">
      <c r="B3255" s="828" t="s">
        <v>3432</v>
      </c>
      <c r="C3255" s="828">
        <v>103491</v>
      </c>
      <c r="D3255" s="630" t="s">
        <v>7128</v>
      </c>
      <c r="E3255" s="630" t="s">
        <v>644</v>
      </c>
      <c r="F3255" s="829">
        <v>383.17</v>
      </c>
      <c r="G3255" s="830">
        <v>410.69</v>
      </c>
      <c r="H3255" s="832">
        <v>793.86</v>
      </c>
      <c r="I3255" s="846"/>
      <c r="J3255" s="846"/>
      <c r="K3255" s="846"/>
      <c r="L3255" s="846"/>
      <c r="M3255" s="846"/>
      <c r="N3255" s="846"/>
      <c r="O3255" s="846"/>
      <c r="P3255" s="846"/>
      <c r="Q3255" s="846"/>
      <c r="R3255" s="846"/>
      <c r="S3255" s="846"/>
      <c r="T3255" s="846"/>
    </row>
    <row r="3256" spans="2:20" ht="51" hidden="1">
      <c r="B3256" s="828" t="s">
        <v>6605</v>
      </c>
      <c r="C3256" s="828">
        <v>96765</v>
      </c>
      <c r="D3256" s="630" t="s">
        <v>5093</v>
      </c>
      <c r="E3256" s="630" t="s">
        <v>646</v>
      </c>
      <c r="F3256" s="829">
        <v>1486.07</v>
      </c>
      <c r="G3256" s="830">
        <v>130.13999999999999</v>
      </c>
      <c r="H3256" s="832">
        <v>1616.21</v>
      </c>
      <c r="I3256" s="846"/>
      <c r="J3256" s="846"/>
      <c r="K3256" s="846"/>
      <c r="L3256" s="846"/>
      <c r="M3256" s="846"/>
      <c r="N3256" s="846"/>
      <c r="O3256" s="846"/>
      <c r="P3256" s="846"/>
      <c r="Q3256" s="846"/>
      <c r="R3256" s="846"/>
      <c r="S3256" s="846"/>
      <c r="T3256" s="846"/>
    </row>
    <row r="3257" spans="2:20" ht="25.5" hidden="1">
      <c r="B3257" s="828" t="s">
        <v>6605</v>
      </c>
      <c r="C3257" s="828">
        <v>101905</v>
      </c>
      <c r="D3257" s="630" t="s">
        <v>5232</v>
      </c>
      <c r="E3257" s="630" t="s">
        <v>646</v>
      </c>
      <c r="F3257" s="829">
        <v>174.69</v>
      </c>
      <c r="G3257" s="830">
        <v>19.579999999999998</v>
      </c>
      <c r="H3257" s="832">
        <v>194.27</v>
      </c>
      <c r="I3257" s="846"/>
      <c r="J3257" s="846"/>
      <c r="K3257" s="846"/>
      <c r="L3257" s="846"/>
      <c r="M3257" s="846"/>
      <c r="N3257" s="846"/>
      <c r="O3257" s="846"/>
      <c r="P3257" s="846"/>
      <c r="Q3257" s="846"/>
      <c r="R3257" s="846"/>
      <c r="S3257" s="846"/>
      <c r="T3257" s="846"/>
    </row>
    <row r="3258" spans="2:20" ht="25.5" hidden="1">
      <c r="B3258" s="828" t="s">
        <v>6605</v>
      </c>
      <c r="C3258" s="828">
        <v>101906</v>
      </c>
      <c r="D3258" s="630" t="s">
        <v>5233</v>
      </c>
      <c r="E3258" s="630" t="s">
        <v>646</v>
      </c>
      <c r="F3258" s="829">
        <v>538.38</v>
      </c>
      <c r="G3258" s="830">
        <v>19.579999999999998</v>
      </c>
      <c r="H3258" s="832">
        <v>557.96</v>
      </c>
      <c r="I3258" s="846"/>
      <c r="J3258" s="846"/>
      <c r="K3258" s="846"/>
      <c r="L3258" s="846"/>
      <c r="M3258" s="846"/>
      <c r="N3258" s="846"/>
      <c r="O3258" s="846"/>
      <c r="P3258" s="846"/>
      <c r="Q3258" s="846"/>
      <c r="R3258" s="846"/>
      <c r="S3258" s="846"/>
      <c r="T3258" s="846"/>
    </row>
    <row r="3259" spans="2:20" ht="25.5" hidden="1">
      <c r="B3259" s="828" t="s">
        <v>6605</v>
      </c>
      <c r="C3259" s="828">
        <v>101907</v>
      </c>
      <c r="D3259" s="630" t="s">
        <v>5234</v>
      </c>
      <c r="E3259" s="630" t="s">
        <v>646</v>
      </c>
      <c r="F3259" s="829">
        <v>582.69000000000005</v>
      </c>
      <c r="G3259" s="830">
        <v>19.579999999999998</v>
      </c>
      <c r="H3259" s="832">
        <v>602.27</v>
      </c>
      <c r="I3259" s="846"/>
      <c r="J3259" s="846"/>
      <c r="K3259" s="846"/>
      <c r="L3259" s="846"/>
      <c r="M3259" s="846"/>
      <c r="N3259" s="846"/>
      <c r="O3259" s="846"/>
      <c r="P3259" s="846"/>
      <c r="Q3259" s="846"/>
      <c r="R3259" s="846"/>
      <c r="S3259" s="846"/>
      <c r="T3259" s="846"/>
    </row>
    <row r="3260" spans="2:20" ht="25.5" hidden="1">
      <c r="B3260" s="828" t="s">
        <v>6605</v>
      </c>
      <c r="C3260" s="828">
        <v>101908</v>
      </c>
      <c r="D3260" s="630" t="s">
        <v>5235</v>
      </c>
      <c r="E3260" s="630" t="s">
        <v>646</v>
      </c>
      <c r="F3260" s="829">
        <v>169.15</v>
      </c>
      <c r="G3260" s="830">
        <v>19.579999999999998</v>
      </c>
      <c r="H3260" s="832">
        <v>188.73</v>
      </c>
      <c r="I3260" s="846"/>
      <c r="J3260" s="846"/>
      <c r="K3260" s="846"/>
      <c r="L3260" s="846"/>
      <c r="M3260" s="846"/>
      <c r="N3260" s="846"/>
      <c r="O3260" s="846"/>
      <c r="P3260" s="846"/>
      <c r="Q3260" s="846"/>
      <c r="R3260" s="846"/>
      <c r="S3260" s="846"/>
      <c r="T3260" s="846"/>
    </row>
    <row r="3261" spans="2:20" ht="25.5" hidden="1">
      <c r="B3261" s="828" t="s">
        <v>6605</v>
      </c>
      <c r="C3261" s="828">
        <v>101909</v>
      </c>
      <c r="D3261" s="630" t="s">
        <v>5236</v>
      </c>
      <c r="E3261" s="630" t="s">
        <v>646</v>
      </c>
      <c r="F3261" s="829">
        <v>198.69</v>
      </c>
      <c r="G3261" s="830">
        <v>19.579999999999998</v>
      </c>
      <c r="H3261" s="832">
        <v>218.27</v>
      </c>
      <c r="I3261" s="846"/>
      <c r="J3261" s="846"/>
      <c r="K3261" s="846"/>
      <c r="L3261" s="846"/>
      <c r="M3261" s="846"/>
      <c r="N3261" s="846"/>
      <c r="O3261" s="846"/>
      <c r="P3261" s="846"/>
      <c r="Q3261" s="846"/>
      <c r="R3261" s="846"/>
      <c r="S3261" s="846"/>
      <c r="T3261" s="846"/>
    </row>
    <row r="3262" spans="2:20" ht="25.5" hidden="1">
      <c r="B3262" s="828" t="s">
        <v>6605</v>
      </c>
      <c r="C3262" s="828">
        <v>101910</v>
      </c>
      <c r="D3262" s="630" t="s">
        <v>5237</v>
      </c>
      <c r="E3262" s="630" t="s">
        <v>646</v>
      </c>
      <c r="F3262" s="829">
        <v>235.61</v>
      </c>
      <c r="G3262" s="830">
        <v>19.579999999999998</v>
      </c>
      <c r="H3262" s="831">
        <v>255.19</v>
      </c>
      <c r="I3262" s="846"/>
      <c r="J3262" s="846"/>
      <c r="K3262" s="846"/>
      <c r="L3262" s="846"/>
      <c r="M3262" s="846"/>
      <c r="N3262" s="846"/>
      <c r="O3262" s="846"/>
      <c r="P3262" s="846"/>
      <c r="Q3262" s="846"/>
      <c r="R3262" s="846"/>
      <c r="S3262" s="846"/>
      <c r="T3262" s="846"/>
    </row>
    <row r="3263" spans="2:20" ht="25.5" hidden="1">
      <c r="B3263" s="828" t="s">
        <v>6605</v>
      </c>
      <c r="C3263" s="828">
        <v>101911</v>
      </c>
      <c r="D3263" s="630" t="s">
        <v>5238</v>
      </c>
      <c r="E3263" s="630" t="s">
        <v>646</v>
      </c>
      <c r="F3263" s="829">
        <v>272.52999999999997</v>
      </c>
      <c r="G3263" s="830">
        <v>19.579999999999998</v>
      </c>
      <c r="H3263" s="831">
        <v>292.11</v>
      </c>
      <c r="I3263" s="846"/>
      <c r="J3263" s="846"/>
      <c r="K3263" s="846"/>
      <c r="L3263" s="846"/>
      <c r="M3263" s="846"/>
      <c r="N3263" s="846"/>
      <c r="O3263" s="846"/>
      <c r="P3263" s="846"/>
      <c r="Q3263" s="846"/>
      <c r="R3263" s="846"/>
      <c r="S3263" s="846"/>
      <c r="T3263" s="846"/>
    </row>
    <row r="3264" spans="2:20" ht="51" hidden="1">
      <c r="B3264" s="828" t="s">
        <v>6605</v>
      </c>
      <c r="C3264" s="828">
        <v>101912</v>
      </c>
      <c r="D3264" s="630" t="s">
        <v>5239</v>
      </c>
      <c r="E3264" s="630" t="s">
        <v>646</v>
      </c>
      <c r="F3264" s="829">
        <v>1813.19</v>
      </c>
      <c r="G3264" s="830">
        <v>138.38999999999999</v>
      </c>
      <c r="H3264" s="832">
        <v>1951.58</v>
      </c>
      <c r="I3264" s="846"/>
      <c r="J3264" s="846"/>
      <c r="K3264" s="846"/>
      <c r="L3264" s="846"/>
      <c r="M3264" s="846"/>
      <c r="N3264" s="846"/>
      <c r="O3264" s="846"/>
      <c r="P3264" s="846"/>
      <c r="Q3264" s="846"/>
      <c r="R3264" s="846"/>
      <c r="S3264" s="846"/>
      <c r="T3264" s="846"/>
    </row>
    <row r="3265" spans="2:20" ht="25.5" hidden="1">
      <c r="B3265" s="828" t="s">
        <v>6605</v>
      </c>
      <c r="C3265" s="828">
        <v>101913</v>
      </c>
      <c r="D3265" s="630" t="s">
        <v>5240</v>
      </c>
      <c r="E3265" s="630" t="s">
        <v>646</v>
      </c>
      <c r="F3265" s="829">
        <v>493.01</v>
      </c>
      <c r="G3265" s="830">
        <v>97.41</v>
      </c>
      <c r="H3265" s="832">
        <v>590.41999999999996</v>
      </c>
      <c r="I3265" s="846"/>
      <c r="J3265" s="846"/>
      <c r="K3265" s="846"/>
      <c r="L3265" s="846"/>
      <c r="M3265" s="846"/>
      <c r="N3265" s="846"/>
      <c r="O3265" s="846"/>
      <c r="P3265" s="846"/>
      <c r="Q3265" s="846"/>
      <c r="R3265" s="846"/>
      <c r="S3265" s="846"/>
      <c r="T3265" s="846"/>
    </row>
    <row r="3266" spans="2:20" ht="25.5" hidden="1">
      <c r="B3266" s="828" t="s">
        <v>6605</v>
      </c>
      <c r="C3266" s="828">
        <v>101914</v>
      </c>
      <c r="D3266" s="630" t="s">
        <v>5241</v>
      </c>
      <c r="E3266" s="630" t="s">
        <v>646</v>
      </c>
      <c r="F3266" s="829">
        <v>485.55</v>
      </c>
      <c r="G3266" s="830">
        <v>58.03</v>
      </c>
      <c r="H3266" s="832">
        <v>543.58000000000004</v>
      </c>
      <c r="I3266" s="846"/>
      <c r="J3266" s="846"/>
      <c r="K3266" s="846"/>
      <c r="L3266" s="846"/>
      <c r="M3266" s="846"/>
      <c r="N3266" s="846"/>
      <c r="O3266" s="846"/>
      <c r="P3266" s="846"/>
      <c r="Q3266" s="846"/>
      <c r="R3266" s="846"/>
      <c r="S3266" s="846"/>
      <c r="T3266" s="846"/>
    </row>
    <row r="3267" spans="2:20" ht="38.25" hidden="1">
      <c r="B3267" s="828" t="s">
        <v>6605</v>
      </c>
      <c r="C3267" s="828">
        <v>101915</v>
      </c>
      <c r="D3267" s="630" t="s">
        <v>5242</v>
      </c>
      <c r="E3267" s="630" t="s">
        <v>646</v>
      </c>
      <c r="F3267" s="829">
        <v>320.74</v>
      </c>
      <c r="G3267" s="830">
        <v>6.04</v>
      </c>
      <c r="H3267" s="831">
        <v>326.77999999999997</v>
      </c>
      <c r="I3267" s="846"/>
      <c r="J3267" s="846"/>
      <c r="K3267" s="846"/>
      <c r="L3267" s="846"/>
      <c r="M3267" s="846"/>
      <c r="N3267" s="846"/>
      <c r="O3267" s="846"/>
      <c r="P3267" s="846"/>
      <c r="Q3267" s="846"/>
      <c r="R3267" s="846"/>
      <c r="S3267" s="846"/>
      <c r="T3267" s="846"/>
    </row>
    <row r="3268" spans="2:20" ht="25.5" hidden="1">
      <c r="B3268" s="828" t="s">
        <v>6605</v>
      </c>
      <c r="C3268" s="828">
        <v>101916</v>
      </c>
      <c r="D3268" s="630" t="s">
        <v>5243</v>
      </c>
      <c r="E3268" s="630" t="s">
        <v>646</v>
      </c>
      <c r="F3268" s="829">
        <v>3220.09</v>
      </c>
      <c r="G3268" s="830">
        <v>190.21</v>
      </c>
      <c r="H3268" s="831">
        <v>3410.3</v>
      </c>
      <c r="I3268" s="846"/>
      <c r="J3268" s="846"/>
      <c r="K3268" s="846"/>
      <c r="L3268" s="846"/>
      <c r="M3268" s="846"/>
      <c r="N3268" s="846"/>
      <c r="O3268" s="846"/>
      <c r="P3268" s="846"/>
      <c r="Q3268" s="846"/>
      <c r="R3268" s="846"/>
      <c r="S3268" s="846"/>
      <c r="T3268" s="846"/>
    </row>
    <row r="3269" spans="2:20" ht="25.5" hidden="1">
      <c r="B3269" s="828" t="s">
        <v>6605</v>
      </c>
      <c r="C3269" s="828">
        <v>101917</v>
      </c>
      <c r="D3269" s="630" t="s">
        <v>5244</v>
      </c>
      <c r="E3269" s="630" t="s">
        <v>646</v>
      </c>
      <c r="F3269" s="829">
        <v>117.41</v>
      </c>
      <c r="G3269" s="830">
        <v>36.119999999999997</v>
      </c>
      <c r="H3269" s="831">
        <v>153.53</v>
      </c>
      <c r="I3269" s="846"/>
      <c r="J3269" s="846"/>
      <c r="K3269" s="846"/>
      <c r="L3269" s="846"/>
      <c r="M3269" s="846"/>
      <c r="N3269" s="846"/>
      <c r="O3269" s="846"/>
      <c r="P3269" s="846"/>
      <c r="Q3269" s="846"/>
      <c r="R3269" s="846"/>
      <c r="S3269" s="846"/>
      <c r="T3269" s="846"/>
    </row>
    <row r="3270" spans="2:20" ht="25.5" hidden="1">
      <c r="B3270" s="828" t="s">
        <v>6617</v>
      </c>
      <c r="C3270" s="828">
        <v>98261</v>
      </c>
      <c r="D3270" s="630" t="s">
        <v>3353</v>
      </c>
      <c r="E3270" s="630" t="s">
        <v>648</v>
      </c>
      <c r="F3270" s="829">
        <v>1.54</v>
      </c>
      <c r="G3270" s="830">
        <v>2.69</v>
      </c>
      <c r="H3270" s="831">
        <v>4.2300000000000004</v>
      </c>
      <c r="I3270" s="846"/>
      <c r="J3270" s="846"/>
      <c r="K3270" s="846"/>
      <c r="L3270" s="846"/>
      <c r="M3270" s="846"/>
      <c r="N3270" s="846"/>
      <c r="O3270" s="846"/>
      <c r="P3270" s="846"/>
      <c r="Q3270" s="846"/>
      <c r="R3270" s="846"/>
      <c r="S3270" s="846"/>
      <c r="T3270" s="846"/>
    </row>
    <row r="3271" spans="2:20" ht="25.5" hidden="1">
      <c r="B3271" s="828" t="s">
        <v>6617</v>
      </c>
      <c r="C3271" s="828">
        <v>98262</v>
      </c>
      <c r="D3271" s="630" t="s">
        <v>3354</v>
      </c>
      <c r="E3271" s="630" t="s">
        <v>648</v>
      </c>
      <c r="F3271" s="829">
        <v>2.2999999999999998</v>
      </c>
      <c r="G3271" s="830">
        <v>2.81</v>
      </c>
      <c r="H3271" s="831">
        <v>5.1100000000000003</v>
      </c>
      <c r="I3271" s="846"/>
      <c r="J3271" s="846"/>
      <c r="K3271" s="846"/>
      <c r="L3271" s="846"/>
      <c r="M3271" s="846"/>
      <c r="N3271" s="846"/>
      <c r="O3271" s="846"/>
      <c r="P3271" s="846"/>
      <c r="Q3271" s="846"/>
      <c r="R3271" s="846"/>
      <c r="S3271" s="846"/>
      <c r="T3271" s="846"/>
    </row>
    <row r="3272" spans="2:20" ht="25.5" hidden="1">
      <c r="B3272" s="828" t="s">
        <v>6617</v>
      </c>
      <c r="C3272" s="828">
        <v>98263</v>
      </c>
      <c r="D3272" s="630" t="s">
        <v>3355</v>
      </c>
      <c r="E3272" s="630" t="s">
        <v>648</v>
      </c>
      <c r="F3272" s="829">
        <v>2.42</v>
      </c>
      <c r="G3272" s="830">
        <v>2.92</v>
      </c>
      <c r="H3272" s="831">
        <v>5.34</v>
      </c>
      <c r="I3272" s="846"/>
      <c r="J3272" s="846"/>
      <c r="K3272" s="846"/>
      <c r="L3272" s="846"/>
      <c r="M3272" s="846"/>
      <c r="N3272" s="846"/>
      <c r="O3272" s="846"/>
      <c r="P3272" s="846"/>
      <c r="Q3272" s="846"/>
      <c r="R3272" s="846"/>
      <c r="S3272" s="846"/>
      <c r="T3272" s="846"/>
    </row>
    <row r="3273" spans="2:20" ht="25.5" hidden="1">
      <c r="B3273" s="828" t="s">
        <v>6617</v>
      </c>
      <c r="C3273" s="828">
        <v>98264</v>
      </c>
      <c r="D3273" s="630" t="s">
        <v>3356</v>
      </c>
      <c r="E3273" s="630" t="s">
        <v>648</v>
      </c>
      <c r="F3273" s="829">
        <v>3.27</v>
      </c>
      <c r="G3273" s="830">
        <v>2.99</v>
      </c>
      <c r="H3273" s="831">
        <v>6.26</v>
      </c>
      <c r="I3273" s="846"/>
      <c r="J3273" s="846"/>
      <c r="K3273" s="846"/>
      <c r="L3273" s="846"/>
      <c r="M3273" s="846"/>
      <c r="N3273" s="846"/>
      <c r="O3273" s="846"/>
      <c r="P3273" s="846"/>
      <c r="Q3273" s="846"/>
      <c r="R3273" s="846"/>
      <c r="S3273" s="846"/>
      <c r="T3273" s="846"/>
    </row>
    <row r="3274" spans="2:20" ht="25.5" hidden="1">
      <c r="B3274" s="828" t="s">
        <v>6617</v>
      </c>
      <c r="C3274" s="828">
        <v>98265</v>
      </c>
      <c r="D3274" s="630" t="s">
        <v>3357</v>
      </c>
      <c r="E3274" s="630" t="s">
        <v>648</v>
      </c>
      <c r="F3274" s="829">
        <v>3.8</v>
      </c>
      <c r="G3274" s="830">
        <v>3.07</v>
      </c>
      <c r="H3274" s="831">
        <v>6.87</v>
      </c>
      <c r="I3274" s="846"/>
      <c r="J3274" s="846"/>
      <c r="K3274" s="846"/>
      <c r="L3274" s="846"/>
      <c r="M3274" s="846"/>
      <c r="N3274" s="846"/>
      <c r="O3274" s="846"/>
      <c r="P3274" s="846"/>
      <c r="Q3274" s="846"/>
      <c r="R3274" s="846"/>
      <c r="S3274" s="846"/>
      <c r="T3274" s="846"/>
    </row>
    <row r="3275" spans="2:20" ht="25.5" hidden="1">
      <c r="B3275" s="828" t="s">
        <v>6617</v>
      </c>
      <c r="C3275" s="828">
        <v>98266</v>
      </c>
      <c r="D3275" s="630" t="s">
        <v>3358</v>
      </c>
      <c r="E3275" s="630" t="s">
        <v>648</v>
      </c>
      <c r="F3275" s="829">
        <v>4.5999999999999996</v>
      </c>
      <c r="G3275" s="830">
        <v>3.1</v>
      </c>
      <c r="H3275" s="831">
        <v>7.7</v>
      </c>
      <c r="I3275" s="846"/>
      <c r="J3275" s="846"/>
      <c r="K3275" s="846"/>
      <c r="L3275" s="846"/>
      <c r="M3275" s="846"/>
      <c r="N3275" s="846"/>
      <c r="O3275" s="846"/>
      <c r="P3275" s="846"/>
      <c r="Q3275" s="846"/>
      <c r="R3275" s="846"/>
      <c r="S3275" s="846"/>
      <c r="T3275" s="846"/>
    </row>
    <row r="3276" spans="2:20" ht="25.5" hidden="1">
      <c r="B3276" s="828" t="s">
        <v>6617</v>
      </c>
      <c r="C3276" s="828">
        <v>98267</v>
      </c>
      <c r="D3276" s="630" t="s">
        <v>3359</v>
      </c>
      <c r="E3276" s="630" t="s">
        <v>648</v>
      </c>
      <c r="F3276" s="829">
        <v>7.95</v>
      </c>
      <c r="G3276" s="830">
        <v>4</v>
      </c>
      <c r="H3276" s="831">
        <v>11.95</v>
      </c>
      <c r="I3276" s="846"/>
      <c r="J3276" s="846"/>
      <c r="K3276" s="846"/>
      <c r="L3276" s="846"/>
      <c r="M3276" s="846"/>
      <c r="N3276" s="846"/>
      <c r="O3276" s="846"/>
      <c r="P3276" s="846"/>
      <c r="Q3276" s="846"/>
      <c r="R3276" s="846"/>
      <c r="S3276" s="846"/>
      <c r="T3276" s="846"/>
    </row>
    <row r="3277" spans="2:20" ht="25.5" hidden="1">
      <c r="B3277" s="828" t="s">
        <v>6617</v>
      </c>
      <c r="C3277" s="828">
        <v>98268</v>
      </c>
      <c r="D3277" s="630" t="s">
        <v>3360</v>
      </c>
      <c r="E3277" s="630" t="s">
        <v>648</v>
      </c>
      <c r="F3277" s="829">
        <v>14.18</v>
      </c>
      <c r="G3277" s="830">
        <v>4.5199999999999996</v>
      </c>
      <c r="H3277" s="831">
        <v>18.7</v>
      </c>
      <c r="I3277" s="846"/>
      <c r="J3277" s="846"/>
      <c r="K3277" s="846"/>
      <c r="L3277" s="846"/>
      <c r="M3277" s="846"/>
      <c r="N3277" s="846"/>
      <c r="O3277" s="846"/>
      <c r="P3277" s="846"/>
      <c r="Q3277" s="846"/>
      <c r="R3277" s="846"/>
      <c r="S3277" s="846"/>
      <c r="T3277" s="846"/>
    </row>
    <row r="3278" spans="2:20" ht="25.5" hidden="1">
      <c r="B3278" s="828" t="s">
        <v>6617</v>
      </c>
      <c r="C3278" s="828">
        <v>98269</v>
      </c>
      <c r="D3278" s="630" t="s">
        <v>3361</v>
      </c>
      <c r="E3278" s="630" t="s">
        <v>648</v>
      </c>
      <c r="F3278" s="829">
        <v>20.239999999999998</v>
      </c>
      <c r="G3278" s="830">
        <v>4.97</v>
      </c>
      <c r="H3278" s="831">
        <v>25.21</v>
      </c>
      <c r="I3278" s="846"/>
      <c r="J3278" s="846"/>
      <c r="K3278" s="846"/>
      <c r="L3278" s="846"/>
      <c r="M3278" s="846"/>
      <c r="N3278" s="846"/>
      <c r="O3278" s="846"/>
      <c r="P3278" s="846"/>
      <c r="Q3278" s="846"/>
      <c r="R3278" s="846"/>
      <c r="S3278" s="846"/>
      <c r="T3278" s="846"/>
    </row>
    <row r="3279" spans="2:20" ht="25.5" hidden="1">
      <c r="B3279" s="828" t="s">
        <v>6617</v>
      </c>
      <c r="C3279" s="828">
        <v>98270</v>
      </c>
      <c r="D3279" s="630" t="s">
        <v>3362</v>
      </c>
      <c r="E3279" s="630" t="s">
        <v>648</v>
      </c>
      <c r="F3279" s="829">
        <v>31.98</v>
      </c>
      <c r="G3279" s="830">
        <v>5.5</v>
      </c>
      <c r="H3279" s="831">
        <v>37.479999999999997</v>
      </c>
      <c r="I3279" s="846"/>
      <c r="J3279" s="846"/>
      <c r="K3279" s="846"/>
      <c r="L3279" s="846"/>
      <c r="M3279" s="846"/>
      <c r="N3279" s="846"/>
      <c r="O3279" s="846"/>
      <c r="P3279" s="846"/>
      <c r="Q3279" s="846"/>
      <c r="R3279" s="846"/>
      <c r="S3279" s="846"/>
      <c r="T3279" s="846"/>
    </row>
    <row r="3280" spans="2:20" ht="25.5" hidden="1">
      <c r="B3280" s="828" t="s">
        <v>6617</v>
      </c>
      <c r="C3280" s="828">
        <v>98271</v>
      </c>
      <c r="D3280" s="630" t="s">
        <v>3363</v>
      </c>
      <c r="E3280" s="630" t="s">
        <v>648</v>
      </c>
      <c r="F3280" s="829">
        <v>46.21</v>
      </c>
      <c r="G3280" s="830">
        <v>6.02</v>
      </c>
      <c r="H3280" s="831">
        <v>52.23</v>
      </c>
      <c r="I3280" s="846"/>
      <c r="J3280" s="846"/>
      <c r="K3280" s="846"/>
      <c r="L3280" s="846"/>
      <c r="M3280" s="846"/>
      <c r="N3280" s="846"/>
      <c r="O3280" s="846"/>
      <c r="P3280" s="846"/>
      <c r="Q3280" s="846"/>
      <c r="R3280" s="846"/>
      <c r="S3280" s="846"/>
      <c r="T3280" s="846"/>
    </row>
    <row r="3281" spans="2:20" ht="25.5" hidden="1">
      <c r="B3281" s="828" t="s">
        <v>6617</v>
      </c>
      <c r="C3281" s="828">
        <v>98272</v>
      </c>
      <c r="D3281" s="630" t="s">
        <v>3364</v>
      </c>
      <c r="E3281" s="630" t="s">
        <v>648</v>
      </c>
      <c r="F3281" s="829">
        <v>110.02</v>
      </c>
      <c r="G3281" s="830">
        <v>8.24</v>
      </c>
      <c r="H3281" s="831">
        <v>118.26</v>
      </c>
      <c r="I3281" s="846"/>
      <c r="J3281" s="846"/>
      <c r="K3281" s="846"/>
      <c r="L3281" s="846"/>
      <c r="M3281" s="846"/>
      <c r="N3281" s="846"/>
      <c r="O3281" s="846"/>
      <c r="P3281" s="846"/>
      <c r="Q3281" s="846"/>
      <c r="R3281" s="846"/>
      <c r="S3281" s="846"/>
      <c r="T3281" s="846"/>
    </row>
    <row r="3282" spans="2:20" ht="25.5" hidden="1">
      <c r="B3282" s="828" t="s">
        <v>6617</v>
      </c>
      <c r="C3282" s="828">
        <v>98273</v>
      </c>
      <c r="D3282" s="630" t="s">
        <v>3365</v>
      </c>
      <c r="E3282" s="630" t="s">
        <v>648</v>
      </c>
      <c r="F3282" s="829">
        <v>2.48</v>
      </c>
      <c r="G3282" s="830">
        <v>0.36</v>
      </c>
      <c r="H3282" s="831">
        <v>2.84</v>
      </c>
      <c r="I3282" s="846"/>
      <c r="J3282" s="846"/>
      <c r="K3282" s="846"/>
      <c r="L3282" s="846"/>
      <c r="M3282" s="846"/>
      <c r="N3282" s="846"/>
      <c r="O3282" s="846"/>
      <c r="P3282" s="846"/>
      <c r="Q3282" s="846"/>
      <c r="R3282" s="846"/>
      <c r="S3282" s="846"/>
      <c r="T3282" s="846"/>
    </row>
    <row r="3283" spans="2:20" ht="25.5" hidden="1">
      <c r="B3283" s="828" t="s">
        <v>6617</v>
      </c>
      <c r="C3283" s="828">
        <v>98274</v>
      </c>
      <c r="D3283" s="630" t="s">
        <v>3366</v>
      </c>
      <c r="E3283" s="630" t="s">
        <v>648</v>
      </c>
      <c r="F3283" s="829">
        <v>3.03</v>
      </c>
      <c r="G3283" s="830">
        <v>0.41</v>
      </c>
      <c r="H3283" s="831">
        <v>3.44</v>
      </c>
      <c r="I3283" s="846"/>
      <c r="J3283" s="846"/>
      <c r="K3283" s="846"/>
      <c r="L3283" s="846"/>
      <c r="M3283" s="846"/>
      <c r="N3283" s="846"/>
      <c r="O3283" s="846"/>
      <c r="P3283" s="846"/>
      <c r="Q3283" s="846"/>
      <c r="R3283" s="846"/>
      <c r="S3283" s="846"/>
      <c r="T3283" s="846"/>
    </row>
    <row r="3284" spans="2:20" ht="25.5" hidden="1">
      <c r="B3284" s="828" t="s">
        <v>6617</v>
      </c>
      <c r="C3284" s="828">
        <v>98275</v>
      </c>
      <c r="D3284" s="630" t="s">
        <v>3367</v>
      </c>
      <c r="E3284" s="630" t="s">
        <v>648</v>
      </c>
      <c r="F3284" s="829">
        <v>3.83</v>
      </c>
      <c r="G3284" s="830">
        <v>0.44</v>
      </c>
      <c r="H3284" s="831">
        <v>4.2699999999999996</v>
      </c>
      <c r="I3284" s="846"/>
      <c r="J3284" s="846"/>
      <c r="K3284" s="846"/>
      <c r="L3284" s="846"/>
      <c r="M3284" s="846"/>
      <c r="N3284" s="846"/>
      <c r="O3284" s="846"/>
      <c r="P3284" s="846"/>
      <c r="Q3284" s="846"/>
      <c r="R3284" s="846"/>
      <c r="S3284" s="846"/>
      <c r="T3284" s="846"/>
    </row>
    <row r="3285" spans="2:20" ht="25.5" hidden="1">
      <c r="B3285" s="828" t="s">
        <v>6617</v>
      </c>
      <c r="C3285" s="828">
        <v>98276</v>
      </c>
      <c r="D3285" s="630" t="s">
        <v>3368</v>
      </c>
      <c r="E3285" s="630" t="s">
        <v>648</v>
      </c>
      <c r="F3285" s="829">
        <v>7.17</v>
      </c>
      <c r="G3285" s="830">
        <v>1.35</v>
      </c>
      <c r="H3285" s="831">
        <v>8.52</v>
      </c>
      <c r="I3285" s="846"/>
      <c r="J3285" s="846"/>
      <c r="K3285" s="846"/>
      <c r="L3285" s="846"/>
      <c r="M3285" s="846"/>
      <c r="N3285" s="846"/>
      <c r="O3285" s="846"/>
      <c r="P3285" s="846"/>
      <c r="Q3285" s="846"/>
      <c r="R3285" s="846"/>
      <c r="S3285" s="846"/>
      <c r="T3285" s="846"/>
    </row>
    <row r="3286" spans="2:20" ht="25.5" hidden="1">
      <c r="B3286" s="828" t="s">
        <v>6617</v>
      </c>
      <c r="C3286" s="828">
        <v>98277</v>
      </c>
      <c r="D3286" s="630" t="s">
        <v>3369</v>
      </c>
      <c r="E3286" s="630" t="s">
        <v>648</v>
      </c>
      <c r="F3286" s="829">
        <v>13.38</v>
      </c>
      <c r="G3286" s="830">
        <v>1.9</v>
      </c>
      <c r="H3286" s="831">
        <v>15.28</v>
      </c>
      <c r="I3286" s="846"/>
      <c r="J3286" s="846"/>
      <c r="K3286" s="846"/>
      <c r="L3286" s="846"/>
      <c r="M3286" s="846"/>
      <c r="N3286" s="846"/>
      <c r="O3286" s="846"/>
      <c r="P3286" s="846"/>
      <c r="Q3286" s="846"/>
      <c r="R3286" s="846"/>
      <c r="S3286" s="846"/>
      <c r="T3286" s="846"/>
    </row>
    <row r="3287" spans="2:20" ht="25.5" hidden="1">
      <c r="B3287" s="828" t="s">
        <v>6617</v>
      </c>
      <c r="C3287" s="828">
        <v>98278</v>
      </c>
      <c r="D3287" s="630" t="s">
        <v>3370</v>
      </c>
      <c r="E3287" s="630" t="s">
        <v>648</v>
      </c>
      <c r="F3287" s="829">
        <v>19.47</v>
      </c>
      <c r="G3287" s="830">
        <v>2.33</v>
      </c>
      <c r="H3287" s="831">
        <v>21.8</v>
      </c>
      <c r="I3287" s="846"/>
      <c r="J3287" s="846"/>
      <c r="K3287" s="846"/>
      <c r="L3287" s="846"/>
      <c r="M3287" s="846"/>
      <c r="N3287" s="846"/>
      <c r="O3287" s="846"/>
      <c r="P3287" s="846"/>
      <c r="Q3287" s="846"/>
      <c r="R3287" s="846"/>
      <c r="S3287" s="846"/>
      <c r="T3287" s="846"/>
    </row>
    <row r="3288" spans="2:20" ht="25.5" hidden="1">
      <c r="B3288" s="828" t="s">
        <v>6617</v>
      </c>
      <c r="C3288" s="828">
        <v>98279</v>
      </c>
      <c r="D3288" s="630" t="s">
        <v>3371</v>
      </c>
      <c r="E3288" s="630" t="s">
        <v>648</v>
      </c>
      <c r="F3288" s="829">
        <v>31.19</v>
      </c>
      <c r="G3288" s="830">
        <v>2.86</v>
      </c>
      <c r="H3288" s="831">
        <v>34.049999999999997</v>
      </c>
      <c r="I3288" s="846"/>
      <c r="J3288" s="846"/>
      <c r="K3288" s="846"/>
      <c r="L3288" s="846"/>
      <c r="M3288" s="846"/>
      <c r="N3288" s="846"/>
      <c r="O3288" s="846"/>
      <c r="P3288" s="846"/>
      <c r="Q3288" s="846"/>
      <c r="R3288" s="846"/>
      <c r="S3288" s="846"/>
      <c r="T3288" s="846"/>
    </row>
    <row r="3289" spans="2:20" ht="38.25" hidden="1">
      <c r="B3289" s="828" t="s">
        <v>6617</v>
      </c>
      <c r="C3289" s="828">
        <v>98280</v>
      </c>
      <c r="D3289" s="630" t="s">
        <v>3372</v>
      </c>
      <c r="E3289" s="630" t="s">
        <v>648</v>
      </c>
      <c r="F3289" s="829">
        <v>2.56</v>
      </c>
      <c r="G3289" s="830">
        <v>6.08</v>
      </c>
      <c r="H3289" s="831">
        <v>8.64</v>
      </c>
      <c r="I3289" s="846"/>
      <c r="J3289" s="846"/>
      <c r="K3289" s="846"/>
      <c r="L3289" s="846"/>
      <c r="M3289" s="846"/>
      <c r="N3289" s="846"/>
      <c r="O3289" s="846"/>
      <c r="P3289" s="846"/>
      <c r="Q3289" s="846"/>
      <c r="R3289" s="846"/>
      <c r="S3289" s="846"/>
      <c r="T3289" s="846"/>
    </row>
    <row r="3290" spans="2:20" ht="38.25" hidden="1">
      <c r="B3290" s="828" t="s">
        <v>6617</v>
      </c>
      <c r="C3290" s="828">
        <v>98281</v>
      </c>
      <c r="D3290" s="838" t="s">
        <v>3373</v>
      </c>
      <c r="E3290" s="630" t="s">
        <v>648</v>
      </c>
      <c r="F3290" s="829">
        <v>3.34</v>
      </c>
      <c r="G3290" s="830">
        <v>6.18</v>
      </c>
      <c r="H3290" s="831">
        <v>9.52</v>
      </c>
      <c r="I3290" s="846"/>
      <c r="J3290" s="846"/>
      <c r="K3290" s="846"/>
      <c r="L3290" s="846"/>
      <c r="M3290" s="846"/>
      <c r="N3290" s="846"/>
      <c r="O3290" s="846"/>
      <c r="P3290" s="846"/>
      <c r="Q3290" s="846"/>
      <c r="R3290" s="846"/>
      <c r="S3290" s="846"/>
      <c r="T3290" s="846"/>
    </row>
    <row r="3291" spans="2:20" ht="38.25" hidden="1">
      <c r="B3291" s="828" t="s">
        <v>6617</v>
      </c>
      <c r="C3291" s="828">
        <v>98282</v>
      </c>
      <c r="D3291" s="630" t="s">
        <v>3374</v>
      </c>
      <c r="E3291" s="630" t="s">
        <v>648</v>
      </c>
      <c r="F3291" s="829">
        <v>3.44</v>
      </c>
      <c r="G3291" s="830">
        <v>6.3</v>
      </c>
      <c r="H3291" s="831">
        <v>9.74</v>
      </c>
      <c r="I3291" s="846"/>
      <c r="J3291" s="846"/>
      <c r="K3291" s="846"/>
      <c r="L3291" s="846"/>
      <c r="M3291" s="846"/>
      <c r="N3291" s="846"/>
      <c r="O3291" s="846"/>
      <c r="P3291" s="846"/>
      <c r="Q3291" s="846"/>
      <c r="R3291" s="846"/>
      <c r="S3291" s="846"/>
      <c r="T3291" s="846"/>
    </row>
    <row r="3292" spans="2:20" ht="38.25" hidden="1">
      <c r="B3292" s="828" t="s">
        <v>6617</v>
      </c>
      <c r="C3292" s="828">
        <v>98283</v>
      </c>
      <c r="D3292" s="838" t="s">
        <v>3375</v>
      </c>
      <c r="E3292" s="630" t="s">
        <v>648</v>
      </c>
      <c r="F3292" s="829">
        <v>4.26</v>
      </c>
      <c r="G3292" s="830">
        <v>6.4</v>
      </c>
      <c r="H3292" s="831">
        <v>10.66</v>
      </c>
      <c r="I3292" s="846"/>
      <c r="J3292" s="846"/>
      <c r="K3292" s="846"/>
      <c r="L3292" s="846"/>
      <c r="M3292" s="846"/>
      <c r="N3292" s="846"/>
      <c r="O3292" s="846"/>
      <c r="P3292" s="846"/>
      <c r="Q3292" s="846"/>
      <c r="R3292" s="846"/>
      <c r="S3292" s="846"/>
      <c r="T3292" s="846"/>
    </row>
    <row r="3293" spans="2:20" ht="38.25" hidden="1">
      <c r="B3293" s="828" t="s">
        <v>6617</v>
      </c>
      <c r="C3293" s="828">
        <v>98284</v>
      </c>
      <c r="D3293" s="630" t="s">
        <v>3376</v>
      </c>
      <c r="E3293" s="630" t="s">
        <v>648</v>
      </c>
      <c r="F3293" s="829">
        <v>4.8</v>
      </c>
      <c r="G3293" s="830">
        <v>6.47</v>
      </c>
      <c r="H3293" s="831">
        <v>11.27</v>
      </c>
      <c r="I3293" s="846"/>
      <c r="J3293" s="846"/>
      <c r="K3293" s="846"/>
      <c r="L3293" s="846"/>
      <c r="M3293" s="846"/>
      <c r="N3293" s="846"/>
      <c r="O3293" s="846"/>
      <c r="P3293" s="846"/>
      <c r="Q3293" s="846"/>
      <c r="R3293" s="846"/>
      <c r="S3293" s="846"/>
      <c r="T3293" s="846"/>
    </row>
    <row r="3294" spans="2:20" ht="38.25" hidden="1">
      <c r="B3294" s="828" t="s">
        <v>6617</v>
      </c>
      <c r="C3294" s="828">
        <v>98285</v>
      </c>
      <c r="D3294" s="838" t="s">
        <v>3377</v>
      </c>
      <c r="E3294" s="630" t="s">
        <v>648</v>
      </c>
      <c r="F3294" s="829">
        <v>5.61</v>
      </c>
      <c r="G3294" s="830">
        <v>6.5</v>
      </c>
      <c r="H3294" s="831">
        <v>12.11</v>
      </c>
      <c r="I3294" s="846"/>
      <c r="J3294" s="846"/>
      <c r="K3294" s="846"/>
      <c r="L3294" s="846"/>
      <c r="M3294" s="846"/>
      <c r="N3294" s="846"/>
      <c r="O3294" s="846"/>
      <c r="P3294" s="846"/>
      <c r="Q3294" s="846"/>
      <c r="R3294" s="846"/>
      <c r="S3294" s="846"/>
      <c r="T3294" s="846"/>
    </row>
    <row r="3295" spans="2:20" ht="25.5" hidden="1">
      <c r="B3295" s="828" t="s">
        <v>6617</v>
      </c>
      <c r="C3295" s="828">
        <v>98286</v>
      </c>
      <c r="D3295" s="630" t="s">
        <v>3378</v>
      </c>
      <c r="E3295" s="630" t="s">
        <v>648</v>
      </c>
      <c r="F3295" s="829">
        <v>8.99</v>
      </c>
      <c r="G3295" s="843">
        <v>7.37</v>
      </c>
      <c r="H3295" s="832">
        <v>16.36</v>
      </c>
      <c r="I3295" s="846"/>
      <c r="J3295" s="846"/>
      <c r="K3295" s="846"/>
      <c r="L3295" s="846"/>
      <c r="M3295" s="846"/>
      <c r="N3295" s="846"/>
      <c r="O3295" s="846"/>
      <c r="P3295" s="846"/>
      <c r="Q3295" s="846"/>
      <c r="R3295" s="846"/>
      <c r="S3295" s="846"/>
      <c r="T3295" s="846"/>
    </row>
    <row r="3296" spans="2:20" ht="38.25" hidden="1">
      <c r="B3296" s="828" t="s">
        <v>6617</v>
      </c>
      <c r="C3296" s="828">
        <v>98287</v>
      </c>
      <c r="D3296" s="630" t="s">
        <v>3379</v>
      </c>
      <c r="E3296" s="630" t="s">
        <v>648</v>
      </c>
      <c r="F3296" s="829">
        <v>0.94</v>
      </c>
      <c r="G3296" s="830">
        <v>0.65</v>
      </c>
      <c r="H3296" s="831">
        <v>1.59</v>
      </c>
      <c r="I3296" s="846"/>
      <c r="J3296" s="846"/>
      <c r="K3296" s="846"/>
      <c r="L3296" s="846"/>
      <c r="M3296" s="846"/>
      <c r="N3296" s="846"/>
      <c r="O3296" s="846"/>
      <c r="P3296" s="846"/>
      <c r="Q3296" s="846"/>
      <c r="R3296" s="846"/>
      <c r="S3296" s="846"/>
      <c r="T3296" s="846"/>
    </row>
    <row r="3297" spans="2:20" ht="38.25" hidden="1">
      <c r="B3297" s="828" t="s">
        <v>6617</v>
      </c>
      <c r="C3297" s="828">
        <v>98288</v>
      </c>
      <c r="D3297" s="630" t="s">
        <v>3380</v>
      </c>
      <c r="E3297" s="630" t="s">
        <v>648</v>
      </c>
      <c r="F3297" s="829">
        <v>1.71</v>
      </c>
      <c r="G3297" s="830">
        <v>0.76</v>
      </c>
      <c r="H3297" s="832">
        <v>2.4700000000000002</v>
      </c>
      <c r="I3297" s="846"/>
      <c r="J3297" s="846"/>
      <c r="K3297" s="846"/>
      <c r="L3297" s="846"/>
      <c r="M3297" s="846"/>
      <c r="N3297" s="846"/>
      <c r="O3297" s="846"/>
      <c r="P3297" s="846"/>
      <c r="Q3297" s="846"/>
      <c r="R3297" s="846"/>
      <c r="S3297" s="846"/>
      <c r="T3297" s="846"/>
    </row>
    <row r="3298" spans="2:20" ht="38.25" hidden="1">
      <c r="B3298" s="828" t="s">
        <v>6617</v>
      </c>
      <c r="C3298" s="828">
        <v>98289</v>
      </c>
      <c r="D3298" s="630" t="s">
        <v>3381</v>
      </c>
      <c r="E3298" s="630" t="s">
        <v>648</v>
      </c>
      <c r="F3298" s="829">
        <v>1.82</v>
      </c>
      <c r="G3298" s="830">
        <v>0.87</v>
      </c>
      <c r="H3298" s="831">
        <v>2.69</v>
      </c>
      <c r="I3298" s="846"/>
      <c r="J3298" s="846"/>
      <c r="K3298" s="846"/>
      <c r="L3298" s="846"/>
      <c r="M3298" s="846"/>
      <c r="N3298" s="846"/>
      <c r="O3298" s="846"/>
      <c r="P3298" s="846"/>
      <c r="Q3298" s="846"/>
      <c r="R3298" s="846"/>
      <c r="S3298" s="846"/>
      <c r="T3298" s="846"/>
    </row>
    <row r="3299" spans="2:20" ht="38.25" hidden="1">
      <c r="B3299" s="828" t="s">
        <v>6617</v>
      </c>
      <c r="C3299" s="828">
        <v>98290</v>
      </c>
      <c r="D3299" s="630" t="s">
        <v>3382</v>
      </c>
      <c r="E3299" s="630" t="s">
        <v>648</v>
      </c>
      <c r="F3299" s="829">
        <v>2.67</v>
      </c>
      <c r="G3299" s="830">
        <v>0.95</v>
      </c>
      <c r="H3299" s="831">
        <v>3.62</v>
      </c>
      <c r="I3299" s="846"/>
      <c r="J3299" s="846"/>
      <c r="K3299" s="846"/>
      <c r="L3299" s="846"/>
      <c r="M3299" s="846"/>
      <c r="N3299" s="846"/>
      <c r="O3299" s="846"/>
      <c r="P3299" s="846"/>
      <c r="Q3299" s="846"/>
      <c r="R3299" s="846"/>
      <c r="S3299" s="846"/>
      <c r="T3299" s="846"/>
    </row>
    <row r="3300" spans="2:20" ht="38.25" hidden="1">
      <c r="B3300" s="828" t="s">
        <v>6617</v>
      </c>
      <c r="C3300" s="828">
        <v>98291</v>
      </c>
      <c r="D3300" s="630" t="s">
        <v>3383</v>
      </c>
      <c r="E3300" s="630" t="s">
        <v>648</v>
      </c>
      <c r="F3300" s="829">
        <v>3.19</v>
      </c>
      <c r="G3300" s="830">
        <v>1.03</v>
      </c>
      <c r="H3300" s="831">
        <v>4.22</v>
      </c>
      <c r="I3300" s="846"/>
      <c r="J3300" s="846"/>
      <c r="K3300" s="846"/>
      <c r="L3300" s="846"/>
      <c r="M3300" s="846"/>
      <c r="N3300" s="846"/>
      <c r="O3300" s="846"/>
      <c r="P3300" s="846"/>
      <c r="Q3300" s="846"/>
      <c r="R3300" s="846"/>
      <c r="S3300" s="846"/>
      <c r="T3300" s="846"/>
    </row>
    <row r="3301" spans="2:20" ht="38.25" hidden="1">
      <c r="B3301" s="828" t="s">
        <v>6617</v>
      </c>
      <c r="C3301" s="828">
        <v>98292</v>
      </c>
      <c r="D3301" s="630" t="s">
        <v>3384</v>
      </c>
      <c r="E3301" s="630" t="s">
        <v>648</v>
      </c>
      <c r="F3301" s="829">
        <v>4</v>
      </c>
      <c r="G3301" s="830">
        <v>1.06</v>
      </c>
      <c r="H3301" s="831">
        <v>5.0599999999999996</v>
      </c>
      <c r="I3301" s="846"/>
      <c r="J3301" s="846"/>
      <c r="K3301" s="846"/>
      <c r="L3301" s="846"/>
      <c r="M3301" s="846"/>
      <c r="N3301" s="846"/>
      <c r="O3301" s="846"/>
      <c r="P3301" s="846"/>
      <c r="Q3301" s="846"/>
      <c r="R3301" s="846"/>
      <c r="S3301" s="846"/>
      <c r="T3301" s="846"/>
    </row>
    <row r="3302" spans="2:20" ht="25.5" hidden="1">
      <c r="B3302" s="828" t="s">
        <v>6617</v>
      </c>
      <c r="C3302" s="828">
        <v>98293</v>
      </c>
      <c r="D3302" s="630" t="s">
        <v>3385</v>
      </c>
      <c r="E3302" s="630" t="s">
        <v>648</v>
      </c>
      <c r="F3302" s="829">
        <v>7.34</v>
      </c>
      <c r="G3302" s="830">
        <v>1.97</v>
      </c>
      <c r="H3302" s="831">
        <v>9.31</v>
      </c>
      <c r="I3302" s="846"/>
      <c r="J3302" s="846"/>
      <c r="K3302" s="846"/>
      <c r="L3302" s="846"/>
      <c r="M3302" s="846"/>
      <c r="N3302" s="846"/>
      <c r="O3302" s="846"/>
      <c r="P3302" s="846"/>
      <c r="Q3302" s="846"/>
      <c r="R3302" s="846"/>
      <c r="S3302" s="846"/>
      <c r="T3302" s="846"/>
    </row>
    <row r="3303" spans="2:20" ht="25.5" hidden="1">
      <c r="B3303" s="828" t="s">
        <v>6617</v>
      </c>
      <c r="C3303" s="828">
        <v>98400</v>
      </c>
      <c r="D3303" s="630" t="s">
        <v>3386</v>
      </c>
      <c r="E3303" s="630" t="s">
        <v>648</v>
      </c>
      <c r="F3303" s="829">
        <v>10.42</v>
      </c>
      <c r="G3303" s="830">
        <v>4</v>
      </c>
      <c r="H3303" s="831">
        <v>14.42</v>
      </c>
      <c r="I3303" s="846"/>
      <c r="J3303" s="846"/>
      <c r="K3303" s="846"/>
      <c r="L3303" s="846"/>
      <c r="M3303" s="846"/>
      <c r="N3303" s="846"/>
      <c r="O3303" s="846"/>
      <c r="P3303" s="846"/>
      <c r="Q3303" s="846"/>
      <c r="R3303" s="846"/>
      <c r="S3303" s="846"/>
      <c r="T3303" s="846"/>
    </row>
    <row r="3304" spans="2:20" ht="25.5" hidden="1">
      <c r="B3304" s="828" t="s">
        <v>6617</v>
      </c>
      <c r="C3304" s="828">
        <v>98401</v>
      </c>
      <c r="D3304" s="630" t="s">
        <v>3387</v>
      </c>
      <c r="E3304" s="630" t="s">
        <v>648</v>
      </c>
      <c r="F3304" s="829">
        <v>17.63</v>
      </c>
      <c r="G3304" s="830">
        <v>4.5199999999999996</v>
      </c>
      <c r="H3304" s="831">
        <v>22.15</v>
      </c>
      <c r="I3304" s="846"/>
      <c r="J3304" s="846"/>
      <c r="K3304" s="846"/>
      <c r="L3304" s="846"/>
      <c r="M3304" s="846"/>
      <c r="N3304" s="846"/>
      <c r="O3304" s="846"/>
      <c r="P3304" s="846"/>
      <c r="Q3304" s="846"/>
      <c r="R3304" s="846"/>
      <c r="S3304" s="846"/>
      <c r="T3304" s="846"/>
    </row>
    <row r="3305" spans="2:20" ht="25.5" hidden="1">
      <c r="B3305" s="828" t="s">
        <v>6617</v>
      </c>
      <c r="C3305" s="828">
        <v>98402</v>
      </c>
      <c r="D3305" s="630" t="s">
        <v>3388</v>
      </c>
      <c r="E3305" s="630" t="s">
        <v>648</v>
      </c>
      <c r="F3305" s="829">
        <v>20.77</v>
      </c>
      <c r="G3305" s="830">
        <v>4.97</v>
      </c>
      <c r="H3305" s="832">
        <v>25.74</v>
      </c>
      <c r="I3305" s="846"/>
      <c r="J3305" s="846"/>
      <c r="K3305" s="846"/>
      <c r="L3305" s="846"/>
      <c r="M3305" s="846"/>
      <c r="N3305" s="846"/>
      <c r="O3305" s="846"/>
      <c r="P3305" s="846"/>
      <c r="Q3305" s="846"/>
      <c r="R3305" s="846"/>
      <c r="S3305" s="846"/>
      <c r="T3305" s="846"/>
    </row>
    <row r="3306" spans="2:20" ht="25.5" hidden="1">
      <c r="B3306" s="828" t="s">
        <v>6617</v>
      </c>
      <c r="C3306" s="828">
        <v>100556</v>
      </c>
      <c r="D3306" s="630" t="s">
        <v>3389</v>
      </c>
      <c r="E3306" s="630" t="s">
        <v>646</v>
      </c>
      <c r="F3306" s="829">
        <v>33.36</v>
      </c>
      <c r="G3306" s="830">
        <v>15.05</v>
      </c>
      <c r="H3306" s="831">
        <v>48.41</v>
      </c>
      <c r="I3306" s="846"/>
      <c r="J3306" s="846"/>
      <c r="K3306" s="846"/>
      <c r="L3306" s="846"/>
      <c r="M3306" s="846"/>
      <c r="N3306" s="846"/>
      <c r="O3306" s="846"/>
      <c r="P3306" s="846"/>
      <c r="Q3306" s="846"/>
      <c r="R3306" s="846"/>
      <c r="S3306" s="846"/>
      <c r="T3306" s="846"/>
    </row>
    <row r="3307" spans="2:20" ht="25.5" hidden="1">
      <c r="B3307" s="828" t="s">
        <v>6617</v>
      </c>
      <c r="C3307" s="828">
        <v>100557</v>
      </c>
      <c r="D3307" s="630" t="s">
        <v>3390</v>
      </c>
      <c r="E3307" s="630" t="s">
        <v>646</v>
      </c>
      <c r="F3307" s="829">
        <v>551.05999999999995</v>
      </c>
      <c r="G3307" s="830">
        <v>44.99</v>
      </c>
      <c r="H3307" s="831">
        <v>596.04999999999995</v>
      </c>
      <c r="I3307" s="846"/>
      <c r="J3307" s="846"/>
      <c r="K3307" s="846"/>
      <c r="L3307" s="846"/>
      <c r="M3307" s="846"/>
      <c r="N3307" s="846"/>
      <c r="O3307" s="846"/>
      <c r="P3307" s="846"/>
      <c r="Q3307" s="846"/>
      <c r="R3307" s="846"/>
      <c r="S3307" s="846"/>
      <c r="T3307" s="846"/>
    </row>
    <row r="3308" spans="2:20" ht="38.25" hidden="1">
      <c r="B3308" s="828" t="s">
        <v>6617</v>
      </c>
      <c r="C3308" s="828">
        <v>100560</v>
      </c>
      <c r="D3308" s="630" t="s">
        <v>3391</v>
      </c>
      <c r="E3308" s="630" t="s">
        <v>646</v>
      </c>
      <c r="F3308" s="829">
        <v>91.69</v>
      </c>
      <c r="G3308" s="830">
        <v>39.130000000000003</v>
      </c>
      <c r="H3308" s="831">
        <v>130.82</v>
      </c>
      <c r="I3308" s="846"/>
      <c r="J3308" s="846"/>
      <c r="K3308" s="846"/>
      <c r="L3308" s="846"/>
      <c r="M3308" s="846"/>
      <c r="N3308" s="846"/>
      <c r="O3308" s="846"/>
      <c r="P3308" s="846"/>
      <c r="Q3308" s="846"/>
      <c r="R3308" s="846"/>
      <c r="S3308" s="846"/>
      <c r="T3308" s="846"/>
    </row>
    <row r="3309" spans="2:20" ht="38.25" hidden="1">
      <c r="B3309" s="828" t="s">
        <v>6617</v>
      </c>
      <c r="C3309" s="828">
        <v>100561</v>
      </c>
      <c r="D3309" s="630" t="s">
        <v>3392</v>
      </c>
      <c r="E3309" s="630" t="s">
        <v>646</v>
      </c>
      <c r="F3309" s="829">
        <v>191.87</v>
      </c>
      <c r="G3309" s="830">
        <v>44.7</v>
      </c>
      <c r="H3309" s="832">
        <v>236.57</v>
      </c>
      <c r="I3309" s="846"/>
      <c r="J3309" s="846"/>
      <c r="K3309" s="846"/>
      <c r="L3309" s="846"/>
      <c r="M3309" s="846"/>
      <c r="N3309" s="846"/>
      <c r="O3309" s="846"/>
      <c r="P3309" s="846"/>
      <c r="Q3309" s="846"/>
      <c r="R3309" s="846"/>
      <c r="S3309" s="846"/>
      <c r="T3309" s="846"/>
    </row>
    <row r="3310" spans="2:20" ht="38.25" hidden="1">
      <c r="B3310" s="828" t="s">
        <v>6617</v>
      </c>
      <c r="C3310" s="828">
        <v>100562</v>
      </c>
      <c r="D3310" s="630" t="s">
        <v>3393</v>
      </c>
      <c r="E3310" s="630" t="s">
        <v>646</v>
      </c>
      <c r="F3310" s="829">
        <v>313.02999999999997</v>
      </c>
      <c r="G3310" s="830">
        <v>51</v>
      </c>
      <c r="H3310" s="831">
        <v>364.03</v>
      </c>
      <c r="I3310" s="846"/>
      <c r="J3310" s="846"/>
      <c r="K3310" s="846"/>
      <c r="L3310" s="846"/>
      <c r="M3310" s="846"/>
      <c r="N3310" s="846"/>
      <c r="O3310" s="846"/>
      <c r="P3310" s="846"/>
      <c r="Q3310" s="846"/>
      <c r="R3310" s="846"/>
      <c r="S3310" s="846"/>
      <c r="T3310" s="846"/>
    </row>
    <row r="3311" spans="2:20" ht="38.25" hidden="1">
      <c r="B3311" s="828" t="s">
        <v>6617</v>
      </c>
      <c r="C3311" s="828">
        <v>100563</v>
      </c>
      <c r="D3311" s="630" t="s">
        <v>3394</v>
      </c>
      <c r="E3311" s="630" t="s">
        <v>646</v>
      </c>
      <c r="F3311" s="829">
        <v>464.6</v>
      </c>
      <c r="G3311" s="830">
        <v>58.12</v>
      </c>
      <c r="H3311" s="831">
        <v>522.72</v>
      </c>
      <c r="I3311" s="846"/>
      <c r="J3311" s="846"/>
      <c r="K3311" s="846"/>
      <c r="L3311" s="846"/>
      <c r="M3311" s="846"/>
      <c r="N3311" s="846"/>
      <c r="O3311" s="846"/>
      <c r="P3311" s="846"/>
      <c r="Q3311" s="846"/>
      <c r="R3311" s="846"/>
      <c r="S3311" s="846"/>
      <c r="T3311" s="846"/>
    </row>
    <row r="3312" spans="2:20" ht="38.25" hidden="1">
      <c r="B3312" s="828" t="s">
        <v>6617</v>
      </c>
      <c r="C3312" s="828">
        <v>101795</v>
      </c>
      <c r="D3312" s="630" t="s">
        <v>5844</v>
      </c>
      <c r="E3312" s="630" t="s">
        <v>646</v>
      </c>
      <c r="F3312" s="829">
        <v>330.68</v>
      </c>
      <c r="G3312" s="830">
        <v>232.67</v>
      </c>
      <c r="H3312" s="831">
        <v>563.35</v>
      </c>
      <c r="I3312" s="846"/>
      <c r="J3312" s="846"/>
      <c r="K3312" s="846"/>
      <c r="L3312" s="846"/>
      <c r="M3312" s="846"/>
      <c r="N3312" s="846"/>
      <c r="O3312" s="846"/>
      <c r="P3312" s="846"/>
      <c r="Q3312" s="846"/>
      <c r="R3312" s="846"/>
      <c r="S3312" s="846"/>
      <c r="T3312" s="846"/>
    </row>
    <row r="3313" spans="2:20" ht="25.5" hidden="1">
      <c r="B3313" s="828" t="s">
        <v>6617</v>
      </c>
      <c r="C3313" s="828">
        <v>101798</v>
      </c>
      <c r="D3313" s="630" t="s">
        <v>5845</v>
      </c>
      <c r="E3313" s="630" t="s">
        <v>646</v>
      </c>
      <c r="F3313" s="829">
        <v>359.32</v>
      </c>
      <c r="G3313" s="830">
        <v>38.44</v>
      </c>
      <c r="H3313" s="831">
        <v>397.76</v>
      </c>
      <c r="I3313" s="846"/>
      <c r="J3313" s="846"/>
      <c r="K3313" s="846"/>
      <c r="L3313" s="846"/>
      <c r="M3313" s="846"/>
      <c r="N3313" s="846"/>
      <c r="O3313" s="846"/>
      <c r="P3313" s="846"/>
      <c r="Q3313" s="846"/>
      <c r="R3313" s="846"/>
      <c r="S3313" s="846"/>
      <c r="T3313" s="846"/>
    </row>
    <row r="3314" spans="2:20" ht="25.5" hidden="1">
      <c r="B3314" s="828" t="s">
        <v>6617</v>
      </c>
      <c r="C3314" s="828">
        <v>101799</v>
      </c>
      <c r="D3314" s="630" t="s">
        <v>5846</v>
      </c>
      <c r="E3314" s="630" t="s">
        <v>646</v>
      </c>
      <c r="F3314" s="829">
        <v>899.44</v>
      </c>
      <c r="G3314" s="830">
        <v>63.42</v>
      </c>
      <c r="H3314" s="831">
        <v>962.86</v>
      </c>
      <c r="I3314" s="846"/>
      <c r="J3314" s="846"/>
      <c r="K3314" s="846"/>
      <c r="L3314" s="846"/>
      <c r="M3314" s="846"/>
      <c r="N3314" s="846"/>
      <c r="O3314" s="846"/>
      <c r="P3314" s="846"/>
      <c r="Q3314" s="846"/>
      <c r="R3314" s="846"/>
      <c r="S3314" s="846"/>
      <c r="T3314" s="846"/>
    </row>
    <row r="3315" spans="2:20" hidden="1">
      <c r="B3315" s="828" t="s">
        <v>6619</v>
      </c>
      <c r="C3315" s="828">
        <v>98397</v>
      </c>
      <c r="D3315" s="630" t="s">
        <v>2874</v>
      </c>
      <c r="E3315" s="630" t="s">
        <v>649</v>
      </c>
      <c r="F3315" s="829">
        <v>7.25</v>
      </c>
      <c r="G3315" s="830">
        <v>6</v>
      </c>
      <c r="H3315" s="831">
        <v>13.25</v>
      </c>
      <c r="I3315" s="846"/>
      <c r="J3315" s="846"/>
      <c r="K3315" s="846"/>
      <c r="L3315" s="846"/>
      <c r="M3315" s="846"/>
      <c r="N3315" s="846"/>
      <c r="O3315" s="846"/>
      <c r="P3315" s="846"/>
      <c r="Q3315" s="846"/>
      <c r="R3315" s="846"/>
      <c r="S3315" s="846"/>
      <c r="T3315" s="846"/>
    </row>
    <row r="3316" spans="2:20" ht="25.5" hidden="1">
      <c r="B3316" s="828" t="s">
        <v>6619</v>
      </c>
      <c r="C3316" s="828">
        <v>103244</v>
      </c>
      <c r="D3316" s="630" t="s">
        <v>6718</v>
      </c>
      <c r="E3316" s="630" t="s">
        <v>646</v>
      </c>
      <c r="F3316" s="829">
        <v>2045.6599999999999</v>
      </c>
      <c r="G3316" s="830">
        <v>106.52</v>
      </c>
      <c r="H3316" s="831">
        <v>2152.1799999999998</v>
      </c>
      <c r="I3316" s="846"/>
      <c r="J3316" s="846"/>
      <c r="K3316" s="846"/>
      <c r="L3316" s="846"/>
      <c r="M3316" s="846"/>
      <c r="N3316" s="846"/>
      <c r="O3316" s="846"/>
      <c r="P3316" s="846"/>
      <c r="Q3316" s="846"/>
      <c r="R3316" s="846"/>
      <c r="S3316" s="846"/>
      <c r="T3316" s="846"/>
    </row>
    <row r="3317" spans="2:20" ht="25.5" hidden="1">
      <c r="B3317" s="828" t="s">
        <v>6619</v>
      </c>
      <c r="C3317" s="828">
        <v>103245</v>
      </c>
      <c r="D3317" s="630" t="s">
        <v>6719</v>
      </c>
      <c r="E3317" s="630" t="s">
        <v>646</v>
      </c>
      <c r="F3317" s="829">
        <v>1600.29</v>
      </c>
      <c r="G3317" s="830">
        <v>106.52</v>
      </c>
      <c r="H3317" s="831">
        <v>1706.81</v>
      </c>
      <c r="I3317" s="846"/>
      <c r="J3317" s="846"/>
      <c r="K3317" s="846"/>
      <c r="L3317" s="846"/>
      <c r="M3317" s="846"/>
      <c r="N3317" s="846"/>
      <c r="O3317" s="846"/>
      <c r="P3317" s="846"/>
      <c r="Q3317" s="846"/>
      <c r="R3317" s="846"/>
      <c r="S3317" s="846"/>
      <c r="T3317" s="846"/>
    </row>
    <row r="3318" spans="2:20" ht="25.5" hidden="1">
      <c r="B3318" s="828" t="s">
        <v>6619</v>
      </c>
      <c r="C3318" s="828">
        <v>103246</v>
      </c>
      <c r="D3318" s="630" t="s">
        <v>6720</v>
      </c>
      <c r="E3318" s="630" t="s">
        <v>646</v>
      </c>
      <c r="F3318" s="829">
        <v>1750.9099999999999</v>
      </c>
      <c r="G3318" s="830">
        <v>106.52</v>
      </c>
      <c r="H3318" s="831">
        <v>1857.43</v>
      </c>
      <c r="I3318" s="846"/>
      <c r="J3318" s="846"/>
      <c r="K3318" s="846"/>
      <c r="L3318" s="846"/>
      <c r="M3318" s="846"/>
      <c r="N3318" s="846"/>
      <c r="O3318" s="846"/>
      <c r="P3318" s="846"/>
      <c r="Q3318" s="846"/>
      <c r="R3318" s="846"/>
      <c r="S3318" s="846"/>
      <c r="T3318" s="846"/>
    </row>
    <row r="3319" spans="2:20" ht="25.5" hidden="1">
      <c r="B3319" s="828" t="s">
        <v>6619</v>
      </c>
      <c r="C3319" s="828">
        <v>103247</v>
      </c>
      <c r="D3319" s="630" t="s">
        <v>6721</v>
      </c>
      <c r="E3319" s="630" t="s">
        <v>646</v>
      </c>
      <c r="F3319" s="829">
        <v>2277.2999999999997</v>
      </c>
      <c r="G3319" s="830">
        <v>106.52</v>
      </c>
      <c r="H3319" s="831">
        <v>2383.8200000000002</v>
      </c>
      <c r="I3319" s="846"/>
      <c r="J3319" s="846"/>
      <c r="K3319" s="846"/>
      <c r="L3319" s="846"/>
      <c r="M3319" s="846"/>
      <c r="N3319" s="846"/>
      <c r="O3319" s="846"/>
      <c r="P3319" s="846"/>
      <c r="Q3319" s="846"/>
      <c r="R3319" s="846"/>
      <c r="S3319" s="846"/>
      <c r="T3319" s="846"/>
    </row>
    <row r="3320" spans="2:20" ht="25.5" hidden="1">
      <c r="B3320" s="828" t="s">
        <v>6619</v>
      </c>
      <c r="C3320" s="828">
        <v>103248</v>
      </c>
      <c r="D3320" s="630" t="s">
        <v>6722</v>
      </c>
      <c r="E3320" s="630" t="s">
        <v>646</v>
      </c>
      <c r="F3320" s="829">
        <v>1849.53</v>
      </c>
      <c r="G3320" s="830">
        <v>106.52</v>
      </c>
      <c r="H3320" s="831">
        <v>1956.05</v>
      </c>
      <c r="I3320" s="846"/>
      <c r="J3320" s="846"/>
      <c r="K3320" s="846"/>
      <c r="L3320" s="846"/>
      <c r="M3320" s="846"/>
      <c r="N3320" s="846"/>
      <c r="O3320" s="846"/>
      <c r="P3320" s="846"/>
      <c r="Q3320" s="846"/>
      <c r="R3320" s="846"/>
      <c r="S3320" s="846"/>
      <c r="T3320" s="846"/>
    </row>
    <row r="3321" spans="2:20" ht="25.5" hidden="1">
      <c r="B3321" s="828" t="s">
        <v>6619</v>
      </c>
      <c r="C3321" s="828">
        <v>103249</v>
      </c>
      <c r="D3321" s="630" t="s">
        <v>6723</v>
      </c>
      <c r="E3321" s="630" t="s">
        <v>646</v>
      </c>
      <c r="F3321" s="829">
        <v>1991.6699999999998</v>
      </c>
      <c r="G3321" s="830">
        <v>106.52</v>
      </c>
      <c r="H3321" s="831">
        <v>2098.19</v>
      </c>
      <c r="I3321" s="846"/>
      <c r="J3321" s="846"/>
      <c r="K3321" s="846"/>
      <c r="L3321" s="846"/>
      <c r="M3321" s="846"/>
      <c r="N3321" s="846"/>
      <c r="O3321" s="846"/>
      <c r="P3321" s="846"/>
      <c r="Q3321" s="846"/>
      <c r="R3321" s="846"/>
      <c r="S3321" s="846"/>
      <c r="T3321" s="846"/>
    </row>
    <row r="3322" spans="2:20" ht="25.5" hidden="1">
      <c r="B3322" s="828" t="s">
        <v>6619</v>
      </c>
      <c r="C3322" s="828">
        <v>103250</v>
      </c>
      <c r="D3322" s="630" t="s">
        <v>6724</v>
      </c>
      <c r="E3322" s="630" t="s">
        <v>646</v>
      </c>
      <c r="F3322" s="829">
        <v>3329.6400000000003</v>
      </c>
      <c r="G3322" s="830">
        <v>115.18</v>
      </c>
      <c r="H3322" s="831">
        <v>3444.82</v>
      </c>
      <c r="I3322" s="846"/>
      <c r="J3322" s="846"/>
      <c r="K3322" s="846"/>
      <c r="L3322" s="846"/>
      <c r="M3322" s="846"/>
      <c r="N3322" s="846"/>
      <c r="O3322" s="846"/>
      <c r="P3322" s="846"/>
      <c r="Q3322" s="846"/>
      <c r="R3322" s="846"/>
      <c r="S3322" s="846"/>
      <c r="T3322" s="846"/>
    </row>
    <row r="3323" spans="2:20" ht="25.5" hidden="1">
      <c r="B3323" s="828" t="s">
        <v>6619</v>
      </c>
      <c r="C3323" s="828">
        <v>103251</v>
      </c>
      <c r="D3323" s="630" t="s">
        <v>6725</v>
      </c>
      <c r="E3323" s="630" t="s">
        <v>646</v>
      </c>
      <c r="F3323" s="829">
        <v>2615.1800000000003</v>
      </c>
      <c r="G3323" s="830">
        <v>115.18</v>
      </c>
      <c r="H3323" s="831">
        <v>2730.36</v>
      </c>
      <c r="I3323" s="846"/>
      <c r="J3323" s="846"/>
      <c r="K3323" s="846"/>
      <c r="L3323" s="846"/>
      <c r="M3323" s="846"/>
      <c r="N3323" s="846"/>
      <c r="O3323" s="846"/>
      <c r="P3323" s="846"/>
      <c r="Q3323" s="846"/>
      <c r="R3323" s="846"/>
      <c r="S3323" s="846"/>
      <c r="T3323" s="846"/>
    </row>
    <row r="3324" spans="2:20" ht="25.5" hidden="1">
      <c r="B3324" s="828" t="s">
        <v>6619</v>
      </c>
      <c r="C3324" s="828">
        <v>103252</v>
      </c>
      <c r="D3324" s="630" t="s">
        <v>6726</v>
      </c>
      <c r="E3324" s="630" t="s">
        <v>646</v>
      </c>
      <c r="F3324" s="829">
        <v>2903.3</v>
      </c>
      <c r="G3324" s="830">
        <v>115.18</v>
      </c>
      <c r="H3324" s="831">
        <v>3018.48</v>
      </c>
      <c r="I3324" s="846"/>
      <c r="J3324" s="846"/>
      <c r="K3324" s="846"/>
      <c r="L3324" s="846"/>
      <c r="M3324" s="846"/>
      <c r="N3324" s="846"/>
      <c r="O3324" s="846"/>
      <c r="P3324" s="846"/>
      <c r="Q3324" s="846"/>
      <c r="R3324" s="846"/>
      <c r="S3324" s="846"/>
      <c r="T3324" s="846"/>
    </row>
    <row r="3325" spans="2:20" ht="25.5" hidden="1">
      <c r="B3325" s="828" t="s">
        <v>6619</v>
      </c>
      <c r="C3325" s="828">
        <v>103253</v>
      </c>
      <c r="D3325" s="630" t="s">
        <v>6727</v>
      </c>
      <c r="E3325" s="630" t="s">
        <v>646</v>
      </c>
      <c r="F3325" s="829">
        <v>4560.1099999999997</v>
      </c>
      <c r="G3325" s="830">
        <v>120.22</v>
      </c>
      <c r="H3325" s="831">
        <v>4680.33</v>
      </c>
      <c r="I3325" s="846"/>
      <c r="J3325" s="846"/>
      <c r="K3325" s="846"/>
      <c r="L3325" s="846"/>
      <c r="M3325" s="846"/>
      <c r="N3325" s="846"/>
      <c r="O3325" s="846"/>
      <c r="P3325" s="846"/>
      <c r="Q3325" s="846"/>
      <c r="R3325" s="846"/>
      <c r="S3325" s="846"/>
      <c r="T3325" s="846"/>
    </row>
    <row r="3326" spans="2:20" ht="25.5" hidden="1">
      <c r="B3326" s="828" t="s">
        <v>6619</v>
      </c>
      <c r="C3326" s="828">
        <v>103254</v>
      </c>
      <c r="D3326" s="630" t="s">
        <v>6728</v>
      </c>
      <c r="E3326" s="630" t="s">
        <v>646</v>
      </c>
      <c r="F3326" s="829">
        <v>3392.05</v>
      </c>
      <c r="G3326" s="830">
        <v>120.22</v>
      </c>
      <c r="H3326" s="831">
        <v>3512.27</v>
      </c>
      <c r="I3326" s="846"/>
      <c r="J3326" s="846"/>
      <c r="K3326" s="846"/>
      <c r="L3326" s="846"/>
      <c r="M3326" s="846"/>
      <c r="N3326" s="846"/>
      <c r="O3326" s="846"/>
      <c r="P3326" s="846"/>
      <c r="Q3326" s="846"/>
      <c r="R3326" s="846"/>
      <c r="S3326" s="846"/>
      <c r="T3326" s="846"/>
    </row>
    <row r="3327" spans="2:20" ht="25.5" hidden="1">
      <c r="B3327" s="828" t="s">
        <v>6619</v>
      </c>
      <c r="C3327" s="828">
        <v>103255</v>
      </c>
      <c r="D3327" s="630" t="s">
        <v>6729</v>
      </c>
      <c r="E3327" s="630" t="s">
        <v>646</v>
      </c>
      <c r="F3327" s="829">
        <v>3804.17</v>
      </c>
      <c r="G3327" s="830">
        <v>120.22</v>
      </c>
      <c r="H3327" s="831">
        <v>3924.39</v>
      </c>
      <c r="I3327" s="846"/>
      <c r="J3327" s="846"/>
      <c r="K3327" s="846"/>
      <c r="L3327" s="846"/>
      <c r="M3327" s="846"/>
      <c r="N3327" s="846"/>
      <c r="O3327" s="846"/>
      <c r="P3327" s="846"/>
      <c r="Q3327" s="846"/>
      <c r="R3327" s="846"/>
      <c r="S3327" s="846"/>
      <c r="T3327" s="846"/>
    </row>
    <row r="3328" spans="2:20" ht="25.5" hidden="1">
      <c r="B3328" s="828" t="s">
        <v>6619</v>
      </c>
      <c r="C3328" s="828">
        <v>103256</v>
      </c>
      <c r="D3328" s="630" t="s">
        <v>6730</v>
      </c>
      <c r="E3328" s="630" t="s">
        <v>646</v>
      </c>
      <c r="F3328" s="829">
        <v>8485.74</v>
      </c>
      <c r="G3328" s="830">
        <v>176.68</v>
      </c>
      <c r="H3328" s="831">
        <v>8662.42</v>
      </c>
      <c r="I3328" s="846"/>
      <c r="J3328" s="846"/>
      <c r="K3328" s="846"/>
      <c r="L3328" s="846"/>
      <c r="M3328" s="846"/>
      <c r="N3328" s="846"/>
      <c r="O3328" s="846"/>
      <c r="P3328" s="846"/>
      <c r="Q3328" s="846"/>
      <c r="R3328" s="846"/>
      <c r="S3328" s="846"/>
      <c r="T3328" s="846"/>
    </row>
    <row r="3329" spans="2:20" ht="25.5" hidden="1">
      <c r="B3329" s="828" t="s">
        <v>6619</v>
      </c>
      <c r="C3329" s="828">
        <v>103257</v>
      </c>
      <c r="D3329" s="630" t="s">
        <v>6731</v>
      </c>
      <c r="E3329" s="630" t="s">
        <v>646</v>
      </c>
      <c r="F3329" s="829">
        <v>4798.83</v>
      </c>
      <c r="G3329" s="830">
        <v>176.68</v>
      </c>
      <c r="H3329" s="831">
        <v>4975.51</v>
      </c>
      <c r="I3329" s="846"/>
      <c r="J3329" s="846"/>
      <c r="K3329" s="846"/>
      <c r="L3329" s="846"/>
      <c r="M3329" s="846"/>
      <c r="N3329" s="846"/>
      <c r="O3329" s="846"/>
      <c r="P3329" s="846"/>
      <c r="Q3329" s="846"/>
      <c r="R3329" s="846"/>
      <c r="S3329" s="846"/>
      <c r="T3329" s="846"/>
    </row>
    <row r="3330" spans="2:20" ht="25.5" hidden="1">
      <c r="B3330" s="828" t="s">
        <v>6619</v>
      </c>
      <c r="C3330" s="828">
        <v>103258</v>
      </c>
      <c r="D3330" s="630" t="s">
        <v>6732</v>
      </c>
      <c r="E3330" s="630" t="s">
        <v>646</v>
      </c>
      <c r="F3330" s="829">
        <v>9497.11</v>
      </c>
      <c r="G3330" s="830">
        <v>181.38</v>
      </c>
      <c r="H3330" s="831">
        <v>9678.49</v>
      </c>
      <c r="I3330" s="846"/>
      <c r="J3330" s="846"/>
      <c r="K3330" s="846"/>
      <c r="L3330" s="846"/>
      <c r="M3330" s="846"/>
      <c r="N3330" s="846"/>
      <c r="O3330" s="846"/>
      <c r="P3330" s="846"/>
      <c r="Q3330" s="846"/>
      <c r="R3330" s="846"/>
      <c r="S3330" s="846"/>
      <c r="T3330" s="846"/>
    </row>
    <row r="3331" spans="2:20" ht="25.5" hidden="1">
      <c r="B3331" s="828" t="s">
        <v>6619</v>
      </c>
      <c r="C3331" s="828">
        <v>103259</v>
      </c>
      <c r="D3331" s="630" t="s">
        <v>6733</v>
      </c>
      <c r="E3331" s="630" t="s">
        <v>646</v>
      </c>
      <c r="F3331" s="829">
        <v>5062.21</v>
      </c>
      <c r="G3331" s="830">
        <v>181.38</v>
      </c>
      <c r="H3331" s="831">
        <v>5243.59</v>
      </c>
      <c r="I3331" s="846"/>
      <c r="J3331" s="846"/>
      <c r="K3331" s="846"/>
      <c r="L3331" s="846"/>
      <c r="M3331" s="846"/>
      <c r="N3331" s="846"/>
      <c r="O3331" s="846"/>
      <c r="P3331" s="846"/>
      <c r="Q3331" s="846"/>
      <c r="R3331" s="846"/>
      <c r="S3331" s="846"/>
      <c r="T3331" s="846"/>
    </row>
    <row r="3332" spans="2:20" ht="25.5" hidden="1">
      <c r="B3332" s="828" t="s">
        <v>6619</v>
      </c>
      <c r="C3332" s="828">
        <v>103260</v>
      </c>
      <c r="D3332" s="630" t="s">
        <v>6734</v>
      </c>
      <c r="E3332" s="630" t="s">
        <v>646</v>
      </c>
      <c r="F3332" s="829">
        <v>5203.34</v>
      </c>
      <c r="G3332" s="830">
        <v>181.38</v>
      </c>
      <c r="H3332" s="831">
        <v>5384.72</v>
      </c>
      <c r="I3332" s="846"/>
      <c r="J3332" s="846"/>
      <c r="K3332" s="846"/>
      <c r="L3332" s="846"/>
      <c r="M3332" s="846"/>
      <c r="N3332" s="846"/>
      <c r="O3332" s="846"/>
      <c r="P3332" s="846"/>
      <c r="Q3332" s="846"/>
      <c r="R3332" s="846"/>
      <c r="S3332" s="846"/>
      <c r="T3332" s="846"/>
    </row>
    <row r="3333" spans="2:20" ht="25.5" hidden="1">
      <c r="B3333" s="828" t="s">
        <v>6619</v>
      </c>
      <c r="C3333" s="828">
        <v>103261</v>
      </c>
      <c r="D3333" s="630" t="s">
        <v>6735</v>
      </c>
      <c r="E3333" s="630" t="s">
        <v>646</v>
      </c>
      <c r="F3333" s="829">
        <v>10715.99</v>
      </c>
      <c r="G3333" s="830">
        <v>199.15</v>
      </c>
      <c r="H3333" s="831">
        <v>10915.14</v>
      </c>
      <c r="I3333" s="846"/>
      <c r="J3333" s="846"/>
      <c r="K3333" s="846"/>
      <c r="L3333" s="846"/>
      <c r="M3333" s="846"/>
      <c r="N3333" s="846"/>
      <c r="O3333" s="846"/>
      <c r="P3333" s="846"/>
      <c r="Q3333" s="846"/>
      <c r="R3333" s="846"/>
      <c r="S3333" s="846"/>
      <c r="T3333" s="846"/>
    </row>
    <row r="3334" spans="2:20" ht="25.5" hidden="1">
      <c r="B3334" s="828" t="s">
        <v>6619</v>
      </c>
      <c r="C3334" s="828">
        <v>103262</v>
      </c>
      <c r="D3334" s="630" t="s">
        <v>6736</v>
      </c>
      <c r="E3334" s="630" t="s">
        <v>646</v>
      </c>
      <c r="F3334" s="829">
        <v>6675.1900000000005</v>
      </c>
      <c r="G3334" s="830">
        <v>199.15</v>
      </c>
      <c r="H3334" s="831">
        <v>6874.34</v>
      </c>
      <c r="I3334" s="846"/>
      <c r="J3334" s="846"/>
      <c r="K3334" s="846"/>
      <c r="L3334" s="846"/>
      <c r="M3334" s="846"/>
      <c r="N3334" s="846"/>
      <c r="O3334" s="846"/>
      <c r="P3334" s="846"/>
      <c r="Q3334" s="846"/>
      <c r="R3334" s="846"/>
      <c r="S3334" s="846"/>
      <c r="T3334" s="846"/>
    </row>
    <row r="3335" spans="2:20" ht="25.5" hidden="1">
      <c r="B3335" s="828" t="s">
        <v>6619</v>
      </c>
      <c r="C3335" s="828">
        <v>103263</v>
      </c>
      <c r="D3335" s="630" t="s">
        <v>6737</v>
      </c>
      <c r="E3335" s="630" t="s">
        <v>646</v>
      </c>
      <c r="F3335" s="829">
        <v>14869.23</v>
      </c>
      <c r="G3335" s="830">
        <v>305.29000000000002</v>
      </c>
      <c r="H3335" s="831">
        <v>15174.52</v>
      </c>
      <c r="I3335" s="846"/>
      <c r="J3335" s="846"/>
      <c r="K3335" s="846"/>
      <c r="L3335" s="846"/>
      <c r="M3335" s="846"/>
      <c r="N3335" s="846"/>
      <c r="O3335" s="846"/>
      <c r="P3335" s="846"/>
      <c r="Q3335" s="846"/>
      <c r="R3335" s="846"/>
      <c r="S3335" s="846"/>
      <c r="T3335" s="846"/>
    </row>
    <row r="3336" spans="2:20" ht="25.5" hidden="1">
      <c r="B3336" s="828" t="s">
        <v>6619</v>
      </c>
      <c r="C3336" s="828">
        <v>103264</v>
      </c>
      <c r="D3336" s="630" t="s">
        <v>6738</v>
      </c>
      <c r="E3336" s="630" t="s">
        <v>646</v>
      </c>
      <c r="F3336" s="829">
        <v>8253.2800000000007</v>
      </c>
      <c r="G3336" s="830">
        <v>305.29000000000002</v>
      </c>
      <c r="H3336" s="831">
        <v>8558.57</v>
      </c>
      <c r="I3336" s="846"/>
      <c r="J3336" s="846"/>
      <c r="K3336" s="846"/>
      <c r="L3336" s="846"/>
      <c r="M3336" s="846"/>
      <c r="N3336" s="846"/>
      <c r="O3336" s="846"/>
      <c r="P3336" s="846"/>
      <c r="Q3336" s="846"/>
      <c r="R3336" s="846"/>
      <c r="S3336" s="846"/>
      <c r="T3336" s="846"/>
    </row>
    <row r="3337" spans="2:20" ht="38.25" hidden="1">
      <c r="B3337" s="828" t="s">
        <v>6619</v>
      </c>
      <c r="C3337" s="828">
        <v>103265</v>
      </c>
      <c r="D3337" s="630" t="s">
        <v>6739</v>
      </c>
      <c r="E3337" s="630" t="s">
        <v>646</v>
      </c>
      <c r="F3337" s="829">
        <v>17966.02</v>
      </c>
      <c r="G3337" s="830">
        <v>305.29000000000002</v>
      </c>
      <c r="H3337" s="831">
        <v>18271.310000000001</v>
      </c>
      <c r="I3337" s="846"/>
      <c r="J3337" s="846"/>
      <c r="K3337" s="846"/>
      <c r="L3337" s="846"/>
      <c r="M3337" s="846"/>
      <c r="N3337" s="846"/>
      <c r="O3337" s="846"/>
      <c r="P3337" s="846"/>
      <c r="Q3337" s="846"/>
      <c r="R3337" s="846"/>
      <c r="S3337" s="846"/>
      <c r="T3337" s="846"/>
    </row>
    <row r="3338" spans="2:20" ht="25.5" hidden="1">
      <c r="B3338" s="828" t="s">
        <v>6619</v>
      </c>
      <c r="C3338" s="828">
        <v>103266</v>
      </c>
      <c r="D3338" s="630" t="s">
        <v>6740</v>
      </c>
      <c r="E3338" s="630" t="s">
        <v>646</v>
      </c>
      <c r="F3338" s="829">
        <v>9240.15</v>
      </c>
      <c r="G3338" s="830">
        <v>305.29000000000002</v>
      </c>
      <c r="H3338" s="831">
        <v>9545.44</v>
      </c>
      <c r="I3338" s="846"/>
      <c r="J3338" s="846"/>
      <c r="K3338" s="846"/>
      <c r="L3338" s="846"/>
      <c r="M3338" s="846"/>
      <c r="N3338" s="846"/>
      <c r="O3338" s="846"/>
      <c r="P3338" s="846"/>
      <c r="Q3338" s="846"/>
      <c r="R3338" s="846"/>
      <c r="S3338" s="846"/>
      <c r="T3338" s="846"/>
    </row>
    <row r="3339" spans="2:20" ht="25.5" hidden="1">
      <c r="B3339" s="828" t="s">
        <v>6619</v>
      </c>
      <c r="C3339" s="828">
        <v>103267</v>
      </c>
      <c r="D3339" s="630" t="s">
        <v>6741</v>
      </c>
      <c r="E3339" s="630" t="s">
        <v>646</v>
      </c>
      <c r="F3339" s="829">
        <v>5257.06</v>
      </c>
      <c r="G3339" s="830">
        <v>181.31</v>
      </c>
      <c r="H3339" s="831">
        <v>5438.37</v>
      </c>
      <c r="I3339" s="846"/>
      <c r="J3339" s="846"/>
      <c r="K3339" s="846"/>
      <c r="L3339" s="846"/>
      <c r="M3339" s="846"/>
      <c r="N3339" s="846"/>
      <c r="O3339" s="846"/>
      <c r="P3339" s="846"/>
      <c r="Q3339" s="846"/>
      <c r="R3339" s="846"/>
      <c r="S3339" s="846"/>
      <c r="T3339" s="846"/>
    </row>
    <row r="3340" spans="2:20" ht="25.5" hidden="1">
      <c r="B3340" s="828" t="s">
        <v>6619</v>
      </c>
      <c r="C3340" s="837">
        <v>103268</v>
      </c>
      <c r="D3340" s="630" t="s">
        <v>6742</v>
      </c>
      <c r="E3340" s="630" t="s">
        <v>646</v>
      </c>
      <c r="F3340" s="829">
        <v>6262.2699999999995</v>
      </c>
      <c r="G3340" s="830">
        <v>181.31</v>
      </c>
      <c r="H3340" s="831">
        <v>6443.58</v>
      </c>
      <c r="I3340" s="846"/>
      <c r="J3340" s="846"/>
      <c r="K3340" s="846"/>
      <c r="L3340" s="846"/>
      <c r="M3340" s="846"/>
      <c r="N3340" s="846"/>
      <c r="O3340" s="846"/>
      <c r="P3340" s="846"/>
      <c r="Q3340" s="846"/>
      <c r="R3340" s="846"/>
      <c r="S3340" s="846"/>
      <c r="T3340" s="846"/>
    </row>
    <row r="3341" spans="2:20" ht="25.5" hidden="1">
      <c r="B3341" s="828" t="s">
        <v>6619</v>
      </c>
      <c r="C3341" s="828">
        <v>103269</v>
      </c>
      <c r="D3341" s="630" t="s">
        <v>6743</v>
      </c>
      <c r="E3341" s="630" t="s">
        <v>646</v>
      </c>
      <c r="F3341" s="829">
        <v>6483.03</v>
      </c>
      <c r="G3341" s="830">
        <v>188.49</v>
      </c>
      <c r="H3341" s="831">
        <v>6671.52</v>
      </c>
      <c r="I3341" s="846"/>
      <c r="J3341" s="846"/>
      <c r="K3341" s="846"/>
      <c r="L3341" s="846"/>
      <c r="M3341" s="846"/>
      <c r="N3341" s="846"/>
      <c r="O3341" s="846"/>
      <c r="P3341" s="846"/>
      <c r="Q3341" s="846"/>
      <c r="R3341" s="846"/>
      <c r="S3341" s="846"/>
      <c r="T3341" s="846"/>
    </row>
    <row r="3342" spans="2:20" ht="25.5" hidden="1">
      <c r="B3342" s="828" t="s">
        <v>6619</v>
      </c>
      <c r="C3342" s="828">
        <v>103270</v>
      </c>
      <c r="D3342" s="630" t="s">
        <v>6744</v>
      </c>
      <c r="E3342" s="630" t="s">
        <v>646</v>
      </c>
      <c r="F3342" s="829">
        <v>6734.1500000000005</v>
      </c>
      <c r="G3342" s="830">
        <v>188.49</v>
      </c>
      <c r="H3342" s="831">
        <v>6922.64</v>
      </c>
      <c r="I3342" s="846"/>
      <c r="J3342" s="846"/>
      <c r="K3342" s="846"/>
      <c r="L3342" s="846"/>
      <c r="M3342" s="846"/>
      <c r="N3342" s="846"/>
      <c r="O3342" s="846"/>
      <c r="P3342" s="846"/>
      <c r="Q3342" s="846"/>
      <c r="R3342" s="846"/>
      <c r="S3342" s="846"/>
      <c r="T3342" s="846"/>
    </row>
    <row r="3343" spans="2:20" ht="25.5" hidden="1">
      <c r="B3343" s="828" t="s">
        <v>6619</v>
      </c>
      <c r="C3343" s="828">
        <v>103271</v>
      </c>
      <c r="D3343" s="630" t="s">
        <v>6745</v>
      </c>
      <c r="E3343" s="630" t="s">
        <v>646</v>
      </c>
      <c r="F3343" s="829">
        <v>9570.93</v>
      </c>
      <c r="G3343" s="830">
        <v>216.98</v>
      </c>
      <c r="H3343" s="831">
        <v>9787.91</v>
      </c>
      <c r="I3343" s="846"/>
      <c r="J3343" s="846"/>
      <c r="K3343" s="846"/>
      <c r="L3343" s="846"/>
      <c r="M3343" s="846"/>
      <c r="N3343" s="846"/>
      <c r="O3343" s="846"/>
      <c r="P3343" s="846"/>
      <c r="Q3343" s="846"/>
      <c r="R3343" s="846"/>
      <c r="S3343" s="846"/>
      <c r="T3343" s="846"/>
    </row>
    <row r="3344" spans="2:20" ht="25.5" hidden="1">
      <c r="B3344" s="828" t="s">
        <v>6619</v>
      </c>
      <c r="C3344" s="828">
        <v>103272</v>
      </c>
      <c r="D3344" s="630" t="s">
        <v>6746</v>
      </c>
      <c r="E3344" s="630" t="s">
        <v>646</v>
      </c>
      <c r="F3344" s="829">
        <v>9890.27</v>
      </c>
      <c r="G3344" s="830">
        <v>216.98</v>
      </c>
      <c r="H3344" s="831">
        <v>10107.25</v>
      </c>
      <c r="I3344" s="846"/>
      <c r="J3344" s="846"/>
      <c r="K3344" s="846"/>
      <c r="L3344" s="846"/>
      <c r="M3344" s="846"/>
      <c r="N3344" s="846"/>
      <c r="O3344" s="846"/>
      <c r="P3344" s="846"/>
      <c r="Q3344" s="846"/>
      <c r="R3344" s="846"/>
      <c r="S3344" s="846"/>
      <c r="T3344" s="846"/>
    </row>
    <row r="3345" spans="2:20" ht="25.5" hidden="1">
      <c r="B3345" s="828" t="s">
        <v>6619</v>
      </c>
      <c r="C3345" s="828">
        <v>103273</v>
      </c>
      <c r="D3345" s="630" t="s">
        <v>6747</v>
      </c>
      <c r="E3345" s="630" t="s">
        <v>646</v>
      </c>
      <c r="F3345" s="829">
        <v>10113.81</v>
      </c>
      <c r="G3345" s="830">
        <v>325.12</v>
      </c>
      <c r="H3345" s="831">
        <v>10438.93</v>
      </c>
      <c r="I3345" s="846"/>
      <c r="J3345" s="846"/>
      <c r="K3345" s="846"/>
      <c r="L3345" s="846"/>
      <c r="M3345" s="846"/>
      <c r="N3345" s="846"/>
      <c r="O3345" s="846"/>
      <c r="P3345" s="846"/>
      <c r="Q3345" s="846"/>
      <c r="R3345" s="846"/>
      <c r="S3345" s="846"/>
      <c r="T3345" s="846"/>
    </row>
    <row r="3346" spans="2:20" ht="25.5" hidden="1">
      <c r="B3346" s="828" t="s">
        <v>6619</v>
      </c>
      <c r="C3346" s="828">
        <v>103274</v>
      </c>
      <c r="D3346" s="630" t="s">
        <v>6748</v>
      </c>
      <c r="E3346" s="630" t="s">
        <v>646</v>
      </c>
      <c r="F3346" s="829">
        <v>11615.7</v>
      </c>
      <c r="G3346" s="830">
        <v>325.12</v>
      </c>
      <c r="H3346" s="831">
        <v>11940.82</v>
      </c>
      <c r="I3346" s="846"/>
      <c r="J3346" s="846"/>
      <c r="K3346" s="846"/>
      <c r="L3346" s="846"/>
      <c r="M3346" s="846"/>
      <c r="N3346" s="846"/>
      <c r="O3346" s="846"/>
      <c r="P3346" s="846"/>
      <c r="Q3346" s="846"/>
      <c r="R3346" s="846"/>
      <c r="S3346" s="846"/>
      <c r="T3346" s="846"/>
    </row>
    <row r="3347" spans="2:20" ht="25.5" hidden="1">
      <c r="B3347" s="828" t="s">
        <v>6619</v>
      </c>
      <c r="C3347" s="828">
        <v>103275</v>
      </c>
      <c r="D3347" s="630" t="s">
        <v>6749</v>
      </c>
      <c r="E3347" s="630" t="s">
        <v>646</v>
      </c>
      <c r="F3347" s="829">
        <v>11554.39</v>
      </c>
      <c r="G3347" s="830">
        <v>325.12</v>
      </c>
      <c r="H3347" s="831">
        <v>11879.51</v>
      </c>
      <c r="I3347" s="846"/>
      <c r="J3347" s="846"/>
      <c r="K3347" s="846"/>
      <c r="L3347" s="846"/>
      <c r="M3347" s="846"/>
      <c r="N3347" s="846"/>
      <c r="O3347" s="846"/>
      <c r="P3347" s="846"/>
      <c r="Q3347" s="846"/>
      <c r="R3347" s="846"/>
      <c r="S3347" s="846"/>
      <c r="T3347" s="846"/>
    </row>
    <row r="3348" spans="2:20" ht="25.5" hidden="1">
      <c r="B3348" s="828" t="s">
        <v>6619</v>
      </c>
      <c r="C3348" s="828">
        <v>103276</v>
      </c>
      <c r="D3348" s="630" t="s">
        <v>6750</v>
      </c>
      <c r="E3348" s="630" t="s">
        <v>646</v>
      </c>
      <c r="F3348" s="829">
        <v>12135.27</v>
      </c>
      <c r="G3348" s="830">
        <v>325.12</v>
      </c>
      <c r="H3348" s="831">
        <v>12460.39</v>
      </c>
      <c r="I3348" s="846"/>
      <c r="J3348" s="846"/>
      <c r="K3348" s="846"/>
      <c r="L3348" s="846"/>
      <c r="M3348" s="846"/>
      <c r="N3348" s="846"/>
      <c r="O3348" s="846"/>
      <c r="P3348" s="846"/>
      <c r="Q3348" s="846"/>
      <c r="R3348" s="846"/>
      <c r="S3348" s="846"/>
      <c r="T3348" s="846"/>
    </row>
    <row r="3349" spans="2:20" ht="25.5" hidden="1">
      <c r="B3349" s="828" t="s">
        <v>6619</v>
      </c>
      <c r="C3349" s="828">
        <v>103277</v>
      </c>
      <c r="D3349" s="630" t="s">
        <v>6751</v>
      </c>
      <c r="E3349" s="630" t="s">
        <v>646</v>
      </c>
      <c r="F3349" s="829">
        <v>22530.890000000003</v>
      </c>
      <c r="G3349" s="830">
        <v>437.59</v>
      </c>
      <c r="H3349" s="831">
        <v>22968.48</v>
      </c>
      <c r="I3349" s="846"/>
      <c r="J3349" s="846"/>
      <c r="K3349" s="846"/>
      <c r="L3349" s="846"/>
      <c r="M3349" s="846"/>
      <c r="N3349" s="846"/>
      <c r="O3349" s="846"/>
      <c r="P3349" s="846"/>
      <c r="Q3349" s="846"/>
      <c r="R3349" s="846"/>
      <c r="S3349" s="846"/>
      <c r="T3349" s="846"/>
    </row>
    <row r="3350" spans="2:20" ht="25.5" hidden="1">
      <c r="B3350" s="828" t="s">
        <v>6619</v>
      </c>
      <c r="C3350" s="828">
        <v>103278</v>
      </c>
      <c r="D3350" s="630" t="s">
        <v>6752</v>
      </c>
      <c r="E3350" s="630" t="s">
        <v>646</v>
      </c>
      <c r="F3350" s="829">
        <v>28905.72</v>
      </c>
      <c r="G3350" s="830">
        <v>446.97</v>
      </c>
      <c r="H3350" s="831">
        <v>29352.69</v>
      </c>
      <c r="I3350" s="846"/>
      <c r="J3350" s="846"/>
      <c r="K3350" s="846"/>
      <c r="L3350" s="846"/>
      <c r="M3350" s="846"/>
      <c r="N3350" s="846"/>
      <c r="O3350" s="846"/>
      <c r="P3350" s="846"/>
      <c r="Q3350" s="846"/>
      <c r="R3350" s="846"/>
      <c r="S3350" s="846"/>
      <c r="T3350" s="846"/>
    </row>
    <row r="3351" spans="2:20" ht="25.5" hidden="1">
      <c r="B3351" s="828" t="s">
        <v>6619</v>
      </c>
      <c r="C3351" s="828">
        <v>103288</v>
      </c>
      <c r="D3351" s="630" t="s">
        <v>6753</v>
      </c>
      <c r="E3351" s="630" t="s">
        <v>646</v>
      </c>
      <c r="F3351" s="829">
        <v>4.55</v>
      </c>
      <c r="G3351" s="830">
        <v>15.2</v>
      </c>
      <c r="H3351" s="831">
        <v>19.75</v>
      </c>
      <c r="I3351" s="846"/>
      <c r="J3351" s="846"/>
      <c r="K3351" s="846"/>
      <c r="L3351" s="846"/>
      <c r="M3351" s="846"/>
      <c r="N3351" s="846"/>
      <c r="O3351" s="846"/>
      <c r="P3351" s="846"/>
      <c r="Q3351" s="846"/>
      <c r="R3351" s="846"/>
      <c r="S3351" s="846"/>
      <c r="T3351" s="846"/>
    </row>
    <row r="3352" spans="2:20" ht="38.25" hidden="1">
      <c r="B3352" s="828" t="s">
        <v>6619</v>
      </c>
      <c r="C3352" s="828">
        <v>103289</v>
      </c>
      <c r="D3352" s="630" t="s">
        <v>6754</v>
      </c>
      <c r="E3352" s="630" t="s">
        <v>648</v>
      </c>
      <c r="F3352" s="829">
        <v>30.59</v>
      </c>
      <c r="G3352" s="830">
        <v>4.4800000000000004</v>
      </c>
      <c r="H3352" s="831">
        <v>35.07</v>
      </c>
      <c r="I3352" s="846"/>
      <c r="J3352" s="846"/>
      <c r="K3352" s="846"/>
      <c r="L3352" s="846"/>
      <c r="M3352" s="846"/>
      <c r="N3352" s="846"/>
      <c r="O3352" s="846"/>
      <c r="P3352" s="846"/>
      <c r="Q3352" s="846"/>
      <c r="R3352" s="846"/>
      <c r="S3352" s="846"/>
      <c r="T3352" s="846"/>
    </row>
    <row r="3353" spans="2:20" ht="38.25" hidden="1">
      <c r="B3353" s="828" t="s">
        <v>6619</v>
      </c>
      <c r="C3353" s="828">
        <v>103290</v>
      </c>
      <c r="D3353" s="630" t="s">
        <v>6755</v>
      </c>
      <c r="E3353" s="630" t="s">
        <v>648</v>
      </c>
      <c r="F3353" s="829">
        <v>51.9</v>
      </c>
      <c r="G3353" s="830">
        <v>4.72</v>
      </c>
      <c r="H3353" s="831">
        <v>56.62</v>
      </c>
      <c r="I3353" s="846"/>
      <c r="J3353" s="846"/>
      <c r="K3353" s="846"/>
      <c r="L3353" s="846"/>
      <c r="M3353" s="846"/>
      <c r="N3353" s="846"/>
      <c r="O3353" s="846"/>
      <c r="P3353" s="846"/>
      <c r="Q3353" s="846"/>
      <c r="R3353" s="846"/>
      <c r="S3353" s="846"/>
      <c r="T3353" s="846"/>
    </row>
    <row r="3354" spans="2:20" ht="38.25" hidden="1">
      <c r="B3354" s="828" t="s">
        <v>6619</v>
      </c>
      <c r="C3354" s="828">
        <v>103291</v>
      </c>
      <c r="D3354" s="630" t="s">
        <v>6756</v>
      </c>
      <c r="E3354" s="630" t="s">
        <v>648</v>
      </c>
      <c r="F3354" s="829">
        <v>65.22</v>
      </c>
      <c r="G3354" s="830">
        <v>4.97</v>
      </c>
      <c r="H3354" s="831">
        <v>70.19</v>
      </c>
      <c r="I3354" s="846"/>
      <c r="J3354" s="846"/>
      <c r="K3354" s="846"/>
      <c r="L3354" s="846"/>
      <c r="M3354" s="846"/>
      <c r="N3354" s="846"/>
      <c r="O3354" s="846"/>
      <c r="P3354" s="846"/>
      <c r="Q3354" s="846"/>
      <c r="R3354" s="846"/>
      <c r="S3354" s="846"/>
      <c r="T3354" s="846"/>
    </row>
    <row r="3355" spans="2:20" ht="38.25" hidden="1">
      <c r="B3355" s="828" t="s">
        <v>6619</v>
      </c>
      <c r="C3355" s="828">
        <v>103292</v>
      </c>
      <c r="D3355" s="630" t="s">
        <v>6757</v>
      </c>
      <c r="E3355" s="630" t="s">
        <v>648</v>
      </c>
      <c r="F3355" s="829">
        <v>79.55</v>
      </c>
      <c r="G3355" s="830">
        <v>5.13</v>
      </c>
      <c r="H3355" s="831">
        <v>84.68</v>
      </c>
      <c r="I3355" s="846"/>
      <c r="J3355" s="846"/>
      <c r="K3355" s="846"/>
      <c r="L3355" s="846"/>
      <c r="M3355" s="846"/>
      <c r="N3355" s="846"/>
      <c r="O3355" s="846"/>
      <c r="P3355" s="846"/>
      <c r="Q3355" s="846"/>
      <c r="R3355" s="846"/>
      <c r="S3355" s="846"/>
      <c r="T3355" s="846"/>
    </row>
    <row r="3356" spans="2:20" ht="51" hidden="1">
      <c r="B3356" s="828" t="s">
        <v>6669</v>
      </c>
      <c r="C3356" s="828">
        <v>101936</v>
      </c>
      <c r="D3356" s="630" t="s">
        <v>5263</v>
      </c>
      <c r="E3356" s="630" t="s">
        <v>646</v>
      </c>
      <c r="F3356" s="829">
        <v>5500.17</v>
      </c>
      <c r="G3356" s="830">
        <v>3165.25</v>
      </c>
      <c r="H3356" s="831">
        <v>8665.42</v>
      </c>
      <c r="I3356" s="846"/>
      <c r="J3356" s="846"/>
      <c r="K3356" s="846"/>
      <c r="L3356" s="846"/>
      <c r="M3356" s="846"/>
      <c r="N3356" s="846"/>
      <c r="O3356" s="846"/>
      <c r="P3356" s="846"/>
      <c r="Q3356" s="846"/>
      <c r="R3356" s="846"/>
      <c r="S3356" s="846"/>
      <c r="T3356" s="846"/>
    </row>
    <row r="3357" spans="2:20" ht="51" hidden="1">
      <c r="B3357" s="828" t="s">
        <v>6669</v>
      </c>
      <c r="C3357" s="828">
        <v>101937</v>
      </c>
      <c r="D3357" s="630" t="s">
        <v>5264</v>
      </c>
      <c r="E3357" s="630" t="s">
        <v>646</v>
      </c>
      <c r="F3357" s="829">
        <v>8969.66</v>
      </c>
      <c r="G3357" s="830">
        <v>6845.18</v>
      </c>
      <c r="H3357" s="832">
        <v>15814.84</v>
      </c>
      <c r="I3357" s="846"/>
      <c r="J3357" s="846"/>
      <c r="K3357" s="846"/>
      <c r="L3357" s="846"/>
      <c r="M3357" s="846"/>
      <c r="N3357" s="846"/>
      <c r="O3357" s="846"/>
      <c r="P3357" s="846"/>
      <c r="Q3357" s="846"/>
      <c r="R3357" s="846"/>
      <c r="S3357" s="846"/>
      <c r="T3357" s="846"/>
    </row>
    <row r="3358" spans="2:20" ht="25.5" hidden="1">
      <c r="B3358" s="828" t="s">
        <v>6618</v>
      </c>
      <c r="C3358" s="828">
        <v>98294</v>
      </c>
      <c r="D3358" s="630" t="s">
        <v>3395</v>
      </c>
      <c r="E3358" s="630" t="s">
        <v>648</v>
      </c>
      <c r="F3358" s="829">
        <v>6.19</v>
      </c>
      <c r="G3358" s="830">
        <v>0.71</v>
      </c>
      <c r="H3358" s="832">
        <v>6.9</v>
      </c>
      <c r="I3358" s="846"/>
      <c r="J3358" s="846"/>
      <c r="K3358" s="846"/>
      <c r="L3358" s="846"/>
      <c r="M3358" s="846"/>
      <c r="N3358" s="846"/>
      <c r="O3358" s="846"/>
      <c r="P3358" s="846"/>
      <c r="Q3358" s="846"/>
      <c r="R3358" s="846"/>
      <c r="S3358" s="846"/>
      <c r="T3358" s="846"/>
    </row>
    <row r="3359" spans="2:20" ht="25.5" hidden="1">
      <c r="B3359" s="828" t="s">
        <v>6618</v>
      </c>
      <c r="C3359" s="828">
        <v>98295</v>
      </c>
      <c r="D3359" s="630" t="s">
        <v>3396</v>
      </c>
      <c r="E3359" s="630" t="s">
        <v>648</v>
      </c>
      <c r="F3359" s="829">
        <v>5.99</v>
      </c>
      <c r="G3359" s="830">
        <v>0.11</v>
      </c>
      <c r="H3359" s="832">
        <v>6.1</v>
      </c>
      <c r="I3359" s="846"/>
      <c r="J3359" s="846"/>
      <c r="K3359" s="846"/>
      <c r="L3359" s="846"/>
      <c r="M3359" s="846"/>
      <c r="N3359" s="846"/>
      <c r="O3359" s="846"/>
      <c r="P3359" s="846"/>
      <c r="Q3359" s="846"/>
      <c r="R3359" s="846"/>
      <c r="S3359" s="846"/>
      <c r="T3359" s="846"/>
    </row>
    <row r="3360" spans="2:20" ht="25.5" hidden="1">
      <c r="B3360" s="828" t="s">
        <v>6618</v>
      </c>
      <c r="C3360" s="828">
        <v>98296</v>
      </c>
      <c r="D3360" s="630" t="s">
        <v>3397</v>
      </c>
      <c r="E3360" s="630" t="s">
        <v>648</v>
      </c>
      <c r="F3360" s="829">
        <v>8.93</v>
      </c>
      <c r="G3360" s="830">
        <v>1.1499999999999999</v>
      </c>
      <c r="H3360" s="832">
        <v>10.08</v>
      </c>
      <c r="I3360" s="846"/>
      <c r="J3360" s="846"/>
      <c r="K3360" s="846"/>
      <c r="L3360" s="846"/>
      <c r="M3360" s="846"/>
      <c r="N3360" s="846"/>
      <c r="O3360" s="846"/>
      <c r="P3360" s="846"/>
      <c r="Q3360" s="846"/>
      <c r="R3360" s="846"/>
      <c r="S3360" s="846"/>
      <c r="T3360" s="846"/>
    </row>
    <row r="3361" spans="2:20" ht="25.5" hidden="1">
      <c r="B3361" s="828" t="s">
        <v>6618</v>
      </c>
      <c r="C3361" s="828">
        <v>98297</v>
      </c>
      <c r="D3361" s="630" t="s">
        <v>3398</v>
      </c>
      <c r="E3361" s="630" t="s">
        <v>648</v>
      </c>
      <c r="F3361" s="829">
        <v>8.6300000000000008</v>
      </c>
      <c r="G3361" s="830">
        <v>0.18</v>
      </c>
      <c r="H3361" s="832">
        <v>8.81</v>
      </c>
      <c r="I3361" s="846"/>
      <c r="J3361" s="846"/>
      <c r="K3361" s="846"/>
      <c r="L3361" s="846"/>
      <c r="M3361" s="846"/>
      <c r="N3361" s="846"/>
      <c r="O3361" s="846"/>
      <c r="P3361" s="846"/>
      <c r="Q3361" s="846"/>
      <c r="R3361" s="846"/>
      <c r="S3361" s="846"/>
      <c r="T3361" s="846"/>
    </row>
    <row r="3362" spans="2:20" ht="25.5" hidden="1">
      <c r="B3362" s="828" t="s">
        <v>6618</v>
      </c>
      <c r="C3362" s="828">
        <v>98301</v>
      </c>
      <c r="D3362" s="630" t="s">
        <v>3399</v>
      </c>
      <c r="E3362" s="630" t="s">
        <v>646</v>
      </c>
      <c r="F3362" s="829">
        <v>397.96</v>
      </c>
      <c r="G3362" s="830">
        <v>269.92</v>
      </c>
      <c r="H3362" s="832">
        <v>667.88</v>
      </c>
      <c r="I3362" s="846"/>
      <c r="J3362" s="846"/>
      <c r="K3362" s="846"/>
      <c r="L3362" s="846"/>
      <c r="M3362" s="846"/>
      <c r="N3362" s="846"/>
      <c r="O3362" s="846"/>
      <c r="P3362" s="846"/>
      <c r="Q3362" s="846"/>
      <c r="R3362" s="846"/>
      <c r="S3362" s="846"/>
      <c r="T3362" s="846"/>
    </row>
    <row r="3363" spans="2:20" ht="25.5" hidden="1">
      <c r="B3363" s="828" t="s">
        <v>6618</v>
      </c>
      <c r="C3363" s="828">
        <v>98302</v>
      </c>
      <c r="D3363" s="630" t="s">
        <v>3400</v>
      </c>
      <c r="E3363" s="630" t="s">
        <v>646</v>
      </c>
      <c r="F3363" s="829">
        <v>927.2</v>
      </c>
      <c r="G3363" s="830">
        <v>269.91000000000003</v>
      </c>
      <c r="H3363" s="832">
        <v>1197.1099999999999</v>
      </c>
      <c r="I3363" s="846"/>
      <c r="J3363" s="846"/>
      <c r="K3363" s="846"/>
      <c r="L3363" s="846"/>
      <c r="M3363" s="846"/>
      <c r="N3363" s="846"/>
      <c r="O3363" s="846"/>
      <c r="P3363" s="846"/>
      <c r="Q3363" s="846"/>
      <c r="R3363" s="846"/>
      <c r="S3363" s="846"/>
      <c r="T3363" s="846"/>
    </row>
    <row r="3364" spans="2:20" ht="25.5" hidden="1">
      <c r="B3364" s="828" t="s">
        <v>6618</v>
      </c>
      <c r="C3364" s="828">
        <v>98304</v>
      </c>
      <c r="D3364" s="630" t="s">
        <v>3401</v>
      </c>
      <c r="E3364" s="630" t="s">
        <v>646</v>
      </c>
      <c r="F3364" s="829">
        <v>3141</v>
      </c>
      <c r="G3364" s="830">
        <v>536.42999999999995</v>
      </c>
      <c r="H3364" s="832">
        <v>3677.43</v>
      </c>
      <c r="I3364" s="846"/>
      <c r="J3364" s="846"/>
      <c r="K3364" s="846"/>
      <c r="L3364" s="846"/>
      <c r="M3364" s="846"/>
      <c r="N3364" s="846"/>
      <c r="O3364" s="846"/>
      <c r="P3364" s="846"/>
      <c r="Q3364" s="846"/>
      <c r="R3364" s="846"/>
      <c r="S3364" s="846"/>
      <c r="T3364" s="846"/>
    </row>
    <row r="3365" spans="2:20" ht="25.5" hidden="1">
      <c r="B3365" s="828" t="s">
        <v>6618</v>
      </c>
      <c r="C3365" s="828">
        <v>98305</v>
      </c>
      <c r="D3365" s="630" t="s">
        <v>7826</v>
      </c>
      <c r="E3365" s="630" t="s">
        <v>646</v>
      </c>
      <c r="F3365" s="829">
        <v>2580.1799999999998</v>
      </c>
      <c r="G3365" s="830">
        <v>44.64</v>
      </c>
      <c r="H3365" s="832">
        <v>2624.82</v>
      </c>
      <c r="I3365" s="846"/>
      <c r="J3365" s="846"/>
      <c r="K3365" s="846"/>
      <c r="L3365" s="846"/>
      <c r="M3365" s="846"/>
      <c r="N3365" s="846"/>
      <c r="O3365" s="846"/>
      <c r="P3365" s="846"/>
      <c r="Q3365" s="846"/>
      <c r="R3365" s="846"/>
      <c r="S3365" s="846"/>
      <c r="T3365" s="846"/>
    </row>
    <row r="3366" spans="2:20" ht="25.5" hidden="1">
      <c r="B3366" s="828" t="s">
        <v>6618</v>
      </c>
      <c r="C3366" s="828">
        <v>98306</v>
      </c>
      <c r="D3366" s="630" t="s">
        <v>7827</v>
      </c>
      <c r="E3366" s="630" t="s">
        <v>646</v>
      </c>
      <c r="F3366" s="829">
        <v>36.99</v>
      </c>
      <c r="G3366" s="830">
        <v>29.69</v>
      </c>
      <c r="H3366" s="832">
        <v>66.680000000000007</v>
      </c>
      <c r="I3366" s="846"/>
      <c r="J3366" s="846"/>
      <c r="K3366" s="846"/>
      <c r="L3366" s="846"/>
      <c r="M3366" s="846"/>
      <c r="N3366" s="846"/>
      <c r="O3366" s="846"/>
      <c r="P3366" s="846"/>
      <c r="Q3366" s="846"/>
      <c r="R3366" s="846"/>
      <c r="S3366" s="846"/>
      <c r="T3366" s="846"/>
    </row>
    <row r="3367" spans="2:20" hidden="1">
      <c r="B3367" s="828" t="s">
        <v>6618</v>
      </c>
      <c r="C3367" s="828">
        <v>98307</v>
      </c>
      <c r="D3367" s="630" t="s">
        <v>3402</v>
      </c>
      <c r="E3367" s="630" t="s">
        <v>646</v>
      </c>
      <c r="F3367" s="829">
        <v>47.3</v>
      </c>
      <c r="G3367" s="830">
        <v>8.9499999999999993</v>
      </c>
      <c r="H3367" s="832">
        <v>56.25</v>
      </c>
      <c r="I3367" s="846"/>
      <c r="J3367" s="846"/>
      <c r="K3367" s="846"/>
      <c r="L3367" s="846"/>
      <c r="M3367" s="846"/>
      <c r="N3367" s="846"/>
      <c r="O3367" s="846"/>
      <c r="P3367" s="846"/>
      <c r="Q3367" s="846"/>
      <c r="R3367" s="846"/>
      <c r="S3367" s="846"/>
      <c r="T3367" s="846"/>
    </row>
    <row r="3368" spans="2:20" hidden="1">
      <c r="B3368" s="828" t="s">
        <v>6618</v>
      </c>
      <c r="C3368" s="828">
        <v>98308</v>
      </c>
      <c r="D3368" s="630" t="s">
        <v>3403</v>
      </c>
      <c r="E3368" s="630" t="s">
        <v>646</v>
      </c>
      <c r="F3368" s="829">
        <v>27.99</v>
      </c>
      <c r="G3368" s="830">
        <v>8.9600000000000009</v>
      </c>
      <c r="H3368" s="832">
        <v>36.950000000000003</v>
      </c>
      <c r="I3368" s="846"/>
      <c r="J3368" s="846"/>
      <c r="K3368" s="846"/>
      <c r="L3368" s="846"/>
      <c r="M3368" s="846"/>
      <c r="N3368" s="846"/>
      <c r="O3368" s="846"/>
      <c r="P3368" s="846"/>
      <c r="Q3368" s="846"/>
      <c r="R3368" s="846"/>
      <c r="S3368" s="846"/>
      <c r="T3368" s="846"/>
    </row>
    <row r="3369" spans="2:20" ht="25.5" hidden="1">
      <c r="B3369" s="828" t="s">
        <v>6618</v>
      </c>
      <c r="C3369" s="828">
        <v>98593</v>
      </c>
      <c r="D3369" s="630" t="s">
        <v>3404</v>
      </c>
      <c r="E3369" s="630" t="s">
        <v>646</v>
      </c>
      <c r="F3369" s="829">
        <v>2061.89</v>
      </c>
      <c r="G3369" s="830">
        <v>536.42999999999995</v>
      </c>
      <c r="H3369" s="832">
        <v>2598.3200000000002</v>
      </c>
      <c r="I3369" s="846"/>
      <c r="J3369" s="846"/>
      <c r="K3369" s="846"/>
      <c r="L3369" s="846"/>
      <c r="M3369" s="846"/>
      <c r="N3369" s="846"/>
      <c r="O3369" s="846"/>
      <c r="P3369" s="846"/>
      <c r="Q3369" s="846"/>
      <c r="R3369" s="846"/>
      <c r="S3369" s="846"/>
      <c r="T3369" s="846"/>
    </row>
    <row r="3370" spans="2:20" ht="25.5" hidden="1">
      <c r="B3370" s="828" t="s">
        <v>6618</v>
      </c>
      <c r="C3370" s="828">
        <v>100555</v>
      </c>
      <c r="D3370" s="630" t="s">
        <v>7828</v>
      </c>
      <c r="E3370" s="630" t="s">
        <v>646</v>
      </c>
      <c r="F3370" s="829">
        <v>1274.97</v>
      </c>
      <c r="G3370" s="830">
        <v>44.64</v>
      </c>
      <c r="H3370" s="832">
        <v>1319.61</v>
      </c>
      <c r="I3370" s="846"/>
      <c r="J3370" s="846"/>
      <c r="K3370" s="846"/>
      <c r="L3370" s="846"/>
      <c r="M3370" s="846"/>
      <c r="N3370" s="846"/>
      <c r="O3370" s="846"/>
      <c r="P3370" s="846"/>
      <c r="Q3370" s="846"/>
      <c r="R3370" s="846"/>
      <c r="S3370" s="846"/>
      <c r="T3370" s="846"/>
    </row>
    <row r="3371" spans="2:20" ht="25.5" hidden="1">
      <c r="B3371" s="828" t="s">
        <v>6546</v>
      </c>
      <c r="C3371" s="828">
        <v>89355</v>
      </c>
      <c r="D3371" s="630" t="s">
        <v>7829</v>
      </c>
      <c r="E3371" s="630" t="s">
        <v>648</v>
      </c>
      <c r="F3371" s="829">
        <v>7.98</v>
      </c>
      <c r="G3371" s="830">
        <v>14.1</v>
      </c>
      <c r="H3371" s="832">
        <v>22.08</v>
      </c>
      <c r="I3371" s="846"/>
      <c r="J3371" s="846"/>
      <c r="K3371" s="846"/>
      <c r="L3371" s="846"/>
      <c r="M3371" s="846"/>
      <c r="N3371" s="846"/>
      <c r="O3371" s="846"/>
      <c r="P3371" s="846"/>
      <c r="Q3371" s="846"/>
      <c r="R3371" s="846"/>
      <c r="S3371" s="846"/>
      <c r="T3371" s="846"/>
    </row>
    <row r="3372" spans="2:20" ht="25.5" hidden="1">
      <c r="B3372" s="828" t="s">
        <v>6546</v>
      </c>
      <c r="C3372" s="828">
        <v>89356</v>
      </c>
      <c r="D3372" s="630" t="s">
        <v>7830</v>
      </c>
      <c r="E3372" s="630" t="s">
        <v>648</v>
      </c>
      <c r="F3372" s="829">
        <v>9.76</v>
      </c>
      <c r="G3372" s="830">
        <v>16.309999999999999</v>
      </c>
      <c r="H3372" s="832">
        <v>26.07</v>
      </c>
      <c r="I3372" s="846"/>
      <c r="J3372" s="846"/>
      <c r="K3372" s="846"/>
      <c r="L3372" s="846"/>
      <c r="M3372" s="846"/>
      <c r="N3372" s="846"/>
      <c r="O3372" s="846"/>
      <c r="P3372" s="846"/>
      <c r="Q3372" s="846"/>
      <c r="R3372" s="846"/>
      <c r="S3372" s="846"/>
      <c r="T3372" s="846"/>
    </row>
    <row r="3373" spans="2:20" ht="25.5" hidden="1">
      <c r="B3373" s="828" t="s">
        <v>6546</v>
      </c>
      <c r="C3373" s="828">
        <v>89357</v>
      </c>
      <c r="D3373" s="630" t="s">
        <v>7831</v>
      </c>
      <c r="E3373" s="630" t="s">
        <v>648</v>
      </c>
      <c r="F3373" s="829">
        <v>16.91</v>
      </c>
      <c r="G3373" s="830">
        <v>19.440000000000001</v>
      </c>
      <c r="H3373" s="832">
        <v>36.35</v>
      </c>
      <c r="I3373" s="846"/>
      <c r="J3373" s="846"/>
      <c r="K3373" s="846"/>
      <c r="L3373" s="846"/>
      <c r="M3373" s="846"/>
      <c r="N3373" s="846"/>
      <c r="O3373" s="846"/>
      <c r="P3373" s="846"/>
      <c r="Q3373" s="846"/>
      <c r="R3373" s="846"/>
      <c r="S3373" s="846"/>
      <c r="T3373" s="846"/>
    </row>
    <row r="3374" spans="2:20" ht="25.5" hidden="1">
      <c r="B3374" s="828" t="s">
        <v>6546</v>
      </c>
      <c r="C3374" s="828">
        <v>89401</v>
      </c>
      <c r="D3374" s="630" t="s">
        <v>7832</v>
      </c>
      <c r="E3374" s="630" t="s">
        <v>648</v>
      </c>
      <c r="F3374" s="829">
        <v>5.59</v>
      </c>
      <c r="G3374" s="830">
        <v>5.88</v>
      </c>
      <c r="H3374" s="832">
        <v>11.47</v>
      </c>
      <c r="I3374" s="846"/>
      <c r="J3374" s="846"/>
      <c r="K3374" s="846"/>
      <c r="L3374" s="846"/>
      <c r="M3374" s="846"/>
      <c r="N3374" s="846"/>
      <c r="O3374" s="846"/>
      <c r="P3374" s="846"/>
      <c r="Q3374" s="846"/>
      <c r="R3374" s="846"/>
      <c r="S3374" s="846"/>
      <c r="T3374" s="846"/>
    </row>
    <row r="3375" spans="2:20" ht="25.5" hidden="1">
      <c r="B3375" s="828" t="s">
        <v>6546</v>
      </c>
      <c r="C3375" s="828">
        <v>89402</v>
      </c>
      <c r="D3375" s="630" t="s">
        <v>7833</v>
      </c>
      <c r="E3375" s="630" t="s">
        <v>648</v>
      </c>
      <c r="F3375" s="829">
        <v>6.98</v>
      </c>
      <c r="G3375" s="830">
        <v>6.81</v>
      </c>
      <c r="H3375" s="832">
        <v>13.79</v>
      </c>
      <c r="I3375" s="846"/>
      <c r="J3375" s="846"/>
      <c r="K3375" s="846"/>
      <c r="L3375" s="846"/>
      <c r="M3375" s="846"/>
      <c r="N3375" s="846"/>
      <c r="O3375" s="846"/>
      <c r="P3375" s="846"/>
      <c r="Q3375" s="846"/>
      <c r="R3375" s="846"/>
      <c r="S3375" s="846"/>
      <c r="T3375" s="846"/>
    </row>
    <row r="3376" spans="2:20" ht="25.5" hidden="1">
      <c r="B3376" s="828" t="s">
        <v>6546</v>
      </c>
      <c r="C3376" s="828">
        <v>89403</v>
      </c>
      <c r="D3376" s="630" t="s">
        <v>7834</v>
      </c>
      <c r="E3376" s="630" t="s">
        <v>648</v>
      </c>
      <c r="F3376" s="829">
        <v>13.63</v>
      </c>
      <c r="G3376" s="830">
        <v>8.09</v>
      </c>
      <c r="H3376" s="832">
        <v>21.72</v>
      </c>
      <c r="I3376" s="846"/>
      <c r="J3376" s="846"/>
      <c r="K3376" s="846"/>
      <c r="L3376" s="846"/>
      <c r="M3376" s="846"/>
      <c r="N3376" s="846"/>
      <c r="O3376" s="846"/>
      <c r="P3376" s="846"/>
      <c r="Q3376" s="846"/>
      <c r="R3376" s="846"/>
      <c r="S3376" s="846"/>
      <c r="T3376" s="846"/>
    </row>
    <row r="3377" spans="2:20" ht="25.5" hidden="1">
      <c r="B3377" s="828" t="s">
        <v>6546</v>
      </c>
      <c r="C3377" s="828">
        <v>89446</v>
      </c>
      <c r="D3377" s="630" t="s">
        <v>7835</v>
      </c>
      <c r="E3377" s="630" t="s">
        <v>648</v>
      </c>
      <c r="F3377" s="829">
        <v>5.26</v>
      </c>
      <c r="G3377" s="830">
        <v>0.82</v>
      </c>
      <c r="H3377" s="832">
        <v>6.08</v>
      </c>
      <c r="I3377" s="846"/>
      <c r="J3377" s="846"/>
      <c r="K3377" s="846"/>
      <c r="L3377" s="846"/>
      <c r="M3377" s="846"/>
      <c r="N3377" s="846"/>
      <c r="O3377" s="846"/>
      <c r="P3377" s="846"/>
      <c r="Q3377" s="846"/>
      <c r="R3377" s="846"/>
      <c r="S3377" s="846"/>
      <c r="T3377" s="846"/>
    </row>
    <row r="3378" spans="2:20" ht="25.5" hidden="1">
      <c r="B3378" s="828" t="s">
        <v>6546</v>
      </c>
      <c r="C3378" s="828">
        <v>89447</v>
      </c>
      <c r="D3378" s="630" t="s">
        <v>7836</v>
      </c>
      <c r="E3378" s="630" t="s">
        <v>648</v>
      </c>
      <c r="F3378" s="829">
        <v>11.55</v>
      </c>
      <c r="G3378" s="830">
        <v>0.99</v>
      </c>
      <c r="H3378" s="832">
        <v>12.54</v>
      </c>
      <c r="I3378" s="846"/>
      <c r="J3378" s="846"/>
      <c r="K3378" s="846"/>
      <c r="L3378" s="846"/>
      <c r="M3378" s="846"/>
      <c r="N3378" s="846"/>
      <c r="O3378" s="846"/>
      <c r="P3378" s="846"/>
      <c r="Q3378" s="846"/>
      <c r="R3378" s="846"/>
      <c r="S3378" s="846"/>
      <c r="T3378" s="846"/>
    </row>
    <row r="3379" spans="2:20" ht="25.5" hidden="1">
      <c r="B3379" s="828" t="s">
        <v>6546</v>
      </c>
      <c r="C3379" s="828">
        <v>89448</v>
      </c>
      <c r="D3379" s="630" t="s">
        <v>7837</v>
      </c>
      <c r="E3379" s="630" t="s">
        <v>648</v>
      </c>
      <c r="F3379" s="829">
        <v>16.77</v>
      </c>
      <c r="G3379" s="830">
        <v>1.18</v>
      </c>
      <c r="H3379" s="832">
        <v>17.95</v>
      </c>
      <c r="I3379" s="846"/>
      <c r="J3379" s="846"/>
      <c r="K3379" s="846"/>
      <c r="L3379" s="846"/>
      <c r="M3379" s="846"/>
      <c r="N3379" s="846"/>
      <c r="O3379" s="846"/>
      <c r="P3379" s="846"/>
      <c r="Q3379" s="846"/>
      <c r="R3379" s="846"/>
      <c r="S3379" s="846"/>
      <c r="T3379" s="846"/>
    </row>
    <row r="3380" spans="2:20" ht="25.5" hidden="1">
      <c r="B3380" s="828" t="s">
        <v>6546</v>
      </c>
      <c r="C3380" s="828">
        <v>89449</v>
      </c>
      <c r="D3380" s="630" t="s">
        <v>7838</v>
      </c>
      <c r="E3380" s="630" t="s">
        <v>648</v>
      </c>
      <c r="F3380" s="829">
        <v>19.22</v>
      </c>
      <c r="G3380" s="830">
        <v>1.44</v>
      </c>
      <c r="H3380" s="832">
        <v>20.66</v>
      </c>
      <c r="I3380" s="846"/>
      <c r="J3380" s="846"/>
      <c r="K3380" s="846"/>
      <c r="L3380" s="846"/>
      <c r="M3380" s="846"/>
      <c r="N3380" s="846"/>
      <c r="O3380" s="846"/>
      <c r="P3380" s="846"/>
      <c r="Q3380" s="846"/>
      <c r="R3380" s="846"/>
      <c r="S3380" s="846"/>
      <c r="T3380" s="846"/>
    </row>
    <row r="3381" spans="2:20" ht="25.5" hidden="1">
      <c r="B3381" s="828" t="s">
        <v>6546</v>
      </c>
      <c r="C3381" s="828">
        <v>89450</v>
      </c>
      <c r="D3381" s="630" t="s">
        <v>7839</v>
      </c>
      <c r="E3381" s="630" t="s">
        <v>648</v>
      </c>
      <c r="F3381" s="829">
        <v>32.18</v>
      </c>
      <c r="G3381" s="830">
        <v>1.7</v>
      </c>
      <c r="H3381" s="832">
        <v>33.880000000000003</v>
      </c>
      <c r="I3381" s="846"/>
      <c r="J3381" s="846"/>
      <c r="K3381" s="846"/>
      <c r="L3381" s="846"/>
      <c r="M3381" s="846"/>
      <c r="N3381" s="846"/>
      <c r="O3381" s="846"/>
      <c r="P3381" s="846"/>
      <c r="Q3381" s="846"/>
      <c r="R3381" s="846"/>
      <c r="S3381" s="846"/>
      <c r="T3381" s="846"/>
    </row>
    <row r="3382" spans="2:20" ht="25.5" hidden="1">
      <c r="B3382" s="828" t="s">
        <v>6546</v>
      </c>
      <c r="C3382" s="828">
        <v>89451</v>
      </c>
      <c r="D3382" s="630" t="s">
        <v>7840</v>
      </c>
      <c r="E3382" s="630" t="s">
        <v>648</v>
      </c>
      <c r="F3382" s="829">
        <v>53.7</v>
      </c>
      <c r="G3382" s="830">
        <v>2.1</v>
      </c>
      <c r="H3382" s="832">
        <v>55.8</v>
      </c>
      <c r="I3382" s="846"/>
      <c r="J3382" s="846"/>
      <c r="K3382" s="846"/>
      <c r="L3382" s="846"/>
      <c r="M3382" s="846"/>
      <c r="N3382" s="846"/>
      <c r="O3382" s="846"/>
      <c r="P3382" s="846"/>
      <c r="Q3382" s="846"/>
      <c r="R3382" s="846"/>
      <c r="S3382" s="846"/>
      <c r="T3382" s="846"/>
    </row>
    <row r="3383" spans="2:20" ht="25.5" hidden="1">
      <c r="B3383" s="828" t="s">
        <v>6546</v>
      </c>
      <c r="C3383" s="828">
        <v>89452</v>
      </c>
      <c r="D3383" s="630" t="s">
        <v>7841</v>
      </c>
      <c r="E3383" s="630" t="s">
        <v>648</v>
      </c>
      <c r="F3383" s="829">
        <v>67.02</v>
      </c>
      <c r="G3383" s="830">
        <v>2.35</v>
      </c>
      <c r="H3383" s="832">
        <v>69.37</v>
      </c>
      <c r="I3383" s="846"/>
      <c r="J3383" s="846"/>
      <c r="K3383" s="846"/>
      <c r="L3383" s="846"/>
      <c r="M3383" s="846"/>
      <c r="N3383" s="846"/>
      <c r="O3383" s="846"/>
      <c r="P3383" s="846"/>
      <c r="Q3383" s="846"/>
      <c r="R3383" s="846"/>
      <c r="S3383" s="846"/>
      <c r="T3383" s="846"/>
    </row>
    <row r="3384" spans="2:20" ht="25.5" hidden="1">
      <c r="B3384" s="828" t="s">
        <v>6546</v>
      </c>
      <c r="C3384" s="828">
        <v>89508</v>
      </c>
      <c r="D3384" s="630" t="s">
        <v>7842</v>
      </c>
      <c r="E3384" s="630" t="s">
        <v>648</v>
      </c>
      <c r="F3384" s="829">
        <v>19.47</v>
      </c>
      <c r="G3384" s="830">
        <v>6.36</v>
      </c>
      <c r="H3384" s="832">
        <v>25.83</v>
      </c>
      <c r="I3384" s="846"/>
      <c r="J3384" s="846"/>
      <c r="K3384" s="846"/>
      <c r="L3384" s="846"/>
      <c r="M3384" s="846"/>
      <c r="N3384" s="846"/>
      <c r="O3384" s="846"/>
      <c r="P3384" s="846"/>
      <c r="Q3384" s="846"/>
      <c r="R3384" s="846"/>
      <c r="S3384" s="846"/>
      <c r="T3384" s="846"/>
    </row>
    <row r="3385" spans="2:20" ht="25.5" hidden="1">
      <c r="B3385" s="828" t="s">
        <v>6546</v>
      </c>
      <c r="C3385" s="828">
        <v>89509</v>
      </c>
      <c r="D3385" s="630" t="s">
        <v>7843</v>
      </c>
      <c r="E3385" s="630" t="s">
        <v>648</v>
      </c>
      <c r="F3385" s="829">
        <v>26.86</v>
      </c>
      <c r="G3385" s="830">
        <v>8.1199999999999992</v>
      </c>
      <c r="H3385" s="832">
        <v>34.979999999999997</v>
      </c>
      <c r="I3385" s="846"/>
      <c r="J3385" s="846"/>
      <c r="K3385" s="846"/>
      <c r="L3385" s="846"/>
      <c r="M3385" s="846"/>
      <c r="N3385" s="846"/>
      <c r="O3385" s="846"/>
      <c r="P3385" s="846"/>
      <c r="Q3385" s="846"/>
      <c r="R3385" s="846"/>
      <c r="S3385" s="846"/>
      <c r="T3385" s="846"/>
    </row>
    <row r="3386" spans="2:20" ht="25.5" hidden="1">
      <c r="B3386" s="828" t="s">
        <v>6546</v>
      </c>
      <c r="C3386" s="828">
        <v>89511</v>
      </c>
      <c r="D3386" s="630" t="s">
        <v>7844</v>
      </c>
      <c r="E3386" s="630" t="s">
        <v>648</v>
      </c>
      <c r="F3386" s="829">
        <v>38.35</v>
      </c>
      <c r="G3386" s="830">
        <v>12.58</v>
      </c>
      <c r="H3386" s="832">
        <v>50.93</v>
      </c>
      <c r="I3386" s="846"/>
      <c r="J3386" s="846"/>
      <c r="K3386" s="846"/>
      <c r="L3386" s="846"/>
      <c r="M3386" s="846"/>
      <c r="N3386" s="846"/>
      <c r="O3386" s="846"/>
      <c r="P3386" s="846"/>
      <c r="Q3386" s="846"/>
      <c r="R3386" s="846"/>
      <c r="S3386" s="846"/>
      <c r="T3386" s="846"/>
    </row>
    <row r="3387" spans="2:20" ht="25.5" hidden="1">
      <c r="B3387" s="828" t="s">
        <v>6546</v>
      </c>
      <c r="C3387" s="828">
        <v>89512</v>
      </c>
      <c r="D3387" s="630" t="s">
        <v>7845</v>
      </c>
      <c r="E3387" s="630" t="s">
        <v>648</v>
      </c>
      <c r="F3387" s="829">
        <v>64.400000000000006</v>
      </c>
      <c r="G3387" s="830">
        <v>17.239999999999998</v>
      </c>
      <c r="H3387" s="832">
        <v>81.64</v>
      </c>
      <c r="I3387" s="846"/>
      <c r="J3387" s="846"/>
      <c r="K3387" s="846"/>
      <c r="L3387" s="846"/>
      <c r="M3387" s="846"/>
      <c r="N3387" s="846"/>
      <c r="O3387" s="846"/>
      <c r="P3387" s="846"/>
      <c r="Q3387" s="846"/>
      <c r="R3387" s="846"/>
      <c r="S3387" s="846"/>
      <c r="T3387" s="846"/>
    </row>
    <row r="3388" spans="2:20" ht="25.5" hidden="1">
      <c r="B3388" s="828" t="s">
        <v>6546</v>
      </c>
      <c r="C3388" s="828">
        <v>89576</v>
      </c>
      <c r="D3388" s="630" t="s">
        <v>7846</v>
      </c>
      <c r="E3388" s="630" t="s">
        <v>648</v>
      </c>
      <c r="F3388" s="829">
        <v>30.2</v>
      </c>
      <c r="G3388" s="830">
        <v>2.0499999999999998</v>
      </c>
      <c r="H3388" s="832">
        <v>32.25</v>
      </c>
      <c r="I3388" s="846"/>
      <c r="J3388" s="846"/>
      <c r="K3388" s="846"/>
      <c r="L3388" s="846"/>
      <c r="M3388" s="846"/>
      <c r="N3388" s="846"/>
      <c r="O3388" s="846"/>
      <c r="P3388" s="846"/>
      <c r="Q3388" s="846"/>
      <c r="R3388" s="846"/>
      <c r="S3388" s="846"/>
      <c r="T3388" s="846"/>
    </row>
    <row r="3389" spans="2:20" ht="25.5" hidden="1">
      <c r="B3389" s="828" t="s">
        <v>6546</v>
      </c>
      <c r="C3389" s="828">
        <v>89578</v>
      </c>
      <c r="D3389" s="630" t="s">
        <v>7847</v>
      </c>
      <c r="E3389" s="630" t="s">
        <v>648</v>
      </c>
      <c r="F3389" s="829">
        <v>52.66</v>
      </c>
      <c r="G3389" s="830">
        <v>3.22</v>
      </c>
      <c r="H3389" s="832">
        <v>55.88</v>
      </c>
      <c r="I3389" s="846"/>
      <c r="J3389" s="846"/>
      <c r="K3389" s="846"/>
      <c r="L3389" s="846"/>
      <c r="M3389" s="846"/>
      <c r="N3389" s="846"/>
      <c r="O3389" s="846"/>
      <c r="P3389" s="846"/>
      <c r="Q3389" s="846"/>
      <c r="R3389" s="846"/>
      <c r="S3389" s="846"/>
      <c r="T3389" s="846"/>
    </row>
    <row r="3390" spans="2:20" ht="25.5" hidden="1">
      <c r="B3390" s="828" t="s">
        <v>6546</v>
      </c>
      <c r="C3390" s="828">
        <v>89580</v>
      </c>
      <c r="D3390" s="630" t="s">
        <v>7848</v>
      </c>
      <c r="E3390" s="630" t="s">
        <v>648</v>
      </c>
      <c r="F3390" s="829">
        <v>105.88</v>
      </c>
      <c r="G3390" s="830">
        <v>5.59</v>
      </c>
      <c r="H3390" s="832">
        <v>111.47</v>
      </c>
      <c r="I3390" s="846"/>
      <c r="J3390" s="846"/>
      <c r="K3390" s="846"/>
      <c r="L3390" s="846"/>
      <c r="M3390" s="846"/>
      <c r="N3390" s="846"/>
      <c r="O3390" s="846"/>
      <c r="P3390" s="846"/>
      <c r="Q3390" s="846"/>
      <c r="R3390" s="846"/>
      <c r="S3390" s="846"/>
      <c r="T3390" s="846"/>
    </row>
    <row r="3391" spans="2:20" ht="25.5" hidden="1">
      <c r="B3391" s="828" t="s">
        <v>6546</v>
      </c>
      <c r="C3391" s="828">
        <v>89633</v>
      </c>
      <c r="D3391" s="630" t="s">
        <v>7849</v>
      </c>
      <c r="E3391" s="630" t="s">
        <v>648</v>
      </c>
      <c r="F3391" s="829">
        <v>18.12</v>
      </c>
      <c r="G3391" s="830">
        <v>11.83</v>
      </c>
      <c r="H3391" s="832">
        <v>29.95</v>
      </c>
      <c r="I3391" s="846"/>
      <c r="J3391" s="846"/>
      <c r="K3391" s="846"/>
      <c r="L3391" s="846"/>
      <c r="M3391" s="846"/>
      <c r="N3391" s="846"/>
      <c r="O3391" s="846"/>
      <c r="P3391" s="846"/>
      <c r="Q3391" s="846"/>
      <c r="R3391" s="846"/>
      <c r="S3391" s="846"/>
      <c r="T3391" s="846"/>
    </row>
    <row r="3392" spans="2:20" ht="25.5" hidden="1">
      <c r="B3392" s="828" t="s">
        <v>6546</v>
      </c>
      <c r="C3392" s="828">
        <v>89634</v>
      </c>
      <c r="D3392" s="630" t="s">
        <v>7850</v>
      </c>
      <c r="E3392" s="630" t="s">
        <v>648</v>
      </c>
      <c r="F3392" s="829">
        <v>30.49</v>
      </c>
      <c r="G3392" s="830">
        <v>14.93</v>
      </c>
      <c r="H3392" s="831">
        <v>45.42</v>
      </c>
      <c r="I3392" s="846"/>
      <c r="J3392" s="846"/>
      <c r="K3392" s="846"/>
      <c r="L3392" s="846"/>
      <c r="M3392" s="846"/>
      <c r="N3392" s="846"/>
      <c r="O3392" s="846"/>
      <c r="P3392" s="846"/>
      <c r="Q3392" s="846"/>
      <c r="R3392" s="846"/>
      <c r="S3392" s="846"/>
      <c r="T3392" s="846"/>
    </row>
    <row r="3393" spans="2:20" ht="25.5" hidden="1">
      <c r="B3393" s="828" t="s">
        <v>6546</v>
      </c>
      <c r="C3393" s="828">
        <v>89635</v>
      </c>
      <c r="D3393" s="630" t="s">
        <v>7851</v>
      </c>
      <c r="E3393" s="630" t="s">
        <v>648</v>
      </c>
      <c r="F3393" s="829">
        <v>47.13</v>
      </c>
      <c r="G3393" s="830">
        <v>17.61</v>
      </c>
      <c r="H3393" s="831">
        <v>64.739999999999995</v>
      </c>
      <c r="I3393" s="846"/>
      <c r="J3393" s="846"/>
      <c r="K3393" s="846"/>
      <c r="L3393" s="846"/>
      <c r="M3393" s="846"/>
      <c r="N3393" s="846"/>
      <c r="O3393" s="846"/>
      <c r="P3393" s="846"/>
      <c r="Q3393" s="846"/>
      <c r="R3393" s="846"/>
      <c r="S3393" s="846"/>
      <c r="T3393" s="846"/>
    </row>
    <row r="3394" spans="2:20" ht="25.5" hidden="1">
      <c r="B3394" s="828" t="s">
        <v>6546</v>
      </c>
      <c r="C3394" s="828">
        <v>89636</v>
      </c>
      <c r="D3394" s="630" t="s">
        <v>7852</v>
      </c>
      <c r="E3394" s="630" t="s">
        <v>648</v>
      </c>
      <c r="F3394" s="829">
        <v>58.03</v>
      </c>
      <c r="G3394" s="830">
        <v>20.76</v>
      </c>
      <c r="H3394" s="831">
        <v>78.790000000000006</v>
      </c>
      <c r="I3394" s="846"/>
      <c r="J3394" s="846"/>
      <c r="K3394" s="846"/>
      <c r="L3394" s="846"/>
      <c r="M3394" s="846"/>
      <c r="N3394" s="846"/>
      <c r="O3394" s="846"/>
      <c r="P3394" s="846"/>
      <c r="Q3394" s="846"/>
      <c r="R3394" s="846"/>
      <c r="S3394" s="846"/>
      <c r="T3394" s="846"/>
    </row>
    <row r="3395" spans="2:20" ht="38.25" hidden="1">
      <c r="B3395" s="828" t="s">
        <v>6546</v>
      </c>
      <c r="C3395" s="828">
        <v>89711</v>
      </c>
      <c r="D3395" s="630" t="s">
        <v>1423</v>
      </c>
      <c r="E3395" s="630" t="s">
        <v>648</v>
      </c>
      <c r="F3395" s="829">
        <v>11.29</v>
      </c>
      <c r="G3395" s="830">
        <v>12.88</v>
      </c>
      <c r="H3395" s="831">
        <v>24.17</v>
      </c>
      <c r="I3395" s="846"/>
      <c r="J3395" s="846"/>
      <c r="K3395" s="846"/>
      <c r="L3395" s="846"/>
      <c r="M3395" s="846"/>
      <c r="N3395" s="846"/>
      <c r="O3395" s="846"/>
      <c r="P3395" s="846"/>
      <c r="Q3395" s="846"/>
      <c r="R3395" s="846"/>
      <c r="S3395" s="846"/>
      <c r="T3395" s="846"/>
    </row>
    <row r="3396" spans="2:20" ht="38.25" hidden="1">
      <c r="B3396" s="828" t="s">
        <v>6546</v>
      </c>
      <c r="C3396" s="828">
        <v>89712</v>
      </c>
      <c r="D3396" s="630" t="s">
        <v>1424</v>
      </c>
      <c r="E3396" s="630" t="s">
        <v>648</v>
      </c>
      <c r="F3396" s="829">
        <v>19.71</v>
      </c>
      <c r="G3396" s="830">
        <v>16.29</v>
      </c>
      <c r="H3396" s="831">
        <v>36</v>
      </c>
      <c r="I3396" s="846"/>
      <c r="J3396" s="846"/>
      <c r="K3396" s="846"/>
      <c r="L3396" s="846"/>
      <c r="M3396" s="846"/>
      <c r="N3396" s="846"/>
      <c r="O3396" s="846"/>
      <c r="P3396" s="846"/>
      <c r="Q3396" s="846"/>
      <c r="R3396" s="846"/>
      <c r="S3396" s="846"/>
      <c r="T3396" s="846"/>
    </row>
    <row r="3397" spans="2:20" ht="38.25" hidden="1">
      <c r="B3397" s="828" t="s">
        <v>6546</v>
      </c>
      <c r="C3397" s="828">
        <v>89713</v>
      </c>
      <c r="D3397" s="630" t="s">
        <v>1425</v>
      </c>
      <c r="E3397" s="630" t="s">
        <v>648</v>
      </c>
      <c r="F3397" s="829">
        <v>30.52</v>
      </c>
      <c r="G3397" s="843">
        <v>24.01</v>
      </c>
      <c r="H3397" s="832">
        <v>54.53</v>
      </c>
      <c r="I3397" s="846"/>
      <c r="J3397" s="846"/>
      <c r="K3397" s="846"/>
      <c r="L3397" s="846"/>
      <c r="M3397" s="846"/>
      <c r="N3397" s="846"/>
      <c r="O3397" s="846"/>
      <c r="P3397" s="846"/>
      <c r="Q3397" s="846"/>
      <c r="R3397" s="846"/>
      <c r="S3397" s="846"/>
      <c r="T3397" s="846"/>
    </row>
    <row r="3398" spans="2:20" ht="38.25" hidden="1">
      <c r="B3398" s="828" t="s">
        <v>6546</v>
      </c>
      <c r="C3398" s="828">
        <v>89714</v>
      </c>
      <c r="D3398" s="630" t="s">
        <v>1426</v>
      </c>
      <c r="E3398" s="630" t="s">
        <v>648</v>
      </c>
      <c r="F3398" s="829">
        <v>37.72</v>
      </c>
      <c r="G3398" s="843">
        <v>31.74</v>
      </c>
      <c r="H3398" s="832">
        <v>69.459999999999994</v>
      </c>
      <c r="I3398" s="846"/>
      <c r="J3398" s="846"/>
      <c r="K3398" s="846"/>
      <c r="L3398" s="846"/>
      <c r="M3398" s="846"/>
      <c r="N3398" s="846"/>
      <c r="O3398" s="846"/>
      <c r="P3398" s="846"/>
      <c r="Q3398" s="846"/>
      <c r="R3398" s="846"/>
      <c r="S3398" s="846"/>
      <c r="T3398" s="846"/>
    </row>
    <row r="3399" spans="2:20" ht="25.5" hidden="1">
      <c r="B3399" s="828" t="s">
        <v>6546</v>
      </c>
      <c r="C3399" s="828">
        <v>89716</v>
      </c>
      <c r="D3399" s="630" t="s">
        <v>7853</v>
      </c>
      <c r="E3399" s="630" t="s">
        <v>648</v>
      </c>
      <c r="F3399" s="829">
        <v>28.02</v>
      </c>
      <c r="G3399" s="830">
        <v>6.22</v>
      </c>
      <c r="H3399" s="831">
        <v>34.24</v>
      </c>
      <c r="I3399" s="846"/>
      <c r="J3399" s="846"/>
      <c r="K3399" s="846"/>
      <c r="L3399" s="846"/>
      <c r="M3399" s="846"/>
      <c r="N3399" s="846"/>
      <c r="O3399" s="846"/>
      <c r="P3399" s="846"/>
      <c r="Q3399" s="846"/>
      <c r="R3399" s="846"/>
      <c r="S3399" s="846"/>
      <c r="T3399" s="846"/>
    </row>
    <row r="3400" spans="2:20" ht="25.5" hidden="1">
      <c r="B3400" s="828" t="s">
        <v>6546</v>
      </c>
      <c r="C3400" s="828">
        <v>89717</v>
      </c>
      <c r="D3400" s="630" t="s">
        <v>7854</v>
      </c>
      <c r="E3400" s="630" t="s">
        <v>648</v>
      </c>
      <c r="F3400" s="829">
        <v>44.22</v>
      </c>
      <c r="G3400" s="830">
        <v>7.33</v>
      </c>
      <c r="H3400" s="831">
        <v>51.55</v>
      </c>
      <c r="I3400" s="846"/>
      <c r="J3400" s="846"/>
      <c r="K3400" s="846"/>
      <c r="L3400" s="846"/>
      <c r="M3400" s="846"/>
      <c r="N3400" s="846"/>
      <c r="O3400" s="846"/>
      <c r="P3400" s="846"/>
      <c r="Q3400" s="846"/>
      <c r="R3400" s="846"/>
      <c r="S3400" s="846"/>
      <c r="T3400" s="846"/>
    </row>
    <row r="3401" spans="2:20" ht="25.5" hidden="1">
      <c r="B3401" s="828" t="s">
        <v>6546</v>
      </c>
      <c r="C3401" s="828">
        <v>89770</v>
      </c>
      <c r="D3401" s="630" t="s">
        <v>7855</v>
      </c>
      <c r="E3401" s="630" t="s">
        <v>648</v>
      </c>
      <c r="F3401" s="829">
        <v>52.47</v>
      </c>
      <c r="G3401" s="830">
        <v>1.04</v>
      </c>
      <c r="H3401" s="831">
        <v>53.51</v>
      </c>
      <c r="I3401" s="846"/>
      <c r="J3401" s="846"/>
      <c r="K3401" s="846"/>
      <c r="L3401" s="846"/>
      <c r="M3401" s="846"/>
      <c r="N3401" s="846"/>
      <c r="O3401" s="846"/>
      <c r="P3401" s="846"/>
      <c r="Q3401" s="846"/>
      <c r="R3401" s="846"/>
      <c r="S3401" s="846"/>
      <c r="T3401" s="846"/>
    </row>
    <row r="3402" spans="2:20" ht="25.5" hidden="1">
      <c r="B3402" s="828" t="s">
        <v>6546</v>
      </c>
      <c r="C3402" s="828">
        <v>89771</v>
      </c>
      <c r="D3402" s="630" t="s">
        <v>7856</v>
      </c>
      <c r="E3402" s="630" t="s">
        <v>648</v>
      </c>
      <c r="F3402" s="829">
        <v>71.87</v>
      </c>
      <c r="G3402" s="830">
        <v>1.23</v>
      </c>
      <c r="H3402" s="831">
        <v>73.099999999999994</v>
      </c>
      <c r="I3402" s="846"/>
      <c r="J3402" s="846"/>
      <c r="K3402" s="846"/>
      <c r="L3402" s="846"/>
      <c r="M3402" s="846"/>
      <c r="N3402" s="846"/>
      <c r="O3402" s="846"/>
      <c r="P3402" s="846"/>
      <c r="Q3402" s="846"/>
      <c r="R3402" s="846"/>
      <c r="S3402" s="846"/>
      <c r="T3402" s="846"/>
    </row>
    <row r="3403" spans="2:20" ht="25.5" hidden="1">
      <c r="B3403" s="828" t="s">
        <v>6546</v>
      </c>
      <c r="C3403" s="828">
        <v>89773</v>
      </c>
      <c r="D3403" s="630" t="s">
        <v>7857</v>
      </c>
      <c r="E3403" s="630" t="s">
        <v>648</v>
      </c>
      <c r="F3403" s="829">
        <v>167.99</v>
      </c>
      <c r="G3403" s="830">
        <v>2.0499999999999998</v>
      </c>
      <c r="H3403" s="831">
        <v>170.04</v>
      </c>
      <c r="I3403" s="846"/>
      <c r="J3403" s="846"/>
      <c r="K3403" s="846"/>
      <c r="L3403" s="846"/>
      <c r="M3403" s="846"/>
      <c r="N3403" s="846"/>
      <c r="O3403" s="846"/>
      <c r="P3403" s="846"/>
      <c r="Q3403" s="846"/>
      <c r="R3403" s="846"/>
      <c r="S3403" s="846"/>
      <c r="T3403" s="846"/>
    </row>
    <row r="3404" spans="2:20" ht="25.5" hidden="1">
      <c r="B3404" s="828" t="s">
        <v>6546</v>
      </c>
      <c r="C3404" s="828">
        <v>89775</v>
      </c>
      <c r="D3404" s="630" t="s">
        <v>7858</v>
      </c>
      <c r="E3404" s="630" t="s">
        <v>648</v>
      </c>
      <c r="F3404" s="829">
        <v>266</v>
      </c>
      <c r="G3404" s="830">
        <v>2.4500000000000002</v>
      </c>
      <c r="H3404" s="831">
        <v>268.45</v>
      </c>
      <c r="I3404" s="846"/>
      <c r="J3404" s="846"/>
      <c r="K3404" s="846"/>
      <c r="L3404" s="846"/>
      <c r="M3404" s="846"/>
      <c r="N3404" s="846"/>
      <c r="O3404" s="846"/>
      <c r="P3404" s="846"/>
      <c r="Q3404" s="846"/>
      <c r="R3404" s="846"/>
      <c r="S3404" s="846"/>
      <c r="T3404" s="846"/>
    </row>
    <row r="3405" spans="2:20" ht="38.25" hidden="1">
      <c r="B3405" s="828" t="s">
        <v>6546</v>
      </c>
      <c r="C3405" s="828">
        <v>89798</v>
      </c>
      <c r="D3405" s="630" t="s">
        <v>1427</v>
      </c>
      <c r="E3405" s="630" t="s">
        <v>648</v>
      </c>
      <c r="F3405" s="829">
        <v>14.05</v>
      </c>
      <c r="G3405" s="830">
        <v>2.12</v>
      </c>
      <c r="H3405" s="832">
        <v>16.170000000000002</v>
      </c>
      <c r="I3405" s="846"/>
      <c r="J3405" s="846"/>
      <c r="K3405" s="846"/>
      <c r="L3405" s="846"/>
      <c r="M3405" s="846"/>
      <c r="N3405" s="846"/>
      <c r="O3405" s="846"/>
      <c r="P3405" s="846"/>
      <c r="Q3405" s="846"/>
      <c r="R3405" s="846"/>
      <c r="S3405" s="846"/>
      <c r="T3405" s="846"/>
    </row>
    <row r="3406" spans="2:20" ht="38.25" hidden="1">
      <c r="B3406" s="828" t="s">
        <v>6546</v>
      </c>
      <c r="C3406" s="828">
        <v>89799</v>
      </c>
      <c r="D3406" s="630" t="s">
        <v>1428</v>
      </c>
      <c r="E3406" s="630" t="s">
        <v>648</v>
      </c>
      <c r="F3406" s="829">
        <v>21.43</v>
      </c>
      <c r="G3406" s="830">
        <v>4.7</v>
      </c>
      <c r="H3406" s="831">
        <v>26.13</v>
      </c>
      <c r="I3406" s="846"/>
      <c r="J3406" s="846"/>
      <c r="K3406" s="846"/>
      <c r="L3406" s="846"/>
      <c r="M3406" s="846"/>
      <c r="N3406" s="846"/>
      <c r="O3406" s="846"/>
      <c r="P3406" s="846"/>
      <c r="Q3406" s="846"/>
      <c r="R3406" s="846"/>
      <c r="S3406" s="846"/>
      <c r="T3406" s="846"/>
    </row>
    <row r="3407" spans="2:20" ht="38.25" hidden="1">
      <c r="B3407" s="828" t="s">
        <v>6546</v>
      </c>
      <c r="C3407" s="828">
        <v>89800</v>
      </c>
      <c r="D3407" s="630" t="s">
        <v>1429</v>
      </c>
      <c r="E3407" s="630" t="s">
        <v>648</v>
      </c>
      <c r="F3407" s="829">
        <v>25.24</v>
      </c>
      <c r="G3407" s="830">
        <v>6.86</v>
      </c>
      <c r="H3407" s="831">
        <v>32.1</v>
      </c>
      <c r="I3407" s="846"/>
      <c r="J3407" s="846"/>
      <c r="K3407" s="846"/>
      <c r="L3407" s="846"/>
      <c r="M3407" s="846"/>
      <c r="N3407" s="846"/>
      <c r="O3407" s="846"/>
      <c r="P3407" s="846"/>
      <c r="Q3407" s="846"/>
      <c r="R3407" s="846"/>
      <c r="S3407" s="846"/>
      <c r="T3407" s="846"/>
    </row>
    <row r="3408" spans="2:20" ht="25.5" hidden="1">
      <c r="B3408" s="828" t="s">
        <v>6546</v>
      </c>
      <c r="C3408" s="828">
        <v>89848</v>
      </c>
      <c r="D3408" s="630" t="s">
        <v>1430</v>
      </c>
      <c r="E3408" s="630" t="s">
        <v>648</v>
      </c>
      <c r="F3408" s="829">
        <v>27.07</v>
      </c>
      <c r="G3408" s="830">
        <v>11.58</v>
      </c>
      <c r="H3408" s="832">
        <v>38.65</v>
      </c>
      <c r="I3408" s="846"/>
      <c r="J3408" s="846"/>
      <c r="K3408" s="846"/>
      <c r="L3408" s="846"/>
      <c r="M3408" s="846"/>
      <c r="N3408" s="846"/>
      <c r="O3408" s="846"/>
      <c r="P3408" s="846"/>
      <c r="Q3408" s="846"/>
      <c r="R3408" s="846"/>
      <c r="S3408" s="846"/>
      <c r="T3408" s="846"/>
    </row>
    <row r="3409" spans="2:20" ht="25.5" hidden="1">
      <c r="B3409" s="828" t="s">
        <v>6546</v>
      </c>
      <c r="C3409" s="828">
        <v>89849</v>
      </c>
      <c r="D3409" s="630" t="s">
        <v>1431</v>
      </c>
      <c r="E3409" s="630" t="s">
        <v>648</v>
      </c>
      <c r="F3409" s="829">
        <v>61.49</v>
      </c>
      <c r="G3409" s="830">
        <v>15.84</v>
      </c>
      <c r="H3409" s="831">
        <v>77.33</v>
      </c>
      <c r="I3409" s="846"/>
      <c r="J3409" s="846"/>
      <c r="K3409" s="846"/>
      <c r="L3409" s="846"/>
      <c r="M3409" s="846"/>
      <c r="N3409" s="846"/>
      <c r="O3409" s="846"/>
      <c r="P3409" s="846"/>
      <c r="Q3409" s="846"/>
      <c r="R3409" s="846"/>
      <c r="S3409" s="846"/>
      <c r="T3409" s="846"/>
    </row>
    <row r="3410" spans="2:20" ht="25.5" hidden="1">
      <c r="B3410" s="828" t="s">
        <v>6546</v>
      </c>
      <c r="C3410" s="828">
        <v>89865</v>
      </c>
      <c r="D3410" s="630" t="s">
        <v>1357</v>
      </c>
      <c r="E3410" s="630" t="s">
        <v>648</v>
      </c>
      <c r="F3410" s="829">
        <v>7.41</v>
      </c>
      <c r="G3410" s="830">
        <v>8.16</v>
      </c>
      <c r="H3410" s="831">
        <v>15.57</v>
      </c>
      <c r="I3410" s="846"/>
      <c r="J3410" s="846"/>
      <c r="K3410" s="846"/>
      <c r="L3410" s="846"/>
      <c r="M3410" s="846"/>
      <c r="N3410" s="846"/>
      <c r="O3410" s="846"/>
      <c r="P3410" s="846"/>
      <c r="Q3410" s="846"/>
      <c r="R3410" s="846"/>
      <c r="S3410" s="846"/>
      <c r="T3410" s="846"/>
    </row>
    <row r="3411" spans="2:20" ht="51" hidden="1">
      <c r="B3411" s="828" t="s">
        <v>6546</v>
      </c>
      <c r="C3411" s="828">
        <v>91784</v>
      </c>
      <c r="D3411" s="630" t="s">
        <v>1209</v>
      </c>
      <c r="E3411" s="630" t="s">
        <v>648</v>
      </c>
      <c r="F3411" s="829">
        <v>19.899999999999999</v>
      </c>
      <c r="G3411" s="830">
        <v>31.68</v>
      </c>
      <c r="H3411" s="831">
        <v>51.58</v>
      </c>
      <c r="I3411" s="846"/>
      <c r="J3411" s="846"/>
      <c r="K3411" s="846"/>
      <c r="L3411" s="846"/>
      <c r="M3411" s="846"/>
      <c r="N3411" s="846"/>
      <c r="O3411" s="846"/>
      <c r="P3411" s="846"/>
      <c r="Q3411" s="846"/>
      <c r="R3411" s="846"/>
      <c r="S3411" s="846"/>
      <c r="T3411" s="846"/>
    </row>
    <row r="3412" spans="2:20" ht="51" hidden="1">
      <c r="B3412" s="828" t="s">
        <v>6546</v>
      </c>
      <c r="C3412" s="828">
        <v>91785</v>
      </c>
      <c r="D3412" s="630" t="s">
        <v>1210</v>
      </c>
      <c r="E3412" s="630" t="s">
        <v>648</v>
      </c>
      <c r="F3412" s="829">
        <v>20.29</v>
      </c>
      <c r="G3412" s="830">
        <v>30.75</v>
      </c>
      <c r="H3412" s="831">
        <v>51.04</v>
      </c>
      <c r="I3412" s="846"/>
      <c r="J3412" s="846"/>
      <c r="K3412" s="846"/>
      <c r="L3412" s="846"/>
      <c r="M3412" s="846"/>
      <c r="N3412" s="846"/>
      <c r="O3412" s="846"/>
      <c r="P3412" s="846"/>
      <c r="Q3412" s="846"/>
      <c r="R3412" s="846"/>
      <c r="S3412" s="846"/>
      <c r="T3412" s="846"/>
    </row>
    <row r="3413" spans="2:20" ht="51" hidden="1">
      <c r="B3413" s="828" t="s">
        <v>6546</v>
      </c>
      <c r="C3413" s="828">
        <v>91786</v>
      </c>
      <c r="D3413" s="630" t="s">
        <v>1211</v>
      </c>
      <c r="E3413" s="630" t="s">
        <v>648</v>
      </c>
      <c r="F3413" s="829">
        <v>22.92</v>
      </c>
      <c r="G3413" s="830">
        <v>13.41</v>
      </c>
      <c r="H3413" s="831">
        <v>36.33</v>
      </c>
      <c r="I3413" s="846"/>
      <c r="J3413" s="846"/>
      <c r="K3413" s="846"/>
      <c r="L3413" s="846"/>
      <c r="M3413" s="846"/>
      <c r="N3413" s="846"/>
      <c r="O3413" s="846"/>
      <c r="P3413" s="846"/>
      <c r="Q3413" s="846"/>
      <c r="R3413" s="846"/>
      <c r="S3413" s="846"/>
      <c r="T3413" s="846"/>
    </row>
    <row r="3414" spans="2:20" ht="38.25" hidden="1">
      <c r="B3414" s="828" t="s">
        <v>6546</v>
      </c>
      <c r="C3414" s="828">
        <v>91787</v>
      </c>
      <c r="D3414" s="630" t="s">
        <v>1212</v>
      </c>
      <c r="E3414" s="630" t="s">
        <v>648</v>
      </c>
      <c r="F3414" s="829">
        <v>33.03</v>
      </c>
      <c r="G3414" s="830">
        <v>5.98</v>
      </c>
      <c r="H3414" s="831">
        <v>39.01</v>
      </c>
      <c r="I3414" s="846"/>
      <c r="J3414" s="846"/>
      <c r="K3414" s="846"/>
      <c r="L3414" s="846"/>
      <c r="M3414" s="846"/>
      <c r="N3414" s="846"/>
      <c r="O3414" s="846"/>
      <c r="P3414" s="846"/>
      <c r="Q3414" s="846"/>
      <c r="R3414" s="846"/>
      <c r="S3414" s="846"/>
      <c r="T3414" s="846"/>
    </row>
    <row r="3415" spans="2:20" ht="38.25" hidden="1">
      <c r="B3415" s="828" t="s">
        <v>6546</v>
      </c>
      <c r="C3415" s="828">
        <v>91788</v>
      </c>
      <c r="D3415" s="630" t="s">
        <v>1213</v>
      </c>
      <c r="E3415" s="630" t="s">
        <v>648</v>
      </c>
      <c r="F3415" s="829">
        <v>39.729999999999997</v>
      </c>
      <c r="G3415" s="830">
        <v>9.84</v>
      </c>
      <c r="H3415" s="831">
        <v>49.57</v>
      </c>
      <c r="I3415" s="846"/>
      <c r="J3415" s="846"/>
      <c r="K3415" s="846"/>
      <c r="L3415" s="846"/>
      <c r="M3415" s="846"/>
      <c r="N3415" s="846"/>
      <c r="O3415" s="846"/>
      <c r="P3415" s="846"/>
      <c r="Q3415" s="846"/>
      <c r="R3415" s="846"/>
      <c r="S3415" s="846"/>
      <c r="T3415" s="846"/>
    </row>
    <row r="3416" spans="2:20" ht="51" hidden="1">
      <c r="B3416" s="828" t="s">
        <v>6546</v>
      </c>
      <c r="C3416" s="828">
        <v>91789</v>
      </c>
      <c r="D3416" s="630" t="s">
        <v>1571</v>
      </c>
      <c r="E3416" s="630" t="s">
        <v>648</v>
      </c>
      <c r="F3416" s="829">
        <v>53.11</v>
      </c>
      <c r="G3416" s="830">
        <v>8.41</v>
      </c>
      <c r="H3416" s="831">
        <v>61.52</v>
      </c>
      <c r="I3416" s="846"/>
      <c r="J3416" s="846"/>
      <c r="K3416" s="846"/>
      <c r="L3416" s="846"/>
      <c r="M3416" s="846"/>
      <c r="N3416" s="846"/>
      <c r="O3416" s="846"/>
      <c r="P3416" s="846"/>
      <c r="Q3416" s="846"/>
      <c r="R3416" s="846"/>
      <c r="S3416" s="846"/>
      <c r="T3416" s="846"/>
    </row>
    <row r="3417" spans="2:20" ht="51" hidden="1">
      <c r="B3417" s="828" t="s">
        <v>6546</v>
      </c>
      <c r="C3417" s="828">
        <v>91790</v>
      </c>
      <c r="D3417" s="630" t="s">
        <v>1572</v>
      </c>
      <c r="E3417" s="630" t="s">
        <v>648</v>
      </c>
      <c r="F3417" s="829">
        <v>75.540000000000006</v>
      </c>
      <c r="G3417" s="830">
        <v>14.87</v>
      </c>
      <c r="H3417" s="831">
        <v>90.41</v>
      </c>
      <c r="I3417" s="846"/>
      <c r="J3417" s="846"/>
      <c r="K3417" s="846"/>
      <c r="L3417" s="846"/>
      <c r="M3417" s="846"/>
      <c r="N3417" s="846"/>
      <c r="O3417" s="846"/>
      <c r="P3417" s="846"/>
      <c r="Q3417" s="846"/>
      <c r="R3417" s="846"/>
      <c r="S3417" s="846"/>
      <c r="T3417" s="846"/>
    </row>
    <row r="3418" spans="2:20" ht="51" hidden="1">
      <c r="B3418" s="828" t="s">
        <v>6546</v>
      </c>
      <c r="C3418" s="828">
        <v>91791</v>
      </c>
      <c r="D3418" s="630" t="s">
        <v>1466</v>
      </c>
      <c r="E3418" s="630" t="s">
        <v>648</v>
      </c>
      <c r="F3418" s="829">
        <v>112.61</v>
      </c>
      <c r="G3418" s="830">
        <v>6.92</v>
      </c>
      <c r="H3418" s="831">
        <v>119.53</v>
      </c>
      <c r="I3418" s="846"/>
      <c r="J3418" s="846"/>
      <c r="K3418" s="846"/>
      <c r="L3418" s="846"/>
      <c r="M3418" s="846"/>
      <c r="N3418" s="846"/>
      <c r="O3418" s="846"/>
      <c r="P3418" s="846"/>
      <c r="Q3418" s="846"/>
      <c r="R3418" s="846"/>
      <c r="S3418" s="846"/>
      <c r="T3418" s="846"/>
    </row>
    <row r="3419" spans="2:20" ht="51" hidden="1">
      <c r="B3419" s="828" t="s">
        <v>6546</v>
      </c>
      <c r="C3419" s="828">
        <v>91792</v>
      </c>
      <c r="D3419" s="630" t="s">
        <v>1326</v>
      </c>
      <c r="E3419" s="630" t="s">
        <v>648</v>
      </c>
      <c r="F3419" s="829">
        <v>31.09</v>
      </c>
      <c r="G3419" s="830">
        <v>38.520000000000003</v>
      </c>
      <c r="H3419" s="831">
        <v>69.61</v>
      </c>
      <c r="I3419" s="846"/>
      <c r="J3419" s="846"/>
      <c r="K3419" s="846"/>
      <c r="L3419" s="846"/>
      <c r="M3419" s="846"/>
      <c r="N3419" s="846"/>
      <c r="O3419" s="846"/>
      <c r="P3419" s="846"/>
      <c r="Q3419" s="846"/>
      <c r="R3419" s="846"/>
      <c r="S3419" s="846"/>
      <c r="T3419" s="846"/>
    </row>
    <row r="3420" spans="2:20" ht="51" hidden="1">
      <c r="B3420" s="828" t="s">
        <v>6546</v>
      </c>
      <c r="C3420" s="828">
        <v>91793</v>
      </c>
      <c r="D3420" s="630" t="s">
        <v>1419</v>
      </c>
      <c r="E3420" s="630" t="s">
        <v>648</v>
      </c>
      <c r="F3420" s="829">
        <v>54.7</v>
      </c>
      <c r="G3420" s="830">
        <v>47.7</v>
      </c>
      <c r="H3420" s="831">
        <v>102.4</v>
      </c>
      <c r="I3420" s="846"/>
      <c r="J3420" s="846"/>
      <c r="K3420" s="846"/>
      <c r="L3420" s="846"/>
      <c r="M3420" s="846"/>
      <c r="N3420" s="846"/>
      <c r="O3420" s="846"/>
      <c r="P3420" s="846"/>
      <c r="Q3420" s="846"/>
      <c r="R3420" s="846"/>
      <c r="S3420" s="846"/>
      <c r="T3420" s="846"/>
    </row>
    <row r="3421" spans="2:20" ht="51" hidden="1">
      <c r="B3421" s="828" t="s">
        <v>6546</v>
      </c>
      <c r="C3421" s="828">
        <v>91794</v>
      </c>
      <c r="D3421" s="630" t="s">
        <v>1420</v>
      </c>
      <c r="E3421" s="630" t="s">
        <v>648</v>
      </c>
      <c r="F3421" s="829">
        <v>35.86</v>
      </c>
      <c r="G3421" s="830">
        <v>14.23</v>
      </c>
      <c r="H3421" s="831">
        <v>50.09</v>
      </c>
      <c r="I3421" s="846"/>
      <c r="J3421" s="846"/>
      <c r="K3421" s="846"/>
      <c r="L3421" s="846"/>
      <c r="M3421" s="846"/>
      <c r="N3421" s="846"/>
      <c r="O3421" s="846"/>
      <c r="P3421" s="846"/>
      <c r="Q3421" s="846"/>
      <c r="R3421" s="846"/>
      <c r="S3421" s="846"/>
      <c r="T3421" s="846"/>
    </row>
    <row r="3422" spans="2:20" ht="51" hidden="1">
      <c r="B3422" s="828" t="s">
        <v>6546</v>
      </c>
      <c r="C3422" s="828">
        <v>91795</v>
      </c>
      <c r="D3422" s="630" t="s">
        <v>1421</v>
      </c>
      <c r="E3422" s="630" t="s">
        <v>648</v>
      </c>
      <c r="F3422" s="829">
        <v>55.74</v>
      </c>
      <c r="G3422" s="830">
        <v>27.98</v>
      </c>
      <c r="H3422" s="831">
        <v>83.72</v>
      </c>
      <c r="I3422" s="846"/>
      <c r="J3422" s="846"/>
      <c r="K3422" s="846"/>
      <c r="L3422" s="846"/>
      <c r="M3422" s="846"/>
      <c r="N3422" s="846"/>
      <c r="O3422" s="846"/>
      <c r="P3422" s="846"/>
      <c r="Q3422" s="846"/>
      <c r="R3422" s="846"/>
      <c r="S3422" s="846"/>
      <c r="T3422" s="846"/>
    </row>
    <row r="3423" spans="2:20" ht="51" hidden="1">
      <c r="B3423" s="828" t="s">
        <v>6546</v>
      </c>
      <c r="C3423" s="828">
        <v>91796</v>
      </c>
      <c r="D3423" s="630" t="s">
        <v>1422</v>
      </c>
      <c r="E3423" s="630" t="s">
        <v>648</v>
      </c>
      <c r="F3423" s="829">
        <v>68.849999999999994</v>
      </c>
      <c r="G3423" s="830">
        <v>24.7</v>
      </c>
      <c r="H3423" s="831">
        <v>93.55</v>
      </c>
      <c r="I3423" s="846"/>
      <c r="J3423" s="846"/>
      <c r="K3423" s="846"/>
      <c r="L3423" s="846"/>
      <c r="M3423" s="846"/>
      <c r="N3423" s="846"/>
      <c r="O3423" s="846"/>
      <c r="P3423" s="846"/>
      <c r="Q3423" s="846"/>
      <c r="R3423" s="846"/>
      <c r="S3423" s="846"/>
      <c r="T3423" s="846"/>
    </row>
    <row r="3424" spans="2:20" ht="38.25" hidden="1">
      <c r="B3424" s="828" t="s">
        <v>6546</v>
      </c>
      <c r="C3424" s="828">
        <v>92275</v>
      </c>
      <c r="D3424" s="630" t="s">
        <v>7202</v>
      </c>
      <c r="E3424" s="630" t="s">
        <v>648</v>
      </c>
      <c r="F3424" s="829">
        <v>58.4</v>
      </c>
      <c r="G3424" s="830">
        <v>1.87</v>
      </c>
      <c r="H3424" s="831">
        <v>60.27</v>
      </c>
      <c r="I3424" s="846"/>
      <c r="J3424" s="846"/>
      <c r="K3424" s="846"/>
      <c r="L3424" s="846"/>
      <c r="M3424" s="846"/>
      <c r="N3424" s="846"/>
      <c r="O3424" s="846"/>
      <c r="P3424" s="846"/>
      <c r="Q3424" s="846"/>
      <c r="R3424" s="846"/>
      <c r="S3424" s="846"/>
      <c r="T3424" s="846"/>
    </row>
    <row r="3425" spans="2:20" ht="38.25" hidden="1">
      <c r="B3425" s="828" t="s">
        <v>6546</v>
      </c>
      <c r="C3425" s="828">
        <v>92276</v>
      </c>
      <c r="D3425" s="630" t="s">
        <v>7203</v>
      </c>
      <c r="E3425" s="630" t="s">
        <v>648</v>
      </c>
      <c r="F3425" s="829">
        <v>74.150000000000006</v>
      </c>
      <c r="G3425" s="830">
        <v>2.4</v>
      </c>
      <c r="H3425" s="831">
        <v>76.55</v>
      </c>
      <c r="I3425" s="846"/>
      <c r="J3425" s="846"/>
      <c r="K3425" s="846"/>
      <c r="L3425" s="846"/>
      <c r="M3425" s="846"/>
      <c r="N3425" s="846"/>
      <c r="O3425" s="846"/>
      <c r="P3425" s="846"/>
      <c r="Q3425" s="846"/>
      <c r="R3425" s="846"/>
      <c r="S3425" s="846"/>
      <c r="T3425" s="846"/>
    </row>
    <row r="3426" spans="2:20" ht="38.25" hidden="1">
      <c r="B3426" s="828" t="s">
        <v>6546</v>
      </c>
      <c r="C3426" s="828">
        <v>92277</v>
      </c>
      <c r="D3426" s="630" t="s">
        <v>7204</v>
      </c>
      <c r="E3426" s="630" t="s">
        <v>648</v>
      </c>
      <c r="F3426" s="829">
        <v>107.54</v>
      </c>
      <c r="G3426" s="830">
        <v>3.04</v>
      </c>
      <c r="H3426" s="831">
        <v>110.58</v>
      </c>
      <c r="I3426" s="846"/>
      <c r="J3426" s="846"/>
      <c r="K3426" s="846"/>
      <c r="L3426" s="846"/>
      <c r="M3426" s="846"/>
      <c r="N3426" s="846"/>
      <c r="O3426" s="846"/>
      <c r="P3426" s="846"/>
      <c r="Q3426" s="846"/>
      <c r="R3426" s="846"/>
      <c r="S3426" s="846"/>
      <c r="T3426" s="846"/>
    </row>
    <row r="3427" spans="2:20" ht="38.25" hidden="1">
      <c r="B3427" s="828" t="s">
        <v>6546</v>
      </c>
      <c r="C3427" s="828">
        <v>92278</v>
      </c>
      <c r="D3427" s="630" t="s">
        <v>7205</v>
      </c>
      <c r="E3427" s="630" t="s">
        <v>648</v>
      </c>
      <c r="F3427" s="829">
        <v>145.07</v>
      </c>
      <c r="G3427" s="830">
        <v>3.68</v>
      </c>
      <c r="H3427" s="831">
        <v>148.75</v>
      </c>
      <c r="I3427" s="846"/>
      <c r="J3427" s="846"/>
      <c r="K3427" s="846"/>
      <c r="L3427" s="846"/>
      <c r="M3427" s="846"/>
      <c r="N3427" s="846"/>
      <c r="O3427" s="846"/>
      <c r="P3427" s="846"/>
      <c r="Q3427" s="846"/>
      <c r="R3427" s="846"/>
      <c r="S3427" s="846"/>
      <c r="T3427" s="846"/>
    </row>
    <row r="3428" spans="2:20" ht="38.25" hidden="1">
      <c r="B3428" s="828" t="s">
        <v>6546</v>
      </c>
      <c r="C3428" s="828">
        <v>92279</v>
      </c>
      <c r="D3428" s="630" t="s">
        <v>7206</v>
      </c>
      <c r="E3428" s="630" t="s">
        <v>648</v>
      </c>
      <c r="F3428" s="829">
        <v>210.24</v>
      </c>
      <c r="G3428" s="830">
        <v>4.76</v>
      </c>
      <c r="H3428" s="831">
        <v>215</v>
      </c>
      <c r="I3428" s="846"/>
      <c r="J3428" s="846"/>
      <c r="K3428" s="846"/>
      <c r="L3428" s="846"/>
      <c r="M3428" s="846"/>
      <c r="N3428" s="846"/>
      <c r="O3428" s="846"/>
      <c r="P3428" s="846"/>
      <c r="Q3428" s="846"/>
      <c r="R3428" s="846"/>
      <c r="S3428" s="846"/>
      <c r="T3428" s="846"/>
    </row>
    <row r="3429" spans="2:20" ht="38.25" hidden="1">
      <c r="B3429" s="828" t="s">
        <v>6546</v>
      </c>
      <c r="C3429" s="828">
        <v>92280</v>
      </c>
      <c r="D3429" s="630" t="s">
        <v>7207</v>
      </c>
      <c r="E3429" s="630" t="s">
        <v>648</v>
      </c>
      <c r="F3429" s="829">
        <v>295.93</v>
      </c>
      <c r="G3429" s="830">
        <v>5.86</v>
      </c>
      <c r="H3429" s="831">
        <v>301.79000000000002</v>
      </c>
      <c r="I3429" s="846"/>
      <c r="J3429" s="846"/>
      <c r="K3429" s="846"/>
      <c r="L3429" s="846"/>
      <c r="M3429" s="846"/>
      <c r="N3429" s="846"/>
      <c r="O3429" s="846"/>
      <c r="P3429" s="846"/>
      <c r="Q3429" s="846"/>
      <c r="R3429" s="846"/>
      <c r="S3429" s="846"/>
      <c r="T3429" s="846"/>
    </row>
    <row r="3430" spans="2:20" ht="38.25" hidden="1">
      <c r="B3430" s="828" t="s">
        <v>6546</v>
      </c>
      <c r="C3430" s="828">
        <v>92281</v>
      </c>
      <c r="D3430" s="630" t="s">
        <v>7208</v>
      </c>
      <c r="E3430" s="630" t="s">
        <v>648</v>
      </c>
      <c r="F3430" s="829">
        <v>146.99</v>
      </c>
      <c r="G3430" s="830">
        <v>2.75</v>
      </c>
      <c r="H3430" s="831">
        <v>149.74</v>
      </c>
      <c r="I3430" s="846"/>
      <c r="J3430" s="846"/>
      <c r="K3430" s="846"/>
      <c r="L3430" s="846"/>
      <c r="M3430" s="846"/>
      <c r="N3430" s="846"/>
      <c r="O3430" s="846"/>
      <c r="P3430" s="846"/>
      <c r="Q3430" s="846"/>
      <c r="R3430" s="846"/>
      <c r="S3430" s="846"/>
      <c r="T3430" s="846"/>
    </row>
    <row r="3431" spans="2:20" ht="38.25" hidden="1">
      <c r="B3431" s="828" t="s">
        <v>6546</v>
      </c>
      <c r="C3431" s="828">
        <v>92282</v>
      </c>
      <c r="D3431" s="630" t="s">
        <v>7209</v>
      </c>
      <c r="E3431" s="630" t="s">
        <v>648</v>
      </c>
      <c r="F3431" s="829">
        <v>166.37</v>
      </c>
      <c r="G3431" s="830">
        <v>3.3</v>
      </c>
      <c r="H3431" s="831">
        <v>169.67</v>
      </c>
      <c r="I3431" s="846"/>
      <c r="J3431" s="846"/>
      <c r="K3431" s="846"/>
      <c r="L3431" s="846"/>
      <c r="M3431" s="846"/>
      <c r="N3431" s="846"/>
      <c r="O3431" s="846"/>
      <c r="P3431" s="846"/>
      <c r="Q3431" s="846"/>
      <c r="R3431" s="846"/>
      <c r="S3431" s="846"/>
      <c r="T3431" s="846"/>
    </row>
    <row r="3432" spans="2:20" ht="38.25" hidden="1">
      <c r="B3432" s="828" t="s">
        <v>6546</v>
      </c>
      <c r="C3432" s="828">
        <v>92283</v>
      </c>
      <c r="D3432" s="630" t="s">
        <v>7210</v>
      </c>
      <c r="E3432" s="630" t="s">
        <v>648</v>
      </c>
      <c r="F3432" s="829">
        <v>224.33</v>
      </c>
      <c r="G3432" s="830">
        <v>3.93</v>
      </c>
      <c r="H3432" s="831">
        <v>228.26</v>
      </c>
      <c r="I3432" s="846"/>
      <c r="J3432" s="846"/>
      <c r="K3432" s="846"/>
      <c r="L3432" s="846"/>
      <c r="M3432" s="846"/>
      <c r="N3432" s="846"/>
      <c r="O3432" s="846"/>
      <c r="P3432" s="846"/>
      <c r="Q3432" s="846"/>
      <c r="R3432" s="846"/>
      <c r="S3432" s="846"/>
      <c r="T3432" s="846"/>
    </row>
    <row r="3433" spans="2:20" ht="38.25" hidden="1">
      <c r="B3433" s="828" t="s">
        <v>6546</v>
      </c>
      <c r="C3433" s="828">
        <v>92284</v>
      </c>
      <c r="D3433" s="630" t="s">
        <v>7211</v>
      </c>
      <c r="E3433" s="630" t="s">
        <v>648</v>
      </c>
      <c r="F3433" s="829">
        <v>278.35000000000002</v>
      </c>
      <c r="G3433" s="830">
        <v>4.57</v>
      </c>
      <c r="H3433" s="831">
        <v>282.92</v>
      </c>
      <c r="I3433" s="846"/>
      <c r="J3433" s="846"/>
      <c r="K3433" s="846"/>
      <c r="L3433" s="846"/>
      <c r="M3433" s="846"/>
      <c r="N3433" s="846"/>
      <c r="O3433" s="846"/>
      <c r="P3433" s="846"/>
      <c r="Q3433" s="846"/>
      <c r="R3433" s="846"/>
      <c r="S3433" s="846"/>
      <c r="T3433" s="846"/>
    </row>
    <row r="3434" spans="2:20" ht="38.25" hidden="1">
      <c r="B3434" s="828" t="s">
        <v>6546</v>
      </c>
      <c r="C3434" s="828">
        <v>92285</v>
      </c>
      <c r="D3434" s="630" t="s">
        <v>7212</v>
      </c>
      <c r="E3434" s="630" t="s">
        <v>648</v>
      </c>
      <c r="F3434" s="829">
        <v>369.67</v>
      </c>
      <c r="G3434" s="830">
        <v>5.66</v>
      </c>
      <c r="H3434" s="831">
        <v>375.33</v>
      </c>
      <c r="I3434" s="846"/>
      <c r="J3434" s="846"/>
      <c r="K3434" s="846"/>
      <c r="L3434" s="846"/>
      <c r="M3434" s="846"/>
      <c r="N3434" s="846"/>
      <c r="O3434" s="846"/>
      <c r="P3434" s="846"/>
      <c r="Q3434" s="846"/>
      <c r="R3434" s="846"/>
      <c r="S3434" s="846"/>
      <c r="T3434" s="846"/>
    </row>
    <row r="3435" spans="2:20" ht="38.25" hidden="1">
      <c r="B3435" s="828" t="s">
        <v>6546</v>
      </c>
      <c r="C3435" s="828">
        <v>92286</v>
      </c>
      <c r="D3435" s="630" t="s">
        <v>7213</v>
      </c>
      <c r="E3435" s="630" t="s">
        <v>648</v>
      </c>
      <c r="F3435" s="829">
        <v>457.61</v>
      </c>
      <c r="G3435" s="830">
        <v>6.76</v>
      </c>
      <c r="H3435" s="831">
        <v>464.37</v>
      </c>
      <c r="I3435" s="846"/>
      <c r="J3435" s="846"/>
      <c r="K3435" s="846"/>
      <c r="L3435" s="846"/>
      <c r="M3435" s="846"/>
      <c r="N3435" s="846"/>
      <c r="O3435" s="846"/>
      <c r="P3435" s="846"/>
      <c r="Q3435" s="846"/>
      <c r="R3435" s="846"/>
      <c r="S3435" s="846"/>
      <c r="T3435" s="846"/>
    </row>
    <row r="3436" spans="2:20" ht="38.25" hidden="1">
      <c r="B3436" s="828" t="s">
        <v>6546</v>
      </c>
      <c r="C3436" s="828">
        <v>92305</v>
      </c>
      <c r="D3436" s="630" t="s">
        <v>7214</v>
      </c>
      <c r="E3436" s="630" t="s">
        <v>648</v>
      </c>
      <c r="F3436" s="829">
        <v>35.29</v>
      </c>
      <c r="G3436" s="830">
        <v>5.81</v>
      </c>
      <c r="H3436" s="831">
        <v>41.1</v>
      </c>
      <c r="I3436" s="846"/>
      <c r="J3436" s="846"/>
      <c r="K3436" s="846"/>
      <c r="L3436" s="846"/>
      <c r="M3436" s="846"/>
      <c r="N3436" s="846"/>
      <c r="O3436" s="846"/>
      <c r="P3436" s="846"/>
      <c r="Q3436" s="846"/>
      <c r="R3436" s="846"/>
      <c r="S3436" s="846"/>
      <c r="T3436" s="846"/>
    </row>
    <row r="3437" spans="2:20" ht="38.25" hidden="1">
      <c r="B3437" s="828" t="s">
        <v>6546</v>
      </c>
      <c r="C3437" s="828">
        <v>92306</v>
      </c>
      <c r="D3437" s="630" t="s">
        <v>7215</v>
      </c>
      <c r="E3437" s="630" t="s">
        <v>648</v>
      </c>
      <c r="F3437" s="829">
        <v>59.76</v>
      </c>
      <c r="G3437" s="830">
        <v>6.71</v>
      </c>
      <c r="H3437" s="831">
        <v>66.47</v>
      </c>
      <c r="I3437" s="846"/>
      <c r="J3437" s="846"/>
      <c r="K3437" s="846"/>
      <c r="L3437" s="846"/>
      <c r="M3437" s="846"/>
      <c r="N3437" s="846"/>
      <c r="O3437" s="846"/>
      <c r="P3437" s="846"/>
      <c r="Q3437" s="846"/>
      <c r="R3437" s="846"/>
      <c r="S3437" s="846"/>
      <c r="T3437" s="846"/>
    </row>
    <row r="3438" spans="2:20" ht="38.25" hidden="1">
      <c r="B3438" s="828" t="s">
        <v>6546</v>
      </c>
      <c r="C3438" s="828">
        <v>92307</v>
      </c>
      <c r="D3438" s="630" t="s">
        <v>7216</v>
      </c>
      <c r="E3438" s="630" t="s">
        <v>648</v>
      </c>
      <c r="F3438" s="829">
        <v>75.58</v>
      </c>
      <c r="G3438" s="830">
        <v>7.45</v>
      </c>
      <c r="H3438" s="831">
        <v>83.03</v>
      </c>
      <c r="I3438" s="846"/>
      <c r="J3438" s="846"/>
      <c r="K3438" s="846"/>
      <c r="L3438" s="846"/>
      <c r="M3438" s="846"/>
      <c r="N3438" s="846"/>
      <c r="O3438" s="846"/>
      <c r="P3438" s="846"/>
      <c r="Q3438" s="846"/>
      <c r="R3438" s="846"/>
      <c r="S3438" s="846"/>
      <c r="T3438" s="846"/>
    </row>
    <row r="3439" spans="2:20" ht="38.25" hidden="1">
      <c r="B3439" s="828" t="s">
        <v>6546</v>
      </c>
      <c r="C3439" s="828">
        <v>92308</v>
      </c>
      <c r="D3439" s="630" t="s">
        <v>7217</v>
      </c>
      <c r="E3439" s="630" t="s">
        <v>648</v>
      </c>
      <c r="F3439" s="829">
        <v>54.12</v>
      </c>
      <c r="G3439" s="830">
        <v>9.1</v>
      </c>
      <c r="H3439" s="831">
        <v>63.22</v>
      </c>
      <c r="I3439" s="846"/>
      <c r="J3439" s="846"/>
      <c r="K3439" s="846"/>
      <c r="L3439" s="846"/>
      <c r="M3439" s="846"/>
      <c r="N3439" s="846"/>
      <c r="O3439" s="846"/>
      <c r="P3439" s="846"/>
      <c r="Q3439" s="846"/>
      <c r="R3439" s="846"/>
      <c r="S3439" s="846"/>
      <c r="T3439" s="846"/>
    </row>
    <row r="3440" spans="2:20" ht="38.25" hidden="1">
      <c r="B3440" s="828" t="s">
        <v>6546</v>
      </c>
      <c r="C3440" s="828">
        <v>92309</v>
      </c>
      <c r="D3440" s="630" t="s">
        <v>7218</v>
      </c>
      <c r="E3440" s="630" t="s">
        <v>648</v>
      </c>
      <c r="F3440" s="829">
        <v>149.04</v>
      </c>
      <c r="G3440" s="830">
        <v>10</v>
      </c>
      <c r="H3440" s="831">
        <v>159.04</v>
      </c>
      <c r="I3440" s="846"/>
      <c r="J3440" s="846"/>
      <c r="K3440" s="846"/>
      <c r="L3440" s="846"/>
      <c r="M3440" s="846"/>
      <c r="N3440" s="846"/>
      <c r="O3440" s="846"/>
      <c r="P3440" s="846"/>
      <c r="Q3440" s="846"/>
      <c r="R3440" s="846"/>
      <c r="S3440" s="846"/>
      <c r="T3440" s="846"/>
    </row>
    <row r="3441" spans="2:20" ht="38.25" hidden="1">
      <c r="B3441" s="828" t="s">
        <v>6546</v>
      </c>
      <c r="C3441" s="828">
        <v>92310</v>
      </c>
      <c r="D3441" s="630" t="s">
        <v>7219</v>
      </c>
      <c r="E3441" s="630" t="s">
        <v>648</v>
      </c>
      <c r="F3441" s="829">
        <v>168.5</v>
      </c>
      <c r="G3441" s="830">
        <v>10.76</v>
      </c>
      <c r="H3441" s="831">
        <v>179.26</v>
      </c>
      <c r="I3441" s="846"/>
      <c r="J3441" s="846"/>
      <c r="K3441" s="846"/>
      <c r="L3441" s="846"/>
      <c r="M3441" s="846"/>
      <c r="N3441" s="846"/>
      <c r="O3441" s="846"/>
      <c r="P3441" s="846"/>
      <c r="Q3441" s="846"/>
      <c r="R3441" s="846"/>
      <c r="S3441" s="846"/>
      <c r="T3441" s="846"/>
    </row>
    <row r="3442" spans="2:20" ht="38.25" hidden="1">
      <c r="B3442" s="828" t="s">
        <v>6546</v>
      </c>
      <c r="C3442" s="828">
        <v>92320</v>
      </c>
      <c r="D3442" s="630" t="s">
        <v>7220</v>
      </c>
      <c r="E3442" s="630" t="s">
        <v>648</v>
      </c>
      <c r="F3442" s="829">
        <v>38.090000000000003</v>
      </c>
      <c r="G3442" s="830">
        <v>15.76</v>
      </c>
      <c r="H3442" s="831">
        <v>53.85</v>
      </c>
      <c r="I3442" s="846"/>
      <c r="J3442" s="846"/>
      <c r="K3442" s="846"/>
      <c r="L3442" s="846"/>
      <c r="M3442" s="846"/>
      <c r="N3442" s="846"/>
      <c r="O3442" s="846"/>
      <c r="P3442" s="846"/>
      <c r="Q3442" s="846"/>
      <c r="R3442" s="846"/>
      <c r="S3442" s="846"/>
      <c r="T3442" s="846"/>
    </row>
    <row r="3443" spans="2:20" ht="38.25" hidden="1">
      <c r="B3443" s="828" t="s">
        <v>6546</v>
      </c>
      <c r="C3443" s="828">
        <v>92321</v>
      </c>
      <c r="D3443" s="630" t="s">
        <v>7221</v>
      </c>
      <c r="E3443" s="630" t="s">
        <v>648</v>
      </c>
      <c r="F3443" s="829">
        <v>64.62</v>
      </c>
      <c r="G3443" s="830">
        <v>23.81</v>
      </c>
      <c r="H3443" s="831">
        <v>88.43</v>
      </c>
      <c r="I3443" s="846"/>
      <c r="J3443" s="846"/>
      <c r="K3443" s="846"/>
      <c r="L3443" s="846"/>
      <c r="M3443" s="846"/>
      <c r="N3443" s="846"/>
      <c r="O3443" s="846"/>
      <c r="P3443" s="846"/>
      <c r="Q3443" s="846"/>
      <c r="R3443" s="846"/>
      <c r="S3443" s="846"/>
      <c r="T3443" s="846"/>
    </row>
    <row r="3444" spans="2:20" ht="38.25" hidden="1">
      <c r="B3444" s="828" t="s">
        <v>6546</v>
      </c>
      <c r="C3444" s="828">
        <v>92322</v>
      </c>
      <c r="D3444" s="630" t="s">
        <v>7222</v>
      </c>
      <c r="E3444" s="630" t="s">
        <v>648</v>
      </c>
      <c r="F3444" s="829">
        <v>82.15</v>
      </c>
      <c r="G3444" s="830">
        <v>30.74</v>
      </c>
      <c r="H3444" s="831">
        <v>112.89</v>
      </c>
      <c r="I3444" s="846"/>
      <c r="J3444" s="846"/>
      <c r="K3444" s="846"/>
      <c r="L3444" s="846"/>
      <c r="M3444" s="846"/>
      <c r="N3444" s="846"/>
      <c r="O3444" s="846"/>
      <c r="P3444" s="846"/>
      <c r="Q3444" s="846"/>
      <c r="R3444" s="846"/>
      <c r="S3444" s="846"/>
      <c r="T3444" s="846"/>
    </row>
    <row r="3445" spans="2:20" ht="38.25" hidden="1">
      <c r="B3445" s="828" t="s">
        <v>6546</v>
      </c>
      <c r="C3445" s="828">
        <v>92323</v>
      </c>
      <c r="D3445" s="630" t="s">
        <v>7223</v>
      </c>
      <c r="E3445" s="630" t="s">
        <v>648</v>
      </c>
      <c r="F3445" s="829">
        <v>56.24</v>
      </c>
      <c r="G3445" s="830">
        <v>16.670000000000002</v>
      </c>
      <c r="H3445" s="831">
        <v>72.91</v>
      </c>
      <c r="I3445" s="846"/>
      <c r="J3445" s="846"/>
      <c r="K3445" s="846"/>
      <c r="L3445" s="846"/>
      <c r="M3445" s="846"/>
      <c r="N3445" s="846"/>
      <c r="O3445" s="846"/>
      <c r="P3445" s="846"/>
      <c r="Q3445" s="846"/>
      <c r="R3445" s="846"/>
      <c r="S3445" s="846"/>
      <c r="T3445" s="846"/>
    </row>
    <row r="3446" spans="2:20" ht="38.25" hidden="1">
      <c r="B3446" s="828" t="s">
        <v>6546</v>
      </c>
      <c r="C3446" s="828">
        <v>92324</v>
      </c>
      <c r="D3446" s="630" t="s">
        <v>7224</v>
      </c>
      <c r="E3446" s="630" t="s">
        <v>648</v>
      </c>
      <c r="F3446" s="829">
        <v>153.19999999999999</v>
      </c>
      <c r="G3446" s="830">
        <v>24.72</v>
      </c>
      <c r="H3446" s="831">
        <v>177.92</v>
      </c>
      <c r="I3446" s="846"/>
      <c r="J3446" s="846"/>
      <c r="K3446" s="846"/>
      <c r="L3446" s="846"/>
      <c r="M3446" s="846"/>
      <c r="N3446" s="846"/>
      <c r="O3446" s="846"/>
      <c r="P3446" s="846"/>
      <c r="Q3446" s="846"/>
      <c r="R3446" s="846"/>
      <c r="S3446" s="846"/>
      <c r="T3446" s="846"/>
    </row>
    <row r="3447" spans="2:20" ht="38.25" hidden="1">
      <c r="B3447" s="828" t="s">
        <v>6546</v>
      </c>
      <c r="C3447" s="828">
        <v>92325</v>
      </c>
      <c r="D3447" s="630" t="s">
        <v>7225</v>
      </c>
      <c r="E3447" s="630" t="s">
        <v>648</v>
      </c>
      <c r="F3447" s="829">
        <v>174.39</v>
      </c>
      <c r="G3447" s="830">
        <v>31.65</v>
      </c>
      <c r="H3447" s="831">
        <v>206.04</v>
      </c>
      <c r="I3447" s="846"/>
      <c r="J3447" s="846"/>
      <c r="K3447" s="846"/>
      <c r="L3447" s="846"/>
      <c r="M3447" s="846"/>
      <c r="N3447" s="846"/>
      <c r="O3447" s="846"/>
      <c r="P3447" s="846"/>
      <c r="Q3447" s="846"/>
      <c r="R3447" s="846"/>
      <c r="S3447" s="846"/>
      <c r="T3447" s="846"/>
    </row>
    <row r="3448" spans="2:20" ht="38.25" hidden="1">
      <c r="B3448" s="828" t="s">
        <v>6546</v>
      </c>
      <c r="C3448" s="828">
        <v>92335</v>
      </c>
      <c r="D3448" s="630" t="s">
        <v>4892</v>
      </c>
      <c r="E3448" s="630" t="s">
        <v>648</v>
      </c>
      <c r="F3448" s="829">
        <v>99.38</v>
      </c>
      <c r="G3448" s="830">
        <v>11.36</v>
      </c>
      <c r="H3448" s="831">
        <v>110.74</v>
      </c>
      <c r="I3448" s="846"/>
      <c r="J3448" s="846"/>
      <c r="K3448" s="846"/>
      <c r="L3448" s="846"/>
      <c r="M3448" s="846"/>
      <c r="N3448" s="846"/>
      <c r="O3448" s="846"/>
      <c r="P3448" s="846"/>
      <c r="Q3448" s="846"/>
      <c r="R3448" s="846"/>
      <c r="S3448" s="846"/>
      <c r="T3448" s="846"/>
    </row>
    <row r="3449" spans="2:20" ht="38.25" hidden="1">
      <c r="B3449" s="828" t="s">
        <v>6546</v>
      </c>
      <c r="C3449" s="828">
        <v>92336</v>
      </c>
      <c r="D3449" s="630" t="s">
        <v>4893</v>
      </c>
      <c r="E3449" s="630" t="s">
        <v>648</v>
      </c>
      <c r="F3449" s="829">
        <v>123.06</v>
      </c>
      <c r="G3449" s="830">
        <v>13.09</v>
      </c>
      <c r="H3449" s="831">
        <v>136.15</v>
      </c>
      <c r="I3449" s="846"/>
      <c r="J3449" s="846"/>
      <c r="K3449" s="846"/>
      <c r="L3449" s="846"/>
      <c r="M3449" s="846"/>
      <c r="N3449" s="846"/>
      <c r="O3449" s="846"/>
      <c r="P3449" s="846"/>
      <c r="Q3449" s="846"/>
      <c r="R3449" s="846"/>
      <c r="S3449" s="846"/>
      <c r="T3449" s="846"/>
    </row>
    <row r="3450" spans="2:20" ht="38.25" hidden="1">
      <c r="B3450" s="828" t="s">
        <v>6546</v>
      </c>
      <c r="C3450" s="828">
        <v>92337</v>
      </c>
      <c r="D3450" s="630" t="s">
        <v>4894</v>
      </c>
      <c r="E3450" s="630" t="s">
        <v>648</v>
      </c>
      <c r="F3450" s="829">
        <v>164.8</v>
      </c>
      <c r="G3450" s="830">
        <v>14.8</v>
      </c>
      <c r="H3450" s="831">
        <v>179.6</v>
      </c>
      <c r="I3450" s="846"/>
      <c r="J3450" s="846"/>
      <c r="K3450" s="846"/>
      <c r="L3450" s="846"/>
      <c r="M3450" s="846"/>
      <c r="N3450" s="846"/>
      <c r="O3450" s="846"/>
      <c r="P3450" s="846"/>
      <c r="Q3450" s="846"/>
      <c r="R3450" s="846"/>
      <c r="S3450" s="846"/>
      <c r="T3450" s="846"/>
    </row>
    <row r="3451" spans="2:20" ht="25.5" hidden="1">
      <c r="B3451" s="828" t="s">
        <v>6546</v>
      </c>
      <c r="C3451" s="828">
        <v>92338</v>
      </c>
      <c r="D3451" s="630" t="s">
        <v>4895</v>
      </c>
      <c r="E3451" s="630" t="s">
        <v>648</v>
      </c>
      <c r="F3451" s="829">
        <v>118.67</v>
      </c>
      <c r="G3451" s="830">
        <v>25.56</v>
      </c>
      <c r="H3451" s="831">
        <v>144.22999999999999</v>
      </c>
      <c r="I3451" s="846"/>
      <c r="J3451" s="846"/>
      <c r="K3451" s="846"/>
      <c r="L3451" s="846"/>
      <c r="M3451" s="846"/>
      <c r="N3451" s="846"/>
      <c r="O3451" s="846"/>
      <c r="P3451" s="846"/>
      <c r="Q3451" s="846"/>
      <c r="R3451" s="846"/>
      <c r="S3451" s="846"/>
      <c r="T3451" s="846"/>
    </row>
    <row r="3452" spans="2:20" ht="25.5" hidden="1">
      <c r="B3452" s="828" t="s">
        <v>6546</v>
      </c>
      <c r="C3452" s="828">
        <v>92339</v>
      </c>
      <c r="D3452" s="630" t="s">
        <v>4896</v>
      </c>
      <c r="E3452" s="630" t="s">
        <v>648</v>
      </c>
      <c r="F3452" s="829">
        <v>188.46</v>
      </c>
      <c r="G3452" s="830">
        <v>28.34</v>
      </c>
      <c r="H3452" s="831">
        <v>216.8</v>
      </c>
      <c r="I3452" s="846"/>
      <c r="J3452" s="846"/>
      <c r="K3452" s="846"/>
      <c r="L3452" s="846"/>
      <c r="M3452" s="846"/>
      <c r="N3452" s="846"/>
      <c r="O3452" s="846"/>
      <c r="P3452" s="846"/>
      <c r="Q3452" s="846"/>
      <c r="R3452" s="846"/>
      <c r="S3452" s="846"/>
      <c r="T3452" s="846"/>
    </row>
    <row r="3453" spans="2:20" ht="38.25" hidden="1">
      <c r="B3453" s="828" t="s">
        <v>6546</v>
      </c>
      <c r="C3453" s="828">
        <v>92341</v>
      </c>
      <c r="D3453" s="630" t="s">
        <v>4897</v>
      </c>
      <c r="E3453" s="630" t="s">
        <v>648</v>
      </c>
      <c r="F3453" s="829">
        <v>101.95</v>
      </c>
      <c r="G3453" s="830">
        <v>20.48</v>
      </c>
      <c r="H3453" s="831">
        <v>122.43</v>
      </c>
      <c r="I3453" s="846"/>
      <c r="J3453" s="846"/>
      <c r="K3453" s="846"/>
      <c r="L3453" s="846"/>
      <c r="M3453" s="846"/>
      <c r="N3453" s="846"/>
      <c r="O3453" s="846"/>
      <c r="P3453" s="846"/>
      <c r="Q3453" s="846"/>
      <c r="R3453" s="846"/>
      <c r="S3453" s="846"/>
      <c r="T3453" s="846"/>
    </row>
    <row r="3454" spans="2:20" ht="38.25" hidden="1">
      <c r="B3454" s="828" t="s">
        <v>6546</v>
      </c>
      <c r="C3454" s="828">
        <v>92342</v>
      </c>
      <c r="D3454" s="630" t="s">
        <v>4898</v>
      </c>
      <c r="E3454" s="630" t="s">
        <v>648</v>
      </c>
      <c r="F3454" s="829">
        <v>125.65</v>
      </c>
      <c r="G3454" s="830">
        <v>22.27</v>
      </c>
      <c r="H3454" s="831">
        <v>147.91999999999999</v>
      </c>
      <c r="I3454" s="846"/>
      <c r="J3454" s="846"/>
      <c r="K3454" s="846"/>
      <c r="L3454" s="846"/>
      <c r="M3454" s="846"/>
      <c r="N3454" s="846"/>
      <c r="O3454" s="846"/>
      <c r="P3454" s="846"/>
      <c r="Q3454" s="846"/>
      <c r="R3454" s="846"/>
      <c r="S3454" s="846"/>
      <c r="T3454" s="846"/>
    </row>
    <row r="3455" spans="2:20" ht="38.25" hidden="1">
      <c r="B3455" s="828" t="s">
        <v>6546</v>
      </c>
      <c r="C3455" s="828">
        <v>92343</v>
      </c>
      <c r="D3455" s="630" t="s">
        <v>4899</v>
      </c>
      <c r="E3455" s="630" t="s">
        <v>648</v>
      </c>
      <c r="F3455" s="829">
        <v>167.41</v>
      </c>
      <c r="G3455" s="830">
        <v>24.07</v>
      </c>
      <c r="H3455" s="831">
        <v>191.48</v>
      </c>
      <c r="I3455" s="846"/>
      <c r="J3455" s="846"/>
      <c r="K3455" s="846"/>
      <c r="L3455" s="846"/>
      <c r="M3455" s="846"/>
      <c r="N3455" s="846"/>
      <c r="O3455" s="846"/>
      <c r="P3455" s="846"/>
      <c r="Q3455" s="846"/>
      <c r="R3455" s="846"/>
      <c r="S3455" s="846"/>
      <c r="T3455" s="846"/>
    </row>
    <row r="3456" spans="2:20" ht="38.25" hidden="1">
      <c r="B3456" s="828" t="s">
        <v>6546</v>
      </c>
      <c r="C3456" s="828">
        <v>92359</v>
      </c>
      <c r="D3456" s="630" t="s">
        <v>4915</v>
      </c>
      <c r="E3456" s="630" t="s">
        <v>648</v>
      </c>
      <c r="F3456" s="829">
        <v>63.07</v>
      </c>
      <c r="G3456" s="830">
        <v>3.36</v>
      </c>
      <c r="H3456" s="831">
        <v>66.430000000000007</v>
      </c>
      <c r="I3456" s="846"/>
      <c r="J3456" s="846"/>
      <c r="K3456" s="846"/>
      <c r="L3456" s="846"/>
      <c r="M3456" s="846"/>
      <c r="N3456" s="846"/>
      <c r="O3456" s="846"/>
      <c r="P3456" s="846"/>
      <c r="Q3456" s="846"/>
      <c r="R3456" s="846"/>
      <c r="S3456" s="846"/>
      <c r="T3456" s="846"/>
    </row>
    <row r="3457" spans="2:20" ht="38.25" hidden="1">
      <c r="B3457" s="828" t="s">
        <v>6546</v>
      </c>
      <c r="C3457" s="828">
        <v>92360</v>
      </c>
      <c r="D3457" s="630" t="s">
        <v>4916</v>
      </c>
      <c r="E3457" s="630" t="s">
        <v>648</v>
      </c>
      <c r="F3457" s="829">
        <v>84.45</v>
      </c>
      <c r="G3457" s="830">
        <v>4.3099999999999996</v>
      </c>
      <c r="H3457" s="831">
        <v>88.76</v>
      </c>
      <c r="I3457" s="846"/>
      <c r="J3457" s="846"/>
      <c r="K3457" s="846"/>
      <c r="L3457" s="846"/>
      <c r="M3457" s="846"/>
      <c r="N3457" s="846"/>
      <c r="O3457" s="846"/>
      <c r="P3457" s="846"/>
      <c r="Q3457" s="846"/>
      <c r="R3457" s="846"/>
      <c r="S3457" s="846"/>
      <c r="T3457" s="846"/>
    </row>
    <row r="3458" spans="2:20" ht="38.25" hidden="1">
      <c r="B3458" s="828" t="s">
        <v>6546</v>
      </c>
      <c r="C3458" s="828">
        <v>92361</v>
      </c>
      <c r="D3458" s="630" t="s">
        <v>4917</v>
      </c>
      <c r="E3458" s="630" t="s">
        <v>648</v>
      </c>
      <c r="F3458" s="829">
        <v>113.21</v>
      </c>
      <c r="G3458" s="830">
        <v>6.75</v>
      </c>
      <c r="H3458" s="831">
        <v>119.96</v>
      </c>
      <c r="I3458" s="846"/>
      <c r="J3458" s="846"/>
      <c r="K3458" s="846"/>
      <c r="L3458" s="846"/>
      <c r="M3458" s="846"/>
      <c r="N3458" s="846"/>
      <c r="O3458" s="846"/>
      <c r="P3458" s="846"/>
      <c r="Q3458" s="846"/>
      <c r="R3458" s="846"/>
      <c r="S3458" s="846"/>
      <c r="T3458" s="846"/>
    </row>
    <row r="3459" spans="2:20" ht="38.25" hidden="1">
      <c r="B3459" s="828" t="s">
        <v>6546</v>
      </c>
      <c r="C3459" s="828">
        <v>92362</v>
      </c>
      <c r="D3459" s="630" t="s">
        <v>4918</v>
      </c>
      <c r="E3459" s="630" t="s">
        <v>648</v>
      </c>
      <c r="F3459" s="829">
        <v>182.81</v>
      </c>
      <c r="G3459" s="830">
        <v>8.77</v>
      </c>
      <c r="H3459" s="831">
        <v>191.58</v>
      </c>
      <c r="I3459" s="846"/>
      <c r="J3459" s="846"/>
      <c r="K3459" s="846"/>
      <c r="L3459" s="846"/>
      <c r="M3459" s="846"/>
      <c r="N3459" s="846"/>
      <c r="O3459" s="846"/>
      <c r="P3459" s="846"/>
      <c r="Q3459" s="846"/>
      <c r="R3459" s="846"/>
      <c r="S3459" s="846"/>
      <c r="T3459" s="846"/>
    </row>
    <row r="3460" spans="2:20" ht="38.25" hidden="1">
      <c r="B3460" s="828" t="s">
        <v>6546</v>
      </c>
      <c r="C3460" s="828">
        <v>92364</v>
      </c>
      <c r="D3460" s="630" t="s">
        <v>4919</v>
      </c>
      <c r="E3460" s="630" t="s">
        <v>648</v>
      </c>
      <c r="F3460" s="829">
        <v>59.56</v>
      </c>
      <c r="G3460" s="830">
        <v>7.62</v>
      </c>
      <c r="H3460" s="831">
        <v>67.180000000000007</v>
      </c>
      <c r="I3460" s="846"/>
      <c r="J3460" s="846"/>
      <c r="K3460" s="846"/>
      <c r="L3460" s="846"/>
      <c r="M3460" s="846"/>
      <c r="N3460" s="846"/>
      <c r="O3460" s="846"/>
      <c r="P3460" s="846"/>
      <c r="Q3460" s="846"/>
      <c r="R3460" s="846"/>
      <c r="S3460" s="846"/>
      <c r="T3460" s="846"/>
    </row>
    <row r="3461" spans="2:20" ht="38.25" hidden="1">
      <c r="B3461" s="828" t="s">
        <v>6546</v>
      </c>
      <c r="C3461" s="828">
        <v>92365</v>
      </c>
      <c r="D3461" s="630" t="s">
        <v>4920</v>
      </c>
      <c r="E3461" s="630" t="s">
        <v>648</v>
      </c>
      <c r="F3461" s="829">
        <v>69.040000000000006</v>
      </c>
      <c r="G3461" s="830">
        <v>8.3000000000000007</v>
      </c>
      <c r="H3461" s="831">
        <v>77.34</v>
      </c>
      <c r="I3461" s="846"/>
      <c r="J3461" s="846"/>
      <c r="K3461" s="846"/>
      <c r="L3461" s="846"/>
      <c r="M3461" s="846"/>
      <c r="N3461" s="846"/>
      <c r="O3461" s="846"/>
      <c r="P3461" s="846"/>
      <c r="Q3461" s="846"/>
      <c r="R3461" s="846"/>
      <c r="S3461" s="846"/>
      <c r="T3461" s="846"/>
    </row>
    <row r="3462" spans="2:20" ht="38.25" hidden="1">
      <c r="B3462" s="828" t="s">
        <v>6546</v>
      </c>
      <c r="C3462" s="828">
        <v>92366</v>
      </c>
      <c r="D3462" s="630" t="s">
        <v>4921</v>
      </c>
      <c r="E3462" s="630" t="s">
        <v>648</v>
      </c>
      <c r="F3462" s="829">
        <v>98.77</v>
      </c>
      <c r="G3462" s="830">
        <v>9.19</v>
      </c>
      <c r="H3462" s="831">
        <v>107.96</v>
      </c>
      <c r="I3462" s="846"/>
      <c r="J3462" s="846"/>
      <c r="K3462" s="846"/>
      <c r="L3462" s="846"/>
      <c r="M3462" s="846"/>
      <c r="N3462" s="846"/>
      <c r="O3462" s="846"/>
      <c r="P3462" s="846"/>
      <c r="Q3462" s="846"/>
      <c r="R3462" s="846"/>
      <c r="S3462" s="846"/>
      <c r="T3462" s="846"/>
    </row>
    <row r="3463" spans="2:20" ht="38.25" hidden="1">
      <c r="B3463" s="828" t="s">
        <v>6546</v>
      </c>
      <c r="C3463" s="828">
        <v>92367</v>
      </c>
      <c r="D3463" s="630" t="s">
        <v>4922</v>
      </c>
      <c r="E3463" s="630" t="s">
        <v>648</v>
      </c>
      <c r="F3463" s="829">
        <v>122.31</v>
      </c>
      <c r="G3463" s="830">
        <v>10.48</v>
      </c>
      <c r="H3463" s="831">
        <v>132.79</v>
      </c>
      <c r="I3463" s="846"/>
      <c r="J3463" s="846"/>
      <c r="K3463" s="846"/>
      <c r="L3463" s="846"/>
      <c r="M3463" s="846"/>
      <c r="N3463" s="846"/>
      <c r="O3463" s="846"/>
      <c r="P3463" s="846"/>
      <c r="Q3463" s="846"/>
      <c r="R3463" s="846"/>
      <c r="S3463" s="846"/>
      <c r="T3463" s="846"/>
    </row>
    <row r="3464" spans="2:20" ht="38.25" hidden="1">
      <c r="B3464" s="828" t="s">
        <v>6546</v>
      </c>
      <c r="C3464" s="828">
        <v>92368</v>
      </c>
      <c r="D3464" s="630" t="s">
        <v>4923</v>
      </c>
      <c r="E3464" s="630" t="s">
        <v>648</v>
      </c>
      <c r="F3464" s="829">
        <v>163.94</v>
      </c>
      <c r="G3464" s="830">
        <v>11.81</v>
      </c>
      <c r="H3464" s="831">
        <v>175.75</v>
      </c>
      <c r="I3464" s="846"/>
      <c r="J3464" s="846"/>
      <c r="K3464" s="846"/>
      <c r="L3464" s="846"/>
      <c r="M3464" s="846"/>
      <c r="N3464" s="846"/>
      <c r="O3464" s="846"/>
      <c r="P3464" s="846"/>
      <c r="Q3464" s="846"/>
      <c r="R3464" s="846"/>
      <c r="S3464" s="846"/>
      <c r="T3464" s="846"/>
    </row>
    <row r="3465" spans="2:20" ht="38.25" hidden="1">
      <c r="B3465" s="828" t="s">
        <v>6546</v>
      </c>
      <c r="C3465" s="828">
        <v>92645</v>
      </c>
      <c r="D3465" s="630" t="s">
        <v>4954</v>
      </c>
      <c r="E3465" s="630" t="s">
        <v>648</v>
      </c>
      <c r="F3465" s="829">
        <v>64.040000000000006</v>
      </c>
      <c r="G3465" s="830">
        <v>6.75</v>
      </c>
      <c r="H3465" s="831">
        <v>70.790000000000006</v>
      </c>
      <c r="I3465" s="846"/>
      <c r="J3465" s="846"/>
      <c r="K3465" s="846"/>
      <c r="L3465" s="846"/>
      <c r="M3465" s="846"/>
      <c r="N3465" s="846"/>
      <c r="O3465" s="846"/>
      <c r="P3465" s="846"/>
      <c r="Q3465" s="846"/>
      <c r="R3465" s="846"/>
      <c r="S3465" s="846"/>
      <c r="T3465" s="846"/>
    </row>
    <row r="3466" spans="2:20" ht="38.25" hidden="1">
      <c r="B3466" s="828" t="s">
        <v>6546</v>
      </c>
      <c r="C3466" s="828">
        <v>92646</v>
      </c>
      <c r="D3466" s="630" t="s">
        <v>4955</v>
      </c>
      <c r="E3466" s="630" t="s">
        <v>648</v>
      </c>
      <c r="F3466" s="829">
        <v>85.46</v>
      </c>
      <c r="G3466" s="830">
        <v>7.67</v>
      </c>
      <c r="H3466" s="831">
        <v>93.13</v>
      </c>
      <c r="I3466" s="846"/>
      <c r="J3466" s="846"/>
      <c r="K3466" s="846"/>
      <c r="L3466" s="846"/>
      <c r="M3466" s="846"/>
      <c r="N3466" s="846"/>
      <c r="O3466" s="846"/>
      <c r="P3466" s="846"/>
      <c r="Q3466" s="846"/>
      <c r="R3466" s="846"/>
      <c r="S3466" s="846"/>
      <c r="T3466" s="846"/>
    </row>
    <row r="3467" spans="2:20" ht="38.25" hidden="1">
      <c r="B3467" s="828" t="s">
        <v>6546</v>
      </c>
      <c r="C3467" s="828">
        <v>92648</v>
      </c>
      <c r="D3467" s="630" t="s">
        <v>4956</v>
      </c>
      <c r="E3467" s="630" t="s">
        <v>648</v>
      </c>
      <c r="F3467" s="829">
        <v>93.22</v>
      </c>
      <c r="G3467" s="830">
        <v>8.77</v>
      </c>
      <c r="H3467" s="831">
        <v>101.99</v>
      </c>
      <c r="I3467" s="846"/>
      <c r="J3467" s="846"/>
      <c r="K3467" s="846"/>
      <c r="L3467" s="846"/>
      <c r="M3467" s="846"/>
      <c r="N3467" s="846"/>
      <c r="O3467" s="846"/>
      <c r="P3467" s="846"/>
      <c r="Q3467" s="846"/>
      <c r="R3467" s="846"/>
      <c r="S3467" s="846"/>
      <c r="T3467" s="846"/>
    </row>
    <row r="3468" spans="2:20" ht="38.25" hidden="1">
      <c r="B3468" s="828" t="s">
        <v>6546</v>
      </c>
      <c r="C3468" s="828">
        <v>92649</v>
      </c>
      <c r="D3468" s="630" t="s">
        <v>4957</v>
      </c>
      <c r="E3468" s="630" t="s">
        <v>648</v>
      </c>
      <c r="F3468" s="829">
        <v>114.2</v>
      </c>
      <c r="G3468" s="830">
        <v>10.130000000000001</v>
      </c>
      <c r="H3468" s="831">
        <v>124.33</v>
      </c>
      <c r="I3468" s="846"/>
      <c r="J3468" s="846"/>
      <c r="K3468" s="846"/>
      <c r="L3468" s="846"/>
      <c r="M3468" s="846"/>
      <c r="N3468" s="846"/>
      <c r="O3468" s="846"/>
      <c r="P3468" s="846"/>
      <c r="Q3468" s="846"/>
      <c r="R3468" s="846"/>
      <c r="S3468" s="846"/>
      <c r="T3468" s="846"/>
    </row>
    <row r="3469" spans="2:20" ht="38.25" hidden="1">
      <c r="B3469" s="828" t="s">
        <v>6546</v>
      </c>
      <c r="C3469" s="828">
        <v>92650</v>
      </c>
      <c r="D3469" s="630" t="s">
        <v>4958</v>
      </c>
      <c r="E3469" s="630" t="s">
        <v>648</v>
      </c>
      <c r="F3469" s="829">
        <v>183.8</v>
      </c>
      <c r="G3469" s="830">
        <v>12.15</v>
      </c>
      <c r="H3469" s="831">
        <v>195.95</v>
      </c>
      <c r="I3469" s="846"/>
      <c r="J3469" s="846"/>
      <c r="K3469" s="846"/>
      <c r="L3469" s="846"/>
      <c r="M3469" s="846"/>
      <c r="N3469" s="846"/>
      <c r="O3469" s="846"/>
      <c r="P3469" s="846"/>
      <c r="Q3469" s="846"/>
      <c r="R3469" s="846"/>
      <c r="S3469" s="846"/>
      <c r="T3469" s="846"/>
    </row>
    <row r="3470" spans="2:20" ht="38.25" hidden="1">
      <c r="B3470" s="828" t="s">
        <v>6546</v>
      </c>
      <c r="C3470" s="828">
        <v>92652</v>
      </c>
      <c r="D3470" s="630" t="s">
        <v>4959</v>
      </c>
      <c r="E3470" s="630" t="s">
        <v>648</v>
      </c>
      <c r="F3470" s="829">
        <v>60.74</v>
      </c>
      <c r="G3470" s="830">
        <v>11.77</v>
      </c>
      <c r="H3470" s="831">
        <v>72.510000000000005</v>
      </c>
      <c r="I3470" s="846"/>
      <c r="J3470" s="846"/>
      <c r="K3470" s="846"/>
      <c r="L3470" s="846"/>
      <c r="M3470" s="846"/>
      <c r="N3470" s="846"/>
      <c r="O3470" s="846"/>
      <c r="P3470" s="846"/>
      <c r="Q3470" s="846"/>
      <c r="R3470" s="846"/>
      <c r="S3470" s="846"/>
      <c r="T3470" s="846"/>
    </row>
    <row r="3471" spans="2:20" ht="38.25" hidden="1">
      <c r="B3471" s="828" t="s">
        <v>6546</v>
      </c>
      <c r="C3471" s="828">
        <v>92653</v>
      </c>
      <c r="D3471" s="630" t="s">
        <v>4960</v>
      </c>
      <c r="E3471" s="630" t="s">
        <v>648</v>
      </c>
      <c r="F3471" s="829">
        <v>70.23</v>
      </c>
      <c r="G3471" s="830">
        <v>12.5</v>
      </c>
      <c r="H3471" s="831">
        <v>82.73</v>
      </c>
      <c r="I3471" s="846"/>
      <c r="J3471" s="846"/>
      <c r="K3471" s="846"/>
      <c r="L3471" s="846"/>
      <c r="M3471" s="846"/>
      <c r="N3471" s="846"/>
      <c r="O3471" s="846"/>
      <c r="P3471" s="846"/>
      <c r="Q3471" s="846"/>
      <c r="R3471" s="846"/>
      <c r="S3471" s="846"/>
      <c r="T3471" s="846"/>
    </row>
    <row r="3472" spans="2:20" ht="38.25" hidden="1">
      <c r="B3472" s="828" t="s">
        <v>6546</v>
      </c>
      <c r="C3472" s="828">
        <v>92654</v>
      </c>
      <c r="D3472" s="630" t="s">
        <v>4961</v>
      </c>
      <c r="E3472" s="630" t="s">
        <v>648</v>
      </c>
      <c r="F3472" s="829">
        <v>99.95</v>
      </c>
      <c r="G3472" s="830">
        <v>13.4</v>
      </c>
      <c r="H3472" s="831">
        <v>113.35</v>
      </c>
      <c r="I3472" s="846"/>
      <c r="J3472" s="846"/>
      <c r="K3472" s="846"/>
      <c r="L3472" s="846"/>
      <c r="M3472" s="846"/>
      <c r="N3472" s="846"/>
      <c r="O3472" s="846"/>
      <c r="P3472" s="846"/>
      <c r="Q3472" s="846"/>
      <c r="R3472" s="846"/>
      <c r="S3472" s="846"/>
      <c r="T3472" s="846"/>
    </row>
    <row r="3473" spans="2:20" ht="38.25" hidden="1">
      <c r="B3473" s="828" t="s">
        <v>6546</v>
      </c>
      <c r="C3473" s="828">
        <v>92655</v>
      </c>
      <c r="D3473" s="630" t="s">
        <v>4962</v>
      </c>
      <c r="E3473" s="630" t="s">
        <v>648</v>
      </c>
      <c r="F3473" s="829">
        <v>123.54</v>
      </c>
      <c r="G3473" s="830">
        <v>14.76</v>
      </c>
      <c r="H3473" s="831">
        <v>138.30000000000001</v>
      </c>
      <c r="I3473" s="846"/>
      <c r="J3473" s="846"/>
      <c r="K3473" s="846"/>
      <c r="L3473" s="846"/>
      <c r="M3473" s="846"/>
      <c r="N3473" s="846"/>
      <c r="O3473" s="846"/>
      <c r="P3473" s="846"/>
      <c r="Q3473" s="846"/>
      <c r="R3473" s="846"/>
      <c r="S3473" s="846"/>
      <c r="T3473" s="846"/>
    </row>
    <row r="3474" spans="2:20" ht="38.25" hidden="1">
      <c r="B3474" s="828" t="s">
        <v>6546</v>
      </c>
      <c r="C3474" s="828">
        <v>92656</v>
      </c>
      <c r="D3474" s="630" t="s">
        <v>4963</v>
      </c>
      <c r="E3474" s="630" t="s">
        <v>648</v>
      </c>
      <c r="F3474" s="829">
        <v>165.16</v>
      </c>
      <c r="G3474" s="830">
        <v>16.09</v>
      </c>
      <c r="H3474" s="831">
        <v>181.25</v>
      </c>
      <c r="I3474" s="846"/>
      <c r="J3474" s="846"/>
      <c r="K3474" s="846"/>
      <c r="L3474" s="846"/>
      <c r="M3474" s="846"/>
      <c r="N3474" s="846"/>
      <c r="O3474" s="846"/>
      <c r="P3474" s="846"/>
      <c r="Q3474" s="846"/>
      <c r="R3474" s="846"/>
      <c r="S3474" s="846"/>
      <c r="T3474" s="846"/>
    </row>
    <row r="3475" spans="2:20" ht="38.25" hidden="1">
      <c r="B3475" s="828" t="s">
        <v>6546</v>
      </c>
      <c r="C3475" s="828">
        <v>92687</v>
      </c>
      <c r="D3475" s="630" t="s">
        <v>4994</v>
      </c>
      <c r="E3475" s="630" t="s">
        <v>648</v>
      </c>
      <c r="F3475" s="829">
        <v>26.36</v>
      </c>
      <c r="G3475" s="830">
        <v>7.4</v>
      </c>
      <c r="H3475" s="831">
        <v>33.76</v>
      </c>
      <c r="I3475" s="846"/>
      <c r="J3475" s="846"/>
      <c r="K3475" s="846"/>
      <c r="L3475" s="846"/>
      <c r="M3475" s="846"/>
      <c r="N3475" s="846"/>
      <c r="O3475" s="846"/>
      <c r="P3475" s="846"/>
      <c r="Q3475" s="846"/>
      <c r="R3475" s="846"/>
      <c r="S3475" s="846"/>
      <c r="T3475" s="846"/>
    </row>
    <row r="3476" spans="2:20" ht="38.25" hidden="1">
      <c r="B3476" s="828" t="s">
        <v>6546</v>
      </c>
      <c r="C3476" s="828">
        <v>92688</v>
      </c>
      <c r="D3476" s="630" t="s">
        <v>4995</v>
      </c>
      <c r="E3476" s="630" t="s">
        <v>648</v>
      </c>
      <c r="F3476" s="829">
        <v>34.270000000000003</v>
      </c>
      <c r="G3476" s="830">
        <v>12.73</v>
      </c>
      <c r="H3476" s="831">
        <v>47</v>
      </c>
      <c r="I3476" s="846"/>
      <c r="J3476" s="846"/>
      <c r="K3476" s="846"/>
      <c r="L3476" s="846"/>
      <c r="M3476" s="846"/>
      <c r="N3476" s="846"/>
      <c r="O3476" s="846"/>
      <c r="P3476" s="846"/>
      <c r="Q3476" s="846"/>
      <c r="R3476" s="846"/>
      <c r="S3476" s="846"/>
      <c r="T3476" s="846"/>
    </row>
    <row r="3477" spans="2:20" ht="38.25" hidden="1">
      <c r="B3477" s="828" t="s">
        <v>6546</v>
      </c>
      <c r="C3477" s="828">
        <v>92689</v>
      </c>
      <c r="D3477" s="630" t="s">
        <v>4996</v>
      </c>
      <c r="E3477" s="630" t="s">
        <v>648</v>
      </c>
      <c r="F3477" s="829">
        <v>42.69</v>
      </c>
      <c r="G3477" s="830">
        <v>7.68</v>
      </c>
      <c r="H3477" s="831">
        <v>50.37</v>
      </c>
      <c r="I3477" s="846"/>
      <c r="J3477" s="846"/>
      <c r="K3477" s="846"/>
      <c r="L3477" s="846"/>
      <c r="M3477" s="846"/>
      <c r="N3477" s="846"/>
      <c r="O3477" s="846"/>
      <c r="P3477" s="846"/>
      <c r="Q3477" s="846"/>
      <c r="R3477" s="846"/>
      <c r="S3477" s="846"/>
      <c r="T3477" s="846"/>
    </row>
    <row r="3478" spans="2:20" ht="38.25" hidden="1">
      <c r="B3478" s="828" t="s">
        <v>6546</v>
      </c>
      <c r="C3478" s="828">
        <v>92690</v>
      </c>
      <c r="D3478" s="630" t="s">
        <v>4997</v>
      </c>
      <c r="E3478" s="630" t="s">
        <v>648</v>
      </c>
      <c r="F3478" s="829">
        <v>58.99</v>
      </c>
      <c r="G3478" s="830">
        <v>13.26</v>
      </c>
      <c r="H3478" s="831">
        <v>72.25</v>
      </c>
      <c r="I3478" s="846"/>
      <c r="J3478" s="846"/>
      <c r="K3478" s="846"/>
      <c r="L3478" s="846"/>
      <c r="M3478" s="846"/>
      <c r="N3478" s="846"/>
      <c r="O3478" s="846"/>
      <c r="P3478" s="846"/>
      <c r="Q3478" s="846"/>
      <c r="R3478" s="846"/>
      <c r="S3478" s="846"/>
      <c r="T3478" s="846"/>
    </row>
    <row r="3479" spans="2:20" ht="38.25" hidden="1">
      <c r="B3479" s="828" t="s">
        <v>6546</v>
      </c>
      <c r="C3479" s="828">
        <v>92691</v>
      </c>
      <c r="D3479" s="630" t="s">
        <v>5481</v>
      </c>
      <c r="E3479" s="630" t="s">
        <v>648</v>
      </c>
      <c r="F3479" s="829">
        <v>69.569999999999993</v>
      </c>
      <c r="G3479" s="830">
        <v>25.84</v>
      </c>
      <c r="H3479" s="831">
        <v>95.41</v>
      </c>
      <c r="I3479" s="846"/>
      <c r="J3479" s="846"/>
      <c r="K3479" s="846"/>
      <c r="L3479" s="846"/>
      <c r="M3479" s="846"/>
      <c r="N3479" s="846"/>
      <c r="O3479" s="846"/>
      <c r="P3479" s="846"/>
      <c r="Q3479" s="846"/>
      <c r="R3479" s="846"/>
      <c r="S3479" s="846"/>
      <c r="T3479" s="846"/>
    </row>
    <row r="3480" spans="2:20" ht="51" hidden="1">
      <c r="B3480" s="828" t="s">
        <v>6546</v>
      </c>
      <c r="C3480" s="828">
        <v>94462</v>
      </c>
      <c r="D3480" s="630" t="s">
        <v>1096</v>
      </c>
      <c r="E3480" s="630" t="s">
        <v>648</v>
      </c>
      <c r="F3480" s="829">
        <v>95.7</v>
      </c>
      <c r="G3480" s="830">
        <v>24.85</v>
      </c>
      <c r="H3480" s="831">
        <v>120.55</v>
      </c>
      <c r="I3480" s="846"/>
      <c r="J3480" s="846"/>
      <c r="K3480" s="846"/>
      <c r="L3480" s="846"/>
      <c r="M3480" s="846"/>
      <c r="N3480" s="846"/>
      <c r="O3480" s="846"/>
      <c r="P3480" s="846"/>
      <c r="Q3480" s="846"/>
      <c r="R3480" s="846"/>
      <c r="S3480" s="846"/>
      <c r="T3480" s="846"/>
    </row>
    <row r="3481" spans="2:20" ht="51" hidden="1">
      <c r="B3481" s="828" t="s">
        <v>6546</v>
      </c>
      <c r="C3481" s="828">
        <v>94463</v>
      </c>
      <c r="D3481" s="630" t="s">
        <v>1097</v>
      </c>
      <c r="E3481" s="630" t="s">
        <v>648</v>
      </c>
      <c r="F3481" s="829">
        <v>117.07</v>
      </c>
      <c r="G3481" s="830">
        <v>24.85</v>
      </c>
      <c r="H3481" s="831">
        <v>141.91999999999999</v>
      </c>
      <c r="I3481" s="846"/>
      <c r="J3481" s="846"/>
      <c r="K3481" s="846"/>
      <c r="L3481" s="846"/>
      <c r="M3481" s="846"/>
      <c r="N3481" s="846"/>
      <c r="O3481" s="846"/>
      <c r="P3481" s="846"/>
      <c r="Q3481" s="846"/>
      <c r="R3481" s="846"/>
      <c r="S3481" s="846"/>
      <c r="T3481" s="846"/>
    </row>
    <row r="3482" spans="2:20" ht="51" hidden="1">
      <c r="B3482" s="828" t="s">
        <v>6546</v>
      </c>
      <c r="C3482" s="828">
        <v>94464</v>
      </c>
      <c r="D3482" s="630" t="s">
        <v>1098</v>
      </c>
      <c r="E3482" s="630" t="s">
        <v>648</v>
      </c>
      <c r="F3482" s="829">
        <v>169.39</v>
      </c>
      <c r="G3482" s="830">
        <v>31.06</v>
      </c>
      <c r="H3482" s="831">
        <v>200.45</v>
      </c>
      <c r="I3482" s="846"/>
      <c r="J3482" s="846"/>
      <c r="K3482" s="846"/>
      <c r="L3482" s="846"/>
      <c r="M3482" s="846"/>
      <c r="N3482" s="846"/>
      <c r="O3482" s="846"/>
      <c r="P3482" s="846"/>
      <c r="Q3482" s="846"/>
      <c r="R3482" s="846"/>
      <c r="S3482" s="846"/>
      <c r="T3482" s="846"/>
    </row>
    <row r="3483" spans="2:20" ht="51" hidden="1">
      <c r="B3483" s="828" t="s">
        <v>6546</v>
      </c>
      <c r="C3483" s="828">
        <v>94602</v>
      </c>
      <c r="D3483" s="630" t="s">
        <v>3008</v>
      </c>
      <c r="E3483" s="630" t="s">
        <v>648</v>
      </c>
      <c r="F3483" s="829">
        <v>202.75</v>
      </c>
      <c r="G3483" s="830">
        <v>29.21</v>
      </c>
      <c r="H3483" s="831">
        <v>231.96</v>
      </c>
      <c r="I3483" s="846"/>
      <c r="J3483" s="846"/>
      <c r="K3483" s="846"/>
      <c r="L3483" s="846"/>
      <c r="M3483" s="846"/>
      <c r="N3483" s="846"/>
      <c r="O3483" s="846"/>
      <c r="P3483" s="846"/>
      <c r="Q3483" s="846"/>
      <c r="R3483" s="846"/>
      <c r="S3483" s="846"/>
      <c r="T3483" s="846"/>
    </row>
    <row r="3484" spans="2:20" ht="51" hidden="1">
      <c r="B3484" s="828" t="s">
        <v>6546</v>
      </c>
      <c r="C3484" s="828">
        <v>94603</v>
      </c>
      <c r="D3484" s="630" t="s">
        <v>3009</v>
      </c>
      <c r="E3484" s="630" t="s">
        <v>648</v>
      </c>
      <c r="F3484" s="829">
        <v>282.25</v>
      </c>
      <c r="G3484" s="830">
        <v>29.21</v>
      </c>
      <c r="H3484" s="831">
        <v>311.45999999999998</v>
      </c>
      <c r="I3484" s="846"/>
      <c r="J3484" s="846"/>
      <c r="K3484" s="846"/>
      <c r="L3484" s="846"/>
      <c r="M3484" s="846"/>
      <c r="N3484" s="846"/>
      <c r="O3484" s="846"/>
      <c r="P3484" s="846"/>
      <c r="Q3484" s="846"/>
      <c r="R3484" s="846"/>
      <c r="S3484" s="846"/>
      <c r="T3484" s="846"/>
    </row>
    <row r="3485" spans="2:20" ht="51" hidden="1">
      <c r="B3485" s="828" t="s">
        <v>6546</v>
      </c>
      <c r="C3485" s="828">
        <v>94604</v>
      </c>
      <c r="D3485" s="630" t="s">
        <v>3010</v>
      </c>
      <c r="E3485" s="630" t="s">
        <v>648</v>
      </c>
      <c r="F3485" s="829">
        <v>393.54</v>
      </c>
      <c r="G3485" s="830">
        <v>31.83</v>
      </c>
      <c r="H3485" s="831">
        <v>425.37</v>
      </c>
      <c r="I3485" s="846"/>
      <c r="J3485" s="846"/>
      <c r="K3485" s="846"/>
      <c r="L3485" s="846"/>
      <c r="M3485" s="846"/>
      <c r="N3485" s="846"/>
      <c r="O3485" s="846"/>
      <c r="P3485" s="846"/>
      <c r="Q3485" s="846"/>
      <c r="R3485" s="846"/>
      <c r="S3485" s="846"/>
      <c r="T3485" s="846"/>
    </row>
    <row r="3486" spans="2:20" ht="51" hidden="1">
      <c r="B3486" s="828" t="s">
        <v>6546</v>
      </c>
      <c r="C3486" s="828">
        <v>94605</v>
      </c>
      <c r="D3486" s="630" t="s">
        <v>3011</v>
      </c>
      <c r="E3486" s="630" t="s">
        <v>648</v>
      </c>
      <c r="F3486" s="829">
        <v>576.01</v>
      </c>
      <c r="G3486" s="830">
        <v>31.83</v>
      </c>
      <c r="H3486" s="831">
        <v>607.84</v>
      </c>
      <c r="I3486" s="846"/>
      <c r="J3486" s="846"/>
      <c r="K3486" s="846"/>
      <c r="L3486" s="846"/>
      <c r="M3486" s="846"/>
      <c r="N3486" s="846"/>
      <c r="O3486" s="846"/>
      <c r="P3486" s="846"/>
      <c r="Q3486" s="846"/>
      <c r="R3486" s="846"/>
      <c r="S3486" s="846"/>
      <c r="T3486" s="846"/>
    </row>
    <row r="3487" spans="2:20" ht="38.25" hidden="1">
      <c r="B3487" s="828" t="s">
        <v>6546</v>
      </c>
      <c r="C3487" s="828">
        <v>94648</v>
      </c>
      <c r="D3487" s="630" t="s">
        <v>1318</v>
      </c>
      <c r="E3487" s="630" t="s">
        <v>648</v>
      </c>
      <c r="F3487" s="829">
        <v>6.57</v>
      </c>
      <c r="G3487" s="830">
        <v>5.71</v>
      </c>
      <c r="H3487" s="831">
        <v>12.28</v>
      </c>
      <c r="I3487" s="846"/>
      <c r="J3487" s="846"/>
      <c r="K3487" s="846"/>
      <c r="L3487" s="846"/>
      <c r="M3487" s="846"/>
      <c r="N3487" s="846"/>
      <c r="O3487" s="846"/>
      <c r="P3487" s="846"/>
      <c r="Q3487" s="846"/>
      <c r="R3487" s="846"/>
      <c r="S3487" s="846"/>
      <c r="T3487" s="846"/>
    </row>
    <row r="3488" spans="2:20" ht="38.25" hidden="1">
      <c r="B3488" s="828" t="s">
        <v>6546</v>
      </c>
      <c r="C3488" s="828">
        <v>94649</v>
      </c>
      <c r="D3488" s="630" t="s">
        <v>1319</v>
      </c>
      <c r="E3488" s="630" t="s">
        <v>648</v>
      </c>
      <c r="F3488" s="829">
        <v>12.79</v>
      </c>
      <c r="G3488" s="830">
        <v>5.7</v>
      </c>
      <c r="H3488" s="831">
        <v>18.489999999999998</v>
      </c>
      <c r="I3488" s="846"/>
      <c r="J3488" s="846"/>
      <c r="K3488" s="846"/>
      <c r="L3488" s="846"/>
      <c r="M3488" s="846"/>
      <c r="N3488" s="846"/>
      <c r="O3488" s="846"/>
      <c r="P3488" s="846"/>
      <c r="Q3488" s="846"/>
      <c r="R3488" s="846"/>
      <c r="S3488" s="846"/>
      <c r="T3488" s="846"/>
    </row>
    <row r="3489" spans="2:20" ht="38.25" hidden="1">
      <c r="B3489" s="828" t="s">
        <v>6546</v>
      </c>
      <c r="C3489" s="828">
        <v>94650</v>
      </c>
      <c r="D3489" s="630" t="s">
        <v>1320</v>
      </c>
      <c r="E3489" s="630" t="s">
        <v>648</v>
      </c>
      <c r="F3489" s="829">
        <v>18.36</v>
      </c>
      <c r="G3489" s="830">
        <v>8.09</v>
      </c>
      <c r="H3489" s="831">
        <v>26.45</v>
      </c>
      <c r="I3489" s="846"/>
      <c r="J3489" s="846"/>
      <c r="K3489" s="846"/>
      <c r="L3489" s="846"/>
      <c r="M3489" s="846"/>
      <c r="N3489" s="846"/>
      <c r="O3489" s="846"/>
      <c r="P3489" s="846"/>
      <c r="Q3489" s="846"/>
      <c r="R3489" s="846"/>
      <c r="S3489" s="846"/>
      <c r="T3489" s="846"/>
    </row>
    <row r="3490" spans="2:20" ht="38.25" hidden="1">
      <c r="B3490" s="828" t="s">
        <v>6546</v>
      </c>
      <c r="C3490" s="828">
        <v>94651</v>
      </c>
      <c r="D3490" s="630" t="s">
        <v>1321</v>
      </c>
      <c r="E3490" s="630" t="s">
        <v>648</v>
      </c>
      <c r="F3490" s="829">
        <v>20.69</v>
      </c>
      <c r="G3490" s="830">
        <v>8.09</v>
      </c>
      <c r="H3490" s="831">
        <v>28.78</v>
      </c>
      <c r="I3490" s="846"/>
      <c r="J3490" s="846"/>
      <c r="K3490" s="846"/>
      <c r="L3490" s="846"/>
      <c r="M3490" s="846"/>
      <c r="N3490" s="846"/>
      <c r="O3490" s="846"/>
      <c r="P3490" s="846"/>
      <c r="Q3490" s="846"/>
      <c r="R3490" s="846"/>
      <c r="S3490" s="846"/>
      <c r="T3490" s="846"/>
    </row>
    <row r="3491" spans="2:20" ht="38.25" hidden="1">
      <c r="B3491" s="828" t="s">
        <v>6546</v>
      </c>
      <c r="C3491" s="828">
        <v>94652</v>
      </c>
      <c r="D3491" s="630" t="s">
        <v>1322</v>
      </c>
      <c r="E3491" s="630" t="s">
        <v>648</v>
      </c>
      <c r="F3491" s="829">
        <v>33.67</v>
      </c>
      <c r="G3491" s="830">
        <v>13.15</v>
      </c>
      <c r="H3491" s="831">
        <v>46.82</v>
      </c>
      <c r="I3491" s="846"/>
      <c r="J3491" s="846"/>
      <c r="K3491" s="846"/>
      <c r="L3491" s="846"/>
      <c r="M3491" s="846"/>
      <c r="N3491" s="846"/>
      <c r="O3491" s="846"/>
      <c r="P3491" s="846"/>
      <c r="Q3491" s="846"/>
      <c r="R3491" s="846"/>
      <c r="S3491" s="846"/>
      <c r="T3491" s="846"/>
    </row>
    <row r="3492" spans="2:20" ht="38.25" hidden="1">
      <c r="B3492" s="828" t="s">
        <v>6546</v>
      </c>
      <c r="C3492" s="828">
        <v>94653</v>
      </c>
      <c r="D3492" s="630" t="s">
        <v>1323</v>
      </c>
      <c r="E3492" s="630" t="s">
        <v>648</v>
      </c>
      <c r="F3492" s="829">
        <v>53.89</v>
      </c>
      <c r="G3492" s="830">
        <v>13.14</v>
      </c>
      <c r="H3492" s="831">
        <v>67.03</v>
      </c>
      <c r="I3492" s="846"/>
      <c r="J3492" s="846"/>
      <c r="K3492" s="846"/>
      <c r="L3492" s="846"/>
      <c r="M3492" s="846"/>
      <c r="N3492" s="846"/>
      <c r="O3492" s="846"/>
      <c r="P3492" s="846"/>
      <c r="Q3492" s="846"/>
      <c r="R3492" s="846"/>
      <c r="S3492" s="846"/>
      <c r="T3492" s="846"/>
    </row>
    <row r="3493" spans="2:20" ht="38.25" hidden="1">
      <c r="B3493" s="828" t="s">
        <v>6546</v>
      </c>
      <c r="C3493" s="828">
        <v>94654</v>
      </c>
      <c r="D3493" s="630" t="s">
        <v>1324</v>
      </c>
      <c r="E3493" s="630" t="s">
        <v>648</v>
      </c>
      <c r="F3493" s="829">
        <v>66.13</v>
      </c>
      <c r="G3493" s="830">
        <v>23.04</v>
      </c>
      <c r="H3493" s="831">
        <v>89.17</v>
      </c>
      <c r="I3493" s="846"/>
      <c r="J3493" s="846"/>
      <c r="K3493" s="846"/>
      <c r="L3493" s="846"/>
      <c r="M3493" s="846"/>
      <c r="N3493" s="846"/>
      <c r="O3493" s="846"/>
      <c r="P3493" s="846"/>
      <c r="Q3493" s="846"/>
      <c r="R3493" s="846"/>
      <c r="S3493" s="846"/>
      <c r="T3493" s="846"/>
    </row>
    <row r="3494" spans="2:20" ht="38.25" hidden="1">
      <c r="B3494" s="828" t="s">
        <v>6546</v>
      </c>
      <c r="C3494" s="828">
        <v>94655</v>
      </c>
      <c r="D3494" s="630" t="s">
        <v>1325</v>
      </c>
      <c r="E3494" s="630" t="s">
        <v>648</v>
      </c>
      <c r="F3494" s="829">
        <v>102.11</v>
      </c>
      <c r="G3494" s="830">
        <v>23.04</v>
      </c>
      <c r="H3494" s="831">
        <v>125.15</v>
      </c>
      <c r="I3494" s="846"/>
      <c r="J3494" s="846"/>
      <c r="K3494" s="846"/>
      <c r="L3494" s="846"/>
      <c r="M3494" s="846"/>
      <c r="N3494" s="846"/>
      <c r="O3494" s="846"/>
      <c r="P3494" s="846"/>
      <c r="Q3494" s="846"/>
      <c r="R3494" s="846"/>
      <c r="S3494" s="846"/>
      <c r="T3494" s="846"/>
    </row>
    <row r="3495" spans="2:20" ht="38.25" hidden="1">
      <c r="B3495" s="828" t="s">
        <v>6546</v>
      </c>
      <c r="C3495" s="828">
        <v>94716</v>
      </c>
      <c r="D3495" s="630" t="s">
        <v>1362</v>
      </c>
      <c r="E3495" s="630" t="s">
        <v>648</v>
      </c>
      <c r="F3495" s="829">
        <v>27.19</v>
      </c>
      <c r="G3495" s="830">
        <v>5.31</v>
      </c>
      <c r="H3495" s="831">
        <v>32.5</v>
      </c>
      <c r="I3495" s="846"/>
      <c r="J3495" s="846"/>
      <c r="K3495" s="846"/>
      <c r="L3495" s="846"/>
      <c r="M3495" s="846"/>
      <c r="N3495" s="846"/>
      <c r="O3495" s="846"/>
      <c r="P3495" s="846"/>
      <c r="Q3495" s="846"/>
      <c r="R3495" s="846"/>
      <c r="S3495" s="846"/>
      <c r="T3495" s="846"/>
    </row>
    <row r="3496" spans="2:20" ht="38.25" hidden="1">
      <c r="B3496" s="828" t="s">
        <v>6546</v>
      </c>
      <c r="C3496" s="828">
        <v>94717</v>
      </c>
      <c r="D3496" s="630" t="s">
        <v>1363</v>
      </c>
      <c r="E3496" s="630" t="s">
        <v>648</v>
      </c>
      <c r="F3496" s="829">
        <v>42.75</v>
      </c>
      <c r="G3496" s="830">
        <v>5.3</v>
      </c>
      <c r="H3496" s="831">
        <v>48.05</v>
      </c>
      <c r="I3496" s="846"/>
      <c r="J3496" s="846"/>
      <c r="K3496" s="846"/>
      <c r="L3496" s="846"/>
      <c r="M3496" s="846"/>
      <c r="N3496" s="846"/>
      <c r="O3496" s="846"/>
      <c r="P3496" s="846"/>
      <c r="Q3496" s="846"/>
      <c r="R3496" s="846"/>
      <c r="S3496" s="846"/>
      <c r="T3496" s="846"/>
    </row>
    <row r="3497" spans="2:20" ht="38.25" hidden="1">
      <c r="B3497" s="828" t="s">
        <v>6546</v>
      </c>
      <c r="C3497" s="828">
        <v>94718</v>
      </c>
      <c r="D3497" s="630" t="s">
        <v>1364</v>
      </c>
      <c r="E3497" s="630" t="s">
        <v>648</v>
      </c>
      <c r="F3497" s="829">
        <v>52.36</v>
      </c>
      <c r="G3497" s="830">
        <v>7.01</v>
      </c>
      <c r="H3497" s="831">
        <v>59.37</v>
      </c>
      <c r="I3497" s="846"/>
      <c r="J3497" s="846"/>
      <c r="K3497" s="846"/>
      <c r="L3497" s="846"/>
      <c r="M3497" s="846"/>
      <c r="N3497" s="846"/>
      <c r="O3497" s="846"/>
      <c r="P3497" s="846"/>
      <c r="Q3497" s="846"/>
      <c r="R3497" s="846"/>
      <c r="S3497" s="846"/>
      <c r="T3497" s="846"/>
    </row>
    <row r="3498" spans="2:20" ht="38.25" hidden="1">
      <c r="B3498" s="828" t="s">
        <v>6546</v>
      </c>
      <c r="C3498" s="828">
        <v>94719</v>
      </c>
      <c r="D3498" s="630" t="s">
        <v>1365</v>
      </c>
      <c r="E3498" s="630" t="s">
        <v>648</v>
      </c>
      <c r="F3498" s="829">
        <v>71.02</v>
      </c>
      <c r="G3498" s="830">
        <v>7.01</v>
      </c>
      <c r="H3498" s="831">
        <v>78.03</v>
      </c>
      <c r="I3498" s="846"/>
      <c r="J3498" s="846"/>
      <c r="K3498" s="846"/>
      <c r="L3498" s="846"/>
      <c r="M3498" s="846"/>
      <c r="N3498" s="846"/>
      <c r="O3498" s="846"/>
      <c r="P3498" s="846"/>
      <c r="Q3498" s="846"/>
      <c r="R3498" s="846"/>
      <c r="S3498" s="846"/>
      <c r="T3498" s="846"/>
    </row>
    <row r="3499" spans="2:20" ht="38.25" hidden="1">
      <c r="B3499" s="828" t="s">
        <v>6546</v>
      </c>
      <c r="C3499" s="828">
        <v>94720</v>
      </c>
      <c r="D3499" s="630" t="s">
        <v>1366</v>
      </c>
      <c r="E3499" s="630" t="s">
        <v>648</v>
      </c>
      <c r="F3499" s="829">
        <v>105.46</v>
      </c>
      <c r="G3499" s="830">
        <v>12.15</v>
      </c>
      <c r="H3499" s="831">
        <v>117.61</v>
      </c>
      <c r="I3499" s="846"/>
      <c r="J3499" s="846"/>
      <c r="K3499" s="846"/>
      <c r="L3499" s="846"/>
      <c r="M3499" s="846"/>
      <c r="N3499" s="846"/>
      <c r="O3499" s="846"/>
      <c r="P3499" s="846"/>
      <c r="Q3499" s="846"/>
      <c r="R3499" s="846"/>
      <c r="S3499" s="846"/>
      <c r="T3499" s="846"/>
    </row>
    <row r="3500" spans="2:20" ht="38.25" hidden="1">
      <c r="B3500" s="828" t="s">
        <v>6546</v>
      </c>
      <c r="C3500" s="828">
        <v>94721</v>
      </c>
      <c r="D3500" s="630" t="s">
        <v>1367</v>
      </c>
      <c r="E3500" s="630" t="s">
        <v>648</v>
      </c>
      <c r="F3500" s="829">
        <v>160.12</v>
      </c>
      <c r="G3500" s="830">
        <v>12.15</v>
      </c>
      <c r="H3500" s="831">
        <v>172.27</v>
      </c>
      <c r="I3500" s="846"/>
      <c r="J3500" s="846"/>
      <c r="K3500" s="846"/>
      <c r="L3500" s="846"/>
      <c r="M3500" s="846"/>
      <c r="N3500" s="846"/>
      <c r="O3500" s="846"/>
      <c r="P3500" s="846"/>
      <c r="Q3500" s="846"/>
      <c r="R3500" s="846"/>
      <c r="S3500" s="846"/>
      <c r="T3500" s="846"/>
    </row>
    <row r="3501" spans="2:20" ht="38.25" hidden="1">
      <c r="B3501" s="828" t="s">
        <v>6546</v>
      </c>
      <c r="C3501" s="828">
        <v>94722</v>
      </c>
      <c r="D3501" s="630" t="s">
        <v>1368</v>
      </c>
      <c r="E3501" s="630" t="s">
        <v>648</v>
      </c>
      <c r="F3501" s="829">
        <v>275.24</v>
      </c>
      <c r="G3501" s="830">
        <v>24.62</v>
      </c>
      <c r="H3501" s="831">
        <v>299.86</v>
      </c>
      <c r="I3501" s="846"/>
      <c r="J3501" s="846"/>
      <c r="K3501" s="846"/>
      <c r="L3501" s="846"/>
      <c r="M3501" s="846"/>
      <c r="N3501" s="846"/>
      <c r="O3501" s="846"/>
      <c r="P3501" s="846"/>
      <c r="Q3501" s="846"/>
      <c r="R3501" s="846"/>
      <c r="S3501" s="846"/>
      <c r="T3501" s="846"/>
    </row>
    <row r="3502" spans="2:20" ht="38.25" hidden="1">
      <c r="B3502" s="828" t="s">
        <v>6546</v>
      </c>
      <c r="C3502" s="828">
        <v>95697</v>
      </c>
      <c r="D3502" s="630" t="s">
        <v>5092</v>
      </c>
      <c r="E3502" s="630" t="s">
        <v>648</v>
      </c>
      <c r="F3502" s="829">
        <v>92.25</v>
      </c>
      <c r="G3502" s="830">
        <v>5.38</v>
      </c>
      <c r="H3502" s="831">
        <v>97.63</v>
      </c>
      <c r="I3502" s="846"/>
      <c r="J3502" s="846"/>
      <c r="K3502" s="846"/>
      <c r="L3502" s="846"/>
      <c r="M3502" s="846"/>
      <c r="N3502" s="846"/>
      <c r="O3502" s="846"/>
      <c r="P3502" s="846"/>
      <c r="Q3502" s="846"/>
      <c r="R3502" s="846"/>
      <c r="S3502" s="846"/>
      <c r="T3502" s="846"/>
    </row>
    <row r="3503" spans="2:20" ht="25.5" hidden="1">
      <c r="B3503" s="828" t="s">
        <v>6546</v>
      </c>
      <c r="C3503" s="828">
        <v>96635</v>
      </c>
      <c r="D3503" s="630" t="s">
        <v>2368</v>
      </c>
      <c r="E3503" s="630" t="s">
        <v>648</v>
      </c>
      <c r="F3503" s="829">
        <v>20.78</v>
      </c>
      <c r="G3503" s="830">
        <v>17.41</v>
      </c>
      <c r="H3503" s="831">
        <v>38.19</v>
      </c>
      <c r="I3503" s="846"/>
      <c r="J3503" s="846"/>
      <c r="K3503" s="846"/>
      <c r="L3503" s="846"/>
      <c r="M3503" s="846"/>
      <c r="N3503" s="846"/>
      <c r="O3503" s="846"/>
      <c r="P3503" s="846"/>
      <c r="Q3503" s="846"/>
      <c r="R3503" s="846"/>
      <c r="S3503" s="846"/>
      <c r="T3503" s="846"/>
    </row>
    <row r="3504" spans="2:20" ht="25.5" hidden="1">
      <c r="B3504" s="828" t="s">
        <v>6546</v>
      </c>
      <c r="C3504" s="828">
        <v>96636</v>
      </c>
      <c r="D3504" s="630" t="s">
        <v>2369</v>
      </c>
      <c r="E3504" s="630" t="s">
        <v>648</v>
      </c>
      <c r="F3504" s="829">
        <v>21.21</v>
      </c>
      <c r="G3504" s="830">
        <v>18.96</v>
      </c>
      <c r="H3504" s="831">
        <v>40.17</v>
      </c>
      <c r="I3504" s="846"/>
      <c r="J3504" s="846"/>
      <c r="K3504" s="846"/>
      <c r="L3504" s="846"/>
      <c r="M3504" s="846"/>
      <c r="N3504" s="846"/>
      <c r="O3504" s="846"/>
      <c r="P3504" s="846"/>
      <c r="Q3504" s="846"/>
      <c r="R3504" s="846"/>
      <c r="S3504" s="846"/>
      <c r="T3504" s="846"/>
    </row>
    <row r="3505" spans="2:20" ht="25.5" hidden="1">
      <c r="B3505" s="828" t="s">
        <v>6546</v>
      </c>
      <c r="C3505" s="828">
        <v>96644</v>
      </c>
      <c r="D3505" s="630" t="s">
        <v>2370</v>
      </c>
      <c r="E3505" s="630" t="s">
        <v>648</v>
      </c>
      <c r="F3505" s="829">
        <v>18.12</v>
      </c>
      <c r="G3505" s="830">
        <v>7.92</v>
      </c>
      <c r="H3505" s="831">
        <v>26.04</v>
      </c>
      <c r="I3505" s="846"/>
      <c r="J3505" s="846"/>
      <c r="K3505" s="846"/>
      <c r="L3505" s="846"/>
      <c r="M3505" s="846"/>
      <c r="N3505" s="846"/>
      <c r="O3505" s="846"/>
      <c r="P3505" s="846"/>
      <c r="Q3505" s="846"/>
      <c r="R3505" s="846"/>
      <c r="S3505" s="846"/>
      <c r="T3505" s="846"/>
    </row>
    <row r="3506" spans="2:20" ht="25.5" hidden="1">
      <c r="B3506" s="828" t="s">
        <v>6546</v>
      </c>
      <c r="C3506" s="828">
        <v>96645</v>
      </c>
      <c r="D3506" s="630" t="s">
        <v>2371</v>
      </c>
      <c r="E3506" s="630" t="s">
        <v>648</v>
      </c>
      <c r="F3506" s="829">
        <v>22.91</v>
      </c>
      <c r="G3506" s="830">
        <v>10.67</v>
      </c>
      <c r="H3506" s="831">
        <v>33.58</v>
      </c>
      <c r="I3506" s="846"/>
      <c r="J3506" s="846"/>
      <c r="K3506" s="846"/>
      <c r="L3506" s="846"/>
      <c r="M3506" s="846"/>
      <c r="N3506" s="846"/>
      <c r="O3506" s="846"/>
      <c r="P3506" s="846"/>
      <c r="Q3506" s="846"/>
      <c r="R3506" s="846"/>
      <c r="S3506" s="846"/>
      <c r="T3506" s="846"/>
    </row>
    <row r="3507" spans="2:20" ht="25.5" hidden="1">
      <c r="B3507" s="828" t="s">
        <v>6546</v>
      </c>
      <c r="C3507" s="828">
        <v>96646</v>
      </c>
      <c r="D3507" s="630" t="s">
        <v>2372</v>
      </c>
      <c r="E3507" s="630" t="s">
        <v>648</v>
      </c>
      <c r="F3507" s="829">
        <v>35.08</v>
      </c>
      <c r="G3507" s="830">
        <v>16.88</v>
      </c>
      <c r="H3507" s="831">
        <v>51.96</v>
      </c>
      <c r="I3507" s="846"/>
      <c r="J3507" s="846"/>
      <c r="K3507" s="846"/>
      <c r="L3507" s="846"/>
      <c r="M3507" s="846"/>
      <c r="N3507" s="846"/>
      <c r="O3507" s="846"/>
      <c r="P3507" s="846"/>
      <c r="Q3507" s="846"/>
      <c r="R3507" s="846"/>
      <c r="S3507" s="846"/>
      <c r="T3507" s="846"/>
    </row>
    <row r="3508" spans="2:20" ht="25.5" hidden="1">
      <c r="B3508" s="828" t="s">
        <v>6546</v>
      </c>
      <c r="C3508" s="828">
        <v>96647</v>
      </c>
      <c r="D3508" s="630" t="s">
        <v>2373</v>
      </c>
      <c r="E3508" s="630" t="s">
        <v>648</v>
      </c>
      <c r="F3508" s="829">
        <v>17.63</v>
      </c>
      <c r="G3508" s="830">
        <v>6.21</v>
      </c>
      <c r="H3508" s="831">
        <v>23.84</v>
      </c>
      <c r="I3508" s="846"/>
      <c r="J3508" s="846"/>
      <c r="K3508" s="846"/>
      <c r="L3508" s="846"/>
      <c r="M3508" s="846"/>
      <c r="N3508" s="846"/>
      <c r="O3508" s="846"/>
      <c r="P3508" s="846"/>
      <c r="Q3508" s="846"/>
      <c r="R3508" s="846"/>
      <c r="S3508" s="846"/>
      <c r="T3508" s="846"/>
    </row>
    <row r="3509" spans="2:20" ht="25.5" hidden="1">
      <c r="B3509" s="828" t="s">
        <v>6546</v>
      </c>
      <c r="C3509" s="828">
        <v>96648</v>
      </c>
      <c r="D3509" s="630" t="s">
        <v>2374</v>
      </c>
      <c r="E3509" s="630" t="s">
        <v>648</v>
      </c>
      <c r="F3509" s="829">
        <v>30.14</v>
      </c>
      <c r="G3509" s="830">
        <v>12.77</v>
      </c>
      <c r="H3509" s="831">
        <v>42.91</v>
      </c>
      <c r="I3509" s="846"/>
      <c r="J3509" s="846"/>
      <c r="K3509" s="846"/>
      <c r="L3509" s="846"/>
      <c r="M3509" s="846"/>
      <c r="N3509" s="846"/>
      <c r="O3509" s="846"/>
      <c r="P3509" s="846"/>
      <c r="Q3509" s="846"/>
      <c r="R3509" s="846"/>
      <c r="S3509" s="846"/>
      <c r="T3509" s="846"/>
    </row>
    <row r="3510" spans="2:20" ht="25.5" hidden="1">
      <c r="B3510" s="828" t="s">
        <v>6546</v>
      </c>
      <c r="C3510" s="828">
        <v>96649</v>
      </c>
      <c r="D3510" s="630" t="s">
        <v>2375</v>
      </c>
      <c r="E3510" s="630" t="s">
        <v>648</v>
      </c>
      <c r="F3510" s="829">
        <v>42.48</v>
      </c>
      <c r="G3510" s="830">
        <v>20.27</v>
      </c>
      <c r="H3510" s="831">
        <v>62.75</v>
      </c>
      <c r="I3510" s="846"/>
      <c r="J3510" s="846"/>
      <c r="K3510" s="846"/>
      <c r="L3510" s="846"/>
      <c r="M3510" s="846"/>
      <c r="N3510" s="846"/>
      <c r="O3510" s="846"/>
      <c r="P3510" s="846"/>
      <c r="Q3510" s="846"/>
      <c r="R3510" s="846"/>
      <c r="S3510" s="846"/>
      <c r="T3510" s="846"/>
    </row>
    <row r="3511" spans="2:20" ht="25.5" hidden="1">
      <c r="B3511" s="828" t="s">
        <v>6546</v>
      </c>
      <c r="C3511" s="828">
        <v>96668</v>
      </c>
      <c r="D3511" s="630" t="s">
        <v>2376</v>
      </c>
      <c r="E3511" s="630" t="s">
        <v>648</v>
      </c>
      <c r="F3511" s="829">
        <v>16.260000000000002</v>
      </c>
      <c r="G3511" s="830">
        <v>1.31</v>
      </c>
      <c r="H3511" s="831">
        <v>17.57</v>
      </c>
      <c r="I3511" s="846"/>
      <c r="J3511" s="846"/>
      <c r="K3511" s="846"/>
      <c r="L3511" s="846"/>
      <c r="M3511" s="846"/>
      <c r="N3511" s="846"/>
      <c r="O3511" s="846"/>
      <c r="P3511" s="846"/>
      <c r="Q3511" s="846"/>
      <c r="R3511" s="846"/>
      <c r="S3511" s="846"/>
      <c r="T3511" s="846"/>
    </row>
    <row r="3512" spans="2:20" ht="25.5" hidden="1">
      <c r="B3512" s="828" t="s">
        <v>6546</v>
      </c>
      <c r="C3512" s="828">
        <v>96669</v>
      </c>
      <c r="D3512" s="630" t="s">
        <v>2377</v>
      </c>
      <c r="E3512" s="630" t="s">
        <v>648</v>
      </c>
      <c r="F3512" s="829">
        <v>20.350000000000001</v>
      </c>
      <c r="G3512" s="830">
        <v>1.52</v>
      </c>
      <c r="H3512" s="831">
        <v>21.87</v>
      </c>
      <c r="I3512" s="846"/>
      <c r="J3512" s="846"/>
      <c r="K3512" s="846"/>
      <c r="L3512" s="846"/>
      <c r="M3512" s="846"/>
      <c r="N3512" s="846"/>
      <c r="O3512" s="846"/>
      <c r="P3512" s="846"/>
      <c r="Q3512" s="846"/>
      <c r="R3512" s="846"/>
      <c r="S3512" s="846"/>
      <c r="T3512" s="846"/>
    </row>
    <row r="3513" spans="2:20" ht="25.5" hidden="1">
      <c r="B3513" s="828" t="s">
        <v>6546</v>
      </c>
      <c r="C3513" s="828">
        <v>96670</v>
      </c>
      <c r="D3513" s="630" t="s">
        <v>2378</v>
      </c>
      <c r="E3513" s="630" t="s">
        <v>648</v>
      </c>
      <c r="F3513" s="829">
        <v>30.95</v>
      </c>
      <c r="G3513" s="830">
        <v>2.25</v>
      </c>
      <c r="H3513" s="831">
        <v>33.200000000000003</v>
      </c>
      <c r="I3513" s="846"/>
      <c r="J3513" s="846"/>
      <c r="K3513" s="846"/>
      <c r="L3513" s="846"/>
      <c r="M3513" s="846"/>
      <c r="N3513" s="846"/>
      <c r="O3513" s="846"/>
      <c r="P3513" s="846"/>
      <c r="Q3513" s="846"/>
      <c r="R3513" s="846"/>
      <c r="S3513" s="846"/>
      <c r="T3513" s="846"/>
    </row>
    <row r="3514" spans="2:20" ht="25.5" hidden="1">
      <c r="B3514" s="828" t="s">
        <v>6546</v>
      </c>
      <c r="C3514" s="828">
        <v>96671</v>
      </c>
      <c r="D3514" s="630" t="s">
        <v>2379</v>
      </c>
      <c r="E3514" s="630" t="s">
        <v>648</v>
      </c>
      <c r="F3514" s="829">
        <v>41.06</v>
      </c>
      <c r="G3514" s="830">
        <v>3.32</v>
      </c>
      <c r="H3514" s="831">
        <v>44.38</v>
      </c>
      <c r="I3514" s="846"/>
      <c r="J3514" s="846"/>
      <c r="K3514" s="846"/>
      <c r="L3514" s="846"/>
      <c r="M3514" s="846"/>
      <c r="N3514" s="846"/>
      <c r="O3514" s="846"/>
      <c r="P3514" s="846"/>
      <c r="Q3514" s="846"/>
      <c r="R3514" s="846"/>
      <c r="S3514" s="846"/>
      <c r="T3514" s="846"/>
    </row>
    <row r="3515" spans="2:20" ht="25.5" hidden="1">
      <c r="B3515" s="828" t="s">
        <v>6546</v>
      </c>
      <c r="C3515" s="828">
        <v>96672</v>
      </c>
      <c r="D3515" s="630" t="s">
        <v>2380</v>
      </c>
      <c r="E3515" s="630" t="s">
        <v>648</v>
      </c>
      <c r="F3515" s="829">
        <v>59.93</v>
      </c>
      <c r="G3515" s="830">
        <v>5.13</v>
      </c>
      <c r="H3515" s="831">
        <v>65.06</v>
      </c>
      <c r="I3515" s="846"/>
      <c r="J3515" s="846"/>
      <c r="K3515" s="846"/>
      <c r="L3515" s="846"/>
      <c r="M3515" s="846"/>
      <c r="N3515" s="846"/>
      <c r="O3515" s="846"/>
      <c r="P3515" s="846"/>
      <c r="Q3515" s="846"/>
      <c r="R3515" s="846"/>
      <c r="S3515" s="846"/>
      <c r="T3515" s="846"/>
    </row>
    <row r="3516" spans="2:20" ht="25.5" hidden="1">
      <c r="B3516" s="828" t="s">
        <v>6546</v>
      </c>
      <c r="C3516" s="828">
        <v>96673</v>
      </c>
      <c r="D3516" s="630" t="s">
        <v>2381</v>
      </c>
      <c r="E3516" s="630" t="s">
        <v>648</v>
      </c>
      <c r="F3516" s="829">
        <v>99.49</v>
      </c>
      <c r="G3516" s="830">
        <v>7.13</v>
      </c>
      <c r="H3516" s="831">
        <v>106.62</v>
      </c>
      <c r="I3516" s="846"/>
      <c r="J3516" s="846"/>
      <c r="K3516" s="846"/>
      <c r="L3516" s="846"/>
      <c r="M3516" s="846"/>
      <c r="N3516" s="846"/>
      <c r="O3516" s="846"/>
      <c r="P3516" s="846"/>
      <c r="Q3516" s="846"/>
      <c r="R3516" s="846"/>
      <c r="S3516" s="846"/>
      <c r="T3516" s="846"/>
    </row>
    <row r="3517" spans="2:20" ht="25.5" hidden="1">
      <c r="B3517" s="828" t="s">
        <v>6546</v>
      </c>
      <c r="C3517" s="828">
        <v>96674</v>
      </c>
      <c r="D3517" s="630" t="s">
        <v>2382</v>
      </c>
      <c r="E3517" s="630" t="s">
        <v>648</v>
      </c>
      <c r="F3517" s="829">
        <v>139.57</v>
      </c>
      <c r="G3517" s="830">
        <v>10.19</v>
      </c>
      <c r="H3517" s="831">
        <v>149.76</v>
      </c>
      <c r="I3517" s="846"/>
      <c r="J3517" s="846"/>
      <c r="K3517" s="846"/>
      <c r="L3517" s="846"/>
      <c r="M3517" s="846"/>
      <c r="N3517" s="846"/>
      <c r="O3517" s="846"/>
      <c r="P3517" s="846"/>
      <c r="Q3517" s="846"/>
      <c r="R3517" s="846"/>
      <c r="S3517" s="846"/>
      <c r="T3517" s="846"/>
    </row>
    <row r="3518" spans="2:20" ht="25.5" hidden="1">
      <c r="B3518" s="828" t="s">
        <v>6546</v>
      </c>
      <c r="C3518" s="828">
        <v>96675</v>
      </c>
      <c r="D3518" s="630" t="s">
        <v>2383</v>
      </c>
      <c r="E3518" s="630" t="s">
        <v>648</v>
      </c>
      <c r="F3518" s="829">
        <v>245.9</v>
      </c>
      <c r="G3518" s="830">
        <v>15.06</v>
      </c>
      <c r="H3518" s="831">
        <v>260.95999999999998</v>
      </c>
      <c r="I3518" s="846"/>
      <c r="J3518" s="846"/>
      <c r="K3518" s="846"/>
      <c r="L3518" s="846"/>
      <c r="M3518" s="846"/>
      <c r="N3518" s="846"/>
      <c r="O3518" s="846"/>
      <c r="P3518" s="846"/>
      <c r="Q3518" s="846"/>
      <c r="R3518" s="846"/>
      <c r="S3518" s="846"/>
      <c r="T3518" s="846"/>
    </row>
    <row r="3519" spans="2:20" ht="25.5" hidden="1">
      <c r="B3519" s="828" t="s">
        <v>6546</v>
      </c>
      <c r="C3519" s="828">
        <v>96676</v>
      </c>
      <c r="D3519" s="630" t="s">
        <v>2384</v>
      </c>
      <c r="E3519" s="630" t="s">
        <v>648</v>
      </c>
      <c r="F3519" s="829">
        <v>16.25</v>
      </c>
      <c r="G3519" s="830">
        <v>1.26</v>
      </c>
      <c r="H3519" s="831">
        <v>17.510000000000002</v>
      </c>
      <c r="I3519" s="846"/>
      <c r="J3519" s="846"/>
      <c r="K3519" s="846"/>
      <c r="L3519" s="846"/>
      <c r="M3519" s="846"/>
      <c r="N3519" s="846"/>
      <c r="O3519" s="846"/>
      <c r="P3519" s="846"/>
      <c r="Q3519" s="846"/>
      <c r="R3519" s="846"/>
      <c r="S3519" s="846"/>
      <c r="T3519" s="846"/>
    </row>
    <row r="3520" spans="2:20" ht="25.5" hidden="1">
      <c r="B3520" s="828" t="s">
        <v>6546</v>
      </c>
      <c r="C3520" s="828">
        <v>96677</v>
      </c>
      <c r="D3520" s="630" t="s">
        <v>2385</v>
      </c>
      <c r="E3520" s="630" t="s">
        <v>648</v>
      </c>
      <c r="F3520" s="829">
        <v>27.07</v>
      </c>
      <c r="G3520" s="830">
        <v>1.87</v>
      </c>
      <c r="H3520" s="831">
        <v>28.94</v>
      </c>
      <c r="I3520" s="846"/>
      <c r="J3520" s="846"/>
      <c r="K3520" s="846"/>
      <c r="L3520" s="846"/>
      <c r="M3520" s="846"/>
      <c r="N3520" s="846"/>
      <c r="O3520" s="846"/>
      <c r="P3520" s="846"/>
      <c r="Q3520" s="846"/>
      <c r="R3520" s="846"/>
      <c r="S3520" s="846"/>
      <c r="T3520" s="846"/>
    </row>
    <row r="3521" spans="2:20" ht="25.5" hidden="1">
      <c r="B3521" s="828" t="s">
        <v>6546</v>
      </c>
      <c r="C3521" s="828">
        <v>96678</v>
      </c>
      <c r="D3521" s="630" t="s">
        <v>2386</v>
      </c>
      <c r="E3521" s="630" t="s">
        <v>648</v>
      </c>
      <c r="F3521" s="829">
        <v>37.53</v>
      </c>
      <c r="G3521" s="830">
        <v>2.68</v>
      </c>
      <c r="H3521" s="831">
        <v>40.21</v>
      </c>
      <c r="I3521" s="846"/>
      <c r="J3521" s="846"/>
      <c r="K3521" s="846"/>
      <c r="L3521" s="846"/>
      <c r="M3521" s="846"/>
      <c r="N3521" s="846"/>
      <c r="O3521" s="846"/>
      <c r="P3521" s="846"/>
      <c r="Q3521" s="846"/>
      <c r="R3521" s="846"/>
      <c r="S3521" s="846"/>
      <c r="T3521" s="846"/>
    </row>
    <row r="3522" spans="2:20" ht="25.5" hidden="1">
      <c r="B3522" s="828" t="s">
        <v>6546</v>
      </c>
      <c r="C3522" s="828">
        <v>96679</v>
      </c>
      <c r="D3522" s="630" t="s">
        <v>2387</v>
      </c>
      <c r="E3522" s="630" t="s">
        <v>648</v>
      </c>
      <c r="F3522" s="829">
        <v>54.62</v>
      </c>
      <c r="G3522" s="830">
        <v>4.0199999999999996</v>
      </c>
      <c r="H3522" s="831">
        <v>58.64</v>
      </c>
      <c r="I3522" s="846"/>
      <c r="J3522" s="846"/>
      <c r="K3522" s="846"/>
      <c r="L3522" s="846"/>
      <c r="M3522" s="846"/>
      <c r="N3522" s="846"/>
      <c r="O3522" s="846"/>
      <c r="P3522" s="846"/>
      <c r="Q3522" s="846"/>
      <c r="R3522" s="846"/>
      <c r="S3522" s="846"/>
      <c r="T3522" s="846"/>
    </row>
    <row r="3523" spans="2:20" ht="25.5" hidden="1">
      <c r="B3523" s="828" t="s">
        <v>6546</v>
      </c>
      <c r="C3523" s="828">
        <v>96680</v>
      </c>
      <c r="D3523" s="630" t="s">
        <v>2388</v>
      </c>
      <c r="E3523" s="630" t="s">
        <v>648</v>
      </c>
      <c r="F3523" s="829">
        <v>72.67</v>
      </c>
      <c r="G3523" s="830">
        <v>6.14</v>
      </c>
      <c r="H3523" s="831">
        <v>78.81</v>
      </c>
      <c r="I3523" s="846"/>
      <c r="J3523" s="846"/>
      <c r="K3523" s="846"/>
      <c r="L3523" s="846"/>
      <c r="M3523" s="846"/>
      <c r="N3523" s="846"/>
      <c r="O3523" s="846"/>
      <c r="P3523" s="846"/>
      <c r="Q3523" s="846"/>
      <c r="R3523" s="846"/>
      <c r="S3523" s="846"/>
      <c r="T3523" s="846"/>
    </row>
    <row r="3524" spans="2:20" ht="25.5" hidden="1">
      <c r="B3524" s="828" t="s">
        <v>6546</v>
      </c>
      <c r="C3524" s="828">
        <v>96681</v>
      </c>
      <c r="D3524" s="630" t="s">
        <v>2389</v>
      </c>
      <c r="E3524" s="630" t="s">
        <v>648</v>
      </c>
      <c r="F3524" s="829">
        <v>139.22</v>
      </c>
      <c r="G3524" s="830">
        <v>8.6</v>
      </c>
      <c r="H3524" s="831">
        <v>147.82</v>
      </c>
      <c r="I3524" s="846"/>
      <c r="J3524" s="846"/>
      <c r="K3524" s="846"/>
      <c r="L3524" s="846"/>
      <c r="M3524" s="846"/>
      <c r="N3524" s="846"/>
      <c r="O3524" s="846"/>
      <c r="P3524" s="846"/>
      <c r="Q3524" s="846"/>
      <c r="R3524" s="846"/>
      <c r="S3524" s="846"/>
      <c r="T3524" s="846"/>
    </row>
    <row r="3525" spans="2:20" ht="25.5" hidden="1">
      <c r="B3525" s="828" t="s">
        <v>6546</v>
      </c>
      <c r="C3525" s="828">
        <v>96682</v>
      </c>
      <c r="D3525" s="630" t="s">
        <v>2390</v>
      </c>
      <c r="E3525" s="630" t="s">
        <v>648</v>
      </c>
      <c r="F3525" s="829">
        <v>205.93</v>
      </c>
      <c r="G3525" s="830">
        <v>12.2</v>
      </c>
      <c r="H3525" s="831">
        <v>218.13</v>
      </c>
      <c r="I3525" s="846"/>
      <c r="J3525" s="846"/>
      <c r="K3525" s="846"/>
      <c r="L3525" s="846"/>
      <c r="M3525" s="846"/>
      <c r="N3525" s="846"/>
      <c r="O3525" s="846"/>
      <c r="P3525" s="846"/>
      <c r="Q3525" s="846"/>
      <c r="R3525" s="846"/>
      <c r="S3525" s="846"/>
      <c r="T3525" s="846"/>
    </row>
    <row r="3526" spans="2:20" ht="25.5" hidden="1">
      <c r="B3526" s="828" t="s">
        <v>6546</v>
      </c>
      <c r="C3526" s="828">
        <v>96683</v>
      </c>
      <c r="D3526" s="630" t="s">
        <v>2391</v>
      </c>
      <c r="E3526" s="630" t="s">
        <v>648</v>
      </c>
      <c r="F3526" s="829">
        <v>280.19</v>
      </c>
      <c r="G3526" s="830">
        <v>18.07</v>
      </c>
      <c r="H3526" s="831">
        <v>298.26</v>
      </c>
      <c r="I3526" s="846"/>
      <c r="J3526" s="846"/>
      <c r="K3526" s="846"/>
      <c r="L3526" s="846"/>
      <c r="M3526" s="846"/>
      <c r="N3526" s="846"/>
      <c r="O3526" s="846"/>
      <c r="P3526" s="846"/>
      <c r="Q3526" s="846"/>
      <c r="R3526" s="846"/>
      <c r="S3526" s="846"/>
      <c r="T3526" s="846"/>
    </row>
    <row r="3527" spans="2:20" ht="38.25" hidden="1">
      <c r="B3527" s="828" t="s">
        <v>6546</v>
      </c>
      <c r="C3527" s="828">
        <v>96718</v>
      </c>
      <c r="D3527" s="630" t="s">
        <v>2392</v>
      </c>
      <c r="E3527" s="630" t="s">
        <v>648</v>
      </c>
      <c r="F3527" s="829">
        <v>11.39</v>
      </c>
      <c r="G3527" s="830">
        <v>0.28000000000000003</v>
      </c>
      <c r="H3527" s="831">
        <v>11.67</v>
      </c>
      <c r="I3527" s="846"/>
      <c r="J3527" s="846"/>
      <c r="K3527" s="846"/>
      <c r="L3527" s="846"/>
      <c r="M3527" s="846"/>
      <c r="N3527" s="846"/>
      <c r="O3527" s="846"/>
      <c r="P3527" s="846"/>
      <c r="Q3527" s="846"/>
      <c r="R3527" s="846"/>
      <c r="S3527" s="846"/>
      <c r="T3527" s="846"/>
    </row>
    <row r="3528" spans="2:20" ht="38.25" hidden="1">
      <c r="B3528" s="828" t="s">
        <v>6546</v>
      </c>
      <c r="C3528" s="828">
        <v>96719</v>
      </c>
      <c r="D3528" s="630" t="s">
        <v>2393</v>
      </c>
      <c r="E3528" s="630" t="s">
        <v>648</v>
      </c>
      <c r="F3528" s="829">
        <v>16.91</v>
      </c>
      <c r="G3528" s="830">
        <v>5.6</v>
      </c>
      <c r="H3528" s="831">
        <v>22.51</v>
      </c>
      <c r="I3528" s="846"/>
      <c r="J3528" s="846"/>
      <c r="K3528" s="846"/>
      <c r="L3528" s="846"/>
      <c r="M3528" s="846"/>
      <c r="N3528" s="846"/>
      <c r="O3528" s="846"/>
      <c r="P3528" s="846"/>
      <c r="Q3528" s="846"/>
      <c r="R3528" s="846"/>
      <c r="S3528" s="846"/>
      <c r="T3528" s="846"/>
    </row>
    <row r="3529" spans="2:20" ht="38.25" hidden="1">
      <c r="B3529" s="828" t="s">
        <v>6546</v>
      </c>
      <c r="C3529" s="828">
        <v>96720</v>
      </c>
      <c r="D3529" s="630" t="s">
        <v>2394</v>
      </c>
      <c r="E3529" s="630" t="s">
        <v>648</v>
      </c>
      <c r="F3529" s="829">
        <v>20.88</v>
      </c>
      <c r="G3529" s="830">
        <v>6.55</v>
      </c>
      <c r="H3529" s="831">
        <v>27.43</v>
      </c>
      <c r="I3529" s="846"/>
      <c r="J3529" s="846"/>
      <c r="K3529" s="846"/>
      <c r="L3529" s="846"/>
      <c r="M3529" s="846"/>
      <c r="N3529" s="846"/>
      <c r="O3529" s="846"/>
      <c r="P3529" s="846"/>
      <c r="Q3529" s="846"/>
      <c r="R3529" s="846"/>
      <c r="S3529" s="846"/>
      <c r="T3529" s="846"/>
    </row>
    <row r="3530" spans="2:20" ht="38.25" hidden="1">
      <c r="B3530" s="828" t="s">
        <v>6546</v>
      </c>
      <c r="C3530" s="828">
        <v>96721</v>
      </c>
      <c r="D3530" s="630" t="s">
        <v>2395</v>
      </c>
      <c r="E3530" s="630" t="s">
        <v>648</v>
      </c>
      <c r="F3530" s="829">
        <v>30.83</v>
      </c>
      <c r="G3530" s="830">
        <v>6.55</v>
      </c>
      <c r="H3530" s="831">
        <v>37.380000000000003</v>
      </c>
      <c r="I3530" s="846"/>
      <c r="J3530" s="846"/>
      <c r="K3530" s="846"/>
      <c r="L3530" s="846"/>
      <c r="M3530" s="846"/>
      <c r="N3530" s="846"/>
      <c r="O3530" s="846"/>
      <c r="P3530" s="846"/>
      <c r="Q3530" s="846"/>
      <c r="R3530" s="846"/>
      <c r="S3530" s="846"/>
      <c r="T3530" s="846"/>
    </row>
    <row r="3531" spans="2:20" ht="38.25" hidden="1">
      <c r="B3531" s="828" t="s">
        <v>6546</v>
      </c>
      <c r="C3531" s="828">
        <v>96722</v>
      </c>
      <c r="D3531" s="630" t="s">
        <v>2396</v>
      </c>
      <c r="E3531" s="630" t="s">
        <v>648</v>
      </c>
      <c r="F3531" s="829">
        <v>40.83</v>
      </c>
      <c r="G3531" s="830">
        <v>9.9700000000000006</v>
      </c>
      <c r="H3531" s="831">
        <v>50.8</v>
      </c>
      <c r="I3531" s="846"/>
      <c r="J3531" s="846"/>
      <c r="K3531" s="846"/>
      <c r="L3531" s="846"/>
      <c r="M3531" s="846"/>
      <c r="N3531" s="846"/>
      <c r="O3531" s="846"/>
      <c r="P3531" s="846"/>
      <c r="Q3531" s="846"/>
      <c r="R3531" s="846"/>
      <c r="S3531" s="846"/>
      <c r="T3531" s="846"/>
    </row>
    <row r="3532" spans="2:20" ht="38.25" hidden="1">
      <c r="B3532" s="828" t="s">
        <v>6546</v>
      </c>
      <c r="C3532" s="828">
        <v>96723</v>
      </c>
      <c r="D3532" s="630" t="s">
        <v>2397</v>
      </c>
      <c r="E3532" s="630" t="s">
        <v>648</v>
      </c>
      <c r="F3532" s="829">
        <v>58.24</v>
      </c>
      <c r="G3532" s="830">
        <v>9.9700000000000006</v>
      </c>
      <c r="H3532" s="831">
        <v>68.209999999999994</v>
      </c>
      <c r="I3532" s="846"/>
      <c r="J3532" s="846"/>
      <c r="K3532" s="846"/>
      <c r="L3532" s="846"/>
      <c r="M3532" s="846"/>
      <c r="N3532" s="846"/>
      <c r="O3532" s="846"/>
      <c r="P3532" s="846"/>
      <c r="Q3532" s="846"/>
      <c r="R3532" s="846"/>
      <c r="S3532" s="846"/>
      <c r="T3532" s="846"/>
    </row>
    <row r="3533" spans="2:20" ht="38.25" hidden="1">
      <c r="B3533" s="828" t="s">
        <v>6546</v>
      </c>
      <c r="C3533" s="828">
        <v>96724</v>
      </c>
      <c r="D3533" s="630" t="s">
        <v>2398</v>
      </c>
      <c r="E3533" s="630" t="s">
        <v>648</v>
      </c>
      <c r="F3533" s="829">
        <v>94.89</v>
      </c>
      <c r="G3533" s="830">
        <v>16.440000000000001</v>
      </c>
      <c r="H3533" s="831">
        <v>111.33</v>
      </c>
      <c r="I3533" s="846"/>
      <c r="J3533" s="846"/>
      <c r="K3533" s="846"/>
      <c r="L3533" s="846"/>
      <c r="M3533" s="846"/>
      <c r="N3533" s="846"/>
      <c r="O3533" s="846"/>
      <c r="P3533" s="846"/>
      <c r="Q3533" s="846"/>
      <c r="R3533" s="846"/>
      <c r="S3533" s="846"/>
      <c r="T3533" s="846"/>
    </row>
    <row r="3534" spans="2:20" ht="38.25" hidden="1">
      <c r="B3534" s="828" t="s">
        <v>6546</v>
      </c>
      <c r="C3534" s="828">
        <v>96725</v>
      </c>
      <c r="D3534" s="630" t="s">
        <v>2399</v>
      </c>
      <c r="E3534" s="630" t="s">
        <v>648</v>
      </c>
      <c r="F3534" s="829">
        <v>131.21</v>
      </c>
      <c r="G3534" s="830">
        <v>16.440000000000001</v>
      </c>
      <c r="H3534" s="831">
        <v>147.65</v>
      </c>
      <c r="I3534" s="846"/>
      <c r="J3534" s="846"/>
      <c r="K3534" s="846"/>
      <c r="L3534" s="846"/>
      <c r="M3534" s="846"/>
      <c r="N3534" s="846"/>
      <c r="O3534" s="846"/>
      <c r="P3534" s="846"/>
      <c r="Q3534" s="846"/>
      <c r="R3534" s="846"/>
      <c r="S3534" s="846"/>
      <c r="T3534" s="846"/>
    </row>
    <row r="3535" spans="2:20" ht="38.25" hidden="1">
      <c r="B3535" s="828" t="s">
        <v>6546</v>
      </c>
      <c r="C3535" s="828">
        <v>96726</v>
      </c>
      <c r="D3535" s="630" t="s">
        <v>2400</v>
      </c>
      <c r="E3535" s="630" t="s">
        <v>648</v>
      </c>
      <c r="F3535" s="829">
        <v>215.14</v>
      </c>
      <c r="G3535" s="830">
        <v>25.83</v>
      </c>
      <c r="H3535" s="831">
        <v>240.97</v>
      </c>
      <c r="I3535" s="846"/>
      <c r="J3535" s="846"/>
      <c r="K3535" s="846"/>
      <c r="L3535" s="846"/>
      <c r="M3535" s="846"/>
      <c r="N3535" s="846"/>
      <c r="O3535" s="846"/>
      <c r="P3535" s="846"/>
      <c r="Q3535" s="846"/>
      <c r="R3535" s="846"/>
      <c r="S3535" s="846"/>
      <c r="T3535" s="846"/>
    </row>
    <row r="3536" spans="2:20" ht="38.25" hidden="1">
      <c r="B3536" s="828" t="s">
        <v>6546</v>
      </c>
      <c r="C3536" s="828">
        <v>96727</v>
      </c>
      <c r="D3536" s="630" t="s">
        <v>2401</v>
      </c>
      <c r="E3536" s="630" t="s">
        <v>648</v>
      </c>
      <c r="F3536" s="829">
        <v>13.02</v>
      </c>
      <c r="G3536" s="830">
        <v>6.13</v>
      </c>
      <c r="H3536" s="831">
        <v>19.149999999999999</v>
      </c>
      <c r="I3536" s="846"/>
      <c r="J3536" s="846"/>
      <c r="K3536" s="846"/>
      <c r="L3536" s="846"/>
      <c r="M3536" s="846"/>
      <c r="N3536" s="846"/>
      <c r="O3536" s="846"/>
      <c r="P3536" s="846"/>
      <c r="Q3536" s="846"/>
      <c r="R3536" s="846"/>
      <c r="S3536" s="846"/>
      <c r="T3536" s="846"/>
    </row>
    <row r="3537" spans="2:20" ht="38.25" hidden="1">
      <c r="B3537" s="828" t="s">
        <v>6546</v>
      </c>
      <c r="C3537" s="828">
        <v>96728</v>
      </c>
      <c r="D3537" s="630" t="s">
        <v>2402</v>
      </c>
      <c r="E3537" s="630" t="s">
        <v>648</v>
      </c>
      <c r="F3537" s="829">
        <v>17.059999999999999</v>
      </c>
      <c r="G3537" s="830">
        <v>6.12</v>
      </c>
      <c r="H3537" s="831">
        <v>23.18</v>
      </c>
      <c r="I3537" s="846"/>
      <c r="J3537" s="846"/>
      <c r="K3537" s="846"/>
      <c r="L3537" s="846"/>
      <c r="M3537" s="846"/>
      <c r="N3537" s="846"/>
      <c r="O3537" s="846"/>
      <c r="P3537" s="846"/>
      <c r="Q3537" s="846"/>
      <c r="R3537" s="846"/>
      <c r="S3537" s="846"/>
      <c r="T3537" s="846"/>
    </row>
    <row r="3538" spans="2:20" ht="38.25" hidden="1">
      <c r="B3538" s="828" t="s">
        <v>6546</v>
      </c>
      <c r="C3538" s="828">
        <v>96729</v>
      </c>
      <c r="D3538" s="630" t="s">
        <v>2403</v>
      </c>
      <c r="E3538" s="630" t="s">
        <v>648</v>
      </c>
      <c r="F3538" s="829">
        <v>27.58</v>
      </c>
      <c r="G3538" s="830">
        <v>7.84</v>
      </c>
      <c r="H3538" s="831">
        <v>35.42</v>
      </c>
      <c r="I3538" s="846"/>
      <c r="J3538" s="846"/>
      <c r="K3538" s="846"/>
      <c r="L3538" s="846"/>
      <c r="M3538" s="846"/>
      <c r="N3538" s="846"/>
      <c r="O3538" s="846"/>
      <c r="P3538" s="846"/>
      <c r="Q3538" s="846"/>
      <c r="R3538" s="846"/>
      <c r="S3538" s="846"/>
      <c r="T3538" s="846"/>
    </row>
    <row r="3539" spans="2:20" ht="38.25" hidden="1">
      <c r="B3539" s="828" t="s">
        <v>6546</v>
      </c>
      <c r="C3539" s="828">
        <v>96730</v>
      </c>
      <c r="D3539" s="630" t="s">
        <v>2404</v>
      </c>
      <c r="E3539" s="630" t="s">
        <v>648</v>
      </c>
      <c r="F3539" s="829">
        <v>37.36</v>
      </c>
      <c r="G3539" s="830">
        <v>7.83</v>
      </c>
      <c r="H3539" s="831">
        <v>45.19</v>
      </c>
      <c r="I3539" s="846"/>
      <c r="J3539" s="846"/>
      <c r="K3539" s="846"/>
      <c r="L3539" s="846"/>
      <c r="M3539" s="846"/>
      <c r="N3539" s="846"/>
      <c r="O3539" s="846"/>
      <c r="P3539" s="846"/>
      <c r="Q3539" s="846"/>
      <c r="R3539" s="846"/>
      <c r="S3539" s="846"/>
      <c r="T3539" s="846"/>
    </row>
    <row r="3540" spans="2:20" ht="38.25" hidden="1">
      <c r="B3540" s="828" t="s">
        <v>6546</v>
      </c>
      <c r="C3540" s="828">
        <v>96731</v>
      </c>
      <c r="D3540" s="630" t="s">
        <v>2405</v>
      </c>
      <c r="E3540" s="630" t="s">
        <v>648</v>
      </c>
      <c r="F3540" s="829">
        <v>54.05</v>
      </c>
      <c r="G3540" s="830">
        <v>11.95</v>
      </c>
      <c r="H3540" s="831">
        <v>66</v>
      </c>
      <c r="I3540" s="846"/>
      <c r="J3540" s="846"/>
      <c r="K3540" s="846"/>
      <c r="L3540" s="846"/>
      <c r="M3540" s="846"/>
      <c r="N3540" s="846"/>
      <c r="O3540" s="846"/>
      <c r="P3540" s="846"/>
      <c r="Q3540" s="846"/>
      <c r="R3540" s="846"/>
      <c r="S3540" s="846"/>
      <c r="T3540" s="846"/>
    </row>
    <row r="3541" spans="2:20" ht="38.25" hidden="1">
      <c r="B3541" s="828" t="s">
        <v>6546</v>
      </c>
      <c r="C3541" s="828">
        <v>96732</v>
      </c>
      <c r="D3541" s="630" t="s">
        <v>2406</v>
      </c>
      <c r="E3541" s="630" t="s">
        <v>648</v>
      </c>
      <c r="F3541" s="829">
        <v>70.55</v>
      </c>
      <c r="G3541" s="830">
        <v>11.95</v>
      </c>
      <c r="H3541" s="831">
        <v>82.5</v>
      </c>
      <c r="I3541" s="846"/>
      <c r="J3541" s="846"/>
      <c r="K3541" s="846"/>
      <c r="L3541" s="846"/>
      <c r="M3541" s="846"/>
      <c r="N3541" s="846"/>
      <c r="O3541" s="846"/>
      <c r="P3541" s="846"/>
      <c r="Q3541" s="846"/>
      <c r="R3541" s="846"/>
      <c r="S3541" s="846"/>
      <c r="T3541" s="846"/>
    </row>
    <row r="3542" spans="2:20" ht="38.25" hidden="1">
      <c r="B3542" s="828" t="s">
        <v>6546</v>
      </c>
      <c r="C3542" s="828">
        <v>96733</v>
      </c>
      <c r="D3542" s="630" t="s">
        <v>2407</v>
      </c>
      <c r="E3542" s="630" t="s">
        <v>648</v>
      </c>
      <c r="F3542" s="829">
        <v>132.24</v>
      </c>
      <c r="G3542" s="830">
        <v>19.739999999999998</v>
      </c>
      <c r="H3542" s="831">
        <v>151.97999999999999</v>
      </c>
      <c r="I3542" s="846"/>
      <c r="J3542" s="846"/>
      <c r="K3542" s="846"/>
      <c r="L3542" s="846"/>
      <c r="M3542" s="846"/>
      <c r="N3542" s="846"/>
      <c r="O3542" s="846"/>
      <c r="P3542" s="846"/>
      <c r="Q3542" s="846"/>
      <c r="R3542" s="846"/>
      <c r="S3542" s="846"/>
      <c r="T3542" s="846"/>
    </row>
    <row r="3543" spans="2:20" ht="38.25" hidden="1">
      <c r="B3543" s="828" t="s">
        <v>6546</v>
      </c>
      <c r="C3543" s="828">
        <v>96734</v>
      </c>
      <c r="D3543" s="630" t="s">
        <v>2408</v>
      </c>
      <c r="E3543" s="630" t="s">
        <v>648</v>
      </c>
      <c r="F3543" s="829">
        <v>193.07</v>
      </c>
      <c r="G3543" s="830">
        <v>19.73</v>
      </c>
      <c r="H3543" s="831">
        <v>212.8</v>
      </c>
      <c r="I3543" s="846"/>
      <c r="J3543" s="846"/>
      <c r="K3543" s="846"/>
      <c r="L3543" s="846"/>
      <c r="M3543" s="846"/>
      <c r="N3543" s="846"/>
      <c r="O3543" s="846"/>
      <c r="P3543" s="846"/>
      <c r="Q3543" s="846"/>
      <c r="R3543" s="846"/>
      <c r="S3543" s="846"/>
      <c r="T3543" s="846"/>
    </row>
    <row r="3544" spans="2:20" ht="38.25" hidden="1">
      <c r="B3544" s="828" t="s">
        <v>6546</v>
      </c>
      <c r="C3544" s="828">
        <v>96735</v>
      </c>
      <c r="D3544" s="630" t="s">
        <v>2409</v>
      </c>
      <c r="E3544" s="630" t="s">
        <v>648</v>
      </c>
      <c r="F3544" s="829">
        <v>245.38</v>
      </c>
      <c r="G3544" s="830">
        <v>30.96</v>
      </c>
      <c r="H3544" s="831">
        <v>276.33999999999997</v>
      </c>
      <c r="I3544" s="846"/>
      <c r="J3544" s="846"/>
      <c r="K3544" s="846"/>
      <c r="L3544" s="846"/>
      <c r="M3544" s="846"/>
      <c r="N3544" s="846"/>
      <c r="O3544" s="846"/>
      <c r="P3544" s="846"/>
      <c r="Q3544" s="846"/>
      <c r="R3544" s="846"/>
      <c r="S3544" s="846"/>
      <c r="T3544" s="846"/>
    </row>
    <row r="3545" spans="2:20" ht="25.5" hidden="1">
      <c r="B3545" s="828" t="s">
        <v>6546</v>
      </c>
      <c r="C3545" s="828">
        <v>96794</v>
      </c>
      <c r="D3545" s="630" t="s">
        <v>2410</v>
      </c>
      <c r="E3545" s="630" t="s">
        <v>648</v>
      </c>
      <c r="F3545" s="829">
        <v>7.04</v>
      </c>
      <c r="G3545" s="830">
        <v>2.67</v>
      </c>
      <c r="H3545" s="831">
        <v>9.7100000000000009</v>
      </c>
      <c r="I3545" s="846"/>
      <c r="J3545" s="846"/>
      <c r="K3545" s="846"/>
      <c r="L3545" s="846"/>
      <c r="M3545" s="846"/>
      <c r="N3545" s="846"/>
      <c r="O3545" s="846"/>
      <c r="P3545" s="846"/>
      <c r="Q3545" s="846"/>
      <c r="R3545" s="846"/>
      <c r="S3545" s="846"/>
      <c r="T3545" s="846"/>
    </row>
    <row r="3546" spans="2:20" ht="25.5" hidden="1">
      <c r="B3546" s="828" t="s">
        <v>6546</v>
      </c>
      <c r="C3546" s="828">
        <v>96795</v>
      </c>
      <c r="D3546" s="630" t="s">
        <v>2411</v>
      </c>
      <c r="E3546" s="630" t="s">
        <v>648</v>
      </c>
      <c r="F3546" s="829">
        <v>9.14</v>
      </c>
      <c r="G3546" s="830">
        <v>3.16</v>
      </c>
      <c r="H3546" s="831">
        <v>12.3</v>
      </c>
      <c r="I3546" s="846"/>
      <c r="J3546" s="846"/>
      <c r="K3546" s="846"/>
      <c r="L3546" s="846"/>
      <c r="M3546" s="846"/>
      <c r="N3546" s="846"/>
      <c r="O3546" s="846"/>
      <c r="P3546" s="846"/>
      <c r="Q3546" s="846"/>
      <c r="R3546" s="846"/>
      <c r="S3546" s="846"/>
      <c r="T3546" s="846"/>
    </row>
    <row r="3547" spans="2:20" ht="25.5" hidden="1">
      <c r="B3547" s="828" t="s">
        <v>6546</v>
      </c>
      <c r="C3547" s="828">
        <v>96796</v>
      </c>
      <c r="D3547" s="630" t="s">
        <v>2412</v>
      </c>
      <c r="E3547" s="630" t="s">
        <v>648</v>
      </c>
      <c r="F3547" s="829">
        <v>13.3</v>
      </c>
      <c r="G3547" s="830">
        <v>3.81</v>
      </c>
      <c r="H3547" s="831">
        <v>17.11</v>
      </c>
      <c r="I3547" s="846"/>
      <c r="J3547" s="846"/>
      <c r="K3547" s="846"/>
      <c r="L3547" s="846"/>
      <c r="M3547" s="846"/>
      <c r="N3547" s="846"/>
      <c r="O3547" s="846"/>
      <c r="P3547" s="846"/>
      <c r="Q3547" s="846"/>
      <c r="R3547" s="846"/>
      <c r="S3547" s="846"/>
      <c r="T3547" s="846"/>
    </row>
    <row r="3548" spans="2:20" ht="25.5" hidden="1">
      <c r="B3548" s="828" t="s">
        <v>6546</v>
      </c>
      <c r="C3548" s="828">
        <v>96797</v>
      </c>
      <c r="D3548" s="630" t="s">
        <v>2413</v>
      </c>
      <c r="E3548" s="630" t="s">
        <v>648</v>
      </c>
      <c r="F3548" s="829">
        <v>20.98</v>
      </c>
      <c r="G3548" s="830">
        <v>4.66</v>
      </c>
      <c r="H3548" s="831">
        <v>25.64</v>
      </c>
      <c r="I3548" s="846"/>
      <c r="J3548" s="846"/>
      <c r="K3548" s="846"/>
      <c r="L3548" s="846"/>
      <c r="M3548" s="846"/>
      <c r="N3548" s="846"/>
      <c r="O3548" s="846"/>
      <c r="P3548" s="846"/>
      <c r="Q3548" s="846"/>
      <c r="R3548" s="846"/>
      <c r="S3548" s="846"/>
      <c r="T3548" s="846"/>
    </row>
    <row r="3549" spans="2:20" ht="25.5" hidden="1">
      <c r="B3549" s="828" t="s">
        <v>6546</v>
      </c>
      <c r="C3549" s="828">
        <v>96798</v>
      </c>
      <c r="D3549" s="630" t="s">
        <v>2414</v>
      </c>
      <c r="E3549" s="630" t="s">
        <v>648</v>
      </c>
      <c r="F3549" s="829">
        <v>7.08</v>
      </c>
      <c r="G3549" s="830">
        <v>2.8</v>
      </c>
      <c r="H3549" s="831">
        <v>9.8800000000000008</v>
      </c>
      <c r="I3549" s="846"/>
      <c r="J3549" s="846"/>
      <c r="K3549" s="846"/>
      <c r="L3549" s="846"/>
      <c r="M3549" s="846"/>
      <c r="N3549" s="846"/>
      <c r="O3549" s="846"/>
      <c r="P3549" s="846"/>
      <c r="Q3549" s="846"/>
      <c r="R3549" s="846"/>
      <c r="S3549" s="846"/>
      <c r="T3549" s="846"/>
    </row>
    <row r="3550" spans="2:20" ht="25.5" hidden="1">
      <c r="B3550" s="828" t="s">
        <v>6546</v>
      </c>
      <c r="C3550" s="828">
        <v>96799</v>
      </c>
      <c r="D3550" s="630" t="s">
        <v>2415</v>
      </c>
      <c r="E3550" s="630" t="s">
        <v>648</v>
      </c>
      <c r="F3550" s="829">
        <v>9.33</v>
      </c>
      <c r="G3550" s="830">
        <v>3.92</v>
      </c>
      <c r="H3550" s="831">
        <v>13.25</v>
      </c>
      <c r="I3550" s="846"/>
      <c r="J3550" s="846"/>
      <c r="K3550" s="846"/>
      <c r="L3550" s="846"/>
      <c r="M3550" s="846"/>
      <c r="N3550" s="846"/>
      <c r="O3550" s="846"/>
      <c r="P3550" s="846"/>
      <c r="Q3550" s="846"/>
      <c r="R3550" s="846"/>
      <c r="S3550" s="846"/>
      <c r="T3550" s="846"/>
    </row>
    <row r="3551" spans="2:20" ht="25.5" hidden="1">
      <c r="B3551" s="828" t="s">
        <v>6546</v>
      </c>
      <c r="C3551" s="828">
        <v>96800</v>
      </c>
      <c r="D3551" s="630" t="s">
        <v>2416</v>
      </c>
      <c r="E3551" s="630" t="s">
        <v>648</v>
      </c>
      <c r="F3551" s="829">
        <v>13.71</v>
      </c>
      <c r="G3551" s="830">
        <v>5.37</v>
      </c>
      <c r="H3551" s="831">
        <v>19.079999999999998</v>
      </c>
      <c r="I3551" s="846"/>
      <c r="J3551" s="846"/>
      <c r="K3551" s="846"/>
      <c r="L3551" s="846"/>
      <c r="M3551" s="846"/>
      <c r="N3551" s="846"/>
      <c r="O3551" s="846"/>
      <c r="P3551" s="846"/>
      <c r="Q3551" s="846"/>
      <c r="R3551" s="846"/>
      <c r="S3551" s="846"/>
      <c r="T3551" s="846"/>
    </row>
    <row r="3552" spans="2:20" ht="25.5" hidden="1">
      <c r="B3552" s="828" t="s">
        <v>6546</v>
      </c>
      <c r="C3552" s="828">
        <v>96801</v>
      </c>
      <c r="D3552" s="630" t="s">
        <v>2417</v>
      </c>
      <c r="E3552" s="630" t="s">
        <v>648</v>
      </c>
      <c r="F3552" s="829">
        <v>21.7</v>
      </c>
      <c r="G3552" s="830">
        <v>7.33</v>
      </c>
      <c r="H3552" s="831">
        <v>29.03</v>
      </c>
      <c r="I3552" s="846"/>
      <c r="J3552" s="846"/>
      <c r="K3552" s="846"/>
      <c r="L3552" s="846"/>
      <c r="M3552" s="846"/>
      <c r="N3552" s="846"/>
      <c r="O3552" s="846"/>
      <c r="P3552" s="846"/>
      <c r="Q3552" s="846"/>
      <c r="R3552" s="846"/>
      <c r="S3552" s="846"/>
      <c r="T3552" s="846"/>
    </row>
    <row r="3553" spans="2:20" ht="38.25" hidden="1">
      <c r="B3553" s="828" t="s">
        <v>6546</v>
      </c>
      <c r="C3553" s="828">
        <v>97327</v>
      </c>
      <c r="D3553" s="630" t="s">
        <v>3093</v>
      </c>
      <c r="E3553" s="630" t="s">
        <v>648</v>
      </c>
      <c r="F3553" s="829">
        <v>28.3</v>
      </c>
      <c r="G3553" s="830">
        <v>2.21</v>
      </c>
      <c r="H3553" s="831">
        <v>30.51</v>
      </c>
      <c r="I3553" s="846"/>
      <c r="J3553" s="846"/>
      <c r="K3553" s="846"/>
      <c r="L3553" s="846"/>
      <c r="M3553" s="846"/>
      <c r="N3553" s="846"/>
      <c r="O3553" s="846"/>
      <c r="P3553" s="846"/>
      <c r="Q3553" s="846"/>
      <c r="R3553" s="846"/>
      <c r="S3553" s="846"/>
      <c r="T3553" s="846"/>
    </row>
    <row r="3554" spans="2:20" ht="38.25" hidden="1">
      <c r="B3554" s="828" t="s">
        <v>6546</v>
      </c>
      <c r="C3554" s="828">
        <v>97328</v>
      </c>
      <c r="D3554" s="630" t="s">
        <v>3012</v>
      </c>
      <c r="E3554" s="630" t="s">
        <v>648</v>
      </c>
      <c r="F3554" s="829">
        <v>49.58</v>
      </c>
      <c r="G3554" s="830">
        <v>2.42</v>
      </c>
      <c r="H3554" s="831">
        <v>52</v>
      </c>
      <c r="I3554" s="846"/>
      <c r="J3554" s="846"/>
      <c r="K3554" s="846"/>
      <c r="L3554" s="846"/>
      <c r="M3554" s="846"/>
      <c r="N3554" s="846"/>
      <c r="O3554" s="846"/>
      <c r="P3554" s="846"/>
      <c r="Q3554" s="846"/>
      <c r="R3554" s="846"/>
      <c r="S3554" s="846"/>
      <c r="T3554" s="846"/>
    </row>
    <row r="3555" spans="2:20" ht="38.25" hidden="1">
      <c r="B3555" s="828" t="s">
        <v>6546</v>
      </c>
      <c r="C3555" s="828">
        <v>97329</v>
      </c>
      <c r="D3555" s="630" t="s">
        <v>3013</v>
      </c>
      <c r="E3555" s="630" t="s">
        <v>648</v>
      </c>
      <c r="F3555" s="829">
        <v>62.87</v>
      </c>
      <c r="G3555" s="830">
        <v>2.6</v>
      </c>
      <c r="H3555" s="831">
        <v>65.47</v>
      </c>
      <c r="I3555" s="846"/>
      <c r="J3555" s="846"/>
      <c r="K3555" s="846"/>
      <c r="L3555" s="846"/>
      <c r="M3555" s="846"/>
      <c r="N3555" s="846"/>
      <c r="O3555" s="846"/>
      <c r="P3555" s="846"/>
      <c r="Q3555" s="846"/>
      <c r="R3555" s="846"/>
      <c r="S3555" s="846"/>
      <c r="T3555" s="846"/>
    </row>
    <row r="3556" spans="2:20" ht="38.25" hidden="1">
      <c r="B3556" s="828" t="s">
        <v>6546</v>
      </c>
      <c r="C3556" s="828">
        <v>97330</v>
      </c>
      <c r="D3556" s="630" t="s">
        <v>3014</v>
      </c>
      <c r="E3556" s="630" t="s">
        <v>648</v>
      </c>
      <c r="F3556" s="829">
        <v>77.180000000000007</v>
      </c>
      <c r="G3556" s="830">
        <v>2.73</v>
      </c>
      <c r="H3556" s="831">
        <v>79.91</v>
      </c>
      <c r="I3556" s="846"/>
      <c r="J3556" s="846"/>
      <c r="K3556" s="846"/>
      <c r="L3556" s="846"/>
      <c r="M3556" s="846"/>
      <c r="N3556" s="846"/>
      <c r="O3556" s="846"/>
      <c r="P3556" s="846"/>
      <c r="Q3556" s="846"/>
      <c r="R3556" s="846"/>
      <c r="S3556" s="846"/>
      <c r="T3556" s="846"/>
    </row>
    <row r="3557" spans="2:20" ht="38.25" hidden="1">
      <c r="B3557" s="828" t="s">
        <v>6546</v>
      </c>
      <c r="C3557" s="828">
        <v>97331</v>
      </c>
      <c r="D3557" s="630" t="s">
        <v>3015</v>
      </c>
      <c r="E3557" s="630" t="s">
        <v>648</v>
      </c>
      <c r="F3557" s="829">
        <v>28.38</v>
      </c>
      <c r="G3557" s="830">
        <v>2.52</v>
      </c>
      <c r="H3557" s="831">
        <v>30.9</v>
      </c>
      <c r="I3557" s="846"/>
      <c r="J3557" s="846"/>
      <c r="K3557" s="846"/>
      <c r="L3557" s="846"/>
      <c r="M3557" s="846"/>
      <c r="N3557" s="846"/>
      <c r="O3557" s="846"/>
      <c r="P3557" s="846"/>
      <c r="Q3557" s="846"/>
      <c r="R3557" s="846"/>
      <c r="S3557" s="846"/>
      <c r="T3557" s="846"/>
    </row>
    <row r="3558" spans="2:20" ht="38.25" hidden="1">
      <c r="B3558" s="828" t="s">
        <v>6546</v>
      </c>
      <c r="C3558" s="828">
        <v>97332</v>
      </c>
      <c r="D3558" s="630" t="s">
        <v>3016</v>
      </c>
      <c r="E3558" s="630" t="s">
        <v>648</v>
      </c>
      <c r="F3558" s="829">
        <v>49.68</v>
      </c>
      <c r="G3558" s="830">
        <v>2.77</v>
      </c>
      <c r="H3558" s="831">
        <v>52.45</v>
      </c>
      <c r="I3558" s="846"/>
      <c r="J3558" s="846"/>
      <c r="K3558" s="846"/>
      <c r="L3558" s="846"/>
      <c r="M3558" s="846"/>
      <c r="N3558" s="846"/>
      <c r="O3558" s="846"/>
      <c r="P3558" s="846"/>
      <c r="Q3558" s="846"/>
      <c r="R3558" s="846"/>
      <c r="S3558" s="846"/>
      <c r="T3558" s="846"/>
    </row>
    <row r="3559" spans="2:20" ht="38.25" hidden="1">
      <c r="B3559" s="828" t="s">
        <v>6546</v>
      </c>
      <c r="C3559" s="828">
        <v>97333</v>
      </c>
      <c r="D3559" s="630" t="s">
        <v>3017</v>
      </c>
      <c r="E3559" s="630" t="s">
        <v>648</v>
      </c>
      <c r="F3559" s="829">
        <v>63</v>
      </c>
      <c r="G3559" s="830">
        <v>3.02</v>
      </c>
      <c r="H3559" s="831">
        <v>66.02</v>
      </c>
      <c r="I3559" s="846"/>
      <c r="J3559" s="846"/>
      <c r="K3559" s="846"/>
      <c r="L3559" s="846"/>
      <c r="M3559" s="846"/>
      <c r="N3559" s="846"/>
      <c r="O3559" s="846"/>
      <c r="P3559" s="846"/>
      <c r="Q3559" s="846"/>
      <c r="R3559" s="846"/>
      <c r="S3559" s="846"/>
      <c r="T3559" s="846"/>
    </row>
    <row r="3560" spans="2:20" ht="38.25" hidden="1">
      <c r="B3560" s="828" t="s">
        <v>6546</v>
      </c>
      <c r="C3560" s="828">
        <v>97334</v>
      </c>
      <c r="D3560" s="630" t="s">
        <v>3094</v>
      </c>
      <c r="E3560" s="630" t="s">
        <v>648</v>
      </c>
      <c r="F3560" s="829">
        <v>77.319999999999993</v>
      </c>
      <c r="G3560" s="830">
        <v>3.19</v>
      </c>
      <c r="H3560" s="831">
        <v>80.510000000000005</v>
      </c>
      <c r="I3560" s="846"/>
      <c r="J3560" s="846"/>
      <c r="K3560" s="846"/>
      <c r="L3560" s="846"/>
      <c r="M3560" s="846"/>
      <c r="N3560" s="846"/>
      <c r="O3560" s="846"/>
      <c r="P3560" s="846"/>
      <c r="Q3560" s="846"/>
      <c r="R3560" s="846"/>
      <c r="S3560" s="846"/>
      <c r="T3560" s="846"/>
    </row>
    <row r="3561" spans="2:20" ht="38.25" hidden="1">
      <c r="B3561" s="828" t="s">
        <v>6546</v>
      </c>
      <c r="C3561" s="828">
        <v>97335</v>
      </c>
      <c r="D3561" s="630" t="s">
        <v>7226</v>
      </c>
      <c r="E3561" s="630" t="s">
        <v>648</v>
      </c>
      <c r="F3561" s="829">
        <v>84.81</v>
      </c>
      <c r="G3561" s="830">
        <v>1.87</v>
      </c>
      <c r="H3561" s="831">
        <v>86.68</v>
      </c>
      <c r="I3561" s="846"/>
      <c r="J3561" s="846"/>
      <c r="K3561" s="846"/>
      <c r="L3561" s="846"/>
      <c r="M3561" s="846"/>
      <c r="N3561" s="846"/>
      <c r="O3561" s="846"/>
      <c r="P3561" s="846"/>
      <c r="Q3561" s="846"/>
      <c r="R3561" s="846"/>
      <c r="S3561" s="846"/>
      <c r="T3561" s="846"/>
    </row>
    <row r="3562" spans="2:20" ht="38.25" hidden="1">
      <c r="B3562" s="828" t="s">
        <v>6546</v>
      </c>
      <c r="C3562" s="828">
        <v>97336</v>
      </c>
      <c r="D3562" s="630" t="s">
        <v>7227</v>
      </c>
      <c r="E3562" s="630" t="s">
        <v>648</v>
      </c>
      <c r="F3562" s="829">
        <v>107.91</v>
      </c>
      <c r="G3562" s="830">
        <v>2.4</v>
      </c>
      <c r="H3562" s="831">
        <v>110.31</v>
      </c>
      <c r="I3562" s="846"/>
      <c r="J3562" s="846"/>
      <c r="K3562" s="846"/>
      <c r="L3562" s="846"/>
      <c r="M3562" s="846"/>
      <c r="N3562" s="846"/>
      <c r="O3562" s="846"/>
      <c r="P3562" s="846"/>
      <c r="Q3562" s="846"/>
      <c r="R3562" s="846"/>
      <c r="S3562" s="846"/>
      <c r="T3562" s="846"/>
    </row>
    <row r="3563" spans="2:20" ht="38.25" hidden="1">
      <c r="B3563" s="828" t="s">
        <v>6546</v>
      </c>
      <c r="C3563" s="828">
        <v>97337</v>
      </c>
      <c r="D3563" s="630" t="s">
        <v>7228</v>
      </c>
      <c r="E3563" s="630" t="s">
        <v>648</v>
      </c>
      <c r="F3563" s="829">
        <v>162.81</v>
      </c>
      <c r="G3563" s="830">
        <v>3.04</v>
      </c>
      <c r="H3563" s="831">
        <v>165.85</v>
      </c>
      <c r="I3563" s="846"/>
      <c r="J3563" s="846"/>
      <c r="K3563" s="846"/>
      <c r="L3563" s="846"/>
      <c r="M3563" s="846"/>
      <c r="N3563" s="846"/>
      <c r="O3563" s="846"/>
      <c r="P3563" s="846"/>
      <c r="Q3563" s="846"/>
      <c r="R3563" s="846"/>
      <c r="S3563" s="846"/>
      <c r="T3563" s="846"/>
    </row>
    <row r="3564" spans="2:20" ht="38.25" hidden="1">
      <c r="B3564" s="828" t="s">
        <v>6546</v>
      </c>
      <c r="C3564" s="828">
        <v>97338</v>
      </c>
      <c r="D3564" s="630" t="s">
        <v>7229</v>
      </c>
      <c r="E3564" s="630" t="s">
        <v>648</v>
      </c>
      <c r="F3564" s="829">
        <v>195.86</v>
      </c>
      <c r="G3564" s="830">
        <v>3.68</v>
      </c>
      <c r="H3564" s="831">
        <v>199.54</v>
      </c>
      <c r="I3564" s="846"/>
      <c r="J3564" s="846"/>
      <c r="K3564" s="846"/>
      <c r="L3564" s="846"/>
      <c r="M3564" s="846"/>
      <c r="N3564" s="846"/>
      <c r="O3564" s="846"/>
      <c r="P3564" s="846"/>
      <c r="Q3564" s="846"/>
      <c r="R3564" s="846"/>
      <c r="S3564" s="846"/>
      <c r="T3564" s="846"/>
    </row>
    <row r="3565" spans="2:20" ht="38.25" hidden="1">
      <c r="B3565" s="828" t="s">
        <v>6546</v>
      </c>
      <c r="C3565" s="828">
        <v>97339</v>
      </c>
      <c r="D3565" s="630" t="s">
        <v>7230</v>
      </c>
      <c r="E3565" s="630" t="s">
        <v>648</v>
      </c>
      <c r="F3565" s="829">
        <v>210.24</v>
      </c>
      <c r="G3565" s="830">
        <v>4.76</v>
      </c>
      <c r="H3565" s="831">
        <v>215</v>
      </c>
      <c r="I3565" s="846"/>
      <c r="J3565" s="846"/>
      <c r="K3565" s="846"/>
      <c r="L3565" s="846"/>
      <c r="M3565" s="846"/>
      <c r="N3565" s="846"/>
      <c r="O3565" s="846"/>
      <c r="P3565" s="846"/>
      <c r="Q3565" s="846"/>
      <c r="R3565" s="846"/>
      <c r="S3565" s="846"/>
      <c r="T3565" s="846"/>
    </row>
    <row r="3566" spans="2:20" ht="38.25" hidden="1">
      <c r="B3566" s="828" t="s">
        <v>6546</v>
      </c>
      <c r="C3566" s="828">
        <v>97340</v>
      </c>
      <c r="D3566" s="630" t="s">
        <v>7231</v>
      </c>
      <c r="E3566" s="630" t="s">
        <v>648</v>
      </c>
      <c r="F3566" s="829">
        <v>210.54</v>
      </c>
      <c r="G3566" s="830">
        <v>5.86</v>
      </c>
      <c r="H3566" s="831">
        <v>216.4</v>
      </c>
      <c r="I3566" s="846"/>
      <c r="J3566" s="846"/>
      <c r="K3566" s="846"/>
      <c r="L3566" s="846"/>
      <c r="M3566" s="846"/>
      <c r="N3566" s="846"/>
      <c r="O3566" s="846"/>
      <c r="P3566" s="846"/>
      <c r="Q3566" s="846"/>
      <c r="R3566" s="846"/>
      <c r="S3566" s="846"/>
      <c r="T3566" s="846"/>
    </row>
    <row r="3567" spans="2:20" ht="25.5" hidden="1">
      <c r="B3567" s="828" t="s">
        <v>6546</v>
      </c>
      <c r="C3567" s="828">
        <v>97347</v>
      </c>
      <c r="D3567" s="630" t="s">
        <v>3018</v>
      </c>
      <c r="E3567" s="630" t="s">
        <v>648</v>
      </c>
      <c r="F3567" s="829">
        <v>102.4</v>
      </c>
      <c r="G3567" s="830">
        <v>2</v>
      </c>
      <c r="H3567" s="831">
        <v>104.4</v>
      </c>
      <c r="I3567" s="846"/>
      <c r="J3567" s="846"/>
      <c r="K3567" s="846"/>
      <c r="L3567" s="846"/>
      <c r="M3567" s="846"/>
      <c r="N3567" s="846"/>
      <c r="O3567" s="846"/>
      <c r="P3567" s="846"/>
      <c r="Q3567" s="846"/>
      <c r="R3567" s="846"/>
      <c r="S3567" s="846"/>
      <c r="T3567" s="846"/>
    </row>
    <row r="3568" spans="2:20" ht="25.5" hidden="1">
      <c r="B3568" s="828" t="s">
        <v>6546</v>
      </c>
      <c r="C3568" s="828">
        <v>97348</v>
      </c>
      <c r="D3568" s="630" t="s">
        <v>3019</v>
      </c>
      <c r="E3568" s="630" t="s">
        <v>648</v>
      </c>
      <c r="F3568" s="829">
        <v>141.78</v>
      </c>
      <c r="G3568" s="830">
        <v>2.38</v>
      </c>
      <c r="H3568" s="831">
        <v>144.16</v>
      </c>
      <c r="I3568" s="846"/>
      <c r="J3568" s="846"/>
      <c r="K3568" s="846"/>
      <c r="L3568" s="846"/>
      <c r="M3568" s="846"/>
      <c r="N3568" s="846"/>
      <c r="O3568" s="846"/>
      <c r="P3568" s="846"/>
      <c r="Q3568" s="846"/>
      <c r="R3568" s="846"/>
      <c r="S3568" s="846"/>
      <c r="T3568" s="846"/>
    </row>
    <row r="3569" spans="2:20" ht="25.5" hidden="1">
      <c r="B3569" s="828" t="s">
        <v>6546</v>
      </c>
      <c r="C3569" s="828">
        <v>97349</v>
      </c>
      <c r="D3569" s="630" t="s">
        <v>3020</v>
      </c>
      <c r="E3569" s="630" t="s">
        <v>648</v>
      </c>
      <c r="F3569" s="829">
        <v>204.87</v>
      </c>
      <c r="G3569" s="830">
        <v>2.81</v>
      </c>
      <c r="H3569" s="831">
        <v>207.68</v>
      </c>
      <c r="I3569" s="846"/>
      <c r="J3569" s="846"/>
      <c r="K3569" s="846"/>
      <c r="L3569" s="846"/>
      <c r="M3569" s="846"/>
      <c r="N3569" s="846"/>
      <c r="O3569" s="846"/>
      <c r="P3569" s="846"/>
      <c r="Q3569" s="846"/>
      <c r="R3569" s="846"/>
      <c r="S3569" s="846"/>
      <c r="T3569" s="846"/>
    </row>
    <row r="3570" spans="2:20" ht="25.5" hidden="1">
      <c r="B3570" s="828" t="s">
        <v>6546</v>
      </c>
      <c r="C3570" s="828">
        <v>97350</v>
      </c>
      <c r="D3570" s="630" t="s">
        <v>3021</v>
      </c>
      <c r="E3570" s="630" t="s">
        <v>648</v>
      </c>
      <c r="F3570" s="829">
        <v>248.91</v>
      </c>
      <c r="G3570" s="830">
        <v>3.23</v>
      </c>
      <c r="H3570" s="831">
        <v>252.14</v>
      </c>
      <c r="I3570" s="846"/>
      <c r="J3570" s="846"/>
      <c r="K3570" s="846"/>
      <c r="L3570" s="846"/>
      <c r="M3570" s="846"/>
      <c r="N3570" s="846"/>
      <c r="O3570" s="846"/>
      <c r="P3570" s="846"/>
      <c r="Q3570" s="846"/>
      <c r="R3570" s="846"/>
      <c r="S3570" s="846"/>
      <c r="T3570" s="846"/>
    </row>
    <row r="3571" spans="2:20" ht="25.5" hidden="1">
      <c r="B3571" s="828" t="s">
        <v>6546</v>
      </c>
      <c r="C3571" s="828">
        <v>97351</v>
      </c>
      <c r="D3571" s="630" t="s">
        <v>3022</v>
      </c>
      <c r="E3571" s="630" t="s">
        <v>648</v>
      </c>
      <c r="F3571" s="829">
        <v>344.53</v>
      </c>
      <c r="G3571" s="830">
        <v>4.0199999999999996</v>
      </c>
      <c r="H3571" s="831">
        <v>348.55</v>
      </c>
      <c r="I3571" s="846"/>
      <c r="J3571" s="846"/>
      <c r="K3571" s="846"/>
      <c r="L3571" s="846"/>
      <c r="M3571" s="846"/>
      <c r="N3571" s="846"/>
      <c r="O3571" s="846"/>
      <c r="P3571" s="846"/>
      <c r="Q3571" s="846"/>
      <c r="R3571" s="846"/>
      <c r="S3571" s="846"/>
      <c r="T3571" s="846"/>
    </row>
    <row r="3572" spans="2:20" ht="25.5" hidden="1">
      <c r="B3572" s="828" t="s">
        <v>6546</v>
      </c>
      <c r="C3572" s="828">
        <v>97352</v>
      </c>
      <c r="D3572" s="630" t="s">
        <v>3023</v>
      </c>
      <c r="E3572" s="630" t="s">
        <v>648</v>
      </c>
      <c r="F3572" s="829">
        <v>446.9</v>
      </c>
      <c r="G3572" s="830">
        <v>4.7300000000000004</v>
      </c>
      <c r="H3572" s="831">
        <v>451.63</v>
      </c>
      <c r="I3572" s="846"/>
      <c r="J3572" s="846"/>
      <c r="K3572" s="846"/>
      <c r="L3572" s="846"/>
      <c r="M3572" s="846"/>
      <c r="N3572" s="846"/>
      <c r="O3572" s="846"/>
      <c r="P3572" s="846"/>
      <c r="Q3572" s="846"/>
      <c r="R3572" s="846"/>
      <c r="S3572" s="846"/>
      <c r="T3572" s="846"/>
    </row>
    <row r="3573" spans="2:20" ht="38.25" hidden="1">
      <c r="B3573" s="828" t="s">
        <v>6546</v>
      </c>
      <c r="C3573" s="828">
        <v>97353</v>
      </c>
      <c r="D3573" s="630" t="s">
        <v>3024</v>
      </c>
      <c r="E3573" s="630" t="s">
        <v>648</v>
      </c>
      <c r="F3573" s="829">
        <v>64</v>
      </c>
      <c r="G3573" s="830">
        <v>5.35</v>
      </c>
      <c r="H3573" s="831">
        <v>69.349999999999994</v>
      </c>
      <c r="I3573" s="846"/>
      <c r="J3573" s="846"/>
      <c r="K3573" s="846"/>
      <c r="L3573" s="846"/>
      <c r="M3573" s="846"/>
      <c r="N3573" s="846"/>
      <c r="O3573" s="846"/>
      <c r="P3573" s="846"/>
      <c r="Q3573" s="846"/>
      <c r="R3573" s="846"/>
      <c r="S3573" s="846"/>
      <c r="T3573" s="846"/>
    </row>
    <row r="3574" spans="2:20" ht="38.25" hidden="1">
      <c r="B3574" s="828" t="s">
        <v>6546</v>
      </c>
      <c r="C3574" s="828">
        <v>97354</v>
      </c>
      <c r="D3574" s="630" t="s">
        <v>3025</v>
      </c>
      <c r="E3574" s="630" t="s">
        <v>648</v>
      </c>
      <c r="F3574" s="829">
        <v>103.6</v>
      </c>
      <c r="G3574" s="830">
        <v>6.14</v>
      </c>
      <c r="H3574" s="831">
        <v>109.74</v>
      </c>
      <c r="I3574" s="846"/>
      <c r="J3574" s="846"/>
      <c r="K3574" s="846"/>
      <c r="L3574" s="846"/>
      <c r="M3574" s="846"/>
      <c r="N3574" s="846"/>
      <c r="O3574" s="846"/>
      <c r="P3574" s="846"/>
      <c r="Q3574" s="846"/>
      <c r="R3574" s="846"/>
      <c r="S3574" s="846"/>
      <c r="T3574" s="846"/>
    </row>
    <row r="3575" spans="2:20" ht="38.25" hidden="1">
      <c r="B3575" s="828" t="s">
        <v>6546</v>
      </c>
      <c r="C3575" s="828">
        <v>97355</v>
      </c>
      <c r="D3575" s="630" t="s">
        <v>3026</v>
      </c>
      <c r="E3575" s="630" t="s">
        <v>648</v>
      </c>
      <c r="F3575" s="829">
        <v>143.03</v>
      </c>
      <c r="G3575" s="830">
        <v>6.85</v>
      </c>
      <c r="H3575" s="831">
        <v>149.88</v>
      </c>
      <c r="I3575" s="846"/>
      <c r="J3575" s="846"/>
      <c r="K3575" s="846"/>
      <c r="L3575" s="846"/>
      <c r="M3575" s="846"/>
      <c r="N3575" s="846"/>
      <c r="O3575" s="846"/>
      <c r="P3575" s="846"/>
      <c r="Q3575" s="846"/>
      <c r="R3575" s="846"/>
      <c r="S3575" s="846"/>
      <c r="T3575" s="846"/>
    </row>
    <row r="3576" spans="2:20" ht="38.25" hidden="1">
      <c r="B3576" s="828" t="s">
        <v>6546</v>
      </c>
      <c r="C3576" s="828">
        <v>97356</v>
      </c>
      <c r="D3576" s="630" t="s">
        <v>3027</v>
      </c>
      <c r="E3576" s="630" t="s">
        <v>648</v>
      </c>
      <c r="F3576" s="829">
        <v>66.58</v>
      </c>
      <c r="G3576" s="830">
        <v>14.48</v>
      </c>
      <c r="H3576" s="831">
        <v>81.06</v>
      </c>
      <c r="I3576" s="846"/>
      <c r="J3576" s="846"/>
      <c r="K3576" s="846"/>
      <c r="L3576" s="846"/>
      <c r="M3576" s="846"/>
      <c r="N3576" s="846"/>
      <c r="O3576" s="846"/>
      <c r="P3576" s="846"/>
      <c r="Q3576" s="846"/>
      <c r="R3576" s="846"/>
      <c r="S3576" s="846"/>
      <c r="T3576" s="846"/>
    </row>
    <row r="3577" spans="2:20" ht="38.25" hidden="1">
      <c r="B3577" s="828" t="s">
        <v>6546</v>
      </c>
      <c r="C3577" s="828">
        <v>97357</v>
      </c>
      <c r="D3577" s="630" t="s">
        <v>3028</v>
      </c>
      <c r="E3577" s="630" t="s">
        <v>648</v>
      </c>
      <c r="F3577" s="829">
        <v>108.02</v>
      </c>
      <c r="G3577" s="830">
        <v>21.85</v>
      </c>
      <c r="H3577" s="831">
        <v>129.87</v>
      </c>
      <c r="I3577" s="846"/>
      <c r="J3577" s="846"/>
      <c r="K3577" s="846"/>
      <c r="L3577" s="846"/>
      <c r="M3577" s="846"/>
      <c r="N3577" s="846"/>
      <c r="O3577" s="846"/>
      <c r="P3577" s="846"/>
      <c r="Q3577" s="846"/>
      <c r="R3577" s="846"/>
      <c r="S3577" s="846"/>
      <c r="T3577" s="846"/>
    </row>
    <row r="3578" spans="2:20" ht="38.25" hidden="1">
      <c r="B3578" s="828" t="s">
        <v>6546</v>
      </c>
      <c r="C3578" s="828">
        <v>97358</v>
      </c>
      <c r="D3578" s="630" t="s">
        <v>3029</v>
      </c>
      <c r="E3578" s="630" t="s">
        <v>648</v>
      </c>
      <c r="F3578" s="829">
        <v>149.09</v>
      </c>
      <c r="G3578" s="830">
        <v>28.24</v>
      </c>
      <c r="H3578" s="831">
        <v>177.33</v>
      </c>
      <c r="I3578" s="846"/>
      <c r="J3578" s="846"/>
      <c r="K3578" s="846"/>
      <c r="L3578" s="846"/>
      <c r="M3578" s="846"/>
      <c r="N3578" s="846"/>
      <c r="O3578" s="846"/>
      <c r="P3578" s="846"/>
      <c r="Q3578" s="846"/>
      <c r="R3578" s="846"/>
      <c r="S3578" s="846"/>
      <c r="T3578" s="846"/>
    </row>
    <row r="3579" spans="2:20" ht="38.25" hidden="1">
      <c r="B3579" s="828" t="s">
        <v>6546</v>
      </c>
      <c r="C3579" s="828">
        <v>97498</v>
      </c>
      <c r="D3579" s="630" t="s">
        <v>5155</v>
      </c>
      <c r="E3579" s="630" t="s">
        <v>648</v>
      </c>
      <c r="F3579" s="829">
        <v>47.49</v>
      </c>
      <c r="G3579" s="830">
        <v>6.97</v>
      </c>
      <c r="H3579" s="831">
        <v>54.46</v>
      </c>
      <c r="I3579" s="846"/>
      <c r="J3579" s="846"/>
      <c r="K3579" s="846"/>
      <c r="L3579" s="846"/>
      <c r="M3579" s="846"/>
      <c r="N3579" s="846"/>
      <c r="O3579" s="846"/>
      <c r="P3579" s="846"/>
      <c r="Q3579" s="846"/>
      <c r="R3579" s="846"/>
      <c r="S3579" s="846"/>
      <c r="T3579" s="846"/>
    </row>
    <row r="3580" spans="2:20" ht="38.25" hidden="1">
      <c r="B3580" s="828" t="s">
        <v>6546</v>
      </c>
      <c r="C3580" s="828">
        <v>97535</v>
      </c>
      <c r="D3580" s="630" t="s">
        <v>5186</v>
      </c>
      <c r="E3580" s="630" t="s">
        <v>648</v>
      </c>
      <c r="F3580" s="829">
        <v>48.68</v>
      </c>
      <c r="G3580" s="830">
        <v>11.12</v>
      </c>
      <c r="H3580" s="831">
        <v>59.8</v>
      </c>
      <c r="I3580" s="846"/>
      <c r="J3580" s="846"/>
      <c r="K3580" s="846"/>
      <c r="L3580" s="846"/>
      <c r="M3580" s="846"/>
      <c r="N3580" s="846"/>
      <c r="O3580" s="846"/>
      <c r="P3580" s="846"/>
      <c r="Q3580" s="846"/>
      <c r="R3580" s="846"/>
      <c r="S3580" s="846"/>
      <c r="T3580" s="846"/>
    </row>
    <row r="3581" spans="2:20" ht="38.25" hidden="1">
      <c r="B3581" s="828" t="s">
        <v>6546</v>
      </c>
      <c r="C3581" s="828">
        <v>97536</v>
      </c>
      <c r="D3581" s="630" t="s">
        <v>5187</v>
      </c>
      <c r="E3581" s="630" t="s">
        <v>648</v>
      </c>
      <c r="F3581" s="829">
        <v>51.36</v>
      </c>
      <c r="G3581" s="830">
        <v>20.7</v>
      </c>
      <c r="H3581" s="831">
        <v>72.06</v>
      </c>
      <c r="I3581" s="846"/>
      <c r="J3581" s="846"/>
      <c r="K3581" s="846"/>
      <c r="L3581" s="846"/>
      <c r="M3581" s="846"/>
      <c r="N3581" s="846"/>
      <c r="O3581" s="846"/>
      <c r="P3581" s="846"/>
      <c r="Q3581" s="846"/>
      <c r="R3581" s="846"/>
      <c r="S3581" s="846"/>
      <c r="T3581" s="846"/>
    </row>
    <row r="3582" spans="2:20" ht="38.25" hidden="1">
      <c r="B3582" s="828" t="s">
        <v>6546</v>
      </c>
      <c r="C3582" s="828">
        <v>100788</v>
      </c>
      <c r="D3582" s="630" t="s">
        <v>4225</v>
      </c>
      <c r="E3582" s="630" t="s">
        <v>646</v>
      </c>
      <c r="F3582" s="829">
        <v>566.66</v>
      </c>
      <c r="G3582" s="830">
        <v>162.47999999999999</v>
      </c>
      <c r="H3582" s="831">
        <v>729.14</v>
      </c>
      <c r="I3582" s="846"/>
      <c r="J3582" s="846"/>
      <c r="K3582" s="846"/>
      <c r="L3582" s="846"/>
      <c r="M3582" s="846"/>
      <c r="N3582" s="846"/>
      <c r="O3582" s="846"/>
      <c r="P3582" s="846"/>
      <c r="Q3582" s="846"/>
      <c r="R3582" s="846"/>
      <c r="S3582" s="846"/>
      <c r="T3582" s="846"/>
    </row>
    <row r="3583" spans="2:20" ht="25.5" hidden="1">
      <c r="B3583" s="828" t="s">
        <v>6546</v>
      </c>
      <c r="C3583" s="828">
        <v>100791</v>
      </c>
      <c r="D3583" s="630" t="s">
        <v>4226</v>
      </c>
      <c r="E3583" s="630" t="s">
        <v>648</v>
      </c>
      <c r="F3583" s="829">
        <v>13.66</v>
      </c>
      <c r="G3583" s="830">
        <v>6.8</v>
      </c>
      <c r="H3583" s="831">
        <v>20.46</v>
      </c>
      <c r="I3583" s="846"/>
      <c r="J3583" s="846"/>
      <c r="K3583" s="846"/>
      <c r="L3583" s="846"/>
      <c r="M3583" s="846"/>
      <c r="N3583" s="846"/>
      <c r="O3583" s="846"/>
      <c r="P3583" s="846"/>
      <c r="Q3583" s="846"/>
      <c r="R3583" s="846"/>
      <c r="S3583" s="846"/>
      <c r="T3583" s="846"/>
    </row>
    <row r="3584" spans="2:20" ht="25.5" hidden="1">
      <c r="B3584" s="828" t="s">
        <v>6546</v>
      </c>
      <c r="C3584" s="828">
        <v>100792</v>
      </c>
      <c r="D3584" s="630" t="s">
        <v>4227</v>
      </c>
      <c r="E3584" s="630" t="s">
        <v>648</v>
      </c>
      <c r="F3584" s="829">
        <v>21.55</v>
      </c>
      <c r="G3584" s="830">
        <v>8.08</v>
      </c>
      <c r="H3584" s="831">
        <v>29.63</v>
      </c>
      <c r="I3584" s="846"/>
      <c r="J3584" s="846"/>
      <c r="K3584" s="846"/>
      <c r="L3584" s="846"/>
      <c r="M3584" s="846"/>
      <c r="N3584" s="846"/>
      <c r="O3584" s="846"/>
      <c r="P3584" s="846"/>
      <c r="Q3584" s="846"/>
      <c r="R3584" s="846"/>
      <c r="S3584" s="846"/>
      <c r="T3584" s="846"/>
    </row>
    <row r="3585" spans="2:20" ht="25.5" hidden="1">
      <c r="B3585" s="828" t="s">
        <v>6546</v>
      </c>
      <c r="C3585" s="828">
        <v>100793</v>
      </c>
      <c r="D3585" s="630" t="s">
        <v>4228</v>
      </c>
      <c r="E3585" s="630" t="s">
        <v>648</v>
      </c>
      <c r="F3585" s="829">
        <v>29.46</v>
      </c>
      <c r="G3585" s="830">
        <v>9.65</v>
      </c>
      <c r="H3585" s="831">
        <v>39.11</v>
      </c>
      <c r="I3585" s="846"/>
      <c r="J3585" s="846"/>
      <c r="K3585" s="846"/>
      <c r="L3585" s="846"/>
      <c r="M3585" s="846"/>
      <c r="N3585" s="846"/>
      <c r="O3585" s="846"/>
      <c r="P3585" s="846"/>
      <c r="Q3585" s="846"/>
      <c r="R3585" s="846"/>
      <c r="S3585" s="846"/>
      <c r="T3585" s="846"/>
    </row>
    <row r="3586" spans="2:20" ht="25.5" hidden="1">
      <c r="B3586" s="828" t="s">
        <v>6546</v>
      </c>
      <c r="C3586" s="828">
        <v>100794</v>
      </c>
      <c r="D3586" s="630" t="s">
        <v>4229</v>
      </c>
      <c r="E3586" s="630" t="s">
        <v>648</v>
      </c>
      <c r="F3586" s="829">
        <v>40.659999999999997</v>
      </c>
      <c r="G3586" s="830">
        <v>11.87</v>
      </c>
      <c r="H3586" s="831">
        <v>52.53</v>
      </c>
      <c r="I3586" s="846"/>
      <c r="J3586" s="846"/>
      <c r="K3586" s="846"/>
      <c r="L3586" s="846"/>
      <c r="M3586" s="846"/>
      <c r="N3586" s="846"/>
      <c r="O3586" s="846"/>
      <c r="P3586" s="846"/>
      <c r="Q3586" s="846"/>
      <c r="R3586" s="846"/>
      <c r="S3586" s="846"/>
      <c r="T3586" s="846"/>
    </row>
    <row r="3587" spans="2:20" ht="38.25" hidden="1">
      <c r="B3587" s="828" t="s">
        <v>6546</v>
      </c>
      <c r="C3587" s="828">
        <v>100799</v>
      </c>
      <c r="D3587" s="630" t="s">
        <v>5830</v>
      </c>
      <c r="E3587" s="630" t="s">
        <v>648</v>
      </c>
      <c r="F3587" s="829">
        <v>13.76</v>
      </c>
      <c r="G3587" s="830">
        <v>7.24</v>
      </c>
      <c r="H3587" s="831">
        <v>21</v>
      </c>
      <c r="I3587" s="846"/>
      <c r="J3587" s="846"/>
      <c r="K3587" s="846"/>
      <c r="L3587" s="846"/>
      <c r="M3587" s="846"/>
      <c r="N3587" s="846"/>
      <c r="O3587" s="846"/>
      <c r="P3587" s="846"/>
      <c r="Q3587" s="846"/>
      <c r="R3587" s="846"/>
      <c r="S3587" s="846"/>
      <c r="T3587" s="846"/>
    </row>
    <row r="3588" spans="2:20" ht="38.25" hidden="1">
      <c r="B3588" s="828" t="s">
        <v>6546</v>
      </c>
      <c r="C3588" s="828">
        <v>100800</v>
      </c>
      <c r="D3588" s="630" t="s">
        <v>5831</v>
      </c>
      <c r="E3588" s="630" t="s">
        <v>648</v>
      </c>
      <c r="F3588" s="829">
        <v>21.68</v>
      </c>
      <c r="G3588" s="830">
        <v>8.5</v>
      </c>
      <c r="H3588" s="831">
        <v>30.18</v>
      </c>
      <c r="I3588" s="846"/>
      <c r="J3588" s="846"/>
      <c r="K3588" s="846"/>
      <c r="L3588" s="846"/>
      <c r="M3588" s="846"/>
      <c r="N3588" s="846"/>
      <c r="O3588" s="846"/>
      <c r="P3588" s="846"/>
      <c r="Q3588" s="846"/>
      <c r="R3588" s="846"/>
      <c r="S3588" s="846"/>
      <c r="T3588" s="846"/>
    </row>
    <row r="3589" spans="2:20" ht="38.25" hidden="1">
      <c r="B3589" s="828" t="s">
        <v>6546</v>
      </c>
      <c r="C3589" s="828">
        <v>100801</v>
      </c>
      <c r="D3589" s="630" t="s">
        <v>5832</v>
      </c>
      <c r="E3589" s="630" t="s">
        <v>648</v>
      </c>
      <c r="F3589" s="829">
        <v>29.57</v>
      </c>
      <c r="G3589" s="830">
        <v>10.09</v>
      </c>
      <c r="H3589" s="831">
        <v>39.659999999999997</v>
      </c>
      <c r="I3589" s="846"/>
      <c r="J3589" s="846"/>
      <c r="K3589" s="846"/>
      <c r="L3589" s="846"/>
      <c r="M3589" s="846"/>
      <c r="N3589" s="846"/>
      <c r="O3589" s="846"/>
      <c r="P3589" s="846"/>
      <c r="Q3589" s="846"/>
      <c r="R3589" s="846"/>
      <c r="S3589" s="846"/>
      <c r="T3589" s="846"/>
    </row>
    <row r="3590" spans="2:20" ht="38.25" hidden="1">
      <c r="B3590" s="828" t="s">
        <v>6546</v>
      </c>
      <c r="C3590" s="828">
        <v>100802</v>
      </c>
      <c r="D3590" s="630" t="s">
        <v>5833</v>
      </c>
      <c r="E3590" s="630" t="s">
        <v>648</v>
      </c>
      <c r="F3590" s="829">
        <v>40.770000000000003</v>
      </c>
      <c r="G3590" s="830">
        <v>12.3</v>
      </c>
      <c r="H3590" s="831">
        <v>53.07</v>
      </c>
      <c r="I3590" s="846"/>
      <c r="J3590" s="846"/>
      <c r="K3590" s="846"/>
      <c r="L3590" s="846"/>
      <c r="M3590" s="846"/>
      <c r="N3590" s="846"/>
      <c r="O3590" s="846"/>
      <c r="P3590" s="846"/>
      <c r="Q3590" s="846"/>
      <c r="R3590" s="846"/>
      <c r="S3590" s="846"/>
      <c r="T3590" s="846"/>
    </row>
    <row r="3591" spans="2:20" ht="25.5" hidden="1">
      <c r="B3591" s="828" t="s">
        <v>6546</v>
      </c>
      <c r="C3591" s="828">
        <v>100803</v>
      </c>
      <c r="D3591" s="630" t="s">
        <v>4230</v>
      </c>
      <c r="E3591" s="630" t="s">
        <v>648</v>
      </c>
      <c r="F3591" s="829">
        <v>13.41</v>
      </c>
      <c r="G3591" s="830">
        <v>5.92</v>
      </c>
      <c r="H3591" s="831">
        <v>19.329999999999998</v>
      </c>
      <c r="I3591" s="846"/>
      <c r="J3591" s="846"/>
      <c r="K3591" s="846"/>
      <c r="L3591" s="846"/>
      <c r="M3591" s="846"/>
      <c r="N3591" s="846"/>
      <c r="O3591" s="846"/>
      <c r="P3591" s="846"/>
      <c r="Q3591" s="846"/>
      <c r="R3591" s="846"/>
      <c r="S3591" s="846"/>
      <c r="T3591" s="846"/>
    </row>
    <row r="3592" spans="2:20" ht="25.5" hidden="1">
      <c r="B3592" s="828" t="s">
        <v>6546</v>
      </c>
      <c r="C3592" s="828">
        <v>100804</v>
      </c>
      <c r="D3592" s="630" t="s">
        <v>4231</v>
      </c>
      <c r="E3592" s="630" t="s">
        <v>648</v>
      </c>
      <c r="F3592" s="829">
        <v>21.29</v>
      </c>
      <c r="G3592" s="830">
        <v>7.01</v>
      </c>
      <c r="H3592" s="831">
        <v>28.3</v>
      </c>
      <c r="I3592" s="846"/>
      <c r="J3592" s="846"/>
      <c r="K3592" s="846"/>
      <c r="L3592" s="846"/>
      <c r="M3592" s="846"/>
      <c r="N3592" s="846"/>
      <c r="O3592" s="846"/>
      <c r="P3592" s="846"/>
      <c r="Q3592" s="846"/>
      <c r="R3592" s="846"/>
      <c r="S3592" s="846"/>
      <c r="T3592" s="846"/>
    </row>
    <row r="3593" spans="2:20" ht="25.5" hidden="1">
      <c r="B3593" s="828" t="s">
        <v>6546</v>
      </c>
      <c r="C3593" s="828">
        <v>100805</v>
      </c>
      <c r="D3593" s="630" t="s">
        <v>4232</v>
      </c>
      <c r="E3593" s="630" t="s">
        <v>648</v>
      </c>
      <c r="F3593" s="829">
        <v>29.12</v>
      </c>
      <c r="G3593" s="830">
        <v>8.4</v>
      </c>
      <c r="H3593" s="831">
        <v>37.520000000000003</v>
      </c>
      <c r="I3593" s="846"/>
      <c r="J3593" s="846"/>
      <c r="K3593" s="846"/>
      <c r="L3593" s="846"/>
      <c r="M3593" s="846"/>
      <c r="N3593" s="846"/>
      <c r="O3593" s="846"/>
      <c r="P3593" s="846"/>
      <c r="Q3593" s="846"/>
      <c r="R3593" s="846"/>
      <c r="S3593" s="846"/>
      <c r="T3593" s="846"/>
    </row>
    <row r="3594" spans="2:20" ht="25.5" hidden="1">
      <c r="B3594" s="828" t="s">
        <v>6546</v>
      </c>
      <c r="C3594" s="828">
        <v>100806</v>
      </c>
      <c r="D3594" s="630" t="s">
        <v>4233</v>
      </c>
      <c r="E3594" s="630" t="s">
        <v>648</v>
      </c>
      <c r="F3594" s="829">
        <v>40.26</v>
      </c>
      <c r="G3594" s="830">
        <v>10.32</v>
      </c>
      <c r="H3594" s="831">
        <v>50.58</v>
      </c>
      <c r="I3594" s="846"/>
      <c r="J3594" s="846"/>
      <c r="K3594" s="846"/>
      <c r="L3594" s="846"/>
      <c r="M3594" s="846"/>
      <c r="N3594" s="846"/>
      <c r="O3594" s="846"/>
      <c r="P3594" s="846"/>
      <c r="Q3594" s="846"/>
      <c r="R3594" s="846"/>
      <c r="S3594" s="846"/>
      <c r="T3594" s="846"/>
    </row>
    <row r="3595" spans="2:20" ht="38.25" hidden="1">
      <c r="B3595" s="828" t="s">
        <v>6546</v>
      </c>
      <c r="C3595" s="828">
        <v>100807</v>
      </c>
      <c r="D3595" s="630" t="s">
        <v>5834</v>
      </c>
      <c r="E3595" s="630" t="s">
        <v>648</v>
      </c>
      <c r="F3595" s="829">
        <v>15.09</v>
      </c>
      <c r="G3595" s="830">
        <v>12.28</v>
      </c>
      <c r="H3595" s="831">
        <v>27.37</v>
      </c>
      <c r="I3595" s="846"/>
      <c r="J3595" s="846"/>
      <c r="K3595" s="846"/>
      <c r="L3595" s="846"/>
      <c r="M3595" s="846"/>
      <c r="N3595" s="846"/>
      <c r="O3595" s="846"/>
      <c r="P3595" s="846"/>
      <c r="Q3595" s="846"/>
      <c r="R3595" s="846"/>
      <c r="S3595" s="846"/>
      <c r="T3595" s="846"/>
    </row>
    <row r="3596" spans="2:20" ht="38.25" hidden="1">
      <c r="B3596" s="828" t="s">
        <v>6546</v>
      </c>
      <c r="C3596" s="828">
        <v>100808</v>
      </c>
      <c r="D3596" s="630" t="s">
        <v>5835</v>
      </c>
      <c r="E3596" s="630" t="s">
        <v>648</v>
      </c>
      <c r="F3596" s="829">
        <v>23.24</v>
      </c>
      <c r="G3596" s="830">
        <v>14.49</v>
      </c>
      <c r="H3596" s="831">
        <v>37.729999999999997</v>
      </c>
      <c r="I3596" s="846"/>
      <c r="J3596" s="846"/>
      <c r="K3596" s="846"/>
      <c r="L3596" s="846"/>
      <c r="M3596" s="846"/>
      <c r="N3596" s="846"/>
      <c r="O3596" s="846"/>
      <c r="P3596" s="846"/>
      <c r="Q3596" s="846"/>
      <c r="R3596" s="846"/>
      <c r="S3596" s="846"/>
      <c r="T3596" s="846"/>
    </row>
    <row r="3597" spans="2:20" ht="38.25" hidden="1">
      <c r="B3597" s="828" t="s">
        <v>6546</v>
      </c>
      <c r="C3597" s="828">
        <v>100809</v>
      </c>
      <c r="D3597" s="630" t="s">
        <v>5836</v>
      </c>
      <c r="E3597" s="630" t="s">
        <v>648</v>
      </c>
      <c r="F3597" s="829">
        <v>31.46</v>
      </c>
      <c r="G3597" s="830">
        <v>17.23</v>
      </c>
      <c r="H3597" s="831">
        <v>48.69</v>
      </c>
      <c r="I3597" s="846"/>
      <c r="J3597" s="846"/>
      <c r="K3597" s="846"/>
      <c r="L3597" s="846"/>
      <c r="M3597" s="846"/>
      <c r="N3597" s="846"/>
      <c r="O3597" s="846"/>
      <c r="P3597" s="846"/>
      <c r="Q3597" s="846"/>
      <c r="R3597" s="846"/>
      <c r="S3597" s="846"/>
      <c r="T3597" s="846"/>
    </row>
    <row r="3598" spans="2:20" ht="38.25" hidden="1">
      <c r="B3598" s="828" t="s">
        <v>6546</v>
      </c>
      <c r="C3598" s="828">
        <v>100810</v>
      </c>
      <c r="D3598" s="630" t="s">
        <v>5837</v>
      </c>
      <c r="E3598" s="630" t="s">
        <v>648</v>
      </c>
      <c r="F3598" s="829">
        <v>43.11</v>
      </c>
      <c r="G3598" s="830">
        <v>21.08</v>
      </c>
      <c r="H3598" s="831">
        <v>64.19</v>
      </c>
      <c r="I3598" s="846"/>
      <c r="J3598" s="846"/>
      <c r="K3598" s="846"/>
      <c r="L3598" s="846"/>
      <c r="M3598" s="846"/>
      <c r="N3598" s="846"/>
      <c r="O3598" s="846"/>
      <c r="P3598" s="846"/>
      <c r="Q3598" s="846"/>
      <c r="R3598" s="846"/>
      <c r="S3598" s="846"/>
      <c r="T3598" s="846"/>
    </row>
    <row r="3599" spans="2:20" ht="38.25" hidden="1">
      <c r="B3599" s="828" t="s">
        <v>6546</v>
      </c>
      <c r="C3599" s="828">
        <v>101918</v>
      </c>
      <c r="D3599" s="630" t="s">
        <v>5245</v>
      </c>
      <c r="E3599" s="630" t="s">
        <v>648</v>
      </c>
      <c r="F3599" s="829">
        <v>228.73</v>
      </c>
      <c r="G3599" s="830">
        <v>26.62</v>
      </c>
      <c r="H3599" s="831">
        <v>255.35</v>
      </c>
      <c r="I3599" s="846"/>
      <c r="J3599" s="846"/>
      <c r="K3599" s="846"/>
      <c r="L3599" s="846"/>
      <c r="M3599" s="846"/>
      <c r="N3599" s="846"/>
      <c r="O3599" s="846"/>
      <c r="P3599" s="846"/>
      <c r="Q3599" s="846"/>
      <c r="R3599" s="846"/>
      <c r="S3599" s="846"/>
      <c r="T3599" s="846"/>
    </row>
    <row r="3600" spans="2:20" ht="25.5" hidden="1">
      <c r="B3600" s="828" t="s">
        <v>6546</v>
      </c>
      <c r="C3600" s="828">
        <v>101919</v>
      </c>
      <c r="D3600" s="630" t="s">
        <v>5246</v>
      </c>
      <c r="E3600" s="630" t="s">
        <v>646</v>
      </c>
      <c r="F3600" s="829">
        <v>395.57</v>
      </c>
      <c r="G3600" s="830">
        <v>35.92</v>
      </c>
      <c r="H3600" s="831">
        <v>431.49</v>
      </c>
      <c r="I3600" s="846"/>
      <c r="J3600" s="846"/>
      <c r="K3600" s="846"/>
      <c r="L3600" s="846"/>
      <c r="M3600" s="846"/>
      <c r="N3600" s="846"/>
      <c r="O3600" s="846"/>
      <c r="P3600" s="846"/>
      <c r="Q3600" s="846"/>
      <c r="R3600" s="846"/>
      <c r="S3600" s="846"/>
      <c r="T3600" s="846"/>
    </row>
    <row r="3601" spans="2:20" ht="25.5" hidden="1">
      <c r="B3601" s="828" t="s">
        <v>6546</v>
      </c>
      <c r="C3601" s="828">
        <v>101920</v>
      </c>
      <c r="D3601" s="630" t="s">
        <v>5247</v>
      </c>
      <c r="E3601" s="630" t="s">
        <v>646</v>
      </c>
      <c r="F3601" s="829">
        <v>171.14</v>
      </c>
      <c r="G3601" s="830">
        <v>35.93</v>
      </c>
      <c r="H3601" s="831">
        <v>207.07</v>
      </c>
      <c r="I3601" s="846"/>
      <c r="J3601" s="846"/>
      <c r="K3601" s="846"/>
      <c r="L3601" s="846"/>
      <c r="M3601" s="846"/>
      <c r="N3601" s="846"/>
      <c r="O3601" s="846"/>
      <c r="P3601" s="846"/>
      <c r="Q3601" s="846"/>
      <c r="R3601" s="846"/>
      <c r="S3601" s="846"/>
      <c r="T3601" s="846"/>
    </row>
    <row r="3602" spans="2:20" ht="38.25" hidden="1">
      <c r="B3602" s="828" t="s">
        <v>6546</v>
      </c>
      <c r="C3602" s="828">
        <v>101921</v>
      </c>
      <c r="D3602" s="630" t="s">
        <v>5248</v>
      </c>
      <c r="E3602" s="630" t="s">
        <v>646</v>
      </c>
      <c r="F3602" s="829">
        <v>200.04</v>
      </c>
      <c r="G3602" s="830">
        <v>35.93</v>
      </c>
      <c r="H3602" s="831">
        <v>235.97</v>
      </c>
      <c r="I3602" s="846"/>
      <c r="J3602" s="846"/>
      <c r="K3602" s="846"/>
      <c r="L3602" s="846"/>
      <c r="M3602" s="846"/>
      <c r="N3602" s="846"/>
      <c r="O3602" s="846"/>
      <c r="P3602" s="846"/>
      <c r="Q3602" s="846"/>
      <c r="R3602" s="846"/>
      <c r="S3602" s="846"/>
      <c r="T3602" s="846"/>
    </row>
    <row r="3603" spans="2:20" ht="38.25" hidden="1">
      <c r="B3603" s="828" t="s">
        <v>6546</v>
      </c>
      <c r="C3603" s="828">
        <v>101922</v>
      </c>
      <c r="D3603" s="630" t="s">
        <v>5249</v>
      </c>
      <c r="E3603" s="630" t="s">
        <v>646</v>
      </c>
      <c r="F3603" s="829">
        <v>200.04</v>
      </c>
      <c r="G3603" s="830">
        <v>35.93</v>
      </c>
      <c r="H3603" s="831">
        <v>235.97</v>
      </c>
      <c r="I3603" s="846"/>
      <c r="J3603" s="846"/>
      <c r="K3603" s="846"/>
      <c r="L3603" s="846"/>
      <c r="M3603" s="846"/>
      <c r="N3603" s="846"/>
      <c r="O3603" s="846"/>
      <c r="P3603" s="846"/>
      <c r="Q3603" s="846"/>
      <c r="R3603" s="846"/>
      <c r="S3603" s="846"/>
      <c r="T3603" s="846"/>
    </row>
    <row r="3604" spans="2:20" ht="38.25" hidden="1">
      <c r="B3604" s="828" t="s">
        <v>6546</v>
      </c>
      <c r="C3604" s="828">
        <v>101923</v>
      </c>
      <c r="D3604" s="630" t="s">
        <v>5250</v>
      </c>
      <c r="E3604" s="630" t="s">
        <v>646</v>
      </c>
      <c r="F3604" s="829">
        <v>200.04</v>
      </c>
      <c r="G3604" s="830">
        <v>35.93</v>
      </c>
      <c r="H3604" s="831">
        <v>235.97</v>
      </c>
      <c r="I3604" s="846"/>
      <c r="J3604" s="846"/>
      <c r="K3604" s="846"/>
      <c r="L3604" s="846"/>
      <c r="M3604" s="846"/>
      <c r="N3604" s="846"/>
      <c r="O3604" s="846"/>
      <c r="P3604" s="846"/>
      <c r="Q3604" s="846"/>
      <c r="R3604" s="846"/>
      <c r="S3604" s="846"/>
      <c r="T3604" s="846"/>
    </row>
    <row r="3605" spans="2:20" ht="25.5" hidden="1">
      <c r="B3605" s="828" t="s">
        <v>6546</v>
      </c>
      <c r="C3605" s="828">
        <v>101924</v>
      </c>
      <c r="D3605" s="630" t="s">
        <v>5251</v>
      </c>
      <c r="E3605" s="630" t="s">
        <v>646</v>
      </c>
      <c r="F3605" s="829">
        <v>159.05000000000001</v>
      </c>
      <c r="G3605" s="830">
        <v>35.93</v>
      </c>
      <c r="H3605" s="831">
        <v>194.98</v>
      </c>
      <c r="I3605" s="846"/>
      <c r="J3605" s="846"/>
      <c r="K3605" s="846"/>
      <c r="L3605" s="846"/>
      <c r="M3605" s="846"/>
      <c r="N3605" s="846"/>
      <c r="O3605" s="846"/>
      <c r="P3605" s="846"/>
      <c r="Q3605" s="846"/>
      <c r="R3605" s="846"/>
      <c r="S3605" s="846"/>
      <c r="T3605" s="846"/>
    </row>
    <row r="3606" spans="2:20" ht="25.5" hidden="1">
      <c r="B3606" s="828" t="s">
        <v>6546</v>
      </c>
      <c r="C3606" s="828">
        <v>101925</v>
      </c>
      <c r="D3606" s="630" t="s">
        <v>5252</v>
      </c>
      <c r="E3606" s="630" t="s">
        <v>646</v>
      </c>
      <c r="F3606" s="829">
        <v>271.77999999999997</v>
      </c>
      <c r="G3606" s="830">
        <v>53.9</v>
      </c>
      <c r="H3606" s="831">
        <v>325.68</v>
      </c>
      <c r="I3606" s="846"/>
      <c r="J3606" s="846"/>
      <c r="K3606" s="846"/>
      <c r="L3606" s="846"/>
      <c r="M3606" s="846"/>
      <c r="N3606" s="846"/>
      <c r="O3606" s="846"/>
      <c r="P3606" s="846"/>
      <c r="Q3606" s="846"/>
      <c r="R3606" s="846"/>
      <c r="S3606" s="846"/>
      <c r="T3606" s="846"/>
    </row>
    <row r="3607" spans="2:20" ht="25.5" hidden="1">
      <c r="B3607" s="828" t="s">
        <v>6546</v>
      </c>
      <c r="C3607" s="828">
        <v>101926</v>
      </c>
      <c r="D3607" s="630" t="s">
        <v>5253</v>
      </c>
      <c r="E3607" s="630" t="s">
        <v>646</v>
      </c>
      <c r="F3607" s="829">
        <v>348.17</v>
      </c>
      <c r="G3607" s="830">
        <v>71.88</v>
      </c>
      <c r="H3607" s="831">
        <v>420.05</v>
      </c>
      <c r="I3607" s="846"/>
      <c r="J3607" s="846"/>
      <c r="K3607" s="846"/>
      <c r="L3607" s="846"/>
      <c r="M3607" s="846"/>
      <c r="N3607" s="846"/>
      <c r="O3607" s="846"/>
      <c r="P3607" s="846"/>
      <c r="Q3607" s="846"/>
      <c r="R3607" s="846"/>
      <c r="S3607" s="846"/>
      <c r="T3607" s="846"/>
    </row>
    <row r="3608" spans="2:20" ht="38.25" hidden="1">
      <c r="B3608" s="828" t="s">
        <v>6546</v>
      </c>
      <c r="C3608" s="828">
        <v>101927</v>
      </c>
      <c r="D3608" s="630" t="s">
        <v>5254</v>
      </c>
      <c r="E3608" s="630" t="s">
        <v>648</v>
      </c>
      <c r="F3608" s="829">
        <v>225.06</v>
      </c>
      <c r="G3608" s="830">
        <v>13.65</v>
      </c>
      <c r="H3608" s="831">
        <v>238.71</v>
      </c>
      <c r="I3608" s="846"/>
      <c r="J3608" s="846"/>
      <c r="K3608" s="846"/>
      <c r="L3608" s="846"/>
      <c r="M3608" s="846"/>
      <c r="N3608" s="846"/>
      <c r="O3608" s="846"/>
      <c r="P3608" s="846"/>
      <c r="Q3608" s="846"/>
      <c r="R3608" s="846"/>
      <c r="S3608" s="846"/>
      <c r="T3608" s="846"/>
    </row>
    <row r="3609" spans="2:20" ht="38.25" hidden="1">
      <c r="B3609" s="828" t="s">
        <v>6546</v>
      </c>
      <c r="C3609" s="828">
        <v>101928</v>
      </c>
      <c r="D3609" s="630" t="s">
        <v>5255</v>
      </c>
      <c r="E3609" s="630" t="s">
        <v>646</v>
      </c>
      <c r="F3609" s="829">
        <v>396.96</v>
      </c>
      <c r="G3609" s="830">
        <v>40.89</v>
      </c>
      <c r="H3609" s="831">
        <v>437.85</v>
      </c>
      <c r="I3609" s="846"/>
      <c r="J3609" s="846"/>
      <c r="K3609" s="846"/>
      <c r="L3609" s="846"/>
      <c r="M3609" s="846"/>
      <c r="N3609" s="846"/>
      <c r="O3609" s="846"/>
      <c r="P3609" s="846"/>
      <c r="Q3609" s="846"/>
      <c r="R3609" s="846"/>
      <c r="S3609" s="846"/>
      <c r="T3609" s="846"/>
    </row>
    <row r="3610" spans="2:20" ht="38.25" hidden="1">
      <c r="B3610" s="828" t="s">
        <v>6546</v>
      </c>
      <c r="C3610" s="828">
        <v>101929</v>
      </c>
      <c r="D3610" s="630" t="s">
        <v>5256</v>
      </c>
      <c r="E3610" s="630" t="s">
        <v>646</v>
      </c>
      <c r="F3610" s="829">
        <v>172.53</v>
      </c>
      <c r="G3610" s="830">
        <v>40.9</v>
      </c>
      <c r="H3610" s="831">
        <v>213.43</v>
      </c>
      <c r="I3610" s="846"/>
      <c r="J3610" s="846"/>
      <c r="K3610" s="846"/>
      <c r="L3610" s="846"/>
      <c r="M3610" s="846"/>
      <c r="N3610" s="846"/>
      <c r="O3610" s="846"/>
      <c r="P3610" s="846"/>
      <c r="Q3610" s="846"/>
      <c r="R3610" s="846"/>
      <c r="S3610" s="846"/>
      <c r="T3610" s="846"/>
    </row>
    <row r="3611" spans="2:20" ht="38.25" hidden="1">
      <c r="B3611" s="828" t="s">
        <v>6546</v>
      </c>
      <c r="C3611" s="828">
        <v>101930</v>
      </c>
      <c r="D3611" s="630" t="s">
        <v>5257</v>
      </c>
      <c r="E3611" s="630" t="s">
        <v>646</v>
      </c>
      <c r="F3611" s="829">
        <v>201.43</v>
      </c>
      <c r="G3611" s="830">
        <v>40.9</v>
      </c>
      <c r="H3611" s="831">
        <v>242.33</v>
      </c>
      <c r="I3611" s="846"/>
      <c r="J3611" s="846"/>
      <c r="K3611" s="846"/>
      <c r="L3611" s="846"/>
      <c r="M3611" s="846"/>
      <c r="N3611" s="846"/>
      <c r="O3611" s="846"/>
      <c r="P3611" s="846"/>
      <c r="Q3611" s="846"/>
      <c r="R3611" s="846"/>
      <c r="S3611" s="846"/>
      <c r="T3611" s="846"/>
    </row>
    <row r="3612" spans="2:20" ht="38.25" hidden="1">
      <c r="B3612" s="828" t="s">
        <v>6546</v>
      </c>
      <c r="C3612" s="828">
        <v>101931</v>
      </c>
      <c r="D3612" s="630" t="s">
        <v>5258</v>
      </c>
      <c r="E3612" s="630" t="s">
        <v>646</v>
      </c>
      <c r="F3612" s="829">
        <v>201.43</v>
      </c>
      <c r="G3612" s="830">
        <v>40.9</v>
      </c>
      <c r="H3612" s="831">
        <v>242.33</v>
      </c>
      <c r="I3612" s="846"/>
      <c r="J3612" s="846"/>
      <c r="K3612" s="846"/>
      <c r="L3612" s="846"/>
      <c r="M3612" s="846"/>
      <c r="N3612" s="846"/>
      <c r="O3612" s="846"/>
      <c r="P3612" s="846"/>
      <c r="Q3612" s="846"/>
      <c r="R3612" s="846"/>
      <c r="S3612" s="846"/>
      <c r="T3612" s="846"/>
    </row>
    <row r="3613" spans="2:20" ht="38.25" hidden="1">
      <c r="B3613" s="828" t="s">
        <v>6546</v>
      </c>
      <c r="C3613" s="828">
        <v>101932</v>
      </c>
      <c r="D3613" s="630" t="s">
        <v>5259</v>
      </c>
      <c r="E3613" s="630" t="s">
        <v>646</v>
      </c>
      <c r="F3613" s="829">
        <v>201.43</v>
      </c>
      <c r="G3613" s="830">
        <v>40.9</v>
      </c>
      <c r="H3613" s="831">
        <v>242.33</v>
      </c>
      <c r="I3613" s="846"/>
      <c r="J3613" s="846"/>
      <c r="K3613" s="846"/>
      <c r="L3613" s="846"/>
      <c r="M3613" s="846"/>
      <c r="N3613" s="846"/>
      <c r="O3613" s="846"/>
      <c r="P3613" s="846"/>
      <c r="Q3613" s="846"/>
      <c r="R3613" s="846"/>
      <c r="S3613" s="846"/>
      <c r="T3613" s="846"/>
    </row>
    <row r="3614" spans="2:20" ht="38.25" hidden="1">
      <c r="B3614" s="828" t="s">
        <v>6546</v>
      </c>
      <c r="C3614" s="828">
        <v>101933</v>
      </c>
      <c r="D3614" s="630" t="s">
        <v>5260</v>
      </c>
      <c r="E3614" s="630" t="s">
        <v>646</v>
      </c>
      <c r="F3614" s="829">
        <v>160.44</v>
      </c>
      <c r="G3614" s="830">
        <v>40.9</v>
      </c>
      <c r="H3614" s="831">
        <v>201.34</v>
      </c>
      <c r="I3614" s="846"/>
      <c r="J3614" s="846"/>
      <c r="K3614" s="846"/>
      <c r="L3614" s="846"/>
      <c r="M3614" s="846"/>
      <c r="N3614" s="846"/>
      <c r="O3614" s="846"/>
      <c r="P3614" s="846"/>
      <c r="Q3614" s="846"/>
      <c r="R3614" s="846"/>
      <c r="S3614" s="846"/>
      <c r="T3614" s="846"/>
    </row>
    <row r="3615" spans="2:20" ht="38.25" hidden="1">
      <c r="B3615" s="828" t="s">
        <v>6546</v>
      </c>
      <c r="C3615" s="828">
        <v>101934</v>
      </c>
      <c r="D3615" s="630" t="s">
        <v>5261</v>
      </c>
      <c r="E3615" s="630" t="s">
        <v>646</v>
      </c>
      <c r="F3615" s="829">
        <v>273.88</v>
      </c>
      <c r="G3615" s="830">
        <v>61.36</v>
      </c>
      <c r="H3615" s="831">
        <v>335.24</v>
      </c>
      <c r="I3615" s="846"/>
      <c r="J3615" s="846"/>
      <c r="K3615" s="846"/>
      <c r="L3615" s="846"/>
      <c r="M3615" s="846"/>
      <c r="N3615" s="846"/>
      <c r="O3615" s="846"/>
      <c r="P3615" s="846"/>
      <c r="Q3615" s="846"/>
      <c r="R3615" s="846"/>
      <c r="S3615" s="846"/>
      <c r="T3615" s="846"/>
    </row>
    <row r="3616" spans="2:20" ht="38.25" hidden="1">
      <c r="B3616" s="828" t="s">
        <v>6546</v>
      </c>
      <c r="C3616" s="828">
        <v>101935</v>
      </c>
      <c r="D3616" s="630" t="s">
        <v>5262</v>
      </c>
      <c r="E3616" s="630" t="s">
        <v>646</v>
      </c>
      <c r="F3616" s="829">
        <v>350.98</v>
      </c>
      <c r="G3616" s="830">
        <v>81.81</v>
      </c>
      <c r="H3616" s="831">
        <v>432.79</v>
      </c>
      <c r="I3616" s="846"/>
      <c r="J3616" s="846"/>
      <c r="K3616" s="846"/>
      <c r="L3616" s="846"/>
      <c r="M3616" s="846"/>
      <c r="N3616" s="846"/>
      <c r="O3616" s="846"/>
      <c r="P3616" s="846"/>
      <c r="Q3616" s="846"/>
      <c r="R3616" s="846"/>
      <c r="S3616" s="846"/>
      <c r="T3616" s="846"/>
    </row>
    <row r="3617" spans="2:20" ht="38.25" hidden="1">
      <c r="B3617" s="828" t="s">
        <v>6546</v>
      </c>
      <c r="C3617" s="828">
        <v>103802</v>
      </c>
      <c r="D3617" s="630" t="s">
        <v>7232</v>
      </c>
      <c r="E3617" s="630" t="s">
        <v>648</v>
      </c>
      <c r="F3617" s="829">
        <v>35.83</v>
      </c>
      <c r="G3617" s="830">
        <v>7.72</v>
      </c>
      <c r="H3617" s="831">
        <v>43.55</v>
      </c>
      <c r="I3617" s="846"/>
      <c r="J3617" s="846"/>
      <c r="K3617" s="846"/>
      <c r="L3617" s="846"/>
      <c r="M3617" s="846"/>
      <c r="N3617" s="846"/>
      <c r="O3617" s="846"/>
      <c r="P3617" s="846"/>
      <c r="Q3617" s="846"/>
      <c r="R3617" s="846"/>
      <c r="S3617" s="846"/>
      <c r="T3617" s="846"/>
    </row>
    <row r="3618" spans="2:20" ht="38.25" hidden="1">
      <c r="B3618" s="828" t="s">
        <v>6546</v>
      </c>
      <c r="C3618" s="828">
        <v>103803</v>
      </c>
      <c r="D3618" s="630" t="s">
        <v>7233</v>
      </c>
      <c r="E3618" s="630" t="s">
        <v>648</v>
      </c>
      <c r="F3618" s="829">
        <v>61.61</v>
      </c>
      <c r="G3618" s="830">
        <v>13.23</v>
      </c>
      <c r="H3618" s="831">
        <v>74.84</v>
      </c>
      <c r="I3618" s="846"/>
      <c r="J3618" s="846"/>
      <c r="K3618" s="846"/>
      <c r="L3618" s="846"/>
      <c r="M3618" s="846"/>
      <c r="N3618" s="846"/>
      <c r="O3618" s="846"/>
      <c r="P3618" s="846"/>
      <c r="Q3618" s="846"/>
      <c r="R3618" s="846"/>
      <c r="S3618" s="846"/>
      <c r="T3618" s="846"/>
    </row>
    <row r="3619" spans="2:20" ht="38.25" hidden="1">
      <c r="B3619" s="828" t="s">
        <v>6546</v>
      </c>
      <c r="C3619" s="828">
        <v>103804</v>
      </c>
      <c r="D3619" s="630" t="s">
        <v>7234</v>
      </c>
      <c r="E3619" s="630" t="s">
        <v>648</v>
      </c>
      <c r="F3619" s="829">
        <v>77.19</v>
      </c>
      <c r="G3619" s="830">
        <v>13.23</v>
      </c>
      <c r="H3619" s="831">
        <v>90.42</v>
      </c>
      <c r="I3619" s="846"/>
      <c r="J3619" s="846"/>
      <c r="K3619" s="846"/>
      <c r="L3619" s="846"/>
      <c r="M3619" s="846"/>
      <c r="N3619" s="846"/>
      <c r="O3619" s="846"/>
      <c r="P3619" s="846"/>
      <c r="Q3619" s="846"/>
      <c r="R3619" s="846"/>
      <c r="S3619" s="846"/>
      <c r="T3619" s="846"/>
    </row>
    <row r="3620" spans="2:20" ht="38.25" hidden="1">
      <c r="B3620" s="828" t="s">
        <v>6546</v>
      </c>
      <c r="C3620" s="828">
        <v>103835</v>
      </c>
      <c r="D3620" s="630" t="s">
        <v>7235</v>
      </c>
      <c r="E3620" s="630" t="s">
        <v>648</v>
      </c>
      <c r="F3620" s="829">
        <v>55.62</v>
      </c>
      <c r="G3620" s="830">
        <v>12.45</v>
      </c>
      <c r="H3620" s="831">
        <v>68.069999999999993</v>
      </c>
      <c r="I3620" s="846"/>
      <c r="J3620" s="846"/>
      <c r="K3620" s="846"/>
      <c r="L3620" s="846"/>
      <c r="M3620" s="846"/>
      <c r="N3620" s="846"/>
      <c r="O3620" s="846"/>
      <c r="P3620" s="846"/>
      <c r="Q3620" s="846"/>
      <c r="R3620" s="846"/>
      <c r="S3620" s="846"/>
      <c r="T3620" s="846"/>
    </row>
    <row r="3621" spans="2:20" ht="38.25" hidden="1">
      <c r="B3621" s="828" t="s">
        <v>6546</v>
      </c>
      <c r="C3621" s="828">
        <v>103836</v>
      </c>
      <c r="D3621" s="630" t="s">
        <v>7236</v>
      </c>
      <c r="E3621" s="630" t="s">
        <v>648</v>
      </c>
      <c r="F3621" s="829">
        <v>88.98</v>
      </c>
      <c r="G3621" s="830">
        <v>16.600000000000001</v>
      </c>
      <c r="H3621" s="831">
        <v>105.58</v>
      </c>
      <c r="I3621" s="846"/>
      <c r="J3621" s="846"/>
      <c r="K3621" s="846"/>
      <c r="L3621" s="846"/>
      <c r="M3621" s="846"/>
      <c r="N3621" s="846"/>
      <c r="O3621" s="846"/>
      <c r="P3621" s="846"/>
      <c r="Q3621" s="846"/>
      <c r="R3621" s="846"/>
      <c r="S3621" s="846"/>
      <c r="T3621" s="846"/>
    </row>
    <row r="3622" spans="2:20" ht="38.25" hidden="1">
      <c r="B3622" s="828" t="s">
        <v>6546</v>
      </c>
      <c r="C3622" s="828">
        <v>103837</v>
      </c>
      <c r="D3622" s="630" t="s">
        <v>7237</v>
      </c>
      <c r="E3622" s="630" t="s">
        <v>648</v>
      </c>
      <c r="F3622" s="829">
        <v>112.92</v>
      </c>
      <c r="G3622" s="830">
        <v>20.16</v>
      </c>
      <c r="H3622" s="831">
        <v>133.08000000000001</v>
      </c>
      <c r="I3622" s="846"/>
      <c r="J3622" s="846"/>
      <c r="K3622" s="846"/>
      <c r="L3622" s="846"/>
      <c r="M3622" s="846"/>
      <c r="N3622" s="846"/>
      <c r="O3622" s="846"/>
      <c r="P3622" s="846"/>
      <c r="Q3622" s="846"/>
      <c r="R3622" s="846"/>
      <c r="S3622" s="846"/>
      <c r="T3622" s="846"/>
    </row>
    <row r="3623" spans="2:20" ht="38.25" hidden="1">
      <c r="B3623" s="828" t="s">
        <v>6546</v>
      </c>
      <c r="C3623" s="828">
        <v>103868</v>
      </c>
      <c r="D3623" s="630" t="s">
        <v>7238</v>
      </c>
      <c r="E3623" s="630" t="s">
        <v>648</v>
      </c>
      <c r="F3623" s="829">
        <v>38.25</v>
      </c>
      <c r="G3623" s="830">
        <v>16.29</v>
      </c>
      <c r="H3623" s="831">
        <v>54.54</v>
      </c>
      <c r="I3623" s="846"/>
      <c r="J3623" s="846"/>
      <c r="K3623" s="846"/>
      <c r="L3623" s="846"/>
      <c r="M3623" s="846"/>
      <c r="N3623" s="846"/>
      <c r="O3623" s="846"/>
      <c r="P3623" s="846"/>
      <c r="Q3623" s="846"/>
      <c r="R3623" s="846"/>
      <c r="S3623" s="846"/>
      <c r="T3623" s="846"/>
    </row>
    <row r="3624" spans="2:20" ht="38.25" hidden="1">
      <c r="B3624" s="828" t="s">
        <v>6546</v>
      </c>
      <c r="C3624" s="828">
        <v>103869</v>
      </c>
      <c r="D3624" s="630" t="s">
        <v>7239</v>
      </c>
      <c r="E3624" s="630" t="s">
        <v>648</v>
      </c>
      <c r="F3624" s="829">
        <v>63.31</v>
      </c>
      <c r="G3624" s="830">
        <v>19.23</v>
      </c>
      <c r="H3624" s="831">
        <v>82.54</v>
      </c>
      <c r="I3624" s="846"/>
      <c r="J3624" s="846"/>
      <c r="K3624" s="846"/>
      <c r="L3624" s="846"/>
      <c r="M3624" s="846"/>
      <c r="N3624" s="846"/>
      <c r="O3624" s="846"/>
      <c r="P3624" s="846"/>
      <c r="Q3624" s="846"/>
      <c r="R3624" s="846"/>
      <c r="S3624" s="846"/>
      <c r="T3624" s="846"/>
    </row>
    <row r="3625" spans="2:20" ht="38.25" hidden="1">
      <c r="B3625" s="828" t="s">
        <v>6546</v>
      </c>
      <c r="C3625" s="828">
        <v>103870</v>
      </c>
      <c r="D3625" s="630" t="s">
        <v>7240</v>
      </c>
      <c r="E3625" s="630" t="s">
        <v>648</v>
      </c>
      <c r="F3625" s="829">
        <v>79.599999999999994</v>
      </c>
      <c r="G3625" s="830">
        <v>21.77</v>
      </c>
      <c r="H3625" s="831">
        <v>101.37</v>
      </c>
      <c r="I3625" s="846"/>
      <c r="J3625" s="846"/>
      <c r="K3625" s="846"/>
      <c r="L3625" s="846"/>
      <c r="M3625" s="846"/>
      <c r="N3625" s="846"/>
      <c r="O3625" s="846"/>
      <c r="P3625" s="846"/>
      <c r="Q3625" s="846"/>
      <c r="R3625" s="846"/>
      <c r="S3625" s="846"/>
      <c r="T3625" s="846"/>
    </row>
    <row r="3626" spans="2:20" ht="38.25" hidden="1">
      <c r="B3626" s="828" t="s">
        <v>6546</v>
      </c>
      <c r="C3626" s="828">
        <v>103871</v>
      </c>
      <c r="D3626" s="630" t="s">
        <v>7241</v>
      </c>
      <c r="E3626" s="630" t="s">
        <v>648</v>
      </c>
      <c r="F3626" s="829">
        <v>56.38</v>
      </c>
      <c r="G3626" s="830">
        <v>17.100000000000001</v>
      </c>
      <c r="H3626" s="831">
        <v>73.48</v>
      </c>
      <c r="I3626" s="846"/>
      <c r="J3626" s="846"/>
      <c r="K3626" s="846"/>
      <c r="L3626" s="846"/>
      <c r="M3626" s="846"/>
      <c r="N3626" s="846"/>
      <c r="O3626" s="846"/>
      <c r="P3626" s="846"/>
      <c r="Q3626" s="846"/>
      <c r="R3626" s="846"/>
      <c r="S3626" s="846"/>
      <c r="T3626" s="846"/>
    </row>
    <row r="3627" spans="2:20" ht="38.25" hidden="1">
      <c r="B3627" s="828" t="s">
        <v>6546</v>
      </c>
      <c r="C3627" s="828">
        <v>103872</v>
      </c>
      <c r="D3627" s="630" t="s">
        <v>7242</v>
      </c>
      <c r="E3627" s="630" t="s">
        <v>648</v>
      </c>
      <c r="F3627" s="829">
        <v>151.87</v>
      </c>
      <c r="G3627" s="830">
        <v>20.05</v>
      </c>
      <c r="H3627" s="831">
        <v>171.92</v>
      </c>
      <c r="I3627" s="846"/>
      <c r="J3627" s="846"/>
      <c r="K3627" s="846"/>
      <c r="L3627" s="846"/>
      <c r="M3627" s="846"/>
      <c r="N3627" s="846"/>
      <c r="O3627" s="846"/>
      <c r="P3627" s="846"/>
      <c r="Q3627" s="846"/>
      <c r="R3627" s="846"/>
      <c r="S3627" s="846"/>
      <c r="T3627" s="846"/>
    </row>
    <row r="3628" spans="2:20" ht="38.25" hidden="1">
      <c r="B3628" s="828" t="s">
        <v>6546</v>
      </c>
      <c r="C3628" s="828">
        <v>103873</v>
      </c>
      <c r="D3628" s="630" t="s">
        <v>7243</v>
      </c>
      <c r="E3628" s="630" t="s">
        <v>648</v>
      </c>
      <c r="F3628" s="829">
        <v>171.84</v>
      </c>
      <c r="G3628" s="830">
        <v>22.57</v>
      </c>
      <c r="H3628" s="831">
        <v>194.41</v>
      </c>
      <c r="I3628" s="846"/>
      <c r="J3628" s="846"/>
      <c r="K3628" s="846"/>
      <c r="L3628" s="846"/>
      <c r="M3628" s="846"/>
      <c r="N3628" s="846"/>
      <c r="O3628" s="846"/>
      <c r="P3628" s="846"/>
      <c r="Q3628" s="846"/>
      <c r="R3628" s="846"/>
      <c r="S3628" s="846"/>
      <c r="T3628" s="846"/>
    </row>
    <row r="3629" spans="2:20" ht="25.5" hidden="1">
      <c r="B3629" s="828" t="s">
        <v>6546</v>
      </c>
      <c r="C3629" s="828">
        <v>103978</v>
      </c>
      <c r="D3629" s="630" t="s">
        <v>7859</v>
      </c>
      <c r="E3629" s="630" t="s">
        <v>648</v>
      </c>
      <c r="F3629" s="829">
        <v>19.170000000000002</v>
      </c>
      <c r="G3629" s="830">
        <v>9.59</v>
      </c>
      <c r="H3629" s="831">
        <v>28.76</v>
      </c>
      <c r="I3629" s="846"/>
      <c r="J3629" s="846"/>
      <c r="K3629" s="846"/>
      <c r="L3629" s="846"/>
      <c r="M3629" s="846"/>
      <c r="N3629" s="846"/>
      <c r="O3629" s="846"/>
      <c r="P3629" s="846"/>
      <c r="Q3629" s="846"/>
      <c r="R3629" s="846"/>
      <c r="S3629" s="846"/>
      <c r="T3629" s="846"/>
    </row>
    <row r="3630" spans="2:20" ht="25.5" hidden="1">
      <c r="B3630" s="828" t="s">
        <v>6546</v>
      </c>
      <c r="C3630" s="828">
        <v>103979</v>
      </c>
      <c r="D3630" s="630" t="s">
        <v>7860</v>
      </c>
      <c r="E3630" s="630" t="s">
        <v>648</v>
      </c>
      <c r="F3630" s="829">
        <v>22.08</v>
      </c>
      <c r="G3630" s="830">
        <v>11.47</v>
      </c>
      <c r="H3630" s="831">
        <v>33.549999999999997</v>
      </c>
      <c r="I3630" s="846"/>
      <c r="J3630" s="846"/>
      <c r="K3630" s="846"/>
      <c r="L3630" s="846"/>
      <c r="M3630" s="846"/>
      <c r="N3630" s="846"/>
      <c r="O3630" s="846"/>
      <c r="P3630" s="846"/>
      <c r="Q3630" s="846"/>
      <c r="R3630" s="846"/>
      <c r="S3630" s="846"/>
      <c r="T3630" s="846"/>
    </row>
    <row r="3631" spans="2:20" ht="25.5" hidden="1">
      <c r="B3631" s="828" t="s">
        <v>6546</v>
      </c>
      <c r="C3631" s="828">
        <v>104021</v>
      </c>
      <c r="D3631" s="630" t="s">
        <v>9297</v>
      </c>
      <c r="E3631" s="630" t="s">
        <v>648</v>
      </c>
      <c r="F3631" s="829">
        <v>74.319999999999993</v>
      </c>
      <c r="G3631" s="830">
        <v>9.9600000000000009</v>
      </c>
      <c r="H3631" s="831">
        <v>84.28</v>
      </c>
      <c r="I3631" s="846"/>
      <c r="J3631" s="846"/>
      <c r="K3631" s="846"/>
      <c r="L3631" s="846"/>
      <c r="M3631" s="846"/>
      <c r="N3631" s="846"/>
      <c r="O3631" s="846"/>
      <c r="P3631" s="846"/>
      <c r="Q3631" s="846"/>
      <c r="R3631" s="846"/>
      <c r="S3631" s="846"/>
      <c r="T3631" s="846"/>
    </row>
    <row r="3632" spans="2:20" ht="25.5" hidden="1">
      <c r="B3632" s="828" t="s">
        <v>6546</v>
      </c>
      <c r="C3632" s="828">
        <v>104166</v>
      </c>
      <c r="D3632" s="630" t="s">
        <v>7861</v>
      </c>
      <c r="E3632" s="630" t="s">
        <v>648</v>
      </c>
      <c r="F3632" s="829">
        <v>105.97</v>
      </c>
      <c r="G3632" s="830">
        <v>10.84</v>
      </c>
      <c r="H3632" s="831">
        <v>116.81</v>
      </c>
      <c r="I3632" s="846"/>
      <c r="J3632" s="846"/>
      <c r="K3632" s="846"/>
      <c r="L3632" s="846"/>
      <c r="M3632" s="846"/>
      <c r="N3632" s="846"/>
      <c r="O3632" s="846"/>
      <c r="P3632" s="846"/>
      <c r="Q3632" s="846"/>
      <c r="R3632" s="846"/>
      <c r="S3632" s="846"/>
      <c r="T3632" s="846"/>
    </row>
    <row r="3633" spans="2:20" ht="25.5" hidden="1">
      <c r="B3633" s="828" t="s">
        <v>6547</v>
      </c>
      <c r="C3633" s="828">
        <v>89358</v>
      </c>
      <c r="D3633" s="630" t="s">
        <v>7862</v>
      </c>
      <c r="E3633" s="630" t="s">
        <v>646</v>
      </c>
      <c r="F3633" s="829">
        <v>3.12</v>
      </c>
      <c r="G3633" s="830">
        <v>5.64</v>
      </c>
      <c r="H3633" s="831">
        <v>8.76</v>
      </c>
      <c r="I3633" s="846"/>
      <c r="J3633" s="846"/>
      <c r="K3633" s="846"/>
      <c r="L3633" s="846"/>
      <c r="M3633" s="846"/>
      <c r="N3633" s="846"/>
      <c r="O3633" s="846"/>
      <c r="P3633" s="846"/>
      <c r="Q3633" s="846"/>
      <c r="R3633" s="846"/>
      <c r="S3633" s="846"/>
      <c r="T3633" s="846"/>
    </row>
    <row r="3634" spans="2:20" ht="25.5" hidden="1">
      <c r="B3634" s="828" t="s">
        <v>6547</v>
      </c>
      <c r="C3634" s="828">
        <v>89359</v>
      </c>
      <c r="D3634" s="630" t="s">
        <v>7863</v>
      </c>
      <c r="E3634" s="630" t="s">
        <v>646</v>
      </c>
      <c r="F3634" s="829">
        <v>3.58</v>
      </c>
      <c r="G3634" s="830">
        <v>5.64</v>
      </c>
      <c r="H3634" s="831">
        <v>9.2200000000000006</v>
      </c>
      <c r="I3634" s="846"/>
      <c r="J3634" s="846"/>
      <c r="K3634" s="846"/>
      <c r="L3634" s="846"/>
      <c r="M3634" s="846"/>
      <c r="N3634" s="846"/>
      <c r="O3634" s="846"/>
      <c r="P3634" s="846"/>
      <c r="Q3634" s="846"/>
      <c r="R3634" s="846"/>
      <c r="S3634" s="846"/>
      <c r="T3634" s="846"/>
    </row>
    <row r="3635" spans="2:20" ht="25.5" hidden="1">
      <c r="B3635" s="828" t="s">
        <v>6547</v>
      </c>
      <c r="C3635" s="828">
        <v>89360</v>
      </c>
      <c r="D3635" s="630" t="s">
        <v>7864</v>
      </c>
      <c r="E3635" s="630" t="s">
        <v>646</v>
      </c>
      <c r="F3635" s="829">
        <v>5.51</v>
      </c>
      <c r="G3635" s="830">
        <v>5.64</v>
      </c>
      <c r="H3635" s="831">
        <v>11.15</v>
      </c>
      <c r="I3635" s="846"/>
      <c r="J3635" s="846"/>
      <c r="K3635" s="846"/>
      <c r="L3635" s="846"/>
      <c r="M3635" s="846"/>
      <c r="N3635" s="846"/>
      <c r="O3635" s="846"/>
      <c r="P3635" s="846"/>
      <c r="Q3635" s="846"/>
      <c r="R3635" s="846"/>
      <c r="S3635" s="846"/>
      <c r="T3635" s="846"/>
    </row>
    <row r="3636" spans="2:20" ht="25.5" hidden="1">
      <c r="B3636" s="828" t="s">
        <v>6547</v>
      </c>
      <c r="C3636" s="828">
        <v>89361</v>
      </c>
      <c r="D3636" s="630" t="s">
        <v>7865</v>
      </c>
      <c r="E3636" s="630" t="s">
        <v>646</v>
      </c>
      <c r="F3636" s="829">
        <v>4.75</v>
      </c>
      <c r="G3636" s="830">
        <v>5.64</v>
      </c>
      <c r="H3636" s="831">
        <v>10.39</v>
      </c>
      <c r="I3636" s="846"/>
      <c r="J3636" s="846"/>
      <c r="K3636" s="846"/>
      <c r="L3636" s="846"/>
      <c r="M3636" s="846"/>
      <c r="N3636" s="846"/>
      <c r="O3636" s="846"/>
      <c r="P3636" s="846"/>
      <c r="Q3636" s="846"/>
      <c r="R3636" s="846"/>
      <c r="S3636" s="846"/>
      <c r="T3636" s="846"/>
    </row>
    <row r="3637" spans="2:20" ht="25.5" hidden="1">
      <c r="B3637" s="828" t="s">
        <v>6547</v>
      </c>
      <c r="C3637" s="828">
        <v>89362</v>
      </c>
      <c r="D3637" s="630" t="s">
        <v>7866</v>
      </c>
      <c r="E3637" s="630" t="s">
        <v>646</v>
      </c>
      <c r="F3637" s="829">
        <v>3.97</v>
      </c>
      <c r="G3637" s="830">
        <v>6.54</v>
      </c>
      <c r="H3637" s="831">
        <v>10.51</v>
      </c>
      <c r="I3637" s="846"/>
      <c r="J3637" s="846"/>
      <c r="K3637" s="846"/>
      <c r="L3637" s="846"/>
      <c r="M3637" s="846"/>
      <c r="N3637" s="846"/>
      <c r="O3637" s="846"/>
      <c r="P3637" s="846"/>
      <c r="Q3637" s="846"/>
      <c r="R3637" s="846"/>
      <c r="S3637" s="846"/>
      <c r="T3637" s="846"/>
    </row>
    <row r="3638" spans="2:20" ht="25.5" hidden="1">
      <c r="B3638" s="828" t="s">
        <v>6547</v>
      </c>
      <c r="C3638" s="828">
        <v>89363</v>
      </c>
      <c r="D3638" s="630" t="s">
        <v>7867</v>
      </c>
      <c r="E3638" s="630" t="s">
        <v>646</v>
      </c>
      <c r="F3638" s="829">
        <v>4.96</v>
      </c>
      <c r="G3638" s="830">
        <v>6.54</v>
      </c>
      <c r="H3638" s="831">
        <v>11.5</v>
      </c>
      <c r="I3638" s="846"/>
      <c r="J3638" s="846"/>
      <c r="K3638" s="846"/>
      <c r="L3638" s="846"/>
      <c r="M3638" s="846"/>
      <c r="N3638" s="846"/>
      <c r="O3638" s="846"/>
      <c r="P3638" s="846"/>
      <c r="Q3638" s="846"/>
      <c r="R3638" s="846"/>
      <c r="S3638" s="846"/>
      <c r="T3638" s="846"/>
    </row>
    <row r="3639" spans="2:20" ht="25.5" hidden="1">
      <c r="B3639" s="828" t="s">
        <v>6547</v>
      </c>
      <c r="C3639" s="828">
        <v>89364</v>
      </c>
      <c r="D3639" s="630" t="s">
        <v>7868</v>
      </c>
      <c r="E3639" s="630" t="s">
        <v>646</v>
      </c>
      <c r="F3639" s="829">
        <v>7.01</v>
      </c>
      <c r="G3639" s="830">
        <v>6.52</v>
      </c>
      <c r="H3639" s="831">
        <v>13.53</v>
      </c>
      <c r="I3639" s="846"/>
      <c r="J3639" s="846"/>
      <c r="K3639" s="846"/>
      <c r="L3639" s="846"/>
      <c r="M3639" s="846"/>
      <c r="N3639" s="846"/>
      <c r="O3639" s="846"/>
      <c r="P3639" s="846"/>
      <c r="Q3639" s="846"/>
      <c r="R3639" s="846"/>
      <c r="S3639" s="846"/>
      <c r="T3639" s="846"/>
    </row>
    <row r="3640" spans="2:20" ht="25.5" hidden="1">
      <c r="B3640" s="828" t="s">
        <v>6547</v>
      </c>
      <c r="C3640" s="828">
        <v>89365</v>
      </c>
      <c r="D3640" s="630" t="s">
        <v>7869</v>
      </c>
      <c r="E3640" s="630" t="s">
        <v>646</v>
      </c>
      <c r="F3640" s="829">
        <v>6.08</v>
      </c>
      <c r="G3640" s="830">
        <v>6.54</v>
      </c>
      <c r="H3640" s="831">
        <v>12.62</v>
      </c>
      <c r="I3640" s="846"/>
      <c r="J3640" s="846"/>
      <c r="K3640" s="846"/>
      <c r="L3640" s="846"/>
      <c r="M3640" s="846"/>
      <c r="N3640" s="846"/>
      <c r="O3640" s="846"/>
      <c r="P3640" s="846"/>
      <c r="Q3640" s="846"/>
      <c r="R3640" s="846"/>
      <c r="S3640" s="846"/>
      <c r="T3640" s="846"/>
    </row>
    <row r="3641" spans="2:20" ht="38.25" hidden="1">
      <c r="B3641" s="828" t="s">
        <v>6547</v>
      </c>
      <c r="C3641" s="828">
        <v>89366</v>
      </c>
      <c r="D3641" s="630" t="s">
        <v>7870</v>
      </c>
      <c r="E3641" s="630" t="s">
        <v>646</v>
      </c>
      <c r="F3641" s="829">
        <v>12.1</v>
      </c>
      <c r="G3641" s="830">
        <v>6.06</v>
      </c>
      <c r="H3641" s="831">
        <v>18.16</v>
      </c>
      <c r="I3641" s="846"/>
      <c r="J3641" s="846"/>
      <c r="K3641" s="846"/>
      <c r="L3641" s="846"/>
      <c r="M3641" s="846"/>
      <c r="N3641" s="846"/>
      <c r="O3641" s="846"/>
      <c r="P3641" s="846"/>
      <c r="Q3641" s="846"/>
      <c r="R3641" s="846"/>
      <c r="S3641" s="846"/>
      <c r="T3641" s="846"/>
    </row>
    <row r="3642" spans="2:20" ht="25.5" hidden="1">
      <c r="B3642" s="828" t="s">
        <v>6547</v>
      </c>
      <c r="C3642" s="828">
        <v>89367</v>
      </c>
      <c r="D3642" s="630" t="s">
        <v>7871</v>
      </c>
      <c r="E3642" s="630" t="s">
        <v>646</v>
      </c>
      <c r="F3642" s="829">
        <v>6.63</v>
      </c>
      <c r="G3642" s="830">
        <v>7.78</v>
      </c>
      <c r="H3642" s="831">
        <v>14.41</v>
      </c>
      <c r="I3642" s="846"/>
      <c r="J3642" s="846"/>
      <c r="K3642" s="846"/>
      <c r="L3642" s="846"/>
      <c r="M3642" s="846"/>
      <c r="N3642" s="846"/>
      <c r="O3642" s="846"/>
      <c r="P3642" s="846"/>
      <c r="Q3642" s="846"/>
      <c r="R3642" s="846"/>
      <c r="S3642" s="846"/>
      <c r="T3642" s="846"/>
    </row>
    <row r="3643" spans="2:20" ht="25.5" hidden="1">
      <c r="B3643" s="828" t="s">
        <v>6547</v>
      </c>
      <c r="C3643" s="828">
        <v>89368</v>
      </c>
      <c r="D3643" s="630" t="s">
        <v>7872</v>
      </c>
      <c r="E3643" s="630" t="s">
        <v>646</v>
      </c>
      <c r="F3643" s="829">
        <v>9.4</v>
      </c>
      <c r="G3643" s="830">
        <v>7.77</v>
      </c>
      <c r="H3643" s="831">
        <v>17.170000000000002</v>
      </c>
      <c r="I3643" s="846"/>
      <c r="J3643" s="846"/>
      <c r="K3643" s="846"/>
      <c r="L3643" s="846"/>
      <c r="M3643" s="846"/>
      <c r="N3643" s="846"/>
      <c r="O3643" s="846"/>
      <c r="P3643" s="846"/>
      <c r="Q3643" s="846"/>
      <c r="R3643" s="846"/>
      <c r="S3643" s="846"/>
      <c r="T3643" s="846"/>
    </row>
    <row r="3644" spans="2:20" ht="25.5" hidden="1">
      <c r="B3644" s="828" t="s">
        <v>6547</v>
      </c>
      <c r="C3644" s="828">
        <v>89369</v>
      </c>
      <c r="D3644" s="630" t="s">
        <v>7873</v>
      </c>
      <c r="E3644" s="630" t="s">
        <v>646</v>
      </c>
      <c r="F3644" s="829">
        <v>12.83</v>
      </c>
      <c r="G3644" s="830">
        <v>7.76</v>
      </c>
      <c r="H3644" s="831">
        <v>20.59</v>
      </c>
      <c r="I3644" s="846"/>
      <c r="J3644" s="846"/>
      <c r="K3644" s="846"/>
      <c r="L3644" s="846"/>
      <c r="M3644" s="846"/>
      <c r="N3644" s="846"/>
      <c r="O3644" s="846"/>
      <c r="P3644" s="846"/>
      <c r="Q3644" s="846"/>
      <c r="R3644" s="846"/>
      <c r="S3644" s="846"/>
      <c r="T3644" s="846"/>
    </row>
    <row r="3645" spans="2:20" ht="25.5" hidden="1">
      <c r="B3645" s="828" t="s">
        <v>6547</v>
      </c>
      <c r="C3645" s="828">
        <v>89370</v>
      </c>
      <c r="D3645" s="630" t="s">
        <v>7874</v>
      </c>
      <c r="E3645" s="630" t="s">
        <v>646</v>
      </c>
      <c r="F3645" s="829">
        <v>8.82</v>
      </c>
      <c r="G3645" s="830">
        <v>7.77</v>
      </c>
      <c r="H3645" s="831">
        <v>16.59</v>
      </c>
      <c r="I3645" s="846"/>
      <c r="J3645" s="846"/>
      <c r="K3645" s="846"/>
      <c r="L3645" s="846"/>
      <c r="M3645" s="846"/>
      <c r="N3645" s="846"/>
      <c r="O3645" s="846"/>
      <c r="P3645" s="846"/>
      <c r="Q3645" s="846"/>
      <c r="R3645" s="846"/>
      <c r="S3645" s="846"/>
      <c r="T3645" s="846"/>
    </row>
    <row r="3646" spans="2:20" ht="25.5" hidden="1">
      <c r="B3646" s="828" t="s">
        <v>6547</v>
      </c>
      <c r="C3646" s="828">
        <v>89371</v>
      </c>
      <c r="D3646" s="630" t="s">
        <v>7875</v>
      </c>
      <c r="E3646" s="630" t="s">
        <v>646</v>
      </c>
      <c r="F3646" s="829">
        <v>2.73</v>
      </c>
      <c r="G3646" s="830">
        <v>3.78</v>
      </c>
      <c r="H3646" s="831">
        <v>6.51</v>
      </c>
      <c r="I3646" s="846"/>
      <c r="J3646" s="846"/>
      <c r="K3646" s="846"/>
      <c r="L3646" s="846"/>
      <c r="M3646" s="846"/>
      <c r="N3646" s="846"/>
      <c r="O3646" s="846"/>
      <c r="P3646" s="846"/>
      <c r="Q3646" s="846"/>
      <c r="R3646" s="846"/>
      <c r="S3646" s="846"/>
      <c r="T3646" s="846"/>
    </row>
    <row r="3647" spans="2:20" ht="25.5" hidden="1">
      <c r="B3647" s="828" t="s">
        <v>6547</v>
      </c>
      <c r="C3647" s="828">
        <v>89372</v>
      </c>
      <c r="D3647" s="630" t="s">
        <v>7876</v>
      </c>
      <c r="E3647" s="630" t="s">
        <v>646</v>
      </c>
      <c r="F3647" s="829">
        <v>11.87</v>
      </c>
      <c r="G3647" s="830">
        <v>3.74</v>
      </c>
      <c r="H3647" s="831">
        <v>15.61</v>
      </c>
      <c r="I3647" s="846"/>
      <c r="J3647" s="846"/>
      <c r="K3647" s="846"/>
      <c r="L3647" s="846"/>
      <c r="M3647" s="846"/>
      <c r="N3647" s="846"/>
      <c r="O3647" s="846"/>
      <c r="P3647" s="846"/>
      <c r="Q3647" s="846"/>
      <c r="R3647" s="846"/>
      <c r="S3647" s="846"/>
      <c r="T3647" s="846"/>
    </row>
    <row r="3648" spans="2:20" ht="38.25" hidden="1">
      <c r="B3648" s="828" t="s">
        <v>6547</v>
      </c>
      <c r="C3648" s="828">
        <v>89373</v>
      </c>
      <c r="D3648" s="630" t="s">
        <v>7877</v>
      </c>
      <c r="E3648" s="630" t="s">
        <v>646</v>
      </c>
      <c r="F3648" s="829">
        <v>3.81</v>
      </c>
      <c r="G3648" s="830">
        <v>4.07</v>
      </c>
      <c r="H3648" s="831">
        <v>7.88</v>
      </c>
      <c r="I3648" s="846"/>
      <c r="J3648" s="846"/>
      <c r="K3648" s="846"/>
      <c r="L3648" s="846"/>
      <c r="M3648" s="846"/>
      <c r="N3648" s="846"/>
      <c r="O3648" s="846"/>
      <c r="P3648" s="846"/>
      <c r="Q3648" s="846"/>
      <c r="R3648" s="846"/>
      <c r="S3648" s="846"/>
      <c r="T3648" s="846"/>
    </row>
    <row r="3649" spans="2:20" ht="38.25" hidden="1">
      <c r="B3649" s="828" t="s">
        <v>6547</v>
      </c>
      <c r="C3649" s="828">
        <v>89374</v>
      </c>
      <c r="D3649" s="630" t="s">
        <v>7878</v>
      </c>
      <c r="E3649" s="630" t="s">
        <v>646</v>
      </c>
      <c r="F3649" s="829">
        <v>8.44</v>
      </c>
      <c r="G3649" s="830">
        <v>3.45</v>
      </c>
      <c r="H3649" s="831">
        <v>11.89</v>
      </c>
      <c r="I3649" s="846"/>
      <c r="J3649" s="846"/>
      <c r="K3649" s="846"/>
      <c r="L3649" s="846"/>
      <c r="M3649" s="846"/>
      <c r="N3649" s="846"/>
      <c r="O3649" s="846"/>
      <c r="P3649" s="846"/>
      <c r="Q3649" s="846"/>
      <c r="R3649" s="846"/>
      <c r="S3649" s="846"/>
      <c r="T3649" s="846"/>
    </row>
    <row r="3650" spans="2:20" ht="25.5" hidden="1">
      <c r="B3650" s="828" t="s">
        <v>6547</v>
      </c>
      <c r="C3650" s="828">
        <v>89375</v>
      </c>
      <c r="D3650" s="630" t="s">
        <v>7879</v>
      </c>
      <c r="E3650" s="630" t="s">
        <v>646</v>
      </c>
      <c r="F3650" s="829">
        <v>11.51</v>
      </c>
      <c r="G3650" s="830">
        <v>3.74</v>
      </c>
      <c r="H3650" s="831">
        <v>15.25</v>
      </c>
      <c r="I3650" s="846"/>
      <c r="J3650" s="846"/>
      <c r="K3650" s="846"/>
      <c r="L3650" s="846"/>
      <c r="M3650" s="846"/>
      <c r="N3650" s="846"/>
      <c r="O3650" s="846"/>
      <c r="P3650" s="846"/>
      <c r="Q3650" s="846"/>
      <c r="R3650" s="846"/>
      <c r="S3650" s="846"/>
      <c r="T3650" s="846"/>
    </row>
    <row r="3651" spans="2:20" ht="38.25" hidden="1">
      <c r="B3651" s="828" t="s">
        <v>6547</v>
      </c>
      <c r="C3651" s="828">
        <v>89376</v>
      </c>
      <c r="D3651" s="630" t="s">
        <v>7880</v>
      </c>
      <c r="E3651" s="630" t="s">
        <v>646</v>
      </c>
      <c r="F3651" s="829">
        <v>2.75</v>
      </c>
      <c r="G3651" s="830">
        <v>3.47</v>
      </c>
      <c r="H3651" s="831">
        <v>6.22</v>
      </c>
      <c r="I3651" s="846"/>
      <c r="J3651" s="846"/>
      <c r="K3651" s="846"/>
      <c r="L3651" s="846"/>
      <c r="M3651" s="846"/>
      <c r="N3651" s="846"/>
      <c r="O3651" s="846"/>
      <c r="P3651" s="846"/>
      <c r="Q3651" s="846"/>
      <c r="R3651" s="846"/>
      <c r="S3651" s="846"/>
      <c r="T3651" s="846"/>
    </row>
    <row r="3652" spans="2:20" ht="38.25" hidden="1">
      <c r="B3652" s="828" t="s">
        <v>6547</v>
      </c>
      <c r="C3652" s="828">
        <v>89377</v>
      </c>
      <c r="D3652" s="630" t="s">
        <v>7881</v>
      </c>
      <c r="E3652" s="630" t="s">
        <v>646</v>
      </c>
      <c r="F3652" s="829">
        <v>7.25</v>
      </c>
      <c r="G3652" s="830">
        <v>3.75</v>
      </c>
      <c r="H3652" s="831">
        <v>11</v>
      </c>
      <c r="I3652" s="846"/>
      <c r="J3652" s="846"/>
      <c r="K3652" s="846"/>
      <c r="L3652" s="846"/>
      <c r="M3652" s="846"/>
      <c r="N3652" s="846"/>
      <c r="O3652" s="846"/>
      <c r="P3652" s="846"/>
      <c r="Q3652" s="846"/>
      <c r="R3652" s="846"/>
      <c r="S3652" s="846"/>
      <c r="T3652" s="846"/>
    </row>
    <row r="3653" spans="2:20" ht="25.5" hidden="1">
      <c r="B3653" s="828" t="s">
        <v>6547</v>
      </c>
      <c r="C3653" s="828">
        <v>89378</v>
      </c>
      <c r="D3653" s="630" t="s">
        <v>7882</v>
      </c>
      <c r="E3653" s="630" t="s">
        <v>646</v>
      </c>
      <c r="F3653" s="829">
        <v>3.43</v>
      </c>
      <c r="G3653" s="830">
        <v>4.3600000000000003</v>
      </c>
      <c r="H3653" s="831">
        <v>7.79</v>
      </c>
      <c r="I3653" s="846"/>
      <c r="J3653" s="846"/>
      <c r="K3653" s="846"/>
      <c r="L3653" s="846"/>
      <c r="M3653" s="846"/>
      <c r="N3653" s="846"/>
      <c r="O3653" s="846"/>
      <c r="P3653" s="846"/>
      <c r="Q3653" s="846"/>
      <c r="R3653" s="846"/>
      <c r="S3653" s="846"/>
      <c r="T3653" s="846"/>
    </row>
    <row r="3654" spans="2:20" ht="25.5" hidden="1">
      <c r="B3654" s="828" t="s">
        <v>6547</v>
      </c>
      <c r="C3654" s="828">
        <v>89379</v>
      </c>
      <c r="D3654" s="630" t="s">
        <v>1356</v>
      </c>
      <c r="E3654" s="630" t="s">
        <v>646</v>
      </c>
      <c r="F3654" s="829">
        <v>15.6</v>
      </c>
      <c r="G3654" s="830">
        <v>4.33</v>
      </c>
      <c r="H3654" s="831">
        <v>19.93</v>
      </c>
      <c r="I3654" s="846"/>
      <c r="J3654" s="846"/>
      <c r="K3654" s="846"/>
      <c r="L3654" s="846"/>
      <c r="M3654" s="846"/>
      <c r="N3654" s="846"/>
      <c r="O3654" s="846"/>
      <c r="P3654" s="846"/>
      <c r="Q3654" s="846"/>
      <c r="R3654" s="846"/>
      <c r="S3654" s="846"/>
      <c r="T3654" s="846"/>
    </row>
    <row r="3655" spans="2:20" ht="38.25" hidden="1">
      <c r="B3655" s="828" t="s">
        <v>6547</v>
      </c>
      <c r="C3655" s="828">
        <v>89380</v>
      </c>
      <c r="D3655" s="630" t="s">
        <v>7883</v>
      </c>
      <c r="E3655" s="630" t="s">
        <v>646</v>
      </c>
      <c r="F3655" s="829">
        <v>7.52</v>
      </c>
      <c r="G3655" s="830">
        <v>4.76</v>
      </c>
      <c r="H3655" s="831">
        <v>12.28</v>
      </c>
      <c r="I3655" s="846"/>
      <c r="J3655" s="846"/>
      <c r="K3655" s="846"/>
      <c r="L3655" s="846"/>
      <c r="M3655" s="846"/>
      <c r="N3655" s="846"/>
      <c r="O3655" s="846"/>
      <c r="P3655" s="846"/>
      <c r="Q3655" s="846"/>
      <c r="R3655" s="846"/>
      <c r="S3655" s="846"/>
      <c r="T3655" s="846"/>
    </row>
    <row r="3656" spans="2:20" ht="38.25" hidden="1">
      <c r="B3656" s="828" t="s">
        <v>6547</v>
      </c>
      <c r="C3656" s="828">
        <v>89381</v>
      </c>
      <c r="D3656" s="630" t="s">
        <v>7884</v>
      </c>
      <c r="E3656" s="630" t="s">
        <v>646</v>
      </c>
      <c r="F3656" s="829">
        <v>10.87</v>
      </c>
      <c r="G3656" s="830">
        <v>4.04</v>
      </c>
      <c r="H3656" s="831">
        <v>14.91</v>
      </c>
      <c r="I3656" s="846"/>
      <c r="J3656" s="846"/>
      <c r="K3656" s="846"/>
      <c r="L3656" s="846"/>
      <c r="M3656" s="846"/>
      <c r="N3656" s="846"/>
      <c r="O3656" s="846"/>
      <c r="P3656" s="846"/>
      <c r="Q3656" s="846"/>
      <c r="R3656" s="846"/>
      <c r="S3656" s="846"/>
      <c r="T3656" s="846"/>
    </row>
    <row r="3657" spans="2:20" ht="25.5" hidden="1">
      <c r="B3657" s="828" t="s">
        <v>6547</v>
      </c>
      <c r="C3657" s="828">
        <v>89382</v>
      </c>
      <c r="D3657" s="630" t="s">
        <v>7885</v>
      </c>
      <c r="E3657" s="630" t="s">
        <v>646</v>
      </c>
      <c r="F3657" s="829">
        <v>13.91</v>
      </c>
      <c r="G3657" s="830">
        <v>4.33</v>
      </c>
      <c r="H3657" s="831">
        <v>18.239999999999998</v>
      </c>
      <c r="I3657" s="846"/>
      <c r="J3657" s="846"/>
      <c r="K3657" s="846"/>
      <c r="L3657" s="846"/>
      <c r="M3657" s="846"/>
      <c r="N3657" s="846"/>
      <c r="O3657" s="846"/>
      <c r="P3657" s="846"/>
      <c r="Q3657" s="846"/>
      <c r="R3657" s="846"/>
      <c r="S3657" s="846"/>
      <c r="T3657" s="846"/>
    </row>
    <row r="3658" spans="2:20" ht="38.25" hidden="1">
      <c r="B3658" s="828" t="s">
        <v>6547</v>
      </c>
      <c r="C3658" s="828">
        <v>89383</v>
      </c>
      <c r="D3658" s="630" t="s">
        <v>7886</v>
      </c>
      <c r="E3658" s="630" t="s">
        <v>646</v>
      </c>
      <c r="F3658" s="829">
        <v>3.29</v>
      </c>
      <c r="G3658" s="830">
        <v>4.07</v>
      </c>
      <c r="H3658" s="831">
        <v>7.36</v>
      </c>
      <c r="I3658" s="846"/>
      <c r="J3658" s="846"/>
      <c r="K3658" s="846"/>
      <c r="L3658" s="846"/>
      <c r="M3658" s="846"/>
      <c r="N3658" s="846"/>
      <c r="O3658" s="846"/>
      <c r="P3658" s="846"/>
      <c r="Q3658" s="846"/>
      <c r="R3658" s="846"/>
      <c r="S3658" s="846"/>
      <c r="T3658" s="846"/>
    </row>
    <row r="3659" spans="2:20" ht="38.25" hidden="1">
      <c r="B3659" s="828" t="s">
        <v>6547</v>
      </c>
      <c r="C3659" s="828">
        <v>89384</v>
      </c>
      <c r="D3659" s="630" t="s">
        <v>7887</v>
      </c>
      <c r="E3659" s="630" t="s">
        <v>646</v>
      </c>
      <c r="F3659" s="829">
        <v>11.34</v>
      </c>
      <c r="G3659" s="830">
        <v>4.33</v>
      </c>
      <c r="H3659" s="831">
        <v>15.67</v>
      </c>
      <c r="I3659" s="846"/>
      <c r="J3659" s="846"/>
      <c r="K3659" s="846"/>
      <c r="L3659" s="846"/>
      <c r="M3659" s="846"/>
      <c r="N3659" s="846"/>
      <c r="O3659" s="846"/>
      <c r="P3659" s="846"/>
      <c r="Q3659" s="846"/>
      <c r="R3659" s="846"/>
      <c r="S3659" s="846"/>
      <c r="T3659" s="846"/>
    </row>
    <row r="3660" spans="2:20" ht="38.25" hidden="1">
      <c r="B3660" s="828" t="s">
        <v>6547</v>
      </c>
      <c r="C3660" s="828">
        <v>89385</v>
      </c>
      <c r="D3660" s="630" t="s">
        <v>7888</v>
      </c>
      <c r="E3660" s="630" t="s">
        <v>646</v>
      </c>
      <c r="F3660" s="829">
        <v>4.2699999999999996</v>
      </c>
      <c r="G3660" s="830">
        <v>4.05</v>
      </c>
      <c r="H3660" s="831">
        <v>8.32</v>
      </c>
      <c r="I3660" s="846"/>
      <c r="J3660" s="846"/>
      <c r="K3660" s="846"/>
      <c r="L3660" s="846"/>
      <c r="M3660" s="846"/>
      <c r="N3660" s="846"/>
      <c r="O3660" s="846"/>
      <c r="P3660" s="846"/>
      <c r="Q3660" s="846"/>
      <c r="R3660" s="846"/>
      <c r="S3660" s="846"/>
      <c r="T3660" s="846"/>
    </row>
    <row r="3661" spans="2:20" ht="25.5" hidden="1">
      <c r="B3661" s="828" t="s">
        <v>6547</v>
      </c>
      <c r="C3661" s="828">
        <v>89386</v>
      </c>
      <c r="D3661" s="630" t="s">
        <v>7889</v>
      </c>
      <c r="E3661" s="630" t="s">
        <v>646</v>
      </c>
      <c r="F3661" s="829">
        <v>5.56</v>
      </c>
      <c r="G3661" s="830">
        <v>5.2</v>
      </c>
      <c r="H3661" s="831">
        <v>10.76</v>
      </c>
      <c r="I3661" s="846"/>
      <c r="J3661" s="846"/>
      <c r="K3661" s="846"/>
      <c r="L3661" s="846"/>
      <c r="M3661" s="846"/>
      <c r="N3661" s="846"/>
      <c r="O3661" s="846"/>
      <c r="P3661" s="846"/>
      <c r="Q3661" s="846"/>
      <c r="R3661" s="846"/>
      <c r="S3661" s="846"/>
      <c r="T3661" s="846"/>
    </row>
    <row r="3662" spans="2:20" ht="25.5" hidden="1">
      <c r="B3662" s="828" t="s">
        <v>6547</v>
      </c>
      <c r="C3662" s="828">
        <v>89387</v>
      </c>
      <c r="D3662" s="630" t="s">
        <v>7890</v>
      </c>
      <c r="E3662" s="630" t="s">
        <v>646</v>
      </c>
      <c r="F3662" s="829">
        <v>34.54</v>
      </c>
      <c r="G3662" s="830">
        <v>5.18</v>
      </c>
      <c r="H3662" s="831">
        <v>39.72</v>
      </c>
      <c r="I3662" s="846"/>
      <c r="J3662" s="846"/>
      <c r="K3662" s="846"/>
      <c r="L3662" s="846"/>
      <c r="M3662" s="846"/>
      <c r="N3662" s="846"/>
      <c r="O3662" s="846"/>
      <c r="P3662" s="846"/>
      <c r="Q3662" s="846"/>
      <c r="R3662" s="846"/>
      <c r="S3662" s="846"/>
      <c r="T3662" s="846"/>
    </row>
    <row r="3663" spans="2:20" ht="38.25" hidden="1">
      <c r="B3663" s="828" t="s">
        <v>6547</v>
      </c>
      <c r="C3663" s="828">
        <v>89389</v>
      </c>
      <c r="D3663" s="630" t="s">
        <v>7891</v>
      </c>
      <c r="E3663" s="630" t="s">
        <v>646</v>
      </c>
      <c r="F3663" s="829">
        <v>9.66</v>
      </c>
      <c r="G3663" s="830">
        <v>4.75</v>
      </c>
      <c r="H3663" s="831">
        <v>14.41</v>
      </c>
      <c r="I3663" s="846"/>
      <c r="J3663" s="846"/>
      <c r="K3663" s="846"/>
      <c r="L3663" s="846"/>
      <c r="M3663" s="846"/>
      <c r="N3663" s="846"/>
      <c r="O3663" s="846"/>
      <c r="P3663" s="846"/>
      <c r="Q3663" s="846"/>
      <c r="R3663" s="846"/>
      <c r="S3663" s="846"/>
      <c r="T3663" s="846"/>
    </row>
    <row r="3664" spans="2:20" ht="25.5" hidden="1">
      <c r="B3664" s="828" t="s">
        <v>6547</v>
      </c>
      <c r="C3664" s="828">
        <v>89390</v>
      </c>
      <c r="D3664" s="630" t="s">
        <v>7892</v>
      </c>
      <c r="E3664" s="630" t="s">
        <v>646</v>
      </c>
      <c r="F3664" s="829">
        <v>21.91</v>
      </c>
      <c r="G3664" s="830">
        <v>5.18</v>
      </c>
      <c r="H3664" s="831">
        <v>27.09</v>
      </c>
      <c r="I3664" s="846"/>
      <c r="J3664" s="846"/>
      <c r="K3664" s="846"/>
      <c r="L3664" s="846"/>
      <c r="M3664" s="846"/>
      <c r="N3664" s="846"/>
      <c r="O3664" s="846"/>
      <c r="P3664" s="846"/>
      <c r="Q3664" s="846"/>
      <c r="R3664" s="846"/>
      <c r="S3664" s="846"/>
      <c r="T3664" s="846"/>
    </row>
    <row r="3665" spans="2:20" ht="38.25" hidden="1">
      <c r="B3665" s="828" t="s">
        <v>6547</v>
      </c>
      <c r="C3665" s="828">
        <v>89391</v>
      </c>
      <c r="D3665" s="630" t="s">
        <v>7893</v>
      </c>
      <c r="E3665" s="630" t="s">
        <v>646</v>
      </c>
      <c r="F3665" s="829">
        <v>5.1100000000000003</v>
      </c>
      <c r="G3665" s="830">
        <v>4.7699999999999996</v>
      </c>
      <c r="H3665" s="831">
        <v>9.8800000000000008</v>
      </c>
      <c r="I3665" s="846"/>
      <c r="J3665" s="846"/>
      <c r="K3665" s="846"/>
      <c r="L3665" s="846"/>
      <c r="M3665" s="846"/>
      <c r="N3665" s="846"/>
      <c r="O3665" s="846"/>
      <c r="P3665" s="846"/>
      <c r="Q3665" s="846"/>
      <c r="R3665" s="846"/>
      <c r="S3665" s="846"/>
      <c r="T3665" s="846"/>
    </row>
    <row r="3666" spans="2:20" ht="38.25" hidden="1">
      <c r="B3666" s="828" t="s">
        <v>6547</v>
      </c>
      <c r="C3666" s="828">
        <v>89392</v>
      </c>
      <c r="D3666" s="630" t="s">
        <v>7894</v>
      </c>
      <c r="E3666" s="630" t="s">
        <v>646</v>
      </c>
      <c r="F3666" s="829">
        <v>26.9</v>
      </c>
      <c r="G3666" s="830">
        <v>5.18</v>
      </c>
      <c r="H3666" s="831">
        <v>32.08</v>
      </c>
      <c r="I3666" s="846"/>
      <c r="J3666" s="846"/>
      <c r="K3666" s="846"/>
      <c r="L3666" s="846"/>
      <c r="M3666" s="846"/>
      <c r="N3666" s="846"/>
      <c r="O3666" s="846"/>
      <c r="P3666" s="846"/>
      <c r="Q3666" s="846"/>
      <c r="R3666" s="846"/>
      <c r="S3666" s="846"/>
      <c r="T3666" s="846"/>
    </row>
    <row r="3667" spans="2:20" ht="25.5" hidden="1">
      <c r="B3667" s="828" t="s">
        <v>6547</v>
      </c>
      <c r="C3667" s="828">
        <v>89393</v>
      </c>
      <c r="D3667" s="630" t="s">
        <v>7895</v>
      </c>
      <c r="E3667" s="630" t="s">
        <v>646</v>
      </c>
      <c r="F3667" s="829">
        <v>4.63</v>
      </c>
      <c r="G3667" s="830">
        <v>7.51</v>
      </c>
      <c r="H3667" s="831">
        <v>12.14</v>
      </c>
      <c r="I3667" s="846"/>
      <c r="J3667" s="846"/>
      <c r="K3667" s="846"/>
      <c r="L3667" s="846"/>
      <c r="M3667" s="846"/>
      <c r="N3667" s="846"/>
      <c r="O3667" s="846"/>
      <c r="P3667" s="846"/>
      <c r="Q3667" s="846"/>
      <c r="R3667" s="846"/>
      <c r="S3667" s="846"/>
      <c r="T3667" s="846"/>
    </row>
    <row r="3668" spans="2:20" ht="38.25" hidden="1">
      <c r="B3668" s="828" t="s">
        <v>6547</v>
      </c>
      <c r="C3668" s="828">
        <v>89394</v>
      </c>
      <c r="D3668" s="630" t="s">
        <v>7896</v>
      </c>
      <c r="E3668" s="630" t="s">
        <v>646</v>
      </c>
      <c r="F3668" s="829">
        <v>15.85</v>
      </c>
      <c r="G3668" s="830">
        <v>6.89</v>
      </c>
      <c r="H3668" s="831">
        <v>22.74</v>
      </c>
      <c r="I3668" s="846"/>
      <c r="J3668" s="846"/>
      <c r="K3668" s="846"/>
      <c r="L3668" s="846"/>
      <c r="M3668" s="846"/>
      <c r="N3668" s="846"/>
      <c r="O3668" s="846"/>
      <c r="P3668" s="846"/>
      <c r="Q3668" s="846"/>
      <c r="R3668" s="846"/>
      <c r="S3668" s="846"/>
      <c r="T3668" s="846"/>
    </row>
    <row r="3669" spans="2:20" ht="25.5" hidden="1">
      <c r="B3669" s="828" t="s">
        <v>6547</v>
      </c>
      <c r="C3669" s="828">
        <v>89395</v>
      </c>
      <c r="D3669" s="630" t="s">
        <v>7897</v>
      </c>
      <c r="E3669" s="630" t="s">
        <v>646</v>
      </c>
      <c r="F3669" s="829">
        <v>5.86</v>
      </c>
      <c r="G3669" s="830">
        <v>8.6999999999999993</v>
      </c>
      <c r="H3669" s="831">
        <v>14.56</v>
      </c>
      <c r="I3669" s="846"/>
      <c r="J3669" s="846"/>
      <c r="K3669" s="846"/>
      <c r="L3669" s="846"/>
      <c r="M3669" s="846"/>
      <c r="N3669" s="846"/>
      <c r="O3669" s="846"/>
      <c r="P3669" s="846"/>
      <c r="Q3669" s="846"/>
      <c r="R3669" s="846"/>
      <c r="S3669" s="846"/>
      <c r="T3669" s="846"/>
    </row>
    <row r="3670" spans="2:20" ht="38.25" hidden="1">
      <c r="B3670" s="828" t="s">
        <v>6547</v>
      </c>
      <c r="C3670" s="828">
        <v>89396</v>
      </c>
      <c r="D3670" s="630" t="s">
        <v>7898</v>
      </c>
      <c r="E3670" s="630" t="s">
        <v>646</v>
      </c>
      <c r="F3670" s="829">
        <v>15.02</v>
      </c>
      <c r="G3670" s="830">
        <v>7.48</v>
      </c>
      <c r="H3670" s="831">
        <v>22.5</v>
      </c>
      <c r="I3670" s="846"/>
      <c r="J3670" s="846"/>
      <c r="K3670" s="846"/>
      <c r="L3670" s="846"/>
      <c r="M3670" s="846"/>
      <c r="N3670" s="846"/>
      <c r="O3670" s="846"/>
      <c r="P3670" s="846"/>
      <c r="Q3670" s="846"/>
      <c r="R3670" s="846"/>
      <c r="S3670" s="846"/>
      <c r="T3670" s="846"/>
    </row>
    <row r="3671" spans="2:20" ht="25.5" hidden="1">
      <c r="B3671" s="828" t="s">
        <v>6547</v>
      </c>
      <c r="C3671" s="828">
        <v>89397</v>
      </c>
      <c r="D3671" s="630" t="s">
        <v>7899</v>
      </c>
      <c r="E3671" s="630" t="s">
        <v>646</v>
      </c>
      <c r="F3671" s="829">
        <v>8.0500000000000007</v>
      </c>
      <c r="G3671" s="830">
        <v>8.1</v>
      </c>
      <c r="H3671" s="831">
        <v>16.149999999999999</v>
      </c>
      <c r="I3671" s="846"/>
      <c r="J3671" s="846"/>
      <c r="K3671" s="846"/>
      <c r="L3671" s="846"/>
      <c r="M3671" s="846"/>
      <c r="N3671" s="846"/>
      <c r="O3671" s="846"/>
      <c r="P3671" s="846"/>
      <c r="Q3671" s="846"/>
      <c r="R3671" s="846"/>
      <c r="S3671" s="846"/>
      <c r="T3671" s="846"/>
    </row>
    <row r="3672" spans="2:20" ht="25.5" hidden="1">
      <c r="B3672" s="828" t="s">
        <v>6547</v>
      </c>
      <c r="C3672" s="828">
        <v>89398</v>
      </c>
      <c r="D3672" s="630" t="s">
        <v>7900</v>
      </c>
      <c r="E3672" s="630" t="s">
        <v>646</v>
      </c>
      <c r="F3672" s="829">
        <v>10.71</v>
      </c>
      <c r="G3672" s="830">
        <v>10.37</v>
      </c>
      <c r="H3672" s="831">
        <v>21.08</v>
      </c>
      <c r="I3672" s="846"/>
      <c r="J3672" s="846"/>
      <c r="K3672" s="846"/>
      <c r="L3672" s="846"/>
      <c r="M3672" s="846"/>
      <c r="N3672" s="846"/>
      <c r="O3672" s="846"/>
      <c r="P3672" s="846"/>
      <c r="Q3672" s="846"/>
      <c r="R3672" s="846"/>
      <c r="S3672" s="846"/>
      <c r="T3672" s="846"/>
    </row>
    <row r="3673" spans="2:20" ht="38.25" hidden="1">
      <c r="B3673" s="828" t="s">
        <v>6547</v>
      </c>
      <c r="C3673" s="828">
        <v>89399</v>
      </c>
      <c r="D3673" s="630" t="s">
        <v>7901</v>
      </c>
      <c r="E3673" s="630" t="s">
        <v>646</v>
      </c>
      <c r="F3673" s="829">
        <v>26.15</v>
      </c>
      <c r="G3673" s="830">
        <v>8.49</v>
      </c>
      <c r="H3673" s="831">
        <v>34.64</v>
      </c>
      <c r="I3673" s="846"/>
      <c r="J3673" s="846"/>
      <c r="K3673" s="846"/>
      <c r="L3673" s="846"/>
      <c r="M3673" s="846"/>
      <c r="N3673" s="846"/>
      <c r="O3673" s="846"/>
      <c r="P3673" s="846"/>
      <c r="Q3673" s="846"/>
      <c r="R3673" s="846"/>
      <c r="S3673" s="846"/>
      <c r="T3673" s="846"/>
    </row>
    <row r="3674" spans="2:20" ht="25.5" hidden="1">
      <c r="B3674" s="828" t="s">
        <v>6547</v>
      </c>
      <c r="C3674" s="828">
        <v>89400</v>
      </c>
      <c r="D3674" s="630" t="s">
        <v>7902</v>
      </c>
      <c r="E3674" s="630" t="s">
        <v>646</v>
      </c>
      <c r="F3674" s="829">
        <v>12.74</v>
      </c>
      <c r="G3674" s="830">
        <v>9.5299999999999994</v>
      </c>
      <c r="H3674" s="831">
        <v>22.27</v>
      </c>
      <c r="I3674" s="846"/>
      <c r="J3674" s="846"/>
      <c r="K3674" s="846"/>
      <c r="L3674" s="846"/>
      <c r="M3674" s="846"/>
      <c r="N3674" s="846"/>
      <c r="O3674" s="846"/>
      <c r="P3674" s="846"/>
      <c r="Q3674" s="846"/>
      <c r="R3674" s="846"/>
      <c r="S3674" s="846"/>
      <c r="T3674" s="846"/>
    </row>
    <row r="3675" spans="2:20" ht="25.5" hidden="1">
      <c r="B3675" s="828" t="s">
        <v>6547</v>
      </c>
      <c r="C3675" s="828">
        <v>89404</v>
      </c>
      <c r="D3675" s="630" t="s">
        <v>7903</v>
      </c>
      <c r="E3675" s="630" t="s">
        <v>646</v>
      </c>
      <c r="F3675" s="829">
        <v>2.94</v>
      </c>
      <c r="G3675" s="830">
        <v>5.05</v>
      </c>
      <c r="H3675" s="831">
        <v>7.99</v>
      </c>
      <c r="I3675" s="846"/>
      <c r="J3675" s="846"/>
      <c r="K3675" s="846"/>
      <c r="L3675" s="846"/>
      <c r="M3675" s="846"/>
      <c r="N3675" s="846"/>
      <c r="O3675" s="846"/>
      <c r="P3675" s="846"/>
      <c r="Q3675" s="846"/>
      <c r="R3675" s="846"/>
      <c r="S3675" s="846"/>
      <c r="T3675" s="846"/>
    </row>
    <row r="3676" spans="2:20" ht="25.5" hidden="1">
      <c r="B3676" s="828" t="s">
        <v>6547</v>
      </c>
      <c r="C3676" s="828">
        <v>89405</v>
      </c>
      <c r="D3676" s="630" t="s">
        <v>7904</v>
      </c>
      <c r="E3676" s="630" t="s">
        <v>646</v>
      </c>
      <c r="F3676" s="829">
        <v>3.4</v>
      </c>
      <c r="G3676" s="830">
        <v>5.05</v>
      </c>
      <c r="H3676" s="831">
        <v>8.4499999999999993</v>
      </c>
      <c r="I3676" s="846"/>
      <c r="J3676" s="846"/>
      <c r="K3676" s="846"/>
      <c r="L3676" s="846"/>
      <c r="M3676" s="846"/>
      <c r="N3676" s="846"/>
      <c r="O3676" s="846"/>
      <c r="P3676" s="846"/>
      <c r="Q3676" s="846"/>
      <c r="R3676" s="846"/>
      <c r="S3676" s="846"/>
      <c r="T3676" s="846"/>
    </row>
    <row r="3677" spans="2:20" ht="25.5" hidden="1">
      <c r="B3677" s="828" t="s">
        <v>6547</v>
      </c>
      <c r="C3677" s="828">
        <v>89406</v>
      </c>
      <c r="D3677" s="630" t="s">
        <v>7905</v>
      </c>
      <c r="E3677" s="630" t="s">
        <v>646</v>
      </c>
      <c r="F3677" s="829">
        <v>5.35</v>
      </c>
      <c r="G3677" s="830">
        <v>5.03</v>
      </c>
      <c r="H3677" s="831">
        <v>10.38</v>
      </c>
      <c r="I3677" s="846"/>
      <c r="J3677" s="846"/>
      <c r="K3677" s="846"/>
      <c r="L3677" s="846"/>
      <c r="M3677" s="846"/>
      <c r="N3677" s="846"/>
      <c r="O3677" s="846"/>
      <c r="P3677" s="846"/>
      <c r="Q3677" s="846"/>
      <c r="R3677" s="846"/>
      <c r="S3677" s="846"/>
      <c r="T3677" s="846"/>
    </row>
    <row r="3678" spans="2:20" ht="25.5" hidden="1">
      <c r="B3678" s="828" t="s">
        <v>6547</v>
      </c>
      <c r="C3678" s="828">
        <v>89407</v>
      </c>
      <c r="D3678" s="630" t="s">
        <v>7906</v>
      </c>
      <c r="E3678" s="630" t="s">
        <v>646</v>
      </c>
      <c r="F3678" s="829">
        <v>4.58</v>
      </c>
      <c r="G3678" s="830">
        <v>5.04</v>
      </c>
      <c r="H3678" s="831">
        <v>9.6199999999999992</v>
      </c>
      <c r="I3678" s="846"/>
      <c r="J3678" s="846"/>
      <c r="K3678" s="846"/>
      <c r="L3678" s="846"/>
      <c r="M3678" s="846"/>
      <c r="N3678" s="846"/>
      <c r="O3678" s="846"/>
      <c r="P3678" s="846"/>
      <c r="Q3678" s="846"/>
      <c r="R3678" s="846"/>
      <c r="S3678" s="846"/>
      <c r="T3678" s="846"/>
    </row>
    <row r="3679" spans="2:20" ht="25.5" hidden="1">
      <c r="B3679" s="828" t="s">
        <v>6547</v>
      </c>
      <c r="C3679" s="828">
        <v>89408</v>
      </c>
      <c r="D3679" s="630" t="s">
        <v>7907</v>
      </c>
      <c r="E3679" s="630" t="s">
        <v>646</v>
      </c>
      <c r="F3679" s="829">
        <v>3.76</v>
      </c>
      <c r="G3679" s="830">
        <v>5.85</v>
      </c>
      <c r="H3679" s="831">
        <v>9.61</v>
      </c>
      <c r="I3679" s="846"/>
      <c r="J3679" s="846"/>
      <c r="K3679" s="846"/>
      <c r="L3679" s="846"/>
      <c r="M3679" s="846"/>
      <c r="N3679" s="846"/>
      <c r="O3679" s="846"/>
      <c r="P3679" s="846"/>
      <c r="Q3679" s="846"/>
      <c r="R3679" s="846"/>
      <c r="S3679" s="846"/>
      <c r="T3679" s="846"/>
    </row>
    <row r="3680" spans="2:20" ht="25.5" hidden="1">
      <c r="B3680" s="828" t="s">
        <v>6547</v>
      </c>
      <c r="C3680" s="828">
        <v>89409</v>
      </c>
      <c r="D3680" s="630" t="s">
        <v>7908</v>
      </c>
      <c r="E3680" s="630" t="s">
        <v>646</v>
      </c>
      <c r="F3680" s="829">
        <v>4.75</v>
      </c>
      <c r="G3680" s="830">
        <v>5.85</v>
      </c>
      <c r="H3680" s="831">
        <v>10.6</v>
      </c>
      <c r="I3680" s="846"/>
      <c r="J3680" s="846"/>
      <c r="K3680" s="846"/>
      <c r="L3680" s="846"/>
      <c r="M3680" s="846"/>
      <c r="N3680" s="846"/>
      <c r="O3680" s="846"/>
      <c r="P3680" s="846"/>
      <c r="Q3680" s="846"/>
      <c r="R3680" s="846"/>
      <c r="S3680" s="846"/>
      <c r="T3680" s="846"/>
    </row>
    <row r="3681" spans="2:20" ht="25.5" hidden="1">
      <c r="B3681" s="828" t="s">
        <v>6547</v>
      </c>
      <c r="C3681" s="828">
        <v>89410</v>
      </c>
      <c r="D3681" s="630" t="s">
        <v>7909</v>
      </c>
      <c r="E3681" s="630" t="s">
        <v>646</v>
      </c>
      <c r="F3681" s="829">
        <v>6.8</v>
      </c>
      <c r="G3681" s="830">
        <v>5.83</v>
      </c>
      <c r="H3681" s="831">
        <v>12.63</v>
      </c>
      <c r="I3681" s="846"/>
      <c r="J3681" s="846"/>
      <c r="K3681" s="846"/>
      <c r="L3681" s="846"/>
      <c r="M3681" s="846"/>
      <c r="N3681" s="846"/>
      <c r="O3681" s="846"/>
      <c r="P3681" s="846"/>
      <c r="Q3681" s="846"/>
      <c r="R3681" s="846"/>
      <c r="S3681" s="846"/>
      <c r="T3681" s="846"/>
    </row>
    <row r="3682" spans="2:20" ht="25.5" hidden="1">
      <c r="B3682" s="828" t="s">
        <v>6547</v>
      </c>
      <c r="C3682" s="828">
        <v>89411</v>
      </c>
      <c r="D3682" s="630" t="s">
        <v>7910</v>
      </c>
      <c r="E3682" s="630" t="s">
        <v>646</v>
      </c>
      <c r="F3682" s="829">
        <v>5.89</v>
      </c>
      <c r="G3682" s="830">
        <v>5.83</v>
      </c>
      <c r="H3682" s="831">
        <v>11.72</v>
      </c>
      <c r="I3682" s="846"/>
      <c r="J3682" s="846"/>
      <c r="K3682" s="846"/>
      <c r="L3682" s="846"/>
      <c r="M3682" s="846"/>
      <c r="N3682" s="846"/>
      <c r="O3682" s="846"/>
      <c r="P3682" s="846"/>
      <c r="Q3682" s="846"/>
      <c r="R3682" s="846"/>
      <c r="S3682" s="846"/>
      <c r="T3682" s="846"/>
    </row>
    <row r="3683" spans="2:20" ht="25.5" hidden="1">
      <c r="B3683" s="828" t="s">
        <v>6547</v>
      </c>
      <c r="C3683" s="828">
        <v>89412</v>
      </c>
      <c r="D3683" s="630" t="s">
        <v>7911</v>
      </c>
      <c r="E3683" s="630" t="s">
        <v>646</v>
      </c>
      <c r="F3683" s="829">
        <v>6.85</v>
      </c>
      <c r="G3683" s="830">
        <v>5.44</v>
      </c>
      <c r="H3683" s="831">
        <v>12.29</v>
      </c>
      <c r="I3683" s="846"/>
      <c r="J3683" s="846"/>
      <c r="K3683" s="846"/>
      <c r="L3683" s="846"/>
      <c r="M3683" s="846"/>
      <c r="N3683" s="846"/>
      <c r="O3683" s="846"/>
      <c r="P3683" s="846"/>
      <c r="Q3683" s="846"/>
      <c r="R3683" s="846"/>
      <c r="S3683" s="846"/>
      <c r="T3683" s="846"/>
    </row>
    <row r="3684" spans="2:20" ht="25.5" hidden="1">
      <c r="B3684" s="828" t="s">
        <v>6547</v>
      </c>
      <c r="C3684" s="828">
        <v>89413</v>
      </c>
      <c r="D3684" s="630" t="s">
        <v>7912</v>
      </c>
      <c r="E3684" s="630" t="s">
        <v>646</v>
      </c>
      <c r="F3684" s="829">
        <v>6.39</v>
      </c>
      <c r="G3684" s="830">
        <v>6.96</v>
      </c>
      <c r="H3684" s="831">
        <v>13.35</v>
      </c>
      <c r="I3684" s="846"/>
      <c r="J3684" s="846"/>
      <c r="K3684" s="846"/>
      <c r="L3684" s="846"/>
      <c r="M3684" s="846"/>
      <c r="N3684" s="846"/>
      <c r="O3684" s="846"/>
      <c r="P3684" s="846"/>
      <c r="Q3684" s="846"/>
      <c r="R3684" s="846"/>
      <c r="S3684" s="846"/>
      <c r="T3684" s="846"/>
    </row>
    <row r="3685" spans="2:20" ht="25.5" hidden="1">
      <c r="B3685" s="828" t="s">
        <v>6547</v>
      </c>
      <c r="C3685" s="828">
        <v>89414</v>
      </c>
      <c r="D3685" s="630" t="s">
        <v>7913</v>
      </c>
      <c r="E3685" s="630" t="s">
        <v>646</v>
      </c>
      <c r="F3685" s="829">
        <v>9.16</v>
      </c>
      <c r="G3685" s="830">
        <v>6.95</v>
      </c>
      <c r="H3685" s="831">
        <v>16.11</v>
      </c>
      <c r="I3685" s="846"/>
      <c r="J3685" s="846"/>
      <c r="K3685" s="846"/>
      <c r="L3685" s="846"/>
      <c r="M3685" s="846"/>
      <c r="N3685" s="846"/>
      <c r="O3685" s="846"/>
      <c r="P3685" s="846"/>
      <c r="Q3685" s="846"/>
      <c r="R3685" s="846"/>
      <c r="S3685" s="846"/>
      <c r="T3685" s="846"/>
    </row>
    <row r="3686" spans="2:20" ht="25.5" hidden="1">
      <c r="B3686" s="828" t="s">
        <v>6547</v>
      </c>
      <c r="C3686" s="828">
        <v>89415</v>
      </c>
      <c r="D3686" s="630" t="s">
        <v>7914</v>
      </c>
      <c r="E3686" s="630" t="s">
        <v>646</v>
      </c>
      <c r="F3686" s="829">
        <v>12.59</v>
      </c>
      <c r="G3686" s="830">
        <v>6.94</v>
      </c>
      <c r="H3686" s="831">
        <v>19.53</v>
      </c>
      <c r="I3686" s="846"/>
      <c r="J3686" s="846"/>
      <c r="K3686" s="846"/>
      <c r="L3686" s="846"/>
      <c r="M3686" s="846"/>
      <c r="N3686" s="846"/>
      <c r="O3686" s="846"/>
      <c r="P3686" s="846"/>
      <c r="Q3686" s="846"/>
      <c r="R3686" s="846"/>
      <c r="S3686" s="846"/>
      <c r="T3686" s="846"/>
    </row>
    <row r="3687" spans="2:20" ht="25.5" hidden="1">
      <c r="B3687" s="828" t="s">
        <v>6547</v>
      </c>
      <c r="C3687" s="828">
        <v>89416</v>
      </c>
      <c r="D3687" s="630" t="s">
        <v>7915</v>
      </c>
      <c r="E3687" s="630" t="s">
        <v>646</v>
      </c>
      <c r="F3687" s="829">
        <v>8.58</v>
      </c>
      <c r="G3687" s="830">
        <v>6.95</v>
      </c>
      <c r="H3687" s="831">
        <v>15.53</v>
      </c>
      <c r="I3687" s="846"/>
      <c r="J3687" s="846"/>
      <c r="K3687" s="846"/>
      <c r="L3687" s="846"/>
      <c r="M3687" s="846"/>
      <c r="N3687" s="846"/>
      <c r="O3687" s="846"/>
      <c r="P3687" s="846"/>
      <c r="Q3687" s="846"/>
      <c r="R3687" s="846"/>
      <c r="S3687" s="846"/>
      <c r="T3687" s="846"/>
    </row>
    <row r="3688" spans="2:20" ht="25.5" hidden="1">
      <c r="B3688" s="828" t="s">
        <v>6547</v>
      </c>
      <c r="C3688" s="828">
        <v>89417</v>
      </c>
      <c r="D3688" s="630" t="s">
        <v>7916</v>
      </c>
      <c r="E3688" s="630" t="s">
        <v>646</v>
      </c>
      <c r="F3688" s="829">
        <v>2.63</v>
      </c>
      <c r="G3688" s="830">
        <v>3.37</v>
      </c>
      <c r="H3688" s="831">
        <v>6</v>
      </c>
      <c r="I3688" s="846"/>
      <c r="J3688" s="846"/>
      <c r="K3688" s="846"/>
      <c r="L3688" s="846"/>
      <c r="M3688" s="846"/>
      <c r="N3688" s="846"/>
      <c r="O3688" s="846"/>
      <c r="P3688" s="846"/>
      <c r="Q3688" s="846"/>
      <c r="R3688" s="846"/>
      <c r="S3688" s="846"/>
      <c r="T3688" s="846"/>
    </row>
    <row r="3689" spans="2:20" ht="25.5" hidden="1">
      <c r="B3689" s="828" t="s">
        <v>6547</v>
      </c>
      <c r="C3689" s="828">
        <v>89418</v>
      </c>
      <c r="D3689" s="630" t="s">
        <v>7917</v>
      </c>
      <c r="E3689" s="630" t="s">
        <v>646</v>
      </c>
      <c r="F3689" s="829">
        <v>11.76</v>
      </c>
      <c r="G3689" s="830">
        <v>3.34</v>
      </c>
      <c r="H3689" s="831">
        <v>15.1</v>
      </c>
      <c r="I3689" s="846"/>
      <c r="J3689" s="846"/>
      <c r="K3689" s="846"/>
      <c r="L3689" s="846"/>
      <c r="M3689" s="846"/>
      <c r="N3689" s="846"/>
      <c r="O3689" s="846"/>
      <c r="P3689" s="846"/>
      <c r="Q3689" s="846"/>
      <c r="R3689" s="846"/>
      <c r="S3689" s="846"/>
      <c r="T3689" s="846"/>
    </row>
    <row r="3690" spans="2:20" ht="38.25" hidden="1">
      <c r="B3690" s="828" t="s">
        <v>6547</v>
      </c>
      <c r="C3690" s="828">
        <v>89419</v>
      </c>
      <c r="D3690" s="630" t="s">
        <v>7918</v>
      </c>
      <c r="E3690" s="630" t="s">
        <v>646</v>
      </c>
      <c r="F3690" s="829">
        <v>3.69</v>
      </c>
      <c r="G3690" s="830">
        <v>3.64</v>
      </c>
      <c r="H3690" s="831">
        <v>7.33</v>
      </c>
      <c r="I3690" s="846"/>
      <c r="J3690" s="846"/>
      <c r="K3690" s="846"/>
      <c r="L3690" s="846"/>
      <c r="M3690" s="846"/>
      <c r="N3690" s="846"/>
      <c r="O3690" s="846"/>
      <c r="P3690" s="846"/>
      <c r="Q3690" s="846"/>
      <c r="R3690" s="846"/>
      <c r="S3690" s="846"/>
      <c r="T3690" s="846"/>
    </row>
    <row r="3691" spans="2:20" ht="25.5" hidden="1">
      <c r="B3691" s="828" t="s">
        <v>6547</v>
      </c>
      <c r="C3691" s="828">
        <v>89421</v>
      </c>
      <c r="D3691" s="630" t="s">
        <v>7919</v>
      </c>
      <c r="E3691" s="630" t="s">
        <v>646</v>
      </c>
      <c r="F3691" s="829">
        <v>11.4</v>
      </c>
      <c r="G3691" s="830">
        <v>3.34</v>
      </c>
      <c r="H3691" s="831">
        <v>14.74</v>
      </c>
      <c r="I3691" s="846"/>
      <c r="J3691" s="846"/>
      <c r="K3691" s="846"/>
      <c r="L3691" s="846"/>
      <c r="M3691" s="846"/>
      <c r="N3691" s="846"/>
      <c r="O3691" s="846"/>
      <c r="P3691" s="846"/>
      <c r="Q3691" s="846"/>
      <c r="R3691" s="846"/>
      <c r="S3691" s="846"/>
      <c r="T3691" s="846"/>
    </row>
    <row r="3692" spans="2:20" ht="38.25" hidden="1">
      <c r="B3692" s="828" t="s">
        <v>6547</v>
      </c>
      <c r="C3692" s="828">
        <v>89423</v>
      </c>
      <c r="D3692" s="630" t="s">
        <v>7920</v>
      </c>
      <c r="E3692" s="630" t="s">
        <v>646</v>
      </c>
      <c r="F3692" s="829">
        <v>7.15</v>
      </c>
      <c r="G3692" s="830">
        <v>3.34</v>
      </c>
      <c r="H3692" s="831">
        <v>10.49</v>
      </c>
      <c r="I3692" s="846"/>
      <c r="J3692" s="846"/>
      <c r="K3692" s="846"/>
      <c r="L3692" s="846"/>
      <c r="M3692" s="846"/>
      <c r="N3692" s="846"/>
      <c r="O3692" s="846"/>
      <c r="P3692" s="846"/>
      <c r="Q3692" s="846"/>
      <c r="R3692" s="846"/>
      <c r="S3692" s="846"/>
      <c r="T3692" s="846"/>
    </row>
    <row r="3693" spans="2:20" ht="25.5" hidden="1">
      <c r="B3693" s="828" t="s">
        <v>6547</v>
      </c>
      <c r="C3693" s="828">
        <v>89424</v>
      </c>
      <c r="D3693" s="630" t="s">
        <v>7921</v>
      </c>
      <c r="E3693" s="630" t="s">
        <v>646</v>
      </c>
      <c r="F3693" s="829">
        <v>3.28</v>
      </c>
      <c r="G3693" s="830">
        <v>3.91</v>
      </c>
      <c r="H3693" s="831">
        <v>7.19</v>
      </c>
      <c r="I3693" s="846"/>
      <c r="J3693" s="846"/>
      <c r="K3693" s="846"/>
      <c r="L3693" s="846"/>
      <c r="M3693" s="846"/>
      <c r="N3693" s="846"/>
      <c r="O3693" s="846"/>
      <c r="P3693" s="846"/>
      <c r="Q3693" s="846"/>
      <c r="R3693" s="846"/>
      <c r="S3693" s="846"/>
      <c r="T3693" s="846"/>
    </row>
    <row r="3694" spans="2:20" ht="25.5" hidden="1">
      <c r="B3694" s="828" t="s">
        <v>6547</v>
      </c>
      <c r="C3694" s="828">
        <v>89425</v>
      </c>
      <c r="D3694" s="630" t="s">
        <v>7922</v>
      </c>
      <c r="E3694" s="630" t="s">
        <v>646</v>
      </c>
      <c r="F3694" s="829">
        <v>15.46</v>
      </c>
      <c r="G3694" s="830">
        <v>3.87</v>
      </c>
      <c r="H3694" s="831">
        <v>19.329999999999998</v>
      </c>
      <c r="I3694" s="846"/>
      <c r="J3694" s="846"/>
      <c r="K3694" s="846"/>
      <c r="L3694" s="846"/>
      <c r="M3694" s="846"/>
      <c r="N3694" s="846"/>
      <c r="O3694" s="846"/>
      <c r="P3694" s="846"/>
      <c r="Q3694" s="846"/>
      <c r="R3694" s="846"/>
      <c r="S3694" s="846"/>
      <c r="T3694" s="846"/>
    </row>
    <row r="3695" spans="2:20" ht="38.25" hidden="1">
      <c r="B3695" s="828" t="s">
        <v>6547</v>
      </c>
      <c r="C3695" s="828">
        <v>89426</v>
      </c>
      <c r="D3695" s="630" t="s">
        <v>7923</v>
      </c>
      <c r="E3695" s="630" t="s">
        <v>646</v>
      </c>
      <c r="F3695" s="829">
        <v>7.37</v>
      </c>
      <c r="G3695" s="830">
        <v>4.26</v>
      </c>
      <c r="H3695" s="831">
        <v>11.63</v>
      </c>
      <c r="I3695" s="846"/>
      <c r="J3695" s="846"/>
      <c r="K3695" s="846"/>
      <c r="L3695" s="846"/>
      <c r="M3695" s="846"/>
      <c r="N3695" s="846"/>
      <c r="O3695" s="846"/>
      <c r="P3695" s="846"/>
      <c r="Q3695" s="846"/>
      <c r="R3695" s="846"/>
      <c r="S3695" s="846"/>
      <c r="T3695" s="846"/>
    </row>
    <row r="3696" spans="2:20" ht="38.25" hidden="1">
      <c r="B3696" s="828" t="s">
        <v>6547</v>
      </c>
      <c r="C3696" s="828">
        <v>89427</v>
      </c>
      <c r="D3696" s="630" t="s">
        <v>7924</v>
      </c>
      <c r="E3696" s="630" t="s">
        <v>646</v>
      </c>
      <c r="F3696" s="829">
        <v>10.74</v>
      </c>
      <c r="G3696" s="830">
        <v>3.62</v>
      </c>
      <c r="H3696" s="831">
        <v>14.36</v>
      </c>
      <c r="I3696" s="846"/>
      <c r="J3696" s="846"/>
      <c r="K3696" s="846"/>
      <c r="L3696" s="846"/>
      <c r="M3696" s="846"/>
      <c r="N3696" s="846"/>
      <c r="O3696" s="846"/>
      <c r="P3696" s="846"/>
      <c r="Q3696" s="846"/>
      <c r="R3696" s="846"/>
      <c r="S3696" s="846"/>
      <c r="T3696" s="846"/>
    </row>
    <row r="3697" spans="2:20" ht="25.5" hidden="1">
      <c r="B3697" s="828" t="s">
        <v>6547</v>
      </c>
      <c r="C3697" s="828">
        <v>89428</v>
      </c>
      <c r="D3697" s="630" t="s">
        <v>7925</v>
      </c>
      <c r="E3697" s="630" t="s">
        <v>646</v>
      </c>
      <c r="F3697" s="829">
        <v>13.77</v>
      </c>
      <c r="G3697" s="830">
        <v>3.87</v>
      </c>
      <c r="H3697" s="831">
        <v>17.64</v>
      </c>
      <c r="I3697" s="846"/>
      <c r="J3697" s="846"/>
      <c r="K3697" s="846"/>
      <c r="L3697" s="846"/>
      <c r="M3697" s="846"/>
      <c r="N3697" s="846"/>
      <c r="O3697" s="846"/>
      <c r="P3697" s="846"/>
      <c r="Q3697" s="846"/>
      <c r="R3697" s="846"/>
      <c r="S3697" s="846"/>
      <c r="T3697" s="846"/>
    </row>
    <row r="3698" spans="2:20" ht="38.25" hidden="1">
      <c r="B3698" s="828" t="s">
        <v>6547</v>
      </c>
      <c r="C3698" s="828">
        <v>89429</v>
      </c>
      <c r="D3698" s="630" t="s">
        <v>7926</v>
      </c>
      <c r="E3698" s="630" t="s">
        <v>646</v>
      </c>
      <c r="F3698" s="829">
        <v>3.15</v>
      </c>
      <c r="G3698" s="830">
        <v>3.66</v>
      </c>
      <c r="H3698" s="831">
        <v>6.81</v>
      </c>
      <c r="I3698" s="846"/>
      <c r="J3698" s="846"/>
      <c r="K3698" s="846"/>
      <c r="L3698" s="846"/>
      <c r="M3698" s="846"/>
      <c r="N3698" s="846"/>
      <c r="O3698" s="846"/>
      <c r="P3698" s="846"/>
      <c r="Q3698" s="846"/>
      <c r="R3698" s="846"/>
      <c r="S3698" s="846"/>
      <c r="T3698" s="846"/>
    </row>
    <row r="3699" spans="2:20" ht="38.25" hidden="1">
      <c r="B3699" s="828" t="s">
        <v>6547</v>
      </c>
      <c r="C3699" s="828">
        <v>89430</v>
      </c>
      <c r="D3699" s="630" t="s">
        <v>7927</v>
      </c>
      <c r="E3699" s="630" t="s">
        <v>646</v>
      </c>
      <c r="F3699" s="829">
        <v>11.19</v>
      </c>
      <c r="G3699" s="830">
        <v>3.88</v>
      </c>
      <c r="H3699" s="831">
        <v>15.07</v>
      </c>
      <c r="I3699" s="846"/>
      <c r="J3699" s="846"/>
      <c r="K3699" s="846"/>
      <c r="L3699" s="846"/>
      <c r="M3699" s="846"/>
      <c r="N3699" s="846"/>
      <c r="O3699" s="846"/>
      <c r="P3699" s="846"/>
      <c r="Q3699" s="846"/>
      <c r="R3699" s="846"/>
      <c r="S3699" s="846"/>
      <c r="T3699" s="846"/>
    </row>
    <row r="3700" spans="2:20" ht="25.5" hidden="1">
      <c r="B3700" s="828" t="s">
        <v>6547</v>
      </c>
      <c r="C3700" s="828">
        <v>89431</v>
      </c>
      <c r="D3700" s="630" t="s">
        <v>7928</v>
      </c>
      <c r="E3700" s="630" t="s">
        <v>646</v>
      </c>
      <c r="F3700" s="829">
        <v>5.42</v>
      </c>
      <c r="G3700" s="830">
        <v>4.6399999999999997</v>
      </c>
      <c r="H3700" s="831">
        <v>10.06</v>
      </c>
      <c r="I3700" s="846"/>
      <c r="J3700" s="846"/>
      <c r="K3700" s="846"/>
      <c r="L3700" s="846"/>
      <c r="M3700" s="846"/>
      <c r="N3700" s="846"/>
      <c r="O3700" s="846"/>
      <c r="P3700" s="846"/>
      <c r="Q3700" s="846"/>
      <c r="R3700" s="846"/>
      <c r="S3700" s="846"/>
      <c r="T3700" s="846"/>
    </row>
    <row r="3701" spans="2:20" ht="25.5" hidden="1">
      <c r="B3701" s="828" t="s">
        <v>6547</v>
      </c>
      <c r="C3701" s="828">
        <v>89432</v>
      </c>
      <c r="D3701" s="630" t="s">
        <v>7929</v>
      </c>
      <c r="E3701" s="630" t="s">
        <v>646</v>
      </c>
      <c r="F3701" s="829">
        <v>34.409999999999997</v>
      </c>
      <c r="G3701" s="830">
        <v>4.6100000000000003</v>
      </c>
      <c r="H3701" s="831">
        <v>39.020000000000003</v>
      </c>
      <c r="I3701" s="846"/>
      <c r="J3701" s="846"/>
      <c r="K3701" s="846"/>
      <c r="L3701" s="846"/>
      <c r="M3701" s="846"/>
      <c r="N3701" s="846"/>
      <c r="O3701" s="846"/>
      <c r="P3701" s="846"/>
      <c r="Q3701" s="846"/>
      <c r="R3701" s="846"/>
      <c r="S3701" s="846"/>
      <c r="T3701" s="846"/>
    </row>
    <row r="3702" spans="2:20" ht="38.25" hidden="1">
      <c r="B3702" s="828" t="s">
        <v>6547</v>
      </c>
      <c r="C3702" s="828">
        <v>89433</v>
      </c>
      <c r="D3702" s="630" t="s">
        <v>7930</v>
      </c>
      <c r="E3702" s="630" t="s">
        <v>646</v>
      </c>
      <c r="F3702" s="829">
        <v>9.02</v>
      </c>
      <c r="G3702" s="830">
        <v>5.07</v>
      </c>
      <c r="H3702" s="831">
        <v>14.09</v>
      </c>
      <c r="I3702" s="846"/>
      <c r="J3702" s="846"/>
      <c r="K3702" s="846"/>
      <c r="L3702" s="846"/>
      <c r="M3702" s="846"/>
      <c r="N3702" s="846"/>
      <c r="O3702" s="846"/>
      <c r="P3702" s="846"/>
      <c r="Q3702" s="846"/>
      <c r="R3702" s="846"/>
      <c r="S3702" s="846"/>
      <c r="T3702" s="846"/>
    </row>
    <row r="3703" spans="2:20" ht="38.25" hidden="1">
      <c r="B3703" s="828" t="s">
        <v>6547</v>
      </c>
      <c r="C3703" s="828">
        <v>89434</v>
      </c>
      <c r="D3703" s="630" t="s">
        <v>7931</v>
      </c>
      <c r="E3703" s="630" t="s">
        <v>646</v>
      </c>
      <c r="F3703" s="829">
        <v>9.51</v>
      </c>
      <c r="G3703" s="830">
        <v>4.25</v>
      </c>
      <c r="H3703" s="831">
        <v>13.76</v>
      </c>
      <c r="I3703" s="846"/>
      <c r="J3703" s="846"/>
      <c r="K3703" s="846"/>
      <c r="L3703" s="846"/>
      <c r="M3703" s="846"/>
      <c r="N3703" s="846"/>
      <c r="O3703" s="846"/>
      <c r="P3703" s="846"/>
      <c r="Q3703" s="846"/>
      <c r="R3703" s="846"/>
      <c r="S3703" s="846"/>
      <c r="T3703" s="846"/>
    </row>
    <row r="3704" spans="2:20" ht="25.5" hidden="1">
      <c r="B3704" s="828" t="s">
        <v>6547</v>
      </c>
      <c r="C3704" s="828">
        <v>89435</v>
      </c>
      <c r="D3704" s="630" t="s">
        <v>7932</v>
      </c>
      <c r="E3704" s="630" t="s">
        <v>646</v>
      </c>
      <c r="F3704" s="829">
        <v>21.77</v>
      </c>
      <c r="G3704" s="830">
        <v>4.62</v>
      </c>
      <c r="H3704" s="831">
        <v>26.39</v>
      </c>
      <c r="I3704" s="846"/>
      <c r="J3704" s="846"/>
      <c r="K3704" s="846"/>
      <c r="L3704" s="846"/>
      <c r="M3704" s="846"/>
      <c r="N3704" s="846"/>
      <c r="O3704" s="846"/>
      <c r="P3704" s="846"/>
      <c r="Q3704" s="846"/>
      <c r="R3704" s="846"/>
      <c r="S3704" s="846"/>
      <c r="T3704" s="846"/>
    </row>
    <row r="3705" spans="2:20" ht="38.25" hidden="1">
      <c r="B3705" s="828" t="s">
        <v>6547</v>
      </c>
      <c r="C3705" s="828">
        <v>89436</v>
      </c>
      <c r="D3705" s="630" t="s">
        <v>7933</v>
      </c>
      <c r="E3705" s="630" t="s">
        <v>646</v>
      </c>
      <c r="F3705" s="829">
        <v>4.97</v>
      </c>
      <c r="G3705" s="830">
        <v>4.26</v>
      </c>
      <c r="H3705" s="831">
        <v>9.23</v>
      </c>
      <c r="I3705" s="846"/>
      <c r="J3705" s="846"/>
      <c r="K3705" s="846"/>
      <c r="L3705" s="846"/>
      <c r="M3705" s="846"/>
      <c r="N3705" s="846"/>
      <c r="O3705" s="846"/>
      <c r="P3705" s="846"/>
      <c r="Q3705" s="846"/>
      <c r="R3705" s="846"/>
      <c r="S3705" s="846"/>
      <c r="T3705" s="846"/>
    </row>
    <row r="3706" spans="2:20" ht="38.25" hidden="1">
      <c r="B3706" s="828" t="s">
        <v>6547</v>
      </c>
      <c r="C3706" s="828">
        <v>89437</v>
      </c>
      <c r="D3706" s="630" t="s">
        <v>7934</v>
      </c>
      <c r="E3706" s="630" t="s">
        <v>646</v>
      </c>
      <c r="F3706" s="829">
        <v>26.76</v>
      </c>
      <c r="G3706" s="830">
        <v>4.62</v>
      </c>
      <c r="H3706" s="831">
        <v>31.38</v>
      </c>
      <c r="I3706" s="846"/>
      <c r="J3706" s="846"/>
      <c r="K3706" s="846"/>
      <c r="L3706" s="846"/>
      <c r="M3706" s="846"/>
      <c r="N3706" s="846"/>
      <c r="O3706" s="846"/>
      <c r="P3706" s="846"/>
      <c r="Q3706" s="846"/>
      <c r="R3706" s="846"/>
      <c r="S3706" s="846"/>
      <c r="T3706" s="846"/>
    </row>
    <row r="3707" spans="2:20" ht="25.5" hidden="1">
      <c r="B3707" s="828" t="s">
        <v>6547</v>
      </c>
      <c r="C3707" s="828">
        <v>89438</v>
      </c>
      <c r="D3707" s="630" t="s">
        <v>7935</v>
      </c>
      <c r="E3707" s="630" t="s">
        <v>646</v>
      </c>
      <c r="F3707" s="829">
        <v>4.3899999999999997</v>
      </c>
      <c r="G3707" s="830">
        <v>6.73</v>
      </c>
      <c r="H3707" s="831">
        <v>11.12</v>
      </c>
      <c r="I3707" s="846"/>
      <c r="J3707" s="846"/>
      <c r="K3707" s="846"/>
      <c r="L3707" s="846"/>
      <c r="M3707" s="846"/>
      <c r="N3707" s="846"/>
      <c r="O3707" s="846"/>
      <c r="P3707" s="846"/>
      <c r="Q3707" s="846"/>
      <c r="R3707" s="846"/>
      <c r="S3707" s="846"/>
      <c r="T3707" s="846"/>
    </row>
    <row r="3708" spans="2:20" ht="38.25" hidden="1">
      <c r="B3708" s="828" t="s">
        <v>6547</v>
      </c>
      <c r="C3708" s="828">
        <v>89439</v>
      </c>
      <c r="D3708" s="630" t="s">
        <v>7936</v>
      </c>
      <c r="E3708" s="630" t="s">
        <v>646</v>
      </c>
      <c r="F3708" s="829">
        <v>7.01</v>
      </c>
      <c r="G3708" s="830">
        <v>6.71</v>
      </c>
      <c r="H3708" s="831">
        <v>13.72</v>
      </c>
      <c r="I3708" s="846"/>
      <c r="J3708" s="846"/>
      <c r="K3708" s="846"/>
      <c r="L3708" s="846"/>
      <c r="M3708" s="846"/>
      <c r="N3708" s="846"/>
      <c r="O3708" s="846"/>
      <c r="P3708" s="846"/>
      <c r="Q3708" s="846"/>
      <c r="R3708" s="846"/>
      <c r="S3708" s="846"/>
      <c r="T3708" s="846"/>
    </row>
    <row r="3709" spans="2:20" ht="25.5" hidden="1">
      <c r="B3709" s="828" t="s">
        <v>6547</v>
      </c>
      <c r="C3709" s="828">
        <v>89440</v>
      </c>
      <c r="D3709" s="630" t="s">
        <v>7937</v>
      </c>
      <c r="E3709" s="630" t="s">
        <v>646</v>
      </c>
      <c r="F3709" s="829">
        <v>5.58</v>
      </c>
      <c r="G3709" s="830">
        <v>7.79</v>
      </c>
      <c r="H3709" s="831">
        <v>13.37</v>
      </c>
      <c r="I3709" s="846"/>
      <c r="J3709" s="846"/>
      <c r="K3709" s="846"/>
      <c r="L3709" s="846"/>
      <c r="M3709" s="846"/>
      <c r="N3709" s="846"/>
      <c r="O3709" s="846"/>
      <c r="P3709" s="846"/>
      <c r="Q3709" s="846"/>
      <c r="R3709" s="846"/>
      <c r="S3709" s="846"/>
      <c r="T3709" s="846"/>
    </row>
    <row r="3710" spans="2:20" ht="25.5" hidden="1">
      <c r="B3710" s="828" t="s">
        <v>6547</v>
      </c>
      <c r="C3710" s="828">
        <v>89442</v>
      </c>
      <c r="D3710" s="630" t="s">
        <v>7938</v>
      </c>
      <c r="E3710" s="630" t="s">
        <v>646</v>
      </c>
      <c r="F3710" s="829">
        <v>7.81</v>
      </c>
      <c r="G3710" s="830">
        <v>7.24</v>
      </c>
      <c r="H3710" s="831">
        <v>15.05</v>
      </c>
      <c r="I3710" s="846"/>
      <c r="J3710" s="846"/>
      <c r="K3710" s="846"/>
      <c r="L3710" s="846"/>
      <c r="M3710" s="846"/>
      <c r="N3710" s="846"/>
      <c r="O3710" s="846"/>
      <c r="P3710" s="846"/>
      <c r="Q3710" s="846"/>
      <c r="R3710" s="846"/>
      <c r="S3710" s="846"/>
      <c r="T3710" s="846"/>
    </row>
    <row r="3711" spans="2:20" ht="25.5" hidden="1">
      <c r="B3711" s="828" t="s">
        <v>6547</v>
      </c>
      <c r="C3711" s="828">
        <v>89443</v>
      </c>
      <c r="D3711" s="630" t="s">
        <v>7939</v>
      </c>
      <c r="E3711" s="630" t="s">
        <v>646</v>
      </c>
      <c r="F3711" s="829">
        <v>10.39</v>
      </c>
      <c r="G3711" s="830">
        <v>9.27</v>
      </c>
      <c r="H3711" s="831">
        <v>19.66</v>
      </c>
      <c r="I3711" s="846"/>
      <c r="J3711" s="846"/>
      <c r="K3711" s="846"/>
      <c r="L3711" s="846"/>
      <c r="M3711" s="846"/>
      <c r="N3711" s="846"/>
      <c r="O3711" s="846"/>
      <c r="P3711" s="846"/>
      <c r="Q3711" s="846"/>
      <c r="R3711" s="846"/>
      <c r="S3711" s="846"/>
      <c r="T3711" s="846"/>
    </row>
    <row r="3712" spans="2:20" ht="38.25" hidden="1">
      <c r="B3712" s="828" t="s">
        <v>6547</v>
      </c>
      <c r="C3712" s="828">
        <v>89444</v>
      </c>
      <c r="D3712" s="630" t="s">
        <v>7940</v>
      </c>
      <c r="E3712" s="630" t="s">
        <v>646</v>
      </c>
      <c r="F3712" s="829">
        <v>25.98</v>
      </c>
      <c r="G3712" s="830">
        <v>7.97</v>
      </c>
      <c r="H3712" s="831">
        <v>33.950000000000003</v>
      </c>
      <c r="I3712" s="846"/>
      <c r="J3712" s="846"/>
      <c r="K3712" s="846"/>
      <c r="L3712" s="846"/>
      <c r="M3712" s="846"/>
      <c r="N3712" s="846"/>
      <c r="O3712" s="846"/>
      <c r="P3712" s="846"/>
      <c r="Q3712" s="846"/>
      <c r="R3712" s="846"/>
      <c r="S3712" s="846"/>
      <c r="T3712" s="846"/>
    </row>
    <row r="3713" spans="2:20" ht="25.5" hidden="1">
      <c r="B3713" s="828" t="s">
        <v>6547</v>
      </c>
      <c r="C3713" s="828">
        <v>89445</v>
      </c>
      <c r="D3713" s="630" t="s">
        <v>7941</v>
      </c>
      <c r="E3713" s="630" t="s">
        <v>646</v>
      </c>
      <c r="F3713" s="829">
        <v>12.45</v>
      </c>
      <c r="G3713" s="830">
        <v>8.51</v>
      </c>
      <c r="H3713" s="831">
        <v>20.96</v>
      </c>
      <c r="I3713" s="846"/>
      <c r="J3713" s="846"/>
      <c r="K3713" s="846"/>
      <c r="L3713" s="846"/>
      <c r="M3713" s="846"/>
      <c r="N3713" s="846"/>
      <c r="O3713" s="846"/>
      <c r="P3713" s="846"/>
      <c r="Q3713" s="846"/>
      <c r="R3713" s="846"/>
      <c r="S3713" s="846"/>
      <c r="T3713" s="846"/>
    </row>
    <row r="3714" spans="2:20" ht="25.5" hidden="1">
      <c r="B3714" s="828" t="s">
        <v>6547</v>
      </c>
      <c r="C3714" s="828">
        <v>89481</v>
      </c>
      <c r="D3714" s="630" t="s">
        <v>7942</v>
      </c>
      <c r="E3714" s="630" t="s">
        <v>646</v>
      </c>
      <c r="F3714" s="829">
        <v>2.95</v>
      </c>
      <c r="G3714" s="830">
        <v>3.05</v>
      </c>
      <c r="H3714" s="831">
        <v>6</v>
      </c>
      <c r="I3714" s="846"/>
      <c r="J3714" s="846"/>
      <c r="K3714" s="846"/>
      <c r="L3714" s="846"/>
      <c r="M3714" s="846"/>
      <c r="N3714" s="846"/>
      <c r="O3714" s="846"/>
      <c r="P3714" s="846"/>
      <c r="Q3714" s="846"/>
      <c r="R3714" s="846"/>
      <c r="S3714" s="846"/>
      <c r="T3714" s="846"/>
    </row>
    <row r="3715" spans="2:20" ht="25.5" hidden="1">
      <c r="B3715" s="828" t="s">
        <v>6547</v>
      </c>
      <c r="C3715" s="828">
        <v>89485</v>
      </c>
      <c r="D3715" s="630" t="s">
        <v>7943</v>
      </c>
      <c r="E3715" s="630" t="s">
        <v>646</v>
      </c>
      <c r="F3715" s="829">
        <v>3.95</v>
      </c>
      <c r="G3715" s="830">
        <v>3.04</v>
      </c>
      <c r="H3715" s="831">
        <v>6.99</v>
      </c>
      <c r="I3715" s="846"/>
      <c r="J3715" s="846"/>
      <c r="K3715" s="846"/>
      <c r="L3715" s="846"/>
      <c r="M3715" s="846"/>
      <c r="N3715" s="846"/>
      <c r="O3715" s="846"/>
      <c r="P3715" s="846"/>
      <c r="Q3715" s="846"/>
      <c r="R3715" s="846"/>
      <c r="S3715" s="846"/>
      <c r="T3715" s="846"/>
    </row>
    <row r="3716" spans="2:20" ht="25.5" hidden="1">
      <c r="B3716" s="828" t="s">
        <v>6547</v>
      </c>
      <c r="C3716" s="828">
        <v>89489</v>
      </c>
      <c r="D3716" s="630" t="s">
        <v>7944</v>
      </c>
      <c r="E3716" s="630" t="s">
        <v>646</v>
      </c>
      <c r="F3716" s="829">
        <v>5.99</v>
      </c>
      <c r="G3716" s="830">
        <v>3.03</v>
      </c>
      <c r="H3716" s="831">
        <v>9.02</v>
      </c>
      <c r="I3716" s="846"/>
      <c r="J3716" s="846"/>
      <c r="K3716" s="846"/>
      <c r="L3716" s="846"/>
      <c r="M3716" s="846"/>
      <c r="N3716" s="846"/>
      <c r="O3716" s="846"/>
      <c r="P3716" s="846"/>
      <c r="Q3716" s="846"/>
      <c r="R3716" s="846"/>
      <c r="S3716" s="846"/>
      <c r="T3716" s="846"/>
    </row>
    <row r="3717" spans="2:20" ht="25.5" hidden="1">
      <c r="B3717" s="828" t="s">
        <v>6547</v>
      </c>
      <c r="C3717" s="828">
        <v>89490</v>
      </c>
      <c r="D3717" s="630" t="s">
        <v>7945</v>
      </c>
      <c r="E3717" s="630" t="s">
        <v>646</v>
      </c>
      <c r="F3717" s="829">
        <v>5.08</v>
      </c>
      <c r="G3717" s="830">
        <v>3.03</v>
      </c>
      <c r="H3717" s="831">
        <v>8.11</v>
      </c>
      <c r="I3717" s="846"/>
      <c r="J3717" s="846"/>
      <c r="K3717" s="846"/>
      <c r="L3717" s="846"/>
      <c r="M3717" s="846"/>
      <c r="N3717" s="846"/>
      <c r="O3717" s="846"/>
      <c r="P3717" s="846"/>
      <c r="Q3717" s="846"/>
      <c r="R3717" s="846"/>
      <c r="S3717" s="846"/>
      <c r="T3717" s="846"/>
    </row>
    <row r="3718" spans="2:20" ht="25.5" hidden="1">
      <c r="B3718" s="828" t="s">
        <v>6547</v>
      </c>
      <c r="C3718" s="828">
        <v>89492</v>
      </c>
      <c r="D3718" s="630" t="s">
        <v>7946</v>
      </c>
      <c r="E3718" s="630" t="s">
        <v>646</v>
      </c>
      <c r="F3718" s="829">
        <v>5.44</v>
      </c>
      <c r="G3718" s="830">
        <v>3.68</v>
      </c>
      <c r="H3718" s="831">
        <v>9.1199999999999992</v>
      </c>
      <c r="I3718" s="846"/>
      <c r="J3718" s="846"/>
      <c r="K3718" s="846"/>
      <c r="L3718" s="846"/>
      <c r="M3718" s="846"/>
      <c r="N3718" s="846"/>
      <c r="O3718" s="846"/>
      <c r="P3718" s="846"/>
      <c r="Q3718" s="846"/>
      <c r="R3718" s="846"/>
      <c r="S3718" s="846"/>
      <c r="T3718" s="846"/>
    </row>
    <row r="3719" spans="2:20" ht="25.5" hidden="1">
      <c r="B3719" s="828" t="s">
        <v>6547</v>
      </c>
      <c r="C3719" s="828">
        <v>89493</v>
      </c>
      <c r="D3719" s="630" t="s">
        <v>7947</v>
      </c>
      <c r="E3719" s="630" t="s">
        <v>646</v>
      </c>
      <c r="F3719" s="829">
        <v>8.1999999999999993</v>
      </c>
      <c r="G3719" s="830">
        <v>3.68</v>
      </c>
      <c r="H3719" s="831">
        <v>11.88</v>
      </c>
      <c r="I3719" s="846"/>
      <c r="J3719" s="846"/>
      <c r="K3719" s="846"/>
      <c r="L3719" s="846"/>
      <c r="M3719" s="846"/>
      <c r="N3719" s="846"/>
      <c r="O3719" s="846"/>
      <c r="P3719" s="846"/>
      <c r="Q3719" s="846"/>
      <c r="R3719" s="846"/>
      <c r="S3719" s="846"/>
      <c r="T3719" s="846"/>
    </row>
    <row r="3720" spans="2:20" ht="25.5" hidden="1">
      <c r="B3720" s="828" t="s">
        <v>6547</v>
      </c>
      <c r="C3720" s="828">
        <v>89494</v>
      </c>
      <c r="D3720" s="630" t="s">
        <v>7948</v>
      </c>
      <c r="E3720" s="630" t="s">
        <v>646</v>
      </c>
      <c r="F3720" s="829">
        <v>11.63</v>
      </c>
      <c r="G3720" s="830">
        <v>3.67</v>
      </c>
      <c r="H3720" s="831">
        <v>15.3</v>
      </c>
      <c r="I3720" s="846"/>
      <c r="J3720" s="846"/>
      <c r="K3720" s="846"/>
      <c r="L3720" s="846"/>
      <c r="M3720" s="846"/>
      <c r="N3720" s="846"/>
      <c r="O3720" s="846"/>
      <c r="P3720" s="846"/>
      <c r="Q3720" s="846"/>
      <c r="R3720" s="846"/>
      <c r="S3720" s="846"/>
      <c r="T3720" s="846"/>
    </row>
    <row r="3721" spans="2:20" ht="25.5" hidden="1">
      <c r="B3721" s="828" t="s">
        <v>6547</v>
      </c>
      <c r="C3721" s="828">
        <v>89496</v>
      </c>
      <c r="D3721" s="630" t="s">
        <v>7949</v>
      </c>
      <c r="E3721" s="630" t="s">
        <v>646</v>
      </c>
      <c r="F3721" s="829">
        <v>7.62</v>
      </c>
      <c r="G3721" s="830">
        <v>3.68</v>
      </c>
      <c r="H3721" s="831">
        <v>11.3</v>
      </c>
      <c r="I3721" s="846"/>
      <c r="J3721" s="846"/>
      <c r="K3721" s="846"/>
      <c r="L3721" s="846"/>
      <c r="M3721" s="846"/>
      <c r="N3721" s="846"/>
      <c r="O3721" s="846"/>
      <c r="P3721" s="846"/>
      <c r="Q3721" s="846"/>
      <c r="R3721" s="846"/>
      <c r="S3721" s="846"/>
      <c r="T3721" s="846"/>
    </row>
    <row r="3722" spans="2:20" ht="25.5" hidden="1">
      <c r="B3722" s="828" t="s">
        <v>6547</v>
      </c>
      <c r="C3722" s="828">
        <v>89497</v>
      </c>
      <c r="D3722" s="630" t="s">
        <v>7950</v>
      </c>
      <c r="E3722" s="630" t="s">
        <v>646</v>
      </c>
      <c r="F3722" s="829">
        <v>9.9700000000000006</v>
      </c>
      <c r="G3722" s="830">
        <v>4.4800000000000004</v>
      </c>
      <c r="H3722" s="831">
        <v>14.45</v>
      </c>
      <c r="I3722" s="846"/>
      <c r="J3722" s="846"/>
      <c r="K3722" s="846"/>
      <c r="L3722" s="846"/>
      <c r="M3722" s="846"/>
      <c r="N3722" s="846"/>
      <c r="O3722" s="846"/>
      <c r="P3722" s="846"/>
      <c r="Q3722" s="846"/>
      <c r="R3722" s="846"/>
      <c r="S3722" s="846"/>
      <c r="T3722" s="846"/>
    </row>
    <row r="3723" spans="2:20" ht="25.5" hidden="1">
      <c r="B3723" s="828" t="s">
        <v>6547</v>
      </c>
      <c r="C3723" s="828">
        <v>89498</v>
      </c>
      <c r="D3723" s="630" t="s">
        <v>7951</v>
      </c>
      <c r="E3723" s="630" t="s">
        <v>646</v>
      </c>
      <c r="F3723" s="829">
        <v>11.23</v>
      </c>
      <c r="G3723" s="830">
        <v>4.4800000000000004</v>
      </c>
      <c r="H3723" s="831">
        <v>15.71</v>
      </c>
      <c r="I3723" s="846"/>
      <c r="J3723" s="846"/>
      <c r="K3723" s="846"/>
      <c r="L3723" s="846"/>
      <c r="M3723" s="846"/>
      <c r="N3723" s="846"/>
      <c r="O3723" s="846"/>
      <c r="P3723" s="846"/>
      <c r="Q3723" s="846"/>
      <c r="R3723" s="846"/>
      <c r="S3723" s="846"/>
      <c r="T3723" s="846"/>
    </row>
    <row r="3724" spans="2:20" ht="25.5" hidden="1">
      <c r="B3724" s="828" t="s">
        <v>6547</v>
      </c>
      <c r="C3724" s="828">
        <v>89499</v>
      </c>
      <c r="D3724" s="630" t="s">
        <v>7952</v>
      </c>
      <c r="E3724" s="630" t="s">
        <v>646</v>
      </c>
      <c r="F3724" s="829">
        <v>19.28</v>
      </c>
      <c r="G3724" s="830">
        <v>4.47</v>
      </c>
      <c r="H3724" s="831">
        <v>23.75</v>
      </c>
      <c r="I3724" s="846"/>
      <c r="J3724" s="846"/>
      <c r="K3724" s="846"/>
      <c r="L3724" s="846"/>
      <c r="M3724" s="846"/>
      <c r="N3724" s="846"/>
      <c r="O3724" s="846"/>
      <c r="P3724" s="846"/>
      <c r="Q3724" s="846"/>
      <c r="R3724" s="846"/>
      <c r="S3724" s="846"/>
      <c r="T3724" s="846"/>
    </row>
    <row r="3725" spans="2:20" ht="25.5" hidden="1">
      <c r="B3725" s="828" t="s">
        <v>6547</v>
      </c>
      <c r="C3725" s="828">
        <v>89500</v>
      </c>
      <c r="D3725" s="630" t="s">
        <v>7953</v>
      </c>
      <c r="E3725" s="630" t="s">
        <v>646</v>
      </c>
      <c r="F3725" s="829">
        <v>11.48</v>
      </c>
      <c r="G3725" s="830">
        <v>4.4800000000000004</v>
      </c>
      <c r="H3725" s="831">
        <v>15.96</v>
      </c>
      <c r="I3725" s="846"/>
      <c r="J3725" s="846"/>
      <c r="K3725" s="846"/>
      <c r="L3725" s="846"/>
      <c r="M3725" s="846"/>
      <c r="N3725" s="846"/>
      <c r="O3725" s="846"/>
      <c r="P3725" s="846"/>
      <c r="Q3725" s="846"/>
      <c r="R3725" s="846"/>
      <c r="S3725" s="846"/>
      <c r="T3725" s="846"/>
    </row>
    <row r="3726" spans="2:20" ht="25.5" hidden="1">
      <c r="B3726" s="828" t="s">
        <v>6547</v>
      </c>
      <c r="C3726" s="828">
        <v>89501</v>
      </c>
      <c r="D3726" s="630" t="s">
        <v>7954</v>
      </c>
      <c r="E3726" s="630" t="s">
        <v>646</v>
      </c>
      <c r="F3726" s="829">
        <v>11.77</v>
      </c>
      <c r="G3726" s="830">
        <v>5.45</v>
      </c>
      <c r="H3726" s="831">
        <v>17.22</v>
      </c>
      <c r="I3726" s="846"/>
      <c r="J3726" s="846"/>
      <c r="K3726" s="846"/>
      <c r="L3726" s="846"/>
      <c r="M3726" s="846"/>
      <c r="N3726" s="846"/>
      <c r="O3726" s="846"/>
      <c r="P3726" s="846"/>
      <c r="Q3726" s="846"/>
      <c r="R3726" s="846"/>
      <c r="S3726" s="846"/>
      <c r="T3726" s="846"/>
    </row>
    <row r="3727" spans="2:20" ht="25.5" hidden="1">
      <c r="B3727" s="828" t="s">
        <v>6547</v>
      </c>
      <c r="C3727" s="828">
        <v>89502</v>
      </c>
      <c r="D3727" s="630" t="s">
        <v>7955</v>
      </c>
      <c r="E3727" s="630" t="s">
        <v>646</v>
      </c>
      <c r="F3727" s="829">
        <v>14.06</v>
      </c>
      <c r="G3727" s="830">
        <v>5.44</v>
      </c>
      <c r="H3727" s="831">
        <v>19.5</v>
      </c>
      <c r="I3727" s="846"/>
      <c r="J3727" s="846"/>
      <c r="K3727" s="846"/>
      <c r="L3727" s="846"/>
      <c r="M3727" s="846"/>
      <c r="N3727" s="846"/>
      <c r="O3727" s="846"/>
      <c r="P3727" s="846"/>
      <c r="Q3727" s="846"/>
      <c r="R3727" s="846"/>
      <c r="S3727" s="846"/>
      <c r="T3727" s="846"/>
    </row>
    <row r="3728" spans="2:20" ht="25.5" hidden="1">
      <c r="B3728" s="828" t="s">
        <v>6547</v>
      </c>
      <c r="C3728" s="828">
        <v>89503</v>
      </c>
      <c r="D3728" s="630" t="s">
        <v>7956</v>
      </c>
      <c r="E3728" s="630" t="s">
        <v>646</v>
      </c>
      <c r="F3728" s="829">
        <v>24.03</v>
      </c>
      <c r="G3728" s="830">
        <v>5.44</v>
      </c>
      <c r="H3728" s="831">
        <v>29.47</v>
      </c>
      <c r="I3728" s="846"/>
      <c r="J3728" s="846"/>
      <c r="K3728" s="846"/>
      <c r="L3728" s="846"/>
      <c r="M3728" s="846"/>
      <c r="N3728" s="846"/>
      <c r="O3728" s="846"/>
      <c r="P3728" s="846"/>
      <c r="Q3728" s="846"/>
      <c r="R3728" s="846"/>
      <c r="S3728" s="846"/>
      <c r="T3728" s="846"/>
    </row>
    <row r="3729" spans="2:20" ht="25.5" hidden="1">
      <c r="B3729" s="828" t="s">
        <v>6547</v>
      </c>
      <c r="C3729" s="828">
        <v>89504</v>
      </c>
      <c r="D3729" s="630" t="s">
        <v>7957</v>
      </c>
      <c r="E3729" s="630" t="s">
        <v>646</v>
      </c>
      <c r="F3729" s="829">
        <v>20.420000000000002</v>
      </c>
      <c r="G3729" s="830">
        <v>5.44</v>
      </c>
      <c r="H3729" s="831">
        <v>25.86</v>
      </c>
      <c r="I3729" s="846"/>
      <c r="J3729" s="846"/>
      <c r="K3729" s="846"/>
      <c r="L3729" s="846"/>
      <c r="M3729" s="846"/>
      <c r="N3729" s="846"/>
      <c r="O3729" s="846"/>
      <c r="P3729" s="846"/>
      <c r="Q3729" s="846"/>
      <c r="R3729" s="846"/>
      <c r="S3729" s="846"/>
      <c r="T3729" s="846"/>
    </row>
    <row r="3730" spans="2:20" ht="25.5" hidden="1">
      <c r="B3730" s="828" t="s">
        <v>6547</v>
      </c>
      <c r="C3730" s="828">
        <v>89505</v>
      </c>
      <c r="D3730" s="630" t="s">
        <v>7958</v>
      </c>
      <c r="E3730" s="630" t="s">
        <v>646</v>
      </c>
      <c r="F3730" s="829">
        <v>37.22</v>
      </c>
      <c r="G3730" s="830">
        <v>6.44</v>
      </c>
      <c r="H3730" s="831">
        <v>43.66</v>
      </c>
      <c r="I3730" s="846"/>
      <c r="J3730" s="846"/>
      <c r="K3730" s="846"/>
      <c r="L3730" s="846"/>
      <c r="M3730" s="846"/>
      <c r="N3730" s="846"/>
      <c r="O3730" s="846"/>
      <c r="P3730" s="846"/>
      <c r="Q3730" s="846"/>
      <c r="R3730" s="846"/>
      <c r="S3730" s="846"/>
      <c r="T3730" s="846"/>
    </row>
    <row r="3731" spans="2:20" ht="25.5" hidden="1">
      <c r="B3731" s="828" t="s">
        <v>6547</v>
      </c>
      <c r="C3731" s="828">
        <v>89506</v>
      </c>
      <c r="D3731" s="630" t="s">
        <v>7959</v>
      </c>
      <c r="E3731" s="630" t="s">
        <v>646</v>
      </c>
      <c r="F3731" s="829">
        <v>42.66</v>
      </c>
      <c r="G3731" s="830">
        <v>6.44</v>
      </c>
      <c r="H3731" s="831">
        <v>49.1</v>
      </c>
      <c r="I3731" s="846"/>
      <c r="J3731" s="846"/>
      <c r="K3731" s="846"/>
      <c r="L3731" s="846"/>
      <c r="M3731" s="846"/>
      <c r="N3731" s="846"/>
      <c r="O3731" s="846"/>
      <c r="P3731" s="846"/>
      <c r="Q3731" s="846"/>
      <c r="R3731" s="846"/>
      <c r="S3731" s="846"/>
      <c r="T3731" s="846"/>
    </row>
    <row r="3732" spans="2:20" ht="25.5" hidden="1">
      <c r="B3732" s="828" t="s">
        <v>6547</v>
      </c>
      <c r="C3732" s="828">
        <v>89507</v>
      </c>
      <c r="D3732" s="630" t="s">
        <v>7960</v>
      </c>
      <c r="E3732" s="630" t="s">
        <v>646</v>
      </c>
      <c r="F3732" s="829">
        <v>54.01</v>
      </c>
      <c r="G3732" s="830">
        <v>6.43</v>
      </c>
      <c r="H3732" s="831">
        <v>60.44</v>
      </c>
      <c r="I3732" s="846"/>
      <c r="J3732" s="846"/>
      <c r="K3732" s="846"/>
      <c r="L3732" s="846"/>
      <c r="M3732" s="846"/>
      <c r="N3732" s="846"/>
      <c r="O3732" s="846"/>
      <c r="P3732" s="846"/>
      <c r="Q3732" s="846"/>
      <c r="R3732" s="846"/>
      <c r="S3732" s="846"/>
      <c r="T3732" s="846"/>
    </row>
    <row r="3733" spans="2:20" ht="25.5" hidden="1">
      <c r="B3733" s="828" t="s">
        <v>6547</v>
      </c>
      <c r="C3733" s="828">
        <v>89510</v>
      </c>
      <c r="D3733" s="630" t="s">
        <v>7961</v>
      </c>
      <c r="E3733" s="630" t="s">
        <v>646</v>
      </c>
      <c r="F3733" s="829">
        <v>33.200000000000003</v>
      </c>
      <c r="G3733" s="830">
        <v>6.44</v>
      </c>
      <c r="H3733" s="831">
        <v>39.64</v>
      </c>
      <c r="I3733" s="846"/>
      <c r="J3733" s="846"/>
      <c r="K3733" s="846"/>
      <c r="L3733" s="846"/>
      <c r="M3733" s="846"/>
      <c r="N3733" s="846"/>
      <c r="O3733" s="846"/>
      <c r="P3733" s="846"/>
      <c r="Q3733" s="846"/>
      <c r="R3733" s="846"/>
      <c r="S3733" s="846"/>
      <c r="T3733" s="846"/>
    </row>
    <row r="3734" spans="2:20" ht="25.5" hidden="1">
      <c r="B3734" s="828" t="s">
        <v>6547</v>
      </c>
      <c r="C3734" s="828">
        <v>89513</v>
      </c>
      <c r="D3734" s="630" t="s">
        <v>7962</v>
      </c>
      <c r="E3734" s="630" t="s">
        <v>646</v>
      </c>
      <c r="F3734" s="829">
        <v>125.97</v>
      </c>
      <c r="G3734" s="830">
        <v>7.9</v>
      </c>
      <c r="H3734" s="831">
        <v>133.87</v>
      </c>
      <c r="I3734" s="846"/>
      <c r="J3734" s="846"/>
      <c r="K3734" s="846"/>
      <c r="L3734" s="846"/>
      <c r="M3734" s="846"/>
      <c r="N3734" s="846"/>
      <c r="O3734" s="846"/>
      <c r="P3734" s="846"/>
      <c r="Q3734" s="846"/>
      <c r="R3734" s="846"/>
      <c r="S3734" s="846"/>
      <c r="T3734" s="846"/>
    </row>
    <row r="3735" spans="2:20" ht="38.25" hidden="1">
      <c r="B3735" s="828" t="s">
        <v>6547</v>
      </c>
      <c r="C3735" s="828">
        <v>89514</v>
      </c>
      <c r="D3735" s="630" t="s">
        <v>7963</v>
      </c>
      <c r="E3735" s="630" t="s">
        <v>646</v>
      </c>
      <c r="F3735" s="829">
        <v>10.56</v>
      </c>
      <c r="G3735" s="830">
        <v>2.0299999999999998</v>
      </c>
      <c r="H3735" s="831">
        <v>12.59</v>
      </c>
      <c r="I3735" s="846"/>
      <c r="J3735" s="846"/>
      <c r="K3735" s="846"/>
      <c r="L3735" s="846"/>
      <c r="M3735" s="846"/>
      <c r="N3735" s="846"/>
      <c r="O3735" s="846"/>
      <c r="P3735" s="846"/>
      <c r="Q3735" s="846"/>
      <c r="R3735" s="846"/>
      <c r="S3735" s="846"/>
      <c r="T3735" s="846"/>
    </row>
    <row r="3736" spans="2:20" ht="25.5" hidden="1">
      <c r="B3736" s="828" t="s">
        <v>6547</v>
      </c>
      <c r="C3736" s="828">
        <v>89515</v>
      </c>
      <c r="D3736" s="630" t="s">
        <v>7964</v>
      </c>
      <c r="E3736" s="630" t="s">
        <v>646</v>
      </c>
      <c r="F3736" s="829">
        <v>92.82</v>
      </c>
      <c r="G3736" s="830">
        <v>7.9</v>
      </c>
      <c r="H3736" s="831">
        <v>100.72</v>
      </c>
      <c r="I3736" s="846"/>
      <c r="J3736" s="846"/>
      <c r="K3736" s="846"/>
      <c r="L3736" s="846"/>
      <c r="M3736" s="846"/>
      <c r="N3736" s="846"/>
      <c r="O3736" s="846"/>
      <c r="P3736" s="846"/>
      <c r="Q3736" s="846"/>
      <c r="R3736" s="846"/>
      <c r="S3736" s="846"/>
      <c r="T3736" s="846"/>
    </row>
    <row r="3737" spans="2:20" ht="38.25" hidden="1">
      <c r="B3737" s="828" t="s">
        <v>6547</v>
      </c>
      <c r="C3737" s="828">
        <v>89516</v>
      </c>
      <c r="D3737" s="630" t="s">
        <v>7965</v>
      </c>
      <c r="E3737" s="630" t="s">
        <v>646</v>
      </c>
      <c r="F3737" s="829">
        <v>8.7899999999999991</v>
      </c>
      <c r="G3737" s="830">
        <v>2.0299999999999998</v>
      </c>
      <c r="H3737" s="831">
        <v>10.82</v>
      </c>
      <c r="I3737" s="846"/>
      <c r="J3737" s="846"/>
      <c r="K3737" s="846"/>
      <c r="L3737" s="846"/>
      <c r="M3737" s="846"/>
      <c r="N3737" s="846"/>
      <c r="O3737" s="846"/>
      <c r="P3737" s="846"/>
      <c r="Q3737" s="846"/>
      <c r="R3737" s="846"/>
      <c r="S3737" s="846"/>
      <c r="T3737" s="846"/>
    </row>
    <row r="3738" spans="2:20" ht="25.5" hidden="1">
      <c r="B3738" s="828" t="s">
        <v>6547</v>
      </c>
      <c r="C3738" s="828">
        <v>89517</v>
      </c>
      <c r="D3738" s="630" t="s">
        <v>7966</v>
      </c>
      <c r="E3738" s="630" t="s">
        <v>646</v>
      </c>
      <c r="F3738" s="829">
        <v>76.7</v>
      </c>
      <c r="G3738" s="830">
        <v>7.9</v>
      </c>
      <c r="H3738" s="831">
        <v>84.6</v>
      </c>
      <c r="I3738" s="846"/>
      <c r="J3738" s="846"/>
      <c r="K3738" s="846"/>
      <c r="L3738" s="846"/>
      <c r="M3738" s="846"/>
      <c r="N3738" s="846"/>
      <c r="O3738" s="846"/>
      <c r="P3738" s="846"/>
      <c r="Q3738" s="846"/>
      <c r="R3738" s="846"/>
      <c r="S3738" s="846"/>
      <c r="T3738" s="846"/>
    </row>
    <row r="3739" spans="2:20" ht="25.5" hidden="1">
      <c r="B3739" s="828" t="s">
        <v>6547</v>
      </c>
      <c r="C3739" s="828">
        <v>89518</v>
      </c>
      <c r="D3739" s="630" t="s">
        <v>7967</v>
      </c>
      <c r="E3739" s="630" t="s">
        <v>646</v>
      </c>
      <c r="F3739" s="829">
        <v>18.18</v>
      </c>
      <c r="G3739" s="830">
        <v>2.6</v>
      </c>
      <c r="H3739" s="831">
        <v>20.78</v>
      </c>
      <c r="I3739" s="846"/>
      <c r="J3739" s="846"/>
      <c r="K3739" s="846"/>
      <c r="L3739" s="846"/>
      <c r="M3739" s="846"/>
      <c r="N3739" s="846"/>
      <c r="O3739" s="846"/>
      <c r="P3739" s="846"/>
      <c r="Q3739" s="846"/>
      <c r="R3739" s="846"/>
      <c r="S3739" s="846"/>
      <c r="T3739" s="846"/>
    </row>
    <row r="3740" spans="2:20" ht="25.5" hidden="1">
      <c r="B3740" s="828" t="s">
        <v>6547</v>
      </c>
      <c r="C3740" s="828">
        <v>89519</v>
      </c>
      <c r="D3740" s="630" t="s">
        <v>7968</v>
      </c>
      <c r="E3740" s="630" t="s">
        <v>646</v>
      </c>
      <c r="F3740" s="829">
        <v>48.88</v>
      </c>
      <c r="G3740" s="830">
        <v>7.9</v>
      </c>
      <c r="H3740" s="831">
        <v>56.78</v>
      </c>
      <c r="I3740" s="846"/>
      <c r="J3740" s="846"/>
      <c r="K3740" s="846"/>
      <c r="L3740" s="846"/>
      <c r="M3740" s="846"/>
      <c r="N3740" s="846"/>
      <c r="O3740" s="846"/>
      <c r="P3740" s="846"/>
      <c r="Q3740" s="846"/>
      <c r="R3740" s="846"/>
      <c r="S3740" s="846"/>
      <c r="T3740" s="846"/>
    </row>
    <row r="3741" spans="2:20" ht="25.5" hidden="1">
      <c r="B3741" s="828" t="s">
        <v>6547</v>
      </c>
      <c r="C3741" s="828">
        <v>89520</v>
      </c>
      <c r="D3741" s="630" t="s">
        <v>7969</v>
      </c>
      <c r="E3741" s="630" t="s">
        <v>646</v>
      </c>
      <c r="F3741" s="829">
        <v>15.84</v>
      </c>
      <c r="G3741" s="830">
        <v>2.6</v>
      </c>
      <c r="H3741" s="831">
        <v>18.440000000000001</v>
      </c>
      <c r="I3741" s="846"/>
      <c r="J3741" s="846"/>
      <c r="K3741" s="846"/>
      <c r="L3741" s="846"/>
      <c r="M3741" s="846"/>
      <c r="N3741" s="846"/>
      <c r="O3741" s="846"/>
      <c r="P3741" s="846"/>
      <c r="Q3741" s="846"/>
      <c r="R3741" s="846"/>
      <c r="S3741" s="846"/>
      <c r="T3741" s="846"/>
    </row>
    <row r="3742" spans="2:20" ht="25.5" hidden="1">
      <c r="B3742" s="828" t="s">
        <v>6547</v>
      </c>
      <c r="C3742" s="828">
        <v>89521</v>
      </c>
      <c r="D3742" s="630" t="s">
        <v>7970</v>
      </c>
      <c r="E3742" s="630" t="s">
        <v>646</v>
      </c>
      <c r="F3742" s="829">
        <v>149.38999999999999</v>
      </c>
      <c r="G3742" s="830">
        <v>8.86</v>
      </c>
      <c r="H3742" s="831">
        <v>158.25</v>
      </c>
      <c r="I3742" s="846"/>
      <c r="J3742" s="846"/>
      <c r="K3742" s="846"/>
      <c r="L3742" s="846"/>
      <c r="M3742" s="846"/>
      <c r="N3742" s="846"/>
      <c r="O3742" s="846"/>
      <c r="P3742" s="846"/>
      <c r="Q3742" s="846"/>
      <c r="R3742" s="846"/>
      <c r="S3742" s="846"/>
      <c r="T3742" s="846"/>
    </row>
    <row r="3743" spans="2:20" ht="25.5" hidden="1">
      <c r="B3743" s="828" t="s">
        <v>6547</v>
      </c>
      <c r="C3743" s="828">
        <v>89522</v>
      </c>
      <c r="D3743" s="630" t="s">
        <v>7971</v>
      </c>
      <c r="E3743" s="630" t="s">
        <v>646</v>
      </c>
      <c r="F3743" s="829">
        <v>35.159999999999997</v>
      </c>
      <c r="G3743" s="830">
        <v>4.0199999999999996</v>
      </c>
      <c r="H3743" s="831">
        <v>39.18</v>
      </c>
      <c r="I3743" s="846"/>
      <c r="J3743" s="846"/>
      <c r="K3743" s="846"/>
      <c r="L3743" s="846"/>
      <c r="M3743" s="846"/>
      <c r="N3743" s="846"/>
      <c r="O3743" s="846"/>
      <c r="P3743" s="846"/>
      <c r="Q3743" s="846"/>
      <c r="R3743" s="846"/>
      <c r="S3743" s="846"/>
      <c r="T3743" s="846"/>
    </row>
    <row r="3744" spans="2:20" ht="25.5" hidden="1">
      <c r="B3744" s="828" t="s">
        <v>6547</v>
      </c>
      <c r="C3744" s="828">
        <v>89523</v>
      </c>
      <c r="D3744" s="630" t="s">
        <v>7972</v>
      </c>
      <c r="E3744" s="630" t="s">
        <v>646</v>
      </c>
      <c r="F3744" s="829">
        <v>110.36</v>
      </c>
      <c r="G3744" s="830">
        <v>8.86</v>
      </c>
      <c r="H3744" s="831">
        <v>119.22</v>
      </c>
      <c r="I3744" s="846"/>
      <c r="J3744" s="846"/>
      <c r="K3744" s="846"/>
      <c r="L3744" s="846"/>
      <c r="M3744" s="846"/>
      <c r="N3744" s="846"/>
      <c r="O3744" s="846"/>
      <c r="P3744" s="846"/>
      <c r="Q3744" s="846"/>
      <c r="R3744" s="846"/>
      <c r="S3744" s="846"/>
      <c r="T3744" s="846"/>
    </row>
    <row r="3745" spans="2:20" ht="25.5" hidden="1">
      <c r="B3745" s="828" t="s">
        <v>6547</v>
      </c>
      <c r="C3745" s="828">
        <v>89524</v>
      </c>
      <c r="D3745" s="630" t="s">
        <v>7973</v>
      </c>
      <c r="E3745" s="630" t="s">
        <v>646</v>
      </c>
      <c r="F3745" s="829">
        <v>30.67</v>
      </c>
      <c r="G3745" s="830">
        <v>4.0199999999999996</v>
      </c>
      <c r="H3745" s="831">
        <v>34.69</v>
      </c>
      <c r="I3745" s="846"/>
      <c r="J3745" s="846"/>
      <c r="K3745" s="846"/>
      <c r="L3745" s="846"/>
      <c r="M3745" s="846"/>
      <c r="N3745" s="846"/>
      <c r="O3745" s="846"/>
      <c r="P3745" s="846"/>
      <c r="Q3745" s="846"/>
      <c r="R3745" s="846"/>
      <c r="S3745" s="846"/>
      <c r="T3745" s="846"/>
    </row>
    <row r="3746" spans="2:20" ht="25.5" hidden="1">
      <c r="B3746" s="828" t="s">
        <v>6547</v>
      </c>
      <c r="C3746" s="828">
        <v>89525</v>
      </c>
      <c r="D3746" s="630" t="s">
        <v>7974</v>
      </c>
      <c r="E3746" s="630" t="s">
        <v>646</v>
      </c>
      <c r="F3746" s="829">
        <v>108.38</v>
      </c>
      <c r="G3746" s="830">
        <v>8.86</v>
      </c>
      <c r="H3746" s="831">
        <v>117.24</v>
      </c>
      <c r="I3746" s="846"/>
      <c r="J3746" s="846"/>
      <c r="K3746" s="846"/>
      <c r="L3746" s="846"/>
      <c r="M3746" s="846"/>
      <c r="N3746" s="846"/>
      <c r="O3746" s="846"/>
      <c r="P3746" s="846"/>
      <c r="Q3746" s="846"/>
      <c r="R3746" s="846"/>
      <c r="S3746" s="846"/>
      <c r="T3746" s="846"/>
    </row>
    <row r="3747" spans="2:20" ht="38.25" hidden="1">
      <c r="B3747" s="828" t="s">
        <v>6547</v>
      </c>
      <c r="C3747" s="828">
        <v>89526</v>
      </c>
      <c r="D3747" s="630" t="s">
        <v>7975</v>
      </c>
      <c r="E3747" s="630" t="s">
        <v>646</v>
      </c>
      <c r="F3747" s="829">
        <v>47.02</v>
      </c>
      <c r="G3747" s="830">
        <v>4.0199999999999996</v>
      </c>
      <c r="H3747" s="831">
        <v>51.04</v>
      </c>
      <c r="I3747" s="846"/>
      <c r="J3747" s="846"/>
      <c r="K3747" s="846"/>
      <c r="L3747" s="846"/>
      <c r="M3747" s="846"/>
      <c r="N3747" s="846"/>
      <c r="O3747" s="846"/>
      <c r="P3747" s="846"/>
      <c r="Q3747" s="846"/>
      <c r="R3747" s="846"/>
      <c r="S3747" s="846"/>
      <c r="T3747" s="846"/>
    </row>
    <row r="3748" spans="2:20" ht="25.5" hidden="1">
      <c r="B3748" s="828" t="s">
        <v>6547</v>
      </c>
      <c r="C3748" s="828">
        <v>89527</v>
      </c>
      <c r="D3748" s="630" t="s">
        <v>7976</v>
      </c>
      <c r="E3748" s="630" t="s">
        <v>646</v>
      </c>
      <c r="F3748" s="829">
        <v>81</v>
      </c>
      <c r="G3748" s="830">
        <v>8.86</v>
      </c>
      <c r="H3748" s="831">
        <v>89.86</v>
      </c>
      <c r="I3748" s="846"/>
      <c r="J3748" s="846"/>
      <c r="K3748" s="846"/>
      <c r="L3748" s="846"/>
      <c r="M3748" s="846"/>
      <c r="N3748" s="846"/>
      <c r="O3748" s="846"/>
      <c r="P3748" s="846"/>
      <c r="Q3748" s="846"/>
      <c r="R3748" s="846"/>
      <c r="S3748" s="846"/>
      <c r="T3748" s="846"/>
    </row>
    <row r="3749" spans="2:20" ht="25.5" hidden="1">
      <c r="B3749" s="828" t="s">
        <v>6547</v>
      </c>
      <c r="C3749" s="828">
        <v>89528</v>
      </c>
      <c r="D3749" s="630" t="s">
        <v>7977</v>
      </c>
      <c r="E3749" s="630" t="s">
        <v>646</v>
      </c>
      <c r="F3749" s="829">
        <v>2.75</v>
      </c>
      <c r="G3749" s="830">
        <v>2.02</v>
      </c>
      <c r="H3749" s="831">
        <v>4.7699999999999996</v>
      </c>
      <c r="I3749" s="846"/>
      <c r="J3749" s="846"/>
      <c r="K3749" s="846"/>
      <c r="L3749" s="846"/>
      <c r="M3749" s="846"/>
      <c r="N3749" s="846"/>
      <c r="O3749" s="846"/>
      <c r="P3749" s="846"/>
      <c r="Q3749" s="846"/>
      <c r="R3749" s="846"/>
      <c r="S3749" s="846"/>
      <c r="T3749" s="846"/>
    </row>
    <row r="3750" spans="2:20" ht="38.25" hidden="1">
      <c r="B3750" s="828" t="s">
        <v>6547</v>
      </c>
      <c r="C3750" s="828">
        <v>89529</v>
      </c>
      <c r="D3750" s="630" t="s">
        <v>7978</v>
      </c>
      <c r="E3750" s="630" t="s">
        <v>646</v>
      </c>
      <c r="F3750" s="829">
        <v>58.91</v>
      </c>
      <c r="G3750" s="830">
        <v>5.5</v>
      </c>
      <c r="H3750" s="831">
        <v>64.41</v>
      </c>
      <c r="I3750" s="846"/>
      <c r="J3750" s="846"/>
      <c r="K3750" s="846"/>
      <c r="L3750" s="846"/>
      <c r="M3750" s="846"/>
      <c r="N3750" s="846"/>
      <c r="O3750" s="846"/>
      <c r="P3750" s="846"/>
      <c r="Q3750" s="846"/>
      <c r="R3750" s="846"/>
      <c r="S3750" s="846"/>
      <c r="T3750" s="846"/>
    </row>
    <row r="3751" spans="2:20" ht="25.5" hidden="1">
      <c r="B3751" s="828" t="s">
        <v>6547</v>
      </c>
      <c r="C3751" s="828">
        <v>89530</v>
      </c>
      <c r="D3751" s="630" t="s">
        <v>7979</v>
      </c>
      <c r="E3751" s="630" t="s">
        <v>646</v>
      </c>
      <c r="F3751" s="829">
        <v>14.91</v>
      </c>
      <c r="G3751" s="830">
        <v>2</v>
      </c>
      <c r="H3751" s="831">
        <v>16.91</v>
      </c>
      <c r="I3751" s="846"/>
      <c r="J3751" s="846"/>
      <c r="K3751" s="846"/>
      <c r="L3751" s="846"/>
      <c r="M3751" s="846"/>
      <c r="N3751" s="846"/>
      <c r="O3751" s="846"/>
      <c r="P3751" s="846"/>
      <c r="Q3751" s="846"/>
      <c r="R3751" s="846"/>
      <c r="S3751" s="846"/>
      <c r="T3751" s="846"/>
    </row>
    <row r="3752" spans="2:20" ht="38.25" hidden="1">
      <c r="B3752" s="828" t="s">
        <v>6547</v>
      </c>
      <c r="C3752" s="828">
        <v>89531</v>
      </c>
      <c r="D3752" s="630" t="s">
        <v>7980</v>
      </c>
      <c r="E3752" s="630" t="s">
        <v>646</v>
      </c>
      <c r="F3752" s="829">
        <v>42.6</v>
      </c>
      <c r="G3752" s="830">
        <v>5.5</v>
      </c>
      <c r="H3752" s="831">
        <v>48.1</v>
      </c>
      <c r="I3752" s="846"/>
      <c r="J3752" s="846"/>
      <c r="K3752" s="846"/>
      <c r="L3752" s="846"/>
      <c r="M3752" s="846"/>
      <c r="N3752" s="846"/>
      <c r="O3752" s="846"/>
      <c r="P3752" s="846"/>
      <c r="Q3752" s="846"/>
      <c r="R3752" s="846"/>
      <c r="S3752" s="846"/>
      <c r="T3752" s="846"/>
    </row>
    <row r="3753" spans="2:20" ht="25.5" hidden="1">
      <c r="B3753" s="828" t="s">
        <v>6547</v>
      </c>
      <c r="C3753" s="828">
        <v>89532</v>
      </c>
      <c r="D3753" s="630" t="s">
        <v>7981</v>
      </c>
      <c r="E3753" s="630" t="s">
        <v>646</v>
      </c>
      <c r="F3753" s="829">
        <v>6.78</v>
      </c>
      <c r="G3753" s="830">
        <v>2.23</v>
      </c>
      <c r="H3753" s="831">
        <v>9.01</v>
      </c>
      <c r="I3753" s="846"/>
      <c r="J3753" s="846"/>
      <c r="K3753" s="846"/>
      <c r="L3753" s="846"/>
      <c r="M3753" s="846"/>
      <c r="N3753" s="846"/>
      <c r="O3753" s="846"/>
      <c r="P3753" s="846"/>
      <c r="Q3753" s="846"/>
      <c r="R3753" s="846"/>
      <c r="S3753" s="846"/>
      <c r="T3753" s="846"/>
    </row>
    <row r="3754" spans="2:20" ht="38.25" hidden="1">
      <c r="B3754" s="828" t="s">
        <v>6547</v>
      </c>
      <c r="C3754" s="828">
        <v>89535</v>
      </c>
      <c r="D3754" s="630" t="s">
        <v>7982</v>
      </c>
      <c r="E3754" s="630" t="s">
        <v>646</v>
      </c>
      <c r="F3754" s="829">
        <v>70.62</v>
      </c>
      <c r="G3754" s="830">
        <v>5.5</v>
      </c>
      <c r="H3754" s="831">
        <v>76.12</v>
      </c>
      <c r="I3754" s="846"/>
      <c r="J3754" s="846"/>
      <c r="K3754" s="846"/>
      <c r="L3754" s="846"/>
      <c r="M3754" s="846"/>
      <c r="N3754" s="846"/>
      <c r="O3754" s="846"/>
      <c r="P3754" s="846"/>
      <c r="Q3754" s="846"/>
      <c r="R3754" s="846"/>
      <c r="S3754" s="846"/>
      <c r="T3754" s="846"/>
    </row>
    <row r="3755" spans="2:20" ht="25.5" hidden="1">
      <c r="B3755" s="828" t="s">
        <v>6547</v>
      </c>
      <c r="C3755" s="828">
        <v>89536</v>
      </c>
      <c r="D3755" s="630" t="s">
        <v>7983</v>
      </c>
      <c r="E3755" s="630" t="s">
        <v>646</v>
      </c>
      <c r="F3755" s="829">
        <v>13.22</v>
      </c>
      <c r="G3755" s="830">
        <v>2</v>
      </c>
      <c r="H3755" s="831">
        <v>15.22</v>
      </c>
      <c r="I3755" s="846"/>
      <c r="J3755" s="846"/>
      <c r="K3755" s="846"/>
      <c r="L3755" s="846"/>
      <c r="M3755" s="846"/>
      <c r="N3755" s="846"/>
      <c r="O3755" s="846"/>
      <c r="P3755" s="846"/>
      <c r="Q3755" s="846"/>
      <c r="R3755" s="846"/>
      <c r="S3755" s="846"/>
      <c r="T3755" s="846"/>
    </row>
    <row r="3756" spans="2:20" ht="38.25" hidden="1">
      <c r="B3756" s="828" t="s">
        <v>6547</v>
      </c>
      <c r="C3756" s="828">
        <v>89539</v>
      </c>
      <c r="D3756" s="630" t="s">
        <v>7984</v>
      </c>
      <c r="E3756" s="630" t="s">
        <v>646</v>
      </c>
      <c r="F3756" s="829">
        <v>45.64</v>
      </c>
      <c r="G3756" s="830">
        <v>5.5</v>
      </c>
      <c r="H3756" s="831">
        <v>51.14</v>
      </c>
      <c r="I3756" s="846"/>
      <c r="J3756" s="846"/>
      <c r="K3756" s="846"/>
      <c r="L3756" s="846"/>
      <c r="M3756" s="846"/>
      <c r="N3756" s="846"/>
      <c r="O3756" s="846"/>
      <c r="P3756" s="846"/>
      <c r="Q3756" s="846"/>
      <c r="R3756" s="846"/>
      <c r="S3756" s="846"/>
      <c r="T3756" s="846"/>
    </row>
    <row r="3757" spans="2:20" ht="25.5" hidden="1">
      <c r="B3757" s="828" t="s">
        <v>6547</v>
      </c>
      <c r="C3757" s="828">
        <v>89540</v>
      </c>
      <c r="D3757" s="630" t="s">
        <v>7985</v>
      </c>
      <c r="E3757" s="630" t="s">
        <v>646</v>
      </c>
      <c r="F3757" s="829">
        <v>10.65</v>
      </c>
      <c r="G3757" s="830">
        <v>2</v>
      </c>
      <c r="H3757" s="831">
        <v>12.65</v>
      </c>
      <c r="I3757" s="846"/>
      <c r="J3757" s="846"/>
      <c r="K3757" s="846"/>
      <c r="L3757" s="846"/>
      <c r="M3757" s="846"/>
      <c r="N3757" s="846"/>
      <c r="O3757" s="846"/>
      <c r="P3757" s="846"/>
      <c r="Q3757" s="846"/>
      <c r="R3757" s="846"/>
      <c r="S3757" s="846"/>
      <c r="T3757" s="846"/>
    </row>
    <row r="3758" spans="2:20" ht="25.5" hidden="1">
      <c r="B3758" s="828" t="s">
        <v>6547</v>
      </c>
      <c r="C3758" s="828">
        <v>89541</v>
      </c>
      <c r="D3758" s="630" t="s">
        <v>7986</v>
      </c>
      <c r="E3758" s="630" t="s">
        <v>646</v>
      </c>
      <c r="F3758" s="829">
        <v>4.7699999999999996</v>
      </c>
      <c r="G3758" s="830">
        <v>2.48</v>
      </c>
      <c r="H3758" s="831">
        <v>7.25</v>
      </c>
      <c r="I3758" s="846"/>
      <c r="J3758" s="846"/>
      <c r="K3758" s="846"/>
      <c r="L3758" s="846"/>
      <c r="M3758" s="846"/>
      <c r="N3758" s="846"/>
      <c r="O3758" s="846"/>
      <c r="P3758" s="846"/>
      <c r="Q3758" s="846"/>
      <c r="R3758" s="846"/>
      <c r="S3758" s="846"/>
      <c r="T3758" s="846"/>
    </row>
    <row r="3759" spans="2:20" ht="25.5" hidden="1">
      <c r="B3759" s="828" t="s">
        <v>6547</v>
      </c>
      <c r="C3759" s="828">
        <v>89542</v>
      </c>
      <c r="D3759" s="630" t="s">
        <v>7987</v>
      </c>
      <c r="E3759" s="630" t="s">
        <v>646</v>
      </c>
      <c r="F3759" s="829">
        <v>33.76</v>
      </c>
      <c r="G3759" s="830">
        <v>2.4500000000000002</v>
      </c>
      <c r="H3759" s="831">
        <v>36.21</v>
      </c>
      <c r="I3759" s="846"/>
      <c r="J3759" s="846"/>
      <c r="K3759" s="846"/>
      <c r="L3759" s="846"/>
      <c r="M3759" s="846"/>
      <c r="N3759" s="846"/>
      <c r="O3759" s="846"/>
      <c r="P3759" s="846"/>
      <c r="Q3759" s="846"/>
      <c r="R3759" s="846"/>
      <c r="S3759" s="846"/>
      <c r="T3759" s="846"/>
    </row>
    <row r="3760" spans="2:20" ht="25.5" hidden="1">
      <c r="B3760" s="828" t="s">
        <v>6547</v>
      </c>
      <c r="C3760" s="828">
        <v>89544</v>
      </c>
      <c r="D3760" s="630" t="s">
        <v>7988</v>
      </c>
      <c r="E3760" s="630" t="s">
        <v>646</v>
      </c>
      <c r="F3760" s="829">
        <v>9.68</v>
      </c>
      <c r="G3760" s="830">
        <v>1.33</v>
      </c>
      <c r="H3760" s="831">
        <v>11.01</v>
      </c>
      <c r="I3760" s="846"/>
      <c r="J3760" s="846"/>
      <c r="K3760" s="846"/>
      <c r="L3760" s="846"/>
      <c r="M3760" s="846"/>
      <c r="N3760" s="846"/>
      <c r="O3760" s="846"/>
      <c r="P3760" s="846"/>
      <c r="Q3760" s="846"/>
      <c r="R3760" s="846"/>
      <c r="S3760" s="846"/>
      <c r="T3760" s="846"/>
    </row>
    <row r="3761" spans="2:20" ht="25.5" hidden="1">
      <c r="B3761" s="828" t="s">
        <v>6547</v>
      </c>
      <c r="C3761" s="828">
        <v>89545</v>
      </c>
      <c r="D3761" s="630" t="s">
        <v>7989</v>
      </c>
      <c r="E3761" s="630" t="s">
        <v>646</v>
      </c>
      <c r="F3761" s="829">
        <v>16.13</v>
      </c>
      <c r="G3761" s="830">
        <v>1.72</v>
      </c>
      <c r="H3761" s="831">
        <v>17.850000000000001</v>
      </c>
      <c r="I3761" s="846"/>
      <c r="J3761" s="846"/>
      <c r="K3761" s="846"/>
      <c r="L3761" s="846"/>
      <c r="M3761" s="846"/>
      <c r="N3761" s="846"/>
      <c r="O3761" s="846"/>
      <c r="P3761" s="846"/>
      <c r="Q3761" s="846"/>
      <c r="R3761" s="846"/>
      <c r="S3761" s="846"/>
      <c r="T3761" s="846"/>
    </row>
    <row r="3762" spans="2:20" ht="38.25" hidden="1">
      <c r="B3762" s="828" t="s">
        <v>6547</v>
      </c>
      <c r="C3762" s="828">
        <v>89546</v>
      </c>
      <c r="D3762" s="630" t="s">
        <v>7990</v>
      </c>
      <c r="E3762" s="630" t="s">
        <v>646</v>
      </c>
      <c r="F3762" s="829">
        <v>13.25</v>
      </c>
      <c r="G3762" s="830">
        <v>1.53</v>
      </c>
      <c r="H3762" s="831">
        <v>14.78</v>
      </c>
      <c r="I3762" s="846"/>
      <c r="J3762" s="846"/>
      <c r="K3762" s="846"/>
      <c r="L3762" s="846"/>
      <c r="M3762" s="846"/>
      <c r="N3762" s="846"/>
      <c r="O3762" s="846"/>
      <c r="P3762" s="846"/>
      <c r="Q3762" s="846"/>
      <c r="R3762" s="846"/>
      <c r="S3762" s="846"/>
      <c r="T3762" s="846"/>
    </row>
    <row r="3763" spans="2:20" ht="25.5" hidden="1">
      <c r="B3763" s="828" t="s">
        <v>6547</v>
      </c>
      <c r="C3763" s="828">
        <v>89547</v>
      </c>
      <c r="D3763" s="630" t="s">
        <v>7991</v>
      </c>
      <c r="E3763" s="630" t="s">
        <v>646</v>
      </c>
      <c r="F3763" s="829">
        <v>23.93</v>
      </c>
      <c r="G3763" s="830">
        <v>2.67</v>
      </c>
      <c r="H3763" s="831">
        <v>26.6</v>
      </c>
      <c r="I3763" s="846"/>
      <c r="J3763" s="846"/>
      <c r="K3763" s="846"/>
      <c r="L3763" s="846"/>
      <c r="M3763" s="846"/>
      <c r="N3763" s="846"/>
      <c r="O3763" s="846"/>
      <c r="P3763" s="846"/>
      <c r="Q3763" s="846"/>
      <c r="R3763" s="846"/>
      <c r="S3763" s="846"/>
      <c r="T3763" s="846"/>
    </row>
    <row r="3764" spans="2:20" ht="25.5" hidden="1">
      <c r="B3764" s="828" t="s">
        <v>6547</v>
      </c>
      <c r="C3764" s="828">
        <v>89548</v>
      </c>
      <c r="D3764" s="630" t="s">
        <v>7992</v>
      </c>
      <c r="E3764" s="630" t="s">
        <v>646</v>
      </c>
      <c r="F3764" s="829">
        <v>26.32</v>
      </c>
      <c r="G3764" s="830">
        <v>2.67</v>
      </c>
      <c r="H3764" s="831">
        <v>28.99</v>
      </c>
      <c r="I3764" s="846"/>
      <c r="J3764" s="846"/>
      <c r="K3764" s="846"/>
      <c r="L3764" s="846"/>
      <c r="M3764" s="846"/>
      <c r="N3764" s="846"/>
      <c r="O3764" s="846"/>
      <c r="P3764" s="846"/>
      <c r="Q3764" s="846"/>
      <c r="R3764" s="846"/>
      <c r="S3764" s="846"/>
      <c r="T3764" s="846"/>
    </row>
    <row r="3765" spans="2:20" ht="38.25" hidden="1">
      <c r="B3765" s="828" t="s">
        <v>6547</v>
      </c>
      <c r="C3765" s="828">
        <v>89549</v>
      </c>
      <c r="D3765" s="630" t="s">
        <v>7993</v>
      </c>
      <c r="E3765" s="630" t="s">
        <v>646</v>
      </c>
      <c r="F3765" s="829">
        <v>17.18</v>
      </c>
      <c r="G3765" s="830">
        <v>2.19</v>
      </c>
      <c r="H3765" s="831">
        <v>19.37</v>
      </c>
      <c r="I3765" s="846"/>
      <c r="J3765" s="846"/>
      <c r="K3765" s="846"/>
      <c r="L3765" s="846"/>
      <c r="M3765" s="846"/>
      <c r="N3765" s="846"/>
      <c r="O3765" s="846"/>
      <c r="P3765" s="846"/>
      <c r="Q3765" s="846"/>
      <c r="R3765" s="846"/>
      <c r="S3765" s="846"/>
      <c r="T3765" s="846"/>
    </row>
    <row r="3766" spans="2:20" ht="25.5" hidden="1">
      <c r="B3766" s="828" t="s">
        <v>6547</v>
      </c>
      <c r="C3766" s="828">
        <v>89550</v>
      </c>
      <c r="D3766" s="630" t="s">
        <v>7994</v>
      </c>
      <c r="E3766" s="630" t="s">
        <v>646</v>
      </c>
      <c r="F3766" s="829">
        <v>48.58</v>
      </c>
      <c r="G3766" s="830">
        <v>2.67</v>
      </c>
      <c r="H3766" s="831">
        <v>51.25</v>
      </c>
      <c r="I3766" s="846"/>
      <c r="J3766" s="846"/>
      <c r="K3766" s="846"/>
      <c r="L3766" s="846"/>
      <c r="M3766" s="846"/>
      <c r="N3766" s="846"/>
      <c r="O3766" s="846"/>
      <c r="P3766" s="846"/>
      <c r="Q3766" s="846"/>
      <c r="R3766" s="846"/>
      <c r="S3766" s="846"/>
      <c r="T3766" s="846"/>
    </row>
    <row r="3767" spans="2:20" ht="25.5" hidden="1">
      <c r="B3767" s="828" t="s">
        <v>6547</v>
      </c>
      <c r="C3767" s="828">
        <v>89551</v>
      </c>
      <c r="D3767" s="630" t="s">
        <v>7995</v>
      </c>
      <c r="E3767" s="630" t="s">
        <v>646</v>
      </c>
      <c r="F3767" s="829">
        <v>8.91</v>
      </c>
      <c r="G3767" s="830">
        <v>2.23</v>
      </c>
      <c r="H3767" s="831">
        <v>11.14</v>
      </c>
      <c r="I3767" s="846"/>
      <c r="J3767" s="846"/>
      <c r="K3767" s="846"/>
      <c r="L3767" s="846"/>
      <c r="M3767" s="846"/>
      <c r="N3767" s="846"/>
      <c r="O3767" s="846"/>
      <c r="P3767" s="846"/>
      <c r="Q3767" s="846"/>
      <c r="R3767" s="846"/>
      <c r="S3767" s="846"/>
      <c r="T3767" s="846"/>
    </row>
    <row r="3768" spans="2:20" ht="25.5" hidden="1">
      <c r="B3768" s="828" t="s">
        <v>6547</v>
      </c>
      <c r="C3768" s="828">
        <v>89552</v>
      </c>
      <c r="D3768" s="630" t="s">
        <v>7996</v>
      </c>
      <c r="E3768" s="630" t="s">
        <v>646</v>
      </c>
      <c r="F3768" s="829">
        <v>21.12</v>
      </c>
      <c r="G3768" s="830">
        <v>2.46</v>
      </c>
      <c r="H3768" s="831">
        <v>23.58</v>
      </c>
      <c r="I3768" s="846"/>
      <c r="J3768" s="846"/>
      <c r="K3768" s="846"/>
      <c r="L3768" s="846"/>
      <c r="M3768" s="846"/>
      <c r="N3768" s="846"/>
      <c r="O3768" s="846"/>
      <c r="P3768" s="846"/>
      <c r="Q3768" s="846"/>
      <c r="R3768" s="846"/>
      <c r="S3768" s="846"/>
      <c r="T3768" s="846"/>
    </row>
    <row r="3769" spans="2:20" ht="38.25" hidden="1">
      <c r="B3769" s="828" t="s">
        <v>6547</v>
      </c>
      <c r="C3769" s="828">
        <v>89553</v>
      </c>
      <c r="D3769" s="630" t="s">
        <v>7997</v>
      </c>
      <c r="E3769" s="630" t="s">
        <v>646</v>
      </c>
      <c r="F3769" s="829">
        <v>4.37</v>
      </c>
      <c r="G3769" s="830">
        <v>2.2400000000000002</v>
      </c>
      <c r="H3769" s="831">
        <v>6.61</v>
      </c>
      <c r="I3769" s="846"/>
      <c r="J3769" s="846"/>
      <c r="K3769" s="846"/>
      <c r="L3769" s="846"/>
      <c r="M3769" s="846"/>
      <c r="N3769" s="846"/>
      <c r="O3769" s="846"/>
      <c r="P3769" s="846"/>
      <c r="Q3769" s="846"/>
      <c r="R3769" s="846"/>
      <c r="S3769" s="846"/>
      <c r="T3769" s="846"/>
    </row>
    <row r="3770" spans="2:20" ht="25.5" hidden="1">
      <c r="B3770" s="828" t="s">
        <v>6547</v>
      </c>
      <c r="C3770" s="828">
        <v>89554</v>
      </c>
      <c r="D3770" s="630" t="s">
        <v>7998</v>
      </c>
      <c r="E3770" s="630" t="s">
        <v>646</v>
      </c>
      <c r="F3770" s="829">
        <v>33.409999999999997</v>
      </c>
      <c r="G3770" s="830">
        <v>3.66</v>
      </c>
      <c r="H3770" s="831">
        <v>37.07</v>
      </c>
      <c r="I3770" s="846"/>
      <c r="J3770" s="846"/>
      <c r="K3770" s="846"/>
      <c r="L3770" s="846"/>
      <c r="M3770" s="846"/>
      <c r="N3770" s="846"/>
      <c r="O3770" s="846"/>
      <c r="P3770" s="846"/>
      <c r="Q3770" s="846"/>
      <c r="R3770" s="846"/>
      <c r="S3770" s="846"/>
      <c r="T3770" s="846"/>
    </row>
    <row r="3771" spans="2:20" ht="25.5" hidden="1">
      <c r="B3771" s="828" t="s">
        <v>6547</v>
      </c>
      <c r="C3771" s="828">
        <v>89555</v>
      </c>
      <c r="D3771" s="630" t="s">
        <v>7999</v>
      </c>
      <c r="E3771" s="630" t="s">
        <v>646</v>
      </c>
      <c r="F3771" s="829">
        <v>26.12</v>
      </c>
      <c r="G3771" s="830">
        <v>2.4500000000000002</v>
      </c>
      <c r="H3771" s="831">
        <v>28.57</v>
      </c>
      <c r="I3771" s="846"/>
      <c r="J3771" s="846"/>
      <c r="K3771" s="846"/>
      <c r="L3771" s="846"/>
      <c r="M3771" s="846"/>
      <c r="N3771" s="846"/>
      <c r="O3771" s="846"/>
      <c r="P3771" s="846"/>
      <c r="Q3771" s="846"/>
      <c r="R3771" s="846"/>
      <c r="S3771" s="846"/>
      <c r="T3771" s="846"/>
    </row>
    <row r="3772" spans="2:20" ht="25.5" hidden="1">
      <c r="B3772" s="828" t="s">
        <v>6547</v>
      </c>
      <c r="C3772" s="828">
        <v>89556</v>
      </c>
      <c r="D3772" s="630" t="s">
        <v>8000</v>
      </c>
      <c r="E3772" s="630" t="s">
        <v>646</v>
      </c>
      <c r="F3772" s="829">
        <v>48.46</v>
      </c>
      <c r="G3772" s="830">
        <v>3.66</v>
      </c>
      <c r="H3772" s="831">
        <v>52.12</v>
      </c>
      <c r="I3772" s="846"/>
      <c r="J3772" s="846"/>
      <c r="K3772" s="846"/>
      <c r="L3772" s="846"/>
      <c r="M3772" s="846"/>
      <c r="N3772" s="846"/>
      <c r="O3772" s="846"/>
      <c r="P3772" s="846"/>
      <c r="Q3772" s="846"/>
      <c r="R3772" s="846"/>
      <c r="S3772" s="846"/>
      <c r="T3772" s="846"/>
    </row>
    <row r="3773" spans="2:20" ht="38.25" hidden="1">
      <c r="B3773" s="828" t="s">
        <v>6547</v>
      </c>
      <c r="C3773" s="828">
        <v>89557</v>
      </c>
      <c r="D3773" s="630" t="s">
        <v>8001</v>
      </c>
      <c r="E3773" s="630" t="s">
        <v>646</v>
      </c>
      <c r="F3773" s="829">
        <v>36.96</v>
      </c>
      <c r="G3773" s="830">
        <v>3.16</v>
      </c>
      <c r="H3773" s="831">
        <v>40.119999999999997</v>
      </c>
      <c r="I3773" s="846"/>
      <c r="J3773" s="846"/>
      <c r="K3773" s="846"/>
      <c r="L3773" s="846"/>
      <c r="M3773" s="846"/>
      <c r="N3773" s="846"/>
      <c r="O3773" s="846"/>
      <c r="P3773" s="846"/>
      <c r="Q3773" s="846"/>
      <c r="R3773" s="846"/>
      <c r="S3773" s="846"/>
      <c r="T3773" s="846"/>
    </row>
    <row r="3774" spans="2:20" ht="25.5" hidden="1">
      <c r="B3774" s="828" t="s">
        <v>6547</v>
      </c>
      <c r="C3774" s="828">
        <v>89558</v>
      </c>
      <c r="D3774" s="630" t="s">
        <v>8002</v>
      </c>
      <c r="E3774" s="630" t="s">
        <v>646</v>
      </c>
      <c r="F3774" s="829">
        <v>7.91</v>
      </c>
      <c r="G3774" s="830">
        <v>2.97</v>
      </c>
      <c r="H3774" s="831">
        <v>10.88</v>
      </c>
      <c r="I3774" s="846"/>
      <c r="J3774" s="846"/>
      <c r="K3774" s="846"/>
      <c r="L3774" s="846"/>
      <c r="M3774" s="846"/>
      <c r="N3774" s="846"/>
      <c r="O3774" s="846"/>
      <c r="P3774" s="846"/>
      <c r="Q3774" s="846"/>
      <c r="R3774" s="846"/>
      <c r="S3774" s="846"/>
      <c r="T3774" s="846"/>
    </row>
    <row r="3775" spans="2:20" ht="25.5" hidden="1">
      <c r="B3775" s="828" t="s">
        <v>6547</v>
      </c>
      <c r="C3775" s="828">
        <v>89559</v>
      </c>
      <c r="D3775" s="630" t="s">
        <v>8003</v>
      </c>
      <c r="E3775" s="630" t="s">
        <v>646</v>
      </c>
      <c r="F3775" s="829">
        <v>84.84</v>
      </c>
      <c r="G3775" s="830">
        <v>3.66</v>
      </c>
      <c r="H3775" s="831">
        <v>88.5</v>
      </c>
      <c r="I3775" s="846"/>
      <c r="J3775" s="846"/>
      <c r="K3775" s="846"/>
      <c r="L3775" s="846"/>
      <c r="M3775" s="846"/>
      <c r="N3775" s="846"/>
      <c r="O3775" s="846"/>
      <c r="P3775" s="846"/>
      <c r="Q3775" s="846"/>
      <c r="R3775" s="846"/>
      <c r="S3775" s="846"/>
      <c r="T3775" s="846"/>
    </row>
    <row r="3776" spans="2:20" ht="25.5" hidden="1">
      <c r="B3776" s="828" t="s">
        <v>6547</v>
      </c>
      <c r="C3776" s="828">
        <v>89561</v>
      </c>
      <c r="D3776" s="630" t="s">
        <v>8004</v>
      </c>
      <c r="E3776" s="630" t="s">
        <v>646</v>
      </c>
      <c r="F3776" s="829">
        <v>13.21</v>
      </c>
      <c r="G3776" s="830">
        <v>2.7</v>
      </c>
      <c r="H3776" s="831">
        <v>15.91</v>
      </c>
      <c r="I3776" s="846"/>
      <c r="J3776" s="846"/>
      <c r="K3776" s="846"/>
      <c r="L3776" s="846"/>
      <c r="M3776" s="846"/>
      <c r="N3776" s="846"/>
      <c r="O3776" s="846"/>
      <c r="P3776" s="846"/>
      <c r="Q3776" s="846"/>
      <c r="R3776" s="846"/>
      <c r="S3776" s="846"/>
      <c r="T3776" s="846"/>
    </row>
    <row r="3777" spans="2:20" ht="25.5" hidden="1">
      <c r="B3777" s="828" t="s">
        <v>6547</v>
      </c>
      <c r="C3777" s="828">
        <v>89562</v>
      </c>
      <c r="D3777" s="630" t="s">
        <v>8005</v>
      </c>
      <c r="E3777" s="630" t="s">
        <v>646</v>
      </c>
      <c r="F3777" s="829">
        <v>8.31</v>
      </c>
      <c r="G3777" s="830">
        <v>2.72</v>
      </c>
      <c r="H3777" s="831">
        <v>11.03</v>
      </c>
      <c r="I3777" s="846"/>
      <c r="J3777" s="846"/>
      <c r="K3777" s="846"/>
      <c r="L3777" s="846"/>
      <c r="M3777" s="846"/>
      <c r="N3777" s="846"/>
      <c r="O3777" s="846"/>
      <c r="P3777" s="846"/>
      <c r="Q3777" s="846"/>
      <c r="R3777" s="846"/>
      <c r="S3777" s="846"/>
      <c r="T3777" s="846"/>
    </row>
    <row r="3778" spans="2:20" ht="25.5" hidden="1">
      <c r="B3778" s="828" t="s">
        <v>6547</v>
      </c>
      <c r="C3778" s="828">
        <v>89563</v>
      </c>
      <c r="D3778" s="630" t="s">
        <v>8006</v>
      </c>
      <c r="E3778" s="630" t="s">
        <v>646</v>
      </c>
      <c r="F3778" s="829">
        <v>25.82</v>
      </c>
      <c r="G3778" s="830">
        <v>3.45</v>
      </c>
      <c r="H3778" s="831">
        <v>29.27</v>
      </c>
      <c r="I3778" s="846"/>
      <c r="J3778" s="846"/>
      <c r="K3778" s="846"/>
      <c r="L3778" s="846"/>
      <c r="M3778" s="846"/>
      <c r="N3778" s="846"/>
      <c r="O3778" s="846"/>
      <c r="P3778" s="846"/>
      <c r="Q3778" s="846"/>
      <c r="R3778" s="846"/>
      <c r="S3778" s="846"/>
      <c r="T3778" s="846"/>
    </row>
    <row r="3779" spans="2:20" ht="25.5" hidden="1">
      <c r="B3779" s="828" t="s">
        <v>6547</v>
      </c>
      <c r="C3779" s="828">
        <v>89564</v>
      </c>
      <c r="D3779" s="630" t="s">
        <v>8007</v>
      </c>
      <c r="E3779" s="630" t="s">
        <v>646</v>
      </c>
      <c r="F3779" s="829">
        <v>17.78</v>
      </c>
      <c r="G3779" s="830">
        <v>2.71</v>
      </c>
      <c r="H3779" s="831">
        <v>20.49</v>
      </c>
      <c r="I3779" s="846"/>
      <c r="J3779" s="846"/>
      <c r="K3779" s="846"/>
      <c r="L3779" s="846"/>
      <c r="M3779" s="846"/>
      <c r="N3779" s="846"/>
      <c r="O3779" s="846"/>
      <c r="P3779" s="846"/>
      <c r="Q3779" s="846"/>
      <c r="R3779" s="846"/>
      <c r="S3779" s="846"/>
      <c r="T3779" s="846"/>
    </row>
    <row r="3780" spans="2:20" ht="38.25" hidden="1">
      <c r="B3780" s="828" t="s">
        <v>6547</v>
      </c>
      <c r="C3780" s="828">
        <v>89565</v>
      </c>
      <c r="D3780" s="630" t="s">
        <v>8008</v>
      </c>
      <c r="E3780" s="630" t="s">
        <v>646</v>
      </c>
      <c r="F3780" s="829">
        <v>62.95</v>
      </c>
      <c r="G3780" s="830">
        <v>5.36</v>
      </c>
      <c r="H3780" s="831">
        <v>68.31</v>
      </c>
      <c r="I3780" s="846"/>
      <c r="J3780" s="846"/>
      <c r="K3780" s="846"/>
      <c r="L3780" s="846"/>
      <c r="M3780" s="846"/>
      <c r="N3780" s="846"/>
      <c r="O3780" s="846"/>
      <c r="P3780" s="846"/>
      <c r="Q3780" s="846"/>
      <c r="R3780" s="846"/>
      <c r="S3780" s="846"/>
      <c r="T3780" s="846"/>
    </row>
    <row r="3781" spans="2:20" ht="25.5" hidden="1">
      <c r="B3781" s="828" t="s">
        <v>6547</v>
      </c>
      <c r="C3781" s="828">
        <v>89566</v>
      </c>
      <c r="D3781" s="630" t="s">
        <v>8009</v>
      </c>
      <c r="E3781" s="630" t="s">
        <v>646</v>
      </c>
      <c r="F3781" s="829">
        <v>53.28</v>
      </c>
      <c r="G3781" s="830">
        <v>5.36</v>
      </c>
      <c r="H3781" s="831">
        <v>58.64</v>
      </c>
      <c r="I3781" s="846"/>
      <c r="J3781" s="846"/>
      <c r="K3781" s="846"/>
      <c r="L3781" s="846"/>
      <c r="M3781" s="846"/>
      <c r="N3781" s="846"/>
      <c r="O3781" s="846"/>
      <c r="P3781" s="846"/>
      <c r="Q3781" s="846"/>
      <c r="R3781" s="846"/>
      <c r="S3781" s="846"/>
      <c r="T3781" s="846"/>
    </row>
    <row r="3782" spans="2:20" ht="38.25" hidden="1">
      <c r="B3782" s="828" t="s">
        <v>6547</v>
      </c>
      <c r="C3782" s="828">
        <v>89567</v>
      </c>
      <c r="D3782" s="630" t="s">
        <v>8010</v>
      </c>
      <c r="E3782" s="630" t="s">
        <v>646</v>
      </c>
      <c r="F3782" s="829">
        <v>96.21</v>
      </c>
      <c r="G3782" s="830">
        <v>7.34</v>
      </c>
      <c r="H3782" s="831">
        <v>103.55</v>
      </c>
      <c r="I3782" s="846"/>
      <c r="J3782" s="846"/>
      <c r="K3782" s="846"/>
      <c r="L3782" s="846"/>
      <c r="M3782" s="846"/>
      <c r="N3782" s="846"/>
      <c r="O3782" s="846"/>
      <c r="P3782" s="846"/>
      <c r="Q3782" s="846"/>
      <c r="R3782" s="846"/>
      <c r="S3782" s="846"/>
      <c r="T3782" s="846"/>
    </row>
    <row r="3783" spans="2:20" ht="25.5" hidden="1">
      <c r="B3783" s="828" t="s">
        <v>6547</v>
      </c>
      <c r="C3783" s="828">
        <v>89568</v>
      </c>
      <c r="D3783" s="630" t="s">
        <v>8011</v>
      </c>
      <c r="E3783" s="630" t="s">
        <v>646</v>
      </c>
      <c r="F3783" s="829">
        <v>39.53</v>
      </c>
      <c r="G3783" s="830">
        <v>2.96</v>
      </c>
      <c r="H3783" s="831">
        <v>42.49</v>
      </c>
      <c r="I3783" s="846"/>
      <c r="J3783" s="846"/>
      <c r="K3783" s="846"/>
      <c r="L3783" s="846"/>
      <c r="M3783" s="846"/>
      <c r="N3783" s="846"/>
      <c r="O3783" s="846"/>
      <c r="P3783" s="846"/>
      <c r="Q3783" s="846"/>
      <c r="R3783" s="846"/>
      <c r="S3783" s="846"/>
      <c r="T3783" s="846"/>
    </row>
    <row r="3784" spans="2:20" ht="38.25" hidden="1">
      <c r="B3784" s="828" t="s">
        <v>6547</v>
      </c>
      <c r="C3784" s="828">
        <v>89569</v>
      </c>
      <c r="D3784" s="630" t="s">
        <v>8012</v>
      </c>
      <c r="E3784" s="630" t="s">
        <v>646</v>
      </c>
      <c r="F3784" s="829">
        <v>92.12</v>
      </c>
      <c r="G3784" s="830">
        <v>6.69</v>
      </c>
      <c r="H3784" s="831">
        <v>98.81</v>
      </c>
      <c r="I3784" s="846"/>
      <c r="J3784" s="846"/>
      <c r="K3784" s="846"/>
      <c r="L3784" s="846"/>
      <c r="M3784" s="846"/>
      <c r="N3784" s="846"/>
      <c r="O3784" s="846"/>
      <c r="P3784" s="846"/>
      <c r="Q3784" s="846"/>
      <c r="R3784" s="846"/>
      <c r="S3784" s="846"/>
      <c r="T3784" s="846"/>
    </row>
    <row r="3785" spans="2:20" ht="38.25" hidden="1">
      <c r="B3785" s="828" t="s">
        <v>6547</v>
      </c>
      <c r="C3785" s="828">
        <v>89570</v>
      </c>
      <c r="D3785" s="630" t="s">
        <v>8013</v>
      </c>
      <c r="E3785" s="630" t="s">
        <v>646</v>
      </c>
      <c r="F3785" s="829">
        <v>11.68</v>
      </c>
      <c r="G3785" s="830">
        <v>2.81</v>
      </c>
      <c r="H3785" s="831">
        <v>14.49</v>
      </c>
      <c r="I3785" s="846"/>
      <c r="J3785" s="846"/>
      <c r="K3785" s="846"/>
      <c r="L3785" s="846"/>
      <c r="M3785" s="846"/>
      <c r="N3785" s="846"/>
      <c r="O3785" s="846"/>
      <c r="P3785" s="846"/>
      <c r="Q3785" s="846"/>
      <c r="R3785" s="846"/>
      <c r="S3785" s="846"/>
      <c r="T3785" s="846"/>
    </row>
    <row r="3786" spans="2:20" ht="25.5" hidden="1">
      <c r="B3786" s="828" t="s">
        <v>6547</v>
      </c>
      <c r="C3786" s="828">
        <v>89571</v>
      </c>
      <c r="D3786" s="630" t="s">
        <v>8014</v>
      </c>
      <c r="E3786" s="630" t="s">
        <v>646</v>
      </c>
      <c r="F3786" s="829">
        <v>93.13</v>
      </c>
      <c r="G3786" s="830">
        <v>7.34</v>
      </c>
      <c r="H3786" s="831">
        <v>100.47</v>
      </c>
      <c r="I3786" s="846"/>
      <c r="J3786" s="846"/>
      <c r="K3786" s="846"/>
      <c r="L3786" s="846"/>
      <c r="M3786" s="846"/>
      <c r="N3786" s="846"/>
      <c r="O3786" s="846"/>
      <c r="P3786" s="846"/>
      <c r="Q3786" s="846"/>
      <c r="R3786" s="846"/>
      <c r="S3786" s="846"/>
      <c r="T3786" s="846"/>
    </row>
    <row r="3787" spans="2:20" ht="38.25" hidden="1">
      <c r="B3787" s="828" t="s">
        <v>6547</v>
      </c>
      <c r="C3787" s="828">
        <v>89572</v>
      </c>
      <c r="D3787" s="630" t="s">
        <v>8015</v>
      </c>
      <c r="E3787" s="630" t="s">
        <v>646</v>
      </c>
      <c r="F3787" s="829">
        <v>7.03</v>
      </c>
      <c r="G3787" s="830">
        <v>2.72</v>
      </c>
      <c r="H3787" s="831">
        <v>9.75</v>
      </c>
      <c r="I3787" s="846"/>
      <c r="J3787" s="846"/>
      <c r="K3787" s="846"/>
      <c r="L3787" s="846"/>
      <c r="M3787" s="846"/>
      <c r="N3787" s="846"/>
      <c r="O3787" s="846"/>
      <c r="P3787" s="846"/>
      <c r="Q3787" s="846"/>
      <c r="R3787" s="846"/>
      <c r="S3787" s="846"/>
      <c r="T3787" s="846"/>
    </row>
    <row r="3788" spans="2:20" ht="25.5" hidden="1">
      <c r="B3788" s="828" t="s">
        <v>6547</v>
      </c>
      <c r="C3788" s="828">
        <v>89573</v>
      </c>
      <c r="D3788" s="630" t="s">
        <v>8016</v>
      </c>
      <c r="E3788" s="630" t="s">
        <v>646</v>
      </c>
      <c r="F3788" s="829">
        <v>80.64</v>
      </c>
      <c r="G3788" s="830">
        <v>6.69</v>
      </c>
      <c r="H3788" s="831">
        <v>87.33</v>
      </c>
      <c r="I3788" s="846"/>
      <c r="J3788" s="846"/>
      <c r="K3788" s="846"/>
      <c r="L3788" s="846"/>
      <c r="M3788" s="846"/>
      <c r="N3788" s="846"/>
      <c r="O3788" s="846"/>
      <c r="P3788" s="846"/>
      <c r="Q3788" s="846"/>
      <c r="R3788" s="846"/>
      <c r="S3788" s="846"/>
      <c r="T3788" s="846"/>
    </row>
    <row r="3789" spans="2:20" ht="38.25" hidden="1">
      <c r="B3789" s="828" t="s">
        <v>6547</v>
      </c>
      <c r="C3789" s="828">
        <v>89574</v>
      </c>
      <c r="D3789" s="630" t="s">
        <v>8017</v>
      </c>
      <c r="E3789" s="630" t="s">
        <v>646</v>
      </c>
      <c r="F3789" s="829">
        <v>165.44</v>
      </c>
      <c r="G3789" s="830">
        <v>11.01</v>
      </c>
      <c r="H3789" s="831">
        <v>176.45</v>
      </c>
      <c r="I3789" s="846"/>
      <c r="J3789" s="846"/>
      <c r="K3789" s="846"/>
      <c r="L3789" s="846"/>
      <c r="M3789" s="846"/>
      <c r="N3789" s="846"/>
      <c r="O3789" s="846"/>
      <c r="P3789" s="846"/>
      <c r="Q3789" s="846"/>
      <c r="R3789" s="846"/>
      <c r="S3789" s="846"/>
      <c r="T3789" s="846"/>
    </row>
    <row r="3790" spans="2:20" ht="25.5" hidden="1">
      <c r="B3790" s="828" t="s">
        <v>6547</v>
      </c>
      <c r="C3790" s="828">
        <v>89575</v>
      </c>
      <c r="D3790" s="630" t="s">
        <v>8018</v>
      </c>
      <c r="E3790" s="630" t="s">
        <v>646</v>
      </c>
      <c r="F3790" s="829">
        <v>9.9600000000000009</v>
      </c>
      <c r="G3790" s="830">
        <v>3.63</v>
      </c>
      <c r="H3790" s="831">
        <v>13.59</v>
      </c>
      <c r="I3790" s="846"/>
      <c r="J3790" s="846"/>
      <c r="K3790" s="846"/>
      <c r="L3790" s="846"/>
      <c r="M3790" s="846"/>
      <c r="N3790" s="846"/>
      <c r="O3790" s="846"/>
      <c r="P3790" s="846"/>
      <c r="Q3790" s="846"/>
      <c r="R3790" s="846"/>
      <c r="S3790" s="846"/>
      <c r="T3790" s="846"/>
    </row>
    <row r="3791" spans="2:20" ht="25.5" hidden="1">
      <c r="B3791" s="828" t="s">
        <v>6547</v>
      </c>
      <c r="C3791" s="828">
        <v>89577</v>
      </c>
      <c r="D3791" s="630" t="s">
        <v>8019</v>
      </c>
      <c r="E3791" s="630" t="s">
        <v>646</v>
      </c>
      <c r="F3791" s="829">
        <v>39.75</v>
      </c>
      <c r="G3791" s="830">
        <v>3.61</v>
      </c>
      <c r="H3791" s="831">
        <v>43.36</v>
      </c>
      <c r="I3791" s="846"/>
      <c r="J3791" s="846"/>
      <c r="K3791" s="846"/>
      <c r="L3791" s="846"/>
      <c r="M3791" s="846"/>
      <c r="N3791" s="846"/>
      <c r="O3791" s="846"/>
      <c r="P3791" s="846"/>
      <c r="Q3791" s="846"/>
      <c r="R3791" s="846"/>
      <c r="S3791" s="846"/>
      <c r="T3791" s="846"/>
    </row>
    <row r="3792" spans="2:20" ht="25.5" hidden="1">
      <c r="B3792" s="828" t="s">
        <v>6547</v>
      </c>
      <c r="C3792" s="828">
        <v>89579</v>
      </c>
      <c r="D3792" s="630" t="s">
        <v>8020</v>
      </c>
      <c r="E3792" s="630" t="s">
        <v>646</v>
      </c>
      <c r="F3792" s="829">
        <v>9.16</v>
      </c>
      <c r="G3792" s="830">
        <v>2.81</v>
      </c>
      <c r="H3792" s="831">
        <v>11.97</v>
      </c>
      <c r="I3792" s="846"/>
      <c r="J3792" s="846"/>
      <c r="K3792" s="846"/>
      <c r="L3792" s="846"/>
      <c r="M3792" s="846"/>
      <c r="N3792" s="846"/>
      <c r="O3792" s="846"/>
      <c r="P3792" s="846"/>
      <c r="Q3792" s="846"/>
      <c r="R3792" s="846"/>
      <c r="S3792" s="846"/>
      <c r="T3792" s="846"/>
    </row>
    <row r="3793" spans="2:20" ht="38.25" hidden="1">
      <c r="B3793" s="828" t="s">
        <v>6547</v>
      </c>
      <c r="C3793" s="828">
        <v>89581</v>
      </c>
      <c r="D3793" s="630" t="s">
        <v>8021</v>
      </c>
      <c r="E3793" s="630" t="s">
        <v>646</v>
      </c>
      <c r="F3793" s="829">
        <v>36.14</v>
      </c>
      <c r="G3793" s="830">
        <v>7.43</v>
      </c>
      <c r="H3793" s="831">
        <v>43.57</v>
      </c>
      <c r="I3793" s="846"/>
      <c r="J3793" s="846"/>
      <c r="K3793" s="846"/>
      <c r="L3793" s="846"/>
      <c r="M3793" s="846"/>
      <c r="N3793" s="846"/>
      <c r="O3793" s="846"/>
      <c r="P3793" s="846"/>
      <c r="Q3793" s="846"/>
      <c r="R3793" s="846"/>
      <c r="S3793" s="846"/>
      <c r="T3793" s="846"/>
    </row>
    <row r="3794" spans="2:20" ht="38.25" hidden="1">
      <c r="B3794" s="828" t="s">
        <v>6547</v>
      </c>
      <c r="C3794" s="828">
        <v>89582</v>
      </c>
      <c r="D3794" s="630" t="s">
        <v>8022</v>
      </c>
      <c r="E3794" s="630" t="s">
        <v>646</v>
      </c>
      <c r="F3794" s="829">
        <v>31.65</v>
      </c>
      <c r="G3794" s="830">
        <v>7.43</v>
      </c>
      <c r="H3794" s="831">
        <v>39.08</v>
      </c>
      <c r="I3794" s="846"/>
      <c r="J3794" s="846"/>
      <c r="K3794" s="846"/>
      <c r="L3794" s="846"/>
      <c r="M3794" s="846"/>
      <c r="N3794" s="846"/>
      <c r="O3794" s="846"/>
      <c r="P3794" s="846"/>
      <c r="Q3794" s="846"/>
      <c r="R3794" s="846"/>
      <c r="S3794" s="846"/>
      <c r="T3794" s="846"/>
    </row>
    <row r="3795" spans="2:20" ht="38.25" hidden="1">
      <c r="B3795" s="828" t="s">
        <v>6547</v>
      </c>
      <c r="C3795" s="828">
        <v>89583</v>
      </c>
      <c r="D3795" s="630" t="s">
        <v>8023</v>
      </c>
      <c r="E3795" s="630" t="s">
        <v>646</v>
      </c>
      <c r="F3795" s="829">
        <v>48.01</v>
      </c>
      <c r="G3795" s="830">
        <v>7.42</v>
      </c>
      <c r="H3795" s="831">
        <v>55.43</v>
      </c>
      <c r="I3795" s="846"/>
      <c r="J3795" s="846"/>
      <c r="K3795" s="846"/>
      <c r="L3795" s="846"/>
      <c r="M3795" s="846"/>
      <c r="N3795" s="846"/>
      <c r="O3795" s="846"/>
      <c r="P3795" s="846"/>
      <c r="Q3795" s="846"/>
      <c r="R3795" s="846"/>
      <c r="S3795" s="846"/>
      <c r="T3795" s="846"/>
    </row>
    <row r="3796" spans="2:20" ht="38.25" hidden="1">
      <c r="B3796" s="828" t="s">
        <v>6547</v>
      </c>
      <c r="C3796" s="828">
        <v>89584</v>
      </c>
      <c r="D3796" s="630" t="s">
        <v>8024</v>
      </c>
      <c r="E3796" s="630" t="s">
        <v>646</v>
      </c>
      <c r="F3796" s="829">
        <v>55.25</v>
      </c>
      <c r="G3796" s="830">
        <v>11.69</v>
      </c>
      <c r="H3796" s="831">
        <v>66.94</v>
      </c>
      <c r="I3796" s="846"/>
      <c r="J3796" s="846"/>
      <c r="K3796" s="846"/>
      <c r="L3796" s="846"/>
      <c r="M3796" s="846"/>
      <c r="N3796" s="846"/>
      <c r="O3796" s="846"/>
      <c r="P3796" s="846"/>
      <c r="Q3796" s="846"/>
      <c r="R3796" s="846"/>
      <c r="S3796" s="846"/>
      <c r="T3796" s="846"/>
    </row>
    <row r="3797" spans="2:20" ht="38.25" hidden="1">
      <c r="B3797" s="828" t="s">
        <v>6547</v>
      </c>
      <c r="C3797" s="828">
        <v>89585</v>
      </c>
      <c r="D3797" s="630" t="s">
        <v>8025</v>
      </c>
      <c r="E3797" s="630" t="s">
        <v>646</v>
      </c>
      <c r="F3797" s="829">
        <v>44.34</v>
      </c>
      <c r="G3797" s="830">
        <v>11.69</v>
      </c>
      <c r="H3797" s="831">
        <v>56.03</v>
      </c>
      <c r="I3797" s="846"/>
      <c r="J3797" s="846"/>
      <c r="K3797" s="846"/>
      <c r="L3797" s="846"/>
      <c r="M3797" s="846"/>
      <c r="N3797" s="846"/>
      <c r="O3797" s="846"/>
      <c r="P3797" s="846"/>
      <c r="Q3797" s="846"/>
      <c r="R3797" s="846"/>
      <c r="S3797" s="846"/>
      <c r="T3797" s="846"/>
    </row>
    <row r="3798" spans="2:20" ht="38.25" hidden="1">
      <c r="B3798" s="828" t="s">
        <v>6547</v>
      </c>
      <c r="C3798" s="828">
        <v>89587</v>
      </c>
      <c r="D3798" s="630" t="s">
        <v>8026</v>
      </c>
      <c r="E3798" s="630" t="s">
        <v>646</v>
      </c>
      <c r="F3798" s="829">
        <v>72.37</v>
      </c>
      <c r="G3798" s="830">
        <v>11.68</v>
      </c>
      <c r="H3798" s="831">
        <v>84.05</v>
      </c>
      <c r="I3798" s="846"/>
      <c r="J3798" s="846"/>
      <c r="K3798" s="846"/>
      <c r="L3798" s="846"/>
      <c r="M3798" s="846"/>
      <c r="N3798" s="846"/>
      <c r="O3798" s="846"/>
      <c r="P3798" s="846"/>
      <c r="Q3798" s="846"/>
      <c r="R3798" s="846"/>
      <c r="S3798" s="846"/>
      <c r="T3798" s="846"/>
    </row>
    <row r="3799" spans="2:20" ht="38.25" hidden="1">
      <c r="B3799" s="828" t="s">
        <v>6547</v>
      </c>
      <c r="C3799" s="828">
        <v>89589</v>
      </c>
      <c r="D3799" s="630" t="s">
        <v>8027</v>
      </c>
      <c r="E3799" s="630" t="s">
        <v>646</v>
      </c>
      <c r="F3799" s="829">
        <v>47.38</v>
      </c>
      <c r="G3799" s="830">
        <v>11.69</v>
      </c>
      <c r="H3799" s="831">
        <v>59.07</v>
      </c>
      <c r="I3799" s="846"/>
      <c r="J3799" s="846"/>
      <c r="K3799" s="846"/>
      <c r="L3799" s="846"/>
      <c r="M3799" s="846"/>
      <c r="N3799" s="846"/>
      <c r="O3799" s="846"/>
      <c r="P3799" s="846"/>
      <c r="Q3799" s="846"/>
      <c r="R3799" s="846"/>
      <c r="S3799" s="846"/>
      <c r="T3799" s="846"/>
    </row>
    <row r="3800" spans="2:20" ht="38.25" hidden="1">
      <c r="B3800" s="828" t="s">
        <v>6547</v>
      </c>
      <c r="C3800" s="828">
        <v>89590</v>
      </c>
      <c r="D3800" s="630" t="s">
        <v>8028</v>
      </c>
      <c r="E3800" s="630" t="s">
        <v>646</v>
      </c>
      <c r="F3800" s="829">
        <v>172.94</v>
      </c>
      <c r="G3800" s="830">
        <v>20.190000000000001</v>
      </c>
      <c r="H3800" s="831">
        <v>193.13</v>
      </c>
      <c r="I3800" s="846"/>
      <c r="J3800" s="846"/>
      <c r="K3800" s="846"/>
      <c r="L3800" s="846"/>
      <c r="M3800" s="846"/>
      <c r="N3800" s="846"/>
      <c r="O3800" s="846"/>
      <c r="P3800" s="846"/>
      <c r="Q3800" s="846"/>
      <c r="R3800" s="846"/>
      <c r="S3800" s="846"/>
      <c r="T3800" s="846"/>
    </row>
    <row r="3801" spans="2:20" ht="38.25" hidden="1">
      <c r="B3801" s="828" t="s">
        <v>6547</v>
      </c>
      <c r="C3801" s="828">
        <v>89591</v>
      </c>
      <c r="D3801" s="630" t="s">
        <v>8029</v>
      </c>
      <c r="E3801" s="630" t="s">
        <v>646</v>
      </c>
      <c r="F3801" s="829">
        <v>141.6</v>
      </c>
      <c r="G3801" s="830">
        <v>20.190000000000001</v>
      </c>
      <c r="H3801" s="831">
        <v>161.79</v>
      </c>
      <c r="I3801" s="846"/>
      <c r="J3801" s="846"/>
      <c r="K3801" s="846"/>
      <c r="L3801" s="846"/>
      <c r="M3801" s="846"/>
      <c r="N3801" s="846"/>
      <c r="O3801" s="846"/>
      <c r="P3801" s="846"/>
      <c r="Q3801" s="846"/>
      <c r="R3801" s="846"/>
      <c r="S3801" s="846"/>
      <c r="T3801" s="846"/>
    </row>
    <row r="3802" spans="2:20" ht="38.25" hidden="1">
      <c r="B3802" s="828" t="s">
        <v>6547</v>
      </c>
      <c r="C3802" s="828">
        <v>89592</v>
      </c>
      <c r="D3802" s="630" t="s">
        <v>8030</v>
      </c>
      <c r="E3802" s="630" t="s">
        <v>646</v>
      </c>
      <c r="F3802" s="829">
        <v>232.72</v>
      </c>
      <c r="G3802" s="830">
        <v>20.190000000000001</v>
      </c>
      <c r="H3802" s="831">
        <v>252.91</v>
      </c>
      <c r="I3802" s="846"/>
      <c r="J3802" s="846"/>
      <c r="K3802" s="846"/>
      <c r="L3802" s="846"/>
      <c r="M3802" s="846"/>
      <c r="N3802" s="846"/>
      <c r="O3802" s="846"/>
      <c r="P3802" s="846"/>
      <c r="Q3802" s="846"/>
      <c r="R3802" s="846"/>
      <c r="S3802" s="846"/>
      <c r="T3802" s="846"/>
    </row>
    <row r="3803" spans="2:20" ht="25.5" hidden="1">
      <c r="B3803" s="828" t="s">
        <v>6547</v>
      </c>
      <c r="C3803" s="828">
        <v>89593</v>
      </c>
      <c r="D3803" s="630" t="s">
        <v>8031</v>
      </c>
      <c r="E3803" s="630" t="s">
        <v>646</v>
      </c>
      <c r="F3803" s="829">
        <v>34.799999999999997</v>
      </c>
      <c r="G3803" s="830">
        <v>3.12</v>
      </c>
      <c r="H3803" s="831">
        <v>37.92</v>
      </c>
      <c r="I3803" s="846"/>
      <c r="J3803" s="846"/>
      <c r="K3803" s="846"/>
      <c r="L3803" s="846"/>
      <c r="M3803" s="846"/>
      <c r="N3803" s="846"/>
      <c r="O3803" s="846"/>
      <c r="P3803" s="846"/>
      <c r="Q3803" s="846"/>
      <c r="R3803" s="846"/>
      <c r="S3803" s="846"/>
      <c r="T3803" s="846"/>
    </row>
    <row r="3804" spans="2:20" ht="25.5" hidden="1">
      <c r="B3804" s="828" t="s">
        <v>6547</v>
      </c>
      <c r="C3804" s="828">
        <v>89594</v>
      </c>
      <c r="D3804" s="630" t="s">
        <v>8032</v>
      </c>
      <c r="E3804" s="630" t="s">
        <v>646</v>
      </c>
      <c r="F3804" s="829">
        <v>43.74</v>
      </c>
      <c r="G3804" s="830">
        <v>3.61</v>
      </c>
      <c r="H3804" s="831">
        <v>47.35</v>
      </c>
      <c r="I3804" s="846"/>
      <c r="J3804" s="846"/>
      <c r="K3804" s="846"/>
      <c r="L3804" s="846"/>
      <c r="M3804" s="846"/>
      <c r="N3804" s="846"/>
      <c r="O3804" s="846"/>
      <c r="P3804" s="846"/>
      <c r="Q3804" s="846"/>
      <c r="R3804" s="846"/>
      <c r="S3804" s="846"/>
      <c r="T3804" s="846"/>
    </row>
    <row r="3805" spans="2:20" ht="38.25" hidden="1">
      <c r="B3805" s="828" t="s">
        <v>6547</v>
      </c>
      <c r="C3805" s="828">
        <v>89595</v>
      </c>
      <c r="D3805" s="630" t="s">
        <v>8033</v>
      </c>
      <c r="E3805" s="630" t="s">
        <v>646</v>
      </c>
      <c r="F3805" s="829">
        <v>13.63</v>
      </c>
      <c r="G3805" s="830">
        <v>3.04</v>
      </c>
      <c r="H3805" s="831">
        <v>16.670000000000002</v>
      </c>
      <c r="I3805" s="846"/>
      <c r="J3805" s="846"/>
      <c r="K3805" s="846"/>
      <c r="L3805" s="846"/>
      <c r="M3805" s="846"/>
      <c r="N3805" s="846"/>
      <c r="O3805" s="846"/>
      <c r="P3805" s="846"/>
      <c r="Q3805" s="846"/>
      <c r="R3805" s="846"/>
      <c r="S3805" s="846"/>
      <c r="T3805" s="846"/>
    </row>
    <row r="3806" spans="2:20" ht="38.25" hidden="1">
      <c r="B3806" s="828" t="s">
        <v>6547</v>
      </c>
      <c r="C3806" s="828">
        <v>89596</v>
      </c>
      <c r="D3806" s="630" t="s">
        <v>8034</v>
      </c>
      <c r="E3806" s="630" t="s">
        <v>646</v>
      </c>
      <c r="F3806" s="829">
        <v>8.89</v>
      </c>
      <c r="G3806" s="830">
        <v>3.14</v>
      </c>
      <c r="H3806" s="831">
        <v>12.03</v>
      </c>
      <c r="I3806" s="846"/>
      <c r="J3806" s="846"/>
      <c r="K3806" s="846"/>
      <c r="L3806" s="846"/>
      <c r="M3806" s="846"/>
      <c r="N3806" s="846"/>
      <c r="O3806" s="846"/>
      <c r="P3806" s="846"/>
      <c r="Q3806" s="846"/>
      <c r="R3806" s="846"/>
      <c r="S3806" s="846"/>
      <c r="T3806" s="846"/>
    </row>
    <row r="3807" spans="2:20" ht="25.5" hidden="1">
      <c r="B3807" s="828" t="s">
        <v>6547</v>
      </c>
      <c r="C3807" s="828">
        <v>89597</v>
      </c>
      <c r="D3807" s="630" t="s">
        <v>8035</v>
      </c>
      <c r="E3807" s="630" t="s">
        <v>646</v>
      </c>
      <c r="F3807" s="829">
        <v>20.66</v>
      </c>
      <c r="G3807" s="830">
        <v>4.28</v>
      </c>
      <c r="H3807" s="831">
        <v>24.94</v>
      </c>
      <c r="I3807" s="846"/>
      <c r="J3807" s="846"/>
      <c r="K3807" s="846"/>
      <c r="L3807" s="846"/>
      <c r="M3807" s="846"/>
      <c r="N3807" s="846"/>
      <c r="O3807" s="846"/>
      <c r="P3807" s="846"/>
      <c r="Q3807" s="846"/>
      <c r="R3807" s="846"/>
      <c r="S3807" s="846"/>
      <c r="T3807" s="846"/>
    </row>
    <row r="3808" spans="2:20" ht="25.5" hidden="1">
      <c r="B3808" s="828" t="s">
        <v>6547</v>
      </c>
      <c r="C3808" s="828">
        <v>89598</v>
      </c>
      <c r="D3808" s="630" t="s">
        <v>8036</v>
      </c>
      <c r="E3808" s="630" t="s">
        <v>646</v>
      </c>
      <c r="F3808" s="829">
        <v>60.99</v>
      </c>
      <c r="G3808" s="830">
        <v>4.2699999999999996</v>
      </c>
      <c r="H3808" s="831">
        <v>65.260000000000005</v>
      </c>
      <c r="I3808" s="846"/>
      <c r="J3808" s="846"/>
      <c r="K3808" s="846"/>
      <c r="L3808" s="846"/>
      <c r="M3808" s="846"/>
      <c r="N3808" s="846"/>
      <c r="O3808" s="846"/>
      <c r="P3808" s="846"/>
      <c r="Q3808" s="846"/>
      <c r="R3808" s="846"/>
      <c r="S3808" s="846"/>
      <c r="T3808" s="846"/>
    </row>
    <row r="3809" spans="2:20" ht="38.25" hidden="1">
      <c r="B3809" s="828" t="s">
        <v>6547</v>
      </c>
      <c r="C3809" s="828">
        <v>89599</v>
      </c>
      <c r="D3809" s="630" t="s">
        <v>8037</v>
      </c>
      <c r="E3809" s="630" t="s">
        <v>646</v>
      </c>
      <c r="F3809" s="829">
        <v>24.57</v>
      </c>
      <c r="G3809" s="830">
        <v>4.96</v>
      </c>
      <c r="H3809" s="831">
        <v>29.53</v>
      </c>
      <c r="I3809" s="846"/>
      <c r="J3809" s="846"/>
      <c r="K3809" s="846"/>
      <c r="L3809" s="846"/>
      <c r="M3809" s="846"/>
      <c r="N3809" s="846"/>
      <c r="O3809" s="846"/>
      <c r="P3809" s="846"/>
      <c r="Q3809" s="846"/>
      <c r="R3809" s="846"/>
      <c r="S3809" s="846"/>
      <c r="T3809" s="846"/>
    </row>
    <row r="3810" spans="2:20" ht="38.25" hidden="1">
      <c r="B3810" s="828" t="s">
        <v>6547</v>
      </c>
      <c r="C3810" s="828">
        <v>89600</v>
      </c>
      <c r="D3810" s="630" t="s">
        <v>8038</v>
      </c>
      <c r="E3810" s="630" t="s">
        <v>646</v>
      </c>
      <c r="F3810" s="829">
        <v>26.95</v>
      </c>
      <c r="G3810" s="830">
        <v>4.96</v>
      </c>
      <c r="H3810" s="831">
        <v>31.91</v>
      </c>
      <c r="I3810" s="846"/>
      <c r="J3810" s="846"/>
      <c r="K3810" s="846"/>
      <c r="L3810" s="846"/>
      <c r="M3810" s="846"/>
      <c r="N3810" s="846"/>
      <c r="O3810" s="846"/>
      <c r="P3810" s="846"/>
      <c r="Q3810" s="846"/>
      <c r="R3810" s="846"/>
      <c r="S3810" s="846"/>
      <c r="T3810" s="846"/>
    </row>
    <row r="3811" spans="2:20" ht="25.5" hidden="1">
      <c r="B3811" s="828" t="s">
        <v>6547</v>
      </c>
      <c r="C3811" s="828">
        <v>89605</v>
      </c>
      <c r="D3811" s="630" t="s">
        <v>8039</v>
      </c>
      <c r="E3811" s="630" t="s">
        <v>646</v>
      </c>
      <c r="F3811" s="829">
        <v>19.45</v>
      </c>
      <c r="G3811" s="830">
        <v>3.96</v>
      </c>
      <c r="H3811" s="831">
        <v>23.41</v>
      </c>
      <c r="I3811" s="846"/>
      <c r="J3811" s="846"/>
      <c r="K3811" s="846"/>
      <c r="L3811" s="846"/>
      <c r="M3811" s="846"/>
      <c r="N3811" s="846"/>
      <c r="O3811" s="846"/>
      <c r="P3811" s="846"/>
      <c r="Q3811" s="846"/>
      <c r="R3811" s="846"/>
      <c r="S3811" s="846"/>
      <c r="T3811" s="846"/>
    </row>
    <row r="3812" spans="2:20" ht="25.5" hidden="1">
      <c r="B3812" s="828" t="s">
        <v>6547</v>
      </c>
      <c r="C3812" s="828">
        <v>89609</v>
      </c>
      <c r="D3812" s="630" t="s">
        <v>8040</v>
      </c>
      <c r="E3812" s="630" t="s">
        <v>646</v>
      </c>
      <c r="F3812" s="829">
        <v>105.12</v>
      </c>
      <c r="G3812" s="830">
        <v>4.2699999999999996</v>
      </c>
      <c r="H3812" s="831">
        <v>109.39</v>
      </c>
      <c r="I3812" s="846"/>
      <c r="J3812" s="846"/>
      <c r="K3812" s="846"/>
      <c r="L3812" s="846"/>
      <c r="M3812" s="846"/>
      <c r="N3812" s="846"/>
      <c r="O3812" s="846"/>
      <c r="P3812" s="846"/>
      <c r="Q3812" s="846"/>
      <c r="R3812" s="846"/>
      <c r="S3812" s="846"/>
      <c r="T3812" s="846"/>
    </row>
    <row r="3813" spans="2:20" ht="38.25" hidden="1">
      <c r="B3813" s="828" t="s">
        <v>6547</v>
      </c>
      <c r="C3813" s="828">
        <v>89610</v>
      </c>
      <c r="D3813" s="630" t="s">
        <v>8041</v>
      </c>
      <c r="E3813" s="630" t="s">
        <v>646</v>
      </c>
      <c r="F3813" s="829">
        <v>20.079999999999998</v>
      </c>
      <c r="G3813" s="830">
        <v>3.95</v>
      </c>
      <c r="H3813" s="831">
        <v>24.03</v>
      </c>
      <c r="I3813" s="846"/>
      <c r="J3813" s="846"/>
      <c r="K3813" s="846"/>
      <c r="L3813" s="846"/>
      <c r="M3813" s="846"/>
      <c r="N3813" s="846"/>
      <c r="O3813" s="846"/>
      <c r="P3813" s="846"/>
      <c r="Q3813" s="846"/>
      <c r="R3813" s="846"/>
      <c r="S3813" s="846"/>
      <c r="T3813" s="846"/>
    </row>
    <row r="3814" spans="2:20" ht="25.5" hidden="1">
      <c r="B3814" s="828" t="s">
        <v>6547</v>
      </c>
      <c r="C3814" s="828">
        <v>89611</v>
      </c>
      <c r="D3814" s="630" t="s">
        <v>8042</v>
      </c>
      <c r="E3814" s="630" t="s">
        <v>646</v>
      </c>
      <c r="F3814" s="829">
        <v>34.33</v>
      </c>
      <c r="G3814" s="830">
        <v>5.24</v>
      </c>
      <c r="H3814" s="831">
        <v>39.57</v>
      </c>
      <c r="I3814" s="846"/>
      <c r="J3814" s="846"/>
      <c r="K3814" s="846"/>
      <c r="L3814" s="846"/>
      <c r="M3814" s="846"/>
      <c r="N3814" s="846"/>
      <c r="O3814" s="846"/>
      <c r="P3814" s="846"/>
      <c r="Q3814" s="846"/>
      <c r="R3814" s="846"/>
      <c r="S3814" s="846"/>
      <c r="T3814" s="846"/>
    </row>
    <row r="3815" spans="2:20" ht="25.5" hidden="1">
      <c r="B3815" s="828" t="s">
        <v>6547</v>
      </c>
      <c r="C3815" s="828">
        <v>89612</v>
      </c>
      <c r="D3815" s="630" t="s">
        <v>8043</v>
      </c>
      <c r="E3815" s="630" t="s">
        <v>646</v>
      </c>
      <c r="F3815" s="829">
        <v>209.04</v>
      </c>
      <c r="G3815" s="830">
        <v>5.24</v>
      </c>
      <c r="H3815" s="831">
        <v>214.28</v>
      </c>
      <c r="I3815" s="846"/>
      <c r="J3815" s="846"/>
      <c r="K3815" s="846"/>
      <c r="L3815" s="846"/>
      <c r="M3815" s="846"/>
      <c r="N3815" s="846"/>
      <c r="O3815" s="846"/>
      <c r="P3815" s="846"/>
      <c r="Q3815" s="846"/>
      <c r="R3815" s="846"/>
      <c r="S3815" s="846"/>
      <c r="T3815" s="846"/>
    </row>
    <row r="3816" spans="2:20" ht="38.25" hidden="1">
      <c r="B3816" s="828" t="s">
        <v>6547</v>
      </c>
      <c r="C3816" s="828">
        <v>89613</v>
      </c>
      <c r="D3816" s="630" t="s">
        <v>1257</v>
      </c>
      <c r="E3816" s="630" t="s">
        <v>646</v>
      </c>
      <c r="F3816" s="829">
        <v>28.84</v>
      </c>
      <c r="G3816" s="830">
        <v>4.74</v>
      </c>
      <c r="H3816" s="831">
        <v>33.58</v>
      </c>
      <c r="I3816" s="846"/>
      <c r="J3816" s="846"/>
      <c r="K3816" s="846"/>
      <c r="L3816" s="846"/>
      <c r="M3816" s="846"/>
      <c r="N3816" s="846"/>
      <c r="O3816" s="846"/>
      <c r="P3816" s="846"/>
      <c r="Q3816" s="846"/>
      <c r="R3816" s="846"/>
      <c r="S3816" s="846"/>
      <c r="T3816" s="846"/>
    </row>
    <row r="3817" spans="2:20" ht="25.5" hidden="1">
      <c r="B3817" s="828" t="s">
        <v>6547</v>
      </c>
      <c r="C3817" s="828">
        <v>89614</v>
      </c>
      <c r="D3817" s="630" t="s">
        <v>8044</v>
      </c>
      <c r="E3817" s="630" t="s">
        <v>646</v>
      </c>
      <c r="F3817" s="829">
        <v>70.599999999999994</v>
      </c>
      <c r="G3817" s="830">
        <v>5.88</v>
      </c>
      <c r="H3817" s="831">
        <v>76.48</v>
      </c>
      <c r="I3817" s="846"/>
      <c r="J3817" s="846"/>
      <c r="K3817" s="846"/>
      <c r="L3817" s="846"/>
      <c r="M3817" s="846"/>
      <c r="N3817" s="846"/>
      <c r="O3817" s="846"/>
      <c r="P3817" s="846"/>
      <c r="Q3817" s="846"/>
      <c r="R3817" s="846"/>
      <c r="S3817" s="846"/>
      <c r="T3817" s="846"/>
    </row>
    <row r="3818" spans="2:20" ht="25.5" hidden="1">
      <c r="B3818" s="828" t="s">
        <v>6547</v>
      </c>
      <c r="C3818" s="828">
        <v>89615</v>
      </c>
      <c r="D3818" s="630" t="s">
        <v>8045</v>
      </c>
      <c r="E3818" s="630" t="s">
        <v>646</v>
      </c>
      <c r="F3818" s="829">
        <v>319.08999999999997</v>
      </c>
      <c r="G3818" s="830">
        <v>5.88</v>
      </c>
      <c r="H3818" s="831">
        <v>324.97000000000003</v>
      </c>
      <c r="I3818" s="846"/>
      <c r="J3818" s="846"/>
      <c r="K3818" s="846"/>
      <c r="L3818" s="846"/>
      <c r="M3818" s="846"/>
      <c r="N3818" s="846"/>
      <c r="O3818" s="846"/>
      <c r="P3818" s="846"/>
      <c r="Q3818" s="846"/>
      <c r="R3818" s="846"/>
      <c r="S3818" s="846"/>
      <c r="T3818" s="846"/>
    </row>
    <row r="3819" spans="2:20" ht="38.25" hidden="1">
      <c r="B3819" s="828" t="s">
        <v>6547</v>
      </c>
      <c r="C3819" s="828">
        <v>89616</v>
      </c>
      <c r="D3819" s="630" t="s">
        <v>8046</v>
      </c>
      <c r="E3819" s="630" t="s">
        <v>646</v>
      </c>
      <c r="F3819" s="829">
        <v>45.23</v>
      </c>
      <c r="G3819" s="830">
        <v>5.56</v>
      </c>
      <c r="H3819" s="831">
        <v>50.79</v>
      </c>
      <c r="I3819" s="846"/>
      <c r="J3819" s="846"/>
      <c r="K3819" s="846"/>
      <c r="L3819" s="846"/>
      <c r="M3819" s="846"/>
      <c r="N3819" s="846"/>
      <c r="O3819" s="846"/>
      <c r="P3819" s="846"/>
      <c r="Q3819" s="846"/>
      <c r="R3819" s="846"/>
      <c r="S3819" s="846"/>
      <c r="T3819" s="846"/>
    </row>
    <row r="3820" spans="2:20" ht="25.5" hidden="1">
      <c r="B3820" s="828" t="s">
        <v>6547</v>
      </c>
      <c r="C3820" s="828">
        <v>89617</v>
      </c>
      <c r="D3820" s="630" t="s">
        <v>8047</v>
      </c>
      <c r="E3820" s="630" t="s">
        <v>646</v>
      </c>
      <c r="F3820" s="829">
        <v>4.49</v>
      </c>
      <c r="G3820" s="830">
        <v>4.04</v>
      </c>
      <c r="H3820" s="831">
        <v>8.5299999999999994</v>
      </c>
      <c r="I3820" s="846"/>
      <c r="J3820" s="846"/>
      <c r="K3820" s="846"/>
      <c r="L3820" s="846"/>
      <c r="M3820" s="846"/>
      <c r="N3820" s="846"/>
      <c r="O3820" s="846"/>
      <c r="P3820" s="846"/>
      <c r="Q3820" s="846"/>
      <c r="R3820" s="846"/>
      <c r="S3820" s="846"/>
      <c r="T3820" s="846"/>
    </row>
    <row r="3821" spans="2:20" ht="25.5" hidden="1">
      <c r="B3821" s="828" t="s">
        <v>6547</v>
      </c>
      <c r="C3821" s="828">
        <v>89620</v>
      </c>
      <c r="D3821" s="630" t="s">
        <v>8048</v>
      </c>
      <c r="E3821" s="630" t="s">
        <v>646</v>
      </c>
      <c r="F3821" s="829">
        <v>9.1</v>
      </c>
      <c r="G3821" s="830">
        <v>4.95</v>
      </c>
      <c r="H3821" s="831">
        <v>14.05</v>
      </c>
      <c r="I3821" s="846"/>
      <c r="J3821" s="846"/>
      <c r="K3821" s="846"/>
      <c r="L3821" s="846"/>
      <c r="M3821" s="846"/>
      <c r="N3821" s="846"/>
      <c r="O3821" s="846"/>
      <c r="P3821" s="846"/>
      <c r="Q3821" s="846"/>
      <c r="R3821" s="846"/>
      <c r="S3821" s="846"/>
      <c r="T3821" s="846"/>
    </row>
    <row r="3822" spans="2:20" ht="25.5" hidden="1">
      <c r="B3822" s="828" t="s">
        <v>6547</v>
      </c>
      <c r="C3822" s="828">
        <v>89622</v>
      </c>
      <c r="D3822" s="630" t="s">
        <v>8049</v>
      </c>
      <c r="E3822" s="630" t="s">
        <v>646</v>
      </c>
      <c r="F3822" s="829">
        <v>11.25</v>
      </c>
      <c r="G3822" s="830">
        <v>4.4800000000000004</v>
      </c>
      <c r="H3822" s="831">
        <v>15.73</v>
      </c>
      <c r="I3822" s="846"/>
      <c r="J3822" s="846"/>
      <c r="K3822" s="846"/>
      <c r="L3822" s="846"/>
      <c r="M3822" s="846"/>
      <c r="N3822" s="846"/>
      <c r="O3822" s="846"/>
      <c r="P3822" s="846"/>
      <c r="Q3822" s="846"/>
      <c r="R3822" s="846"/>
      <c r="S3822" s="846"/>
      <c r="T3822" s="846"/>
    </row>
    <row r="3823" spans="2:20" ht="25.5" hidden="1">
      <c r="B3823" s="828" t="s">
        <v>6547</v>
      </c>
      <c r="C3823" s="828">
        <v>89623</v>
      </c>
      <c r="D3823" s="630" t="s">
        <v>8050</v>
      </c>
      <c r="E3823" s="630" t="s">
        <v>646</v>
      </c>
      <c r="F3823" s="829">
        <v>16.36</v>
      </c>
      <c r="G3823" s="830">
        <v>5.99</v>
      </c>
      <c r="H3823" s="831">
        <v>22.35</v>
      </c>
      <c r="I3823" s="846"/>
      <c r="J3823" s="846"/>
      <c r="K3823" s="846"/>
      <c r="L3823" s="846"/>
      <c r="M3823" s="846"/>
      <c r="N3823" s="846"/>
      <c r="O3823" s="846"/>
      <c r="P3823" s="846"/>
      <c r="Q3823" s="846"/>
      <c r="R3823" s="846"/>
      <c r="S3823" s="846"/>
      <c r="T3823" s="846"/>
    </row>
    <row r="3824" spans="2:20" ht="25.5" hidden="1">
      <c r="B3824" s="828" t="s">
        <v>6547</v>
      </c>
      <c r="C3824" s="828">
        <v>89624</v>
      </c>
      <c r="D3824" s="630" t="s">
        <v>8051</v>
      </c>
      <c r="E3824" s="630" t="s">
        <v>646</v>
      </c>
      <c r="F3824" s="829">
        <v>17.21</v>
      </c>
      <c r="G3824" s="830">
        <v>5.46</v>
      </c>
      <c r="H3824" s="831">
        <v>22.67</v>
      </c>
      <c r="I3824" s="846"/>
      <c r="J3824" s="846"/>
      <c r="K3824" s="846"/>
      <c r="L3824" s="846"/>
      <c r="M3824" s="846"/>
      <c r="N3824" s="846"/>
      <c r="O3824" s="846"/>
      <c r="P3824" s="846"/>
      <c r="Q3824" s="846"/>
      <c r="R3824" s="846"/>
      <c r="S3824" s="846"/>
      <c r="T3824" s="846"/>
    </row>
    <row r="3825" spans="2:20" ht="25.5" hidden="1">
      <c r="B3825" s="828" t="s">
        <v>6547</v>
      </c>
      <c r="C3825" s="828">
        <v>89625</v>
      </c>
      <c r="D3825" s="630" t="s">
        <v>8052</v>
      </c>
      <c r="E3825" s="630" t="s">
        <v>646</v>
      </c>
      <c r="F3825" s="829">
        <v>19.61</v>
      </c>
      <c r="G3825" s="830">
        <v>7.25</v>
      </c>
      <c r="H3825" s="831">
        <v>26.86</v>
      </c>
      <c r="I3825" s="846"/>
      <c r="J3825" s="846"/>
      <c r="K3825" s="846"/>
      <c r="L3825" s="846"/>
      <c r="M3825" s="846"/>
      <c r="N3825" s="846"/>
      <c r="O3825" s="846"/>
      <c r="P3825" s="846"/>
      <c r="Q3825" s="846"/>
      <c r="R3825" s="846"/>
      <c r="S3825" s="846"/>
      <c r="T3825" s="846"/>
    </row>
    <row r="3826" spans="2:20" ht="25.5" hidden="1">
      <c r="B3826" s="828" t="s">
        <v>6547</v>
      </c>
      <c r="C3826" s="828">
        <v>89626</v>
      </c>
      <c r="D3826" s="630" t="s">
        <v>8053</v>
      </c>
      <c r="E3826" s="630" t="s">
        <v>646</v>
      </c>
      <c r="F3826" s="829">
        <v>28.67</v>
      </c>
      <c r="G3826" s="830">
        <v>6.63</v>
      </c>
      <c r="H3826" s="831">
        <v>35.299999999999997</v>
      </c>
      <c r="I3826" s="846"/>
      <c r="J3826" s="846"/>
      <c r="K3826" s="846"/>
      <c r="L3826" s="846"/>
      <c r="M3826" s="846"/>
      <c r="N3826" s="846"/>
      <c r="O3826" s="846"/>
      <c r="P3826" s="846"/>
      <c r="Q3826" s="846"/>
      <c r="R3826" s="846"/>
      <c r="S3826" s="846"/>
      <c r="T3826" s="846"/>
    </row>
    <row r="3827" spans="2:20" ht="25.5" hidden="1">
      <c r="B3827" s="828" t="s">
        <v>6547</v>
      </c>
      <c r="C3827" s="828">
        <v>89627</v>
      </c>
      <c r="D3827" s="630" t="s">
        <v>8054</v>
      </c>
      <c r="E3827" s="630" t="s">
        <v>646</v>
      </c>
      <c r="F3827" s="829">
        <v>16.25</v>
      </c>
      <c r="G3827" s="830">
        <v>5.64</v>
      </c>
      <c r="H3827" s="831">
        <v>21.89</v>
      </c>
      <c r="I3827" s="846"/>
      <c r="J3827" s="846"/>
      <c r="K3827" s="846"/>
      <c r="L3827" s="846"/>
      <c r="M3827" s="846"/>
      <c r="N3827" s="846"/>
      <c r="O3827" s="846"/>
      <c r="P3827" s="846"/>
      <c r="Q3827" s="846"/>
      <c r="R3827" s="846"/>
      <c r="S3827" s="846"/>
      <c r="T3827" s="846"/>
    </row>
    <row r="3828" spans="2:20" ht="25.5" hidden="1">
      <c r="B3828" s="828" t="s">
        <v>6547</v>
      </c>
      <c r="C3828" s="828">
        <v>89628</v>
      </c>
      <c r="D3828" s="630" t="s">
        <v>8055</v>
      </c>
      <c r="E3828" s="630" t="s">
        <v>646</v>
      </c>
      <c r="F3828" s="829">
        <v>47.25</v>
      </c>
      <c r="G3828" s="830">
        <v>8.56</v>
      </c>
      <c r="H3828" s="831">
        <v>55.81</v>
      </c>
      <c r="I3828" s="846"/>
      <c r="J3828" s="846"/>
      <c r="K3828" s="846"/>
      <c r="L3828" s="846"/>
      <c r="M3828" s="846"/>
      <c r="N3828" s="846"/>
      <c r="O3828" s="846"/>
      <c r="P3828" s="846"/>
      <c r="Q3828" s="846"/>
      <c r="R3828" s="846"/>
      <c r="S3828" s="846"/>
      <c r="T3828" s="846"/>
    </row>
    <row r="3829" spans="2:20" ht="25.5" hidden="1">
      <c r="B3829" s="828" t="s">
        <v>6547</v>
      </c>
      <c r="C3829" s="828">
        <v>89629</v>
      </c>
      <c r="D3829" s="630" t="s">
        <v>8056</v>
      </c>
      <c r="E3829" s="630" t="s">
        <v>646</v>
      </c>
      <c r="F3829" s="829">
        <v>89.57</v>
      </c>
      <c r="G3829" s="830">
        <v>10.52</v>
      </c>
      <c r="H3829" s="831">
        <v>100.09</v>
      </c>
      <c r="I3829" s="846"/>
      <c r="J3829" s="846"/>
      <c r="K3829" s="846"/>
      <c r="L3829" s="846"/>
      <c r="M3829" s="846"/>
      <c r="N3829" s="846"/>
      <c r="O3829" s="846"/>
      <c r="P3829" s="846"/>
      <c r="Q3829" s="846"/>
      <c r="R3829" s="846"/>
      <c r="S3829" s="846"/>
      <c r="T3829" s="846"/>
    </row>
    <row r="3830" spans="2:20" ht="25.5" hidden="1">
      <c r="B3830" s="828" t="s">
        <v>6547</v>
      </c>
      <c r="C3830" s="828">
        <v>89630</v>
      </c>
      <c r="D3830" s="630" t="s">
        <v>8057</v>
      </c>
      <c r="E3830" s="630" t="s">
        <v>646</v>
      </c>
      <c r="F3830" s="829">
        <v>73.22</v>
      </c>
      <c r="G3830" s="830">
        <v>8.89</v>
      </c>
      <c r="H3830" s="831">
        <v>82.11</v>
      </c>
      <c r="I3830" s="846"/>
      <c r="J3830" s="846"/>
      <c r="K3830" s="846"/>
      <c r="L3830" s="846"/>
      <c r="M3830" s="846"/>
      <c r="N3830" s="846"/>
      <c r="O3830" s="846"/>
      <c r="P3830" s="846"/>
      <c r="Q3830" s="846"/>
      <c r="R3830" s="846"/>
      <c r="S3830" s="846"/>
      <c r="T3830" s="846"/>
    </row>
    <row r="3831" spans="2:20" ht="25.5" hidden="1">
      <c r="B3831" s="828" t="s">
        <v>6547</v>
      </c>
      <c r="C3831" s="828">
        <v>89631</v>
      </c>
      <c r="D3831" s="630" t="s">
        <v>8058</v>
      </c>
      <c r="E3831" s="630" t="s">
        <v>646</v>
      </c>
      <c r="F3831" s="829">
        <v>141.82</v>
      </c>
      <c r="G3831" s="830">
        <v>11.83</v>
      </c>
      <c r="H3831" s="831">
        <v>153.65</v>
      </c>
      <c r="I3831" s="846"/>
      <c r="J3831" s="846"/>
      <c r="K3831" s="846"/>
      <c r="L3831" s="846"/>
      <c r="M3831" s="846"/>
      <c r="N3831" s="846"/>
      <c r="O3831" s="846"/>
      <c r="P3831" s="846"/>
      <c r="Q3831" s="846"/>
      <c r="R3831" s="846"/>
      <c r="S3831" s="846"/>
      <c r="T3831" s="846"/>
    </row>
    <row r="3832" spans="2:20" ht="25.5" hidden="1">
      <c r="B3832" s="828" t="s">
        <v>6547</v>
      </c>
      <c r="C3832" s="828">
        <v>89632</v>
      </c>
      <c r="D3832" s="630" t="s">
        <v>8059</v>
      </c>
      <c r="E3832" s="630" t="s">
        <v>646</v>
      </c>
      <c r="F3832" s="829">
        <v>110.84</v>
      </c>
      <c r="G3832" s="830">
        <v>10.199999999999999</v>
      </c>
      <c r="H3832" s="831">
        <v>121.04</v>
      </c>
      <c r="I3832" s="846"/>
      <c r="J3832" s="846"/>
      <c r="K3832" s="846"/>
      <c r="L3832" s="846"/>
      <c r="M3832" s="846"/>
      <c r="N3832" s="846"/>
      <c r="O3832" s="846"/>
      <c r="P3832" s="846"/>
      <c r="Q3832" s="846"/>
      <c r="R3832" s="846"/>
      <c r="S3832" s="846"/>
      <c r="T3832" s="846"/>
    </row>
    <row r="3833" spans="2:20" ht="25.5" hidden="1">
      <c r="B3833" s="828" t="s">
        <v>6547</v>
      </c>
      <c r="C3833" s="828">
        <v>89637</v>
      </c>
      <c r="D3833" s="630" t="s">
        <v>8060</v>
      </c>
      <c r="E3833" s="630" t="s">
        <v>646</v>
      </c>
      <c r="F3833" s="829">
        <v>7.64</v>
      </c>
      <c r="G3833" s="830">
        <v>4.7300000000000004</v>
      </c>
      <c r="H3833" s="831">
        <v>12.37</v>
      </c>
      <c r="I3833" s="846"/>
      <c r="J3833" s="846"/>
      <c r="K3833" s="846"/>
      <c r="L3833" s="846"/>
      <c r="M3833" s="846"/>
      <c r="N3833" s="846"/>
      <c r="O3833" s="846"/>
      <c r="P3833" s="846"/>
      <c r="Q3833" s="846"/>
      <c r="R3833" s="846"/>
      <c r="S3833" s="846"/>
      <c r="T3833" s="846"/>
    </row>
    <row r="3834" spans="2:20" ht="25.5" hidden="1">
      <c r="B3834" s="828" t="s">
        <v>6547</v>
      </c>
      <c r="C3834" s="828">
        <v>89638</v>
      </c>
      <c r="D3834" s="630" t="s">
        <v>8061</v>
      </c>
      <c r="E3834" s="630" t="s">
        <v>646</v>
      </c>
      <c r="F3834" s="829">
        <v>9.0399999999999991</v>
      </c>
      <c r="G3834" s="830">
        <v>4.7300000000000004</v>
      </c>
      <c r="H3834" s="831">
        <v>13.77</v>
      </c>
      <c r="I3834" s="846"/>
      <c r="J3834" s="846"/>
      <c r="K3834" s="846"/>
      <c r="L3834" s="846"/>
      <c r="M3834" s="846"/>
      <c r="N3834" s="846"/>
      <c r="O3834" s="846"/>
      <c r="P3834" s="846"/>
      <c r="Q3834" s="846"/>
      <c r="R3834" s="846"/>
      <c r="S3834" s="846"/>
      <c r="T3834" s="846"/>
    </row>
    <row r="3835" spans="2:20" ht="25.5" hidden="1">
      <c r="B3835" s="828" t="s">
        <v>6547</v>
      </c>
      <c r="C3835" s="828">
        <v>89639</v>
      </c>
      <c r="D3835" s="630" t="s">
        <v>8062</v>
      </c>
      <c r="E3835" s="630" t="s">
        <v>646</v>
      </c>
      <c r="F3835" s="829">
        <v>9.6</v>
      </c>
      <c r="G3835" s="830">
        <v>4.72</v>
      </c>
      <c r="H3835" s="831">
        <v>14.32</v>
      </c>
      <c r="I3835" s="846"/>
      <c r="J3835" s="846"/>
      <c r="K3835" s="846"/>
      <c r="L3835" s="846"/>
      <c r="M3835" s="846"/>
      <c r="N3835" s="846"/>
      <c r="O3835" s="846"/>
      <c r="P3835" s="846"/>
      <c r="Q3835" s="846"/>
      <c r="R3835" s="846"/>
      <c r="S3835" s="846"/>
      <c r="T3835" s="846"/>
    </row>
    <row r="3836" spans="2:20" ht="38.25" hidden="1">
      <c r="B3836" s="828" t="s">
        <v>6547</v>
      </c>
      <c r="C3836" s="828">
        <v>89640</v>
      </c>
      <c r="D3836" s="630" t="s">
        <v>8063</v>
      </c>
      <c r="E3836" s="630" t="s">
        <v>646</v>
      </c>
      <c r="F3836" s="829">
        <v>17.97</v>
      </c>
      <c r="G3836" s="830">
        <v>4.72</v>
      </c>
      <c r="H3836" s="831">
        <v>22.69</v>
      </c>
      <c r="I3836" s="846"/>
      <c r="J3836" s="846"/>
      <c r="K3836" s="846"/>
      <c r="L3836" s="846"/>
      <c r="M3836" s="846"/>
      <c r="N3836" s="846"/>
      <c r="O3836" s="846"/>
      <c r="P3836" s="846"/>
      <c r="Q3836" s="846"/>
      <c r="R3836" s="846"/>
      <c r="S3836" s="846"/>
      <c r="T3836" s="846"/>
    </row>
    <row r="3837" spans="2:20" ht="25.5" hidden="1">
      <c r="B3837" s="828" t="s">
        <v>6547</v>
      </c>
      <c r="C3837" s="828">
        <v>89641</v>
      </c>
      <c r="D3837" s="630" t="s">
        <v>8064</v>
      </c>
      <c r="E3837" s="630" t="s">
        <v>646</v>
      </c>
      <c r="F3837" s="829">
        <v>11.54</v>
      </c>
      <c r="G3837" s="830">
        <v>5.97</v>
      </c>
      <c r="H3837" s="831">
        <v>17.510000000000002</v>
      </c>
      <c r="I3837" s="846"/>
      <c r="J3837" s="846"/>
      <c r="K3837" s="846"/>
      <c r="L3837" s="846"/>
      <c r="M3837" s="846"/>
      <c r="N3837" s="846"/>
      <c r="O3837" s="846"/>
      <c r="P3837" s="846"/>
      <c r="Q3837" s="846"/>
      <c r="R3837" s="846"/>
      <c r="S3837" s="846"/>
      <c r="T3837" s="846"/>
    </row>
    <row r="3838" spans="2:20" ht="25.5" hidden="1">
      <c r="B3838" s="828" t="s">
        <v>6547</v>
      </c>
      <c r="C3838" s="828">
        <v>89642</v>
      </c>
      <c r="D3838" s="630" t="s">
        <v>8065</v>
      </c>
      <c r="E3838" s="630" t="s">
        <v>646</v>
      </c>
      <c r="F3838" s="829">
        <v>14.23</v>
      </c>
      <c r="G3838" s="830">
        <v>5.97</v>
      </c>
      <c r="H3838" s="831">
        <v>20.2</v>
      </c>
      <c r="I3838" s="846"/>
      <c r="J3838" s="846"/>
      <c r="K3838" s="846"/>
      <c r="L3838" s="846"/>
      <c r="M3838" s="846"/>
      <c r="N3838" s="846"/>
      <c r="O3838" s="846"/>
      <c r="P3838" s="846"/>
      <c r="Q3838" s="846"/>
      <c r="R3838" s="846"/>
      <c r="S3838" s="846"/>
      <c r="T3838" s="846"/>
    </row>
    <row r="3839" spans="2:20" ht="25.5" hidden="1">
      <c r="B3839" s="828" t="s">
        <v>6547</v>
      </c>
      <c r="C3839" s="828">
        <v>89643</v>
      </c>
      <c r="D3839" s="630" t="s">
        <v>8066</v>
      </c>
      <c r="E3839" s="630" t="s">
        <v>646</v>
      </c>
      <c r="F3839" s="829">
        <v>15.14</v>
      </c>
      <c r="G3839" s="830">
        <v>5.96</v>
      </c>
      <c r="H3839" s="831">
        <v>21.1</v>
      </c>
      <c r="I3839" s="846"/>
      <c r="J3839" s="846"/>
      <c r="K3839" s="846"/>
      <c r="L3839" s="846"/>
      <c r="M3839" s="846"/>
      <c r="N3839" s="846"/>
      <c r="O3839" s="846"/>
      <c r="P3839" s="846"/>
      <c r="Q3839" s="846"/>
      <c r="R3839" s="846"/>
      <c r="S3839" s="846"/>
      <c r="T3839" s="846"/>
    </row>
    <row r="3840" spans="2:20" ht="38.25" hidden="1">
      <c r="B3840" s="828" t="s">
        <v>6547</v>
      </c>
      <c r="C3840" s="828">
        <v>89644</v>
      </c>
      <c r="D3840" s="630" t="s">
        <v>8067</v>
      </c>
      <c r="E3840" s="630" t="s">
        <v>646</v>
      </c>
      <c r="F3840" s="829">
        <v>27.21</v>
      </c>
      <c r="G3840" s="830">
        <v>5.35</v>
      </c>
      <c r="H3840" s="831">
        <v>32.56</v>
      </c>
      <c r="I3840" s="846"/>
      <c r="J3840" s="846"/>
      <c r="K3840" s="846"/>
      <c r="L3840" s="846"/>
      <c r="M3840" s="846"/>
      <c r="N3840" s="846"/>
      <c r="O3840" s="846"/>
      <c r="P3840" s="846"/>
      <c r="Q3840" s="846"/>
      <c r="R3840" s="846"/>
      <c r="S3840" s="846"/>
      <c r="T3840" s="846"/>
    </row>
    <row r="3841" spans="2:20" ht="38.25" hidden="1">
      <c r="B3841" s="828" t="s">
        <v>6547</v>
      </c>
      <c r="C3841" s="828">
        <v>89645</v>
      </c>
      <c r="D3841" s="630" t="s">
        <v>8068</v>
      </c>
      <c r="E3841" s="630" t="s">
        <v>646</v>
      </c>
      <c r="F3841" s="829">
        <v>34.29</v>
      </c>
      <c r="G3841" s="830">
        <v>5.78</v>
      </c>
      <c r="H3841" s="831">
        <v>40.07</v>
      </c>
      <c r="I3841" s="846"/>
      <c r="J3841" s="846"/>
      <c r="K3841" s="846"/>
      <c r="L3841" s="846"/>
      <c r="M3841" s="846"/>
      <c r="N3841" s="846"/>
      <c r="O3841" s="846"/>
      <c r="P3841" s="846"/>
      <c r="Q3841" s="846"/>
      <c r="R3841" s="846"/>
      <c r="S3841" s="846"/>
      <c r="T3841" s="846"/>
    </row>
    <row r="3842" spans="2:20" ht="25.5" hidden="1">
      <c r="B3842" s="828" t="s">
        <v>6547</v>
      </c>
      <c r="C3842" s="828">
        <v>89646</v>
      </c>
      <c r="D3842" s="630" t="s">
        <v>8069</v>
      </c>
      <c r="E3842" s="630" t="s">
        <v>646</v>
      </c>
      <c r="F3842" s="829">
        <v>20.45</v>
      </c>
      <c r="G3842" s="830">
        <v>7.05</v>
      </c>
      <c r="H3842" s="831">
        <v>27.5</v>
      </c>
      <c r="I3842" s="846"/>
      <c r="J3842" s="846"/>
      <c r="K3842" s="846"/>
      <c r="L3842" s="846"/>
      <c r="M3842" s="846"/>
      <c r="N3842" s="846"/>
      <c r="O3842" s="846"/>
      <c r="P3842" s="846"/>
      <c r="Q3842" s="846"/>
      <c r="R3842" s="846"/>
      <c r="S3842" s="846"/>
      <c r="T3842" s="846"/>
    </row>
    <row r="3843" spans="2:20" ht="25.5" hidden="1">
      <c r="B3843" s="828" t="s">
        <v>6547</v>
      </c>
      <c r="C3843" s="828">
        <v>89647</v>
      </c>
      <c r="D3843" s="630" t="s">
        <v>8070</v>
      </c>
      <c r="E3843" s="630" t="s">
        <v>646</v>
      </c>
      <c r="F3843" s="829">
        <v>19.829999999999998</v>
      </c>
      <c r="G3843" s="830">
        <v>7.05</v>
      </c>
      <c r="H3843" s="831">
        <v>26.88</v>
      </c>
      <c r="I3843" s="846"/>
      <c r="J3843" s="846"/>
      <c r="K3843" s="846"/>
      <c r="L3843" s="846"/>
      <c r="M3843" s="846"/>
      <c r="N3843" s="846"/>
      <c r="O3843" s="846"/>
      <c r="P3843" s="846"/>
      <c r="Q3843" s="846"/>
      <c r="R3843" s="846"/>
      <c r="S3843" s="846"/>
      <c r="T3843" s="846"/>
    </row>
    <row r="3844" spans="2:20" ht="25.5" hidden="1">
      <c r="B3844" s="828" t="s">
        <v>6547</v>
      </c>
      <c r="C3844" s="828">
        <v>89648</v>
      </c>
      <c r="D3844" s="630" t="s">
        <v>8071</v>
      </c>
      <c r="E3844" s="630" t="s">
        <v>646</v>
      </c>
      <c r="F3844" s="829">
        <v>22.72</v>
      </c>
      <c r="G3844" s="830">
        <v>7.05</v>
      </c>
      <c r="H3844" s="831">
        <v>29.77</v>
      </c>
      <c r="I3844" s="846"/>
      <c r="J3844" s="846"/>
      <c r="K3844" s="846"/>
      <c r="L3844" s="846"/>
      <c r="M3844" s="846"/>
      <c r="N3844" s="846"/>
      <c r="O3844" s="846"/>
      <c r="P3844" s="846"/>
      <c r="Q3844" s="846"/>
      <c r="R3844" s="846"/>
      <c r="S3844" s="846"/>
      <c r="T3844" s="846"/>
    </row>
    <row r="3845" spans="2:20" ht="25.5" hidden="1">
      <c r="B3845" s="828" t="s">
        <v>6547</v>
      </c>
      <c r="C3845" s="828">
        <v>89649</v>
      </c>
      <c r="D3845" s="630" t="s">
        <v>8072</v>
      </c>
      <c r="E3845" s="630" t="s">
        <v>646</v>
      </c>
      <c r="F3845" s="829">
        <v>32.44</v>
      </c>
      <c r="G3845" s="830">
        <v>8.2899999999999991</v>
      </c>
      <c r="H3845" s="831">
        <v>40.729999999999997</v>
      </c>
      <c r="I3845" s="846"/>
      <c r="J3845" s="846"/>
      <c r="K3845" s="846"/>
      <c r="L3845" s="846"/>
      <c r="M3845" s="846"/>
      <c r="N3845" s="846"/>
      <c r="O3845" s="846"/>
      <c r="P3845" s="846"/>
      <c r="Q3845" s="846"/>
      <c r="R3845" s="846"/>
      <c r="S3845" s="846"/>
      <c r="T3845" s="846"/>
    </row>
    <row r="3846" spans="2:20" ht="25.5" hidden="1">
      <c r="B3846" s="828" t="s">
        <v>6547</v>
      </c>
      <c r="C3846" s="828">
        <v>89650</v>
      </c>
      <c r="D3846" s="630" t="s">
        <v>8073</v>
      </c>
      <c r="E3846" s="630" t="s">
        <v>646</v>
      </c>
      <c r="F3846" s="829">
        <v>32.44</v>
      </c>
      <c r="G3846" s="830">
        <v>8.2899999999999991</v>
      </c>
      <c r="H3846" s="831">
        <v>40.729999999999997</v>
      </c>
      <c r="I3846" s="846"/>
      <c r="J3846" s="846"/>
      <c r="K3846" s="846"/>
      <c r="L3846" s="846"/>
      <c r="M3846" s="846"/>
      <c r="N3846" s="846"/>
      <c r="O3846" s="846"/>
      <c r="P3846" s="846"/>
      <c r="Q3846" s="846"/>
      <c r="R3846" s="846"/>
      <c r="S3846" s="846"/>
      <c r="T3846" s="846"/>
    </row>
    <row r="3847" spans="2:20" ht="25.5" hidden="1">
      <c r="B3847" s="828" t="s">
        <v>6547</v>
      </c>
      <c r="C3847" s="828">
        <v>89651</v>
      </c>
      <c r="D3847" s="630" t="s">
        <v>8074</v>
      </c>
      <c r="E3847" s="630" t="s">
        <v>646</v>
      </c>
      <c r="F3847" s="829">
        <v>5.45</v>
      </c>
      <c r="G3847" s="830">
        <v>3.15</v>
      </c>
      <c r="H3847" s="831">
        <v>8.6</v>
      </c>
      <c r="I3847" s="846"/>
      <c r="J3847" s="846"/>
      <c r="K3847" s="846"/>
      <c r="L3847" s="846"/>
      <c r="M3847" s="846"/>
      <c r="N3847" s="846"/>
      <c r="O3847" s="846"/>
      <c r="P3847" s="846"/>
      <c r="Q3847" s="846"/>
      <c r="R3847" s="846"/>
      <c r="S3847" s="846"/>
      <c r="T3847" s="846"/>
    </row>
    <row r="3848" spans="2:20" ht="25.5" hidden="1">
      <c r="B3848" s="828" t="s">
        <v>6547</v>
      </c>
      <c r="C3848" s="828">
        <v>89652</v>
      </c>
      <c r="D3848" s="630" t="s">
        <v>8075</v>
      </c>
      <c r="E3848" s="630" t="s">
        <v>646</v>
      </c>
      <c r="F3848" s="829">
        <v>11.63</v>
      </c>
      <c r="G3848" s="830">
        <v>3.14</v>
      </c>
      <c r="H3848" s="831">
        <v>14.77</v>
      </c>
      <c r="I3848" s="846"/>
      <c r="J3848" s="846"/>
      <c r="K3848" s="846"/>
      <c r="L3848" s="846"/>
      <c r="M3848" s="846"/>
      <c r="N3848" s="846"/>
      <c r="O3848" s="846"/>
      <c r="P3848" s="846"/>
      <c r="Q3848" s="846"/>
      <c r="R3848" s="846"/>
      <c r="S3848" s="846"/>
      <c r="T3848" s="846"/>
    </row>
    <row r="3849" spans="2:20" ht="38.25" hidden="1">
      <c r="B3849" s="828" t="s">
        <v>6547</v>
      </c>
      <c r="C3849" s="828">
        <v>89653</v>
      </c>
      <c r="D3849" s="630" t="s">
        <v>8076</v>
      </c>
      <c r="E3849" s="630" t="s">
        <v>646</v>
      </c>
      <c r="F3849" s="829">
        <v>21.14</v>
      </c>
      <c r="G3849" s="830">
        <v>3.13</v>
      </c>
      <c r="H3849" s="831">
        <v>24.27</v>
      </c>
      <c r="I3849" s="846"/>
      <c r="J3849" s="846"/>
      <c r="K3849" s="846"/>
      <c r="L3849" s="846"/>
      <c r="M3849" s="846"/>
      <c r="N3849" s="846"/>
      <c r="O3849" s="846"/>
      <c r="P3849" s="846"/>
      <c r="Q3849" s="846"/>
      <c r="R3849" s="846"/>
      <c r="S3849" s="846"/>
      <c r="T3849" s="846"/>
    </row>
    <row r="3850" spans="2:20" ht="25.5" hidden="1">
      <c r="B3850" s="828" t="s">
        <v>6547</v>
      </c>
      <c r="C3850" s="828">
        <v>89654</v>
      </c>
      <c r="D3850" s="630" t="s">
        <v>8077</v>
      </c>
      <c r="E3850" s="630" t="s">
        <v>646</v>
      </c>
      <c r="F3850" s="829">
        <v>20.52</v>
      </c>
      <c r="G3850" s="830">
        <v>3.13</v>
      </c>
      <c r="H3850" s="831">
        <v>23.65</v>
      </c>
      <c r="I3850" s="846"/>
      <c r="J3850" s="846"/>
      <c r="K3850" s="846"/>
      <c r="L3850" s="846"/>
      <c r="M3850" s="846"/>
      <c r="N3850" s="846"/>
      <c r="O3850" s="846"/>
      <c r="P3850" s="846"/>
      <c r="Q3850" s="846"/>
      <c r="R3850" s="846"/>
      <c r="S3850" s="846"/>
      <c r="T3850" s="846"/>
    </row>
    <row r="3851" spans="2:20" ht="25.5" hidden="1">
      <c r="B3851" s="828" t="s">
        <v>6547</v>
      </c>
      <c r="C3851" s="828">
        <v>89655</v>
      </c>
      <c r="D3851" s="630" t="s">
        <v>8078</v>
      </c>
      <c r="E3851" s="630" t="s">
        <v>646</v>
      </c>
      <c r="F3851" s="829">
        <v>32.14</v>
      </c>
      <c r="G3851" s="830">
        <v>3.12</v>
      </c>
      <c r="H3851" s="831">
        <v>35.26</v>
      </c>
      <c r="I3851" s="846"/>
      <c r="J3851" s="846"/>
      <c r="K3851" s="846"/>
      <c r="L3851" s="846"/>
      <c r="M3851" s="846"/>
      <c r="N3851" s="846"/>
      <c r="O3851" s="846"/>
      <c r="P3851" s="846"/>
      <c r="Q3851" s="846"/>
      <c r="R3851" s="846"/>
      <c r="S3851" s="846"/>
      <c r="T3851" s="846"/>
    </row>
    <row r="3852" spans="2:20" ht="25.5" hidden="1">
      <c r="B3852" s="828" t="s">
        <v>6547</v>
      </c>
      <c r="C3852" s="828">
        <v>89656</v>
      </c>
      <c r="D3852" s="630" t="s">
        <v>8079</v>
      </c>
      <c r="E3852" s="630" t="s">
        <v>646</v>
      </c>
      <c r="F3852" s="829">
        <v>12.62</v>
      </c>
      <c r="G3852" s="830">
        <v>3.13</v>
      </c>
      <c r="H3852" s="831">
        <v>15.75</v>
      </c>
      <c r="I3852" s="846"/>
      <c r="J3852" s="846"/>
      <c r="K3852" s="846"/>
      <c r="L3852" s="846"/>
      <c r="M3852" s="846"/>
      <c r="N3852" s="846"/>
      <c r="O3852" s="846"/>
      <c r="P3852" s="846"/>
      <c r="Q3852" s="846"/>
      <c r="R3852" s="846"/>
      <c r="S3852" s="846"/>
      <c r="T3852" s="846"/>
    </row>
    <row r="3853" spans="2:20" ht="38.25" hidden="1">
      <c r="B3853" s="828" t="s">
        <v>6547</v>
      </c>
      <c r="C3853" s="828">
        <v>89657</v>
      </c>
      <c r="D3853" s="630" t="s">
        <v>8080</v>
      </c>
      <c r="E3853" s="630" t="s">
        <v>646</v>
      </c>
      <c r="F3853" s="829">
        <v>12.93</v>
      </c>
      <c r="G3853" s="830">
        <v>3.13</v>
      </c>
      <c r="H3853" s="831">
        <v>16.059999999999999</v>
      </c>
      <c r="I3853" s="846"/>
      <c r="J3853" s="846"/>
      <c r="K3853" s="846"/>
      <c r="L3853" s="846"/>
      <c r="M3853" s="846"/>
      <c r="N3853" s="846"/>
      <c r="O3853" s="846"/>
      <c r="P3853" s="846"/>
      <c r="Q3853" s="846"/>
      <c r="R3853" s="846"/>
      <c r="S3853" s="846"/>
      <c r="T3853" s="846"/>
    </row>
    <row r="3854" spans="2:20" ht="25.5" hidden="1">
      <c r="B3854" s="828" t="s">
        <v>6547</v>
      </c>
      <c r="C3854" s="828">
        <v>89658</v>
      </c>
      <c r="D3854" s="630" t="s">
        <v>8081</v>
      </c>
      <c r="E3854" s="630" t="s">
        <v>646</v>
      </c>
      <c r="F3854" s="829">
        <v>7.92</v>
      </c>
      <c r="G3854" s="830">
        <v>3.99</v>
      </c>
      <c r="H3854" s="831">
        <v>11.91</v>
      </c>
      <c r="I3854" s="846"/>
      <c r="J3854" s="846"/>
      <c r="K3854" s="846"/>
      <c r="L3854" s="846"/>
      <c r="M3854" s="846"/>
      <c r="N3854" s="846"/>
      <c r="O3854" s="846"/>
      <c r="P3854" s="846"/>
      <c r="Q3854" s="846"/>
      <c r="R3854" s="846"/>
      <c r="S3854" s="846"/>
      <c r="T3854" s="846"/>
    </row>
    <row r="3855" spans="2:20" ht="25.5" hidden="1">
      <c r="B3855" s="828" t="s">
        <v>6547</v>
      </c>
      <c r="C3855" s="828">
        <v>89659</v>
      </c>
      <c r="D3855" s="630" t="s">
        <v>8082</v>
      </c>
      <c r="E3855" s="630" t="s">
        <v>646</v>
      </c>
      <c r="F3855" s="829">
        <v>17.39</v>
      </c>
      <c r="G3855" s="830">
        <v>3.98</v>
      </c>
      <c r="H3855" s="831">
        <v>21.37</v>
      </c>
      <c r="I3855" s="846"/>
      <c r="J3855" s="846"/>
      <c r="K3855" s="846"/>
      <c r="L3855" s="846"/>
      <c r="M3855" s="846"/>
      <c r="N3855" s="846"/>
      <c r="O3855" s="846"/>
      <c r="P3855" s="846"/>
      <c r="Q3855" s="846"/>
      <c r="R3855" s="846"/>
      <c r="S3855" s="846"/>
      <c r="T3855" s="846"/>
    </row>
    <row r="3856" spans="2:20" ht="38.25" hidden="1">
      <c r="B3856" s="828" t="s">
        <v>6547</v>
      </c>
      <c r="C3856" s="828">
        <v>89660</v>
      </c>
      <c r="D3856" s="630" t="s">
        <v>8083</v>
      </c>
      <c r="E3856" s="630" t="s">
        <v>646</v>
      </c>
      <c r="F3856" s="829">
        <v>7.15</v>
      </c>
      <c r="G3856" s="830">
        <v>4.17</v>
      </c>
      <c r="H3856" s="831">
        <v>11.32</v>
      </c>
      <c r="I3856" s="846"/>
      <c r="J3856" s="846"/>
      <c r="K3856" s="846"/>
      <c r="L3856" s="846"/>
      <c r="M3856" s="846"/>
      <c r="N3856" s="846"/>
      <c r="O3856" s="846"/>
      <c r="P3856" s="846"/>
      <c r="Q3856" s="846"/>
      <c r="R3856" s="846"/>
      <c r="S3856" s="846"/>
      <c r="T3856" s="846"/>
    </row>
    <row r="3857" spans="2:20" ht="25.5" hidden="1">
      <c r="B3857" s="828" t="s">
        <v>6547</v>
      </c>
      <c r="C3857" s="828">
        <v>89661</v>
      </c>
      <c r="D3857" s="630" t="s">
        <v>8084</v>
      </c>
      <c r="E3857" s="630" t="s">
        <v>646</v>
      </c>
      <c r="F3857" s="829">
        <v>24.58</v>
      </c>
      <c r="G3857" s="830">
        <v>3.98</v>
      </c>
      <c r="H3857" s="831">
        <v>28.56</v>
      </c>
      <c r="I3857" s="846"/>
      <c r="J3857" s="846"/>
      <c r="K3857" s="846"/>
      <c r="L3857" s="846"/>
      <c r="M3857" s="846"/>
      <c r="N3857" s="846"/>
      <c r="O3857" s="846"/>
      <c r="P3857" s="846"/>
      <c r="Q3857" s="846"/>
      <c r="R3857" s="846"/>
      <c r="S3857" s="846"/>
      <c r="T3857" s="846"/>
    </row>
    <row r="3858" spans="2:20" ht="25.5" hidden="1">
      <c r="B3858" s="828" t="s">
        <v>6547</v>
      </c>
      <c r="C3858" s="828">
        <v>89662</v>
      </c>
      <c r="D3858" s="630" t="s">
        <v>8085</v>
      </c>
      <c r="E3858" s="630" t="s">
        <v>646</v>
      </c>
      <c r="F3858" s="829">
        <v>39.39</v>
      </c>
      <c r="G3858" s="830">
        <v>3.55</v>
      </c>
      <c r="H3858" s="831">
        <v>42.94</v>
      </c>
      <c r="I3858" s="846"/>
      <c r="J3858" s="846"/>
      <c r="K3858" s="846"/>
      <c r="L3858" s="846"/>
      <c r="M3858" s="846"/>
      <c r="N3858" s="846"/>
      <c r="O3858" s="846"/>
      <c r="P3858" s="846"/>
      <c r="Q3858" s="846"/>
      <c r="R3858" s="846"/>
      <c r="S3858" s="846"/>
      <c r="T3858" s="846"/>
    </row>
    <row r="3859" spans="2:20" ht="25.5" hidden="1">
      <c r="B3859" s="828" t="s">
        <v>6547</v>
      </c>
      <c r="C3859" s="828">
        <v>89663</v>
      </c>
      <c r="D3859" s="630" t="s">
        <v>8086</v>
      </c>
      <c r="E3859" s="630" t="s">
        <v>646</v>
      </c>
      <c r="F3859" s="829">
        <v>14.18</v>
      </c>
      <c r="G3859" s="830">
        <v>3.98</v>
      </c>
      <c r="H3859" s="831">
        <v>18.16</v>
      </c>
      <c r="I3859" s="846"/>
      <c r="J3859" s="846"/>
      <c r="K3859" s="846"/>
      <c r="L3859" s="846"/>
      <c r="M3859" s="846"/>
      <c r="N3859" s="846"/>
      <c r="O3859" s="846"/>
      <c r="P3859" s="846"/>
      <c r="Q3859" s="846"/>
      <c r="R3859" s="846"/>
      <c r="S3859" s="846"/>
      <c r="T3859" s="846"/>
    </row>
    <row r="3860" spans="2:20" ht="38.25" hidden="1">
      <c r="B3860" s="828" t="s">
        <v>6547</v>
      </c>
      <c r="C3860" s="828">
        <v>89664</v>
      </c>
      <c r="D3860" s="630" t="s">
        <v>8087</v>
      </c>
      <c r="E3860" s="630" t="s">
        <v>646</v>
      </c>
      <c r="F3860" s="829">
        <v>17.39</v>
      </c>
      <c r="G3860" s="830">
        <v>3.98</v>
      </c>
      <c r="H3860" s="831">
        <v>21.37</v>
      </c>
      <c r="I3860" s="846"/>
      <c r="J3860" s="846"/>
      <c r="K3860" s="846"/>
      <c r="L3860" s="846"/>
      <c r="M3860" s="846"/>
      <c r="N3860" s="846"/>
      <c r="O3860" s="846"/>
      <c r="P3860" s="846"/>
      <c r="Q3860" s="846"/>
      <c r="R3860" s="846"/>
      <c r="S3860" s="846"/>
      <c r="T3860" s="846"/>
    </row>
    <row r="3861" spans="2:20" ht="38.25" hidden="1">
      <c r="B3861" s="828" t="s">
        <v>6547</v>
      </c>
      <c r="C3861" s="828">
        <v>89666</v>
      </c>
      <c r="D3861" s="630" t="s">
        <v>8088</v>
      </c>
      <c r="E3861" s="630" t="s">
        <v>646</v>
      </c>
      <c r="F3861" s="829">
        <v>5.07</v>
      </c>
      <c r="G3861" s="830">
        <v>3.58</v>
      </c>
      <c r="H3861" s="831">
        <v>8.65</v>
      </c>
      <c r="I3861" s="846"/>
      <c r="J3861" s="846"/>
      <c r="K3861" s="846"/>
      <c r="L3861" s="846"/>
      <c r="M3861" s="846"/>
      <c r="N3861" s="846"/>
      <c r="O3861" s="846"/>
      <c r="P3861" s="846"/>
      <c r="Q3861" s="846"/>
      <c r="R3861" s="846"/>
      <c r="S3861" s="846"/>
      <c r="T3861" s="846"/>
    </row>
    <row r="3862" spans="2:20" ht="38.25" hidden="1">
      <c r="B3862" s="828" t="s">
        <v>6547</v>
      </c>
      <c r="C3862" s="828">
        <v>89667</v>
      </c>
      <c r="D3862" s="630" t="s">
        <v>8089</v>
      </c>
      <c r="E3862" s="630" t="s">
        <v>646</v>
      </c>
      <c r="F3862" s="829">
        <v>49.22</v>
      </c>
      <c r="G3862" s="830">
        <v>4.95</v>
      </c>
      <c r="H3862" s="831">
        <v>54.17</v>
      </c>
      <c r="I3862" s="846"/>
      <c r="J3862" s="846"/>
      <c r="K3862" s="846"/>
      <c r="L3862" s="846"/>
      <c r="M3862" s="846"/>
      <c r="N3862" s="846"/>
      <c r="O3862" s="846"/>
      <c r="P3862" s="846"/>
      <c r="Q3862" s="846"/>
      <c r="R3862" s="846"/>
      <c r="S3862" s="846"/>
      <c r="T3862" s="846"/>
    </row>
    <row r="3863" spans="2:20" ht="25.5" hidden="1">
      <c r="B3863" s="828" t="s">
        <v>6547</v>
      </c>
      <c r="C3863" s="828">
        <v>89668</v>
      </c>
      <c r="D3863" s="630" t="s">
        <v>8090</v>
      </c>
      <c r="E3863" s="630" t="s">
        <v>646</v>
      </c>
      <c r="F3863" s="829">
        <v>37.69</v>
      </c>
      <c r="G3863" s="830">
        <v>3.85</v>
      </c>
      <c r="H3863" s="831">
        <v>41.54</v>
      </c>
      <c r="I3863" s="846"/>
      <c r="J3863" s="846"/>
      <c r="K3863" s="846"/>
      <c r="L3863" s="846"/>
      <c r="M3863" s="846"/>
      <c r="N3863" s="846"/>
      <c r="O3863" s="846"/>
      <c r="P3863" s="846"/>
      <c r="Q3863" s="846"/>
      <c r="R3863" s="846"/>
      <c r="S3863" s="846"/>
      <c r="T3863" s="846"/>
    </row>
    <row r="3864" spans="2:20" ht="38.25" hidden="1">
      <c r="B3864" s="828" t="s">
        <v>6547</v>
      </c>
      <c r="C3864" s="828">
        <v>89669</v>
      </c>
      <c r="D3864" s="630" t="s">
        <v>8091</v>
      </c>
      <c r="E3864" s="630" t="s">
        <v>646</v>
      </c>
      <c r="F3864" s="829">
        <v>34.6</v>
      </c>
      <c r="G3864" s="830">
        <v>7.79</v>
      </c>
      <c r="H3864" s="831">
        <v>42.39</v>
      </c>
      <c r="I3864" s="846"/>
      <c r="J3864" s="846"/>
      <c r="K3864" s="846"/>
      <c r="L3864" s="846"/>
      <c r="M3864" s="846"/>
      <c r="N3864" s="846"/>
      <c r="O3864" s="846"/>
      <c r="P3864" s="846"/>
      <c r="Q3864" s="846"/>
      <c r="R3864" s="846"/>
      <c r="S3864" s="846"/>
      <c r="T3864" s="846"/>
    </row>
    <row r="3865" spans="2:20" ht="25.5" hidden="1">
      <c r="B3865" s="828" t="s">
        <v>6547</v>
      </c>
      <c r="C3865" s="828">
        <v>89670</v>
      </c>
      <c r="D3865" s="630" t="s">
        <v>8092</v>
      </c>
      <c r="E3865" s="630" t="s">
        <v>646</v>
      </c>
      <c r="F3865" s="829">
        <v>13.07</v>
      </c>
      <c r="G3865" s="830">
        <v>4.6900000000000004</v>
      </c>
      <c r="H3865" s="831">
        <v>17.760000000000002</v>
      </c>
      <c r="I3865" s="846"/>
      <c r="J3865" s="846"/>
      <c r="K3865" s="846"/>
      <c r="L3865" s="846"/>
      <c r="M3865" s="846"/>
      <c r="N3865" s="846"/>
      <c r="O3865" s="846"/>
      <c r="P3865" s="846"/>
      <c r="Q3865" s="846"/>
      <c r="R3865" s="846"/>
      <c r="S3865" s="846"/>
      <c r="T3865" s="846"/>
    </row>
    <row r="3866" spans="2:20" ht="38.25" hidden="1">
      <c r="B3866" s="828" t="s">
        <v>6547</v>
      </c>
      <c r="C3866" s="828">
        <v>89671</v>
      </c>
      <c r="D3866" s="630" t="s">
        <v>8093</v>
      </c>
      <c r="E3866" s="630" t="s">
        <v>646</v>
      </c>
      <c r="F3866" s="829">
        <v>49.63</v>
      </c>
      <c r="G3866" s="830">
        <v>7.78</v>
      </c>
      <c r="H3866" s="831">
        <v>57.41</v>
      </c>
      <c r="I3866" s="846"/>
      <c r="J3866" s="846"/>
      <c r="K3866" s="846"/>
      <c r="L3866" s="846"/>
      <c r="M3866" s="846"/>
      <c r="N3866" s="846"/>
      <c r="O3866" s="846"/>
      <c r="P3866" s="846"/>
      <c r="Q3866" s="846"/>
      <c r="R3866" s="846"/>
      <c r="S3866" s="846"/>
      <c r="T3866" s="846"/>
    </row>
    <row r="3867" spans="2:20" ht="25.5" hidden="1">
      <c r="B3867" s="828" t="s">
        <v>6547</v>
      </c>
      <c r="C3867" s="828">
        <v>89672</v>
      </c>
      <c r="D3867" s="630" t="s">
        <v>8094</v>
      </c>
      <c r="E3867" s="630" t="s">
        <v>646</v>
      </c>
      <c r="F3867" s="829">
        <v>23.91</v>
      </c>
      <c r="G3867" s="830">
        <v>4.68</v>
      </c>
      <c r="H3867" s="831">
        <v>28.59</v>
      </c>
      <c r="I3867" s="846"/>
      <c r="J3867" s="846"/>
      <c r="K3867" s="846"/>
      <c r="L3867" s="846"/>
      <c r="M3867" s="846"/>
      <c r="N3867" s="846"/>
      <c r="O3867" s="846"/>
      <c r="P3867" s="846"/>
      <c r="Q3867" s="846"/>
      <c r="R3867" s="846"/>
      <c r="S3867" s="846"/>
      <c r="T3867" s="846"/>
    </row>
    <row r="3868" spans="2:20" ht="38.25" hidden="1">
      <c r="B3868" s="828" t="s">
        <v>6547</v>
      </c>
      <c r="C3868" s="828">
        <v>89673</v>
      </c>
      <c r="D3868" s="630" t="s">
        <v>8095</v>
      </c>
      <c r="E3868" s="630" t="s">
        <v>646</v>
      </c>
      <c r="F3868" s="829">
        <v>37.85</v>
      </c>
      <c r="G3868" s="830">
        <v>6.37</v>
      </c>
      <c r="H3868" s="831">
        <v>44.22</v>
      </c>
      <c r="I3868" s="846"/>
      <c r="J3868" s="846"/>
      <c r="K3868" s="846"/>
      <c r="L3868" s="846"/>
      <c r="M3868" s="846"/>
      <c r="N3868" s="846"/>
      <c r="O3868" s="846"/>
      <c r="P3868" s="846"/>
      <c r="Q3868" s="846"/>
      <c r="R3868" s="846"/>
      <c r="S3868" s="846"/>
      <c r="T3868" s="846"/>
    </row>
    <row r="3869" spans="2:20" ht="25.5" hidden="1">
      <c r="B3869" s="828" t="s">
        <v>6547</v>
      </c>
      <c r="C3869" s="828">
        <v>89674</v>
      </c>
      <c r="D3869" s="630" t="s">
        <v>8096</v>
      </c>
      <c r="E3869" s="630" t="s">
        <v>646</v>
      </c>
      <c r="F3869" s="829">
        <v>37.72</v>
      </c>
      <c r="G3869" s="830">
        <v>4.67</v>
      </c>
      <c r="H3869" s="831">
        <v>42.39</v>
      </c>
      <c r="I3869" s="846"/>
      <c r="J3869" s="846"/>
      <c r="K3869" s="846"/>
      <c r="L3869" s="846"/>
      <c r="M3869" s="846"/>
      <c r="N3869" s="846"/>
      <c r="O3869" s="846"/>
      <c r="P3869" s="846"/>
      <c r="Q3869" s="846"/>
      <c r="R3869" s="846"/>
      <c r="S3869" s="846"/>
      <c r="T3869" s="846"/>
    </row>
    <row r="3870" spans="2:20" ht="38.25" hidden="1">
      <c r="B3870" s="828" t="s">
        <v>6547</v>
      </c>
      <c r="C3870" s="828">
        <v>89675</v>
      </c>
      <c r="D3870" s="630" t="s">
        <v>8097</v>
      </c>
      <c r="E3870" s="630" t="s">
        <v>646</v>
      </c>
      <c r="F3870" s="829">
        <v>83.31</v>
      </c>
      <c r="G3870" s="830">
        <v>7.78</v>
      </c>
      <c r="H3870" s="831">
        <v>91.09</v>
      </c>
      <c r="I3870" s="846"/>
      <c r="J3870" s="846"/>
      <c r="K3870" s="846"/>
      <c r="L3870" s="846"/>
      <c r="M3870" s="846"/>
      <c r="N3870" s="846"/>
      <c r="O3870" s="846"/>
      <c r="P3870" s="846"/>
      <c r="Q3870" s="846"/>
      <c r="R3870" s="846"/>
      <c r="S3870" s="846"/>
      <c r="T3870" s="846"/>
    </row>
    <row r="3871" spans="2:20" ht="25.5" hidden="1">
      <c r="B3871" s="828" t="s">
        <v>6547</v>
      </c>
      <c r="C3871" s="828">
        <v>89676</v>
      </c>
      <c r="D3871" s="630" t="s">
        <v>8098</v>
      </c>
      <c r="E3871" s="630" t="s">
        <v>646</v>
      </c>
      <c r="F3871" s="829">
        <v>59.7</v>
      </c>
      <c r="G3871" s="830">
        <v>4.5</v>
      </c>
      <c r="H3871" s="831">
        <v>64.2</v>
      </c>
      <c r="I3871" s="846"/>
      <c r="J3871" s="846"/>
      <c r="K3871" s="846"/>
      <c r="L3871" s="846"/>
      <c r="M3871" s="846"/>
      <c r="N3871" s="846"/>
      <c r="O3871" s="846"/>
      <c r="P3871" s="846"/>
      <c r="Q3871" s="846"/>
      <c r="R3871" s="846"/>
      <c r="S3871" s="846"/>
      <c r="T3871" s="846"/>
    </row>
    <row r="3872" spans="2:20" ht="38.25" hidden="1">
      <c r="B3872" s="828" t="s">
        <v>6547</v>
      </c>
      <c r="C3872" s="828">
        <v>89677</v>
      </c>
      <c r="D3872" s="630" t="s">
        <v>8099</v>
      </c>
      <c r="E3872" s="630" t="s">
        <v>646</v>
      </c>
      <c r="F3872" s="829">
        <v>82.29</v>
      </c>
      <c r="G3872" s="830">
        <v>13.45</v>
      </c>
      <c r="H3872" s="831">
        <v>95.74</v>
      </c>
      <c r="I3872" s="846"/>
      <c r="J3872" s="846"/>
      <c r="K3872" s="846"/>
      <c r="L3872" s="846"/>
      <c r="M3872" s="846"/>
      <c r="N3872" s="846"/>
      <c r="O3872" s="846"/>
      <c r="P3872" s="846"/>
      <c r="Q3872" s="846"/>
      <c r="R3872" s="846"/>
      <c r="S3872" s="846"/>
      <c r="T3872" s="846"/>
    </row>
    <row r="3873" spans="2:20" ht="38.25" hidden="1">
      <c r="B3873" s="828" t="s">
        <v>6547</v>
      </c>
      <c r="C3873" s="828">
        <v>89678</v>
      </c>
      <c r="D3873" s="630" t="s">
        <v>8100</v>
      </c>
      <c r="E3873" s="630" t="s">
        <v>646</v>
      </c>
      <c r="F3873" s="829">
        <v>7.66</v>
      </c>
      <c r="G3873" s="830">
        <v>4.34</v>
      </c>
      <c r="H3873" s="831">
        <v>12</v>
      </c>
      <c r="I3873" s="846"/>
      <c r="J3873" s="846"/>
      <c r="K3873" s="846"/>
      <c r="L3873" s="846"/>
      <c r="M3873" s="846"/>
      <c r="N3873" s="846"/>
      <c r="O3873" s="846"/>
      <c r="P3873" s="846"/>
      <c r="Q3873" s="846"/>
      <c r="R3873" s="846"/>
      <c r="S3873" s="846"/>
      <c r="T3873" s="846"/>
    </row>
    <row r="3874" spans="2:20" ht="38.25" hidden="1">
      <c r="B3874" s="828" t="s">
        <v>6547</v>
      </c>
      <c r="C3874" s="828">
        <v>89679</v>
      </c>
      <c r="D3874" s="630" t="s">
        <v>8101</v>
      </c>
      <c r="E3874" s="630" t="s">
        <v>646</v>
      </c>
      <c r="F3874" s="829">
        <v>143.86000000000001</v>
      </c>
      <c r="G3874" s="830">
        <v>13.45</v>
      </c>
      <c r="H3874" s="831">
        <v>157.31</v>
      </c>
      <c r="I3874" s="846"/>
      <c r="J3874" s="846"/>
      <c r="K3874" s="846"/>
      <c r="L3874" s="846"/>
      <c r="M3874" s="846"/>
      <c r="N3874" s="846"/>
      <c r="O3874" s="846"/>
      <c r="P3874" s="846"/>
      <c r="Q3874" s="846"/>
      <c r="R3874" s="846"/>
      <c r="S3874" s="846"/>
      <c r="T3874" s="846"/>
    </row>
    <row r="3875" spans="2:20" ht="25.5" hidden="1">
      <c r="B3875" s="828" t="s">
        <v>6547</v>
      </c>
      <c r="C3875" s="828">
        <v>89680</v>
      </c>
      <c r="D3875" s="630" t="s">
        <v>8102</v>
      </c>
      <c r="E3875" s="630" t="s">
        <v>646</v>
      </c>
      <c r="F3875" s="829">
        <v>22.47</v>
      </c>
      <c r="G3875" s="830">
        <v>5.52</v>
      </c>
      <c r="H3875" s="831">
        <v>27.99</v>
      </c>
      <c r="I3875" s="846"/>
      <c r="J3875" s="846"/>
      <c r="K3875" s="846"/>
      <c r="L3875" s="846"/>
      <c r="M3875" s="846"/>
      <c r="N3875" s="846"/>
      <c r="O3875" s="846"/>
      <c r="P3875" s="846"/>
      <c r="Q3875" s="846"/>
      <c r="R3875" s="846"/>
      <c r="S3875" s="846"/>
      <c r="T3875" s="846"/>
    </row>
    <row r="3876" spans="2:20" ht="38.25" hidden="1">
      <c r="B3876" s="828" t="s">
        <v>6547</v>
      </c>
      <c r="C3876" s="828">
        <v>89681</v>
      </c>
      <c r="D3876" s="630" t="s">
        <v>8103</v>
      </c>
      <c r="E3876" s="630" t="s">
        <v>646</v>
      </c>
      <c r="F3876" s="829">
        <v>89.54</v>
      </c>
      <c r="G3876" s="830">
        <v>10.61</v>
      </c>
      <c r="H3876" s="831">
        <v>100.15</v>
      </c>
      <c r="I3876" s="846"/>
      <c r="J3876" s="846"/>
      <c r="K3876" s="846"/>
      <c r="L3876" s="846"/>
      <c r="M3876" s="846"/>
      <c r="N3876" s="846"/>
      <c r="O3876" s="846"/>
      <c r="P3876" s="846"/>
      <c r="Q3876" s="846"/>
      <c r="R3876" s="846"/>
      <c r="S3876" s="846"/>
      <c r="T3876" s="846"/>
    </row>
    <row r="3877" spans="2:20" ht="25.5" hidden="1">
      <c r="B3877" s="828" t="s">
        <v>6547</v>
      </c>
      <c r="C3877" s="828">
        <v>89682</v>
      </c>
      <c r="D3877" s="630" t="s">
        <v>8104</v>
      </c>
      <c r="E3877" s="630" t="s">
        <v>646</v>
      </c>
      <c r="F3877" s="829">
        <v>38.65</v>
      </c>
      <c r="G3877" s="830">
        <v>5.52</v>
      </c>
      <c r="H3877" s="831">
        <v>44.17</v>
      </c>
      <c r="I3877" s="846"/>
      <c r="J3877" s="846"/>
      <c r="K3877" s="846"/>
      <c r="L3877" s="846"/>
      <c r="M3877" s="846"/>
      <c r="N3877" s="846"/>
      <c r="O3877" s="846"/>
      <c r="P3877" s="846"/>
      <c r="Q3877" s="846"/>
      <c r="R3877" s="846"/>
      <c r="S3877" s="846"/>
      <c r="T3877" s="846"/>
    </row>
    <row r="3878" spans="2:20" ht="38.25" hidden="1">
      <c r="B3878" s="828" t="s">
        <v>6547</v>
      </c>
      <c r="C3878" s="828">
        <v>89683</v>
      </c>
      <c r="D3878" s="630" t="s">
        <v>8105</v>
      </c>
      <c r="E3878" s="630" t="s">
        <v>646</v>
      </c>
      <c r="F3878" s="829">
        <v>366.05</v>
      </c>
      <c r="G3878" s="830">
        <v>13.45</v>
      </c>
      <c r="H3878" s="831">
        <v>379.5</v>
      </c>
      <c r="I3878" s="846"/>
      <c r="J3878" s="846"/>
      <c r="K3878" s="846"/>
      <c r="L3878" s="846"/>
      <c r="M3878" s="846"/>
      <c r="N3878" s="846"/>
      <c r="O3878" s="846"/>
      <c r="P3878" s="846"/>
      <c r="Q3878" s="846"/>
      <c r="R3878" s="846"/>
      <c r="S3878" s="846"/>
      <c r="T3878" s="846"/>
    </row>
    <row r="3879" spans="2:20" ht="25.5" hidden="1">
      <c r="B3879" s="828" t="s">
        <v>6547</v>
      </c>
      <c r="C3879" s="828">
        <v>89684</v>
      </c>
      <c r="D3879" s="630" t="s">
        <v>8106</v>
      </c>
      <c r="E3879" s="630" t="s">
        <v>646</v>
      </c>
      <c r="F3879" s="829">
        <v>56.01</v>
      </c>
      <c r="G3879" s="830">
        <v>5.52</v>
      </c>
      <c r="H3879" s="831">
        <v>61.53</v>
      </c>
      <c r="I3879" s="846"/>
      <c r="J3879" s="846"/>
      <c r="K3879" s="846"/>
      <c r="L3879" s="846"/>
      <c r="M3879" s="846"/>
      <c r="N3879" s="846"/>
      <c r="O3879" s="846"/>
      <c r="P3879" s="846"/>
      <c r="Q3879" s="846"/>
      <c r="R3879" s="846"/>
      <c r="S3879" s="846"/>
      <c r="T3879" s="846"/>
    </row>
    <row r="3880" spans="2:20" ht="38.25" hidden="1">
      <c r="B3880" s="828" t="s">
        <v>6547</v>
      </c>
      <c r="C3880" s="828">
        <v>89685</v>
      </c>
      <c r="D3880" s="630" t="s">
        <v>8107</v>
      </c>
      <c r="E3880" s="630" t="s">
        <v>646</v>
      </c>
      <c r="F3880" s="829">
        <v>64.23</v>
      </c>
      <c r="G3880" s="830">
        <v>9.91</v>
      </c>
      <c r="H3880" s="831">
        <v>74.14</v>
      </c>
      <c r="I3880" s="846"/>
      <c r="J3880" s="846"/>
      <c r="K3880" s="846"/>
      <c r="L3880" s="846"/>
      <c r="M3880" s="846"/>
      <c r="N3880" s="846"/>
      <c r="O3880" s="846"/>
      <c r="P3880" s="846"/>
      <c r="Q3880" s="846"/>
      <c r="R3880" s="846"/>
      <c r="S3880" s="846"/>
      <c r="T3880" s="846"/>
    </row>
    <row r="3881" spans="2:20" ht="25.5" hidden="1">
      <c r="B3881" s="828" t="s">
        <v>6547</v>
      </c>
      <c r="C3881" s="828">
        <v>89686</v>
      </c>
      <c r="D3881" s="630" t="s">
        <v>8108</v>
      </c>
      <c r="E3881" s="630" t="s">
        <v>646</v>
      </c>
      <c r="F3881" s="829">
        <v>227.69</v>
      </c>
      <c r="G3881" s="830">
        <v>5.35</v>
      </c>
      <c r="H3881" s="831">
        <v>233.04</v>
      </c>
      <c r="I3881" s="846"/>
      <c r="J3881" s="846"/>
      <c r="K3881" s="846"/>
      <c r="L3881" s="846"/>
      <c r="M3881" s="846"/>
      <c r="N3881" s="846"/>
      <c r="O3881" s="846"/>
      <c r="P3881" s="846"/>
      <c r="Q3881" s="846"/>
      <c r="R3881" s="846"/>
      <c r="S3881" s="846"/>
      <c r="T3881" s="846"/>
    </row>
    <row r="3882" spans="2:20" ht="38.25" hidden="1">
      <c r="B3882" s="828" t="s">
        <v>6547</v>
      </c>
      <c r="C3882" s="828">
        <v>89687</v>
      </c>
      <c r="D3882" s="630" t="s">
        <v>8109</v>
      </c>
      <c r="E3882" s="630" t="s">
        <v>646</v>
      </c>
      <c r="F3882" s="829">
        <v>54.55</v>
      </c>
      <c r="G3882" s="830">
        <v>9.92</v>
      </c>
      <c r="H3882" s="831">
        <v>64.47</v>
      </c>
      <c r="I3882" s="846"/>
      <c r="J3882" s="846"/>
      <c r="K3882" s="846"/>
      <c r="L3882" s="846"/>
      <c r="M3882" s="846"/>
      <c r="N3882" s="846"/>
      <c r="O3882" s="846"/>
      <c r="P3882" s="846"/>
      <c r="Q3882" s="846"/>
      <c r="R3882" s="846"/>
      <c r="S3882" s="846"/>
      <c r="T3882" s="846"/>
    </row>
    <row r="3883" spans="2:20" ht="38.25" hidden="1">
      <c r="B3883" s="828" t="s">
        <v>6547</v>
      </c>
      <c r="C3883" s="828">
        <v>89689</v>
      </c>
      <c r="D3883" s="630" t="s">
        <v>8110</v>
      </c>
      <c r="E3883" s="630" t="s">
        <v>646</v>
      </c>
      <c r="F3883" s="829">
        <v>41.53</v>
      </c>
      <c r="G3883" s="830">
        <v>5.0999999999999996</v>
      </c>
      <c r="H3883" s="831">
        <v>46.63</v>
      </c>
      <c r="I3883" s="846"/>
      <c r="J3883" s="846"/>
      <c r="K3883" s="846"/>
      <c r="L3883" s="846"/>
      <c r="M3883" s="846"/>
      <c r="N3883" s="846"/>
      <c r="O3883" s="846"/>
      <c r="P3883" s="846"/>
      <c r="Q3883" s="846"/>
      <c r="R3883" s="846"/>
      <c r="S3883" s="846"/>
      <c r="T3883" s="846"/>
    </row>
    <row r="3884" spans="2:20" ht="38.25" hidden="1">
      <c r="B3884" s="828" t="s">
        <v>6547</v>
      </c>
      <c r="C3884" s="828">
        <v>89690</v>
      </c>
      <c r="D3884" s="630" t="s">
        <v>8111</v>
      </c>
      <c r="E3884" s="630" t="s">
        <v>646</v>
      </c>
      <c r="F3884" s="829">
        <v>98.54</v>
      </c>
      <c r="G3884" s="830">
        <v>15.57</v>
      </c>
      <c r="H3884" s="831">
        <v>114.11</v>
      </c>
      <c r="I3884" s="846"/>
      <c r="J3884" s="846"/>
      <c r="K3884" s="846"/>
      <c r="L3884" s="846"/>
      <c r="M3884" s="846"/>
      <c r="N3884" s="846"/>
      <c r="O3884" s="846"/>
      <c r="P3884" s="846"/>
      <c r="Q3884" s="846"/>
      <c r="R3884" s="846"/>
      <c r="S3884" s="846"/>
      <c r="T3884" s="846"/>
    </row>
    <row r="3885" spans="2:20" ht="25.5" hidden="1">
      <c r="B3885" s="828" t="s">
        <v>6547</v>
      </c>
      <c r="C3885" s="828">
        <v>89691</v>
      </c>
      <c r="D3885" s="630" t="s">
        <v>8112</v>
      </c>
      <c r="E3885" s="630" t="s">
        <v>646</v>
      </c>
      <c r="F3885" s="829">
        <v>9.66</v>
      </c>
      <c r="G3885" s="830">
        <v>6.31</v>
      </c>
      <c r="H3885" s="831">
        <v>15.97</v>
      </c>
      <c r="I3885" s="846"/>
      <c r="J3885" s="846"/>
      <c r="K3885" s="846"/>
      <c r="L3885" s="846"/>
      <c r="M3885" s="846"/>
      <c r="N3885" s="846"/>
      <c r="O3885" s="846"/>
      <c r="P3885" s="846"/>
      <c r="Q3885" s="846"/>
      <c r="R3885" s="846"/>
      <c r="S3885" s="846"/>
      <c r="T3885" s="846"/>
    </row>
    <row r="3886" spans="2:20" ht="38.25" hidden="1">
      <c r="B3886" s="828" t="s">
        <v>6547</v>
      </c>
      <c r="C3886" s="828">
        <v>89692</v>
      </c>
      <c r="D3886" s="630" t="s">
        <v>8113</v>
      </c>
      <c r="E3886" s="630" t="s">
        <v>646</v>
      </c>
      <c r="F3886" s="829">
        <v>91.41</v>
      </c>
      <c r="G3886" s="830">
        <v>13.69</v>
      </c>
      <c r="H3886" s="831">
        <v>105.1</v>
      </c>
      <c r="I3886" s="846"/>
      <c r="J3886" s="846"/>
      <c r="K3886" s="846"/>
      <c r="L3886" s="846"/>
      <c r="M3886" s="846"/>
      <c r="N3886" s="846"/>
      <c r="O3886" s="846"/>
      <c r="P3886" s="846"/>
      <c r="Q3886" s="846"/>
      <c r="R3886" s="846"/>
      <c r="S3886" s="846"/>
      <c r="T3886" s="846"/>
    </row>
    <row r="3887" spans="2:20" ht="38.25" hidden="1">
      <c r="B3887" s="828" t="s">
        <v>6547</v>
      </c>
      <c r="C3887" s="828">
        <v>89693</v>
      </c>
      <c r="D3887" s="630" t="s">
        <v>8114</v>
      </c>
      <c r="E3887" s="630" t="s">
        <v>646</v>
      </c>
      <c r="F3887" s="829">
        <v>90.06</v>
      </c>
      <c r="G3887" s="830">
        <v>15.57</v>
      </c>
      <c r="H3887" s="831">
        <v>105.63</v>
      </c>
      <c r="I3887" s="846"/>
      <c r="J3887" s="846"/>
      <c r="K3887" s="846"/>
      <c r="L3887" s="846"/>
      <c r="M3887" s="846"/>
      <c r="N3887" s="846"/>
      <c r="O3887" s="846"/>
      <c r="P3887" s="846"/>
      <c r="Q3887" s="846"/>
      <c r="R3887" s="846"/>
      <c r="S3887" s="846"/>
      <c r="T3887" s="846"/>
    </row>
    <row r="3888" spans="2:20" ht="25.5" hidden="1">
      <c r="B3888" s="828" t="s">
        <v>6547</v>
      </c>
      <c r="C3888" s="828">
        <v>89694</v>
      </c>
      <c r="D3888" s="630" t="s">
        <v>8115</v>
      </c>
      <c r="E3888" s="630" t="s">
        <v>646</v>
      </c>
      <c r="F3888" s="829">
        <v>20.28</v>
      </c>
      <c r="G3888" s="830">
        <v>6.29</v>
      </c>
      <c r="H3888" s="831">
        <v>26.57</v>
      </c>
      <c r="I3888" s="846"/>
      <c r="J3888" s="846"/>
      <c r="K3888" s="846"/>
      <c r="L3888" s="846"/>
      <c r="M3888" s="846"/>
      <c r="N3888" s="846"/>
      <c r="O3888" s="846"/>
      <c r="P3888" s="846"/>
      <c r="Q3888" s="846"/>
      <c r="R3888" s="846"/>
      <c r="S3888" s="846"/>
      <c r="T3888" s="846"/>
    </row>
    <row r="3889" spans="2:20" ht="25.5" hidden="1">
      <c r="B3889" s="828" t="s">
        <v>6547</v>
      </c>
      <c r="C3889" s="828">
        <v>89695</v>
      </c>
      <c r="D3889" s="630" t="s">
        <v>8116</v>
      </c>
      <c r="E3889" s="630" t="s">
        <v>646</v>
      </c>
      <c r="F3889" s="829">
        <v>18.28</v>
      </c>
      <c r="G3889" s="830">
        <v>6.29</v>
      </c>
      <c r="H3889" s="831">
        <v>24.57</v>
      </c>
      <c r="I3889" s="846"/>
      <c r="J3889" s="846"/>
      <c r="K3889" s="846"/>
      <c r="L3889" s="846"/>
      <c r="M3889" s="846"/>
      <c r="N3889" s="846"/>
      <c r="O3889" s="846"/>
      <c r="P3889" s="846"/>
      <c r="Q3889" s="846"/>
      <c r="R3889" s="846"/>
      <c r="S3889" s="846"/>
      <c r="T3889" s="846"/>
    </row>
    <row r="3890" spans="2:20" ht="38.25" hidden="1">
      <c r="B3890" s="828" t="s">
        <v>6547</v>
      </c>
      <c r="C3890" s="828">
        <v>89696</v>
      </c>
      <c r="D3890" s="630" t="s">
        <v>8117</v>
      </c>
      <c r="E3890" s="630" t="s">
        <v>646</v>
      </c>
      <c r="F3890" s="829">
        <v>79.930000000000007</v>
      </c>
      <c r="G3890" s="830">
        <v>13.69</v>
      </c>
      <c r="H3890" s="831">
        <v>93.62</v>
      </c>
      <c r="I3890" s="846"/>
      <c r="J3890" s="846"/>
      <c r="K3890" s="846"/>
      <c r="L3890" s="846"/>
      <c r="M3890" s="846"/>
      <c r="N3890" s="846"/>
      <c r="O3890" s="846"/>
      <c r="P3890" s="846"/>
      <c r="Q3890" s="846"/>
      <c r="R3890" s="846"/>
      <c r="S3890" s="846"/>
      <c r="T3890" s="846"/>
    </row>
    <row r="3891" spans="2:20" ht="25.5" hidden="1">
      <c r="B3891" s="828" t="s">
        <v>6547</v>
      </c>
      <c r="C3891" s="828">
        <v>89697</v>
      </c>
      <c r="D3891" s="630" t="s">
        <v>8118</v>
      </c>
      <c r="E3891" s="630" t="s">
        <v>646</v>
      </c>
      <c r="F3891" s="829">
        <v>14.77</v>
      </c>
      <c r="G3891" s="830">
        <v>7.96</v>
      </c>
      <c r="H3891" s="831">
        <v>22.73</v>
      </c>
      <c r="I3891" s="846"/>
      <c r="J3891" s="846"/>
      <c r="K3891" s="846"/>
      <c r="L3891" s="846"/>
      <c r="M3891" s="846"/>
      <c r="N3891" s="846"/>
      <c r="O3891" s="846"/>
      <c r="P3891" s="846"/>
      <c r="Q3891" s="846"/>
      <c r="R3891" s="846"/>
      <c r="S3891" s="846"/>
      <c r="T3891" s="846"/>
    </row>
    <row r="3892" spans="2:20" ht="38.25" hidden="1">
      <c r="B3892" s="828" t="s">
        <v>6547</v>
      </c>
      <c r="C3892" s="828">
        <v>89698</v>
      </c>
      <c r="D3892" s="630" t="s">
        <v>8119</v>
      </c>
      <c r="E3892" s="630" t="s">
        <v>646</v>
      </c>
      <c r="F3892" s="829">
        <v>285.77999999999997</v>
      </c>
      <c r="G3892" s="830">
        <v>26.92</v>
      </c>
      <c r="H3892" s="831">
        <v>312.7</v>
      </c>
      <c r="I3892" s="846"/>
      <c r="J3892" s="846"/>
      <c r="K3892" s="846"/>
      <c r="L3892" s="846"/>
      <c r="M3892" s="846"/>
      <c r="N3892" s="846"/>
      <c r="O3892" s="846"/>
      <c r="P3892" s="846"/>
      <c r="Q3892" s="846"/>
      <c r="R3892" s="846"/>
      <c r="S3892" s="846"/>
      <c r="T3892" s="846"/>
    </row>
    <row r="3893" spans="2:20" ht="38.25" hidden="1">
      <c r="B3893" s="828" t="s">
        <v>6547</v>
      </c>
      <c r="C3893" s="828">
        <v>89699</v>
      </c>
      <c r="D3893" s="630" t="s">
        <v>8120</v>
      </c>
      <c r="E3893" s="630" t="s">
        <v>646</v>
      </c>
      <c r="F3893" s="829">
        <v>249.15</v>
      </c>
      <c r="G3893" s="830">
        <v>23.14</v>
      </c>
      <c r="H3893" s="831">
        <v>272.29000000000002</v>
      </c>
      <c r="I3893" s="846"/>
      <c r="J3893" s="846"/>
      <c r="K3893" s="846"/>
      <c r="L3893" s="846"/>
      <c r="M3893" s="846"/>
      <c r="N3893" s="846"/>
      <c r="O3893" s="846"/>
      <c r="P3893" s="846"/>
      <c r="Q3893" s="846"/>
      <c r="R3893" s="846"/>
      <c r="S3893" s="846"/>
      <c r="T3893" s="846"/>
    </row>
    <row r="3894" spans="2:20" ht="25.5" hidden="1">
      <c r="B3894" s="828" t="s">
        <v>6547</v>
      </c>
      <c r="C3894" s="828">
        <v>89700</v>
      </c>
      <c r="D3894" s="630" t="s">
        <v>8121</v>
      </c>
      <c r="E3894" s="630" t="s">
        <v>646</v>
      </c>
      <c r="F3894" s="829">
        <v>22.85</v>
      </c>
      <c r="G3894" s="830">
        <v>7.14</v>
      </c>
      <c r="H3894" s="831">
        <v>29.99</v>
      </c>
      <c r="I3894" s="846"/>
      <c r="J3894" s="846"/>
      <c r="K3894" s="846"/>
      <c r="L3894" s="846"/>
      <c r="M3894" s="846"/>
      <c r="N3894" s="846"/>
      <c r="O3894" s="846"/>
      <c r="P3894" s="846"/>
      <c r="Q3894" s="846"/>
      <c r="R3894" s="846"/>
      <c r="S3894" s="846"/>
      <c r="T3894" s="846"/>
    </row>
    <row r="3895" spans="2:20" ht="38.25" hidden="1">
      <c r="B3895" s="828" t="s">
        <v>6547</v>
      </c>
      <c r="C3895" s="828">
        <v>89701</v>
      </c>
      <c r="D3895" s="630" t="s">
        <v>8122</v>
      </c>
      <c r="E3895" s="630" t="s">
        <v>646</v>
      </c>
      <c r="F3895" s="829">
        <v>219.31</v>
      </c>
      <c r="G3895" s="830">
        <v>26.92</v>
      </c>
      <c r="H3895" s="831">
        <v>246.23</v>
      </c>
      <c r="I3895" s="846"/>
      <c r="J3895" s="846"/>
      <c r="K3895" s="846"/>
      <c r="L3895" s="846"/>
      <c r="M3895" s="846"/>
      <c r="N3895" s="846"/>
      <c r="O3895" s="846"/>
      <c r="P3895" s="846"/>
      <c r="Q3895" s="846"/>
      <c r="R3895" s="846"/>
      <c r="S3895" s="846"/>
      <c r="T3895" s="846"/>
    </row>
    <row r="3896" spans="2:20" ht="25.5" hidden="1">
      <c r="B3896" s="828" t="s">
        <v>6547</v>
      </c>
      <c r="C3896" s="828">
        <v>89702</v>
      </c>
      <c r="D3896" s="630" t="s">
        <v>8123</v>
      </c>
      <c r="E3896" s="630" t="s">
        <v>646</v>
      </c>
      <c r="F3896" s="829">
        <v>23.84</v>
      </c>
      <c r="G3896" s="830">
        <v>7.96</v>
      </c>
      <c r="H3896" s="831">
        <v>31.8</v>
      </c>
      <c r="I3896" s="846"/>
      <c r="J3896" s="846"/>
      <c r="K3896" s="846"/>
      <c r="L3896" s="846"/>
      <c r="M3896" s="846"/>
      <c r="N3896" s="846"/>
      <c r="O3896" s="846"/>
      <c r="P3896" s="846"/>
      <c r="Q3896" s="846"/>
      <c r="R3896" s="846"/>
      <c r="S3896" s="846"/>
      <c r="T3896" s="846"/>
    </row>
    <row r="3897" spans="2:20" ht="38.25" hidden="1">
      <c r="B3897" s="828" t="s">
        <v>6547</v>
      </c>
      <c r="C3897" s="828">
        <v>89703</v>
      </c>
      <c r="D3897" s="630" t="s">
        <v>8124</v>
      </c>
      <c r="E3897" s="630" t="s">
        <v>646</v>
      </c>
      <c r="F3897" s="829">
        <v>60.61</v>
      </c>
      <c r="G3897" s="830">
        <v>7.71</v>
      </c>
      <c r="H3897" s="831">
        <v>68.319999999999993</v>
      </c>
      <c r="I3897" s="846"/>
      <c r="J3897" s="846"/>
      <c r="K3897" s="846"/>
      <c r="L3897" s="846"/>
      <c r="M3897" s="846"/>
      <c r="N3897" s="846"/>
      <c r="O3897" s="846"/>
      <c r="P3897" s="846"/>
      <c r="Q3897" s="846"/>
      <c r="R3897" s="846"/>
      <c r="S3897" s="846"/>
      <c r="T3897" s="846"/>
    </row>
    <row r="3898" spans="2:20" ht="38.25" hidden="1">
      <c r="B3898" s="828" t="s">
        <v>6547</v>
      </c>
      <c r="C3898" s="828">
        <v>89704</v>
      </c>
      <c r="D3898" s="630" t="s">
        <v>8125</v>
      </c>
      <c r="E3898" s="630" t="s">
        <v>646</v>
      </c>
      <c r="F3898" s="829">
        <v>153.84</v>
      </c>
      <c r="G3898" s="830">
        <v>23.14</v>
      </c>
      <c r="H3898" s="831">
        <v>176.98</v>
      </c>
      <c r="I3898" s="846"/>
      <c r="J3898" s="846"/>
      <c r="K3898" s="846"/>
      <c r="L3898" s="846"/>
      <c r="M3898" s="846"/>
      <c r="N3898" s="846"/>
      <c r="O3898" s="846"/>
      <c r="P3898" s="846"/>
      <c r="Q3898" s="846"/>
      <c r="R3898" s="846"/>
      <c r="S3898" s="846"/>
      <c r="T3898" s="846"/>
    </row>
    <row r="3899" spans="2:20" ht="25.5" hidden="1">
      <c r="B3899" s="828" t="s">
        <v>6547</v>
      </c>
      <c r="C3899" s="828">
        <v>89705</v>
      </c>
      <c r="D3899" s="630" t="s">
        <v>8126</v>
      </c>
      <c r="E3899" s="630" t="s">
        <v>646</v>
      </c>
      <c r="F3899" s="829">
        <v>23.45</v>
      </c>
      <c r="G3899" s="830">
        <v>9.4</v>
      </c>
      <c r="H3899" s="831">
        <v>32.85</v>
      </c>
      <c r="I3899" s="846"/>
      <c r="J3899" s="846"/>
      <c r="K3899" s="846"/>
      <c r="L3899" s="846"/>
      <c r="M3899" s="846"/>
      <c r="N3899" s="846"/>
      <c r="O3899" s="846"/>
      <c r="P3899" s="846"/>
      <c r="Q3899" s="846"/>
      <c r="R3899" s="846"/>
      <c r="S3899" s="846"/>
      <c r="T3899" s="846"/>
    </row>
    <row r="3900" spans="2:20" ht="25.5" hidden="1">
      <c r="B3900" s="828" t="s">
        <v>6547</v>
      </c>
      <c r="C3900" s="828">
        <v>89706</v>
      </c>
      <c r="D3900" s="630" t="s">
        <v>8127</v>
      </c>
      <c r="E3900" s="630" t="s">
        <v>646</v>
      </c>
      <c r="F3900" s="829">
        <v>61.33</v>
      </c>
      <c r="G3900" s="830">
        <v>11.05</v>
      </c>
      <c r="H3900" s="831">
        <v>72.38</v>
      </c>
      <c r="I3900" s="846"/>
      <c r="J3900" s="846"/>
      <c r="K3900" s="846"/>
      <c r="L3900" s="846"/>
      <c r="M3900" s="846"/>
      <c r="N3900" s="846"/>
      <c r="O3900" s="846"/>
      <c r="P3900" s="846"/>
      <c r="Q3900" s="846"/>
      <c r="R3900" s="846"/>
      <c r="S3900" s="846"/>
      <c r="T3900" s="846"/>
    </row>
    <row r="3901" spans="2:20" ht="25.5" hidden="1">
      <c r="B3901" s="828" t="s">
        <v>6547</v>
      </c>
      <c r="C3901" s="828">
        <v>89718</v>
      </c>
      <c r="D3901" s="630" t="s">
        <v>8128</v>
      </c>
      <c r="E3901" s="630" t="s">
        <v>648</v>
      </c>
      <c r="F3901" s="829">
        <v>54.63</v>
      </c>
      <c r="G3901" s="830">
        <v>8.65</v>
      </c>
      <c r="H3901" s="831">
        <v>63.28</v>
      </c>
      <c r="I3901" s="846"/>
      <c r="J3901" s="846"/>
      <c r="K3901" s="846"/>
      <c r="L3901" s="846"/>
      <c r="M3901" s="846"/>
      <c r="N3901" s="846"/>
      <c r="O3901" s="846"/>
      <c r="P3901" s="846"/>
      <c r="Q3901" s="846"/>
      <c r="R3901" s="846"/>
      <c r="S3901" s="846"/>
      <c r="T3901" s="846"/>
    </row>
    <row r="3902" spans="2:20" ht="25.5" hidden="1">
      <c r="B3902" s="828" t="s">
        <v>6547</v>
      </c>
      <c r="C3902" s="828">
        <v>89719</v>
      </c>
      <c r="D3902" s="630" t="s">
        <v>8129</v>
      </c>
      <c r="E3902" s="630" t="s">
        <v>646</v>
      </c>
      <c r="F3902" s="829">
        <v>11.35</v>
      </c>
      <c r="G3902" s="830">
        <v>5.35</v>
      </c>
      <c r="H3902" s="831">
        <v>16.7</v>
      </c>
      <c r="I3902" s="846"/>
      <c r="J3902" s="846"/>
      <c r="K3902" s="846"/>
      <c r="L3902" s="846"/>
      <c r="M3902" s="846"/>
      <c r="N3902" s="846"/>
      <c r="O3902" s="846"/>
      <c r="P3902" s="846"/>
      <c r="Q3902" s="846"/>
      <c r="R3902" s="846"/>
      <c r="S3902" s="846"/>
      <c r="T3902" s="846"/>
    </row>
    <row r="3903" spans="2:20" ht="25.5" hidden="1">
      <c r="B3903" s="828" t="s">
        <v>6547</v>
      </c>
      <c r="C3903" s="828">
        <v>89720</v>
      </c>
      <c r="D3903" s="630" t="s">
        <v>8130</v>
      </c>
      <c r="E3903" s="630" t="s">
        <v>646</v>
      </c>
      <c r="F3903" s="829">
        <v>14.04</v>
      </c>
      <c r="G3903" s="830">
        <v>5.35</v>
      </c>
      <c r="H3903" s="831">
        <v>19.39</v>
      </c>
      <c r="I3903" s="846"/>
      <c r="J3903" s="846"/>
      <c r="K3903" s="846"/>
      <c r="L3903" s="846"/>
      <c r="M3903" s="846"/>
      <c r="N3903" s="846"/>
      <c r="O3903" s="846"/>
      <c r="P3903" s="846"/>
      <c r="Q3903" s="846"/>
      <c r="R3903" s="846"/>
      <c r="S3903" s="846"/>
      <c r="T3903" s="846"/>
    </row>
    <row r="3904" spans="2:20" ht="25.5" hidden="1">
      <c r="B3904" s="828" t="s">
        <v>6547</v>
      </c>
      <c r="C3904" s="828">
        <v>89721</v>
      </c>
      <c r="D3904" s="630" t="s">
        <v>8131</v>
      </c>
      <c r="E3904" s="630" t="s">
        <v>646</v>
      </c>
      <c r="F3904" s="829">
        <v>14.94</v>
      </c>
      <c r="G3904" s="830">
        <v>5.35</v>
      </c>
      <c r="H3904" s="831">
        <v>20.29</v>
      </c>
      <c r="I3904" s="846"/>
      <c r="J3904" s="846"/>
      <c r="K3904" s="846"/>
      <c r="L3904" s="846"/>
      <c r="M3904" s="846"/>
      <c r="N3904" s="846"/>
      <c r="O3904" s="846"/>
      <c r="P3904" s="846"/>
      <c r="Q3904" s="846"/>
      <c r="R3904" s="846"/>
      <c r="S3904" s="846"/>
      <c r="T3904" s="846"/>
    </row>
    <row r="3905" spans="2:20" ht="25.5" hidden="1">
      <c r="B3905" s="828" t="s">
        <v>6547</v>
      </c>
      <c r="C3905" s="828">
        <v>89723</v>
      </c>
      <c r="D3905" s="630" t="s">
        <v>8132</v>
      </c>
      <c r="E3905" s="630" t="s">
        <v>646</v>
      </c>
      <c r="F3905" s="829">
        <v>20.23</v>
      </c>
      <c r="G3905" s="830">
        <v>6.31</v>
      </c>
      <c r="H3905" s="831">
        <v>26.54</v>
      </c>
      <c r="I3905" s="846"/>
      <c r="J3905" s="846"/>
      <c r="K3905" s="846"/>
      <c r="L3905" s="846"/>
      <c r="M3905" s="846"/>
      <c r="N3905" s="846"/>
      <c r="O3905" s="846"/>
      <c r="P3905" s="846"/>
      <c r="Q3905" s="846"/>
      <c r="R3905" s="846"/>
      <c r="S3905" s="846"/>
      <c r="T3905" s="846"/>
    </row>
    <row r="3906" spans="2:20" ht="38.25" hidden="1">
      <c r="B3906" s="828" t="s">
        <v>6547</v>
      </c>
      <c r="C3906" s="828">
        <v>89724</v>
      </c>
      <c r="D3906" s="630" t="s">
        <v>1351</v>
      </c>
      <c r="E3906" s="630" t="s">
        <v>646</v>
      </c>
      <c r="F3906" s="829">
        <v>8.1300000000000008</v>
      </c>
      <c r="G3906" s="830">
        <v>4.29</v>
      </c>
      <c r="H3906" s="831">
        <v>12.42</v>
      </c>
      <c r="I3906" s="846"/>
      <c r="J3906" s="846"/>
      <c r="K3906" s="846"/>
      <c r="L3906" s="846"/>
      <c r="M3906" s="846"/>
      <c r="N3906" s="846"/>
      <c r="O3906" s="846"/>
      <c r="P3906" s="846"/>
      <c r="Q3906" s="846"/>
      <c r="R3906" s="846"/>
      <c r="S3906" s="846"/>
      <c r="T3906" s="846"/>
    </row>
    <row r="3907" spans="2:20" ht="25.5" hidden="1">
      <c r="B3907" s="828" t="s">
        <v>6547</v>
      </c>
      <c r="C3907" s="828">
        <v>89725</v>
      </c>
      <c r="D3907" s="630" t="s">
        <v>8133</v>
      </c>
      <c r="E3907" s="630" t="s">
        <v>646</v>
      </c>
      <c r="F3907" s="829">
        <v>19.61</v>
      </c>
      <c r="G3907" s="830">
        <v>6.31</v>
      </c>
      <c r="H3907" s="831">
        <v>25.92</v>
      </c>
      <c r="I3907" s="846"/>
      <c r="J3907" s="846"/>
      <c r="K3907" s="846"/>
      <c r="L3907" s="846"/>
      <c r="M3907" s="846"/>
      <c r="N3907" s="846"/>
      <c r="O3907" s="846"/>
      <c r="P3907" s="846"/>
      <c r="Q3907" s="846"/>
      <c r="R3907" s="846"/>
      <c r="S3907" s="846"/>
      <c r="T3907" s="846"/>
    </row>
    <row r="3908" spans="2:20" ht="38.25" hidden="1">
      <c r="B3908" s="828" t="s">
        <v>6547</v>
      </c>
      <c r="C3908" s="828">
        <v>89726</v>
      </c>
      <c r="D3908" s="630" t="s">
        <v>1347</v>
      </c>
      <c r="E3908" s="630" t="s">
        <v>646</v>
      </c>
      <c r="F3908" s="829">
        <v>4.5999999999999996</v>
      </c>
      <c r="G3908" s="830">
        <v>4.29</v>
      </c>
      <c r="H3908" s="831">
        <v>8.89</v>
      </c>
      <c r="I3908" s="846"/>
      <c r="J3908" s="846"/>
      <c r="K3908" s="846"/>
      <c r="L3908" s="846"/>
      <c r="M3908" s="846"/>
      <c r="N3908" s="846"/>
      <c r="O3908" s="846"/>
      <c r="P3908" s="846"/>
      <c r="Q3908" s="846"/>
      <c r="R3908" s="846"/>
      <c r="S3908" s="846"/>
      <c r="T3908" s="846"/>
    </row>
    <row r="3909" spans="2:20" ht="25.5" hidden="1">
      <c r="B3909" s="828" t="s">
        <v>6547</v>
      </c>
      <c r="C3909" s="828">
        <v>89727</v>
      </c>
      <c r="D3909" s="630" t="s">
        <v>8134</v>
      </c>
      <c r="E3909" s="630" t="s">
        <v>646</v>
      </c>
      <c r="F3909" s="829">
        <v>22.51</v>
      </c>
      <c r="G3909" s="830">
        <v>6.3</v>
      </c>
      <c r="H3909" s="831">
        <v>28.81</v>
      </c>
      <c r="I3909" s="846"/>
      <c r="J3909" s="846"/>
      <c r="K3909" s="846"/>
      <c r="L3909" s="846"/>
      <c r="M3909" s="846"/>
      <c r="N3909" s="846"/>
      <c r="O3909" s="846"/>
      <c r="P3909" s="846"/>
      <c r="Q3909" s="846"/>
      <c r="R3909" s="846"/>
      <c r="S3909" s="846"/>
      <c r="T3909" s="846"/>
    </row>
    <row r="3910" spans="2:20" ht="38.25" hidden="1">
      <c r="B3910" s="828" t="s">
        <v>6547</v>
      </c>
      <c r="C3910" s="828">
        <v>89728</v>
      </c>
      <c r="D3910" s="630" t="s">
        <v>1354</v>
      </c>
      <c r="E3910" s="630" t="s">
        <v>646</v>
      </c>
      <c r="F3910" s="829">
        <v>9.02</v>
      </c>
      <c r="G3910" s="830">
        <v>4.28</v>
      </c>
      <c r="H3910" s="831">
        <v>13.3</v>
      </c>
      <c r="I3910" s="846"/>
      <c r="J3910" s="846"/>
      <c r="K3910" s="846"/>
      <c r="L3910" s="846"/>
      <c r="M3910" s="846"/>
      <c r="N3910" s="846"/>
      <c r="O3910" s="846"/>
      <c r="P3910" s="846"/>
      <c r="Q3910" s="846"/>
      <c r="R3910" s="846"/>
      <c r="S3910" s="846"/>
      <c r="T3910" s="846"/>
    </row>
    <row r="3911" spans="2:20" ht="25.5" hidden="1">
      <c r="B3911" s="828" t="s">
        <v>6547</v>
      </c>
      <c r="C3911" s="828">
        <v>89729</v>
      </c>
      <c r="D3911" s="630" t="s">
        <v>8135</v>
      </c>
      <c r="E3911" s="630" t="s">
        <v>646</v>
      </c>
      <c r="F3911" s="829">
        <v>32.200000000000003</v>
      </c>
      <c r="G3911" s="830">
        <v>7.41</v>
      </c>
      <c r="H3911" s="831">
        <v>39.61</v>
      </c>
      <c r="I3911" s="846"/>
      <c r="J3911" s="846"/>
      <c r="K3911" s="846"/>
      <c r="L3911" s="846"/>
      <c r="M3911" s="846"/>
      <c r="N3911" s="846"/>
      <c r="O3911" s="846"/>
      <c r="P3911" s="846"/>
      <c r="Q3911" s="846"/>
      <c r="R3911" s="846"/>
      <c r="S3911" s="846"/>
      <c r="T3911" s="846"/>
    </row>
    <row r="3912" spans="2:20" ht="38.25" hidden="1">
      <c r="B3912" s="828" t="s">
        <v>6547</v>
      </c>
      <c r="C3912" s="828">
        <v>89730</v>
      </c>
      <c r="D3912" s="630" t="s">
        <v>1435</v>
      </c>
      <c r="E3912" s="630" t="s">
        <v>646</v>
      </c>
      <c r="F3912" s="829">
        <v>10.17</v>
      </c>
      <c r="G3912" s="830">
        <v>4.28</v>
      </c>
      <c r="H3912" s="831">
        <v>14.45</v>
      </c>
      <c r="I3912" s="846"/>
      <c r="J3912" s="846"/>
      <c r="K3912" s="846"/>
      <c r="L3912" s="846"/>
      <c r="M3912" s="846"/>
      <c r="N3912" s="846"/>
      <c r="O3912" s="846"/>
      <c r="P3912" s="846"/>
      <c r="Q3912" s="846"/>
      <c r="R3912" s="846"/>
      <c r="S3912" s="846"/>
      <c r="T3912" s="846"/>
    </row>
    <row r="3913" spans="2:20" ht="38.25" hidden="1">
      <c r="B3913" s="828" t="s">
        <v>6547</v>
      </c>
      <c r="C3913" s="828">
        <v>89731</v>
      </c>
      <c r="D3913" s="630" t="s">
        <v>1352</v>
      </c>
      <c r="E3913" s="630" t="s">
        <v>646</v>
      </c>
      <c r="F3913" s="829">
        <v>7.08</v>
      </c>
      <c r="G3913" s="830">
        <v>5.58</v>
      </c>
      <c r="H3913" s="831">
        <v>12.66</v>
      </c>
      <c r="I3913" s="846"/>
      <c r="J3913" s="846"/>
      <c r="K3913" s="846"/>
      <c r="L3913" s="846"/>
      <c r="M3913" s="846"/>
      <c r="N3913" s="846"/>
      <c r="O3913" s="846"/>
      <c r="P3913" s="846"/>
      <c r="Q3913" s="846"/>
      <c r="R3913" s="846"/>
      <c r="S3913" s="846"/>
      <c r="T3913" s="846"/>
    </row>
    <row r="3914" spans="2:20" ht="38.25" hidden="1">
      <c r="B3914" s="828" t="s">
        <v>6547</v>
      </c>
      <c r="C3914" s="828">
        <v>89732</v>
      </c>
      <c r="D3914" s="630" t="s">
        <v>1348</v>
      </c>
      <c r="E3914" s="630" t="s">
        <v>646</v>
      </c>
      <c r="F3914" s="829">
        <v>7.91</v>
      </c>
      <c r="G3914" s="830">
        <v>5.58</v>
      </c>
      <c r="H3914" s="831">
        <v>13.49</v>
      </c>
      <c r="I3914" s="846"/>
      <c r="J3914" s="846"/>
      <c r="K3914" s="846"/>
      <c r="L3914" s="846"/>
      <c r="M3914" s="846"/>
      <c r="N3914" s="846"/>
      <c r="O3914" s="846"/>
      <c r="P3914" s="846"/>
      <c r="Q3914" s="846"/>
      <c r="R3914" s="846"/>
      <c r="S3914" s="846"/>
      <c r="T3914" s="846"/>
    </row>
    <row r="3915" spans="2:20" ht="38.25" hidden="1">
      <c r="B3915" s="828" t="s">
        <v>6547</v>
      </c>
      <c r="C3915" s="828">
        <v>89733</v>
      </c>
      <c r="D3915" s="630" t="s">
        <v>1355</v>
      </c>
      <c r="E3915" s="630" t="s">
        <v>646</v>
      </c>
      <c r="F3915" s="829">
        <v>16.93</v>
      </c>
      <c r="G3915" s="830">
        <v>5.57</v>
      </c>
      <c r="H3915" s="831">
        <v>22.5</v>
      </c>
      <c r="I3915" s="846"/>
      <c r="J3915" s="846"/>
      <c r="K3915" s="846"/>
      <c r="L3915" s="846"/>
      <c r="M3915" s="846"/>
      <c r="N3915" s="846"/>
      <c r="O3915" s="846"/>
      <c r="P3915" s="846"/>
      <c r="Q3915" s="846"/>
      <c r="R3915" s="846"/>
      <c r="S3915" s="846"/>
      <c r="T3915" s="846"/>
    </row>
    <row r="3916" spans="2:20" ht="25.5" hidden="1">
      <c r="B3916" s="828" t="s">
        <v>6547</v>
      </c>
      <c r="C3916" s="828">
        <v>89734</v>
      </c>
      <c r="D3916" s="630" t="s">
        <v>8136</v>
      </c>
      <c r="E3916" s="630" t="s">
        <v>646</v>
      </c>
      <c r="F3916" s="829">
        <v>32.200000000000003</v>
      </c>
      <c r="G3916" s="830">
        <v>7.41</v>
      </c>
      <c r="H3916" s="831">
        <v>39.61</v>
      </c>
      <c r="I3916" s="846"/>
      <c r="J3916" s="846"/>
      <c r="K3916" s="846"/>
      <c r="L3916" s="846"/>
      <c r="M3916" s="846"/>
      <c r="N3916" s="846"/>
      <c r="O3916" s="846"/>
      <c r="P3916" s="846"/>
      <c r="Q3916" s="846"/>
      <c r="R3916" s="846"/>
      <c r="S3916" s="846"/>
      <c r="T3916" s="846"/>
    </row>
    <row r="3917" spans="2:20" ht="38.25" hidden="1">
      <c r="B3917" s="828" t="s">
        <v>6547</v>
      </c>
      <c r="C3917" s="828">
        <v>89735</v>
      </c>
      <c r="D3917" s="630" t="s">
        <v>1436</v>
      </c>
      <c r="E3917" s="630" t="s">
        <v>646</v>
      </c>
      <c r="F3917" s="829">
        <v>18.309999999999999</v>
      </c>
      <c r="G3917" s="830">
        <v>5.57</v>
      </c>
      <c r="H3917" s="831">
        <v>23.88</v>
      </c>
      <c r="I3917" s="846"/>
      <c r="J3917" s="846"/>
      <c r="K3917" s="846"/>
      <c r="L3917" s="846"/>
      <c r="M3917" s="846"/>
      <c r="N3917" s="846"/>
      <c r="O3917" s="846"/>
      <c r="P3917" s="846"/>
      <c r="Q3917" s="846"/>
      <c r="R3917" s="846"/>
      <c r="S3917" s="846"/>
      <c r="T3917" s="846"/>
    </row>
    <row r="3918" spans="2:20" ht="25.5" hidden="1">
      <c r="B3918" s="828" t="s">
        <v>6547</v>
      </c>
      <c r="C3918" s="828">
        <v>89736</v>
      </c>
      <c r="D3918" s="630" t="s">
        <v>8137</v>
      </c>
      <c r="E3918" s="630" t="s">
        <v>646</v>
      </c>
      <c r="F3918" s="829">
        <v>7.8</v>
      </c>
      <c r="G3918" s="830">
        <v>3.56</v>
      </c>
      <c r="H3918" s="831">
        <v>11.36</v>
      </c>
      <c r="I3918" s="846"/>
      <c r="J3918" s="846"/>
      <c r="K3918" s="846"/>
      <c r="L3918" s="846"/>
      <c r="M3918" s="846"/>
      <c r="N3918" s="846"/>
      <c r="O3918" s="846"/>
      <c r="P3918" s="846"/>
      <c r="Q3918" s="846"/>
      <c r="R3918" s="846"/>
      <c r="S3918" s="846"/>
      <c r="T3918" s="846"/>
    </row>
    <row r="3919" spans="2:20" ht="38.25" hidden="1">
      <c r="B3919" s="828" t="s">
        <v>6547</v>
      </c>
      <c r="C3919" s="828">
        <v>89737</v>
      </c>
      <c r="D3919" s="630" t="s">
        <v>8138</v>
      </c>
      <c r="E3919" s="630" t="s">
        <v>646</v>
      </c>
      <c r="F3919" s="829">
        <v>13</v>
      </c>
      <c r="G3919" s="830">
        <v>3.55</v>
      </c>
      <c r="H3919" s="831">
        <v>16.55</v>
      </c>
      <c r="I3919" s="846"/>
      <c r="J3919" s="846"/>
      <c r="K3919" s="846"/>
      <c r="L3919" s="846"/>
      <c r="M3919" s="846"/>
      <c r="N3919" s="846"/>
      <c r="O3919" s="846"/>
      <c r="P3919" s="846"/>
      <c r="Q3919" s="846"/>
      <c r="R3919" s="846"/>
      <c r="S3919" s="846"/>
      <c r="T3919" s="846"/>
    </row>
    <row r="3920" spans="2:20" ht="25.5" hidden="1">
      <c r="B3920" s="828" t="s">
        <v>6547</v>
      </c>
      <c r="C3920" s="828">
        <v>89738</v>
      </c>
      <c r="D3920" s="630" t="s">
        <v>1293</v>
      </c>
      <c r="E3920" s="630" t="s">
        <v>646</v>
      </c>
      <c r="F3920" s="829">
        <v>17.27</v>
      </c>
      <c r="G3920" s="830">
        <v>3.55</v>
      </c>
      <c r="H3920" s="831">
        <v>20.82</v>
      </c>
      <c r="I3920" s="846"/>
      <c r="J3920" s="846"/>
      <c r="K3920" s="846"/>
      <c r="L3920" s="846"/>
      <c r="M3920" s="846"/>
      <c r="N3920" s="846"/>
      <c r="O3920" s="846"/>
      <c r="P3920" s="846"/>
      <c r="Q3920" s="846"/>
      <c r="R3920" s="846"/>
      <c r="S3920" s="846"/>
      <c r="T3920" s="846"/>
    </row>
    <row r="3921" spans="2:20" ht="38.25" hidden="1">
      <c r="B3921" s="828" t="s">
        <v>6547</v>
      </c>
      <c r="C3921" s="828">
        <v>89739</v>
      </c>
      <c r="D3921" s="630" t="s">
        <v>1349</v>
      </c>
      <c r="E3921" s="630" t="s">
        <v>646</v>
      </c>
      <c r="F3921" s="829">
        <v>15.48</v>
      </c>
      <c r="G3921" s="830">
        <v>8.14</v>
      </c>
      <c r="H3921" s="831">
        <v>23.62</v>
      </c>
      <c r="I3921" s="846"/>
      <c r="J3921" s="846"/>
      <c r="K3921" s="846"/>
      <c r="L3921" s="846"/>
      <c r="M3921" s="846"/>
      <c r="N3921" s="846"/>
      <c r="O3921" s="846"/>
      <c r="P3921" s="846"/>
      <c r="Q3921" s="846"/>
      <c r="R3921" s="846"/>
      <c r="S3921" s="846"/>
      <c r="T3921" s="846"/>
    </row>
    <row r="3922" spans="2:20" ht="38.25" hidden="1">
      <c r="B3922" s="828" t="s">
        <v>6547</v>
      </c>
      <c r="C3922" s="828">
        <v>89740</v>
      </c>
      <c r="D3922" s="630" t="s">
        <v>8139</v>
      </c>
      <c r="E3922" s="630" t="s">
        <v>646</v>
      </c>
      <c r="F3922" s="829">
        <v>7.02</v>
      </c>
      <c r="G3922" s="830">
        <v>3.73</v>
      </c>
      <c r="H3922" s="831">
        <v>10.75</v>
      </c>
      <c r="I3922" s="846"/>
      <c r="J3922" s="846"/>
      <c r="K3922" s="846"/>
      <c r="L3922" s="846"/>
      <c r="M3922" s="846"/>
      <c r="N3922" s="846"/>
      <c r="O3922" s="846"/>
      <c r="P3922" s="846"/>
      <c r="Q3922" s="846"/>
      <c r="R3922" s="846"/>
      <c r="S3922" s="846"/>
      <c r="T3922" s="846"/>
    </row>
    <row r="3923" spans="2:20" ht="25.5" hidden="1">
      <c r="B3923" s="828" t="s">
        <v>6547</v>
      </c>
      <c r="C3923" s="828">
        <v>89741</v>
      </c>
      <c r="D3923" s="630" t="s">
        <v>8140</v>
      </c>
      <c r="E3923" s="630" t="s">
        <v>646</v>
      </c>
      <c r="F3923" s="829">
        <v>24.46</v>
      </c>
      <c r="G3923" s="830">
        <v>3.55</v>
      </c>
      <c r="H3923" s="831">
        <v>28.01</v>
      </c>
      <c r="I3923" s="846"/>
      <c r="J3923" s="846"/>
      <c r="K3923" s="846"/>
      <c r="L3923" s="846"/>
      <c r="M3923" s="846"/>
      <c r="N3923" s="846"/>
      <c r="O3923" s="846"/>
      <c r="P3923" s="846"/>
      <c r="Q3923" s="846"/>
      <c r="R3923" s="846"/>
      <c r="S3923" s="846"/>
      <c r="T3923" s="846"/>
    </row>
    <row r="3924" spans="2:20" ht="38.25" hidden="1">
      <c r="B3924" s="828" t="s">
        <v>6547</v>
      </c>
      <c r="C3924" s="828">
        <v>89742</v>
      </c>
      <c r="D3924" s="630" t="s">
        <v>1433</v>
      </c>
      <c r="E3924" s="630" t="s">
        <v>646</v>
      </c>
      <c r="F3924" s="829">
        <v>31.36</v>
      </c>
      <c r="G3924" s="830">
        <v>8.1300000000000008</v>
      </c>
      <c r="H3924" s="831">
        <v>39.49</v>
      </c>
      <c r="I3924" s="846"/>
      <c r="J3924" s="846"/>
      <c r="K3924" s="846"/>
      <c r="L3924" s="846"/>
      <c r="M3924" s="846"/>
      <c r="N3924" s="846"/>
      <c r="O3924" s="846"/>
      <c r="P3924" s="846"/>
      <c r="Q3924" s="846"/>
      <c r="R3924" s="846"/>
      <c r="S3924" s="846"/>
      <c r="T3924" s="846"/>
    </row>
    <row r="3925" spans="2:20" ht="38.25" hidden="1">
      <c r="B3925" s="828" t="s">
        <v>6547</v>
      </c>
      <c r="C3925" s="828">
        <v>89743</v>
      </c>
      <c r="D3925" s="630" t="s">
        <v>1437</v>
      </c>
      <c r="E3925" s="630" t="s">
        <v>646</v>
      </c>
      <c r="F3925" s="829">
        <v>48.48</v>
      </c>
      <c r="G3925" s="830">
        <v>8.1199999999999992</v>
      </c>
      <c r="H3925" s="831">
        <v>56.6</v>
      </c>
      <c r="I3925" s="846"/>
      <c r="J3925" s="846"/>
      <c r="K3925" s="846"/>
      <c r="L3925" s="846"/>
      <c r="M3925" s="846"/>
      <c r="N3925" s="846"/>
      <c r="O3925" s="846"/>
      <c r="P3925" s="846"/>
      <c r="Q3925" s="846"/>
      <c r="R3925" s="846"/>
      <c r="S3925" s="846"/>
      <c r="T3925" s="846"/>
    </row>
    <row r="3926" spans="2:20" ht="38.25" hidden="1">
      <c r="B3926" s="828" t="s">
        <v>6547</v>
      </c>
      <c r="C3926" s="828">
        <v>89744</v>
      </c>
      <c r="D3926" s="630" t="s">
        <v>1353</v>
      </c>
      <c r="E3926" s="630" t="s">
        <v>646</v>
      </c>
      <c r="F3926" s="829">
        <v>18.36</v>
      </c>
      <c r="G3926" s="830">
        <v>10.71</v>
      </c>
      <c r="H3926" s="831">
        <v>29.07</v>
      </c>
      <c r="I3926" s="846"/>
      <c r="J3926" s="846"/>
      <c r="K3926" s="846"/>
      <c r="L3926" s="846"/>
      <c r="M3926" s="846"/>
      <c r="N3926" s="846"/>
      <c r="O3926" s="846"/>
      <c r="P3926" s="846"/>
      <c r="Q3926" s="846"/>
      <c r="R3926" s="846"/>
      <c r="S3926" s="846"/>
      <c r="T3926" s="846"/>
    </row>
    <row r="3927" spans="2:20" ht="38.25" hidden="1">
      <c r="B3927" s="828" t="s">
        <v>6547</v>
      </c>
      <c r="C3927" s="828">
        <v>89746</v>
      </c>
      <c r="D3927" s="630" t="s">
        <v>1350</v>
      </c>
      <c r="E3927" s="630" t="s">
        <v>646</v>
      </c>
      <c r="F3927" s="829">
        <v>18.29</v>
      </c>
      <c r="G3927" s="830">
        <v>10.71</v>
      </c>
      <c r="H3927" s="831">
        <v>29</v>
      </c>
      <c r="I3927" s="846"/>
      <c r="J3927" s="846"/>
      <c r="K3927" s="846"/>
      <c r="L3927" s="846"/>
      <c r="M3927" s="846"/>
      <c r="N3927" s="846"/>
      <c r="O3927" s="846"/>
      <c r="P3927" s="846"/>
      <c r="Q3927" s="846"/>
      <c r="R3927" s="846"/>
      <c r="S3927" s="846"/>
      <c r="T3927" s="846"/>
    </row>
    <row r="3928" spans="2:20" ht="25.5" hidden="1">
      <c r="B3928" s="828" t="s">
        <v>6547</v>
      </c>
      <c r="C3928" s="828">
        <v>89747</v>
      </c>
      <c r="D3928" s="630" t="s">
        <v>8141</v>
      </c>
      <c r="E3928" s="630" t="s">
        <v>646</v>
      </c>
      <c r="F3928" s="829">
        <v>14.06</v>
      </c>
      <c r="G3928" s="830">
        <v>3.55</v>
      </c>
      <c r="H3928" s="831">
        <v>17.61</v>
      </c>
      <c r="I3928" s="846"/>
      <c r="J3928" s="846"/>
      <c r="K3928" s="846"/>
      <c r="L3928" s="846"/>
      <c r="M3928" s="846"/>
      <c r="N3928" s="846"/>
      <c r="O3928" s="846"/>
      <c r="P3928" s="846"/>
      <c r="Q3928" s="846"/>
      <c r="R3928" s="846"/>
      <c r="S3928" s="846"/>
      <c r="T3928" s="846"/>
    </row>
    <row r="3929" spans="2:20" ht="38.25" hidden="1">
      <c r="B3929" s="828" t="s">
        <v>6547</v>
      </c>
      <c r="C3929" s="828">
        <v>89748</v>
      </c>
      <c r="D3929" s="630" t="s">
        <v>1434</v>
      </c>
      <c r="E3929" s="630" t="s">
        <v>646</v>
      </c>
      <c r="F3929" s="829">
        <v>36.93</v>
      </c>
      <c r="G3929" s="830">
        <v>10.7</v>
      </c>
      <c r="H3929" s="831">
        <v>47.63</v>
      </c>
      <c r="I3929" s="846"/>
      <c r="J3929" s="846"/>
      <c r="K3929" s="846"/>
      <c r="L3929" s="846"/>
      <c r="M3929" s="846"/>
      <c r="N3929" s="846"/>
      <c r="O3929" s="846"/>
      <c r="P3929" s="846"/>
      <c r="Q3929" s="846"/>
      <c r="R3929" s="846"/>
      <c r="S3929" s="846"/>
      <c r="T3929" s="846"/>
    </row>
    <row r="3930" spans="2:20" ht="38.25" hidden="1">
      <c r="B3930" s="828" t="s">
        <v>6547</v>
      </c>
      <c r="C3930" s="828">
        <v>89749</v>
      </c>
      <c r="D3930" s="630" t="s">
        <v>8142</v>
      </c>
      <c r="E3930" s="630" t="s">
        <v>646</v>
      </c>
      <c r="F3930" s="829">
        <v>17.27</v>
      </c>
      <c r="G3930" s="830">
        <v>3.55</v>
      </c>
      <c r="H3930" s="831">
        <v>20.82</v>
      </c>
      <c r="I3930" s="846"/>
      <c r="J3930" s="846"/>
      <c r="K3930" s="846"/>
      <c r="L3930" s="846"/>
      <c r="M3930" s="846"/>
      <c r="N3930" s="846"/>
      <c r="O3930" s="846"/>
      <c r="P3930" s="846"/>
      <c r="Q3930" s="846"/>
      <c r="R3930" s="846"/>
      <c r="S3930" s="846"/>
      <c r="T3930" s="846"/>
    </row>
    <row r="3931" spans="2:20" ht="38.25" hidden="1">
      <c r="B3931" s="828" t="s">
        <v>6547</v>
      </c>
      <c r="C3931" s="828">
        <v>89750</v>
      </c>
      <c r="D3931" s="630" t="s">
        <v>1438</v>
      </c>
      <c r="E3931" s="630" t="s">
        <v>646</v>
      </c>
      <c r="F3931" s="829">
        <v>69.849999999999994</v>
      </c>
      <c r="G3931" s="830">
        <v>10.7</v>
      </c>
      <c r="H3931" s="831">
        <v>80.55</v>
      </c>
      <c r="I3931" s="846"/>
      <c r="J3931" s="846"/>
      <c r="K3931" s="846"/>
      <c r="L3931" s="846"/>
      <c r="M3931" s="846"/>
      <c r="N3931" s="846"/>
      <c r="O3931" s="846"/>
      <c r="P3931" s="846"/>
      <c r="Q3931" s="846"/>
      <c r="R3931" s="846"/>
      <c r="S3931" s="846"/>
      <c r="T3931" s="846"/>
    </row>
    <row r="3932" spans="2:20" ht="38.25" hidden="1">
      <c r="B3932" s="828" t="s">
        <v>6547</v>
      </c>
      <c r="C3932" s="828">
        <v>89752</v>
      </c>
      <c r="D3932" s="630" t="s">
        <v>1439</v>
      </c>
      <c r="E3932" s="630" t="s">
        <v>646</v>
      </c>
      <c r="F3932" s="829">
        <v>4.58</v>
      </c>
      <c r="G3932" s="830">
        <v>3.01</v>
      </c>
      <c r="H3932" s="831">
        <v>7.59</v>
      </c>
      <c r="I3932" s="846"/>
      <c r="J3932" s="846"/>
      <c r="K3932" s="846"/>
      <c r="L3932" s="846"/>
      <c r="M3932" s="846"/>
      <c r="N3932" s="846"/>
      <c r="O3932" s="846"/>
      <c r="P3932" s="846"/>
      <c r="Q3932" s="846"/>
      <c r="R3932" s="846"/>
      <c r="S3932" s="846"/>
      <c r="T3932" s="846"/>
    </row>
    <row r="3933" spans="2:20" ht="38.25" hidden="1">
      <c r="B3933" s="828" t="s">
        <v>6547</v>
      </c>
      <c r="C3933" s="828">
        <v>89753</v>
      </c>
      <c r="D3933" s="630" t="s">
        <v>1440</v>
      </c>
      <c r="E3933" s="630" t="s">
        <v>646</v>
      </c>
      <c r="F3933" s="829">
        <v>6.99</v>
      </c>
      <c r="G3933" s="830">
        <v>3.42</v>
      </c>
      <c r="H3933" s="831">
        <v>10.41</v>
      </c>
      <c r="I3933" s="846"/>
      <c r="J3933" s="846"/>
      <c r="K3933" s="846"/>
      <c r="L3933" s="846"/>
      <c r="M3933" s="846"/>
      <c r="N3933" s="846"/>
      <c r="O3933" s="846"/>
      <c r="P3933" s="846"/>
      <c r="Q3933" s="846"/>
      <c r="R3933" s="846"/>
      <c r="S3933" s="846"/>
      <c r="T3933" s="846"/>
    </row>
    <row r="3934" spans="2:20" ht="38.25" hidden="1">
      <c r="B3934" s="828" t="s">
        <v>6547</v>
      </c>
      <c r="C3934" s="828">
        <v>89754</v>
      </c>
      <c r="D3934" s="630" t="s">
        <v>1443</v>
      </c>
      <c r="E3934" s="630" t="s">
        <v>646</v>
      </c>
      <c r="F3934" s="829">
        <v>16.989999999999998</v>
      </c>
      <c r="G3934" s="830">
        <v>3.42</v>
      </c>
      <c r="H3934" s="831">
        <v>20.41</v>
      </c>
      <c r="I3934" s="846"/>
      <c r="J3934" s="846"/>
      <c r="K3934" s="846"/>
      <c r="L3934" s="846"/>
      <c r="M3934" s="846"/>
      <c r="N3934" s="846"/>
      <c r="O3934" s="846"/>
      <c r="P3934" s="846"/>
      <c r="Q3934" s="846"/>
      <c r="R3934" s="846"/>
      <c r="S3934" s="846"/>
      <c r="T3934" s="846"/>
    </row>
    <row r="3935" spans="2:20" ht="25.5" hidden="1">
      <c r="B3935" s="828" t="s">
        <v>6547</v>
      </c>
      <c r="C3935" s="828">
        <v>89755</v>
      </c>
      <c r="D3935" s="630" t="s">
        <v>8143</v>
      </c>
      <c r="E3935" s="630" t="s">
        <v>646</v>
      </c>
      <c r="F3935" s="829">
        <v>12.93</v>
      </c>
      <c r="G3935" s="830">
        <v>4.1900000000000004</v>
      </c>
      <c r="H3935" s="831">
        <v>17.12</v>
      </c>
      <c r="I3935" s="846"/>
      <c r="J3935" s="846"/>
      <c r="K3935" s="846"/>
      <c r="L3935" s="846"/>
      <c r="M3935" s="846"/>
      <c r="N3935" s="846"/>
      <c r="O3935" s="846"/>
      <c r="P3935" s="846"/>
      <c r="Q3935" s="846"/>
      <c r="R3935" s="846"/>
      <c r="S3935" s="846"/>
      <c r="T3935" s="846"/>
    </row>
    <row r="3936" spans="2:20" ht="25.5" hidden="1">
      <c r="B3936" s="828" t="s">
        <v>6547</v>
      </c>
      <c r="C3936" s="828">
        <v>89756</v>
      </c>
      <c r="D3936" s="630" t="s">
        <v>8144</v>
      </c>
      <c r="E3936" s="630" t="s">
        <v>646</v>
      </c>
      <c r="F3936" s="829">
        <v>23.77</v>
      </c>
      <c r="G3936" s="830">
        <v>4.18</v>
      </c>
      <c r="H3936" s="831">
        <v>27.95</v>
      </c>
      <c r="I3936" s="846"/>
      <c r="J3936" s="846"/>
      <c r="K3936" s="846"/>
      <c r="L3936" s="846"/>
      <c r="M3936" s="846"/>
      <c r="N3936" s="846"/>
      <c r="O3936" s="846"/>
      <c r="P3936" s="846"/>
      <c r="Q3936" s="846"/>
      <c r="R3936" s="846"/>
      <c r="S3936" s="846"/>
      <c r="T3936" s="846"/>
    </row>
    <row r="3937" spans="2:20" ht="25.5" hidden="1">
      <c r="B3937" s="828" t="s">
        <v>6547</v>
      </c>
      <c r="C3937" s="828">
        <v>89757</v>
      </c>
      <c r="D3937" s="630" t="s">
        <v>8145</v>
      </c>
      <c r="E3937" s="630" t="s">
        <v>646</v>
      </c>
      <c r="F3937" s="829">
        <v>37.57</v>
      </c>
      <c r="G3937" s="830">
        <v>4.18</v>
      </c>
      <c r="H3937" s="831">
        <v>41.75</v>
      </c>
      <c r="I3937" s="846"/>
      <c r="J3937" s="846"/>
      <c r="K3937" s="846"/>
      <c r="L3937" s="846"/>
      <c r="M3937" s="846"/>
      <c r="N3937" s="846"/>
      <c r="O3937" s="846"/>
      <c r="P3937" s="846"/>
      <c r="Q3937" s="846"/>
      <c r="R3937" s="846"/>
      <c r="S3937" s="846"/>
      <c r="T3937" s="846"/>
    </row>
    <row r="3938" spans="2:20" ht="25.5" hidden="1">
      <c r="B3938" s="828" t="s">
        <v>6547</v>
      </c>
      <c r="C3938" s="828">
        <v>89758</v>
      </c>
      <c r="D3938" s="630" t="s">
        <v>8146</v>
      </c>
      <c r="E3938" s="630" t="s">
        <v>646</v>
      </c>
      <c r="F3938" s="829">
        <v>60.05</v>
      </c>
      <c r="G3938" s="830">
        <v>4.0199999999999996</v>
      </c>
      <c r="H3938" s="831">
        <v>64.069999999999993</v>
      </c>
      <c r="I3938" s="846"/>
      <c r="J3938" s="846"/>
      <c r="K3938" s="846"/>
      <c r="L3938" s="846"/>
      <c r="M3938" s="846"/>
      <c r="N3938" s="846"/>
      <c r="O3938" s="846"/>
      <c r="P3938" s="846"/>
      <c r="Q3938" s="846"/>
      <c r="R3938" s="846"/>
      <c r="S3938" s="846"/>
      <c r="T3938" s="846"/>
    </row>
    <row r="3939" spans="2:20" ht="38.25" hidden="1">
      <c r="B3939" s="828" t="s">
        <v>6547</v>
      </c>
      <c r="C3939" s="828">
        <v>89759</v>
      </c>
      <c r="D3939" s="630" t="s">
        <v>8147</v>
      </c>
      <c r="E3939" s="630" t="s">
        <v>646</v>
      </c>
      <c r="F3939" s="829">
        <v>7.52</v>
      </c>
      <c r="G3939" s="830">
        <v>3.89</v>
      </c>
      <c r="H3939" s="831">
        <v>11.41</v>
      </c>
      <c r="I3939" s="846"/>
      <c r="J3939" s="846"/>
      <c r="K3939" s="846"/>
      <c r="L3939" s="846"/>
      <c r="M3939" s="846"/>
      <c r="N3939" s="846"/>
      <c r="O3939" s="846"/>
      <c r="P3939" s="846"/>
      <c r="Q3939" s="846"/>
      <c r="R3939" s="846"/>
      <c r="S3939" s="846"/>
      <c r="T3939" s="846"/>
    </row>
    <row r="3940" spans="2:20" ht="25.5" hidden="1">
      <c r="B3940" s="828" t="s">
        <v>6547</v>
      </c>
      <c r="C3940" s="828">
        <v>89760</v>
      </c>
      <c r="D3940" s="630" t="s">
        <v>8148</v>
      </c>
      <c r="E3940" s="630" t="s">
        <v>646</v>
      </c>
      <c r="F3940" s="829">
        <v>22.3</v>
      </c>
      <c r="G3940" s="830">
        <v>4.9400000000000004</v>
      </c>
      <c r="H3940" s="831">
        <v>27.24</v>
      </c>
      <c r="I3940" s="846"/>
      <c r="J3940" s="846"/>
      <c r="K3940" s="846"/>
      <c r="L3940" s="846"/>
      <c r="M3940" s="846"/>
      <c r="N3940" s="846"/>
      <c r="O3940" s="846"/>
      <c r="P3940" s="846"/>
      <c r="Q3940" s="846"/>
      <c r="R3940" s="846"/>
      <c r="S3940" s="846"/>
      <c r="T3940" s="846"/>
    </row>
    <row r="3941" spans="2:20" ht="25.5" hidden="1">
      <c r="B3941" s="828" t="s">
        <v>6547</v>
      </c>
      <c r="C3941" s="828">
        <v>89761</v>
      </c>
      <c r="D3941" s="630" t="s">
        <v>8149</v>
      </c>
      <c r="E3941" s="630" t="s">
        <v>646</v>
      </c>
      <c r="F3941" s="829">
        <v>38.479999999999997</v>
      </c>
      <c r="G3941" s="830">
        <v>4.9400000000000004</v>
      </c>
      <c r="H3941" s="831">
        <v>43.42</v>
      </c>
      <c r="I3941" s="846"/>
      <c r="J3941" s="846"/>
      <c r="K3941" s="846"/>
      <c r="L3941" s="846"/>
      <c r="M3941" s="846"/>
      <c r="N3941" s="846"/>
      <c r="O3941" s="846"/>
      <c r="P3941" s="846"/>
      <c r="Q3941" s="846"/>
      <c r="R3941" s="846"/>
      <c r="S3941" s="846"/>
      <c r="T3941" s="846"/>
    </row>
    <row r="3942" spans="2:20" ht="25.5" hidden="1">
      <c r="B3942" s="828" t="s">
        <v>6547</v>
      </c>
      <c r="C3942" s="828">
        <v>89762</v>
      </c>
      <c r="D3942" s="630" t="s">
        <v>8150</v>
      </c>
      <c r="E3942" s="630" t="s">
        <v>646</v>
      </c>
      <c r="F3942" s="829">
        <v>55.85</v>
      </c>
      <c r="G3942" s="830">
        <v>4.93</v>
      </c>
      <c r="H3942" s="831">
        <v>60.78</v>
      </c>
      <c r="I3942" s="846"/>
      <c r="J3942" s="846"/>
      <c r="K3942" s="846"/>
      <c r="L3942" s="846"/>
      <c r="M3942" s="846"/>
      <c r="N3942" s="846"/>
      <c r="O3942" s="846"/>
      <c r="P3942" s="846"/>
      <c r="Q3942" s="846"/>
      <c r="R3942" s="846"/>
      <c r="S3942" s="846"/>
      <c r="T3942" s="846"/>
    </row>
    <row r="3943" spans="2:20" ht="25.5" hidden="1">
      <c r="B3943" s="828" t="s">
        <v>6547</v>
      </c>
      <c r="C3943" s="828">
        <v>89763</v>
      </c>
      <c r="D3943" s="630" t="s">
        <v>8151</v>
      </c>
      <c r="E3943" s="630" t="s">
        <v>646</v>
      </c>
      <c r="F3943" s="829">
        <v>227.55</v>
      </c>
      <c r="G3943" s="830">
        <v>4.76</v>
      </c>
      <c r="H3943" s="831">
        <v>232.31</v>
      </c>
      <c r="I3943" s="846"/>
      <c r="J3943" s="846"/>
      <c r="K3943" s="846"/>
      <c r="L3943" s="846"/>
      <c r="M3943" s="846"/>
      <c r="N3943" s="846"/>
      <c r="O3943" s="846"/>
      <c r="P3943" s="846"/>
      <c r="Q3943" s="846"/>
      <c r="R3943" s="846"/>
      <c r="S3943" s="846"/>
      <c r="T3943" s="846"/>
    </row>
    <row r="3944" spans="2:20" ht="38.25" hidden="1">
      <c r="B3944" s="828" t="s">
        <v>6547</v>
      </c>
      <c r="C3944" s="828">
        <v>89764</v>
      </c>
      <c r="D3944" s="630" t="s">
        <v>8152</v>
      </c>
      <c r="E3944" s="630" t="s">
        <v>646</v>
      </c>
      <c r="F3944" s="829">
        <v>41.39</v>
      </c>
      <c r="G3944" s="830">
        <v>4.55</v>
      </c>
      <c r="H3944" s="831">
        <v>45.94</v>
      </c>
      <c r="I3944" s="846"/>
      <c r="J3944" s="846"/>
      <c r="K3944" s="846"/>
      <c r="L3944" s="846"/>
      <c r="M3944" s="846"/>
      <c r="N3944" s="846"/>
      <c r="O3944" s="846"/>
      <c r="P3944" s="846"/>
      <c r="Q3944" s="846"/>
      <c r="R3944" s="846"/>
      <c r="S3944" s="846"/>
      <c r="T3944" s="846"/>
    </row>
    <row r="3945" spans="2:20" ht="25.5" hidden="1">
      <c r="B3945" s="828" t="s">
        <v>6547</v>
      </c>
      <c r="C3945" s="828">
        <v>89765</v>
      </c>
      <c r="D3945" s="630" t="s">
        <v>8153</v>
      </c>
      <c r="E3945" s="630" t="s">
        <v>646</v>
      </c>
      <c r="F3945" s="829">
        <v>14.52</v>
      </c>
      <c r="G3945" s="830">
        <v>7.12</v>
      </c>
      <c r="H3945" s="831">
        <v>21.64</v>
      </c>
      <c r="I3945" s="846"/>
      <c r="J3945" s="846"/>
      <c r="K3945" s="846"/>
      <c r="L3945" s="846"/>
      <c r="M3945" s="846"/>
      <c r="N3945" s="846"/>
      <c r="O3945" s="846"/>
      <c r="P3945" s="846"/>
      <c r="Q3945" s="846"/>
      <c r="R3945" s="846"/>
      <c r="S3945" s="846"/>
      <c r="T3945" s="846"/>
    </row>
    <row r="3946" spans="2:20" ht="25.5" hidden="1">
      <c r="B3946" s="828" t="s">
        <v>6547</v>
      </c>
      <c r="C3946" s="828">
        <v>89767</v>
      </c>
      <c r="D3946" s="630" t="s">
        <v>8154</v>
      </c>
      <c r="E3946" s="630" t="s">
        <v>646</v>
      </c>
      <c r="F3946" s="829">
        <v>23.59</v>
      </c>
      <c r="G3946" s="830">
        <v>7.12</v>
      </c>
      <c r="H3946" s="831">
        <v>30.71</v>
      </c>
      <c r="I3946" s="846"/>
      <c r="J3946" s="846"/>
      <c r="K3946" s="846"/>
      <c r="L3946" s="846"/>
      <c r="M3946" s="846"/>
      <c r="N3946" s="846"/>
      <c r="O3946" s="846"/>
      <c r="P3946" s="846"/>
      <c r="Q3946" s="846"/>
      <c r="R3946" s="846"/>
      <c r="S3946" s="846"/>
      <c r="T3946" s="846"/>
    </row>
    <row r="3947" spans="2:20" ht="25.5" hidden="1">
      <c r="B3947" s="828" t="s">
        <v>6547</v>
      </c>
      <c r="C3947" s="828">
        <v>89768</v>
      </c>
      <c r="D3947" s="630" t="s">
        <v>8155</v>
      </c>
      <c r="E3947" s="630" t="s">
        <v>646</v>
      </c>
      <c r="F3947" s="829">
        <v>23.18</v>
      </c>
      <c r="G3947" s="830">
        <v>8.4</v>
      </c>
      <c r="H3947" s="831">
        <v>31.58</v>
      </c>
      <c r="I3947" s="846"/>
      <c r="J3947" s="846"/>
      <c r="K3947" s="846"/>
      <c r="L3947" s="846"/>
      <c r="M3947" s="846"/>
      <c r="N3947" s="846"/>
      <c r="O3947" s="846"/>
      <c r="P3947" s="846"/>
      <c r="Q3947" s="846"/>
      <c r="R3947" s="846"/>
      <c r="S3947" s="846"/>
      <c r="T3947" s="846"/>
    </row>
    <row r="3948" spans="2:20" ht="25.5" hidden="1">
      <c r="B3948" s="828" t="s">
        <v>6547</v>
      </c>
      <c r="C3948" s="828">
        <v>89769</v>
      </c>
      <c r="D3948" s="630" t="s">
        <v>8156</v>
      </c>
      <c r="E3948" s="630" t="s">
        <v>646</v>
      </c>
      <c r="F3948" s="829">
        <v>61</v>
      </c>
      <c r="G3948" s="830">
        <v>9.89</v>
      </c>
      <c r="H3948" s="831">
        <v>70.89</v>
      </c>
      <c r="I3948" s="846"/>
      <c r="J3948" s="846"/>
      <c r="K3948" s="846"/>
      <c r="L3948" s="846"/>
      <c r="M3948" s="846"/>
      <c r="N3948" s="846"/>
      <c r="O3948" s="846"/>
      <c r="P3948" s="846"/>
      <c r="Q3948" s="846"/>
      <c r="R3948" s="846"/>
      <c r="S3948" s="846"/>
      <c r="T3948" s="846"/>
    </row>
    <row r="3949" spans="2:20" ht="25.5" hidden="1">
      <c r="B3949" s="828" t="s">
        <v>6547</v>
      </c>
      <c r="C3949" s="828">
        <v>89772</v>
      </c>
      <c r="D3949" s="630" t="s">
        <v>8157</v>
      </c>
      <c r="E3949" s="630" t="s">
        <v>648</v>
      </c>
      <c r="F3949" s="829">
        <v>109.44</v>
      </c>
      <c r="G3949" s="830">
        <v>1.54</v>
      </c>
      <c r="H3949" s="831">
        <v>110.98</v>
      </c>
      <c r="I3949" s="846"/>
      <c r="J3949" s="846"/>
      <c r="K3949" s="846"/>
      <c r="L3949" s="846"/>
      <c r="M3949" s="846"/>
      <c r="N3949" s="846"/>
      <c r="O3949" s="846"/>
      <c r="P3949" s="846"/>
      <c r="Q3949" s="846"/>
      <c r="R3949" s="846"/>
      <c r="S3949" s="846"/>
      <c r="T3949" s="846"/>
    </row>
    <row r="3950" spans="2:20" ht="38.25" hidden="1">
      <c r="B3950" s="828" t="s">
        <v>6547</v>
      </c>
      <c r="C3950" s="828">
        <v>89774</v>
      </c>
      <c r="D3950" s="630" t="s">
        <v>1441</v>
      </c>
      <c r="E3950" s="630" t="s">
        <v>646</v>
      </c>
      <c r="F3950" s="829">
        <v>12.1</v>
      </c>
      <c r="G3950" s="830">
        <v>5.57</v>
      </c>
      <c r="H3950" s="831">
        <v>17.670000000000002</v>
      </c>
      <c r="I3950" s="846"/>
      <c r="J3950" s="846"/>
      <c r="K3950" s="846"/>
      <c r="L3950" s="846"/>
      <c r="M3950" s="846"/>
      <c r="N3950" s="846"/>
      <c r="O3950" s="846"/>
      <c r="P3950" s="846"/>
      <c r="Q3950" s="846"/>
      <c r="R3950" s="846"/>
      <c r="S3950" s="846"/>
      <c r="T3950" s="846"/>
    </row>
    <row r="3951" spans="2:20" ht="38.25" hidden="1">
      <c r="B3951" s="828" t="s">
        <v>6547</v>
      </c>
      <c r="C3951" s="828">
        <v>89776</v>
      </c>
      <c r="D3951" s="630" t="s">
        <v>1546</v>
      </c>
      <c r="E3951" s="630" t="s">
        <v>646</v>
      </c>
      <c r="F3951" s="829">
        <v>19.829999999999998</v>
      </c>
      <c r="G3951" s="830">
        <v>5.57</v>
      </c>
      <c r="H3951" s="831">
        <v>25.4</v>
      </c>
      <c r="I3951" s="846"/>
      <c r="J3951" s="846"/>
      <c r="K3951" s="846"/>
      <c r="L3951" s="846"/>
      <c r="M3951" s="846"/>
      <c r="N3951" s="846"/>
      <c r="O3951" s="846"/>
      <c r="P3951" s="846"/>
      <c r="Q3951" s="846"/>
      <c r="R3951" s="846"/>
      <c r="S3951" s="846"/>
      <c r="T3951" s="846"/>
    </row>
    <row r="3952" spans="2:20" ht="25.5" hidden="1">
      <c r="B3952" s="828" t="s">
        <v>6547</v>
      </c>
      <c r="C3952" s="828">
        <v>89777</v>
      </c>
      <c r="D3952" s="630" t="s">
        <v>8158</v>
      </c>
      <c r="E3952" s="630" t="s">
        <v>646</v>
      </c>
      <c r="F3952" s="829">
        <v>31.21</v>
      </c>
      <c r="G3952" s="830">
        <v>3.97</v>
      </c>
      <c r="H3952" s="831">
        <v>35.18</v>
      </c>
      <c r="I3952" s="846"/>
      <c r="J3952" s="846"/>
      <c r="K3952" s="846"/>
      <c r="L3952" s="846"/>
      <c r="M3952" s="846"/>
      <c r="N3952" s="846"/>
      <c r="O3952" s="846"/>
      <c r="P3952" s="846"/>
      <c r="Q3952" s="846"/>
      <c r="R3952" s="846"/>
      <c r="S3952" s="846"/>
      <c r="T3952" s="846"/>
    </row>
    <row r="3953" spans="2:20" ht="38.25" hidden="1">
      <c r="B3953" s="828" t="s">
        <v>6547</v>
      </c>
      <c r="C3953" s="828">
        <v>89778</v>
      </c>
      <c r="D3953" s="630" t="s">
        <v>1442</v>
      </c>
      <c r="E3953" s="630" t="s">
        <v>646</v>
      </c>
      <c r="F3953" s="829">
        <v>14.71</v>
      </c>
      <c r="G3953" s="830">
        <v>7.28</v>
      </c>
      <c r="H3953" s="831">
        <v>21.99</v>
      </c>
      <c r="I3953" s="846"/>
      <c r="J3953" s="846"/>
      <c r="K3953" s="846"/>
      <c r="L3953" s="846"/>
      <c r="M3953" s="846"/>
      <c r="N3953" s="846"/>
      <c r="O3953" s="846"/>
      <c r="P3953" s="846"/>
      <c r="Q3953" s="846"/>
      <c r="R3953" s="846"/>
      <c r="S3953" s="846"/>
      <c r="T3953" s="846"/>
    </row>
    <row r="3954" spans="2:20" ht="38.25" hidden="1">
      <c r="B3954" s="828" t="s">
        <v>6547</v>
      </c>
      <c r="C3954" s="828">
        <v>89779</v>
      </c>
      <c r="D3954" s="630" t="s">
        <v>1547</v>
      </c>
      <c r="E3954" s="630" t="s">
        <v>646</v>
      </c>
      <c r="F3954" s="829">
        <v>29.03</v>
      </c>
      <c r="G3954" s="830">
        <v>7.27</v>
      </c>
      <c r="H3954" s="831">
        <v>36.299999999999997</v>
      </c>
      <c r="I3954" s="846"/>
      <c r="J3954" s="846"/>
      <c r="K3954" s="846"/>
      <c r="L3954" s="846"/>
      <c r="M3954" s="846"/>
      <c r="N3954" s="846"/>
      <c r="O3954" s="846"/>
      <c r="P3954" s="846"/>
      <c r="Q3954" s="846"/>
      <c r="R3954" s="846"/>
      <c r="S3954" s="846"/>
      <c r="T3954" s="846"/>
    </row>
    <row r="3955" spans="2:20" ht="25.5" hidden="1">
      <c r="B3955" s="828" t="s">
        <v>6547</v>
      </c>
      <c r="C3955" s="828">
        <v>89780</v>
      </c>
      <c r="D3955" s="630" t="s">
        <v>8159</v>
      </c>
      <c r="E3955" s="630" t="s">
        <v>646</v>
      </c>
      <c r="F3955" s="829">
        <v>31.21</v>
      </c>
      <c r="G3955" s="830">
        <v>3.97</v>
      </c>
      <c r="H3955" s="831">
        <v>35.18</v>
      </c>
      <c r="I3955" s="846"/>
      <c r="J3955" s="846"/>
      <c r="K3955" s="846"/>
      <c r="L3955" s="846"/>
      <c r="M3955" s="846"/>
      <c r="N3955" s="846"/>
      <c r="O3955" s="846"/>
      <c r="P3955" s="846"/>
      <c r="Q3955" s="846"/>
      <c r="R3955" s="846"/>
      <c r="S3955" s="846"/>
      <c r="T3955" s="846"/>
    </row>
    <row r="3956" spans="2:20" ht="25.5" hidden="1">
      <c r="B3956" s="828" t="s">
        <v>6547</v>
      </c>
      <c r="C3956" s="828">
        <v>89781</v>
      </c>
      <c r="D3956" s="630" t="s">
        <v>8160</v>
      </c>
      <c r="E3956" s="630" t="s">
        <v>646</v>
      </c>
      <c r="F3956" s="829">
        <v>47.61</v>
      </c>
      <c r="G3956" s="830">
        <v>4.66</v>
      </c>
      <c r="H3956" s="831">
        <v>52.27</v>
      </c>
      <c r="I3956" s="846"/>
      <c r="J3956" s="846"/>
      <c r="K3956" s="846"/>
      <c r="L3956" s="846"/>
      <c r="M3956" s="846"/>
      <c r="N3956" s="846"/>
      <c r="O3956" s="846"/>
      <c r="P3956" s="846"/>
      <c r="Q3956" s="846"/>
      <c r="R3956" s="846"/>
      <c r="S3956" s="846"/>
      <c r="T3956" s="846"/>
    </row>
    <row r="3957" spans="2:20" ht="38.25" hidden="1">
      <c r="B3957" s="828" t="s">
        <v>6547</v>
      </c>
      <c r="C3957" s="828">
        <v>89782</v>
      </c>
      <c r="D3957" s="630" t="s">
        <v>1548</v>
      </c>
      <c r="E3957" s="630" t="s">
        <v>646</v>
      </c>
      <c r="F3957" s="829">
        <v>8.67</v>
      </c>
      <c r="G3957" s="830">
        <v>6</v>
      </c>
      <c r="H3957" s="831">
        <v>14.67</v>
      </c>
      <c r="I3957" s="846"/>
      <c r="J3957" s="846"/>
      <c r="K3957" s="846"/>
      <c r="L3957" s="846"/>
      <c r="M3957" s="846"/>
      <c r="N3957" s="846"/>
      <c r="O3957" s="846"/>
      <c r="P3957" s="846"/>
      <c r="Q3957" s="846"/>
      <c r="R3957" s="846"/>
      <c r="S3957" s="846"/>
      <c r="T3957" s="846"/>
    </row>
    <row r="3958" spans="2:20" ht="38.25" hidden="1">
      <c r="B3958" s="828" t="s">
        <v>6547</v>
      </c>
      <c r="C3958" s="828">
        <v>89783</v>
      </c>
      <c r="D3958" s="630" t="s">
        <v>1552</v>
      </c>
      <c r="E3958" s="630" t="s">
        <v>646</v>
      </c>
      <c r="F3958" s="829">
        <v>9.0399999999999991</v>
      </c>
      <c r="G3958" s="830">
        <v>6</v>
      </c>
      <c r="H3958" s="831">
        <v>15.04</v>
      </c>
      <c r="I3958" s="846"/>
      <c r="J3958" s="846"/>
      <c r="K3958" s="846"/>
      <c r="L3958" s="846"/>
      <c r="M3958" s="846"/>
      <c r="N3958" s="846"/>
      <c r="O3958" s="846"/>
      <c r="P3958" s="846"/>
      <c r="Q3958" s="846"/>
      <c r="R3958" s="846"/>
      <c r="S3958" s="846"/>
      <c r="T3958" s="846"/>
    </row>
    <row r="3959" spans="2:20" ht="38.25" hidden="1">
      <c r="B3959" s="828" t="s">
        <v>6547</v>
      </c>
      <c r="C3959" s="828">
        <v>89784</v>
      </c>
      <c r="D3959" s="630" t="s">
        <v>1549</v>
      </c>
      <c r="E3959" s="630" t="s">
        <v>646</v>
      </c>
      <c r="F3959" s="829">
        <v>15.9</v>
      </c>
      <c r="G3959" s="830">
        <v>7.28</v>
      </c>
      <c r="H3959" s="831">
        <v>23.18</v>
      </c>
      <c r="I3959" s="846"/>
      <c r="J3959" s="846"/>
      <c r="K3959" s="846"/>
      <c r="L3959" s="846"/>
      <c r="M3959" s="846"/>
      <c r="N3959" s="846"/>
      <c r="O3959" s="846"/>
      <c r="P3959" s="846"/>
      <c r="Q3959" s="846"/>
      <c r="R3959" s="846"/>
      <c r="S3959" s="846"/>
      <c r="T3959" s="846"/>
    </row>
    <row r="3960" spans="2:20" ht="38.25" hidden="1">
      <c r="B3960" s="828" t="s">
        <v>6547</v>
      </c>
      <c r="C3960" s="828">
        <v>89785</v>
      </c>
      <c r="D3960" s="630" t="s">
        <v>1553</v>
      </c>
      <c r="E3960" s="630" t="s">
        <v>646</v>
      </c>
      <c r="F3960" s="829">
        <v>18.28</v>
      </c>
      <c r="G3960" s="830">
        <v>7.28</v>
      </c>
      <c r="H3960" s="831">
        <v>25.56</v>
      </c>
      <c r="I3960" s="846"/>
      <c r="J3960" s="846"/>
      <c r="K3960" s="846"/>
      <c r="L3960" s="846"/>
      <c r="M3960" s="846"/>
      <c r="N3960" s="846"/>
      <c r="O3960" s="846"/>
      <c r="P3960" s="846"/>
      <c r="Q3960" s="846"/>
      <c r="R3960" s="846"/>
      <c r="S3960" s="846"/>
      <c r="T3960" s="846"/>
    </row>
    <row r="3961" spans="2:20" ht="38.25" hidden="1">
      <c r="B3961" s="828" t="s">
        <v>6547</v>
      </c>
      <c r="C3961" s="828">
        <v>89786</v>
      </c>
      <c r="D3961" s="630" t="s">
        <v>1550</v>
      </c>
      <c r="E3961" s="630" t="s">
        <v>646</v>
      </c>
      <c r="F3961" s="829">
        <v>28.49</v>
      </c>
      <c r="G3961" s="830">
        <v>10.71</v>
      </c>
      <c r="H3961" s="831">
        <v>39.200000000000003</v>
      </c>
      <c r="I3961" s="846"/>
      <c r="J3961" s="846"/>
      <c r="K3961" s="846"/>
      <c r="L3961" s="846"/>
      <c r="M3961" s="846"/>
      <c r="N3961" s="846"/>
      <c r="O3961" s="846"/>
      <c r="P3961" s="846"/>
      <c r="Q3961" s="846"/>
      <c r="R3961" s="846"/>
      <c r="S3961" s="846"/>
      <c r="T3961" s="846"/>
    </row>
    <row r="3962" spans="2:20" ht="25.5" hidden="1">
      <c r="B3962" s="828" t="s">
        <v>6547</v>
      </c>
      <c r="C3962" s="828">
        <v>89787</v>
      </c>
      <c r="D3962" s="630" t="s">
        <v>8161</v>
      </c>
      <c r="E3962" s="630" t="s">
        <v>646</v>
      </c>
      <c r="F3962" s="829">
        <v>47.61</v>
      </c>
      <c r="G3962" s="830">
        <v>4.66</v>
      </c>
      <c r="H3962" s="831">
        <v>52.27</v>
      </c>
      <c r="I3962" s="846"/>
      <c r="J3962" s="846"/>
      <c r="K3962" s="846"/>
      <c r="L3962" s="846"/>
      <c r="M3962" s="846"/>
      <c r="N3962" s="846"/>
      <c r="O3962" s="846"/>
      <c r="P3962" s="846"/>
      <c r="Q3962" s="846"/>
      <c r="R3962" s="846"/>
      <c r="S3962" s="846"/>
      <c r="T3962" s="846"/>
    </row>
    <row r="3963" spans="2:20" ht="25.5" hidden="1">
      <c r="B3963" s="828" t="s">
        <v>6547</v>
      </c>
      <c r="C3963" s="828">
        <v>89788</v>
      </c>
      <c r="D3963" s="630" t="s">
        <v>8162</v>
      </c>
      <c r="E3963" s="630" t="s">
        <v>646</v>
      </c>
      <c r="F3963" s="829">
        <v>95.91</v>
      </c>
      <c r="G3963" s="830">
        <v>5.83</v>
      </c>
      <c r="H3963" s="831">
        <v>101.74</v>
      </c>
      <c r="I3963" s="846"/>
      <c r="J3963" s="846"/>
      <c r="K3963" s="846"/>
      <c r="L3963" s="846"/>
      <c r="M3963" s="846"/>
      <c r="N3963" s="846"/>
      <c r="O3963" s="846"/>
      <c r="P3963" s="846"/>
      <c r="Q3963" s="846"/>
      <c r="R3963" s="846"/>
      <c r="S3963" s="846"/>
      <c r="T3963" s="846"/>
    </row>
    <row r="3964" spans="2:20" ht="25.5" hidden="1">
      <c r="B3964" s="828" t="s">
        <v>6547</v>
      </c>
      <c r="C3964" s="828">
        <v>89789</v>
      </c>
      <c r="D3964" s="630" t="s">
        <v>8163</v>
      </c>
      <c r="E3964" s="630" t="s">
        <v>646</v>
      </c>
      <c r="F3964" s="829">
        <v>97.51</v>
      </c>
      <c r="G3964" s="830">
        <v>5.83</v>
      </c>
      <c r="H3964" s="831">
        <v>103.34</v>
      </c>
      <c r="I3964" s="846"/>
      <c r="J3964" s="846"/>
      <c r="K3964" s="846"/>
      <c r="L3964" s="846"/>
      <c r="M3964" s="846"/>
      <c r="N3964" s="846"/>
      <c r="O3964" s="846"/>
      <c r="P3964" s="846"/>
      <c r="Q3964" s="846"/>
      <c r="R3964" s="846"/>
      <c r="S3964" s="846"/>
      <c r="T3964" s="846"/>
    </row>
    <row r="3965" spans="2:20" ht="25.5" hidden="1">
      <c r="B3965" s="828" t="s">
        <v>6547</v>
      </c>
      <c r="C3965" s="828">
        <v>89790</v>
      </c>
      <c r="D3965" s="630" t="s">
        <v>8164</v>
      </c>
      <c r="E3965" s="630" t="s">
        <v>646</v>
      </c>
      <c r="F3965" s="829">
        <v>241.41</v>
      </c>
      <c r="G3965" s="830">
        <v>7.69</v>
      </c>
      <c r="H3965" s="831">
        <v>249.1</v>
      </c>
      <c r="I3965" s="846"/>
      <c r="J3965" s="846"/>
      <c r="K3965" s="846"/>
      <c r="L3965" s="846"/>
      <c r="M3965" s="846"/>
      <c r="N3965" s="846"/>
      <c r="O3965" s="846"/>
      <c r="P3965" s="846"/>
      <c r="Q3965" s="846"/>
      <c r="R3965" s="846"/>
      <c r="S3965" s="846"/>
      <c r="T3965" s="846"/>
    </row>
    <row r="3966" spans="2:20" ht="25.5" hidden="1">
      <c r="B3966" s="828" t="s">
        <v>6547</v>
      </c>
      <c r="C3966" s="828">
        <v>89791</v>
      </c>
      <c r="D3966" s="630" t="s">
        <v>8165</v>
      </c>
      <c r="E3966" s="630" t="s">
        <v>646</v>
      </c>
      <c r="F3966" s="829">
        <v>247.27</v>
      </c>
      <c r="G3966" s="830">
        <v>7.69</v>
      </c>
      <c r="H3966" s="831">
        <v>254.96</v>
      </c>
      <c r="I3966" s="846"/>
      <c r="J3966" s="846"/>
      <c r="K3966" s="846"/>
      <c r="L3966" s="846"/>
      <c r="M3966" s="846"/>
      <c r="N3966" s="846"/>
      <c r="O3966" s="846"/>
      <c r="P3966" s="846"/>
      <c r="Q3966" s="846"/>
      <c r="R3966" s="846"/>
      <c r="S3966" s="846"/>
      <c r="T3966" s="846"/>
    </row>
    <row r="3967" spans="2:20" ht="25.5" hidden="1">
      <c r="B3967" s="828" t="s">
        <v>6547</v>
      </c>
      <c r="C3967" s="828">
        <v>89792</v>
      </c>
      <c r="D3967" s="630" t="s">
        <v>8166</v>
      </c>
      <c r="E3967" s="630" t="s">
        <v>646</v>
      </c>
      <c r="F3967" s="829">
        <v>285.11</v>
      </c>
      <c r="G3967" s="830">
        <v>9.26</v>
      </c>
      <c r="H3967" s="831">
        <v>294.37</v>
      </c>
      <c r="I3967" s="846"/>
      <c r="J3967" s="846"/>
      <c r="K3967" s="846"/>
      <c r="L3967" s="846"/>
      <c r="M3967" s="846"/>
      <c r="N3967" s="846"/>
      <c r="O3967" s="846"/>
      <c r="P3967" s="846"/>
      <c r="Q3967" s="846"/>
      <c r="R3967" s="846"/>
      <c r="S3967" s="846"/>
      <c r="T3967" s="846"/>
    </row>
    <row r="3968" spans="2:20" ht="25.5" hidden="1">
      <c r="B3968" s="828" t="s">
        <v>6547</v>
      </c>
      <c r="C3968" s="828">
        <v>89793</v>
      </c>
      <c r="D3968" s="630" t="s">
        <v>8167</v>
      </c>
      <c r="E3968" s="630" t="s">
        <v>646</v>
      </c>
      <c r="F3968" s="829">
        <v>293.01</v>
      </c>
      <c r="G3968" s="830">
        <v>9.26</v>
      </c>
      <c r="H3968" s="831">
        <v>302.27</v>
      </c>
      <c r="I3968" s="846"/>
      <c r="J3968" s="846"/>
      <c r="K3968" s="846"/>
      <c r="L3968" s="846"/>
      <c r="M3968" s="846"/>
      <c r="N3968" s="846"/>
      <c r="O3968" s="846"/>
      <c r="P3968" s="846"/>
      <c r="Q3968" s="846"/>
      <c r="R3968" s="846"/>
      <c r="S3968" s="846"/>
      <c r="T3968" s="846"/>
    </row>
    <row r="3969" spans="2:20" ht="25.5" hidden="1">
      <c r="B3969" s="828" t="s">
        <v>6547</v>
      </c>
      <c r="C3969" s="828">
        <v>89794</v>
      </c>
      <c r="D3969" s="630" t="s">
        <v>8168</v>
      </c>
      <c r="E3969" s="630" t="s">
        <v>646</v>
      </c>
      <c r="F3969" s="829">
        <v>21.66</v>
      </c>
      <c r="G3969" s="830">
        <v>2.66</v>
      </c>
      <c r="H3969" s="831">
        <v>24.32</v>
      </c>
      <c r="I3969" s="846"/>
      <c r="J3969" s="846"/>
      <c r="K3969" s="846"/>
      <c r="L3969" s="846"/>
      <c r="M3969" s="846"/>
      <c r="N3969" s="846"/>
      <c r="O3969" s="846"/>
      <c r="P3969" s="846"/>
      <c r="Q3969" s="846"/>
      <c r="R3969" s="846"/>
      <c r="S3969" s="846"/>
      <c r="T3969" s="846"/>
    </row>
    <row r="3970" spans="2:20" ht="38.25" hidden="1">
      <c r="B3970" s="828" t="s">
        <v>6547</v>
      </c>
      <c r="C3970" s="828">
        <v>89795</v>
      </c>
      <c r="D3970" s="630" t="s">
        <v>1554</v>
      </c>
      <c r="E3970" s="630" t="s">
        <v>646</v>
      </c>
      <c r="F3970" s="829">
        <v>31.76</v>
      </c>
      <c r="G3970" s="830">
        <v>10.71</v>
      </c>
      <c r="H3970" s="831">
        <v>42.47</v>
      </c>
      <c r="I3970" s="846"/>
      <c r="J3970" s="846"/>
      <c r="K3970" s="846"/>
      <c r="L3970" s="846"/>
      <c r="M3970" s="846"/>
      <c r="N3970" s="846"/>
      <c r="O3970" s="846"/>
      <c r="P3970" s="846"/>
      <c r="Q3970" s="846"/>
      <c r="R3970" s="846"/>
      <c r="S3970" s="846"/>
      <c r="T3970" s="846"/>
    </row>
    <row r="3971" spans="2:20" ht="38.25" hidden="1">
      <c r="B3971" s="828" t="s">
        <v>6547</v>
      </c>
      <c r="C3971" s="828">
        <v>89796</v>
      </c>
      <c r="D3971" s="630" t="s">
        <v>1551</v>
      </c>
      <c r="E3971" s="630" t="s">
        <v>646</v>
      </c>
      <c r="F3971" s="829">
        <v>33.770000000000003</v>
      </c>
      <c r="G3971" s="830">
        <v>14.15</v>
      </c>
      <c r="H3971" s="831">
        <v>47.92</v>
      </c>
      <c r="I3971" s="846"/>
      <c r="J3971" s="846"/>
      <c r="K3971" s="846"/>
      <c r="L3971" s="846"/>
      <c r="M3971" s="846"/>
      <c r="N3971" s="846"/>
      <c r="O3971" s="846"/>
      <c r="P3971" s="846"/>
      <c r="Q3971" s="846"/>
      <c r="R3971" s="846"/>
      <c r="S3971" s="846"/>
      <c r="T3971" s="846"/>
    </row>
    <row r="3972" spans="2:20" ht="38.25" hidden="1">
      <c r="B3972" s="828" t="s">
        <v>6547</v>
      </c>
      <c r="C3972" s="828">
        <v>89797</v>
      </c>
      <c r="D3972" s="630" t="s">
        <v>1555</v>
      </c>
      <c r="E3972" s="630" t="s">
        <v>646</v>
      </c>
      <c r="F3972" s="829">
        <v>41.45</v>
      </c>
      <c r="G3972" s="830">
        <v>14.14</v>
      </c>
      <c r="H3972" s="831">
        <v>55.59</v>
      </c>
      <c r="I3972" s="846"/>
      <c r="J3972" s="846"/>
      <c r="K3972" s="846"/>
      <c r="L3972" s="846"/>
      <c r="M3972" s="846"/>
      <c r="N3972" s="846"/>
      <c r="O3972" s="846"/>
      <c r="P3972" s="846"/>
      <c r="Q3972" s="846"/>
      <c r="R3972" s="846"/>
      <c r="S3972" s="846"/>
      <c r="T3972" s="846"/>
    </row>
    <row r="3973" spans="2:20" ht="38.25" hidden="1">
      <c r="B3973" s="828" t="s">
        <v>6547</v>
      </c>
      <c r="C3973" s="828">
        <v>89801</v>
      </c>
      <c r="D3973" s="630" t="s">
        <v>1446</v>
      </c>
      <c r="E3973" s="630" t="s">
        <v>646</v>
      </c>
      <c r="F3973" s="829">
        <v>6</v>
      </c>
      <c r="G3973" s="830">
        <v>1.71</v>
      </c>
      <c r="H3973" s="831">
        <v>7.71</v>
      </c>
      <c r="I3973" s="846"/>
      <c r="J3973" s="846"/>
      <c r="K3973" s="846"/>
      <c r="L3973" s="846"/>
      <c r="M3973" s="846"/>
      <c r="N3973" s="846"/>
      <c r="O3973" s="846"/>
      <c r="P3973" s="846"/>
      <c r="Q3973" s="846"/>
      <c r="R3973" s="846"/>
      <c r="S3973" s="846"/>
      <c r="T3973" s="846"/>
    </row>
    <row r="3974" spans="2:20" ht="38.25" hidden="1">
      <c r="B3974" s="828" t="s">
        <v>6547</v>
      </c>
      <c r="C3974" s="828">
        <v>89802</v>
      </c>
      <c r="D3974" s="630" t="s">
        <v>1556</v>
      </c>
      <c r="E3974" s="630" t="s">
        <v>646</v>
      </c>
      <c r="F3974" s="829">
        <v>6.83</v>
      </c>
      <c r="G3974" s="830">
        <v>1.71</v>
      </c>
      <c r="H3974" s="831">
        <v>8.5399999999999991</v>
      </c>
      <c r="I3974" s="846"/>
      <c r="J3974" s="846"/>
      <c r="K3974" s="846"/>
      <c r="L3974" s="846"/>
      <c r="M3974" s="846"/>
      <c r="N3974" s="846"/>
      <c r="O3974" s="846"/>
      <c r="P3974" s="846"/>
      <c r="Q3974" s="846"/>
      <c r="R3974" s="846"/>
      <c r="S3974" s="846"/>
      <c r="T3974" s="846"/>
    </row>
    <row r="3975" spans="2:20" ht="38.25" hidden="1">
      <c r="B3975" s="828" t="s">
        <v>6547</v>
      </c>
      <c r="C3975" s="828">
        <v>89803</v>
      </c>
      <c r="D3975" s="630" t="s">
        <v>1447</v>
      </c>
      <c r="E3975" s="630" t="s">
        <v>646</v>
      </c>
      <c r="F3975" s="829">
        <v>15.85</v>
      </c>
      <c r="G3975" s="830">
        <v>1.7</v>
      </c>
      <c r="H3975" s="831">
        <v>17.55</v>
      </c>
      <c r="I3975" s="846"/>
      <c r="J3975" s="846"/>
      <c r="K3975" s="846"/>
      <c r="L3975" s="846"/>
      <c r="M3975" s="846"/>
      <c r="N3975" s="846"/>
      <c r="O3975" s="846"/>
      <c r="P3975" s="846"/>
      <c r="Q3975" s="846"/>
      <c r="R3975" s="846"/>
      <c r="S3975" s="846"/>
      <c r="T3975" s="846"/>
    </row>
    <row r="3976" spans="2:20" ht="38.25" hidden="1">
      <c r="B3976" s="828" t="s">
        <v>6547</v>
      </c>
      <c r="C3976" s="828">
        <v>89804</v>
      </c>
      <c r="D3976" s="630" t="s">
        <v>1452</v>
      </c>
      <c r="E3976" s="630" t="s">
        <v>646</v>
      </c>
      <c r="F3976" s="829">
        <v>17.23</v>
      </c>
      <c r="G3976" s="830">
        <v>1.7</v>
      </c>
      <c r="H3976" s="831">
        <v>18.93</v>
      </c>
      <c r="I3976" s="846"/>
      <c r="J3976" s="846"/>
      <c r="K3976" s="846"/>
      <c r="L3976" s="846"/>
      <c r="M3976" s="846"/>
      <c r="N3976" s="846"/>
      <c r="O3976" s="846"/>
      <c r="P3976" s="846"/>
      <c r="Q3976" s="846"/>
      <c r="R3976" s="846"/>
      <c r="S3976" s="846"/>
      <c r="T3976" s="846"/>
    </row>
    <row r="3977" spans="2:20" ht="38.25" hidden="1">
      <c r="B3977" s="828" t="s">
        <v>6547</v>
      </c>
      <c r="C3977" s="828">
        <v>89805</v>
      </c>
      <c r="D3977" s="630" t="s">
        <v>1448</v>
      </c>
      <c r="E3977" s="630" t="s">
        <v>646</v>
      </c>
      <c r="F3977" s="829">
        <v>12.96</v>
      </c>
      <c r="G3977" s="830">
        <v>3.42</v>
      </c>
      <c r="H3977" s="831">
        <v>16.38</v>
      </c>
      <c r="I3977" s="846"/>
      <c r="J3977" s="846"/>
      <c r="K3977" s="846"/>
      <c r="L3977" s="846"/>
      <c r="M3977" s="846"/>
      <c r="N3977" s="846"/>
      <c r="O3977" s="846"/>
      <c r="P3977" s="846"/>
      <c r="Q3977" s="846"/>
      <c r="R3977" s="846"/>
      <c r="S3977" s="846"/>
      <c r="T3977" s="846"/>
    </row>
    <row r="3978" spans="2:20" ht="38.25" hidden="1">
      <c r="B3978" s="828" t="s">
        <v>6547</v>
      </c>
      <c r="C3978" s="828">
        <v>89806</v>
      </c>
      <c r="D3978" s="630" t="s">
        <v>1444</v>
      </c>
      <c r="E3978" s="630" t="s">
        <v>646</v>
      </c>
      <c r="F3978" s="829">
        <v>14.15</v>
      </c>
      <c r="G3978" s="830">
        <v>3.42</v>
      </c>
      <c r="H3978" s="831">
        <v>17.57</v>
      </c>
      <c r="I3978" s="846"/>
      <c r="J3978" s="846"/>
      <c r="K3978" s="846"/>
      <c r="L3978" s="846"/>
      <c r="M3978" s="846"/>
      <c r="N3978" s="846"/>
      <c r="O3978" s="846"/>
      <c r="P3978" s="846"/>
      <c r="Q3978" s="846"/>
      <c r="R3978" s="846"/>
      <c r="S3978" s="846"/>
      <c r="T3978" s="846"/>
    </row>
    <row r="3979" spans="2:20" ht="38.25" hidden="1">
      <c r="B3979" s="828" t="s">
        <v>6547</v>
      </c>
      <c r="C3979" s="828">
        <v>89807</v>
      </c>
      <c r="D3979" s="630" t="s">
        <v>1450</v>
      </c>
      <c r="E3979" s="630" t="s">
        <v>646</v>
      </c>
      <c r="F3979" s="829">
        <v>30.03</v>
      </c>
      <c r="G3979" s="830">
        <v>3.41</v>
      </c>
      <c r="H3979" s="831">
        <v>33.44</v>
      </c>
      <c r="I3979" s="846"/>
      <c r="J3979" s="846"/>
      <c r="K3979" s="846"/>
      <c r="L3979" s="846"/>
      <c r="M3979" s="846"/>
      <c r="N3979" s="846"/>
      <c r="O3979" s="846"/>
      <c r="P3979" s="846"/>
      <c r="Q3979" s="846"/>
      <c r="R3979" s="846"/>
      <c r="S3979" s="846"/>
      <c r="T3979" s="846"/>
    </row>
    <row r="3980" spans="2:20" ht="38.25" hidden="1">
      <c r="B3980" s="828" t="s">
        <v>6547</v>
      </c>
      <c r="C3980" s="828">
        <v>89808</v>
      </c>
      <c r="D3980" s="630" t="s">
        <v>1453</v>
      </c>
      <c r="E3980" s="630" t="s">
        <v>646</v>
      </c>
      <c r="F3980" s="829">
        <v>47.14</v>
      </c>
      <c r="G3980" s="830">
        <v>3.41</v>
      </c>
      <c r="H3980" s="831">
        <v>50.55</v>
      </c>
      <c r="I3980" s="846"/>
      <c r="J3980" s="846"/>
      <c r="K3980" s="846"/>
      <c r="L3980" s="846"/>
      <c r="M3980" s="846"/>
      <c r="N3980" s="846"/>
      <c r="O3980" s="846"/>
      <c r="P3980" s="846"/>
      <c r="Q3980" s="846"/>
      <c r="R3980" s="846"/>
      <c r="S3980" s="846"/>
      <c r="T3980" s="846"/>
    </row>
    <row r="3981" spans="2:20" ht="38.25" hidden="1">
      <c r="B3981" s="828" t="s">
        <v>6547</v>
      </c>
      <c r="C3981" s="828">
        <v>89809</v>
      </c>
      <c r="D3981" s="630" t="s">
        <v>1449</v>
      </c>
      <c r="E3981" s="630" t="s">
        <v>646</v>
      </c>
      <c r="F3981" s="829">
        <v>16.78</v>
      </c>
      <c r="G3981" s="830">
        <v>5.14</v>
      </c>
      <c r="H3981" s="831">
        <v>21.92</v>
      </c>
      <c r="I3981" s="846"/>
      <c r="J3981" s="846"/>
      <c r="K3981" s="846"/>
      <c r="L3981" s="846"/>
      <c r="M3981" s="846"/>
      <c r="N3981" s="846"/>
      <c r="O3981" s="846"/>
      <c r="P3981" s="846"/>
      <c r="Q3981" s="846"/>
      <c r="R3981" s="846"/>
      <c r="S3981" s="846"/>
      <c r="T3981" s="846"/>
    </row>
    <row r="3982" spans="2:20" ht="38.25" hidden="1">
      <c r="B3982" s="828" t="s">
        <v>6547</v>
      </c>
      <c r="C3982" s="828">
        <v>89810</v>
      </c>
      <c r="D3982" s="630" t="s">
        <v>1445</v>
      </c>
      <c r="E3982" s="630" t="s">
        <v>646</v>
      </c>
      <c r="F3982" s="829">
        <v>16.71</v>
      </c>
      <c r="G3982" s="830">
        <v>5.14</v>
      </c>
      <c r="H3982" s="831">
        <v>21.85</v>
      </c>
      <c r="I3982" s="846"/>
      <c r="J3982" s="846"/>
      <c r="K3982" s="846"/>
      <c r="L3982" s="846"/>
      <c r="M3982" s="846"/>
      <c r="N3982" s="846"/>
      <c r="O3982" s="846"/>
      <c r="P3982" s="846"/>
      <c r="Q3982" s="846"/>
      <c r="R3982" s="846"/>
      <c r="S3982" s="846"/>
      <c r="T3982" s="846"/>
    </row>
    <row r="3983" spans="2:20" ht="38.25" hidden="1">
      <c r="B3983" s="828" t="s">
        <v>6547</v>
      </c>
      <c r="C3983" s="828">
        <v>89811</v>
      </c>
      <c r="D3983" s="630" t="s">
        <v>1451</v>
      </c>
      <c r="E3983" s="630" t="s">
        <v>646</v>
      </c>
      <c r="F3983" s="829">
        <v>35.340000000000003</v>
      </c>
      <c r="G3983" s="830">
        <v>5.14</v>
      </c>
      <c r="H3983" s="831">
        <v>40.479999999999997</v>
      </c>
      <c r="I3983" s="846"/>
      <c r="J3983" s="846"/>
      <c r="K3983" s="846"/>
      <c r="L3983" s="846"/>
      <c r="M3983" s="846"/>
      <c r="N3983" s="846"/>
      <c r="O3983" s="846"/>
      <c r="P3983" s="846"/>
      <c r="Q3983" s="846"/>
      <c r="R3983" s="846"/>
      <c r="S3983" s="846"/>
      <c r="T3983" s="846"/>
    </row>
    <row r="3984" spans="2:20" ht="38.25" hidden="1">
      <c r="B3984" s="828" t="s">
        <v>6547</v>
      </c>
      <c r="C3984" s="828">
        <v>89812</v>
      </c>
      <c r="D3984" s="630" t="s">
        <v>1454</v>
      </c>
      <c r="E3984" s="630" t="s">
        <v>646</v>
      </c>
      <c r="F3984" s="829">
        <v>68.27</v>
      </c>
      <c r="G3984" s="830">
        <v>5.13</v>
      </c>
      <c r="H3984" s="831">
        <v>73.400000000000006</v>
      </c>
      <c r="I3984" s="846"/>
      <c r="J3984" s="846"/>
      <c r="K3984" s="846"/>
      <c r="L3984" s="846"/>
      <c r="M3984" s="846"/>
      <c r="N3984" s="846"/>
      <c r="O3984" s="846"/>
      <c r="P3984" s="846"/>
      <c r="Q3984" s="846"/>
      <c r="R3984" s="846"/>
      <c r="S3984" s="846"/>
      <c r="T3984" s="846"/>
    </row>
    <row r="3985" spans="2:20" ht="38.25" hidden="1">
      <c r="B3985" s="828" t="s">
        <v>6547</v>
      </c>
      <c r="C3985" s="828">
        <v>89813</v>
      </c>
      <c r="D3985" s="630" t="s">
        <v>1455</v>
      </c>
      <c r="E3985" s="630" t="s">
        <v>646</v>
      </c>
      <c r="F3985" s="829">
        <v>6.39</v>
      </c>
      <c r="G3985" s="830">
        <v>1.27</v>
      </c>
      <c r="H3985" s="831">
        <v>7.66</v>
      </c>
      <c r="I3985" s="846"/>
      <c r="J3985" s="846"/>
      <c r="K3985" s="846"/>
      <c r="L3985" s="846"/>
      <c r="M3985" s="846"/>
      <c r="N3985" s="846"/>
      <c r="O3985" s="846"/>
      <c r="P3985" s="846"/>
      <c r="Q3985" s="846"/>
      <c r="R3985" s="846"/>
      <c r="S3985" s="846"/>
      <c r="T3985" s="846"/>
    </row>
    <row r="3986" spans="2:20" ht="38.25" hidden="1">
      <c r="B3986" s="828" t="s">
        <v>6547</v>
      </c>
      <c r="C3986" s="828">
        <v>89814</v>
      </c>
      <c r="D3986" s="630" t="s">
        <v>1458</v>
      </c>
      <c r="E3986" s="630" t="s">
        <v>646</v>
      </c>
      <c r="F3986" s="829">
        <v>16.399999999999999</v>
      </c>
      <c r="G3986" s="830">
        <v>1.26</v>
      </c>
      <c r="H3986" s="831">
        <v>17.66</v>
      </c>
      <c r="I3986" s="846"/>
      <c r="J3986" s="846"/>
      <c r="K3986" s="846"/>
      <c r="L3986" s="846"/>
      <c r="M3986" s="846"/>
      <c r="N3986" s="846"/>
      <c r="O3986" s="846"/>
      <c r="P3986" s="846"/>
      <c r="Q3986" s="846"/>
      <c r="R3986" s="846"/>
      <c r="S3986" s="846"/>
      <c r="T3986" s="846"/>
    </row>
    <row r="3987" spans="2:20" ht="25.5" hidden="1">
      <c r="B3987" s="828" t="s">
        <v>6547</v>
      </c>
      <c r="C3987" s="828">
        <v>89815</v>
      </c>
      <c r="D3987" s="630" t="s">
        <v>8169</v>
      </c>
      <c r="E3987" s="630" t="s">
        <v>646</v>
      </c>
      <c r="F3987" s="829">
        <v>37.840000000000003</v>
      </c>
      <c r="G3987" s="830">
        <v>2.66</v>
      </c>
      <c r="H3987" s="831">
        <v>40.5</v>
      </c>
      <c r="I3987" s="846"/>
      <c r="J3987" s="846"/>
      <c r="K3987" s="846"/>
      <c r="L3987" s="846"/>
      <c r="M3987" s="846"/>
      <c r="N3987" s="846"/>
      <c r="O3987" s="846"/>
      <c r="P3987" s="846"/>
      <c r="Q3987" s="846"/>
      <c r="R3987" s="846"/>
      <c r="S3987" s="846"/>
      <c r="T3987" s="846"/>
    </row>
    <row r="3988" spans="2:20" ht="25.5" hidden="1">
      <c r="B3988" s="828" t="s">
        <v>6547</v>
      </c>
      <c r="C3988" s="828">
        <v>89816</v>
      </c>
      <c r="D3988" s="630" t="s">
        <v>8170</v>
      </c>
      <c r="E3988" s="630" t="s">
        <v>646</v>
      </c>
      <c r="F3988" s="829">
        <v>55.2</v>
      </c>
      <c r="G3988" s="830">
        <v>2.66</v>
      </c>
      <c r="H3988" s="831">
        <v>57.86</v>
      </c>
      <c r="I3988" s="846"/>
      <c r="J3988" s="846"/>
      <c r="K3988" s="846"/>
      <c r="L3988" s="846"/>
      <c r="M3988" s="846"/>
      <c r="N3988" s="846"/>
      <c r="O3988" s="846"/>
      <c r="P3988" s="846"/>
      <c r="Q3988" s="846"/>
      <c r="R3988" s="846"/>
      <c r="S3988" s="846"/>
      <c r="T3988" s="846"/>
    </row>
    <row r="3989" spans="2:20" ht="38.25" hidden="1">
      <c r="B3989" s="828" t="s">
        <v>6547</v>
      </c>
      <c r="C3989" s="828">
        <v>89817</v>
      </c>
      <c r="D3989" s="630" t="s">
        <v>1456</v>
      </c>
      <c r="E3989" s="630" t="s">
        <v>646</v>
      </c>
      <c r="F3989" s="829">
        <v>11.26</v>
      </c>
      <c r="G3989" s="830">
        <v>2.56</v>
      </c>
      <c r="H3989" s="831">
        <v>13.82</v>
      </c>
      <c r="I3989" s="846"/>
      <c r="J3989" s="846"/>
      <c r="K3989" s="846"/>
      <c r="L3989" s="846"/>
      <c r="M3989" s="846"/>
      <c r="N3989" s="846"/>
      <c r="O3989" s="846"/>
      <c r="P3989" s="846"/>
      <c r="Q3989" s="846"/>
      <c r="R3989" s="846"/>
      <c r="S3989" s="846"/>
      <c r="T3989" s="846"/>
    </row>
    <row r="3990" spans="2:20" ht="25.5" hidden="1">
      <c r="B3990" s="828" t="s">
        <v>6547</v>
      </c>
      <c r="C3990" s="828">
        <v>89818</v>
      </c>
      <c r="D3990" s="630" t="s">
        <v>8171</v>
      </c>
      <c r="E3990" s="630" t="s">
        <v>646</v>
      </c>
      <c r="F3990" s="829">
        <v>226.91</v>
      </c>
      <c r="G3990" s="830">
        <v>2.5499999999999998</v>
      </c>
      <c r="H3990" s="831">
        <v>229.46</v>
      </c>
      <c r="I3990" s="846"/>
      <c r="J3990" s="846"/>
      <c r="K3990" s="846"/>
      <c r="L3990" s="846"/>
      <c r="M3990" s="846"/>
      <c r="N3990" s="846"/>
      <c r="O3990" s="846"/>
      <c r="P3990" s="846"/>
      <c r="Q3990" s="846"/>
      <c r="R3990" s="846"/>
      <c r="S3990" s="846"/>
      <c r="T3990" s="846"/>
    </row>
    <row r="3991" spans="2:20" ht="38.25" hidden="1">
      <c r="B3991" s="828" t="s">
        <v>6547</v>
      </c>
      <c r="C3991" s="828">
        <v>89819</v>
      </c>
      <c r="D3991" s="630" t="s">
        <v>1459</v>
      </c>
      <c r="E3991" s="630" t="s">
        <v>646</v>
      </c>
      <c r="F3991" s="829">
        <v>18.989999999999998</v>
      </c>
      <c r="G3991" s="830">
        <v>2.56</v>
      </c>
      <c r="H3991" s="831">
        <v>21.55</v>
      </c>
      <c r="I3991" s="846"/>
      <c r="J3991" s="846"/>
      <c r="K3991" s="846"/>
      <c r="L3991" s="846"/>
      <c r="M3991" s="846"/>
      <c r="N3991" s="846"/>
      <c r="O3991" s="846"/>
      <c r="P3991" s="846"/>
      <c r="Q3991" s="846"/>
      <c r="R3991" s="846"/>
      <c r="S3991" s="846"/>
      <c r="T3991" s="846"/>
    </row>
    <row r="3992" spans="2:20" ht="38.25" hidden="1">
      <c r="B3992" s="828" t="s">
        <v>6547</v>
      </c>
      <c r="C3992" s="828">
        <v>89821</v>
      </c>
      <c r="D3992" s="630" t="s">
        <v>1457</v>
      </c>
      <c r="E3992" s="630" t="s">
        <v>646</v>
      </c>
      <c r="F3992" s="829">
        <v>13.62</v>
      </c>
      <c r="G3992" s="830">
        <v>3.42</v>
      </c>
      <c r="H3992" s="831">
        <v>17.04</v>
      </c>
      <c r="I3992" s="846"/>
      <c r="J3992" s="846"/>
      <c r="K3992" s="846"/>
      <c r="L3992" s="846"/>
      <c r="M3992" s="846"/>
      <c r="N3992" s="846"/>
      <c r="O3992" s="846"/>
      <c r="P3992" s="846"/>
      <c r="Q3992" s="846"/>
      <c r="R3992" s="846"/>
      <c r="S3992" s="846"/>
      <c r="T3992" s="846"/>
    </row>
    <row r="3993" spans="2:20" ht="25.5" hidden="1">
      <c r="B3993" s="828" t="s">
        <v>6547</v>
      </c>
      <c r="C3993" s="828">
        <v>89822</v>
      </c>
      <c r="D3993" s="630" t="s">
        <v>8172</v>
      </c>
      <c r="E3993" s="630" t="s">
        <v>646</v>
      </c>
      <c r="F3993" s="829">
        <v>28.78</v>
      </c>
      <c r="G3993" s="830">
        <v>3.1</v>
      </c>
      <c r="H3993" s="831">
        <v>31.88</v>
      </c>
      <c r="I3993" s="846"/>
      <c r="J3993" s="846"/>
      <c r="K3993" s="846"/>
      <c r="L3993" s="846"/>
      <c r="M3993" s="846"/>
      <c r="N3993" s="846"/>
      <c r="O3993" s="846"/>
      <c r="P3993" s="846"/>
      <c r="Q3993" s="846"/>
      <c r="R3993" s="846"/>
      <c r="S3993" s="846"/>
      <c r="T3993" s="846"/>
    </row>
    <row r="3994" spans="2:20" ht="38.25" hidden="1">
      <c r="B3994" s="828" t="s">
        <v>6547</v>
      </c>
      <c r="C3994" s="828">
        <v>89823</v>
      </c>
      <c r="D3994" s="630" t="s">
        <v>1460</v>
      </c>
      <c r="E3994" s="630" t="s">
        <v>646</v>
      </c>
      <c r="F3994" s="829">
        <v>27.94</v>
      </c>
      <c r="G3994" s="830">
        <v>3.41</v>
      </c>
      <c r="H3994" s="831">
        <v>31.35</v>
      </c>
      <c r="I3994" s="846"/>
      <c r="J3994" s="846"/>
      <c r="K3994" s="846"/>
      <c r="L3994" s="846"/>
      <c r="M3994" s="846"/>
      <c r="N3994" s="846"/>
      <c r="O3994" s="846"/>
      <c r="P3994" s="846"/>
      <c r="Q3994" s="846"/>
      <c r="R3994" s="846"/>
      <c r="S3994" s="846"/>
      <c r="T3994" s="846"/>
    </row>
    <row r="3995" spans="2:20" ht="25.5" hidden="1">
      <c r="B3995" s="828" t="s">
        <v>6547</v>
      </c>
      <c r="C3995" s="828">
        <v>89824</v>
      </c>
      <c r="D3995" s="630" t="s">
        <v>8173</v>
      </c>
      <c r="E3995" s="630" t="s">
        <v>646</v>
      </c>
      <c r="F3995" s="829">
        <v>51.85</v>
      </c>
      <c r="G3995" s="830">
        <v>3.1</v>
      </c>
      <c r="H3995" s="831">
        <v>54.95</v>
      </c>
      <c r="I3995" s="846"/>
      <c r="J3995" s="846"/>
      <c r="K3995" s="846"/>
      <c r="L3995" s="846"/>
      <c r="M3995" s="846"/>
      <c r="N3995" s="846"/>
      <c r="O3995" s="846"/>
      <c r="P3995" s="846"/>
      <c r="Q3995" s="846"/>
      <c r="R3995" s="846"/>
      <c r="S3995" s="846"/>
      <c r="T3995" s="846"/>
    </row>
    <row r="3996" spans="2:20" ht="38.25" hidden="1">
      <c r="B3996" s="828" t="s">
        <v>6547</v>
      </c>
      <c r="C3996" s="828">
        <v>89825</v>
      </c>
      <c r="D3996" s="630" t="s">
        <v>1461</v>
      </c>
      <c r="E3996" s="630" t="s">
        <v>646</v>
      </c>
      <c r="F3996" s="829">
        <v>14.57</v>
      </c>
      <c r="G3996" s="830">
        <v>2.56</v>
      </c>
      <c r="H3996" s="831">
        <v>17.13</v>
      </c>
      <c r="I3996" s="846"/>
      <c r="J3996" s="846"/>
      <c r="K3996" s="846"/>
      <c r="L3996" s="846"/>
      <c r="M3996" s="846"/>
      <c r="N3996" s="846"/>
      <c r="O3996" s="846"/>
      <c r="P3996" s="846"/>
      <c r="Q3996" s="846"/>
      <c r="R3996" s="846"/>
      <c r="S3996" s="846"/>
      <c r="T3996" s="846"/>
    </row>
    <row r="3997" spans="2:20" ht="25.5" hidden="1">
      <c r="B3997" s="828" t="s">
        <v>6547</v>
      </c>
      <c r="C3997" s="828">
        <v>89826</v>
      </c>
      <c r="D3997" s="630" t="s">
        <v>8174</v>
      </c>
      <c r="E3997" s="630" t="s">
        <v>646</v>
      </c>
      <c r="F3997" s="829">
        <v>230.85</v>
      </c>
      <c r="G3997" s="830">
        <v>2.89</v>
      </c>
      <c r="H3997" s="831">
        <v>233.74</v>
      </c>
      <c r="I3997" s="846"/>
      <c r="J3997" s="846"/>
      <c r="K3997" s="846"/>
      <c r="L3997" s="846"/>
      <c r="M3997" s="846"/>
      <c r="N3997" s="846"/>
      <c r="O3997" s="846"/>
      <c r="P3997" s="846"/>
      <c r="Q3997" s="846"/>
      <c r="R3997" s="846"/>
      <c r="S3997" s="846"/>
      <c r="T3997" s="846"/>
    </row>
    <row r="3998" spans="2:20" ht="38.25" hidden="1">
      <c r="B3998" s="828" t="s">
        <v>6547</v>
      </c>
      <c r="C3998" s="828">
        <v>89827</v>
      </c>
      <c r="D3998" s="630" t="s">
        <v>1464</v>
      </c>
      <c r="E3998" s="630" t="s">
        <v>646</v>
      </c>
      <c r="F3998" s="829">
        <v>16.95</v>
      </c>
      <c r="G3998" s="830">
        <v>2.56</v>
      </c>
      <c r="H3998" s="831">
        <v>19.510000000000002</v>
      </c>
      <c r="I3998" s="846"/>
      <c r="J3998" s="846"/>
      <c r="K3998" s="846"/>
      <c r="L3998" s="846"/>
      <c r="M3998" s="846"/>
      <c r="N3998" s="846"/>
      <c r="O3998" s="846"/>
      <c r="P3998" s="846"/>
      <c r="Q3998" s="846"/>
      <c r="R3998" s="846"/>
      <c r="S3998" s="846"/>
      <c r="T3998" s="846"/>
    </row>
    <row r="3999" spans="2:20" ht="25.5" hidden="1">
      <c r="B3999" s="828" t="s">
        <v>6547</v>
      </c>
      <c r="C3999" s="828">
        <v>89828</v>
      </c>
      <c r="D3999" s="630" t="s">
        <v>8175</v>
      </c>
      <c r="E3999" s="630" t="s">
        <v>646</v>
      </c>
      <c r="F3999" s="829">
        <v>80.31</v>
      </c>
      <c r="G3999" s="830">
        <v>3.1</v>
      </c>
      <c r="H3999" s="831">
        <v>83.41</v>
      </c>
      <c r="I3999" s="846"/>
      <c r="J3999" s="846"/>
      <c r="K3999" s="846"/>
      <c r="L3999" s="846"/>
      <c r="M3999" s="846"/>
      <c r="N3999" s="846"/>
      <c r="O3999" s="846"/>
      <c r="P3999" s="846"/>
      <c r="Q3999" s="846"/>
      <c r="R3999" s="846"/>
      <c r="S3999" s="846"/>
      <c r="T3999" s="846"/>
    </row>
    <row r="4000" spans="2:20" ht="38.25" hidden="1">
      <c r="B4000" s="828" t="s">
        <v>6547</v>
      </c>
      <c r="C4000" s="828">
        <v>89829</v>
      </c>
      <c r="D4000" s="630" t="s">
        <v>1462</v>
      </c>
      <c r="E4000" s="630" t="s">
        <v>646</v>
      </c>
      <c r="F4000" s="829">
        <v>26.8</v>
      </c>
      <c r="G4000" s="830">
        <v>4.7</v>
      </c>
      <c r="H4000" s="831">
        <v>31.5</v>
      </c>
      <c r="I4000" s="846"/>
      <c r="J4000" s="846"/>
      <c r="K4000" s="846"/>
      <c r="L4000" s="846"/>
      <c r="M4000" s="846"/>
      <c r="N4000" s="846"/>
      <c r="O4000" s="846"/>
      <c r="P4000" s="846"/>
      <c r="Q4000" s="846"/>
      <c r="R4000" s="846"/>
      <c r="S4000" s="846"/>
      <c r="T4000" s="846"/>
    </row>
    <row r="4001" spans="2:20" ht="38.25" hidden="1">
      <c r="B4001" s="828" t="s">
        <v>6547</v>
      </c>
      <c r="C4001" s="828">
        <v>89830</v>
      </c>
      <c r="D4001" s="630" t="s">
        <v>1465</v>
      </c>
      <c r="E4001" s="630" t="s">
        <v>646</v>
      </c>
      <c r="F4001" s="829">
        <v>30.08</v>
      </c>
      <c r="G4001" s="830">
        <v>4.6900000000000004</v>
      </c>
      <c r="H4001" s="831">
        <v>34.770000000000003</v>
      </c>
      <c r="I4001" s="846"/>
      <c r="J4001" s="846"/>
      <c r="K4001" s="846"/>
      <c r="L4001" s="846"/>
      <c r="M4001" s="846"/>
      <c r="N4001" s="846"/>
      <c r="O4001" s="846"/>
      <c r="P4001" s="846"/>
      <c r="Q4001" s="846"/>
      <c r="R4001" s="846"/>
      <c r="S4001" s="846"/>
      <c r="T4001" s="846"/>
    </row>
    <row r="4002" spans="2:20" ht="25.5" hidden="1">
      <c r="B4002" s="828" t="s">
        <v>6547</v>
      </c>
      <c r="C4002" s="828">
        <v>89831</v>
      </c>
      <c r="D4002" s="630" t="s">
        <v>8176</v>
      </c>
      <c r="E4002" s="630" t="s">
        <v>646</v>
      </c>
      <c r="F4002" s="829">
        <v>276.64</v>
      </c>
      <c r="G4002" s="830">
        <v>2.89</v>
      </c>
      <c r="H4002" s="831">
        <v>279.52999999999997</v>
      </c>
      <c r="I4002" s="846"/>
      <c r="J4002" s="846"/>
      <c r="K4002" s="846"/>
      <c r="L4002" s="846"/>
      <c r="M4002" s="846"/>
      <c r="N4002" s="846"/>
      <c r="O4002" s="846"/>
      <c r="P4002" s="846"/>
      <c r="Q4002" s="846"/>
      <c r="R4002" s="846"/>
      <c r="S4002" s="846"/>
      <c r="T4002" s="846"/>
    </row>
    <row r="4003" spans="2:20" ht="38.25" hidden="1">
      <c r="B4003" s="828" t="s">
        <v>6547</v>
      </c>
      <c r="C4003" s="828">
        <v>89832</v>
      </c>
      <c r="D4003" s="630" t="s">
        <v>8177</v>
      </c>
      <c r="E4003" s="630" t="s">
        <v>646</v>
      </c>
      <c r="F4003" s="829">
        <v>53.41</v>
      </c>
      <c r="G4003" s="830">
        <v>4.6100000000000003</v>
      </c>
      <c r="H4003" s="831">
        <v>58.02</v>
      </c>
      <c r="I4003" s="846"/>
      <c r="J4003" s="846"/>
      <c r="K4003" s="846"/>
      <c r="L4003" s="846"/>
      <c r="M4003" s="846"/>
      <c r="N4003" s="846"/>
      <c r="O4003" s="846"/>
      <c r="P4003" s="846"/>
      <c r="Q4003" s="846"/>
      <c r="R4003" s="846"/>
      <c r="S4003" s="846"/>
      <c r="T4003" s="846"/>
    </row>
    <row r="4004" spans="2:20" ht="38.25" hidden="1">
      <c r="B4004" s="828" t="s">
        <v>6547</v>
      </c>
      <c r="C4004" s="828">
        <v>89833</v>
      </c>
      <c r="D4004" s="630" t="s">
        <v>1463</v>
      </c>
      <c r="E4004" s="630" t="s">
        <v>646</v>
      </c>
      <c r="F4004" s="829">
        <v>31.71</v>
      </c>
      <c r="G4004" s="830">
        <v>6.86</v>
      </c>
      <c r="H4004" s="831">
        <v>38.57</v>
      </c>
      <c r="I4004" s="846"/>
      <c r="J4004" s="846"/>
      <c r="K4004" s="846"/>
      <c r="L4004" s="846"/>
      <c r="M4004" s="846"/>
      <c r="N4004" s="846"/>
      <c r="O4004" s="846"/>
      <c r="P4004" s="846"/>
      <c r="Q4004" s="846"/>
      <c r="R4004" s="846"/>
      <c r="S4004" s="846"/>
      <c r="T4004" s="846"/>
    </row>
    <row r="4005" spans="2:20" ht="38.25" hidden="1">
      <c r="B4005" s="828" t="s">
        <v>6547</v>
      </c>
      <c r="C4005" s="828">
        <v>89834</v>
      </c>
      <c r="D4005" s="630" t="s">
        <v>1557</v>
      </c>
      <c r="E4005" s="630" t="s">
        <v>646</v>
      </c>
      <c r="F4005" s="829">
        <v>39.39</v>
      </c>
      <c r="G4005" s="830">
        <v>6.85</v>
      </c>
      <c r="H4005" s="831">
        <v>46.24</v>
      </c>
      <c r="I4005" s="846"/>
      <c r="J4005" s="846"/>
      <c r="K4005" s="846"/>
      <c r="L4005" s="846"/>
      <c r="M4005" s="846"/>
      <c r="N4005" s="846"/>
      <c r="O4005" s="846"/>
      <c r="P4005" s="846"/>
      <c r="Q4005" s="846"/>
      <c r="R4005" s="846"/>
      <c r="S4005" s="846"/>
      <c r="T4005" s="846"/>
    </row>
    <row r="4006" spans="2:20" ht="25.5" hidden="1">
      <c r="B4006" s="828" t="s">
        <v>6547</v>
      </c>
      <c r="C4006" s="828">
        <v>89835</v>
      </c>
      <c r="D4006" s="630" t="s">
        <v>8178</v>
      </c>
      <c r="E4006" s="630" t="s">
        <v>646</v>
      </c>
      <c r="F4006" s="829">
        <v>53</v>
      </c>
      <c r="G4006" s="830">
        <v>3.86</v>
      </c>
      <c r="H4006" s="831">
        <v>56.86</v>
      </c>
      <c r="I4006" s="846"/>
      <c r="J4006" s="846"/>
      <c r="K4006" s="846"/>
      <c r="L4006" s="846"/>
      <c r="M4006" s="846"/>
      <c r="N4006" s="846"/>
      <c r="O4006" s="846"/>
      <c r="P4006" s="846"/>
      <c r="Q4006" s="846"/>
      <c r="R4006" s="846"/>
      <c r="S4006" s="846"/>
      <c r="T4006" s="846"/>
    </row>
    <row r="4007" spans="2:20" ht="25.5" hidden="1">
      <c r="B4007" s="828" t="s">
        <v>6547</v>
      </c>
      <c r="C4007" s="828">
        <v>89836</v>
      </c>
      <c r="D4007" s="630" t="s">
        <v>8179</v>
      </c>
      <c r="E4007" s="630" t="s">
        <v>646</v>
      </c>
      <c r="F4007" s="829">
        <v>374.84</v>
      </c>
      <c r="G4007" s="830">
        <v>3.73</v>
      </c>
      <c r="H4007" s="831">
        <v>378.57</v>
      </c>
      <c r="I4007" s="846"/>
      <c r="J4007" s="846"/>
      <c r="K4007" s="846"/>
      <c r="L4007" s="846"/>
      <c r="M4007" s="846"/>
      <c r="N4007" s="846"/>
      <c r="O4007" s="846"/>
      <c r="P4007" s="846"/>
      <c r="Q4007" s="846"/>
      <c r="R4007" s="846"/>
      <c r="S4007" s="846"/>
      <c r="T4007" s="846"/>
    </row>
    <row r="4008" spans="2:20" ht="25.5" hidden="1">
      <c r="B4008" s="828" t="s">
        <v>6547</v>
      </c>
      <c r="C4008" s="828">
        <v>89837</v>
      </c>
      <c r="D4008" s="630" t="s">
        <v>8180</v>
      </c>
      <c r="E4008" s="630" t="s">
        <v>646</v>
      </c>
      <c r="F4008" s="829">
        <v>185.08</v>
      </c>
      <c r="G4008" s="830">
        <v>3.86</v>
      </c>
      <c r="H4008" s="831">
        <v>188.94</v>
      </c>
      <c r="I4008" s="846"/>
      <c r="J4008" s="846"/>
      <c r="K4008" s="846"/>
      <c r="L4008" s="846"/>
      <c r="M4008" s="846"/>
      <c r="N4008" s="846"/>
      <c r="O4008" s="846"/>
      <c r="P4008" s="846"/>
      <c r="Q4008" s="846"/>
      <c r="R4008" s="846"/>
      <c r="S4008" s="846"/>
      <c r="T4008" s="846"/>
    </row>
    <row r="4009" spans="2:20" ht="25.5" hidden="1">
      <c r="B4009" s="828" t="s">
        <v>6547</v>
      </c>
      <c r="C4009" s="828">
        <v>89838</v>
      </c>
      <c r="D4009" s="630" t="s">
        <v>8181</v>
      </c>
      <c r="E4009" s="630" t="s">
        <v>646</v>
      </c>
      <c r="F4009" s="829">
        <v>201.34</v>
      </c>
      <c r="G4009" s="830">
        <v>5.13</v>
      </c>
      <c r="H4009" s="831">
        <v>206.47</v>
      </c>
      <c r="I4009" s="846"/>
      <c r="J4009" s="846"/>
      <c r="K4009" s="846"/>
      <c r="L4009" s="846"/>
      <c r="M4009" s="846"/>
      <c r="N4009" s="846"/>
      <c r="O4009" s="846"/>
      <c r="P4009" s="846"/>
      <c r="Q4009" s="846"/>
      <c r="R4009" s="846"/>
      <c r="S4009" s="846"/>
      <c r="T4009" s="846"/>
    </row>
    <row r="4010" spans="2:20" ht="25.5" hidden="1">
      <c r="B4010" s="828" t="s">
        <v>6547</v>
      </c>
      <c r="C4010" s="828">
        <v>89839</v>
      </c>
      <c r="D4010" s="630" t="s">
        <v>8182</v>
      </c>
      <c r="E4010" s="630" t="s">
        <v>646</v>
      </c>
      <c r="F4010" s="829">
        <v>266.58999999999997</v>
      </c>
      <c r="G4010" s="830">
        <v>5.13</v>
      </c>
      <c r="H4010" s="831">
        <v>271.72000000000003</v>
      </c>
      <c r="I4010" s="846"/>
      <c r="J4010" s="846"/>
      <c r="K4010" s="846"/>
      <c r="L4010" s="846"/>
      <c r="M4010" s="846"/>
      <c r="N4010" s="846"/>
      <c r="O4010" s="846"/>
      <c r="P4010" s="846"/>
      <c r="Q4010" s="846"/>
      <c r="R4010" s="846"/>
      <c r="S4010" s="846"/>
      <c r="T4010" s="846"/>
    </row>
    <row r="4011" spans="2:20" ht="25.5" hidden="1">
      <c r="B4011" s="828" t="s">
        <v>6547</v>
      </c>
      <c r="C4011" s="828">
        <v>89840</v>
      </c>
      <c r="D4011" s="630" t="s">
        <v>8183</v>
      </c>
      <c r="E4011" s="630" t="s">
        <v>646</v>
      </c>
      <c r="F4011" s="829">
        <v>231.26</v>
      </c>
      <c r="G4011" s="830">
        <v>6.18</v>
      </c>
      <c r="H4011" s="831">
        <v>237.44</v>
      </c>
      <c r="I4011" s="846"/>
      <c r="J4011" s="846"/>
      <c r="K4011" s="846"/>
      <c r="L4011" s="846"/>
      <c r="M4011" s="846"/>
      <c r="N4011" s="846"/>
      <c r="O4011" s="846"/>
      <c r="P4011" s="846"/>
      <c r="Q4011" s="846"/>
      <c r="R4011" s="846"/>
      <c r="S4011" s="846"/>
      <c r="T4011" s="846"/>
    </row>
    <row r="4012" spans="2:20" ht="25.5" hidden="1">
      <c r="B4012" s="828" t="s">
        <v>6547</v>
      </c>
      <c r="C4012" s="828">
        <v>89841</v>
      </c>
      <c r="D4012" s="630" t="s">
        <v>8184</v>
      </c>
      <c r="E4012" s="630" t="s">
        <v>646</v>
      </c>
      <c r="F4012" s="829">
        <v>394.42</v>
      </c>
      <c r="G4012" s="830">
        <v>6.18</v>
      </c>
      <c r="H4012" s="831">
        <v>400.6</v>
      </c>
      <c r="I4012" s="846"/>
      <c r="J4012" s="846"/>
      <c r="K4012" s="846"/>
      <c r="L4012" s="846"/>
      <c r="M4012" s="846"/>
      <c r="N4012" s="846"/>
      <c r="O4012" s="846"/>
      <c r="P4012" s="846"/>
      <c r="Q4012" s="846"/>
      <c r="R4012" s="846"/>
      <c r="S4012" s="846"/>
      <c r="T4012" s="846"/>
    </row>
    <row r="4013" spans="2:20" ht="25.5" hidden="1">
      <c r="B4013" s="828" t="s">
        <v>6547</v>
      </c>
      <c r="C4013" s="828">
        <v>89842</v>
      </c>
      <c r="D4013" s="630" t="s">
        <v>8185</v>
      </c>
      <c r="E4013" s="630" t="s">
        <v>646</v>
      </c>
      <c r="F4013" s="829">
        <v>59.71</v>
      </c>
      <c r="G4013" s="830">
        <v>5.33</v>
      </c>
      <c r="H4013" s="831">
        <v>65.040000000000006</v>
      </c>
      <c r="I4013" s="846"/>
      <c r="J4013" s="846"/>
      <c r="K4013" s="846"/>
      <c r="L4013" s="846"/>
      <c r="M4013" s="846"/>
      <c r="N4013" s="846"/>
      <c r="O4013" s="846"/>
      <c r="P4013" s="846"/>
      <c r="Q4013" s="846"/>
      <c r="R4013" s="846"/>
      <c r="S4013" s="846"/>
      <c r="T4013" s="846"/>
    </row>
    <row r="4014" spans="2:20" ht="25.5" hidden="1">
      <c r="B4014" s="828" t="s">
        <v>6547</v>
      </c>
      <c r="C4014" s="828">
        <v>89844</v>
      </c>
      <c r="D4014" s="630" t="s">
        <v>8186</v>
      </c>
      <c r="E4014" s="630" t="s">
        <v>646</v>
      </c>
      <c r="F4014" s="829">
        <v>76.58</v>
      </c>
      <c r="G4014" s="830">
        <v>6.23</v>
      </c>
      <c r="H4014" s="831">
        <v>82.81</v>
      </c>
      <c r="I4014" s="846"/>
      <c r="J4014" s="846"/>
      <c r="K4014" s="846"/>
      <c r="L4014" s="846"/>
      <c r="M4014" s="846"/>
      <c r="N4014" s="846"/>
      <c r="O4014" s="846"/>
      <c r="P4014" s="846"/>
      <c r="Q4014" s="846"/>
      <c r="R4014" s="846"/>
      <c r="S4014" s="846"/>
      <c r="T4014" s="846"/>
    </row>
    <row r="4015" spans="2:20" ht="25.5" hidden="1">
      <c r="B4015" s="828" t="s">
        <v>6547</v>
      </c>
      <c r="C4015" s="828">
        <v>89845</v>
      </c>
      <c r="D4015" s="630" t="s">
        <v>8187</v>
      </c>
      <c r="E4015" s="630" t="s">
        <v>646</v>
      </c>
      <c r="F4015" s="829">
        <v>120.58</v>
      </c>
      <c r="G4015" s="830">
        <v>7.8</v>
      </c>
      <c r="H4015" s="831">
        <v>128.38</v>
      </c>
      <c r="I4015" s="846"/>
      <c r="J4015" s="846"/>
      <c r="K4015" s="846"/>
      <c r="L4015" s="846"/>
      <c r="M4015" s="846"/>
      <c r="N4015" s="846"/>
      <c r="O4015" s="846"/>
      <c r="P4015" s="846"/>
      <c r="Q4015" s="846"/>
      <c r="R4015" s="846"/>
      <c r="S4015" s="846"/>
      <c r="T4015" s="846"/>
    </row>
    <row r="4016" spans="2:20" ht="25.5" hidden="1">
      <c r="B4016" s="828" t="s">
        <v>6547</v>
      </c>
      <c r="C4016" s="828">
        <v>89846</v>
      </c>
      <c r="D4016" s="630" t="s">
        <v>8188</v>
      </c>
      <c r="E4016" s="630" t="s">
        <v>646</v>
      </c>
      <c r="F4016" s="829">
        <v>275.18</v>
      </c>
      <c r="G4016" s="830">
        <v>10.27</v>
      </c>
      <c r="H4016" s="831">
        <v>285.45</v>
      </c>
      <c r="I4016" s="846"/>
      <c r="J4016" s="846"/>
      <c r="K4016" s="846"/>
      <c r="L4016" s="846"/>
      <c r="M4016" s="846"/>
      <c r="N4016" s="846"/>
      <c r="O4016" s="846"/>
      <c r="P4016" s="846"/>
      <c r="Q4016" s="846"/>
      <c r="R4016" s="846"/>
      <c r="S4016" s="846"/>
      <c r="T4016" s="846"/>
    </row>
    <row r="4017" spans="2:20" ht="25.5" hidden="1">
      <c r="B4017" s="828" t="s">
        <v>6547</v>
      </c>
      <c r="C4017" s="828">
        <v>89847</v>
      </c>
      <c r="D4017" s="630" t="s">
        <v>8189</v>
      </c>
      <c r="E4017" s="630" t="s">
        <v>646</v>
      </c>
      <c r="F4017" s="829">
        <v>340.8</v>
      </c>
      <c r="G4017" s="830">
        <v>12.34</v>
      </c>
      <c r="H4017" s="831">
        <v>353.14</v>
      </c>
      <c r="I4017" s="846"/>
      <c r="J4017" s="846"/>
      <c r="K4017" s="846"/>
      <c r="L4017" s="846"/>
      <c r="M4017" s="846"/>
      <c r="N4017" s="846"/>
      <c r="O4017" s="846"/>
      <c r="P4017" s="846"/>
      <c r="Q4017" s="846"/>
      <c r="R4017" s="846"/>
      <c r="S4017" s="846"/>
      <c r="T4017" s="846"/>
    </row>
    <row r="4018" spans="2:20" ht="38.25" hidden="1">
      <c r="B4018" s="828" t="s">
        <v>6547</v>
      </c>
      <c r="C4018" s="828">
        <v>89850</v>
      </c>
      <c r="D4018" s="630" t="s">
        <v>1560</v>
      </c>
      <c r="E4018" s="630" t="s">
        <v>646</v>
      </c>
      <c r="F4018" s="829">
        <v>18.23</v>
      </c>
      <c r="G4018" s="830">
        <v>10.29</v>
      </c>
      <c r="H4018" s="831">
        <v>28.52</v>
      </c>
      <c r="I4018" s="846"/>
      <c r="J4018" s="846"/>
      <c r="K4018" s="846"/>
      <c r="L4018" s="846"/>
      <c r="M4018" s="846"/>
      <c r="N4018" s="846"/>
      <c r="O4018" s="846"/>
      <c r="P4018" s="846"/>
      <c r="Q4018" s="846"/>
      <c r="R4018" s="846"/>
      <c r="S4018" s="846"/>
      <c r="T4018" s="846"/>
    </row>
    <row r="4019" spans="2:20" ht="38.25" hidden="1">
      <c r="B4019" s="828" t="s">
        <v>6547</v>
      </c>
      <c r="C4019" s="828">
        <v>89851</v>
      </c>
      <c r="D4019" s="630" t="s">
        <v>1558</v>
      </c>
      <c r="E4019" s="630" t="s">
        <v>646</v>
      </c>
      <c r="F4019" s="829">
        <v>18.16</v>
      </c>
      <c r="G4019" s="830">
        <v>10.29</v>
      </c>
      <c r="H4019" s="831">
        <v>28.45</v>
      </c>
      <c r="I4019" s="846"/>
      <c r="J4019" s="846"/>
      <c r="K4019" s="846"/>
      <c r="L4019" s="846"/>
      <c r="M4019" s="846"/>
      <c r="N4019" s="846"/>
      <c r="O4019" s="846"/>
      <c r="P4019" s="846"/>
      <c r="Q4019" s="846"/>
      <c r="R4019" s="846"/>
      <c r="S4019" s="846"/>
      <c r="T4019" s="846"/>
    </row>
    <row r="4020" spans="2:20" ht="38.25" hidden="1">
      <c r="B4020" s="828" t="s">
        <v>6547</v>
      </c>
      <c r="C4020" s="828">
        <v>89852</v>
      </c>
      <c r="D4020" s="630" t="s">
        <v>1562</v>
      </c>
      <c r="E4020" s="630" t="s">
        <v>646</v>
      </c>
      <c r="F4020" s="829">
        <v>36.799999999999997</v>
      </c>
      <c r="G4020" s="830">
        <v>10.28</v>
      </c>
      <c r="H4020" s="831">
        <v>47.08</v>
      </c>
      <c r="I4020" s="846"/>
      <c r="J4020" s="846"/>
      <c r="K4020" s="846"/>
      <c r="L4020" s="846"/>
      <c r="M4020" s="846"/>
      <c r="N4020" s="846"/>
      <c r="O4020" s="846"/>
      <c r="P4020" s="846"/>
      <c r="Q4020" s="846"/>
      <c r="R4020" s="846"/>
      <c r="S4020" s="846"/>
      <c r="T4020" s="846"/>
    </row>
    <row r="4021" spans="2:20" ht="38.25" hidden="1">
      <c r="B4021" s="828" t="s">
        <v>6547</v>
      </c>
      <c r="C4021" s="828">
        <v>89853</v>
      </c>
      <c r="D4021" s="630" t="s">
        <v>1563</v>
      </c>
      <c r="E4021" s="630" t="s">
        <v>646</v>
      </c>
      <c r="F4021" s="829">
        <v>69.72</v>
      </c>
      <c r="G4021" s="830">
        <v>10.28</v>
      </c>
      <c r="H4021" s="831">
        <v>80</v>
      </c>
      <c r="I4021" s="846"/>
      <c r="J4021" s="846"/>
      <c r="K4021" s="846"/>
      <c r="L4021" s="846"/>
      <c r="M4021" s="846"/>
      <c r="N4021" s="846"/>
      <c r="O4021" s="846"/>
      <c r="P4021" s="846"/>
      <c r="Q4021" s="846"/>
      <c r="R4021" s="846"/>
      <c r="S4021" s="846"/>
      <c r="T4021" s="846"/>
    </row>
    <row r="4022" spans="2:20" ht="38.25" hidden="1">
      <c r="B4022" s="828" t="s">
        <v>6547</v>
      </c>
      <c r="C4022" s="828">
        <v>89854</v>
      </c>
      <c r="D4022" s="630" t="s">
        <v>1561</v>
      </c>
      <c r="E4022" s="630" t="s">
        <v>646</v>
      </c>
      <c r="F4022" s="829">
        <v>84.9</v>
      </c>
      <c r="G4022" s="830">
        <v>14.13</v>
      </c>
      <c r="H4022" s="831">
        <v>99.03</v>
      </c>
      <c r="I4022" s="846"/>
      <c r="J4022" s="846"/>
      <c r="K4022" s="846"/>
      <c r="L4022" s="846"/>
      <c r="M4022" s="846"/>
      <c r="N4022" s="846"/>
      <c r="O4022" s="846"/>
      <c r="P4022" s="846"/>
      <c r="Q4022" s="846"/>
      <c r="R4022" s="846"/>
      <c r="S4022" s="846"/>
      <c r="T4022" s="846"/>
    </row>
    <row r="4023" spans="2:20" ht="38.25" hidden="1">
      <c r="B4023" s="828" t="s">
        <v>6547</v>
      </c>
      <c r="C4023" s="828">
        <v>89855</v>
      </c>
      <c r="D4023" s="630" t="s">
        <v>1559</v>
      </c>
      <c r="E4023" s="630" t="s">
        <v>646</v>
      </c>
      <c r="F4023" s="829">
        <v>91.53</v>
      </c>
      <c r="G4023" s="830">
        <v>14.13</v>
      </c>
      <c r="H4023" s="831">
        <v>105.66</v>
      </c>
      <c r="I4023" s="846"/>
      <c r="J4023" s="846"/>
      <c r="K4023" s="846"/>
      <c r="L4023" s="846"/>
      <c r="M4023" s="846"/>
      <c r="N4023" s="846"/>
      <c r="O4023" s="846"/>
      <c r="P4023" s="846"/>
      <c r="Q4023" s="846"/>
      <c r="R4023" s="846"/>
      <c r="S4023" s="846"/>
      <c r="T4023" s="846"/>
    </row>
    <row r="4024" spans="2:20" ht="38.25" hidden="1">
      <c r="B4024" s="828" t="s">
        <v>6547</v>
      </c>
      <c r="C4024" s="828">
        <v>89856</v>
      </c>
      <c r="D4024" s="630" t="s">
        <v>1564</v>
      </c>
      <c r="E4024" s="630" t="s">
        <v>646</v>
      </c>
      <c r="F4024" s="829">
        <v>14.58</v>
      </c>
      <c r="G4024" s="830">
        <v>6.86</v>
      </c>
      <c r="H4024" s="831">
        <v>21.44</v>
      </c>
      <c r="I4024" s="846"/>
      <c r="J4024" s="846"/>
      <c r="K4024" s="846"/>
      <c r="L4024" s="846"/>
      <c r="M4024" s="846"/>
      <c r="N4024" s="846"/>
      <c r="O4024" s="846"/>
      <c r="P4024" s="846"/>
      <c r="Q4024" s="846"/>
      <c r="R4024" s="846"/>
      <c r="S4024" s="846"/>
      <c r="T4024" s="846"/>
    </row>
    <row r="4025" spans="2:20" ht="38.25" hidden="1">
      <c r="B4025" s="828" t="s">
        <v>6547</v>
      </c>
      <c r="C4025" s="828">
        <v>89857</v>
      </c>
      <c r="D4025" s="630" t="s">
        <v>1565</v>
      </c>
      <c r="E4025" s="630" t="s">
        <v>646</v>
      </c>
      <c r="F4025" s="829">
        <v>28.89</v>
      </c>
      <c r="G4025" s="830">
        <v>6.86</v>
      </c>
      <c r="H4025" s="831">
        <v>35.75</v>
      </c>
      <c r="I4025" s="846"/>
      <c r="J4025" s="846"/>
      <c r="K4025" s="846"/>
      <c r="L4025" s="846"/>
      <c r="M4025" s="846"/>
      <c r="N4025" s="846"/>
      <c r="O4025" s="846"/>
      <c r="P4025" s="846"/>
      <c r="Q4025" s="846"/>
      <c r="R4025" s="846"/>
      <c r="S4025" s="846"/>
      <c r="T4025" s="846"/>
    </row>
    <row r="4026" spans="2:20" ht="38.25" hidden="1">
      <c r="B4026" s="828" t="s">
        <v>6547</v>
      </c>
      <c r="C4026" s="828">
        <v>89859</v>
      </c>
      <c r="D4026" s="630" t="s">
        <v>1566</v>
      </c>
      <c r="E4026" s="630" t="s">
        <v>646</v>
      </c>
      <c r="F4026" s="829">
        <v>79.84</v>
      </c>
      <c r="G4026" s="830">
        <v>9.41</v>
      </c>
      <c r="H4026" s="831">
        <v>89.25</v>
      </c>
      <c r="I4026" s="846"/>
      <c r="J4026" s="846"/>
      <c r="K4026" s="846"/>
      <c r="L4026" s="846"/>
      <c r="M4026" s="846"/>
      <c r="N4026" s="846"/>
      <c r="O4026" s="846"/>
      <c r="P4026" s="846"/>
      <c r="Q4026" s="846"/>
      <c r="R4026" s="846"/>
      <c r="S4026" s="846"/>
      <c r="T4026" s="846"/>
    </row>
    <row r="4027" spans="2:20" ht="38.25" hidden="1">
      <c r="B4027" s="828" t="s">
        <v>6547</v>
      </c>
      <c r="C4027" s="828">
        <v>89860</v>
      </c>
      <c r="D4027" s="630" t="s">
        <v>1567</v>
      </c>
      <c r="E4027" s="630" t="s">
        <v>646</v>
      </c>
      <c r="F4027" s="829">
        <v>33.65</v>
      </c>
      <c r="G4027" s="830">
        <v>13.72</v>
      </c>
      <c r="H4027" s="831">
        <v>47.37</v>
      </c>
      <c r="I4027" s="846"/>
      <c r="J4027" s="846"/>
      <c r="K4027" s="846"/>
      <c r="L4027" s="846"/>
      <c r="M4027" s="846"/>
      <c r="N4027" s="846"/>
      <c r="O4027" s="846"/>
      <c r="P4027" s="846"/>
      <c r="Q4027" s="846"/>
      <c r="R4027" s="846"/>
      <c r="S4027" s="846"/>
      <c r="T4027" s="846"/>
    </row>
    <row r="4028" spans="2:20" ht="38.25" hidden="1">
      <c r="B4028" s="828" t="s">
        <v>6547</v>
      </c>
      <c r="C4028" s="828">
        <v>89861</v>
      </c>
      <c r="D4028" s="630" t="s">
        <v>1569</v>
      </c>
      <c r="E4028" s="630" t="s">
        <v>646</v>
      </c>
      <c r="F4028" s="829">
        <v>41.33</v>
      </c>
      <c r="G4028" s="830">
        <v>13.71</v>
      </c>
      <c r="H4028" s="831">
        <v>55.04</v>
      </c>
      <c r="I4028" s="846"/>
      <c r="J4028" s="846"/>
      <c r="K4028" s="846"/>
      <c r="L4028" s="846"/>
      <c r="M4028" s="846"/>
      <c r="N4028" s="846"/>
      <c r="O4028" s="846"/>
      <c r="P4028" s="846"/>
      <c r="Q4028" s="846"/>
      <c r="R4028" s="846"/>
      <c r="S4028" s="846"/>
      <c r="T4028" s="846"/>
    </row>
    <row r="4029" spans="2:20" ht="38.25" hidden="1">
      <c r="B4029" s="828" t="s">
        <v>6547</v>
      </c>
      <c r="C4029" s="828">
        <v>89862</v>
      </c>
      <c r="D4029" s="630" t="s">
        <v>1568</v>
      </c>
      <c r="E4029" s="630" t="s">
        <v>646</v>
      </c>
      <c r="F4029" s="829">
        <v>81.069999999999993</v>
      </c>
      <c r="G4029" s="830">
        <v>18.84</v>
      </c>
      <c r="H4029" s="831">
        <v>99.91</v>
      </c>
      <c r="I4029" s="846"/>
      <c r="J4029" s="846"/>
      <c r="K4029" s="846"/>
      <c r="L4029" s="846"/>
      <c r="M4029" s="846"/>
      <c r="N4029" s="846"/>
      <c r="O4029" s="846"/>
      <c r="P4029" s="846"/>
      <c r="Q4029" s="846"/>
      <c r="R4029" s="846"/>
      <c r="S4029" s="846"/>
      <c r="T4029" s="846"/>
    </row>
    <row r="4030" spans="2:20" ht="38.25" hidden="1">
      <c r="B4030" s="828" t="s">
        <v>6547</v>
      </c>
      <c r="C4030" s="828">
        <v>89863</v>
      </c>
      <c r="D4030" s="630" t="s">
        <v>1570</v>
      </c>
      <c r="E4030" s="630" t="s">
        <v>646</v>
      </c>
      <c r="F4030" s="829">
        <v>209.21</v>
      </c>
      <c r="G4030" s="830">
        <v>18.84</v>
      </c>
      <c r="H4030" s="831">
        <v>228.05</v>
      </c>
      <c r="I4030" s="846"/>
      <c r="J4030" s="846"/>
      <c r="K4030" s="846"/>
      <c r="L4030" s="846"/>
      <c r="M4030" s="846"/>
      <c r="N4030" s="846"/>
      <c r="O4030" s="846"/>
      <c r="P4030" s="846"/>
      <c r="Q4030" s="846"/>
      <c r="R4030" s="846"/>
      <c r="S4030" s="846"/>
      <c r="T4030" s="846"/>
    </row>
    <row r="4031" spans="2:20" ht="25.5" hidden="1">
      <c r="B4031" s="828" t="s">
        <v>6547</v>
      </c>
      <c r="C4031" s="828">
        <v>89866</v>
      </c>
      <c r="D4031" s="630" t="s">
        <v>1358</v>
      </c>
      <c r="E4031" s="630" t="s">
        <v>646</v>
      </c>
      <c r="F4031" s="829">
        <v>2.95</v>
      </c>
      <c r="G4031" s="830">
        <v>3.03</v>
      </c>
      <c r="H4031" s="831">
        <v>5.98</v>
      </c>
      <c r="I4031" s="846"/>
      <c r="J4031" s="846"/>
      <c r="K4031" s="846"/>
      <c r="L4031" s="846"/>
      <c r="M4031" s="846"/>
      <c r="N4031" s="846"/>
      <c r="O4031" s="846"/>
      <c r="P4031" s="846"/>
      <c r="Q4031" s="846"/>
      <c r="R4031" s="846"/>
      <c r="S4031" s="846"/>
      <c r="T4031" s="846"/>
    </row>
    <row r="4032" spans="2:20" ht="25.5" hidden="1">
      <c r="B4032" s="828" t="s">
        <v>6547</v>
      </c>
      <c r="C4032" s="828">
        <v>89867</v>
      </c>
      <c r="D4032" s="630" t="s">
        <v>1359</v>
      </c>
      <c r="E4032" s="630" t="s">
        <v>646</v>
      </c>
      <c r="F4032" s="829">
        <v>3.96</v>
      </c>
      <c r="G4032" s="830">
        <v>3.01</v>
      </c>
      <c r="H4032" s="831">
        <v>6.97</v>
      </c>
      <c r="I4032" s="846"/>
      <c r="J4032" s="846"/>
      <c r="K4032" s="846"/>
      <c r="L4032" s="846"/>
      <c r="M4032" s="846"/>
      <c r="N4032" s="846"/>
      <c r="O4032" s="846"/>
      <c r="P4032" s="846"/>
      <c r="Q4032" s="846"/>
      <c r="R4032" s="846"/>
      <c r="S4032" s="846"/>
      <c r="T4032" s="846"/>
    </row>
    <row r="4033" spans="2:20" ht="25.5" hidden="1">
      <c r="B4033" s="828" t="s">
        <v>6547</v>
      </c>
      <c r="C4033" s="828">
        <v>89868</v>
      </c>
      <c r="D4033" s="630" t="s">
        <v>1360</v>
      </c>
      <c r="E4033" s="630" t="s">
        <v>646</v>
      </c>
      <c r="F4033" s="829">
        <v>2.69</v>
      </c>
      <c r="G4033" s="830">
        <v>1.71</v>
      </c>
      <c r="H4033" s="831">
        <v>4.4000000000000004</v>
      </c>
      <c r="I4033" s="846"/>
      <c r="J4033" s="846"/>
      <c r="K4033" s="846"/>
      <c r="L4033" s="846"/>
      <c r="M4033" s="846"/>
      <c r="N4033" s="846"/>
      <c r="O4033" s="846"/>
      <c r="P4033" s="846"/>
      <c r="Q4033" s="846"/>
      <c r="R4033" s="846"/>
      <c r="S4033" s="846"/>
      <c r="T4033" s="846"/>
    </row>
    <row r="4034" spans="2:20" ht="25.5" hidden="1">
      <c r="B4034" s="828" t="s">
        <v>6547</v>
      </c>
      <c r="C4034" s="828">
        <v>89869</v>
      </c>
      <c r="D4034" s="630" t="s">
        <v>1361</v>
      </c>
      <c r="E4034" s="630" t="s">
        <v>646</v>
      </c>
      <c r="F4034" s="829">
        <v>5.64</v>
      </c>
      <c r="G4034" s="830">
        <v>3.87</v>
      </c>
      <c r="H4034" s="831">
        <v>9.51</v>
      </c>
      <c r="I4034" s="846"/>
      <c r="J4034" s="846"/>
      <c r="K4034" s="846"/>
      <c r="L4034" s="846"/>
      <c r="M4034" s="846"/>
      <c r="N4034" s="846"/>
      <c r="O4034" s="846"/>
      <c r="P4034" s="846"/>
      <c r="Q4034" s="846"/>
      <c r="R4034" s="846"/>
      <c r="S4034" s="846"/>
      <c r="T4034" s="846"/>
    </row>
    <row r="4035" spans="2:20" ht="38.25" hidden="1">
      <c r="B4035" s="828" t="s">
        <v>6547</v>
      </c>
      <c r="C4035" s="828">
        <v>89979</v>
      </c>
      <c r="D4035" s="630" t="s">
        <v>8190</v>
      </c>
      <c r="E4035" s="630" t="s">
        <v>646</v>
      </c>
      <c r="F4035" s="829">
        <v>26.44</v>
      </c>
      <c r="G4035" s="830">
        <v>4.74</v>
      </c>
      <c r="H4035" s="831">
        <v>31.18</v>
      </c>
      <c r="I4035" s="846"/>
      <c r="J4035" s="846"/>
      <c r="K4035" s="846"/>
      <c r="L4035" s="846"/>
      <c r="M4035" s="846"/>
      <c r="N4035" s="846"/>
      <c r="O4035" s="846"/>
      <c r="P4035" s="846"/>
      <c r="Q4035" s="846"/>
      <c r="R4035" s="846"/>
      <c r="S4035" s="846"/>
      <c r="T4035" s="846"/>
    </row>
    <row r="4036" spans="2:20" ht="38.25" hidden="1">
      <c r="B4036" s="828" t="s">
        <v>6547</v>
      </c>
      <c r="C4036" s="828">
        <v>89981</v>
      </c>
      <c r="D4036" s="630" t="s">
        <v>8191</v>
      </c>
      <c r="E4036" s="630" t="s">
        <v>646</v>
      </c>
      <c r="F4036" s="829">
        <v>25.69</v>
      </c>
      <c r="G4036" s="830">
        <v>2.2200000000000002</v>
      </c>
      <c r="H4036" s="831">
        <v>27.91</v>
      </c>
      <c r="I4036" s="846"/>
      <c r="J4036" s="846"/>
      <c r="K4036" s="846"/>
      <c r="L4036" s="846"/>
      <c r="M4036" s="846"/>
      <c r="N4036" s="846"/>
      <c r="O4036" s="846"/>
      <c r="P4036" s="846"/>
      <c r="Q4036" s="846"/>
      <c r="R4036" s="846"/>
      <c r="S4036" s="846"/>
      <c r="T4036" s="846"/>
    </row>
    <row r="4037" spans="2:20" ht="38.25" hidden="1">
      <c r="B4037" s="828" t="s">
        <v>6547</v>
      </c>
      <c r="C4037" s="828">
        <v>90373</v>
      </c>
      <c r="D4037" s="630" t="s">
        <v>8192</v>
      </c>
      <c r="E4037" s="630" t="s">
        <v>646</v>
      </c>
      <c r="F4037" s="829">
        <v>10.5</v>
      </c>
      <c r="G4037" s="830">
        <v>5.63</v>
      </c>
      <c r="H4037" s="831">
        <v>16.13</v>
      </c>
      <c r="I4037" s="846"/>
      <c r="J4037" s="846"/>
      <c r="K4037" s="846"/>
      <c r="L4037" s="846"/>
      <c r="M4037" s="846"/>
      <c r="N4037" s="846"/>
      <c r="O4037" s="846"/>
      <c r="P4037" s="846"/>
      <c r="Q4037" s="846"/>
      <c r="R4037" s="846"/>
      <c r="S4037" s="846"/>
      <c r="T4037" s="846"/>
    </row>
    <row r="4038" spans="2:20" ht="38.25" hidden="1">
      <c r="B4038" s="828" t="s">
        <v>6547</v>
      </c>
      <c r="C4038" s="828">
        <v>90374</v>
      </c>
      <c r="D4038" s="630" t="s">
        <v>8193</v>
      </c>
      <c r="E4038" s="630" t="s">
        <v>646</v>
      </c>
      <c r="F4038" s="829">
        <v>18.02</v>
      </c>
      <c r="G4038" s="830">
        <v>8.08</v>
      </c>
      <c r="H4038" s="831">
        <v>26.1</v>
      </c>
      <c r="I4038" s="846"/>
      <c r="J4038" s="846"/>
      <c r="K4038" s="846"/>
      <c r="L4038" s="846"/>
      <c r="M4038" s="846"/>
      <c r="N4038" s="846"/>
      <c r="O4038" s="846"/>
      <c r="P4038" s="846"/>
      <c r="Q4038" s="846"/>
      <c r="R4038" s="846"/>
      <c r="S4038" s="846"/>
      <c r="T4038" s="846"/>
    </row>
    <row r="4039" spans="2:20" ht="38.25" hidden="1">
      <c r="B4039" s="828" t="s">
        <v>6547</v>
      </c>
      <c r="C4039" s="828">
        <v>92287</v>
      </c>
      <c r="D4039" s="630" t="s">
        <v>7244</v>
      </c>
      <c r="E4039" s="630" t="s">
        <v>646</v>
      </c>
      <c r="F4039" s="829">
        <v>15.16</v>
      </c>
      <c r="G4039" s="830">
        <v>3.82</v>
      </c>
      <c r="H4039" s="831">
        <v>18.98</v>
      </c>
      <c r="I4039" s="846"/>
      <c r="J4039" s="846"/>
      <c r="K4039" s="846"/>
      <c r="L4039" s="846"/>
      <c r="M4039" s="846"/>
      <c r="N4039" s="846"/>
      <c r="O4039" s="846"/>
      <c r="P4039" s="846"/>
      <c r="Q4039" s="846"/>
      <c r="R4039" s="846"/>
      <c r="S4039" s="846"/>
      <c r="T4039" s="846"/>
    </row>
    <row r="4040" spans="2:20" ht="38.25" hidden="1">
      <c r="B4040" s="828" t="s">
        <v>6547</v>
      </c>
      <c r="C4040" s="828">
        <v>92288</v>
      </c>
      <c r="D4040" s="630" t="s">
        <v>7245</v>
      </c>
      <c r="E4040" s="630" t="s">
        <v>646</v>
      </c>
      <c r="F4040" s="829">
        <v>24.99</v>
      </c>
      <c r="G4040" s="830">
        <v>4.9000000000000004</v>
      </c>
      <c r="H4040" s="831">
        <v>29.89</v>
      </c>
      <c r="I4040" s="846"/>
      <c r="J4040" s="846"/>
      <c r="K4040" s="846"/>
      <c r="L4040" s="846"/>
      <c r="M4040" s="846"/>
      <c r="N4040" s="846"/>
      <c r="O4040" s="846"/>
      <c r="P4040" s="846"/>
      <c r="Q4040" s="846"/>
      <c r="R4040" s="846"/>
      <c r="S4040" s="846"/>
      <c r="T4040" s="846"/>
    </row>
    <row r="4041" spans="2:20" ht="38.25" hidden="1">
      <c r="B4041" s="828" t="s">
        <v>6547</v>
      </c>
      <c r="C4041" s="828">
        <v>92289</v>
      </c>
      <c r="D4041" s="630" t="s">
        <v>7246</v>
      </c>
      <c r="E4041" s="630" t="s">
        <v>646</v>
      </c>
      <c r="F4041" s="829">
        <v>46.71</v>
      </c>
      <c r="G4041" s="830">
        <v>6.19</v>
      </c>
      <c r="H4041" s="831">
        <v>52.9</v>
      </c>
      <c r="I4041" s="846"/>
      <c r="J4041" s="846"/>
      <c r="K4041" s="846"/>
      <c r="L4041" s="846"/>
      <c r="M4041" s="846"/>
      <c r="N4041" s="846"/>
      <c r="O4041" s="846"/>
      <c r="P4041" s="846"/>
      <c r="Q4041" s="846"/>
      <c r="R4041" s="846"/>
      <c r="S4041" s="846"/>
      <c r="T4041" s="846"/>
    </row>
    <row r="4042" spans="2:20" ht="38.25" hidden="1">
      <c r="B4042" s="828" t="s">
        <v>6547</v>
      </c>
      <c r="C4042" s="828">
        <v>92290</v>
      </c>
      <c r="D4042" s="630" t="s">
        <v>7247</v>
      </c>
      <c r="E4042" s="630" t="s">
        <v>646</v>
      </c>
      <c r="F4042" s="829">
        <v>72.64</v>
      </c>
      <c r="G4042" s="830">
        <v>7.47</v>
      </c>
      <c r="H4042" s="831">
        <v>80.11</v>
      </c>
      <c r="I4042" s="846"/>
      <c r="J4042" s="846"/>
      <c r="K4042" s="846"/>
      <c r="L4042" s="846"/>
      <c r="M4042" s="846"/>
      <c r="N4042" s="846"/>
      <c r="O4042" s="846"/>
      <c r="P4042" s="846"/>
      <c r="Q4042" s="846"/>
      <c r="R4042" s="846"/>
      <c r="S4042" s="846"/>
      <c r="T4042" s="846"/>
    </row>
    <row r="4043" spans="2:20" ht="38.25" hidden="1">
      <c r="B4043" s="828" t="s">
        <v>6547</v>
      </c>
      <c r="C4043" s="828">
        <v>92291</v>
      </c>
      <c r="D4043" s="630" t="s">
        <v>7248</v>
      </c>
      <c r="E4043" s="630" t="s">
        <v>646</v>
      </c>
      <c r="F4043" s="829">
        <v>114.37</v>
      </c>
      <c r="G4043" s="830">
        <v>9.68</v>
      </c>
      <c r="H4043" s="831">
        <v>124.05</v>
      </c>
      <c r="I4043" s="846"/>
      <c r="J4043" s="846"/>
      <c r="K4043" s="846"/>
      <c r="L4043" s="846"/>
      <c r="M4043" s="846"/>
      <c r="N4043" s="846"/>
      <c r="O4043" s="846"/>
      <c r="P4043" s="846"/>
      <c r="Q4043" s="846"/>
      <c r="R4043" s="846"/>
      <c r="S4043" s="846"/>
      <c r="T4043" s="846"/>
    </row>
    <row r="4044" spans="2:20" ht="38.25" hidden="1">
      <c r="B4044" s="828" t="s">
        <v>6547</v>
      </c>
      <c r="C4044" s="828">
        <v>92292</v>
      </c>
      <c r="D4044" s="630" t="s">
        <v>7249</v>
      </c>
      <c r="E4044" s="630" t="s">
        <v>646</v>
      </c>
      <c r="F4044" s="829">
        <v>371.89</v>
      </c>
      <c r="G4044" s="830">
        <v>11.9</v>
      </c>
      <c r="H4044" s="831">
        <v>383.79</v>
      </c>
      <c r="I4044" s="846"/>
      <c r="J4044" s="846"/>
      <c r="K4044" s="846"/>
      <c r="L4044" s="846"/>
      <c r="M4044" s="846"/>
      <c r="N4044" s="846"/>
      <c r="O4044" s="846"/>
      <c r="P4044" s="846"/>
      <c r="Q4044" s="846"/>
      <c r="R4044" s="846"/>
      <c r="S4044" s="846"/>
      <c r="T4044" s="846"/>
    </row>
    <row r="4045" spans="2:20" ht="25.5" hidden="1">
      <c r="B4045" s="828" t="s">
        <v>6547</v>
      </c>
      <c r="C4045" s="828">
        <v>92293</v>
      </c>
      <c r="D4045" s="630" t="s">
        <v>7250</v>
      </c>
      <c r="E4045" s="630" t="s">
        <v>646</v>
      </c>
      <c r="F4045" s="829">
        <v>8.24</v>
      </c>
      <c r="G4045" s="830">
        <v>2.54</v>
      </c>
      <c r="H4045" s="831">
        <v>10.78</v>
      </c>
      <c r="I4045" s="846"/>
      <c r="J4045" s="846"/>
      <c r="K4045" s="846"/>
      <c r="L4045" s="846"/>
      <c r="M4045" s="846"/>
      <c r="N4045" s="846"/>
      <c r="O4045" s="846"/>
      <c r="P4045" s="846"/>
      <c r="Q4045" s="846"/>
      <c r="R4045" s="846"/>
      <c r="S4045" s="846"/>
      <c r="T4045" s="846"/>
    </row>
    <row r="4046" spans="2:20" ht="25.5" hidden="1">
      <c r="B4046" s="828" t="s">
        <v>6547</v>
      </c>
      <c r="C4046" s="828">
        <v>92294</v>
      </c>
      <c r="D4046" s="630" t="s">
        <v>7251</v>
      </c>
      <c r="E4046" s="630" t="s">
        <v>646</v>
      </c>
      <c r="F4046" s="829">
        <v>14.96</v>
      </c>
      <c r="G4046" s="830">
        <v>3.26</v>
      </c>
      <c r="H4046" s="831">
        <v>18.22</v>
      </c>
      <c r="I4046" s="846"/>
      <c r="J4046" s="846"/>
      <c r="K4046" s="846"/>
      <c r="L4046" s="846"/>
      <c r="M4046" s="846"/>
      <c r="N4046" s="846"/>
      <c r="O4046" s="846"/>
      <c r="P4046" s="846"/>
      <c r="Q4046" s="846"/>
      <c r="R4046" s="846"/>
      <c r="S4046" s="846"/>
      <c r="T4046" s="846"/>
    </row>
    <row r="4047" spans="2:20" ht="25.5" hidden="1">
      <c r="B4047" s="828" t="s">
        <v>6547</v>
      </c>
      <c r="C4047" s="828">
        <v>92295</v>
      </c>
      <c r="D4047" s="630" t="s">
        <v>7252</v>
      </c>
      <c r="E4047" s="630" t="s">
        <v>646</v>
      </c>
      <c r="F4047" s="829">
        <v>30.19</v>
      </c>
      <c r="G4047" s="830">
        <v>4.12</v>
      </c>
      <c r="H4047" s="831">
        <v>34.31</v>
      </c>
      <c r="I4047" s="846"/>
      <c r="J4047" s="846"/>
      <c r="K4047" s="846"/>
      <c r="L4047" s="846"/>
      <c r="M4047" s="846"/>
      <c r="N4047" s="846"/>
      <c r="O4047" s="846"/>
      <c r="P4047" s="846"/>
      <c r="Q4047" s="846"/>
      <c r="R4047" s="846"/>
      <c r="S4047" s="846"/>
      <c r="T4047" s="846"/>
    </row>
    <row r="4048" spans="2:20" ht="25.5" hidden="1">
      <c r="B4048" s="828" t="s">
        <v>6547</v>
      </c>
      <c r="C4048" s="828">
        <v>92296</v>
      </c>
      <c r="D4048" s="630" t="s">
        <v>7253</v>
      </c>
      <c r="E4048" s="630" t="s">
        <v>646</v>
      </c>
      <c r="F4048" s="829">
        <v>40.46</v>
      </c>
      <c r="G4048" s="830">
        <v>4.9800000000000004</v>
      </c>
      <c r="H4048" s="831">
        <v>45.44</v>
      </c>
      <c r="I4048" s="846"/>
      <c r="J4048" s="846"/>
      <c r="K4048" s="846"/>
      <c r="L4048" s="846"/>
      <c r="M4048" s="846"/>
      <c r="N4048" s="846"/>
      <c r="O4048" s="846"/>
      <c r="P4048" s="846"/>
      <c r="Q4048" s="846"/>
      <c r="R4048" s="846"/>
      <c r="S4048" s="846"/>
      <c r="T4048" s="846"/>
    </row>
    <row r="4049" spans="2:20" ht="25.5" hidden="1">
      <c r="B4049" s="828" t="s">
        <v>6547</v>
      </c>
      <c r="C4049" s="828">
        <v>92297</v>
      </c>
      <c r="D4049" s="630" t="s">
        <v>7254</v>
      </c>
      <c r="E4049" s="630" t="s">
        <v>646</v>
      </c>
      <c r="F4049" s="829">
        <v>64.03</v>
      </c>
      <c r="G4049" s="830">
        <v>6.45</v>
      </c>
      <c r="H4049" s="831">
        <v>70.48</v>
      </c>
      <c r="I4049" s="846"/>
      <c r="J4049" s="846"/>
      <c r="K4049" s="846"/>
      <c r="L4049" s="846"/>
      <c r="M4049" s="846"/>
      <c r="N4049" s="846"/>
      <c r="O4049" s="846"/>
      <c r="P4049" s="846"/>
      <c r="Q4049" s="846"/>
      <c r="R4049" s="846"/>
      <c r="S4049" s="846"/>
      <c r="T4049" s="846"/>
    </row>
    <row r="4050" spans="2:20" ht="25.5" hidden="1">
      <c r="B4050" s="828" t="s">
        <v>6547</v>
      </c>
      <c r="C4050" s="828">
        <v>92298</v>
      </c>
      <c r="D4050" s="630" t="s">
        <v>7255</v>
      </c>
      <c r="E4050" s="630" t="s">
        <v>646</v>
      </c>
      <c r="F4050" s="829">
        <v>189.82</v>
      </c>
      <c r="G4050" s="830">
        <v>7.92</v>
      </c>
      <c r="H4050" s="831">
        <v>197.74</v>
      </c>
      <c r="I4050" s="846"/>
      <c r="J4050" s="846"/>
      <c r="K4050" s="846"/>
      <c r="L4050" s="846"/>
      <c r="M4050" s="846"/>
      <c r="N4050" s="846"/>
      <c r="O4050" s="846"/>
      <c r="P4050" s="846"/>
      <c r="Q4050" s="846"/>
      <c r="R4050" s="846"/>
      <c r="S4050" s="846"/>
      <c r="T4050" s="846"/>
    </row>
    <row r="4051" spans="2:20" ht="25.5" hidden="1">
      <c r="B4051" s="828" t="s">
        <v>6547</v>
      </c>
      <c r="C4051" s="828">
        <v>92299</v>
      </c>
      <c r="D4051" s="630" t="s">
        <v>7256</v>
      </c>
      <c r="E4051" s="630" t="s">
        <v>646</v>
      </c>
      <c r="F4051" s="829">
        <v>19.88</v>
      </c>
      <c r="G4051" s="830">
        <v>5.08</v>
      </c>
      <c r="H4051" s="831">
        <v>24.96</v>
      </c>
      <c r="I4051" s="846"/>
      <c r="J4051" s="846"/>
      <c r="K4051" s="846"/>
      <c r="L4051" s="846"/>
      <c r="M4051" s="846"/>
      <c r="N4051" s="846"/>
      <c r="O4051" s="846"/>
      <c r="P4051" s="846"/>
      <c r="Q4051" s="846"/>
      <c r="R4051" s="846"/>
      <c r="S4051" s="846"/>
      <c r="T4051" s="846"/>
    </row>
    <row r="4052" spans="2:20" ht="25.5" hidden="1">
      <c r="B4052" s="828" t="s">
        <v>6547</v>
      </c>
      <c r="C4052" s="828">
        <v>92300</v>
      </c>
      <c r="D4052" s="630" t="s">
        <v>7257</v>
      </c>
      <c r="E4052" s="630" t="s">
        <v>646</v>
      </c>
      <c r="F4052" s="829">
        <v>31.46</v>
      </c>
      <c r="G4052" s="830">
        <v>6.55</v>
      </c>
      <c r="H4052" s="831">
        <v>38.01</v>
      </c>
      <c r="I4052" s="846"/>
      <c r="J4052" s="846"/>
      <c r="K4052" s="846"/>
      <c r="L4052" s="846"/>
      <c r="M4052" s="846"/>
      <c r="N4052" s="846"/>
      <c r="O4052" s="846"/>
      <c r="P4052" s="846"/>
      <c r="Q4052" s="846"/>
      <c r="R4052" s="846"/>
      <c r="S4052" s="846"/>
      <c r="T4052" s="846"/>
    </row>
    <row r="4053" spans="2:20" ht="25.5" hidden="1">
      <c r="B4053" s="828" t="s">
        <v>6547</v>
      </c>
      <c r="C4053" s="828">
        <v>92301</v>
      </c>
      <c r="D4053" s="630" t="s">
        <v>7258</v>
      </c>
      <c r="E4053" s="630" t="s">
        <v>646</v>
      </c>
      <c r="F4053" s="829">
        <v>66.849999999999994</v>
      </c>
      <c r="G4053" s="830">
        <v>8.26</v>
      </c>
      <c r="H4053" s="831">
        <v>75.11</v>
      </c>
      <c r="I4053" s="846"/>
      <c r="J4053" s="846"/>
      <c r="K4053" s="846"/>
      <c r="L4053" s="846"/>
      <c r="M4053" s="846"/>
      <c r="N4053" s="846"/>
      <c r="O4053" s="846"/>
      <c r="P4053" s="846"/>
      <c r="Q4053" s="846"/>
      <c r="R4053" s="846"/>
      <c r="S4053" s="846"/>
      <c r="T4053" s="846"/>
    </row>
    <row r="4054" spans="2:20" ht="25.5" hidden="1">
      <c r="B4054" s="828" t="s">
        <v>6547</v>
      </c>
      <c r="C4054" s="828">
        <v>92302</v>
      </c>
      <c r="D4054" s="630" t="s">
        <v>7259</v>
      </c>
      <c r="E4054" s="630" t="s">
        <v>646</v>
      </c>
      <c r="F4054" s="829">
        <v>89.23</v>
      </c>
      <c r="G4054" s="830">
        <v>9.98</v>
      </c>
      <c r="H4054" s="831">
        <v>99.21</v>
      </c>
      <c r="I4054" s="846"/>
      <c r="J4054" s="846"/>
      <c r="K4054" s="846"/>
      <c r="L4054" s="846"/>
      <c r="M4054" s="846"/>
      <c r="N4054" s="846"/>
      <c r="O4054" s="846"/>
      <c r="P4054" s="846"/>
      <c r="Q4054" s="846"/>
      <c r="R4054" s="846"/>
      <c r="S4054" s="846"/>
      <c r="T4054" s="846"/>
    </row>
    <row r="4055" spans="2:20" ht="25.5" hidden="1">
      <c r="B4055" s="828" t="s">
        <v>6547</v>
      </c>
      <c r="C4055" s="828">
        <v>92303</v>
      </c>
      <c r="D4055" s="630" t="s">
        <v>7260</v>
      </c>
      <c r="E4055" s="630" t="s">
        <v>646</v>
      </c>
      <c r="F4055" s="829">
        <v>169.05</v>
      </c>
      <c r="G4055" s="830">
        <v>12.92</v>
      </c>
      <c r="H4055" s="831">
        <v>181.97</v>
      </c>
      <c r="I4055" s="846"/>
      <c r="J4055" s="846"/>
      <c r="K4055" s="846"/>
      <c r="L4055" s="846"/>
      <c r="M4055" s="846"/>
      <c r="N4055" s="846"/>
      <c r="O4055" s="846"/>
      <c r="P4055" s="846"/>
      <c r="Q4055" s="846"/>
      <c r="R4055" s="846"/>
      <c r="S4055" s="846"/>
      <c r="T4055" s="846"/>
    </row>
    <row r="4056" spans="2:20" ht="25.5" hidden="1">
      <c r="B4056" s="828" t="s">
        <v>6547</v>
      </c>
      <c r="C4056" s="828">
        <v>92304</v>
      </c>
      <c r="D4056" s="630" t="s">
        <v>7261</v>
      </c>
      <c r="E4056" s="630" t="s">
        <v>646</v>
      </c>
      <c r="F4056" s="829">
        <v>456.06</v>
      </c>
      <c r="G4056" s="830">
        <v>15.87</v>
      </c>
      <c r="H4056" s="831">
        <v>471.93</v>
      </c>
      <c r="I4056" s="846"/>
      <c r="J4056" s="846"/>
      <c r="K4056" s="846"/>
      <c r="L4056" s="846"/>
      <c r="M4056" s="846"/>
      <c r="N4056" s="846"/>
      <c r="O4056" s="846"/>
      <c r="P4056" s="846"/>
      <c r="Q4056" s="846"/>
      <c r="R4056" s="846"/>
      <c r="S4056" s="846"/>
      <c r="T4056" s="846"/>
    </row>
    <row r="4057" spans="2:20" ht="38.25" hidden="1">
      <c r="B4057" s="828" t="s">
        <v>6547</v>
      </c>
      <c r="C4057" s="828">
        <v>92311</v>
      </c>
      <c r="D4057" s="630" t="s">
        <v>8194</v>
      </c>
      <c r="E4057" s="630" t="s">
        <v>646</v>
      </c>
      <c r="F4057" s="829">
        <v>8.33</v>
      </c>
      <c r="G4057" s="830">
        <v>5.87</v>
      </c>
      <c r="H4057" s="831">
        <v>14.2</v>
      </c>
      <c r="I4057" s="846"/>
      <c r="J4057" s="846"/>
      <c r="K4057" s="846"/>
      <c r="L4057" s="846"/>
      <c r="M4057" s="846"/>
      <c r="N4057" s="846"/>
      <c r="O4057" s="846"/>
      <c r="P4057" s="846"/>
      <c r="Q4057" s="846"/>
      <c r="R4057" s="846"/>
      <c r="S4057" s="846"/>
      <c r="T4057" s="846"/>
    </row>
    <row r="4058" spans="2:20" ht="38.25" hidden="1">
      <c r="B4058" s="828" t="s">
        <v>6547</v>
      </c>
      <c r="C4058" s="828">
        <v>92312</v>
      </c>
      <c r="D4058" s="630" t="s">
        <v>7262</v>
      </c>
      <c r="E4058" s="630" t="s">
        <v>646</v>
      </c>
      <c r="F4058" s="829">
        <v>16.22</v>
      </c>
      <c r="G4058" s="830">
        <v>7.38</v>
      </c>
      <c r="H4058" s="831">
        <v>23.6</v>
      </c>
      <c r="I4058" s="846"/>
      <c r="J4058" s="846"/>
      <c r="K4058" s="846"/>
      <c r="L4058" s="846"/>
      <c r="M4058" s="846"/>
      <c r="N4058" s="846"/>
      <c r="O4058" s="846"/>
      <c r="P4058" s="846"/>
      <c r="Q4058" s="846"/>
      <c r="R4058" s="846"/>
      <c r="S4058" s="846"/>
      <c r="T4058" s="846"/>
    </row>
    <row r="4059" spans="2:20" ht="38.25" hidden="1">
      <c r="B4059" s="828" t="s">
        <v>6547</v>
      </c>
      <c r="C4059" s="828">
        <v>92313</v>
      </c>
      <c r="D4059" s="630" t="s">
        <v>7263</v>
      </c>
      <c r="E4059" s="630" t="s">
        <v>646</v>
      </c>
      <c r="F4059" s="829">
        <v>25.97</v>
      </c>
      <c r="G4059" s="830">
        <v>8.2100000000000009</v>
      </c>
      <c r="H4059" s="831">
        <v>34.18</v>
      </c>
      <c r="I4059" s="846"/>
      <c r="J4059" s="846"/>
      <c r="K4059" s="846"/>
      <c r="L4059" s="846"/>
      <c r="M4059" s="846"/>
      <c r="N4059" s="846"/>
      <c r="O4059" s="846"/>
      <c r="P4059" s="846"/>
      <c r="Q4059" s="846"/>
      <c r="R4059" s="846"/>
      <c r="S4059" s="846"/>
      <c r="T4059" s="846"/>
    </row>
    <row r="4060" spans="2:20" ht="38.25" hidden="1">
      <c r="B4060" s="828" t="s">
        <v>6547</v>
      </c>
      <c r="C4060" s="828">
        <v>92314</v>
      </c>
      <c r="D4060" s="630" t="s">
        <v>7264</v>
      </c>
      <c r="E4060" s="630" t="s">
        <v>646</v>
      </c>
      <c r="F4060" s="829">
        <v>5.26</v>
      </c>
      <c r="G4060" s="830">
        <v>4.2699999999999996</v>
      </c>
      <c r="H4060" s="831">
        <v>9.5299999999999994</v>
      </c>
      <c r="I4060" s="846"/>
      <c r="J4060" s="846"/>
      <c r="K4060" s="846"/>
      <c r="L4060" s="846"/>
      <c r="M4060" s="846"/>
      <c r="N4060" s="846"/>
      <c r="O4060" s="846"/>
      <c r="P4060" s="846"/>
      <c r="Q4060" s="846"/>
      <c r="R4060" s="846"/>
      <c r="S4060" s="846"/>
      <c r="T4060" s="846"/>
    </row>
    <row r="4061" spans="2:20" ht="38.25" hidden="1">
      <c r="B4061" s="828" t="s">
        <v>6547</v>
      </c>
      <c r="C4061" s="828">
        <v>92315</v>
      </c>
      <c r="D4061" s="630" t="s">
        <v>7265</v>
      </c>
      <c r="E4061" s="630" t="s">
        <v>646</v>
      </c>
      <c r="F4061" s="829">
        <v>8.9499999999999993</v>
      </c>
      <c r="G4061" s="830">
        <v>4.93</v>
      </c>
      <c r="H4061" s="831">
        <v>13.88</v>
      </c>
      <c r="I4061" s="846"/>
      <c r="J4061" s="846"/>
      <c r="K4061" s="846"/>
      <c r="L4061" s="846"/>
      <c r="M4061" s="846"/>
      <c r="N4061" s="846"/>
      <c r="O4061" s="846"/>
      <c r="P4061" s="846"/>
      <c r="Q4061" s="846"/>
      <c r="R4061" s="846"/>
      <c r="S4061" s="846"/>
      <c r="T4061" s="846"/>
    </row>
    <row r="4062" spans="2:20" ht="38.25" hidden="1">
      <c r="B4062" s="828" t="s">
        <v>6547</v>
      </c>
      <c r="C4062" s="828">
        <v>92316</v>
      </c>
      <c r="D4062" s="630" t="s">
        <v>7266</v>
      </c>
      <c r="E4062" s="630" t="s">
        <v>646</v>
      </c>
      <c r="F4062" s="829">
        <v>15.6</v>
      </c>
      <c r="G4062" s="830">
        <v>5.48</v>
      </c>
      <c r="H4062" s="831">
        <v>21.08</v>
      </c>
      <c r="I4062" s="846"/>
      <c r="J4062" s="846"/>
      <c r="K4062" s="846"/>
      <c r="L4062" s="846"/>
      <c r="M4062" s="846"/>
      <c r="N4062" s="846"/>
      <c r="O4062" s="846"/>
      <c r="P4062" s="846"/>
      <c r="Q4062" s="846"/>
      <c r="R4062" s="846"/>
      <c r="S4062" s="846"/>
      <c r="T4062" s="846"/>
    </row>
    <row r="4063" spans="2:20" ht="38.25" hidden="1">
      <c r="B4063" s="828" t="s">
        <v>6547</v>
      </c>
      <c r="C4063" s="828">
        <v>92317</v>
      </c>
      <c r="D4063" s="630" t="s">
        <v>7267</v>
      </c>
      <c r="E4063" s="630" t="s">
        <v>646</v>
      </c>
      <c r="F4063" s="829">
        <v>11.42</v>
      </c>
      <c r="G4063" s="830">
        <v>8.5399999999999991</v>
      </c>
      <c r="H4063" s="831">
        <v>19.96</v>
      </c>
      <c r="I4063" s="846"/>
      <c r="J4063" s="846"/>
      <c r="K4063" s="846"/>
      <c r="L4063" s="846"/>
      <c r="M4063" s="846"/>
      <c r="N4063" s="846"/>
      <c r="O4063" s="846"/>
      <c r="P4063" s="846"/>
      <c r="Q4063" s="846"/>
      <c r="R4063" s="846"/>
      <c r="S4063" s="846"/>
      <c r="T4063" s="846"/>
    </row>
    <row r="4064" spans="2:20" ht="38.25" hidden="1">
      <c r="B4064" s="828" t="s">
        <v>6547</v>
      </c>
      <c r="C4064" s="828">
        <v>92318</v>
      </c>
      <c r="D4064" s="630" t="s">
        <v>7268</v>
      </c>
      <c r="E4064" s="630" t="s">
        <v>646</v>
      </c>
      <c r="F4064" s="829">
        <v>21.29</v>
      </c>
      <c r="G4064" s="830">
        <v>9.84</v>
      </c>
      <c r="H4064" s="831">
        <v>31.13</v>
      </c>
      <c r="I4064" s="846"/>
      <c r="J4064" s="846"/>
      <c r="K4064" s="846"/>
      <c r="L4064" s="846"/>
      <c r="M4064" s="846"/>
      <c r="N4064" s="846"/>
      <c r="O4064" s="846"/>
      <c r="P4064" s="846"/>
      <c r="Q4064" s="846"/>
      <c r="R4064" s="846"/>
      <c r="S4064" s="846"/>
      <c r="T4064" s="846"/>
    </row>
    <row r="4065" spans="2:20" ht="38.25" hidden="1">
      <c r="B4065" s="828" t="s">
        <v>6547</v>
      </c>
      <c r="C4065" s="828">
        <v>92319</v>
      </c>
      <c r="D4065" s="630" t="s">
        <v>7269</v>
      </c>
      <c r="E4065" s="630" t="s">
        <v>646</v>
      </c>
      <c r="F4065" s="829">
        <v>32.75</v>
      </c>
      <c r="G4065" s="830">
        <v>10.97</v>
      </c>
      <c r="H4065" s="831">
        <v>43.72</v>
      </c>
      <c r="I4065" s="846"/>
      <c r="J4065" s="846"/>
      <c r="K4065" s="846"/>
      <c r="L4065" s="846"/>
      <c r="M4065" s="846"/>
      <c r="N4065" s="846"/>
      <c r="O4065" s="846"/>
      <c r="P4065" s="846"/>
      <c r="Q4065" s="846"/>
      <c r="R4065" s="846"/>
      <c r="S4065" s="846"/>
      <c r="T4065" s="846"/>
    </row>
    <row r="4066" spans="2:20" ht="38.25" hidden="1">
      <c r="B4066" s="828" t="s">
        <v>6547</v>
      </c>
      <c r="C4066" s="828">
        <v>92326</v>
      </c>
      <c r="D4066" s="630" t="s">
        <v>7270</v>
      </c>
      <c r="E4066" s="630" t="s">
        <v>646</v>
      </c>
      <c r="F4066" s="829">
        <v>8.35</v>
      </c>
      <c r="G4066" s="830">
        <v>6.65</v>
      </c>
      <c r="H4066" s="831">
        <v>15</v>
      </c>
      <c r="I4066" s="846"/>
      <c r="J4066" s="846"/>
      <c r="K4066" s="846"/>
      <c r="L4066" s="846"/>
      <c r="M4066" s="846"/>
      <c r="N4066" s="846"/>
      <c r="O4066" s="846"/>
      <c r="P4066" s="846"/>
      <c r="Q4066" s="846"/>
      <c r="R4066" s="846"/>
      <c r="S4066" s="846"/>
      <c r="T4066" s="846"/>
    </row>
    <row r="4067" spans="2:20" ht="38.25" hidden="1">
      <c r="B4067" s="828" t="s">
        <v>6547</v>
      </c>
      <c r="C4067" s="828">
        <v>92327</v>
      </c>
      <c r="D4067" s="630" t="s">
        <v>7271</v>
      </c>
      <c r="E4067" s="630" t="s">
        <v>646</v>
      </c>
      <c r="F4067" s="829">
        <v>16.989999999999998</v>
      </c>
      <c r="G4067" s="830">
        <v>10.029999999999999</v>
      </c>
      <c r="H4067" s="831">
        <v>27.02</v>
      </c>
      <c r="I4067" s="846"/>
      <c r="J4067" s="846"/>
      <c r="K4067" s="846"/>
      <c r="L4067" s="846"/>
      <c r="M4067" s="846"/>
      <c r="N4067" s="846"/>
      <c r="O4067" s="846"/>
      <c r="P4067" s="846"/>
      <c r="Q4067" s="846"/>
      <c r="R4067" s="846"/>
      <c r="S4067" s="846"/>
      <c r="T4067" s="846"/>
    </row>
    <row r="4068" spans="2:20" ht="38.25" hidden="1">
      <c r="B4068" s="828" t="s">
        <v>6547</v>
      </c>
      <c r="C4068" s="828">
        <v>92328</v>
      </c>
      <c r="D4068" s="630" t="s">
        <v>7272</v>
      </c>
      <c r="E4068" s="630" t="s">
        <v>646</v>
      </c>
      <c r="F4068" s="829">
        <v>27.34</v>
      </c>
      <c r="G4068" s="830">
        <v>12.93</v>
      </c>
      <c r="H4068" s="831">
        <v>40.270000000000003</v>
      </c>
      <c r="I4068" s="846"/>
      <c r="J4068" s="846"/>
      <c r="K4068" s="846"/>
      <c r="L4068" s="846"/>
      <c r="M4068" s="846"/>
      <c r="N4068" s="846"/>
      <c r="O4068" s="846"/>
      <c r="P4068" s="846"/>
      <c r="Q4068" s="846"/>
      <c r="R4068" s="846"/>
      <c r="S4068" s="846"/>
      <c r="T4068" s="846"/>
    </row>
    <row r="4069" spans="2:20" ht="38.25" hidden="1">
      <c r="B4069" s="828" t="s">
        <v>6547</v>
      </c>
      <c r="C4069" s="828">
        <v>92329</v>
      </c>
      <c r="D4069" s="630" t="s">
        <v>7273</v>
      </c>
      <c r="E4069" s="630" t="s">
        <v>646</v>
      </c>
      <c r="F4069" s="829">
        <v>5.29</v>
      </c>
      <c r="G4069" s="830">
        <v>4.43</v>
      </c>
      <c r="H4069" s="831">
        <v>9.7200000000000006</v>
      </c>
      <c r="I4069" s="846"/>
      <c r="J4069" s="846"/>
      <c r="K4069" s="846"/>
      <c r="L4069" s="846"/>
      <c r="M4069" s="846"/>
      <c r="N4069" s="846"/>
      <c r="O4069" s="846"/>
      <c r="P4069" s="846"/>
      <c r="Q4069" s="846"/>
      <c r="R4069" s="846"/>
      <c r="S4069" s="846"/>
      <c r="T4069" s="846"/>
    </row>
    <row r="4070" spans="2:20" ht="38.25" hidden="1">
      <c r="B4070" s="828" t="s">
        <v>6547</v>
      </c>
      <c r="C4070" s="828">
        <v>92330</v>
      </c>
      <c r="D4070" s="630" t="s">
        <v>7274</v>
      </c>
      <c r="E4070" s="630" t="s">
        <v>646</v>
      </c>
      <c r="F4070" s="829">
        <v>9.48</v>
      </c>
      <c r="G4070" s="830">
        <v>6.7</v>
      </c>
      <c r="H4070" s="831">
        <v>16.18</v>
      </c>
      <c r="I4070" s="846"/>
      <c r="J4070" s="846"/>
      <c r="K4070" s="846"/>
      <c r="L4070" s="846"/>
      <c r="M4070" s="846"/>
      <c r="N4070" s="846"/>
      <c r="O4070" s="846"/>
      <c r="P4070" s="846"/>
      <c r="Q4070" s="846"/>
      <c r="R4070" s="846"/>
      <c r="S4070" s="846"/>
      <c r="T4070" s="846"/>
    </row>
    <row r="4071" spans="2:20" ht="38.25" hidden="1">
      <c r="B4071" s="828" t="s">
        <v>6547</v>
      </c>
      <c r="C4071" s="828">
        <v>92331</v>
      </c>
      <c r="D4071" s="630" t="s">
        <v>7275</v>
      </c>
      <c r="E4071" s="630" t="s">
        <v>646</v>
      </c>
      <c r="F4071" s="829">
        <v>16.55</v>
      </c>
      <c r="G4071" s="830">
        <v>8.6199999999999992</v>
      </c>
      <c r="H4071" s="831">
        <v>25.17</v>
      </c>
      <c r="I4071" s="846"/>
      <c r="J4071" s="846"/>
      <c r="K4071" s="846"/>
      <c r="L4071" s="846"/>
      <c r="M4071" s="846"/>
      <c r="N4071" s="846"/>
      <c r="O4071" s="846"/>
      <c r="P4071" s="846"/>
      <c r="Q4071" s="846"/>
      <c r="R4071" s="846"/>
      <c r="S4071" s="846"/>
      <c r="T4071" s="846"/>
    </row>
    <row r="4072" spans="2:20" ht="38.25" hidden="1">
      <c r="B4072" s="828" t="s">
        <v>6547</v>
      </c>
      <c r="C4072" s="828">
        <v>92332</v>
      </c>
      <c r="D4072" s="630" t="s">
        <v>7276</v>
      </c>
      <c r="E4072" s="630" t="s">
        <v>646</v>
      </c>
      <c r="F4072" s="829">
        <v>11.49</v>
      </c>
      <c r="G4072" s="830">
        <v>8.85</v>
      </c>
      <c r="H4072" s="831">
        <v>20.34</v>
      </c>
      <c r="I4072" s="846"/>
      <c r="J4072" s="846"/>
      <c r="K4072" s="846"/>
      <c r="L4072" s="846"/>
      <c r="M4072" s="846"/>
      <c r="N4072" s="846"/>
      <c r="O4072" s="846"/>
      <c r="P4072" s="846"/>
      <c r="Q4072" s="846"/>
      <c r="R4072" s="846"/>
      <c r="S4072" s="846"/>
      <c r="T4072" s="846"/>
    </row>
    <row r="4073" spans="2:20" ht="38.25" hidden="1">
      <c r="B4073" s="828" t="s">
        <v>6547</v>
      </c>
      <c r="C4073" s="828">
        <v>92333</v>
      </c>
      <c r="D4073" s="630" t="s">
        <v>7277</v>
      </c>
      <c r="E4073" s="630" t="s">
        <v>646</v>
      </c>
      <c r="F4073" s="829">
        <v>22.33</v>
      </c>
      <c r="G4073" s="830">
        <v>13.37</v>
      </c>
      <c r="H4073" s="831">
        <v>35.700000000000003</v>
      </c>
      <c r="I4073" s="846"/>
      <c r="J4073" s="846"/>
      <c r="K4073" s="846"/>
      <c r="L4073" s="846"/>
      <c r="M4073" s="846"/>
      <c r="N4073" s="846"/>
      <c r="O4073" s="846"/>
      <c r="P4073" s="846"/>
      <c r="Q4073" s="846"/>
      <c r="R4073" s="846"/>
      <c r="S4073" s="846"/>
      <c r="T4073" s="846"/>
    </row>
    <row r="4074" spans="2:20" ht="38.25" hidden="1">
      <c r="B4074" s="828" t="s">
        <v>6547</v>
      </c>
      <c r="C4074" s="828">
        <v>92334</v>
      </c>
      <c r="D4074" s="630" t="s">
        <v>7278</v>
      </c>
      <c r="E4074" s="630" t="s">
        <v>646</v>
      </c>
      <c r="F4074" s="829">
        <v>34.61</v>
      </c>
      <c r="G4074" s="830">
        <v>17.25</v>
      </c>
      <c r="H4074" s="831">
        <v>51.86</v>
      </c>
      <c r="I4074" s="846"/>
      <c r="J4074" s="846"/>
      <c r="K4074" s="846"/>
      <c r="L4074" s="846"/>
      <c r="M4074" s="846"/>
      <c r="N4074" s="846"/>
      <c r="O4074" s="846"/>
      <c r="P4074" s="846"/>
      <c r="Q4074" s="846"/>
      <c r="R4074" s="846"/>
      <c r="S4074" s="846"/>
      <c r="T4074" s="846"/>
    </row>
    <row r="4075" spans="2:20" ht="25.5" hidden="1">
      <c r="B4075" s="828" t="s">
        <v>6547</v>
      </c>
      <c r="C4075" s="828">
        <v>92344</v>
      </c>
      <c r="D4075" s="630" t="s">
        <v>4900</v>
      </c>
      <c r="E4075" s="630" t="s">
        <v>646</v>
      </c>
      <c r="F4075" s="829">
        <v>45.28</v>
      </c>
      <c r="G4075" s="830">
        <v>27.65</v>
      </c>
      <c r="H4075" s="831">
        <v>72.930000000000007</v>
      </c>
      <c r="I4075" s="846"/>
      <c r="J4075" s="846"/>
      <c r="K4075" s="846"/>
      <c r="L4075" s="846"/>
      <c r="M4075" s="846"/>
      <c r="N4075" s="846"/>
      <c r="O4075" s="846"/>
      <c r="P4075" s="846"/>
      <c r="Q4075" s="846"/>
      <c r="R4075" s="846"/>
      <c r="S4075" s="846"/>
      <c r="T4075" s="846"/>
    </row>
    <row r="4076" spans="2:20" ht="25.5" hidden="1">
      <c r="B4076" s="828" t="s">
        <v>6547</v>
      </c>
      <c r="C4076" s="828">
        <v>92345</v>
      </c>
      <c r="D4076" s="630" t="s">
        <v>4901</v>
      </c>
      <c r="E4076" s="630" t="s">
        <v>646</v>
      </c>
      <c r="F4076" s="829">
        <v>45.25</v>
      </c>
      <c r="G4076" s="830">
        <v>27.65</v>
      </c>
      <c r="H4076" s="831">
        <v>72.900000000000006</v>
      </c>
      <c r="I4076" s="846"/>
      <c r="J4076" s="846"/>
      <c r="K4076" s="846"/>
      <c r="L4076" s="846"/>
      <c r="M4076" s="846"/>
      <c r="N4076" s="846"/>
      <c r="O4076" s="846"/>
      <c r="P4076" s="846"/>
      <c r="Q4076" s="846"/>
      <c r="R4076" s="846"/>
      <c r="S4076" s="846"/>
      <c r="T4076" s="846"/>
    </row>
    <row r="4077" spans="2:20" ht="25.5" hidden="1">
      <c r="B4077" s="828" t="s">
        <v>6547</v>
      </c>
      <c r="C4077" s="828">
        <v>92346</v>
      </c>
      <c r="D4077" s="630" t="s">
        <v>4902</v>
      </c>
      <c r="E4077" s="630" t="s">
        <v>646</v>
      </c>
      <c r="F4077" s="829">
        <v>65.67</v>
      </c>
      <c r="G4077" s="830">
        <v>30.09</v>
      </c>
      <c r="H4077" s="831">
        <v>95.76</v>
      </c>
      <c r="I4077" s="846"/>
      <c r="J4077" s="846"/>
      <c r="K4077" s="846"/>
      <c r="L4077" s="846"/>
      <c r="M4077" s="846"/>
      <c r="N4077" s="846"/>
      <c r="O4077" s="846"/>
      <c r="P4077" s="846"/>
      <c r="Q4077" s="846"/>
      <c r="R4077" s="846"/>
      <c r="S4077" s="846"/>
      <c r="T4077" s="846"/>
    </row>
    <row r="4078" spans="2:20" ht="25.5" hidden="1">
      <c r="B4078" s="828" t="s">
        <v>6547</v>
      </c>
      <c r="C4078" s="828">
        <v>92347</v>
      </c>
      <c r="D4078" s="630" t="s">
        <v>4903</v>
      </c>
      <c r="E4078" s="630" t="s">
        <v>646</v>
      </c>
      <c r="F4078" s="829">
        <v>76.459999999999994</v>
      </c>
      <c r="G4078" s="830">
        <v>30.08</v>
      </c>
      <c r="H4078" s="831">
        <v>106.54</v>
      </c>
      <c r="I4078" s="846"/>
      <c r="J4078" s="846"/>
      <c r="K4078" s="846"/>
      <c r="L4078" s="846"/>
      <c r="M4078" s="846"/>
      <c r="N4078" s="846"/>
      <c r="O4078" s="846"/>
      <c r="P4078" s="846"/>
      <c r="Q4078" s="846"/>
      <c r="R4078" s="846"/>
      <c r="S4078" s="846"/>
      <c r="T4078" s="846"/>
    </row>
    <row r="4079" spans="2:20" ht="25.5" hidden="1">
      <c r="B4079" s="828" t="s">
        <v>6547</v>
      </c>
      <c r="C4079" s="828">
        <v>92348</v>
      </c>
      <c r="D4079" s="630" t="s">
        <v>4904</v>
      </c>
      <c r="E4079" s="630" t="s">
        <v>646</v>
      </c>
      <c r="F4079" s="829">
        <v>101.83</v>
      </c>
      <c r="G4079" s="830">
        <v>32.47</v>
      </c>
      <c r="H4079" s="831">
        <v>134.30000000000001</v>
      </c>
      <c r="I4079" s="846"/>
      <c r="J4079" s="846"/>
      <c r="K4079" s="846"/>
      <c r="L4079" s="846"/>
      <c r="M4079" s="846"/>
      <c r="N4079" s="846"/>
      <c r="O4079" s="846"/>
      <c r="P4079" s="846"/>
      <c r="Q4079" s="846"/>
      <c r="R4079" s="846"/>
      <c r="S4079" s="846"/>
      <c r="T4079" s="846"/>
    </row>
    <row r="4080" spans="2:20" ht="25.5" hidden="1">
      <c r="B4080" s="828" t="s">
        <v>6547</v>
      </c>
      <c r="C4080" s="828">
        <v>92349</v>
      </c>
      <c r="D4080" s="630" t="s">
        <v>4905</v>
      </c>
      <c r="E4080" s="630" t="s">
        <v>646</v>
      </c>
      <c r="F4080" s="829">
        <v>111.42</v>
      </c>
      <c r="G4080" s="830">
        <v>32.47</v>
      </c>
      <c r="H4080" s="831">
        <v>143.88999999999999</v>
      </c>
      <c r="I4080" s="846"/>
      <c r="J4080" s="846"/>
      <c r="K4080" s="846"/>
      <c r="L4080" s="846"/>
      <c r="M4080" s="846"/>
      <c r="N4080" s="846"/>
      <c r="O4080" s="846"/>
      <c r="P4080" s="846"/>
      <c r="Q4080" s="846"/>
      <c r="R4080" s="846"/>
      <c r="S4080" s="846"/>
      <c r="T4080" s="846"/>
    </row>
    <row r="4081" spans="2:20" ht="38.25" hidden="1">
      <c r="B4081" s="828" t="s">
        <v>6547</v>
      </c>
      <c r="C4081" s="828">
        <v>92350</v>
      </c>
      <c r="D4081" s="630" t="s">
        <v>4906</v>
      </c>
      <c r="E4081" s="630" t="s">
        <v>646</v>
      </c>
      <c r="F4081" s="829">
        <v>67.05</v>
      </c>
      <c r="G4081" s="830">
        <v>41.45</v>
      </c>
      <c r="H4081" s="831">
        <v>108.5</v>
      </c>
      <c r="I4081" s="846"/>
      <c r="J4081" s="846"/>
      <c r="K4081" s="846"/>
      <c r="L4081" s="846"/>
      <c r="M4081" s="846"/>
      <c r="N4081" s="846"/>
      <c r="O4081" s="846"/>
      <c r="P4081" s="846"/>
      <c r="Q4081" s="846"/>
      <c r="R4081" s="846"/>
      <c r="S4081" s="846"/>
      <c r="T4081" s="846"/>
    </row>
    <row r="4082" spans="2:20" ht="38.25" hidden="1">
      <c r="B4082" s="828" t="s">
        <v>6547</v>
      </c>
      <c r="C4082" s="828">
        <v>92351</v>
      </c>
      <c r="D4082" s="630" t="s">
        <v>4907</v>
      </c>
      <c r="E4082" s="630" t="s">
        <v>646</v>
      </c>
      <c r="F4082" s="829">
        <v>64.650000000000006</v>
      </c>
      <c r="G4082" s="830">
        <v>41.45</v>
      </c>
      <c r="H4082" s="831">
        <v>106.1</v>
      </c>
      <c r="I4082" s="846"/>
      <c r="J4082" s="846"/>
      <c r="K4082" s="846"/>
      <c r="L4082" s="846"/>
      <c r="M4082" s="846"/>
      <c r="N4082" s="846"/>
      <c r="O4082" s="846"/>
      <c r="P4082" s="846"/>
      <c r="Q4082" s="846"/>
      <c r="R4082" s="846"/>
      <c r="S4082" s="846"/>
      <c r="T4082" s="846"/>
    </row>
    <row r="4083" spans="2:20" ht="38.25" hidden="1">
      <c r="B4083" s="828" t="s">
        <v>6547</v>
      </c>
      <c r="C4083" s="828">
        <v>92352</v>
      </c>
      <c r="D4083" s="630" t="s">
        <v>4908</v>
      </c>
      <c r="E4083" s="630" t="s">
        <v>646</v>
      </c>
      <c r="F4083" s="829">
        <v>119.27</v>
      </c>
      <c r="G4083" s="830">
        <v>45.08</v>
      </c>
      <c r="H4083" s="831">
        <v>164.35</v>
      </c>
      <c r="I4083" s="846"/>
      <c r="J4083" s="846"/>
      <c r="K4083" s="846"/>
      <c r="L4083" s="846"/>
      <c r="M4083" s="846"/>
      <c r="N4083" s="846"/>
      <c r="O4083" s="846"/>
      <c r="P4083" s="846"/>
      <c r="Q4083" s="846"/>
      <c r="R4083" s="846"/>
      <c r="S4083" s="846"/>
      <c r="T4083" s="846"/>
    </row>
    <row r="4084" spans="2:20" ht="38.25" hidden="1">
      <c r="B4084" s="828" t="s">
        <v>6547</v>
      </c>
      <c r="C4084" s="828">
        <v>92353</v>
      </c>
      <c r="D4084" s="630" t="s">
        <v>4909</v>
      </c>
      <c r="E4084" s="630" t="s">
        <v>646</v>
      </c>
      <c r="F4084" s="829">
        <v>108.73</v>
      </c>
      <c r="G4084" s="830">
        <v>45.08</v>
      </c>
      <c r="H4084" s="831">
        <v>153.81</v>
      </c>
      <c r="I4084" s="846"/>
      <c r="J4084" s="846"/>
      <c r="K4084" s="846"/>
      <c r="L4084" s="846"/>
      <c r="M4084" s="846"/>
      <c r="N4084" s="846"/>
      <c r="O4084" s="846"/>
      <c r="P4084" s="846"/>
      <c r="Q4084" s="846"/>
      <c r="R4084" s="846"/>
      <c r="S4084" s="846"/>
      <c r="T4084" s="846"/>
    </row>
    <row r="4085" spans="2:20" ht="38.25" hidden="1">
      <c r="B4085" s="828" t="s">
        <v>6547</v>
      </c>
      <c r="C4085" s="828">
        <v>92354</v>
      </c>
      <c r="D4085" s="630" t="s">
        <v>4910</v>
      </c>
      <c r="E4085" s="630" t="s">
        <v>646</v>
      </c>
      <c r="F4085" s="829">
        <v>169.28</v>
      </c>
      <c r="G4085" s="830">
        <v>48.71</v>
      </c>
      <c r="H4085" s="831">
        <v>217.99</v>
      </c>
      <c r="I4085" s="846"/>
      <c r="J4085" s="846"/>
      <c r="K4085" s="846"/>
      <c r="L4085" s="846"/>
      <c r="M4085" s="846"/>
      <c r="N4085" s="846"/>
      <c r="O4085" s="846"/>
      <c r="P4085" s="846"/>
      <c r="Q4085" s="846"/>
      <c r="R4085" s="846"/>
      <c r="S4085" s="846"/>
      <c r="T4085" s="846"/>
    </row>
    <row r="4086" spans="2:20" ht="38.25" hidden="1">
      <c r="B4086" s="828" t="s">
        <v>6547</v>
      </c>
      <c r="C4086" s="828">
        <v>92355</v>
      </c>
      <c r="D4086" s="630" t="s">
        <v>4911</v>
      </c>
      <c r="E4086" s="630" t="s">
        <v>646</v>
      </c>
      <c r="F4086" s="829">
        <v>148.96</v>
      </c>
      <c r="G4086" s="830">
        <v>48.71</v>
      </c>
      <c r="H4086" s="831">
        <v>197.67</v>
      </c>
      <c r="I4086" s="846"/>
      <c r="J4086" s="846"/>
      <c r="K4086" s="846"/>
      <c r="L4086" s="846"/>
      <c r="M4086" s="846"/>
      <c r="N4086" s="846"/>
      <c r="O4086" s="846"/>
      <c r="P4086" s="846"/>
      <c r="Q4086" s="846"/>
      <c r="R4086" s="846"/>
      <c r="S4086" s="846"/>
      <c r="T4086" s="846"/>
    </row>
    <row r="4087" spans="2:20" ht="25.5" hidden="1">
      <c r="B4087" s="828" t="s">
        <v>6547</v>
      </c>
      <c r="C4087" s="828">
        <v>92356</v>
      </c>
      <c r="D4087" s="630" t="s">
        <v>4912</v>
      </c>
      <c r="E4087" s="630" t="s">
        <v>646</v>
      </c>
      <c r="F4087" s="829">
        <v>86.14</v>
      </c>
      <c r="G4087" s="830">
        <v>55.28</v>
      </c>
      <c r="H4087" s="831">
        <v>141.41999999999999</v>
      </c>
      <c r="I4087" s="846"/>
      <c r="J4087" s="846"/>
      <c r="K4087" s="846"/>
      <c r="L4087" s="846"/>
      <c r="M4087" s="846"/>
      <c r="N4087" s="846"/>
      <c r="O4087" s="846"/>
      <c r="P4087" s="846"/>
      <c r="Q4087" s="846"/>
      <c r="R4087" s="846"/>
      <c r="S4087" s="846"/>
      <c r="T4087" s="846"/>
    </row>
    <row r="4088" spans="2:20" ht="25.5" hidden="1">
      <c r="B4088" s="828" t="s">
        <v>6547</v>
      </c>
      <c r="C4088" s="828">
        <v>92357</v>
      </c>
      <c r="D4088" s="630" t="s">
        <v>4913</v>
      </c>
      <c r="E4088" s="630" t="s">
        <v>646</v>
      </c>
      <c r="F4088" s="829">
        <v>150.25</v>
      </c>
      <c r="G4088" s="830">
        <v>60.13</v>
      </c>
      <c r="H4088" s="831">
        <v>210.38</v>
      </c>
      <c r="I4088" s="846"/>
      <c r="J4088" s="846"/>
      <c r="K4088" s="846"/>
      <c r="L4088" s="846"/>
      <c r="M4088" s="846"/>
      <c r="N4088" s="846"/>
      <c r="O4088" s="846"/>
      <c r="P4088" s="846"/>
      <c r="Q4088" s="846"/>
      <c r="R4088" s="846"/>
      <c r="S4088" s="846"/>
      <c r="T4088" s="846"/>
    </row>
    <row r="4089" spans="2:20" ht="25.5" hidden="1">
      <c r="B4089" s="828" t="s">
        <v>6547</v>
      </c>
      <c r="C4089" s="828">
        <v>92358</v>
      </c>
      <c r="D4089" s="630" t="s">
        <v>4914</v>
      </c>
      <c r="E4089" s="630" t="s">
        <v>646</v>
      </c>
      <c r="F4089" s="829">
        <v>196.63</v>
      </c>
      <c r="G4089" s="830">
        <v>64.97</v>
      </c>
      <c r="H4089" s="831">
        <v>261.60000000000002</v>
      </c>
      <c r="I4089" s="846"/>
      <c r="J4089" s="846"/>
      <c r="K4089" s="846"/>
      <c r="L4089" s="846"/>
      <c r="M4089" s="846"/>
      <c r="N4089" s="846"/>
      <c r="O4089" s="846"/>
      <c r="P4089" s="846"/>
      <c r="Q4089" s="846"/>
      <c r="R4089" s="846"/>
      <c r="S4089" s="846"/>
      <c r="T4089" s="846"/>
    </row>
    <row r="4090" spans="2:20" ht="38.25" hidden="1">
      <c r="B4090" s="828" t="s">
        <v>6547</v>
      </c>
      <c r="C4090" s="828">
        <v>92369</v>
      </c>
      <c r="D4090" s="630" t="s">
        <v>4924</v>
      </c>
      <c r="E4090" s="630" t="s">
        <v>646</v>
      </c>
      <c r="F4090" s="829">
        <v>18.34</v>
      </c>
      <c r="G4090" s="830">
        <v>21.03</v>
      </c>
      <c r="H4090" s="831">
        <v>39.369999999999997</v>
      </c>
      <c r="I4090" s="846"/>
      <c r="J4090" s="846"/>
      <c r="K4090" s="846"/>
      <c r="L4090" s="846"/>
      <c r="M4090" s="846"/>
      <c r="N4090" s="846"/>
      <c r="O4090" s="846"/>
      <c r="P4090" s="846"/>
      <c r="Q4090" s="846"/>
      <c r="R4090" s="846"/>
      <c r="S4090" s="846"/>
      <c r="T4090" s="846"/>
    </row>
    <row r="4091" spans="2:20" ht="38.25" hidden="1">
      <c r="B4091" s="828" t="s">
        <v>6547</v>
      </c>
      <c r="C4091" s="828">
        <v>92370</v>
      </c>
      <c r="D4091" s="630" t="s">
        <v>4925</v>
      </c>
      <c r="E4091" s="630" t="s">
        <v>646</v>
      </c>
      <c r="F4091" s="829">
        <v>20.28</v>
      </c>
      <c r="G4091" s="830">
        <v>21.03</v>
      </c>
      <c r="H4091" s="831">
        <v>41.31</v>
      </c>
      <c r="I4091" s="846"/>
      <c r="J4091" s="846"/>
      <c r="K4091" s="846"/>
      <c r="L4091" s="846"/>
      <c r="M4091" s="846"/>
      <c r="N4091" s="846"/>
      <c r="O4091" s="846"/>
      <c r="P4091" s="846"/>
      <c r="Q4091" s="846"/>
      <c r="R4091" s="846"/>
      <c r="S4091" s="846"/>
      <c r="T4091" s="846"/>
    </row>
    <row r="4092" spans="2:20" ht="38.25" hidden="1">
      <c r="B4092" s="828" t="s">
        <v>6547</v>
      </c>
      <c r="C4092" s="828">
        <v>92371</v>
      </c>
      <c r="D4092" s="630" t="s">
        <v>4926</v>
      </c>
      <c r="E4092" s="630" t="s">
        <v>646</v>
      </c>
      <c r="F4092" s="829">
        <v>24.72</v>
      </c>
      <c r="G4092" s="830">
        <v>22.84</v>
      </c>
      <c r="H4092" s="831">
        <v>47.56</v>
      </c>
      <c r="I4092" s="846"/>
      <c r="J4092" s="846"/>
      <c r="K4092" s="846"/>
      <c r="L4092" s="846"/>
      <c r="M4092" s="846"/>
      <c r="N4092" s="846"/>
      <c r="O4092" s="846"/>
      <c r="P4092" s="846"/>
      <c r="Q4092" s="846"/>
      <c r="R4092" s="846"/>
      <c r="S4092" s="846"/>
      <c r="T4092" s="846"/>
    </row>
    <row r="4093" spans="2:20" ht="38.25" hidden="1">
      <c r="B4093" s="828" t="s">
        <v>6547</v>
      </c>
      <c r="C4093" s="828">
        <v>92372</v>
      </c>
      <c r="D4093" s="630" t="s">
        <v>4927</v>
      </c>
      <c r="E4093" s="630" t="s">
        <v>646</v>
      </c>
      <c r="F4093" s="829">
        <v>26.52</v>
      </c>
      <c r="G4093" s="830">
        <v>22.84</v>
      </c>
      <c r="H4093" s="831">
        <v>49.36</v>
      </c>
      <c r="I4093" s="846"/>
      <c r="J4093" s="846"/>
      <c r="K4093" s="846"/>
      <c r="L4093" s="846"/>
      <c r="M4093" s="846"/>
      <c r="N4093" s="846"/>
      <c r="O4093" s="846"/>
      <c r="P4093" s="846"/>
      <c r="Q4093" s="846"/>
      <c r="R4093" s="846"/>
      <c r="S4093" s="846"/>
      <c r="T4093" s="846"/>
    </row>
    <row r="4094" spans="2:20" ht="38.25" hidden="1">
      <c r="B4094" s="828" t="s">
        <v>6547</v>
      </c>
      <c r="C4094" s="828">
        <v>92373</v>
      </c>
      <c r="D4094" s="630" t="s">
        <v>4928</v>
      </c>
      <c r="E4094" s="630" t="s">
        <v>646</v>
      </c>
      <c r="F4094" s="829">
        <v>31.23</v>
      </c>
      <c r="G4094" s="830">
        <v>24.96</v>
      </c>
      <c r="H4094" s="831">
        <v>56.19</v>
      </c>
      <c r="I4094" s="846"/>
      <c r="J4094" s="846"/>
      <c r="K4094" s="846"/>
      <c r="L4094" s="846"/>
      <c r="M4094" s="846"/>
      <c r="N4094" s="846"/>
      <c r="O4094" s="846"/>
      <c r="P4094" s="846"/>
      <c r="Q4094" s="846"/>
      <c r="R4094" s="846"/>
      <c r="S4094" s="846"/>
      <c r="T4094" s="846"/>
    </row>
    <row r="4095" spans="2:20" ht="38.25" hidden="1">
      <c r="B4095" s="828" t="s">
        <v>6547</v>
      </c>
      <c r="C4095" s="828">
        <v>92374</v>
      </c>
      <c r="D4095" s="630" t="s">
        <v>4929</v>
      </c>
      <c r="E4095" s="630" t="s">
        <v>646</v>
      </c>
      <c r="F4095" s="829">
        <v>31.58</v>
      </c>
      <c r="G4095" s="830">
        <v>24.96</v>
      </c>
      <c r="H4095" s="831">
        <v>56.54</v>
      </c>
      <c r="I4095" s="846"/>
      <c r="J4095" s="846"/>
      <c r="K4095" s="846"/>
      <c r="L4095" s="846"/>
      <c r="M4095" s="846"/>
      <c r="N4095" s="846"/>
      <c r="O4095" s="846"/>
      <c r="P4095" s="846"/>
      <c r="Q4095" s="846"/>
      <c r="R4095" s="846"/>
      <c r="S4095" s="846"/>
      <c r="T4095" s="846"/>
    </row>
    <row r="4096" spans="2:20" ht="38.25" hidden="1">
      <c r="B4096" s="828" t="s">
        <v>6547</v>
      </c>
      <c r="C4096" s="828">
        <v>92375</v>
      </c>
      <c r="D4096" s="630" t="s">
        <v>4930</v>
      </c>
      <c r="E4096" s="630" t="s">
        <v>646</v>
      </c>
      <c r="F4096" s="829">
        <v>45.28</v>
      </c>
      <c r="G4096" s="830">
        <v>27.6</v>
      </c>
      <c r="H4096" s="831">
        <v>72.88</v>
      </c>
      <c r="I4096" s="846"/>
      <c r="J4096" s="846"/>
      <c r="K4096" s="846"/>
      <c r="L4096" s="846"/>
      <c r="M4096" s="846"/>
      <c r="N4096" s="846"/>
      <c r="O4096" s="846"/>
      <c r="P4096" s="846"/>
      <c r="Q4096" s="846"/>
      <c r="R4096" s="846"/>
      <c r="S4096" s="846"/>
      <c r="T4096" s="846"/>
    </row>
    <row r="4097" spans="2:20" ht="38.25" hidden="1">
      <c r="B4097" s="828" t="s">
        <v>6547</v>
      </c>
      <c r="C4097" s="828">
        <v>92376</v>
      </c>
      <c r="D4097" s="630" t="s">
        <v>4931</v>
      </c>
      <c r="E4097" s="630" t="s">
        <v>646</v>
      </c>
      <c r="F4097" s="829">
        <v>45.25</v>
      </c>
      <c r="G4097" s="830">
        <v>27.6</v>
      </c>
      <c r="H4097" s="831">
        <v>72.849999999999994</v>
      </c>
      <c r="I4097" s="846"/>
      <c r="J4097" s="846"/>
      <c r="K4097" s="846"/>
      <c r="L4097" s="846"/>
      <c r="M4097" s="846"/>
      <c r="N4097" s="846"/>
      <c r="O4097" s="846"/>
      <c r="P4097" s="846"/>
      <c r="Q4097" s="846"/>
      <c r="R4097" s="846"/>
      <c r="S4097" s="846"/>
      <c r="T4097" s="846"/>
    </row>
    <row r="4098" spans="2:20" ht="38.25" hidden="1">
      <c r="B4098" s="828" t="s">
        <v>6547</v>
      </c>
      <c r="C4098" s="828">
        <v>92377</v>
      </c>
      <c r="D4098" s="630" t="s">
        <v>4932</v>
      </c>
      <c r="E4098" s="630" t="s">
        <v>646</v>
      </c>
      <c r="F4098" s="829">
        <v>66.09</v>
      </c>
      <c r="G4098" s="830">
        <v>31.54</v>
      </c>
      <c r="H4098" s="831">
        <v>97.63</v>
      </c>
      <c r="I4098" s="846"/>
      <c r="J4098" s="846"/>
      <c r="K4098" s="846"/>
      <c r="L4098" s="846"/>
      <c r="M4098" s="846"/>
      <c r="N4098" s="846"/>
      <c r="O4098" s="846"/>
      <c r="P4098" s="846"/>
      <c r="Q4098" s="846"/>
      <c r="R4098" s="846"/>
      <c r="S4098" s="846"/>
      <c r="T4098" s="846"/>
    </row>
    <row r="4099" spans="2:20" ht="38.25" hidden="1">
      <c r="B4099" s="828" t="s">
        <v>6547</v>
      </c>
      <c r="C4099" s="828">
        <v>92378</v>
      </c>
      <c r="D4099" s="630" t="s">
        <v>4933</v>
      </c>
      <c r="E4099" s="630" t="s">
        <v>646</v>
      </c>
      <c r="F4099" s="829">
        <v>76.87</v>
      </c>
      <c r="G4099" s="830">
        <v>31.54</v>
      </c>
      <c r="H4099" s="831">
        <v>108.41</v>
      </c>
      <c r="I4099" s="846"/>
      <c r="J4099" s="846"/>
      <c r="K4099" s="846"/>
      <c r="L4099" s="846"/>
      <c r="M4099" s="846"/>
      <c r="N4099" s="846"/>
      <c r="O4099" s="846"/>
      <c r="P4099" s="846"/>
      <c r="Q4099" s="846"/>
      <c r="R4099" s="846"/>
      <c r="S4099" s="846"/>
      <c r="T4099" s="846"/>
    </row>
    <row r="4100" spans="2:20" ht="38.25" hidden="1">
      <c r="B4100" s="828" t="s">
        <v>6547</v>
      </c>
      <c r="C4100" s="828">
        <v>92379</v>
      </c>
      <c r="D4100" s="630" t="s">
        <v>4934</v>
      </c>
      <c r="E4100" s="630" t="s">
        <v>646</v>
      </c>
      <c r="F4100" s="829">
        <v>102.66</v>
      </c>
      <c r="G4100" s="830">
        <v>35.49</v>
      </c>
      <c r="H4100" s="831">
        <v>138.15</v>
      </c>
      <c r="I4100" s="846"/>
      <c r="J4100" s="846"/>
      <c r="K4100" s="846"/>
      <c r="L4100" s="846"/>
      <c r="M4100" s="846"/>
      <c r="N4100" s="846"/>
      <c r="O4100" s="846"/>
      <c r="P4100" s="846"/>
      <c r="Q4100" s="846"/>
      <c r="R4100" s="846"/>
      <c r="S4100" s="846"/>
      <c r="T4100" s="846"/>
    </row>
    <row r="4101" spans="2:20" ht="38.25" hidden="1">
      <c r="B4101" s="828" t="s">
        <v>6547</v>
      </c>
      <c r="C4101" s="828">
        <v>92380</v>
      </c>
      <c r="D4101" s="630" t="s">
        <v>4935</v>
      </c>
      <c r="E4101" s="630" t="s">
        <v>646</v>
      </c>
      <c r="F4101" s="829">
        <v>112.26</v>
      </c>
      <c r="G4101" s="830">
        <v>35.479999999999997</v>
      </c>
      <c r="H4101" s="831">
        <v>147.74</v>
      </c>
      <c r="I4101" s="846"/>
      <c r="J4101" s="846"/>
      <c r="K4101" s="846"/>
      <c r="L4101" s="846"/>
      <c r="M4101" s="846"/>
      <c r="N4101" s="846"/>
      <c r="O4101" s="846"/>
      <c r="P4101" s="846"/>
      <c r="Q4101" s="846"/>
      <c r="R4101" s="846"/>
      <c r="S4101" s="846"/>
      <c r="T4101" s="846"/>
    </row>
    <row r="4102" spans="2:20" ht="38.25" hidden="1">
      <c r="B4102" s="828" t="s">
        <v>6547</v>
      </c>
      <c r="C4102" s="828">
        <v>92381</v>
      </c>
      <c r="D4102" s="630" t="s">
        <v>4936</v>
      </c>
      <c r="E4102" s="630" t="s">
        <v>646</v>
      </c>
      <c r="F4102" s="829">
        <v>28.12</v>
      </c>
      <c r="G4102" s="830">
        <v>31.51</v>
      </c>
      <c r="H4102" s="831">
        <v>59.63</v>
      </c>
      <c r="I4102" s="846"/>
      <c r="J4102" s="846"/>
      <c r="K4102" s="846"/>
      <c r="L4102" s="846"/>
      <c r="M4102" s="846"/>
      <c r="N4102" s="846"/>
      <c r="O4102" s="846"/>
      <c r="P4102" s="846"/>
      <c r="Q4102" s="846"/>
      <c r="R4102" s="846"/>
      <c r="S4102" s="846"/>
      <c r="T4102" s="846"/>
    </row>
    <row r="4103" spans="2:20" ht="38.25" hidden="1">
      <c r="B4103" s="828" t="s">
        <v>6547</v>
      </c>
      <c r="C4103" s="828">
        <v>92382</v>
      </c>
      <c r="D4103" s="630" t="s">
        <v>4937</v>
      </c>
      <c r="E4103" s="630" t="s">
        <v>646</v>
      </c>
      <c r="F4103" s="829">
        <v>25.55</v>
      </c>
      <c r="G4103" s="830">
        <v>31.51</v>
      </c>
      <c r="H4103" s="831">
        <v>57.06</v>
      </c>
      <c r="I4103" s="846"/>
      <c r="J4103" s="846"/>
      <c r="K4103" s="846"/>
      <c r="L4103" s="846"/>
      <c r="M4103" s="846"/>
      <c r="N4103" s="846"/>
      <c r="O4103" s="846"/>
      <c r="P4103" s="846"/>
      <c r="Q4103" s="846"/>
      <c r="R4103" s="846"/>
      <c r="S4103" s="846"/>
      <c r="T4103" s="846"/>
    </row>
    <row r="4104" spans="2:20" ht="38.25" hidden="1">
      <c r="B4104" s="828" t="s">
        <v>6547</v>
      </c>
      <c r="C4104" s="828">
        <v>92383</v>
      </c>
      <c r="D4104" s="630" t="s">
        <v>4938</v>
      </c>
      <c r="E4104" s="630" t="s">
        <v>646</v>
      </c>
      <c r="F4104" s="829">
        <v>40.81</v>
      </c>
      <c r="G4104" s="830">
        <v>34.25</v>
      </c>
      <c r="H4104" s="831">
        <v>75.06</v>
      </c>
      <c r="I4104" s="846"/>
      <c r="J4104" s="846"/>
      <c r="K4104" s="846"/>
      <c r="L4104" s="846"/>
      <c r="M4104" s="846"/>
      <c r="N4104" s="846"/>
      <c r="O4104" s="846"/>
      <c r="P4104" s="846"/>
      <c r="Q4104" s="846"/>
      <c r="R4104" s="846"/>
      <c r="S4104" s="846"/>
      <c r="T4104" s="846"/>
    </row>
    <row r="4105" spans="2:20" ht="38.25" hidden="1">
      <c r="B4105" s="828" t="s">
        <v>6547</v>
      </c>
      <c r="C4105" s="828">
        <v>92384</v>
      </c>
      <c r="D4105" s="630" t="s">
        <v>4939</v>
      </c>
      <c r="E4105" s="630" t="s">
        <v>646</v>
      </c>
      <c r="F4105" s="829">
        <v>35.69</v>
      </c>
      <c r="G4105" s="830">
        <v>34.25</v>
      </c>
      <c r="H4105" s="831">
        <v>69.94</v>
      </c>
      <c r="I4105" s="846"/>
      <c r="J4105" s="846"/>
      <c r="K4105" s="846"/>
      <c r="L4105" s="846"/>
      <c r="M4105" s="846"/>
      <c r="N4105" s="846"/>
      <c r="O4105" s="846"/>
      <c r="P4105" s="846"/>
      <c r="Q4105" s="846"/>
      <c r="R4105" s="846"/>
      <c r="S4105" s="846"/>
      <c r="T4105" s="846"/>
    </row>
    <row r="4106" spans="2:20" ht="38.25" hidden="1">
      <c r="B4106" s="828" t="s">
        <v>6547</v>
      </c>
      <c r="C4106" s="828">
        <v>92385</v>
      </c>
      <c r="D4106" s="630" t="s">
        <v>4940</v>
      </c>
      <c r="E4106" s="630" t="s">
        <v>646</v>
      </c>
      <c r="F4106" s="829">
        <v>48.62</v>
      </c>
      <c r="G4106" s="830">
        <v>37.42</v>
      </c>
      <c r="H4106" s="831">
        <v>86.04</v>
      </c>
      <c r="I4106" s="846"/>
      <c r="J4106" s="846"/>
      <c r="K4106" s="846"/>
      <c r="L4106" s="846"/>
      <c r="M4106" s="846"/>
      <c r="N4106" s="846"/>
      <c r="O4106" s="846"/>
      <c r="P4106" s="846"/>
      <c r="Q4106" s="846"/>
      <c r="R4106" s="846"/>
      <c r="S4106" s="846"/>
      <c r="T4106" s="846"/>
    </row>
    <row r="4107" spans="2:20" ht="38.25" hidden="1">
      <c r="B4107" s="828" t="s">
        <v>6547</v>
      </c>
      <c r="C4107" s="828">
        <v>92386</v>
      </c>
      <c r="D4107" s="630" t="s">
        <v>4941</v>
      </c>
      <c r="E4107" s="630" t="s">
        <v>646</v>
      </c>
      <c r="F4107" s="829">
        <v>45.09</v>
      </c>
      <c r="G4107" s="830">
        <v>37.42</v>
      </c>
      <c r="H4107" s="831">
        <v>82.51</v>
      </c>
      <c r="I4107" s="846"/>
      <c r="J4107" s="846"/>
      <c r="K4107" s="846"/>
      <c r="L4107" s="846"/>
      <c r="M4107" s="846"/>
      <c r="N4107" s="846"/>
      <c r="O4107" s="846"/>
      <c r="P4107" s="846"/>
      <c r="Q4107" s="846"/>
      <c r="R4107" s="846"/>
      <c r="S4107" s="846"/>
      <c r="T4107" s="846"/>
    </row>
    <row r="4108" spans="2:20" ht="38.25" hidden="1">
      <c r="B4108" s="828" t="s">
        <v>6547</v>
      </c>
      <c r="C4108" s="828">
        <v>92387</v>
      </c>
      <c r="D4108" s="630" t="s">
        <v>4942</v>
      </c>
      <c r="E4108" s="630" t="s">
        <v>646</v>
      </c>
      <c r="F4108" s="829">
        <v>67.02</v>
      </c>
      <c r="G4108" s="830">
        <v>41.37</v>
      </c>
      <c r="H4108" s="831">
        <v>108.39</v>
      </c>
      <c r="I4108" s="846"/>
      <c r="J4108" s="846"/>
      <c r="K4108" s="846"/>
      <c r="L4108" s="846"/>
      <c r="M4108" s="846"/>
      <c r="N4108" s="846"/>
      <c r="O4108" s="846"/>
      <c r="P4108" s="846"/>
      <c r="Q4108" s="846"/>
      <c r="R4108" s="846"/>
      <c r="S4108" s="846"/>
      <c r="T4108" s="846"/>
    </row>
    <row r="4109" spans="2:20" ht="38.25" hidden="1">
      <c r="B4109" s="828" t="s">
        <v>6547</v>
      </c>
      <c r="C4109" s="828">
        <v>92388</v>
      </c>
      <c r="D4109" s="630" t="s">
        <v>4943</v>
      </c>
      <c r="E4109" s="630" t="s">
        <v>646</v>
      </c>
      <c r="F4109" s="829">
        <v>64.62</v>
      </c>
      <c r="G4109" s="830">
        <v>41.37</v>
      </c>
      <c r="H4109" s="831">
        <v>105.99</v>
      </c>
      <c r="I4109" s="846"/>
      <c r="J4109" s="846"/>
      <c r="K4109" s="846"/>
      <c r="L4109" s="846"/>
      <c r="M4109" s="846"/>
      <c r="N4109" s="846"/>
      <c r="O4109" s="846"/>
      <c r="P4109" s="846"/>
      <c r="Q4109" s="846"/>
      <c r="R4109" s="846"/>
      <c r="S4109" s="846"/>
      <c r="T4109" s="846"/>
    </row>
    <row r="4110" spans="2:20" ht="38.25" hidden="1">
      <c r="B4110" s="828" t="s">
        <v>6547</v>
      </c>
      <c r="C4110" s="828">
        <v>92389</v>
      </c>
      <c r="D4110" s="630" t="s">
        <v>4944</v>
      </c>
      <c r="E4110" s="630" t="s">
        <v>646</v>
      </c>
      <c r="F4110" s="829">
        <v>119.9</v>
      </c>
      <c r="G4110" s="830">
        <v>47.31</v>
      </c>
      <c r="H4110" s="831">
        <v>167.21</v>
      </c>
      <c r="I4110" s="846"/>
      <c r="J4110" s="846"/>
      <c r="K4110" s="846"/>
      <c r="L4110" s="846"/>
      <c r="M4110" s="846"/>
      <c r="N4110" s="846"/>
      <c r="O4110" s="846"/>
      <c r="P4110" s="846"/>
      <c r="Q4110" s="846"/>
      <c r="R4110" s="846"/>
      <c r="S4110" s="846"/>
      <c r="T4110" s="846"/>
    </row>
    <row r="4111" spans="2:20" ht="38.25" hidden="1">
      <c r="B4111" s="828" t="s">
        <v>6547</v>
      </c>
      <c r="C4111" s="828">
        <v>92390</v>
      </c>
      <c r="D4111" s="630" t="s">
        <v>4945</v>
      </c>
      <c r="E4111" s="630" t="s">
        <v>646</v>
      </c>
      <c r="F4111" s="829">
        <v>109.36</v>
      </c>
      <c r="G4111" s="830">
        <v>47.31</v>
      </c>
      <c r="H4111" s="831">
        <v>156.66999999999999</v>
      </c>
      <c r="I4111" s="846"/>
      <c r="J4111" s="846"/>
      <c r="K4111" s="846"/>
      <c r="L4111" s="846"/>
      <c r="M4111" s="846"/>
      <c r="N4111" s="846"/>
      <c r="O4111" s="846"/>
      <c r="P4111" s="846"/>
      <c r="Q4111" s="846"/>
      <c r="R4111" s="846"/>
      <c r="S4111" s="846"/>
      <c r="T4111" s="846"/>
    </row>
    <row r="4112" spans="2:20" ht="38.25" hidden="1">
      <c r="B4112" s="828" t="s">
        <v>6547</v>
      </c>
      <c r="C4112" s="828">
        <v>92635</v>
      </c>
      <c r="D4112" s="630" t="s">
        <v>4946</v>
      </c>
      <c r="E4112" s="630" t="s">
        <v>646</v>
      </c>
      <c r="F4112" s="829">
        <v>170.54</v>
      </c>
      <c r="G4112" s="830">
        <v>53.23</v>
      </c>
      <c r="H4112" s="831">
        <v>223.77</v>
      </c>
      <c r="I4112" s="846"/>
      <c r="J4112" s="846"/>
      <c r="K4112" s="846"/>
      <c r="L4112" s="846"/>
      <c r="M4112" s="846"/>
      <c r="N4112" s="846"/>
      <c r="O4112" s="846"/>
      <c r="P4112" s="846"/>
      <c r="Q4112" s="846"/>
      <c r="R4112" s="846"/>
      <c r="S4112" s="846"/>
      <c r="T4112" s="846"/>
    </row>
    <row r="4113" spans="2:20" ht="38.25" hidden="1">
      <c r="B4113" s="828" t="s">
        <v>6547</v>
      </c>
      <c r="C4113" s="828">
        <v>92636</v>
      </c>
      <c r="D4113" s="630" t="s">
        <v>4947</v>
      </c>
      <c r="E4113" s="630" t="s">
        <v>646</v>
      </c>
      <c r="F4113" s="829">
        <v>150.21</v>
      </c>
      <c r="G4113" s="830">
        <v>53.24</v>
      </c>
      <c r="H4113" s="831">
        <v>203.45</v>
      </c>
      <c r="I4113" s="846"/>
      <c r="J4113" s="846"/>
      <c r="K4113" s="846"/>
      <c r="L4113" s="846"/>
      <c r="M4113" s="846"/>
      <c r="N4113" s="846"/>
      <c r="O4113" s="846"/>
      <c r="P4113" s="846"/>
      <c r="Q4113" s="846"/>
      <c r="R4113" s="846"/>
      <c r="S4113" s="846"/>
      <c r="T4113" s="846"/>
    </row>
    <row r="4114" spans="2:20" ht="38.25" hidden="1">
      <c r="B4114" s="828" t="s">
        <v>6547</v>
      </c>
      <c r="C4114" s="828">
        <v>92637</v>
      </c>
      <c r="D4114" s="630" t="s">
        <v>4948</v>
      </c>
      <c r="E4114" s="630" t="s">
        <v>646</v>
      </c>
      <c r="F4114" s="829">
        <v>35.01</v>
      </c>
      <c r="G4114" s="830">
        <v>42.03</v>
      </c>
      <c r="H4114" s="831">
        <v>77.040000000000006</v>
      </c>
      <c r="I4114" s="846"/>
      <c r="J4114" s="846"/>
      <c r="K4114" s="846"/>
      <c r="L4114" s="846"/>
      <c r="M4114" s="846"/>
      <c r="N4114" s="846"/>
      <c r="O4114" s="846"/>
      <c r="P4114" s="846"/>
      <c r="Q4114" s="846"/>
      <c r="R4114" s="846"/>
      <c r="S4114" s="846"/>
      <c r="T4114" s="846"/>
    </row>
    <row r="4115" spans="2:20" ht="38.25" hidden="1">
      <c r="B4115" s="828" t="s">
        <v>6547</v>
      </c>
      <c r="C4115" s="828">
        <v>92638</v>
      </c>
      <c r="D4115" s="630" t="s">
        <v>4949</v>
      </c>
      <c r="E4115" s="630" t="s">
        <v>646</v>
      </c>
      <c r="F4115" s="829">
        <v>48.22</v>
      </c>
      <c r="G4115" s="830">
        <v>45.69</v>
      </c>
      <c r="H4115" s="831">
        <v>93.91</v>
      </c>
      <c r="I4115" s="846"/>
      <c r="J4115" s="846"/>
      <c r="K4115" s="846"/>
      <c r="L4115" s="846"/>
      <c r="M4115" s="846"/>
      <c r="N4115" s="846"/>
      <c r="O4115" s="846"/>
      <c r="P4115" s="846"/>
      <c r="Q4115" s="846"/>
      <c r="R4115" s="846"/>
      <c r="S4115" s="846"/>
      <c r="T4115" s="846"/>
    </row>
    <row r="4116" spans="2:20" ht="38.25" hidden="1">
      <c r="B4116" s="828" t="s">
        <v>6547</v>
      </c>
      <c r="C4116" s="828">
        <v>92639</v>
      </c>
      <c r="D4116" s="630" t="s">
        <v>4950</v>
      </c>
      <c r="E4116" s="630" t="s">
        <v>646</v>
      </c>
      <c r="F4116" s="829">
        <v>58.76</v>
      </c>
      <c r="G4116" s="830">
        <v>49.9</v>
      </c>
      <c r="H4116" s="831">
        <v>108.66</v>
      </c>
      <c r="I4116" s="846"/>
      <c r="J4116" s="846"/>
      <c r="K4116" s="846"/>
      <c r="L4116" s="846"/>
      <c r="M4116" s="846"/>
      <c r="N4116" s="846"/>
      <c r="O4116" s="846"/>
      <c r="P4116" s="846"/>
      <c r="Q4116" s="846"/>
      <c r="R4116" s="846"/>
      <c r="S4116" s="846"/>
      <c r="T4116" s="846"/>
    </row>
    <row r="4117" spans="2:20" ht="38.25" hidden="1">
      <c r="B4117" s="828" t="s">
        <v>6547</v>
      </c>
      <c r="C4117" s="828">
        <v>92640</v>
      </c>
      <c r="D4117" s="630" t="s">
        <v>4951</v>
      </c>
      <c r="E4117" s="630" t="s">
        <v>646</v>
      </c>
      <c r="F4117" s="829">
        <v>86.09</v>
      </c>
      <c r="G4117" s="830">
        <v>55.17</v>
      </c>
      <c r="H4117" s="831">
        <v>141.26</v>
      </c>
      <c r="I4117" s="846"/>
      <c r="J4117" s="846"/>
      <c r="K4117" s="846"/>
      <c r="L4117" s="846"/>
      <c r="M4117" s="846"/>
      <c r="N4117" s="846"/>
      <c r="O4117" s="846"/>
      <c r="P4117" s="846"/>
      <c r="Q4117" s="846"/>
      <c r="R4117" s="846"/>
      <c r="S4117" s="846"/>
      <c r="T4117" s="846"/>
    </row>
    <row r="4118" spans="2:20" ht="38.25" hidden="1">
      <c r="B4118" s="828" t="s">
        <v>6547</v>
      </c>
      <c r="C4118" s="828">
        <v>92642</v>
      </c>
      <c r="D4118" s="630" t="s">
        <v>4952</v>
      </c>
      <c r="E4118" s="630" t="s">
        <v>646</v>
      </c>
      <c r="F4118" s="829">
        <v>151.08000000000001</v>
      </c>
      <c r="G4118" s="830">
        <v>63.04</v>
      </c>
      <c r="H4118" s="831">
        <v>214.12</v>
      </c>
      <c r="I4118" s="846"/>
      <c r="J4118" s="846"/>
      <c r="K4118" s="846"/>
      <c r="L4118" s="846"/>
      <c r="M4118" s="846"/>
      <c r="N4118" s="846"/>
      <c r="O4118" s="846"/>
      <c r="P4118" s="846"/>
      <c r="Q4118" s="846"/>
      <c r="R4118" s="846"/>
      <c r="S4118" s="846"/>
      <c r="T4118" s="846"/>
    </row>
    <row r="4119" spans="2:20" ht="38.25" hidden="1">
      <c r="B4119" s="828" t="s">
        <v>6547</v>
      </c>
      <c r="C4119" s="828">
        <v>92644</v>
      </c>
      <c r="D4119" s="630" t="s">
        <v>4953</v>
      </c>
      <c r="E4119" s="630" t="s">
        <v>646</v>
      </c>
      <c r="F4119" s="829">
        <v>198.33</v>
      </c>
      <c r="G4119" s="830">
        <v>70.97</v>
      </c>
      <c r="H4119" s="831">
        <v>269.3</v>
      </c>
      <c r="I4119" s="846"/>
      <c r="J4119" s="846"/>
      <c r="K4119" s="846"/>
      <c r="L4119" s="846"/>
      <c r="M4119" s="846"/>
      <c r="N4119" s="846"/>
      <c r="O4119" s="846"/>
      <c r="P4119" s="846"/>
      <c r="Q4119" s="846"/>
      <c r="R4119" s="846"/>
      <c r="S4119" s="846"/>
      <c r="T4119" s="846"/>
    </row>
    <row r="4120" spans="2:20" ht="38.25" hidden="1">
      <c r="B4120" s="828" t="s">
        <v>6547</v>
      </c>
      <c r="C4120" s="828">
        <v>92657</v>
      </c>
      <c r="D4120" s="630" t="s">
        <v>4964</v>
      </c>
      <c r="E4120" s="630" t="s">
        <v>646</v>
      </c>
      <c r="F4120" s="829">
        <v>16.059999999999999</v>
      </c>
      <c r="G4120" s="830">
        <v>12.91</v>
      </c>
      <c r="H4120" s="831">
        <v>28.97</v>
      </c>
      <c r="I4120" s="846"/>
      <c r="J4120" s="846"/>
      <c r="K4120" s="846"/>
      <c r="L4120" s="846"/>
      <c r="M4120" s="846"/>
      <c r="N4120" s="846"/>
      <c r="O4120" s="846"/>
      <c r="P4120" s="846"/>
      <c r="Q4120" s="846"/>
      <c r="R4120" s="846"/>
      <c r="S4120" s="846"/>
      <c r="T4120" s="846"/>
    </row>
    <row r="4121" spans="2:20" ht="38.25" hidden="1">
      <c r="B4121" s="828" t="s">
        <v>6547</v>
      </c>
      <c r="C4121" s="828">
        <v>92658</v>
      </c>
      <c r="D4121" s="630" t="s">
        <v>4965</v>
      </c>
      <c r="E4121" s="630" t="s">
        <v>646</v>
      </c>
      <c r="F4121" s="829">
        <v>18</v>
      </c>
      <c r="G4121" s="830">
        <v>12.91</v>
      </c>
      <c r="H4121" s="831">
        <v>30.91</v>
      </c>
      <c r="I4121" s="846"/>
      <c r="J4121" s="846"/>
      <c r="K4121" s="846"/>
      <c r="L4121" s="846"/>
      <c r="M4121" s="846"/>
      <c r="N4121" s="846"/>
      <c r="O4121" s="846"/>
      <c r="P4121" s="846"/>
      <c r="Q4121" s="846"/>
      <c r="R4121" s="846"/>
      <c r="S4121" s="846"/>
      <c r="T4121" s="846"/>
    </row>
    <row r="4122" spans="2:20" ht="38.25" hidden="1">
      <c r="B4122" s="828" t="s">
        <v>6547</v>
      </c>
      <c r="C4122" s="828">
        <v>92659</v>
      </c>
      <c r="D4122" s="630" t="s">
        <v>4966</v>
      </c>
      <c r="E4122" s="630" t="s">
        <v>646</v>
      </c>
      <c r="F4122" s="829">
        <v>22.1</v>
      </c>
      <c r="G4122" s="830">
        <v>13.64</v>
      </c>
      <c r="H4122" s="831">
        <v>35.74</v>
      </c>
      <c r="I4122" s="846"/>
      <c r="J4122" s="846"/>
      <c r="K4122" s="846"/>
      <c r="L4122" s="846"/>
      <c r="M4122" s="846"/>
      <c r="N4122" s="846"/>
      <c r="O4122" s="846"/>
      <c r="P4122" s="846"/>
      <c r="Q4122" s="846"/>
      <c r="R4122" s="846"/>
      <c r="S4122" s="846"/>
      <c r="T4122" s="846"/>
    </row>
    <row r="4123" spans="2:20" ht="38.25" hidden="1">
      <c r="B4123" s="828" t="s">
        <v>6547</v>
      </c>
      <c r="C4123" s="828">
        <v>92660</v>
      </c>
      <c r="D4123" s="630" t="s">
        <v>4967</v>
      </c>
      <c r="E4123" s="630" t="s">
        <v>646</v>
      </c>
      <c r="F4123" s="829">
        <v>23.9</v>
      </c>
      <c r="G4123" s="830">
        <v>13.64</v>
      </c>
      <c r="H4123" s="831">
        <v>37.54</v>
      </c>
      <c r="I4123" s="846"/>
      <c r="J4123" s="846"/>
      <c r="K4123" s="846"/>
      <c r="L4123" s="846"/>
      <c r="M4123" s="846"/>
      <c r="N4123" s="846"/>
      <c r="O4123" s="846"/>
      <c r="P4123" s="846"/>
      <c r="Q4123" s="846"/>
      <c r="R4123" s="846"/>
      <c r="S4123" s="846"/>
      <c r="T4123" s="846"/>
    </row>
    <row r="4124" spans="2:20" ht="38.25" hidden="1">
      <c r="B4124" s="828" t="s">
        <v>6547</v>
      </c>
      <c r="C4124" s="828">
        <v>92661</v>
      </c>
      <c r="D4124" s="630" t="s">
        <v>4968</v>
      </c>
      <c r="E4124" s="630" t="s">
        <v>646</v>
      </c>
      <c r="F4124" s="829">
        <v>28.27</v>
      </c>
      <c r="G4124" s="830">
        <v>14.44</v>
      </c>
      <c r="H4124" s="831">
        <v>42.71</v>
      </c>
      <c r="I4124" s="846"/>
      <c r="J4124" s="846"/>
      <c r="K4124" s="846"/>
      <c r="L4124" s="846"/>
      <c r="M4124" s="846"/>
      <c r="N4124" s="846"/>
      <c r="O4124" s="846"/>
      <c r="P4124" s="846"/>
      <c r="Q4124" s="846"/>
      <c r="R4124" s="846"/>
      <c r="S4124" s="846"/>
      <c r="T4124" s="846"/>
    </row>
    <row r="4125" spans="2:20" ht="38.25" hidden="1">
      <c r="B4125" s="828" t="s">
        <v>6547</v>
      </c>
      <c r="C4125" s="828">
        <v>92662</v>
      </c>
      <c r="D4125" s="630" t="s">
        <v>4969</v>
      </c>
      <c r="E4125" s="630" t="s">
        <v>646</v>
      </c>
      <c r="F4125" s="829">
        <v>28.62</v>
      </c>
      <c r="G4125" s="830">
        <v>14.44</v>
      </c>
      <c r="H4125" s="831">
        <v>43.06</v>
      </c>
      <c r="I4125" s="846"/>
      <c r="J4125" s="846"/>
      <c r="K4125" s="846"/>
      <c r="L4125" s="846"/>
      <c r="M4125" s="846"/>
      <c r="N4125" s="846"/>
      <c r="O4125" s="846"/>
      <c r="P4125" s="846"/>
      <c r="Q4125" s="846"/>
      <c r="R4125" s="846"/>
      <c r="S4125" s="846"/>
      <c r="T4125" s="846"/>
    </row>
    <row r="4126" spans="2:20" ht="38.25" hidden="1">
      <c r="B4126" s="828" t="s">
        <v>6547</v>
      </c>
      <c r="C4126" s="828">
        <v>92663</v>
      </c>
      <c r="D4126" s="630" t="s">
        <v>4970</v>
      </c>
      <c r="E4126" s="630" t="s">
        <v>646</v>
      </c>
      <c r="F4126" s="829">
        <v>41.86</v>
      </c>
      <c r="G4126" s="830">
        <v>15.51</v>
      </c>
      <c r="H4126" s="831">
        <v>57.37</v>
      </c>
      <c r="I4126" s="846"/>
      <c r="J4126" s="846"/>
      <c r="K4126" s="846"/>
      <c r="L4126" s="846"/>
      <c r="M4126" s="846"/>
      <c r="N4126" s="846"/>
      <c r="O4126" s="846"/>
      <c r="P4126" s="846"/>
      <c r="Q4126" s="846"/>
      <c r="R4126" s="846"/>
      <c r="S4126" s="846"/>
      <c r="T4126" s="846"/>
    </row>
    <row r="4127" spans="2:20" ht="38.25" hidden="1">
      <c r="B4127" s="828" t="s">
        <v>6547</v>
      </c>
      <c r="C4127" s="828">
        <v>92664</v>
      </c>
      <c r="D4127" s="630" t="s">
        <v>4971</v>
      </c>
      <c r="E4127" s="630" t="s">
        <v>646</v>
      </c>
      <c r="F4127" s="829">
        <v>41.83</v>
      </c>
      <c r="G4127" s="830">
        <v>15.51</v>
      </c>
      <c r="H4127" s="831">
        <v>57.34</v>
      </c>
      <c r="I4127" s="846"/>
      <c r="J4127" s="846"/>
      <c r="K4127" s="846"/>
      <c r="L4127" s="846"/>
      <c r="M4127" s="846"/>
      <c r="N4127" s="846"/>
      <c r="O4127" s="846"/>
      <c r="P4127" s="846"/>
      <c r="Q4127" s="846"/>
      <c r="R4127" s="846"/>
      <c r="S4127" s="846"/>
      <c r="T4127" s="846"/>
    </row>
    <row r="4128" spans="2:20" ht="38.25" hidden="1">
      <c r="B4128" s="828" t="s">
        <v>6547</v>
      </c>
      <c r="C4128" s="828">
        <v>92665</v>
      </c>
      <c r="D4128" s="630" t="s">
        <v>4972</v>
      </c>
      <c r="E4128" s="630" t="s">
        <v>646</v>
      </c>
      <c r="F4128" s="829">
        <v>61.99</v>
      </c>
      <c r="G4128" s="830">
        <v>17.05</v>
      </c>
      <c r="H4128" s="831">
        <v>79.040000000000006</v>
      </c>
      <c r="I4128" s="846"/>
      <c r="J4128" s="846"/>
      <c r="K4128" s="846"/>
      <c r="L4128" s="846"/>
      <c r="M4128" s="846"/>
      <c r="N4128" s="846"/>
      <c r="O4128" s="846"/>
      <c r="P4128" s="846"/>
      <c r="Q4128" s="846"/>
      <c r="R4128" s="846"/>
      <c r="S4128" s="846"/>
      <c r="T4128" s="846"/>
    </row>
    <row r="4129" spans="2:20" ht="38.25" hidden="1">
      <c r="B4129" s="828" t="s">
        <v>6547</v>
      </c>
      <c r="C4129" s="828">
        <v>92666</v>
      </c>
      <c r="D4129" s="630" t="s">
        <v>4973</v>
      </c>
      <c r="E4129" s="630" t="s">
        <v>646</v>
      </c>
      <c r="F4129" s="829">
        <v>72.77</v>
      </c>
      <c r="G4129" s="830">
        <v>17.05</v>
      </c>
      <c r="H4129" s="831">
        <v>89.82</v>
      </c>
      <c r="I4129" s="846"/>
      <c r="J4129" s="846"/>
      <c r="K4129" s="846"/>
      <c r="L4129" s="846"/>
      <c r="M4129" s="846"/>
      <c r="N4129" s="846"/>
      <c r="O4129" s="846"/>
      <c r="P4129" s="846"/>
      <c r="Q4129" s="846"/>
      <c r="R4129" s="846"/>
      <c r="S4129" s="846"/>
      <c r="T4129" s="846"/>
    </row>
    <row r="4130" spans="2:20" ht="38.25" hidden="1">
      <c r="B4130" s="828" t="s">
        <v>6547</v>
      </c>
      <c r="C4130" s="828">
        <v>92667</v>
      </c>
      <c r="D4130" s="630" t="s">
        <v>4974</v>
      </c>
      <c r="E4130" s="630" t="s">
        <v>646</v>
      </c>
      <c r="F4130" s="829">
        <v>97.91</v>
      </c>
      <c r="G4130" s="830">
        <v>18.63</v>
      </c>
      <c r="H4130" s="831">
        <v>116.54</v>
      </c>
      <c r="I4130" s="846"/>
      <c r="J4130" s="846"/>
      <c r="K4130" s="846"/>
      <c r="L4130" s="846"/>
      <c r="M4130" s="846"/>
      <c r="N4130" s="846"/>
      <c r="O4130" s="846"/>
      <c r="P4130" s="846"/>
      <c r="Q4130" s="846"/>
      <c r="R4130" s="846"/>
      <c r="S4130" s="846"/>
      <c r="T4130" s="846"/>
    </row>
    <row r="4131" spans="2:20" ht="38.25" hidden="1">
      <c r="B4131" s="828" t="s">
        <v>6547</v>
      </c>
      <c r="C4131" s="828">
        <v>92668</v>
      </c>
      <c r="D4131" s="630" t="s">
        <v>4975</v>
      </c>
      <c r="E4131" s="630" t="s">
        <v>646</v>
      </c>
      <c r="F4131" s="829">
        <v>107.5</v>
      </c>
      <c r="G4131" s="830">
        <v>18.63</v>
      </c>
      <c r="H4131" s="831">
        <v>126.13</v>
      </c>
      <c r="I4131" s="846"/>
      <c r="J4131" s="846"/>
      <c r="K4131" s="846"/>
      <c r="L4131" s="846"/>
      <c r="M4131" s="846"/>
      <c r="N4131" s="846"/>
      <c r="O4131" s="846"/>
      <c r="P4131" s="846"/>
      <c r="Q4131" s="846"/>
      <c r="R4131" s="846"/>
      <c r="S4131" s="846"/>
      <c r="T4131" s="846"/>
    </row>
    <row r="4132" spans="2:20" ht="38.25" hidden="1">
      <c r="B4132" s="828" t="s">
        <v>6547</v>
      </c>
      <c r="C4132" s="828">
        <v>92669</v>
      </c>
      <c r="D4132" s="630" t="s">
        <v>4976</v>
      </c>
      <c r="E4132" s="630" t="s">
        <v>646</v>
      </c>
      <c r="F4132" s="829">
        <v>24.67</v>
      </c>
      <c r="G4132" s="830">
        <v>19.34</v>
      </c>
      <c r="H4132" s="831">
        <v>44.01</v>
      </c>
      <c r="I4132" s="846"/>
      <c r="J4132" s="846"/>
      <c r="K4132" s="846"/>
      <c r="L4132" s="846"/>
      <c r="M4132" s="846"/>
      <c r="N4132" s="846"/>
      <c r="O4132" s="846"/>
      <c r="P4132" s="846"/>
      <c r="Q4132" s="846"/>
      <c r="R4132" s="846"/>
      <c r="S4132" s="846"/>
      <c r="T4132" s="846"/>
    </row>
    <row r="4133" spans="2:20" ht="38.25" hidden="1">
      <c r="B4133" s="828" t="s">
        <v>6547</v>
      </c>
      <c r="C4133" s="828">
        <v>92670</v>
      </c>
      <c r="D4133" s="630" t="s">
        <v>4977</v>
      </c>
      <c r="E4133" s="630" t="s">
        <v>646</v>
      </c>
      <c r="F4133" s="829">
        <v>22.1</v>
      </c>
      <c r="G4133" s="830">
        <v>19.34</v>
      </c>
      <c r="H4133" s="831">
        <v>41.44</v>
      </c>
      <c r="I4133" s="846"/>
      <c r="J4133" s="846"/>
      <c r="K4133" s="846"/>
      <c r="L4133" s="846"/>
      <c r="M4133" s="846"/>
      <c r="N4133" s="846"/>
      <c r="O4133" s="846"/>
      <c r="P4133" s="846"/>
      <c r="Q4133" s="846"/>
      <c r="R4133" s="846"/>
      <c r="S4133" s="846"/>
      <c r="T4133" s="846"/>
    </row>
    <row r="4134" spans="2:20" ht="38.25" hidden="1">
      <c r="B4134" s="828" t="s">
        <v>6547</v>
      </c>
      <c r="C4134" s="828">
        <v>92671</v>
      </c>
      <c r="D4134" s="630" t="s">
        <v>4978</v>
      </c>
      <c r="E4134" s="630" t="s">
        <v>646</v>
      </c>
      <c r="F4134" s="829">
        <v>36.909999999999997</v>
      </c>
      <c r="G4134" s="830">
        <v>20.440000000000001</v>
      </c>
      <c r="H4134" s="831">
        <v>57.35</v>
      </c>
      <c r="I4134" s="846"/>
      <c r="J4134" s="846"/>
      <c r="K4134" s="846"/>
      <c r="L4134" s="846"/>
      <c r="M4134" s="846"/>
      <c r="N4134" s="846"/>
      <c r="O4134" s="846"/>
      <c r="P4134" s="846"/>
      <c r="Q4134" s="846"/>
      <c r="R4134" s="846"/>
      <c r="S4134" s="846"/>
      <c r="T4134" s="846"/>
    </row>
    <row r="4135" spans="2:20" ht="38.25" hidden="1">
      <c r="B4135" s="828" t="s">
        <v>6547</v>
      </c>
      <c r="C4135" s="828">
        <v>92672</v>
      </c>
      <c r="D4135" s="630" t="s">
        <v>4979</v>
      </c>
      <c r="E4135" s="630" t="s">
        <v>646</v>
      </c>
      <c r="F4135" s="829">
        <v>31.78</v>
      </c>
      <c r="G4135" s="830">
        <v>20.45</v>
      </c>
      <c r="H4135" s="831">
        <v>52.23</v>
      </c>
      <c r="I4135" s="846"/>
      <c r="J4135" s="846"/>
      <c r="K4135" s="846"/>
      <c r="L4135" s="846"/>
      <c r="M4135" s="846"/>
      <c r="N4135" s="846"/>
      <c r="O4135" s="846"/>
      <c r="P4135" s="846"/>
      <c r="Q4135" s="846"/>
      <c r="R4135" s="846"/>
      <c r="S4135" s="846"/>
      <c r="T4135" s="846"/>
    </row>
    <row r="4136" spans="2:20" ht="38.25" hidden="1">
      <c r="B4136" s="828" t="s">
        <v>6547</v>
      </c>
      <c r="C4136" s="828">
        <v>92673</v>
      </c>
      <c r="D4136" s="630" t="s">
        <v>4980</v>
      </c>
      <c r="E4136" s="630" t="s">
        <v>646</v>
      </c>
      <c r="F4136" s="829">
        <v>44.17</v>
      </c>
      <c r="G4136" s="830">
        <v>21.69</v>
      </c>
      <c r="H4136" s="831">
        <v>65.86</v>
      </c>
      <c r="I4136" s="846"/>
      <c r="J4136" s="846"/>
      <c r="K4136" s="846"/>
      <c r="L4136" s="846"/>
      <c r="M4136" s="846"/>
      <c r="N4136" s="846"/>
      <c r="O4136" s="846"/>
      <c r="P4136" s="846"/>
      <c r="Q4136" s="846"/>
      <c r="R4136" s="846"/>
      <c r="S4136" s="846"/>
      <c r="T4136" s="846"/>
    </row>
    <row r="4137" spans="2:20" ht="38.25" hidden="1">
      <c r="B4137" s="828" t="s">
        <v>6547</v>
      </c>
      <c r="C4137" s="828">
        <v>92674</v>
      </c>
      <c r="D4137" s="630" t="s">
        <v>4981</v>
      </c>
      <c r="E4137" s="630" t="s">
        <v>646</v>
      </c>
      <c r="F4137" s="829">
        <v>40.64</v>
      </c>
      <c r="G4137" s="830">
        <v>21.69</v>
      </c>
      <c r="H4137" s="831">
        <v>62.33</v>
      </c>
      <c r="I4137" s="846"/>
      <c r="J4137" s="846"/>
      <c r="K4137" s="846"/>
      <c r="L4137" s="846"/>
      <c r="M4137" s="846"/>
      <c r="N4137" s="846"/>
      <c r="O4137" s="846"/>
      <c r="P4137" s="846"/>
      <c r="Q4137" s="846"/>
      <c r="R4137" s="846"/>
      <c r="S4137" s="846"/>
      <c r="T4137" s="846"/>
    </row>
    <row r="4138" spans="2:20" ht="38.25" hidden="1">
      <c r="B4138" s="828" t="s">
        <v>6547</v>
      </c>
      <c r="C4138" s="828">
        <v>92675</v>
      </c>
      <c r="D4138" s="630" t="s">
        <v>4982</v>
      </c>
      <c r="E4138" s="630" t="s">
        <v>646</v>
      </c>
      <c r="F4138" s="829">
        <v>61.93</v>
      </c>
      <c r="G4138" s="830">
        <v>23.26</v>
      </c>
      <c r="H4138" s="831">
        <v>85.19</v>
      </c>
      <c r="I4138" s="846"/>
      <c r="J4138" s="846"/>
      <c r="K4138" s="846"/>
      <c r="L4138" s="846"/>
      <c r="M4138" s="846"/>
      <c r="N4138" s="846"/>
      <c r="O4138" s="846"/>
      <c r="P4138" s="846"/>
      <c r="Q4138" s="846"/>
      <c r="R4138" s="846"/>
      <c r="S4138" s="846"/>
      <c r="T4138" s="846"/>
    </row>
    <row r="4139" spans="2:20" ht="38.25" hidden="1">
      <c r="B4139" s="828" t="s">
        <v>6547</v>
      </c>
      <c r="C4139" s="828">
        <v>92676</v>
      </c>
      <c r="D4139" s="630" t="s">
        <v>4983</v>
      </c>
      <c r="E4139" s="630" t="s">
        <v>646</v>
      </c>
      <c r="F4139" s="829">
        <v>59.53</v>
      </c>
      <c r="G4139" s="830">
        <v>23.26</v>
      </c>
      <c r="H4139" s="831">
        <v>82.79</v>
      </c>
      <c r="I4139" s="846"/>
      <c r="J4139" s="846"/>
      <c r="K4139" s="846"/>
      <c r="L4139" s="846"/>
      <c r="M4139" s="846"/>
      <c r="N4139" s="846"/>
      <c r="O4139" s="846"/>
      <c r="P4139" s="846"/>
      <c r="Q4139" s="846"/>
      <c r="R4139" s="846"/>
      <c r="S4139" s="846"/>
      <c r="T4139" s="846"/>
    </row>
    <row r="4140" spans="2:20" ht="38.25" hidden="1">
      <c r="B4140" s="828" t="s">
        <v>6547</v>
      </c>
      <c r="C4140" s="828">
        <v>92677</v>
      </c>
      <c r="D4140" s="630" t="s">
        <v>4984</v>
      </c>
      <c r="E4140" s="630" t="s">
        <v>646</v>
      </c>
      <c r="F4140" s="829">
        <v>113.77</v>
      </c>
      <c r="G4140" s="830">
        <v>25.61</v>
      </c>
      <c r="H4140" s="831">
        <v>139.38</v>
      </c>
      <c r="I4140" s="846"/>
      <c r="J4140" s="846"/>
      <c r="K4140" s="846"/>
      <c r="L4140" s="846"/>
      <c r="M4140" s="846"/>
      <c r="N4140" s="846"/>
      <c r="O4140" s="846"/>
      <c r="P4140" s="846"/>
      <c r="Q4140" s="846"/>
      <c r="R4140" s="846"/>
      <c r="S4140" s="846"/>
      <c r="T4140" s="846"/>
    </row>
    <row r="4141" spans="2:20" ht="38.25" hidden="1">
      <c r="B4141" s="828" t="s">
        <v>6547</v>
      </c>
      <c r="C4141" s="828">
        <v>92678</v>
      </c>
      <c r="D4141" s="630" t="s">
        <v>4985</v>
      </c>
      <c r="E4141" s="630" t="s">
        <v>646</v>
      </c>
      <c r="F4141" s="829">
        <v>103.23</v>
      </c>
      <c r="G4141" s="830">
        <v>25.61</v>
      </c>
      <c r="H4141" s="831">
        <v>128.84</v>
      </c>
      <c r="I4141" s="846"/>
      <c r="J4141" s="846"/>
      <c r="K4141" s="846"/>
      <c r="L4141" s="846"/>
      <c r="M4141" s="846"/>
      <c r="N4141" s="846"/>
      <c r="O4141" s="846"/>
      <c r="P4141" s="846"/>
      <c r="Q4141" s="846"/>
      <c r="R4141" s="846"/>
      <c r="S4141" s="846"/>
      <c r="T4141" s="846"/>
    </row>
    <row r="4142" spans="2:20" ht="38.25" hidden="1">
      <c r="B4142" s="828" t="s">
        <v>6547</v>
      </c>
      <c r="C4142" s="828">
        <v>92679</v>
      </c>
      <c r="D4142" s="630" t="s">
        <v>4986</v>
      </c>
      <c r="E4142" s="630" t="s">
        <v>646</v>
      </c>
      <c r="F4142" s="829">
        <v>163.38999999999999</v>
      </c>
      <c r="G4142" s="830">
        <v>27.98</v>
      </c>
      <c r="H4142" s="831">
        <v>191.37</v>
      </c>
      <c r="I4142" s="846"/>
      <c r="J4142" s="846"/>
      <c r="K4142" s="846"/>
      <c r="L4142" s="846"/>
      <c r="M4142" s="846"/>
      <c r="N4142" s="846"/>
      <c r="O4142" s="846"/>
      <c r="P4142" s="846"/>
      <c r="Q4142" s="846"/>
      <c r="R4142" s="846"/>
      <c r="S4142" s="846"/>
      <c r="T4142" s="846"/>
    </row>
    <row r="4143" spans="2:20" ht="38.25" hidden="1">
      <c r="B4143" s="828" t="s">
        <v>6547</v>
      </c>
      <c r="C4143" s="828">
        <v>92680</v>
      </c>
      <c r="D4143" s="630" t="s">
        <v>4987</v>
      </c>
      <c r="E4143" s="630" t="s">
        <v>646</v>
      </c>
      <c r="F4143" s="829">
        <v>143.07</v>
      </c>
      <c r="G4143" s="830">
        <v>27.98</v>
      </c>
      <c r="H4143" s="831">
        <v>171.05</v>
      </c>
      <c r="I4143" s="846"/>
      <c r="J4143" s="846"/>
      <c r="K4143" s="846"/>
      <c r="L4143" s="846"/>
      <c r="M4143" s="846"/>
      <c r="N4143" s="846"/>
      <c r="O4143" s="846"/>
      <c r="P4143" s="846"/>
      <c r="Q4143" s="846"/>
      <c r="R4143" s="846"/>
      <c r="S4143" s="846"/>
      <c r="T4143" s="846"/>
    </row>
    <row r="4144" spans="2:20" ht="38.25" hidden="1">
      <c r="B4144" s="828" t="s">
        <v>6547</v>
      </c>
      <c r="C4144" s="828">
        <v>92681</v>
      </c>
      <c r="D4144" s="630" t="s">
        <v>4988</v>
      </c>
      <c r="E4144" s="630" t="s">
        <v>646</v>
      </c>
      <c r="F4144" s="829">
        <v>30.43</v>
      </c>
      <c r="G4144" s="830">
        <v>25.77</v>
      </c>
      <c r="H4144" s="831">
        <v>56.2</v>
      </c>
      <c r="I4144" s="846"/>
      <c r="J4144" s="846"/>
      <c r="K4144" s="846"/>
      <c r="L4144" s="846"/>
      <c r="M4144" s="846"/>
      <c r="N4144" s="846"/>
      <c r="O4144" s="846"/>
      <c r="P4144" s="846"/>
      <c r="Q4144" s="846"/>
      <c r="R4144" s="846"/>
      <c r="S4144" s="846"/>
      <c r="T4144" s="846"/>
    </row>
    <row r="4145" spans="2:20" ht="38.25" hidden="1">
      <c r="B4145" s="828" t="s">
        <v>6547</v>
      </c>
      <c r="C4145" s="828">
        <v>92682</v>
      </c>
      <c r="D4145" s="630" t="s">
        <v>4989</v>
      </c>
      <c r="E4145" s="630" t="s">
        <v>646</v>
      </c>
      <c r="F4145" s="829">
        <v>42.98</v>
      </c>
      <c r="G4145" s="830">
        <v>27.23</v>
      </c>
      <c r="H4145" s="831">
        <v>70.209999999999994</v>
      </c>
      <c r="I4145" s="846"/>
      <c r="J4145" s="846"/>
      <c r="K4145" s="846"/>
      <c r="L4145" s="846"/>
      <c r="M4145" s="846"/>
      <c r="N4145" s="846"/>
      <c r="O4145" s="846"/>
      <c r="P4145" s="846"/>
      <c r="Q4145" s="846"/>
      <c r="R4145" s="846"/>
      <c r="S4145" s="846"/>
      <c r="T4145" s="846"/>
    </row>
    <row r="4146" spans="2:20" ht="38.25" hidden="1">
      <c r="B4146" s="828" t="s">
        <v>6547</v>
      </c>
      <c r="C4146" s="828">
        <v>92683</v>
      </c>
      <c r="D4146" s="630" t="s">
        <v>4990</v>
      </c>
      <c r="E4146" s="630" t="s">
        <v>646</v>
      </c>
      <c r="F4146" s="829">
        <v>52.84</v>
      </c>
      <c r="G4146" s="830">
        <v>28.92</v>
      </c>
      <c r="H4146" s="831">
        <v>81.760000000000005</v>
      </c>
      <c r="I4146" s="846"/>
      <c r="J4146" s="846"/>
      <c r="K4146" s="846"/>
      <c r="L4146" s="846"/>
      <c r="M4146" s="846"/>
      <c r="N4146" s="846"/>
      <c r="O4146" s="846"/>
      <c r="P4146" s="846"/>
      <c r="Q4146" s="846"/>
      <c r="R4146" s="846"/>
      <c r="S4146" s="846"/>
      <c r="T4146" s="846"/>
    </row>
    <row r="4147" spans="2:20" ht="38.25" hidden="1">
      <c r="B4147" s="828" t="s">
        <v>6547</v>
      </c>
      <c r="C4147" s="828">
        <v>92684</v>
      </c>
      <c r="D4147" s="630" t="s">
        <v>4991</v>
      </c>
      <c r="E4147" s="630" t="s">
        <v>646</v>
      </c>
      <c r="F4147" s="829">
        <v>79.27</v>
      </c>
      <c r="G4147" s="830">
        <v>31.02</v>
      </c>
      <c r="H4147" s="831">
        <v>110.29</v>
      </c>
      <c r="I4147" s="846"/>
      <c r="J4147" s="846"/>
      <c r="K4147" s="846"/>
      <c r="L4147" s="846"/>
      <c r="M4147" s="846"/>
      <c r="N4147" s="846"/>
      <c r="O4147" s="846"/>
      <c r="P4147" s="846"/>
      <c r="Q4147" s="846"/>
      <c r="R4147" s="846"/>
      <c r="S4147" s="846"/>
      <c r="T4147" s="846"/>
    </row>
    <row r="4148" spans="2:20" ht="38.25" hidden="1">
      <c r="B4148" s="828" t="s">
        <v>6547</v>
      </c>
      <c r="C4148" s="828">
        <v>92685</v>
      </c>
      <c r="D4148" s="630" t="s">
        <v>4992</v>
      </c>
      <c r="E4148" s="630" t="s">
        <v>646</v>
      </c>
      <c r="F4148" s="829">
        <v>142.88</v>
      </c>
      <c r="G4148" s="830">
        <v>34.159999999999997</v>
      </c>
      <c r="H4148" s="831">
        <v>177.04</v>
      </c>
      <c r="I4148" s="846"/>
      <c r="J4148" s="846"/>
      <c r="K4148" s="846"/>
      <c r="L4148" s="846"/>
      <c r="M4148" s="846"/>
      <c r="N4148" s="846"/>
      <c r="O4148" s="846"/>
      <c r="P4148" s="846"/>
      <c r="Q4148" s="846"/>
      <c r="R4148" s="846"/>
      <c r="S4148" s="846"/>
      <c r="T4148" s="846"/>
    </row>
    <row r="4149" spans="2:20" ht="38.25" hidden="1">
      <c r="B4149" s="828" t="s">
        <v>6547</v>
      </c>
      <c r="C4149" s="828">
        <v>92686</v>
      </c>
      <c r="D4149" s="630" t="s">
        <v>4993</v>
      </c>
      <c r="E4149" s="630" t="s">
        <v>646</v>
      </c>
      <c r="F4149" s="829">
        <v>188.8</v>
      </c>
      <c r="G4149" s="830">
        <v>37.270000000000003</v>
      </c>
      <c r="H4149" s="831">
        <v>226.07</v>
      </c>
      <c r="I4149" s="846"/>
      <c r="J4149" s="846"/>
      <c r="K4149" s="846"/>
      <c r="L4149" s="846"/>
      <c r="M4149" s="846"/>
      <c r="N4149" s="846"/>
      <c r="O4149" s="846"/>
      <c r="P4149" s="846"/>
      <c r="Q4149" s="846"/>
      <c r="R4149" s="846"/>
      <c r="S4149" s="846"/>
      <c r="T4149" s="846"/>
    </row>
    <row r="4150" spans="2:20" ht="38.25" hidden="1">
      <c r="B4150" s="828" t="s">
        <v>6547</v>
      </c>
      <c r="C4150" s="828">
        <v>92692</v>
      </c>
      <c r="D4150" s="630" t="s">
        <v>4998</v>
      </c>
      <c r="E4150" s="630" t="s">
        <v>646</v>
      </c>
      <c r="F4150" s="829">
        <v>8.2200000000000006</v>
      </c>
      <c r="G4150" s="830">
        <v>7.41</v>
      </c>
      <c r="H4150" s="831">
        <v>15.63</v>
      </c>
      <c r="I4150" s="846"/>
      <c r="J4150" s="846"/>
      <c r="K4150" s="846"/>
      <c r="L4150" s="846"/>
      <c r="M4150" s="846"/>
      <c r="N4150" s="846"/>
      <c r="O4150" s="846"/>
      <c r="P4150" s="846"/>
      <c r="Q4150" s="846"/>
      <c r="R4150" s="846"/>
      <c r="S4150" s="846"/>
      <c r="T4150" s="846"/>
    </row>
    <row r="4151" spans="2:20" ht="38.25" hidden="1">
      <c r="B4151" s="828" t="s">
        <v>6547</v>
      </c>
      <c r="C4151" s="828">
        <v>92693</v>
      </c>
      <c r="D4151" s="630" t="s">
        <v>4999</v>
      </c>
      <c r="E4151" s="630" t="s">
        <v>646</v>
      </c>
      <c r="F4151" s="829">
        <v>8.65</v>
      </c>
      <c r="G4151" s="830">
        <v>7.41</v>
      </c>
      <c r="H4151" s="831">
        <v>16.059999999999999</v>
      </c>
      <c r="I4151" s="846"/>
      <c r="J4151" s="846"/>
      <c r="K4151" s="846"/>
      <c r="L4151" s="846"/>
      <c r="M4151" s="846"/>
      <c r="N4151" s="846"/>
      <c r="O4151" s="846"/>
      <c r="P4151" s="846"/>
      <c r="Q4151" s="846"/>
      <c r="R4151" s="846"/>
      <c r="S4151" s="846"/>
      <c r="T4151" s="846"/>
    </row>
    <row r="4152" spans="2:20" ht="38.25" hidden="1">
      <c r="B4152" s="828" t="s">
        <v>6547</v>
      </c>
      <c r="C4152" s="828">
        <v>92694</v>
      </c>
      <c r="D4152" s="630" t="s">
        <v>5000</v>
      </c>
      <c r="E4152" s="630" t="s">
        <v>646</v>
      </c>
      <c r="F4152" s="829">
        <v>12.07</v>
      </c>
      <c r="G4152" s="830">
        <v>12.76</v>
      </c>
      <c r="H4152" s="831">
        <v>24.83</v>
      </c>
      <c r="I4152" s="846"/>
      <c r="J4152" s="846"/>
      <c r="K4152" s="846"/>
      <c r="L4152" s="846"/>
      <c r="M4152" s="846"/>
      <c r="N4152" s="846"/>
      <c r="O4152" s="846"/>
      <c r="P4152" s="846"/>
      <c r="Q4152" s="846"/>
      <c r="R4152" s="846"/>
      <c r="S4152" s="846"/>
      <c r="T4152" s="846"/>
    </row>
    <row r="4153" spans="2:20" ht="38.25" hidden="1">
      <c r="B4153" s="828" t="s">
        <v>6547</v>
      </c>
      <c r="C4153" s="828">
        <v>92695</v>
      </c>
      <c r="D4153" s="630" t="s">
        <v>5001</v>
      </c>
      <c r="E4153" s="630" t="s">
        <v>646</v>
      </c>
      <c r="F4153" s="829">
        <v>12.5</v>
      </c>
      <c r="G4153" s="830">
        <v>12.76</v>
      </c>
      <c r="H4153" s="831">
        <v>25.26</v>
      </c>
      <c r="I4153" s="846"/>
      <c r="J4153" s="846"/>
      <c r="K4153" s="846"/>
      <c r="L4153" s="846"/>
      <c r="M4153" s="846"/>
      <c r="N4153" s="846"/>
      <c r="O4153" s="846"/>
      <c r="P4153" s="846"/>
      <c r="Q4153" s="846"/>
      <c r="R4153" s="846"/>
      <c r="S4153" s="846"/>
      <c r="T4153" s="846"/>
    </row>
    <row r="4154" spans="2:20" ht="38.25" hidden="1">
      <c r="B4154" s="828" t="s">
        <v>6547</v>
      </c>
      <c r="C4154" s="828">
        <v>92696</v>
      </c>
      <c r="D4154" s="630" t="s">
        <v>5002</v>
      </c>
      <c r="E4154" s="630" t="s">
        <v>646</v>
      </c>
      <c r="F4154" s="829">
        <v>18.25</v>
      </c>
      <c r="G4154" s="830">
        <v>20.68</v>
      </c>
      <c r="H4154" s="831">
        <v>38.93</v>
      </c>
      <c r="I4154" s="846"/>
      <c r="J4154" s="846"/>
      <c r="K4154" s="846"/>
      <c r="L4154" s="846"/>
      <c r="M4154" s="846"/>
      <c r="N4154" s="846"/>
      <c r="O4154" s="846"/>
      <c r="P4154" s="846"/>
      <c r="Q4154" s="846"/>
      <c r="R4154" s="846"/>
      <c r="S4154" s="846"/>
      <c r="T4154" s="846"/>
    </row>
    <row r="4155" spans="2:20" ht="38.25" hidden="1">
      <c r="B4155" s="828" t="s">
        <v>6547</v>
      </c>
      <c r="C4155" s="828">
        <v>92697</v>
      </c>
      <c r="D4155" s="630" t="s">
        <v>5003</v>
      </c>
      <c r="E4155" s="630" t="s">
        <v>646</v>
      </c>
      <c r="F4155" s="829">
        <v>20.190000000000001</v>
      </c>
      <c r="G4155" s="830">
        <v>20.68</v>
      </c>
      <c r="H4155" s="831">
        <v>40.869999999999997</v>
      </c>
      <c r="I4155" s="846"/>
      <c r="J4155" s="846"/>
      <c r="K4155" s="846"/>
      <c r="L4155" s="846"/>
      <c r="M4155" s="846"/>
      <c r="N4155" s="846"/>
      <c r="O4155" s="846"/>
      <c r="P4155" s="846"/>
      <c r="Q4155" s="846"/>
      <c r="R4155" s="846"/>
      <c r="S4155" s="846"/>
      <c r="T4155" s="846"/>
    </row>
    <row r="4156" spans="2:20" ht="38.25" hidden="1">
      <c r="B4156" s="828" t="s">
        <v>6547</v>
      </c>
      <c r="C4156" s="828">
        <v>92698</v>
      </c>
      <c r="D4156" s="630" t="s">
        <v>5004</v>
      </c>
      <c r="E4156" s="630" t="s">
        <v>646</v>
      </c>
      <c r="F4156" s="829">
        <v>12</v>
      </c>
      <c r="G4156" s="830">
        <v>11.11</v>
      </c>
      <c r="H4156" s="831">
        <v>23.11</v>
      </c>
      <c r="I4156" s="846"/>
      <c r="J4156" s="846"/>
      <c r="K4156" s="846"/>
      <c r="L4156" s="846"/>
      <c r="M4156" s="846"/>
      <c r="N4156" s="846"/>
      <c r="O4156" s="846"/>
      <c r="P4156" s="846"/>
      <c r="Q4156" s="846"/>
      <c r="R4156" s="846"/>
      <c r="S4156" s="846"/>
      <c r="T4156" s="846"/>
    </row>
    <row r="4157" spans="2:20" ht="38.25" hidden="1">
      <c r="B4157" s="828" t="s">
        <v>6547</v>
      </c>
      <c r="C4157" s="828">
        <v>92699</v>
      </c>
      <c r="D4157" s="630" t="s">
        <v>5005</v>
      </c>
      <c r="E4157" s="630" t="s">
        <v>646</v>
      </c>
      <c r="F4157" s="829">
        <v>10.58</v>
      </c>
      <c r="G4157" s="830">
        <v>11.13</v>
      </c>
      <c r="H4157" s="831">
        <v>21.71</v>
      </c>
      <c r="I4157" s="846"/>
      <c r="J4157" s="846"/>
      <c r="K4157" s="846"/>
      <c r="L4157" s="846"/>
      <c r="M4157" s="846"/>
      <c r="N4157" s="846"/>
      <c r="O4157" s="846"/>
      <c r="P4157" s="846"/>
      <c r="Q4157" s="846"/>
      <c r="R4157" s="846"/>
      <c r="S4157" s="846"/>
      <c r="T4157" s="846"/>
    </row>
    <row r="4158" spans="2:20" ht="38.25" hidden="1">
      <c r="B4158" s="828" t="s">
        <v>6547</v>
      </c>
      <c r="C4158" s="828">
        <v>92700</v>
      </c>
      <c r="D4158" s="630" t="s">
        <v>5006</v>
      </c>
      <c r="E4158" s="630" t="s">
        <v>646</v>
      </c>
      <c r="F4158" s="829">
        <v>18.61</v>
      </c>
      <c r="G4158" s="830">
        <v>19.100000000000001</v>
      </c>
      <c r="H4158" s="831">
        <v>37.71</v>
      </c>
      <c r="I4158" s="846"/>
      <c r="J4158" s="846"/>
      <c r="K4158" s="846"/>
      <c r="L4158" s="846"/>
      <c r="M4158" s="846"/>
      <c r="N4158" s="846"/>
      <c r="O4158" s="846"/>
      <c r="P4158" s="846"/>
      <c r="Q4158" s="846"/>
      <c r="R4158" s="846"/>
      <c r="S4158" s="846"/>
      <c r="T4158" s="846"/>
    </row>
    <row r="4159" spans="2:20" ht="38.25" hidden="1">
      <c r="B4159" s="828" t="s">
        <v>6547</v>
      </c>
      <c r="C4159" s="828">
        <v>92701</v>
      </c>
      <c r="D4159" s="630" t="s">
        <v>5007</v>
      </c>
      <c r="E4159" s="630" t="s">
        <v>646</v>
      </c>
      <c r="F4159" s="829">
        <v>16.53</v>
      </c>
      <c r="G4159" s="830">
        <v>19.100000000000001</v>
      </c>
      <c r="H4159" s="831">
        <v>35.630000000000003</v>
      </c>
      <c r="I4159" s="846"/>
      <c r="J4159" s="846"/>
      <c r="K4159" s="846"/>
      <c r="L4159" s="846"/>
      <c r="M4159" s="846"/>
      <c r="N4159" s="846"/>
      <c r="O4159" s="846"/>
      <c r="P4159" s="846"/>
      <c r="Q4159" s="846"/>
      <c r="R4159" s="846"/>
      <c r="S4159" s="846"/>
      <c r="T4159" s="846"/>
    </row>
    <row r="4160" spans="2:20" ht="38.25" hidden="1">
      <c r="B4160" s="828" t="s">
        <v>6547</v>
      </c>
      <c r="C4160" s="828">
        <v>92702</v>
      </c>
      <c r="D4160" s="630" t="s">
        <v>5008</v>
      </c>
      <c r="E4160" s="630" t="s">
        <v>646</v>
      </c>
      <c r="F4160" s="829">
        <v>27.98</v>
      </c>
      <c r="G4160" s="830">
        <v>31.05</v>
      </c>
      <c r="H4160" s="831">
        <v>59.03</v>
      </c>
      <c r="I4160" s="846"/>
      <c r="J4160" s="846"/>
      <c r="K4160" s="846"/>
      <c r="L4160" s="846"/>
      <c r="M4160" s="846"/>
      <c r="N4160" s="846"/>
      <c r="O4160" s="846"/>
      <c r="P4160" s="846"/>
      <c r="Q4160" s="846"/>
      <c r="R4160" s="846"/>
      <c r="S4160" s="846"/>
      <c r="T4160" s="846"/>
    </row>
    <row r="4161" spans="2:20" ht="38.25" hidden="1">
      <c r="B4161" s="828" t="s">
        <v>6547</v>
      </c>
      <c r="C4161" s="828">
        <v>92703</v>
      </c>
      <c r="D4161" s="630" t="s">
        <v>5009</v>
      </c>
      <c r="E4161" s="630" t="s">
        <v>646</v>
      </c>
      <c r="F4161" s="829">
        <v>25.41</v>
      </c>
      <c r="G4161" s="830">
        <v>31.05</v>
      </c>
      <c r="H4161" s="831">
        <v>56.46</v>
      </c>
      <c r="I4161" s="846"/>
      <c r="J4161" s="846"/>
      <c r="K4161" s="846"/>
      <c r="L4161" s="846"/>
      <c r="M4161" s="846"/>
      <c r="N4161" s="846"/>
      <c r="O4161" s="846"/>
      <c r="P4161" s="846"/>
      <c r="Q4161" s="846"/>
      <c r="R4161" s="846"/>
      <c r="S4161" s="846"/>
      <c r="T4161" s="846"/>
    </row>
    <row r="4162" spans="2:20" ht="38.25" hidden="1">
      <c r="B4162" s="828" t="s">
        <v>6547</v>
      </c>
      <c r="C4162" s="828">
        <v>92704</v>
      </c>
      <c r="D4162" s="630" t="s">
        <v>5010</v>
      </c>
      <c r="E4162" s="630" t="s">
        <v>646</v>
      </c>
      <c r="F4162" s="829">
        <v>14.38</v>
      </c>
      <c r="G4162" s="830">
        <v>14.84</v>
      </c>
      <c r="H4162" s="831">
        <v>29.22</v>
      </c>
      <c r="I4162" s="846"/>
      <c r="J4162" s="846"/>
      <c r="K4162" s="846"/>
      <c r="L4162" s="846"/>
      <c r="M4162" s="846"/>
      <c r="N4162" s="846"/>
      <c r="O4162" s="846"/>
      <c r="P4162" s="846"/>
      <c r="Q4162" s="846"/>
      <c r="R4162" s="846"/>
      <c r="S4162" s="846"/>
      <c r="T4162" s="846"/>
    </row>
    <row r="4163" spans="2:20" ht="38.25" hidden="1">
      <c r="B4163" s="828" t="s">
        <v>6547</v>
      </c>
      <c r="C4163" s="828">
        <v>92705</v>
      </c>
      <c r="D4163" s="630" t="s">
        <v>5011</v>
      </c>
      <c r="E4163" s="630" t="s">
        <v>646</v>
      </c>
      <c r="F4163" s="829">
        <v>21.63</v>
      </c>
      <c r="G4163" s="830">
        <v>25.44</v>
      </c>
      <c r="H4163" s="831">
        <v>47.07</v>
      </c>
      <c r="I4163" s="846"/>
      <c r="J4163" s="846"/>
      <c r="K4163" s="846"/>
      <c r="L4163" s="846"/>
      <c r="M4163" s="846"/>
      <c r="N4163" s="846"/>
      <c r="O4163" s="846"/>
      <c r="P4163" s="846"/>
      <c r="Q4163" s="846"/>
      <c r="R4163" s="846"/>
      <c r="S4163" s="846"/>
      <c r="T4163" s="846"/>
    </row>
    <row r="4164" spans="2:20" ht="38.25" hidden="1">
      <c r="B4164" s="828" t="s">
        <v>6547</v>
      </c>
      <c r="C4164" s="828">
        <v>92706</v>
      </c>
      <c r="D4164" s="630" t="s">
        <v>5012</v>
      </c>
      <c r="E4164" s="630" t="s">
        <v>646</v>
      </c>
      <c r="F4164" s="829">
        <v>34.82</v>
      </c>
      <c r="G4164" s="830">
        <v>41.39</v>
      </c>
      <c r="H4164" s="831">
        <v>76.209999999999994</v>
      </c>
      <c r="I4164" s="846"/>
      <c r="J4164" s="846"/>
      <c r="K4164" s="846"/>
      <c r="L4164" s="846"/>
      <c r="M4164" s="846"/>
      <c r="N4164" s="846"/>
      <c r="O4164" s="846"/>
      <c r="P4164" s="846"/>
      <c r="Q4164" s="846"/>
      <c r="R4164" s="846"/>
      <c r="S4164" s="846"/>
      <c r="T4164" s="846"/>
    </row>
    <row r="4165" spans="2:20" ht="25.5" hidden="1">
      <c r="B4165" s="828" t="s">
        <v>6547</v>
      </c>
      <c r="C4165" s="828">
        <v>92889</v>
      </c>
      <c r="D4165" s="630" t="s">
        <v>5013</v>
      </c>
      <c r="E4165" s="630" t="s">
        <v>646</v>
      </c>
      <c r="F4165" s="829">
        <v>115.23</v>
      </c>
      <c r="G4165" s="830">
        <v>27.63</v>
      </c>
      <c r="H4165" s="831">
        <v>142.86000000000001</v>
      </c>
      <c r="I4165" s="846"/>
      <c r="J4165" s="846"/>
      <c r="K4165" s="846"/>
      <c r="L4165" s="846"/>
      <c r="M4165" s="846"/>
      <c r="N4165" s="846"/>
      <c r="O4165" s="846"/>
      <c r="P4165" s="846"/>
      <c r="Q4165" s="846"/>
      <c r="R4165" s="846"/>
      <c r="S4165" s="846"/>
      <c r="T4165" s="846"/>
    </row>
    <row r="4166" spans="2:20" ht="25.5" hidden="1">
      <c r="B4166" s="828" t="s">
        <v>6547</v>
      </c>
      <c r="C4166" s="828">
        <v>92890</v>
      </c>
      <c r="D4166" s="630" t="s">
        <v>5014</v>
      </c>
      <c r="E4166" s="630" t="s">
        <v>646</v>
      </c>
      <c r="F4166" s="829">
        <v>185.96</v>
      </c>
      <c r="G4166" s="830">
        <v>30.07</v>
      </c>
      <c r="H4166" s="831">
        <v>216.03</v>
      </c>
      <c r="I4166" s="846"/>
      <c r="J4166" s="846"/>
      <c r="K4166" s="846"/>
      <c r="L4166" s="846"/>
      <c r="M4166" s="846"/>
      <c r="N4166" s="846"/>
      <c r="O4166" s="846"/>
      <c r="P4166" s="846"/>
      <c r="Q4166" s="846"/>
      <c r="R4166" s="846"/>
      <c r="S4166" s="846"/>
      <c r="T4166" s="846"/>
    </row>
    <row r="4167" spans="2:20" ht="25.5" hidden="1">
      <c r="B4167" s="828" t="s">
        <v>6547</v>
      </c>
      <c r="C4167" s="828">
        <v>92891</v>
      </c>
      <c r="D4167" s="630" t="s">
        <v>5015</v>
      </c>
      <c r="E4167" s="630" t="s">
        <v>646</v>
      </c>
      <c r="F4167" s="829">
        <v>283.79000000000002</v>
      </c>
      <c r="G4167" s="830">
        <v>32.46</v>
      </c>
      <c r="H4167" s="831">
        <v>316.25</v>
      </c>
      <c r="I4167" s="846"/>
      <c r="J4167" s="846"/>
      <c r="K4167" s="846"/>
      <c r="L4167" s="846"/>
      <c r="M4167" s="846"/>
      <c r="N4167" s="846"/>
      <c r="O4167" s="846"/>
      <c r="P4167" s="846"/>
      <c r="Q4167" s="846"/>
      <c r="R4167" s="846"/>
      <c r="S4167" s="846"/>
      <c r="T4167" s="846"/>
    </row>
    <row r="4168" spans="2:20" ht="38.25" hidden="1">
      <c r="B4168" s="828" t="s">
        <v>6547</v>
      </c>
      <c r="C4168" s="828">
        <v>92892</v>
      </c>
      <c r="D4168" s="630" t="s">
        <v>5016</v>
      </c>
      <c r="E4168" s="630" t="s">
        <v>646</v>
      </c>
      <c r="F4168" s="829">
        <v>41.13</v>
      </c>
      <c r="G4168" s="830">
        <v>21</v>
      </c>
      <c r="H4168" s="831">
        <v>62.13</v>
      </c>
      <c r="I4168" s="846"/>
      <c r="J4168" s="846"/>
      <c r="K4168" s="846"/>
      <c r="L4168" s="846"/>
      <c r="M4168" s="846"/>
      <c r="N4168" s="846"/>
      <c r="O4168" s="846"/>
      <c r="P4168" s="846"/>
      <c r="Q4168" s="846"/>
      <c r="R4168" s="846"/>
      <c r="S4168" s="846"/>
      <c r="T4168" s="846"/>
    </row>
    <row r="4169" spans="2:20" ht="38.25" hidden="1">
      <c r="B4169" s="828" t="s">
        <v>6547</v>
      </c>
      <c r="C4169" s="828">
        <v>92893</v>
      </c>
      <c r="D4169" s="630" t="s">
        <v>5017</v>
      </c>
      <c r="E4169" s="630" t="s">
        <v>646</v>
      </c>
      <c r="F4169" s="829">
        <v>65.23</v>
      </c>
      <c r="G4169" s="830">
        <v>22.83</v>
      </c>
      <c r="H4169" s="831">
        <v>88.06</v>
      </c>
      <c r="I4169" s="846"/>
      <c r="J4169" s="846"/>
      <c r="K4169" s="846"/>
      <c r="L4169" s="846"/>
      <c r="M4169" s="846"/>
      <c r="N4169" s="846"/>
      <c r="O4169" s="846"/>
      <c r="P4169" s="846"/>
      <c r="Q4169" s="846"/>
      <c r="R4169" s="846"/>
      <c r="S4169" s="846"/>
      <c r="T4169" s="846"/>
    </row>
    <row r="4170" spans="2:20" ht="38.25" hidden="1">
      <c r="B4170" s="828" t="s">
        <v>6547</v>
      </c>
      <c r="C4170" s="828">
        <v>92894</v>
      </c>
      <c r="D4170" s="630" t="s">
        <v>5018</v>
      </c>
      <c r="E4170" s="630" t="s">
        <v>646</v>
      </c>
      <c r="F4170" s="829">
        <v>80.17</v>
      </c>
      <c r="G4170" s="830">
        <v>24.94</v>
      </c>
      <c r="H4170" s="831">
        <v>105.11</v>
      </c>
      <c r="I4170" s="846"/>
      <c r="J4170" s="846"/>
      <c r="K4170" s="846"/>
      <c r="L4170" s="846"/>
      <c r="M4170" s="846"/>
      <c r="N4170" s="846"/>
      <c r="O4170" s="846"/>
      <c r="P4170" s="846"/>
      <c r="Q4170" s="846"/>
      <c r="R4170" s="846"/>
      <c r="S4170" s="846"/>
      <c r="T4170" s="846"/>
    </row>
    <row r="4171" spans="2:20" ht="38.25" hidden="1">
      <c r="B4171" s="828" t="s">
        <v>6547</v>
      </c>
      <c r="C4171" s="828">
        <v>92895</v>
      </c>
      <c r="D4171" s="630" t="s">
        <v>5019</v>
      </c>
      <c r="E4171" s="630" t="s">
        <v>646</v>
      </c>
      <c r="F4171" s="829">
        <v>115.23</v>
      </c>
      <c r="G4171" s="830">
        <v>27.58</v>
      </c>
      <c r="H4171" s="831">
        <v>142.81</v>
      </c>
      <c r="I4171" s="846"/>
      <c r="J4171" s="846"/>
      <c r="K4171" s="846"/>
      <c r="L4171" s="846"/>
      <c r="M4171" s="846"/>
      <c r="N4171" s="846"/>
      <c r="O4171" s="846"/>
      <c r="P4171" s="846"/>
      <c r="Q4171" s="846"/>
      <c r="R4171" s="846"/>
      <c r="S4171" s="846"/>
      <c r="T4171" s="846"/>
    </row>
    <row r="4172" spans="2:20" ht="38.25" hidden="1">
      <c r="B4172" s="828" t="s">
        <v>6547</v>
      </c>
      <c r="C4172" s="828">
        <v>92896</v>
      </c>
      <c r="D4172" s="630" t="s">
        <v>5020</v>
      </c>
      <c r="E4172" s="630" t="s">
        <v>646</v>
      </c>
      <c r="F4172" s="829">
        <v>186.37</v>
      </c>
      <c r="G4172" s="830">
        <v>31.53</v>
      </c>
      <c r="H4172" s="831">
        <v>217.9</v>
      </c>
      <c r="I4172" s="846"/>
      <c r="J4172" s="846"/>
      <c r="K4172" s="846"/>
      <c r="L4172" s="846"/>
      <c r="M4172" s="846"/>
      <c r="N4172" s="846"/>
      <c r="O4172" s="846"/>
      <c r="P4172" s="846"/>
      <c r="Q4172" s="846"/>
      <c r="R4172" s="846"/>
      <c r="S4172" s="846"/>
      <c r="T4172" s="846"/>
    </row>
    <row r="4173" spans="2:20" ht="38.25" hidden="1">
      <c r="B4173" s="828" t="s">
        <v>6547</v>
      </c>
      <c r="C4173" s="828">
        <v>92897</v>
      </c>
      <c r="D4173" s="630" t="s">
        <v>5021</v>
      </c>
      <c r="E4173" s="630" t="s">
        <v>646</v>
      </c>
      <c r="F4173" s="829">
        <v>284.63</v>
      </c>
      <c r="G4173" s="830">
        <v>35.47</v>
      </c>
      <c r="H4173" s="831">
        <v>320.10000000000002</v>
      </c>
      <c r="I4173" s="846"/>
      <c r="J4173" s="846"/>
      <c r="K4173" s="846"/>
      <c r="L4173" s="846"/>
      <c r="M4173" s="846"/>
      <c r="N4173" s="846"/>
      <c r="O4173" s="846"/>
      <c r="P4173" s="846"/>
      <c r="Q4173" s="846"/>
      <c r="R4173" s="846"/>
      <c r="S4173" s="846"/>
      <c r="T4173" s="846"/>
    </row>
    <row r="4174" spans="2:20" ht="38.25" hidden="1">
      <c r="B4174" s="828" t="s">
        <v>6547</v>
      </c>
      <c r="C4174" s="828">
        <v>92898</v>
      </c>
      <c r="D4174" s="630" t="s">
        <v>5022</v>
      </c>
      <c r="E4174" s="630" t="s">
        <v>646</v>
      </c>
      <c r="F4174" s="829">
        <v>38.840000000000003</v>
      </c>
      <c r="G4174" s="830">
        <v>12.89</v>
      </c>
      <c r="H4174" s="831">
        <v>51.73</v>
      </c>
      <c r="I4174" s="846"/>
      <c r="J4174" s="846"/>
      <c r="K4174" s="846"/>
      <c r="L4174" s="846"/>
      <c r="M4174" s="846"/>
      <c r="N4174" s="846"/>
      <c r="O4174" s="846"/>
      <c r="P4174" s="846"/>
      <c r="Q4174" s="846"/>
      <c r="R4174" s="846"/>
      <c r="S4174" s="846"/>
      <c r="T4174" s="846"/>
    </row>
    <row r="4175" spans="2:20" ht="38.25" hidden="1">
      <c r="B4175" s="828" t="s">
        <v>6547</v>
      </c>
      <c r="C4175" s="828">
        <v>92899</v>
      </c>
      <c r="D4175" s="630" t="s">
        <v>5023</v>
      </c>
      <c r="E4175" s="630" t="s">
        <v>646</v>
      </c>
      <c r="F4175" s="829">
        <v>62.62</v>
      </c>
      <c r="G4175" s="830">
        <v>13.62</v>
      </c>
      <c r="H4175" s="831">
        <v>76.239999999999995</v>
      </c>
      <c r="I4175" s="846"/>
      <c r="J4175" s="846"/>
      <c r="K4175" s="846"/>
      <c r="L4175" s="846"/>
      <c r="M4175" s="846"/>
      <c r="N4175" s="846"/>
      <c r="O4175" s="846"/>
      <c r="P4175" s="846"/>
      <c r="Q4175" s="846"/>
      <c r="R4175" s="846"/>
      <c r="S4175" s="846"/>
      <c r="T4175" s="846"/>
    </row>
    <row r="4176" spans="2:20" ht="38.25" hidden="1">
      <c r="B4176" s="828" t="s">
        <v>6547</v>
      </c>
      <c r="C4176" s="828">
        <v>92900</v>
      </c>
      <c r="D4176" s="630" t="s">
        <v>5024</v>
      </c>
      <c r="E4176" s="630" t="s">
        <v>646</v>
      </c>
      <c r="F4176" s="829">
        <v>77.209999999999994</v>
      </c>
      <c r="G4176" s="830">
        <v>14.42</v>
      </c>
      <c r="H4176" s="831">
        <v>91.63</v>
      </c>
      <c r="I4176" s="846"/>
      <c r="J4176" s="846"/>
      <c r="K4176" s="846"/>
      <c r="L4176" s="846"/>
      <c r="M4176" s="846"/>
      <c r="N4176" s="846"/>
      <c r="O4176" s="846"/>
      <c r="P4176" s="846"/>
      <c r="Q4176" s="846"/>
      <c r="R4176" s="846"/>
      <c r="S4176" s="846"/>
      <c r="T4176" s="846"/>
    </row>
    <row r="4177" spans="2:20" ht="38.25" hidden="1">
      <c r="B4177" s="828" t="s">
        <v>6547</v>
      </c>
      <c r="C4177" s="828">
        <v>92901</v>
      </c>
      <c r="D4177" s="630" t="s">
        <v>5025</v>
      </c>
      <c r="E4177" s="630" t="s">
        <v>646</v>
      </c>
      <c r="F4177" s="829">
        <v>111.8</v>
      </c>
      <c r="G4177" s="830">
        <v>15.5</v>
      </c>
      <c r="H4177" s="831">
        <v>127.3</v>
      </c>
      <c r="I4177" s="846"/>
      <c r="J4177" s="846"/>
      <c r="K4177" s="846"/>
      <c r="L4177" s="846"/>
      <c r="M4177" s="846"/>
      <c r="N4177" s="846"/>
      <c r="O4177" s="846"/>
      <c r="P4177" s="846"/>
      <c r="Q4177" s="846"/>
      <c r="R4177" s="846"/>
      <c r="S4177" s="846"/>
      <c r="T4177" s="846"/>
    </row>
    <row r="4178" spans="2:20" ht="38.25" hidden="1">
      <c r="B4178" s="828" t="s">
        <v>6547</v>
      </c>
      <c r="C4178" s="828">
        <v>92902</v>
      </c>
      <c r="D4178" s="630" t="s">
        <v>5026</v>
      </c>
      <c r="E4178" s="630" t="s">
        <v>646</v>
      </c>
      <c r="F4178" s="829">
        <v>182.27</v>
      </c>
      <c r="G4178" s="830">
        <v>17.04</v>
      </c>
      <c r="H4178" s="831">
        <v>199.31</v>
      </c>
      <c r="I4178" s="846"/>
      <c r="J4178" s="846"/>
      <c r="K4178" s="846"/>
      <c r="L4178" s="846"/>
      <c r="M4178" s="846"/>
      <c r="N4178" s="846"/>
      <c r="O4178" s="846"/>
      <c r="P4178" s="846"/>
      <c r="Q4178" s="846"/>
      <c r="R4178" s="846"/>
      <c r="S4178" s="846"/>
      <c r="T4178" s="846"/>
    </row>
    <row r="4179" spans="2:20" ht="38.25" hidden="1">
      <c r="B4179" s="828" t="s">
        <v>6547</v>
      </c>
      <c r="C4179" s="828">
        <v>92903</v>
      </c>
      <c r="D4179" s="630" t="s">
        <v>5027</v>
      </c>
      <c r="E4179" s="630" t="s">
        <v>646</v>
      </c>
      <c r="F4179" s="829">
        <v>279.87</v>
      </c>
      <c r="G4179" s="830">
        <v>18.62</v>
      </c>
      <c r="H4179" s="831">
        <v>298.49</v>
      </c>
      <c r="I4179" s="846"/>
      <c r="J4179" s="846"/>
      <c r="K4179" s="846"/>
      <c r="L4179" s="846"/>
      <c r="M4179" s="846"/>
      <c r="N4179" s="846"/>
      <c r="O4179" s="846"/>
      <c r="P4179" s="846"/>
      <c r="Q4179" s="846"/>
      <c r="R4179" s="846"/>
      <c r="S4179" s="846"/>
      <c r="T4179" s="846"/>
    </row>
    <row r="4180" spans="2:20" ht="38.25" hidden="1">
      <c r="B4180" s="828" t="s">
        <v>6547</v>
      </c>
      <c r="C4180" s="828">
        <v>92904</v>
      </c>
      <c r="D4180" s="630" t="s">
        <v>5028</v>
      </c>
      <c r="E4180" s="630" t="s">
        <v>646</v>
      </c>
      <c r="F4180" s="829">
        <v>27.77</v>
      </c>
      <c r="G4180" s="830">
        <v>7.4</v>
      </c>
      <c r="H4180" s="831">
        <v>35.17</v>
      </c>
      <c r="I4180" s="846"/>
      <c r="J4180" s="846"/>
      <c r="K4180" s="846"/>
      <c r="L4180" s="846"/>
      <c r="M4180" s="846"/>
      <c r="N4180" s="846"/>
      <c r="O4180" s="846"/>
      <c r="P4180" s="846"/>
      <c r="Q4180" s="846"/>
      <c r="R4180" s="846"/>
      <c r="S4180" s="846"/>
      <c r="T4180" s="846"/>
    </row>
    <row r="4181" spans="2:20" ht="38.25" hidden="1">
      <c r="B4181" s="828" t="s">
        <v>6547</v>
      </c>
      <c r="C4181" s="828">
        <v>92905</v>
      </c>
      <c r="D4181" s="630" t="s">
        <v>5029</v>
      </c>
      <c r="E4181" s="630" t="s">
        <v>646</v>
      </c>
      <c r="F4181" s="829">
        <v>37.6</v>
      </c>
      <c r="G4181" s="830">
        <v>12.73</v>
      </c>
      <c r="H4181" s="831">
        <v>50.33</v>
      </c>
      <c r="I4181" s="846"/>
      <c r="J4181" s="846"/>
      <c r="K4181" s="846"/>
      <c r="L4181" s="846"/>
      <c r="M4181" s="846"/>
      <c r="N4181" s="846"/>
      <c r="O4181" s="846"/>
      <c r="P4181" s="846"/>
      <c r="Q4181" s="846"/>
      <c r="R4181" s="846"/>
      <c r="S4181" s="846"/>
      <c r="T4181" s="846"/>
    </row>
    <row r="4182" spans="2:20" ht="38.25" hidden="1">
      <c r="B4182" s="828" t="s">
        <v>6547</v>
      </c>
      <c r="C4182" s="828">
        <v>92906</v>
      </c>
      <c r="D4182" s="630" t="s">
        <v>5030</v>
      </c>
      <c r="E4182" s="630" t="s">
        <v>646</v>
      </c>
      <c r="F4182" s="829">
        <v>41.03</v>
      </c>
      <c r="G4182" s="830">
        <v>20.66</v>
      </c>
      <c r="H4182" s="831">
        <v>61.69</v>
      </c>
      <c r="I4182" s="846"/>
      <c r="J4182" s="846"/>
      <c r="K4182" s="846"/>
      <c r="L4182" s="846"/>
      <c r="M4182" s="846"/>
      <c r="N4182" s="846"/>
      <c r="O4182" s="846"/>
      <c r="P4182" s="846"/>
      <c r="Q4182" s="846"/>
      <c r="R4182" s="846"/>
      <c r="S4182" s="846"/>
      <c r="T4182" s="846"/>
    </row>
    <row r="4183" spans="2:20" ht="38.25" hidden="1">
      <c r="B4183" s="828" t="s">
        <v>6547</v>
      </c>
      <c r="C4183" s="828">
        <v>92907</v>
      </c>
      <c r="D4183" s="630" t="s">
        <v>5031</v>
      </c>
      <c r="E4183" s="630" t="s">
        <v>646</v>
      </c>
      <c r="F4183" s="829">
        <v>49.33</v>
      </c>
      <c r="G4183" s="830">
        <v>27.64</v>
      </c>
      <c r="H4183" s="831">
        <v>76.97</v>
      </c>
      <c r="I4183" s="846"/>
      <c r="J4183" s="846"/>
      <c r="K4183" s="846"/>
      <c r="L4183" s="846"/>
      <c r="M4183" s="846"/>
      <c r="N4183" s="846"/>
      <c r="O4183" s="846"/>
      <c r="P4183" s="846"/>
      <c r="Q4183" s="846"/>
      <c r="R4183" s="846"/>
      <c r="S4183" s="846"/>
      <c r="T4183" s="846"/>
    </row>
    <row r="4184" spans="2:20" ht="38.25" hidden="1">
      <c r="B4184" s="828" t="s">
        <v>6547</v>
      </c>
      <c r="C4184" s="828">
        <v>92908</v>
      </c>
      <c r="D4184" s="630" t="s">
        <v>5032</v>
      </c>
      <c r="E4184" s="630" t="s">
        <v>646</v>
      </c>
      <c r="F4184" s="829">
        <v>49.33</v>
      </c>
      <c r="G4184" s="830">
        <v>27.64</v>
      </c>
      <c r="H4184" s="831">
        <v>76.97</v>
      </c>
      <c r="I4184" s="846"/>
      <c r="J4184" s="846"/>
      <c r="K4184" s="846"/>
      <c r="L4184" s="846"/>
      <c r="M4184" s="846"/>
      <c r="N4184" s="846"/>
      <c r="O4184" s="846"/>
      <c r="P4184" s="846"/>
      <c r="Q4184" s="846"/>
      <c r="R4184" s="846"/>
      <c r="S4184" s="846"/>
      <c r="T4184" s="846"/>
    </row>
    <row r="4185" spans="2:20" ht="38.25" hidden="1">
      <c r="B4185" s="828" t="s">
        <v>6547</v>
      </c>
      <c r="C4185" s="828">
        <v>92909</v>
      </c>
      <c r="D4185" s="630" t="s">
        <v>5033</v>
      </c>
      <c r="E4185" s="630" t="s">
        <v>646</v>
      </c>
      <c r="F4185" s="829">
        <v>49.33</v>
      </c>
      <c r="G4185" s="830">
        <v>27.64</v>
      </c>
      <c r="H4185" s="831">
        <v>76.97</v>
      </c>
      <c r="I4185" s="846"/>
      <c r="J4185" s="846"/>
      <c r="K4185" s="846"/>
      <c r="L4185" s="846"/>
      <c r="M4185" s="846"/>
      <c r="N4185" s="846"/>
      <c r="O4185" s="846"/>
      <c r="P4185" s="846"/>
      <c r="Q4185" s="846"/>
      <c r="R4185" s="846"/>
      <c r="S4185" s="846"/>
      <c r="T4185" s="846"/>
    </row>
    <row r="4186" spans="2:20" ht="38.25" hidden="1">
      <c r="B4186" s="828" t="s">
        <v>6547</v>
      </c>
      <c r="C4186" s="828">
        <v>92910</v>
      </c>
      <c r="D4186" s="630" t="s">
        <v>5034</v>
      </c>
      <c r="E4186" s="630" t="s">
        <v>646</v>
      </c>
      <c r="F4186" s="829">
        <v>81.010000000000005</v>
      </c>
      <c r="G4186" s="830">
        <v>30.08</v>
      </c>
      <c r="H4186" s="831">
        <v>111.09</v>
      </c>
      <c r="I4186" s="846"/>
      <c r="J4186" s="846"/>
      <c r="K4186" s="846"/>
      <c r="L4186" s="846"/>
      <c r="M4186" s="846"/>
      <c r="N4186" s="846"/>
      <c r="O4186" s="846"/>
      <c r="P4186" s="846"/>
      <c r="Q4186" s="846"/>
      <c r="R4186" s="846"/>
      <c r="S4186" s="846"/>
      <c r="T4186" s="846"/>
    </row>
    <row r="4187" spans="2:20" ht="38.25" hidden="1">
      <c r="B4187" s="828" t="s">
        <v>6547</v>
      </c>
      <c r="C4187" s="828">
        <v>92911</v>
      </c>
      <c r="D4187" s="630" t="s">
        <v>5035</v>
      </c>
      <c r="E4187" s="630" t="s">
        <v>646</v>
      </c>
      <c r="F4187" s="829">
        <v>81.010000000000005</v>
      </c>
      <c r="G4187" s="830">
        <v>30.08</v>
      </c>
      <c r="H4187" s="831">
        <v>111.09</v>
      </c>
      <c r="I4187" s="846"/>
      <c r="J4187" s="846"/>
      <c r="K4187" s="846"/>
      <c r="L4187" s="846"/>
      <c r="M4187" s="846"/>
      <c r="N4187" s="846"/>
      <c r="O4187" s="846"/>
      <c r="P4187" s="846"/>
      <c r="Q4187" s="846"/>
      <c r="R4187" s="846"/>
      <c r="S4187" s="846"/>
      <c r="T4187" s="846"/>
    </row>
    <row r="4188" spans="2:20" ht="38.25" hidden="1">
      <c r="B4188" s="828" t="s">
        <v>6547</v>
      </c>
      <c r="C4188" s="828">
        <v>92912</v>
      </c>
      <c r="D4188" s="630" t="s">
        <v>5036</v>
      </c>
      <c r="E4188" s="630" t="s">
        <v>646</v>
      </c>
      <c r="F4188" s="829">
        <v>118.56</v>
      </c>
      <c r="G4188" s="830">
        <v>30.08</v>
      </c>
      <c r="H4188" s="831">
        <v>148.63999999999999</v>
      </c>
      <c r="I4188" s="846"/>
      <c r="J4188" s="846"/>
      <c r="K4188" s="846"/>
      <c r="L4188" s="846"/>
      <c r="M4188" s="846"/>
      <c r="N4188" s="846"/>
      <c r="O4188" s="846"/>
      <c r="P4188" s="846"/>
      <c r="Q4188" s="846"/>
      <c r="R4188" s="846"/>
      <c r="S4188" s="846"/>
      <c r="T4188" s="846"/>
    </row>
    <row r="4189" spans="2:20" ht="38.25" hidden="1">
      <c r="B4189" s="828" t="s">
        <v>6547</v>
      </c>
      <c r="C4189" s="828">
        <v>92913</v>
      </c>
      <c r="D4189" s="630" t="s">
        <v>5037</v>
      </c>
      <c r="E4189" s="630" t="s">
        <v>646</v>
      </c>
      <c r="F4189" s="829">
        <v>119.36</v>
      </c>
      <c r="G4189" s="830">
        <v>32.47</v>
      </c>
      <c r="H4189" s="831">
        <v>151.83000000000001</v>
      </c>
      <c r="I4189" s="846"/>
      <c r="J4189" s="846"/>
      <c r="K4189" s="846"/>
      <c r="L4189" s="846"/>
      <c r="M4189" s="846"/>
      <c r="N4189" s="846"/>
      <c r="O4189" s="846"/>
      <c r="P4189" s="846"/>
      <c r="Q4189" s="846"/>
      <c r="R4189" s="846"/>
      <c r="S4189" s="846"/>
      <c r="T4189" s="846"/>
    </row>
    <row r="4190" spans="2:20" ht="38.25" hidden="1">
      <c r="B4190" s="828" t="s">
        <v>6547</v>
      </c>
      <c r="C4190" s="828">
        <v>92914</v>
      </c>
      <c r="D4190" s="630" t="s">
        <v>5038</v>
      </c>
      <c r="E4190" s="630" t="s">
        <v>646</v>
      </c>
      <c r="F4190" s="829">
        <v>119.36</v>
      </c>
      <c r="G4190" s="830">
        <v>32.47</v>
      </c>
      <c r="H4190" s="831">
        <v>151.83000000000001</v>
      </c>
      <c r="I4190" s="846"/>
      <c r="J4190" s="846"/>
      <c r="K4190" s="846"/>
      <c r="L4190" s="846"/>
      <c r="M4190" s="846"/>
      <c r="N4190" s="846"/>
      <c r="O4190" s="846"/>
      <c r="P4190" s="846"/>
      <c r="Q4190" s="846"/>
      <c r="R4190" s="846"/>
      <c r="S4190" s="846"/>
      <c r="T4190" s="846"/>
    </row>
    <row r="4191" spans="2:20" ht="38.25" hidden="1">
      <c r="B4191" s="828" t="s">
        <v>6547</v>
      </c>
      <c r="C4191" s="828">
        <v>92918</v>
      </c>
      <c r="D4191" s="630" t="s">
        <v>5039</v>
      </c>
      <c r="E4191" s="630" t="s">
        <v>646</v>
      </c>
      <c r="F4191" s="829">
        <v>20.12</v>
      </c>
      <c r="G4191" s="830">
        <v>21.03</v>
      </c>
      <c r="H4191" s="831">
        <v>41.15</v>
      </c>
      <c r="I4191" s="846"/>
      <c r="J4191" s="846"/>
      <c r="K4191" s="846"/>
      <c r="L4191" s="846"/>
      <c r="M4191" s="846"/>
      <c r="N4191" s="846"/>
      <c r="O4191" s="846"/>
      <c r="P4191" s="846"/>
      <c r="Q4191" s="846"/>
      <c r="R4191" s="846"/>
      <c r="S4191" s="846"/>
      <c r="T4191" s="846"/>
    </row>
    <row r="4192" spans="2:20" ht="38.25" hidden="1">
      <c r="B4192" s="828" t="s">
        <v>6547</v>
      </c>
      <c r="C4192" s="828">
        <v>92920</v>
      </c>
      <c r="D4192" s="630" t="s">
        <v>5040</v>
      </c>
      <c r="E4192" s="630" t="s">
        <v>646</v>
      </c>
      <c r="F4192" s="829">
        <v>20.39</v>
      </c>
      <c r="G4192" s="830">
        <v>21.03</v>
      </c>
      <c r="H4192" s="831">
        <v>41.42</v>
      </c>
      <c r="I4192" s="846"/>
      <c r="J4192" s="846"/>
      <c r="K4192" s="846"/>
      <c r="L4192" s="846"/>
      <c r="M4192" s="846"/>
      <c r="N4192" s="846"/>
      <c r="O4192" s="846"/>
      <c r="P4192" s="846"/>
      <c r="Q4192" s="846"/>
      <c r="R4192" s="846"/>
      <c r="S4192" s="846"/>
      <c r="T4192" s="846"/>
    </row>
    <row r="4193" spans="2:20" ht="38.25" hidden="1">
      <c r="B4193" s="828" t="s">
        <v>6547</v>
      </c>
      <c r="C4193" s="828">
        <v>92925</v>
      </c>
      <c r="D4193" s="630" t="s">
        <v>5041</v>
      </c>
      <c r="E4193" s="630" t="s">
        <v>646</v>
      </c>
      <c r="F4193" s="829">
        <v>27.96</v>
      </c>
      <c r="G4193" s="830">
        <v>22.84</v>
      </c>
      <c r="H4193" s="831">
        <v>50.8</v>
      </c>
      <c r="I4193" s="846"/>
      <c r="J4193" s="846"/>
      <c r="K4193" s="846"/>
      <c r="L4193" s="846"/>
      <c r="M4193" s="846"/>
      <c r="N4193" s="846"/>
      <c r="O4193" s="846"/>
      <c r="P4193" s="846"/>
      <c r="Q4193" s="846"/>
      <c r="R4193" s="846"/>
      <c r="S4193" s="846"/>
      <c r="T4193" s="846"/>
    </row>
    <row r="4194" spans="2:20" ht="38.25" hidden="1">
      <c r="B4194" s="828" t="s">
        <v>6547</v>
      </c>
      <c r="C4194" s="828">
        <v>92926</v>
      </c>
      <c r="D4194" s="630" t="s">
        <v>5042</v>
      </c>
      <c r="E4194" s="630" t="s">
        <v>646</v>
      </c>
      <c r="F4194" s="829">
        <v>27.95</v>
      </c>
      <c r="G4194" s="830">
        <v>22.84</v>
      </c>
      <c r="H4194" s="831">
        <v>50.79</v>
      </c>
      <c r="I4194" s="846"/>
      <c r="J4194" s="846"/>
      <c r="K4194" s="846"/>
      <c r="L4194" s="846"/>
      <c r="M4194" s="846"/>
      <c r="N4194" s="846"/>
      <c r="O4194" s="846"/>
      <c r="P4194" s="846"/>
      <c r="Q4194" s="846"/>
      <c r="R4194" s="846"/>
      <c r="S4194" s="846"/>
      <c r="T4194" s="846"/>
    </row>
    <row r="4195" spans="2:20" ht="38.25" hidden="1">
      <c r="B4195" s="828" t="s">
        <v>6547</v>
      </c>
      <c r="C4195" s="828">
        <v>92927</v>
      </c>
      <c r="D4195" s="630" t="s">
        <v>5043</v>
      </c>
      <c r="E4195" s="630" t="s">
        <v>646</v>
      </c>
      <c r="F4195" s="829">
        <v>27.95</v>
      </c>
      <c r="G4195" s="830">
        <v>22.84</v>
      </c>
      <c r="H4195" s="831">
        <v>50.79</v>
      </c>
      <c r="I4195" s="846"/>
      <c r="J4195" s="846"/>
      <c r="K4195" s="846"/>
      <c r="L4195" s="846"/>
      <c r="M4195" s="846"/>
      <c r="N4195" s="846"/>
      <c r="O4195" s="846"/>
      <c r="P4195" s="846"/>
      <c r="Q4195" s="846"/>
      <c r="R4195" s="846"/>
      <c r="S4195" s="846"/>
      <c r="T4195" s="846"/>
    </row>
    <row r="4196" spans="2:20" ht="38.25" hidden="1">
      <c r="B4196" s="828" t="s">
        <v>6547</v>
      </c>
      <c r="C4196" s="828">
        <v>92928</v>
      </c>
      <c r="D4196" s="630" t="s">
        <v>5044</v>
      </c>
      <c r="E4196" s="630" t="s">
        <v>646</v>
      </c>
      <c r="F4196" s="829">
        <v>33.07</v>
      </c>
      <c r="G4196" s="830">
        <v>24.96</v>
      </c>
      <c r="H4196" s="831">
        <v>58.03</v>
      </c>
      <c r="I4196" s="846"/>
      <c r="J4196" s="846"/>
      <c r="K4196" s="846"/>
      <c r="L4196" s="846"/>
      <c r="M4196" s="846"/>
      <c r="N4196" s="846"/>
      <c r="O4196" s="846"/>
      <c r="P4196" s="846"/>
      <c r="Q4196" s="846"/>
      <c r="R4196" s="846"/>
      <c r="S4196" s="846"/>
      <c r="T4196" s="846"/>
    </row>
    <row r="4197" spans="2:20" ht="38.25" hidden="1">
      <c r="B4197" s="828" t="s">
        <v>6547</v>
      </c>
      <c r="C4197" s="828">
        <v>92929</v>
      </c>
      <c r="D4197" s="630" t="s">
        <v>5045</v>
      </c>
      <c r="E4197" s="630" t="s">
        <v>646</v>
      </c>
      <c r="F4197" s="829">
        <v>33.07</v>
      </c>
      <c r="G4197" s="830">
        <v>24.96</v>
      </c>
      <c r="H4197" s="831">
        <v>58.03</v>
      </c>
      <c r="I4197" s="846"/>
      <c r="J4197" s="846"/>
      <c r="K4197" s="846"/>
      <c r="L4197" s="846"/>
      <c r="M4197" s="846"/>
      <c r="N4197" s="846"/>
      <c r="O4197" s="846"/>
      <c r="P4197" s="846"/>
      <c r="Q4197" s="846"/>
      <c r="R4197" s="846"/>
      <c r="S4197" s="846"/>
      <c r="T4197" s="846"/>
    </row>
    <row r="4198" spans="2:20" ht="38.25" hidden="1">
      <c r="B4198" s="828" t="s">
        <v>6547</v>
      </c>
      <c r="C4198" s="828">
        <v>92930</v>
      </c>
      <c r="D4198" s="630" t="s">
        <v>5046</v>
      </c>
      <c r="E4198" s="630" t="s">
        <v>646</v>
      </c>
      <c r="F4198" s="829">
        <v>33.07</v>
      </c>
      <c r="G4198" s="830">
        <v>24.96</v>
      </c>
      <c r="H4198" s="831">
        <v>58.03</v>
      </c>
      <c r="I4198" s="846"/>
      <c r="J4198" s="846"/>
      <c r="K4198" s="846"/>
      <c r="L4198" s="846"/>
      <c r="M4198" s="846"/>
      <c r="N4198" s="846"/>
      <c r="O4198" s="846"/>
      <c r="P4198" s="846"/>
      <c r="Q4198" s="846"/>
      <c r="R4198" s="846"/>
      <c r="S4198" s="846"/>
      <c r="T4198" s="846"/>
    </row>
    <row r="4199" spans="2:20" ht="38.25" hidden="1">
      <c r="B4199" s="828" t="s">
        <v>6547</v>
      </c>
      <c r="C4199" s="828">
        <v>92931</v>
      </c>
      <c r="D4199" s="630" t="s">
        <v>5047</v>
      </c>
      <c r="E4199" s="630" t="s">
        <v>646</v>
      </c>
      <c r="F4199" s="829">
        <v>49.33</v>
      </c>
      <c r="G4199" s="830">
        <v>27.59</v>
      </c>
      <c r="H4199" s="831">
        <v>76.92</v>
      </c>
      <c r="I4199" s="846"/>
      <c r="J4199" s="846"/>
      <c r="K4199" s="846"/>
      <c r="L4199" s="846"/>
      <c r="M4199" s="846"/>
      <c r="N4199" s="846"/>
      <c r="O4199" s="846"/>
      <c r="P4199" s="846"/>
      <c r="Q4199" s="846"/>
      <c r="R4199" s="846"/>
      <c r="S4199" s="846"/>
      <c r="T4199" s="846"/>
    </row>
    <row r="4200" spans="2:20" ht="38.25" hidden="1">
      <c r="B4200" s="828" t="s">
        <v>6547</v>
      </c>
      <c r="C4200" s="828">
        <v>92932</v>
      </c>
      <c r="D4200" s="630" t="s">
        <v>5048</v>
      </c>
      <c r="E4200" s="630" t="s">
        <v>646</v>
      </c>
      <c r="F4200" s="829">
        <v>49.33</v>
      </c>
      <c r="G4200" s="830">
        <v>27.59</v>
      </c>
      <c r="H4200" s="831">
        <v>76.92</v>
      </c>
      <c r="I4200" s="846"/>
      <c r="J4200" s="846"/>
      <c r="K4200" s="846"/>
      <c r="L4200" s="846"/>
      <c r="M4200" s="846"/>
      <c r="N4200" s="846"/>
      <c r="O4200" s="846"/>
      <c r="P4200" s="846"/>
      <c r="Q4200" s="846"/>
      <c r="R4200" s="846"/>
      <c r="S4200" s="846"/>
      <c r="T4200" s="846"/>
    </row>
    <row r="4201" spans="2:20" ht="38.25" hidden="1">
      <c r="B4201" s="828" t="s">
        <v>6547</v>
      </c>
      <c r="C4201" s="828">
        <v>92933</v>
      </c>
      <c r="D4201" s="630" t="s">
        <v>5049</v>
      </c>
      <c r="E4201" s="630" t="s">
        <v>646</v>
      </c>
      <c r="F4201" s="829">
        <v>49.33</v>
      </c>
      <c r="G4201" s="830">
        <v>27.59</v>
      </c>
      <c r="H4201" s="831">
        <v>76.92</v>
      </c>
      <c r="I4201" s="846"/>
      <c r="J4201" s="846"/>
      <c r="K4201" s="846"/>
      <c r="L4201" s="846"/>
      <c r="M4201" s="846"/>
      <c r="N4201" s="846"/>
      <c r="O4201" s="846"/>
      <c r="P4201" s="846"/>
      <c r="Q4201" s="846"/>
      <c r="R4201" s="846"/>
      <c r="S4201" s="846"/>
      <c r="T4201" s="846"/>
    </row>
    <row r="4202" spans="2:20" ht="38.25" hidden="1">
      <c r="B4202" s="828" t="s">
        <v>6547</v>
      </c>
      <c r="C4202" s="828">
        <v>92934</v>
      </c>
      <c r="D4202" s="630" t="s">
        <v>5050</v>
      </c>
      <c r="E4202" s="630" t="s">
        <v>646</v>
      </c>
      <c r="F4202" s="829">
        <v>81.42</v>
      </c>
      <c r="G4202" s="830">
        <v>31.54</v>
      </c>
      <c r="H4202" s="831">
        <v>112.96</v>
      </c>
      <c r="I4202" s="846"/>
      <c r="J4202" s="846"/>
      <c r="K4202" s="846"/>
      <c r="L4202" s="846"/>
      <c r="M4202" s="846"/>
      <c r="N4202" s="846"/>
      <c r="O4202" s="846"/>
      <c r="P4202" s="846"/>
      <c r="Q4202" s="846"/>
      <c r="R4202" s="846"/>
      <c r="S4202" s="846"/>
      <c r="T4202" s="846"/>
    </row>
    <row r="4203" spans="2:20" ht="38.25" hidden="1">
      <c r="B4203" s="828" t="s">
        <v>6547</v>
      </c>
      <c r="C4203" s="828">
        <v>92935</v>
      </c>
      <c r="D4203" s="630" t="s">
        <v>5051</v>
      </c>
      <c r="E4203" s="630" t="s">
        <v>646</v>
      </c>
      <c r="F4203" s="829">
        <v>81.42</v>
      </c>
      <c r="G4203" s="830">
        <v>31.54</v>
      </c>
      <c r="H4203" s="831">
        <v>112.96</v>
      </c>
      <c r="I4203" s="846"/>
      <c r="J4203" s="846"/>
      <c r="K4203" s="846"/>
      <c r="L4203" s="846"/>
      <c r="M4203" s="846"/>
      <c r="N4203" s="846"/>
      <c r="O4203" s="846"/>
      <c r="P4203" s="846"/>
      <c r="Q4203" s="846"/>
      <c r="R4203" s="846"/>
      <c r="S4203" s="846"/>
      <c r="T4203" s="846"/>
    </row>
    <row r="4204" spans="2:20" ht="38.25" hidden="1">
      <c r="B4204" s="828" t="s">
        <v>6547</v>
      </c>
      <c r="C4204" s="828">
        <v>92936</v>
      </c>
      <c r="D4204" s="630" t="s">
        <v>5052</v>
      </c>
      <c r="E4204" s="630" t="s">
        <v>646</v>
      </c>
      <c r="F4204" s="829">
        <v>120.2</v>
      </c>
      <c r="G4204" s="830">
        <v>35.479999999999997</v>
      </c>
      <c r="H4204" s="831">
        <v>155.68</v>
      </c>
      <c r="I4204" s="846"/>
      <c r="J4204" s="846"/>
      <c r="K4204" s="846"/>
      <c r="L4204" s="846"/>
      <c r="M4204" s="846"/>
      <c r="N4204" s="846"/>
      <c r="O4204" s="846"/>
      <c r="P4204" s="846"/>
      <c r="Q4204" s="846"/>
      <c r="R4204" s="846"/>
      <c r="S4204" s="846"/>
      <c r="T4204" s="846"/>
    </row>
    <row r="4205" spans="2:20" ht="38.25" hidden="1">
      <c r="B4205" s="828" t="s">
        <v>6547</v>
      </c>
      <c r="C4205" s="828">
        <v>92937</v>
      </c>
      <c r="D4205" s="630" t="s">
        <v>5053</v>
      </c>
      <c r="E4205" s="630" t="s">
        <v>646</v>
      </c>
      <c r="F4205" s="829">
        <v>120.2</v>
      </c>
      <c r="G4205" s="830">
        <v>35.479999999999997</v>
      </c>
      <c r="H4205" s="831">
        <v>155.68</v>
      </c>
      <c r="I4205" s="846"/>
      <c r="J4205" s="846"/>
      <c r="K4205" s="846"/>
      <c r="L4205" s="846"/>
      <c r="M4205" s="846"/>
      <c r="N4205" s="846"/>
      <c r="O4205" s="846"/>
      <c r="P4205" s="846"/>
      <c r="Q4205" s="846"/>
      <c r="R4205" s="846"/>
      <c r="S4205" s="846"/>
      <c r="T4205" s="846"/>
    </row>
    <row r="4206" spans="2:20" ht="38.25" hidden="1">
      <c r="B4206" s="828" t="s">
        <v>6547</v>
      </c>
      <c r="C4206" s="828">
        <v>92938</v>
      </c>
      <c r="D4206" s="630" t="s">
        <v>5054</v>
      </c>
      <c r="E4206" s="630" t="s">
        <v>646</v>
      </c>
      <c r="F4206" s="829">
        <v>17.84</v>
      </c>
      <c r="G4206" s="830">
        <v>12.91</v>
      </c>
      <c r="H4206" s="831">
        <v>30.75</v>
      </c>
      <c r="I4206" s="846"/>
      <c r="J4206" s="846"/>
      <c r="K4206" s="846"/>
      <c r="L4206" s="846"/>
      <c r="M4206" s="846"/>
      <c r="N4206" s="846"/>
      <c r="O4206" s="846"/>
      <c r="P4206" s="846"/>
      <c r="Q4206" s="846"/>
      <c r="R4206" s="846"/>
      <c r="S4206" s="846"/>
      <c r="T4206" s="846"/>
    </row>
    <row r="4207" spans="2:20" ht="38.25" hidden="1">
      <c r="B4207" s="828" t="s">
        <v>6547</v>
      </c>
      <c r="C4207" s="828">
        <v>92939</v>
      </c>
      <c r="D4207" s="630" t="s">
        <v>5055</v>
      </c>
      <c r="E4207" s="630" t="s">
        <v>646</v>
      </c>
      <c r="F4207" s="829">
        <v>18.11</v>
      </c>
      <c r="G4207" s="830">
        <v>12.91</v>
      </c>
      <c r="H4207" s="831">
        <v>31.02</v>
      </c>
      <c r="I4207" s="846"/>
      <c r="J4207" s="846"/>
      <c r="K4207" s="846"/>
      <c r="L4207" s="846"/>
      <c r="M4207" s="846"/>
      <c r="N4207" s="846"/>
      <c r="O4207" s="846"/>
      <c r="P4207" s="846"/>
      <c r="Q4207" s="846"/>
      <c r="R4207" s="846"/>
      <c r="S4207" s="846"/>
      <c r="T4207" s="846"/>
    </row>
    <row r="4208" spans="2:20" ht="38.25" hidden="1">
      <c r="B4208" s="828" t="s">
        <v>6547</v>
      </c>
      <c r="C4208" s="828">
        <v>92940</v>
      </c>
      <c r="D4208" s="630" t="s">
        <v>5056</v>
      </c>
      <c r="E4208" s="630" t="s">
        <v>646</v>
      </c>
      <c r="F4208" s="829">
        <v>25.34</v>
      </c>
      <c r="G4208" s="830">
        <v>13.64</v>
      </c>
      <c r="H4208" s="831">
        <v>38.979999999999997</v>
      </c>
      <c r="I4208" s="846"/>
      <c r="J4208" s="846"/>
      <c r="K4208" s="846"/>
      <c r="L4208" s="846"/>
      <c r="M4208" s="846"/>
      <c r="N4208" s="846"/>
      <c r="O4208" s="846"/>
      <c r="P4208" s="846"/>
      <c r="Q4208" s="846"/>
      <c r="R4208" s="846"/>
      <c r="S4208" s="846"/>
      <c r="T4208" s="846"/>
    </row>
    <row r="4209" spans="2:20" ht="38.25" hidden="1">
      <c r="B4209" s="828" t="s">
        <v>6547</v>
      </c>
      <c r="C4209" s="828">
        <v>92941</v>
      </c>
      <c r="D4209" s="630" t="s">
        <v>5057</v>
      </c>
      <c r="E4209" s="630" t="s">
        <v>646</v>
      </c>
      <c r="F4209" s="829">
        <v>25.33</v>
      </c>
      <c r="G4209" s="830">
        <v>13.64</v>
      </c>
      <c r="H4209" s="831">
        <v>38.97</v>
      </c>
      <c r="I4209" s="846"/>
      <c r="J4209" s="846"/>
      <c r="K4209" s="846"/>
      <c r="L4209" s="846"/>
      <c r="M4209" s="846"/>
      <c r="N4209" s="846"/>
      <c r="O4209" s="846"/>
      <c r="P4209" s="846"/>
      <c r="Q4209" s="846"/>
      <c r="R4209" s="846"/>
      <c r="S4209" s="846"/>
      <c r="T4209" s="846"/>
    </row>
    <row r="4210" spans="2:20" ht="38.25" hidden="1">
      <c r="B4210" s="828" t="s">
        <v>6547</v>
      </c>
      <c r="C4210" s="828">
        <v>92942</v>
      </c>
      <c r="D4210" s="630" t="s">
        <v>5058</v>
      </c>
      <c r="E4210" s="630" t="s">
        <v>646</v>
      </c>
      <c r="F4210" s="829">
        <v>25.33</v>
      </c>
      <c r="G4210" s="830">
        <v>13.64</v>
      </c>
      <c r="H4210" s="831">
        <v>38.97</v>
      </c>
      <c r="I4210" s="846"/>
      <c r="J4210" s="846"/>
      <c r="K4210" s="846"/>
      <c r="L4210" s="846"/>
      <c r="M4210" s="846"/>
      <c r="N4210" s="846"/>
      <c r="O4210" s="846"/>
      <c r="P4210" s="846"/>
      <c r="Q4210" s="846"/>
      <c r="R4210" s="846"/>
      <c r="S4210" s="846"/>
      <c r="T4210" s="846"/>
    </row>
    <row r="4211" spans="2:20" ht="38.25" hidden="1">
      <c r="B4211" s="828" t="s">
        <v>6547</v>
      </c>
      <c r="C4211" s="828">
        <v>92943</v>
      </c>
      <c r="D4211" s="630" t="s">
        <v>5059</v>
      </c>
      <c r="E4211" s="630" t="s">
        <v>646</v>
      </c>
      <c r="F4211" s="829">
        <v>30.12</v>
      </c>
      <c r="G4211" s="830">
        <v>14.43</v>
      </c>
      <c r="H4211" s="831">
        <v>44.55</v>
      </c>
      <c r="I4211" s="846"/>
      <c r="J4211" s="846"/>
      <c r="K4211" s="846"/>
      <c r="L4211" s="846"/>
      <c r="M4211" s="846"/>
      <c r="N4211" s="846"/>
      <c r="O4211" s="846"/>
      <c r="P4211" s="846"/>
      <c r="Q4211" s="846"/>
      <c r="R4211" s="846"/>
      <c r="S4211" s="846"/>
      <c r="T4211" s="846"/>
    </row>
    <row r="4212" spans="2:20" ht="38.25" hidden="1">
      <c r="B4212" s="828" t="s">
        <v>6547</v>
      </c>
      <c r="C4212" s="828">
        <v>92944</v>
      </c>
      <c r="D4212" s="630" t="s">
        <v>5060</v>
      </c>
      <c r="E4212" s="630" t="s">
        <v>646</v>
      </c>
      <c r="F4212" s="829">
        <v>30.12</v>
      </c>
      <c r="G4212" s="830">
        <v>14.43</v>
      </c>
      <c r="H4212" s="831">
        <v>44.55</v>
      </c>
      <c r="I4212" s="846"/>
      <c r="J4212" s="846"/>
      <c r="K4212" s="846"/>
      <c r="L4212" s="846"/>
      <c r="M4212" s="846"/>
      <c r="N4212" s="846"/>
      <c r="O4212" s="846"/>
      <c r="P4212" s="846"/>
      <c r="Q4212" s="846"/>
      <c r="R4212" s="846"/>
      <c r="S4212" s="846"/>
      <c r="T4212" s="846"/>
    </row>
    <row r="4213" spans="2:20" ht="38.25" hidden="1">
      <c r="B4213" s="828" t="s">
        <v>6547</v>
      </c>
      <c r="C4213" s="828">
        <v>92945</v>
      </c>
      <c r="D4213" s="630" t="s">
        <v>5061</v>
      </c>
      <c r="E4213" s="630" t="s">
        <v>646</v>
      </c>
      <c r="F4213" s="829">
        <v>30.12</v>
      </c>
      <c r="G4213" s="830">
        <v>14.43</v>
      </c>
      <c r="H4213" s="831">
        <v>44.55</v>
      </c>
      <c r="I4213" s="846"/>
      <c r="J4213" s="846"/>
      <c r="K4213" s="846"/>
      <c r="L4213" s="846"/>
      <c r="M4213" s="846"/>
      <c r="N4213" s="846"/>
      <c r="O4213" s="846"/>
      <c r="P4213" s="846"/>
      <c r="Q4213" s="846"/>
      <c r="R4213" s="846"/>
      <c r="S4213" s="846"/>
      <c r="T4213" s="846"/>
    </row>
    <row r="4214" spans="2:20" ht="38.25" hidden="1">
      <c r="B4214" s="828" t="s">
        <v>6547</v>
      </c>
      <c r="C4214" s="828">
        <v>92946</v>
      </c>
      <c r="D4214" s="630" t="s">
        <v>5062</v>
      </c>
      <c r="E4214" s="630" t="s">
        <v>646</v>
      </c>
      <c r="F4214" s="829">
        <v>45.9</v>
      </c>
      <c r="G4214" s="830">
        <v>15.51</v>
      </c>
      <c r="H4214" s="831">
        <v>61.41</v>
      </c>
      <c r="I4214" s="846"/>
      <c r="J4214" s="846"/>
      <c r="K4214" s="846"/>
      <c r="L4214" s="846"/>
      <c r="M4214" s="846"/>
      <c r="N4214" s="846"/>
      <c r="O4214" s="846"/>
      <c r="P4214" s="846"/>
      <c r="Q4214" s="846"/>
      <c r="R4214" s="846"/>
      <c r="S4214" s="846"/>
      <c r="T4214" s="846"/>
    </row>
    <row r="4215" spans="2:20" ht="38.25" hidden="1">
      <c r="B4215" s="828" t="s">
        <v>6547</v>
      </c>
      <c r="C4215" s="828">
        <v>92947</v>
      </c>
      <c r="D4215" s="630" t="s">
        <v>5063</v>
      </c>
      <c r="E4215" s="630" t="s">
        <v>646</v>
      </c>
      <c r="F4215" s="829">
        <v>45.9</v>
      </c>
      <c r="G4215" s="830">
        <v>15.51</v>
      </c>
      <c r="H4215" s="831">
        <v>61.41</v>
      </c>
      <c r="I4215" s="846"/>
      <c r="J4215" s="846"/>
      <c r="K4215" s="846"/>
      <c r="L4215" s="846"/>
      <c r="M4215" s="846"/>
      <c r="N4215" s="846"/>
      <c r="O4215" s="846"/>
      <c r="P4215" s="846"/>
      <c r="Q4215" s="846"/>
      <c r="R4215" s="846"/>
      <c r="S4215" s="846"/>
      <c r="T4215" s="846"/>
    </row>
    <row r="4216" spans="2:20" ht="38.25" hidden="1">
      <c r="B4216" s="828" t="s">
        <v>6547</v>
      </c>
      <c r="C4216" s="828">
        <v>92948</v>
      </c>
      <c r="D4216" s="630" t="s">
        <v>5064</v>
      </c>
      <c r="E4216" s="630" t="s">
        <v>646</v>
      </c>
      <c r="F4216" s="829">
        <v>45.9</v>
      </c>
      <c r="G4216" s="830">
        <v>15.51</v>
      </c>
      <c r="H4216" s="831">
        <v>61.41</v>
      </c>
      <c r="I4216" s="846"/>
      <c r="J4216" s="846"/>
      <c r="K4216" s="846"/>
      <c r="L4216" s="846"/>
      <c r="M4216" s="846"/>
      <c r="N4216" s="846"/>
      <c r="O4216" s="846"/>
      <c r="P4216" s="846"/>
      <c r="Q4216" s="846"/>
      <c r="R4216" s="846"/>
      <c r="S4216" s="846"/>
      <c r="T4216" s="846"/>
    </row>
    <row r="4217" spans="2:20" ht="38.25" hidden="1">
      <c r="B4217" s="828" t="s">
        <v>6547</v>
      </c>
      <c r="C4217" s="828">
        <v>92949</v>
      </c>
      <c r="D4217" s="630" t="s">
        <v>5065</v>
      </c>
      <c r="E4217" s="630" t="s">
        <v>646</v>
      </c>
      <c r="F4217" s="829">
        <v>77.319999999999993</v>
      </c>
      <c r="G4217" s="830">
        <v>17.05</v>
      </c>
      <c r="H4217" s="831">
        <v>94.37</v>
      </c>
      <c r="I4217" s="846"/>
      <c r="J4217" s="846"/>
      <c r="K4217" s="846"/>
      <c r="L4217" s="846"/>
      <c r="M4217" s="846"/>
      <c r="N4217" s="846"/>
      <c r="O4217" s="846"/>
      <c r="P4217" s="846"/>
      <c r="Q4217" s="846"/>
      <c r="R4217" s="846"/>
      <c r="S4217" s="846"/>
      <c r="T4217" s="846"/>
    </row>
    <row r="4218" spans="2:20" ht="38.25" hidden="1">
      <c r="B4218" s="828" t="s">
        <v>6547</v>
      </c>
      <c r="C4218" s="828">
        <v>92950</v>
      </c>
      <c r="D4218" s="630" t="s">
        <v>5066</v>
      </c>
      <c r="E4218" s="630" t="s">
        <v>646</v>
      </c>
      <c r="F4218" s="829">
        <v>77.319999999999993</v>
      </c>
      <c r="G4218" s="830">
        <v>17.05</v>
      </c>
      <c r="H4218" s="831">
        <v>94.37</v>
      </c>
      <c r="I4218" s="846"/>
      <c r="J4218" s="846"/>
      <c r="K4218" s="846"/>
      <c r="L4218" s="846"/>
      <c r="M4218" s="846"/>
      <c r="N4218" s="846"/>
      <c r="O4218" s="846"/>
      <c r="P4218" s="846"/>
      <c r="Q4218" s="846"/>
      <c r="R4218" s="846"/>
      <c r="S4218" s="846"/>
      <c r="T4218" s="846"/>
    </row>
    <row r="4219" spans="2:20" ht="38.25" hidden="1">
      <c r="B4219" s="828" t="s">
        <v>6547</v>
      </c>
      <c r="C4219" s="828">
        <v>92951</v>
      </c>
      <c r="D4219" s="630" t="s">
        <v>5067</v>
      </c>
      <c r="E4219" s="630" t="s">
        <v>646</v>
      </c>
      <c r="F4219" s="829">
        <v>115.44</v>
      </c>
      <c r="G4219" s="830">
        <v>18.63</v>
      </c>
      <c r="H4219" s="831">
        <v>134.07</v>
      </c>
      <c r="I4219" s="846"/>
      <c r="J4219" s="846"/>
      <c r="K4219" s="846"/>
      <c r="L4219" s="846"/>
      <c r="M4219" s="846"/>
      <c r="N4219" s="846"/>
      <c r="O4219" s="846"/>
      <c r="P4219" s="846"/>
      <c r="Q4219" s="846"/>
      <c r="R4219" s="846"/>
      <c r="S4219" s="846"/>
      <c r="T4219" s="846"/>
    </row>
    <row r="4220" spans="2:20" ht="38.25" hidden="1">
      <c r="B4220" s="828" t="s">
        <v>6547</v>
      </c>
      <c r="C4220" s="828">
        <v>92952</v>
      </c>
      <c r="D4220" s="630" t="s">
        <v>5068</v>
      </c>
      <c r="E4220" s="630" t="s">
        <v>646</v>
      </c>
      <c r="F4220" s="829">
        <v>115.44</v>
      </c>
      <c r="G4220" s="830">
        <v>18.63</v>
      </c>
      <c r="H4220" s="831">
        <v>134.07</v>
      </c>
      <c r="I4220" s="846"/>
      <c r="J4220" s="846"/>
      <c r="K4220" s="846"/>
      <c r="L4220" s="846"/>
      <c r="M4220" s="846"/>
      <c r="N4220" s="846"/>
      <c r="O4220" s="846"/>
      <c r="P4220" s="846"/>
      <c r="Q4220" s="846"/>
      <c r="R4220" s="846"/>
      <c r="S4220" s="846"/>
      <c r="T4220" s="846"/>
    </row>
    <row r="4221" spans="2:20" ht="38.25" hidden="1">
      <c r="B4221" s="828" t="s">
        <v>6547</v>
      </c>
      <c r="C4221" s="828">
        <v>92953</v>
      </c>
      <c r="D4221" s="630" t="s">
        <v>5069</v>
      </c>
      <c r="E4221" s="630" t="s">
        <v>646</v>
      </c>
      <c r="F4221" s="829">
        <v>13.91</v>
      </c>
      <c r="G4221" s="830">
        <v>12.75</v>
      </c>
      <c r="H4221" s="831">
        <v>26.66</v>
      </c>
      <c r="I4221" s="846"/>
      <c r="J4221" s="846"/>
      <c r="K4221" s="846"/>
      <c r="L4221" s="846"/>
      <c r="M4221" s="846"/>
      <c r="N4221" s="846"/>
      <c r="O4221" s="846"/>
      <c r="P4221" s="846"/>
      <c r="Q4221" s="846"/>
      <c r="R4221" s="846"/>
      <c r="S4221" s="846"/>
      <c r="T4221" s="846"/>
    </row>
    <row r="4222" spans="2:20" ht="38.25" hidden="1">
      <c r="B4222" s="828" t="s">
        <v>6547</v>
      </c>
      <c r="C4222" s="828">
        <v>93050</v>
      </c>
      <c r="D4222" s="630" t="s">
        <v>7279</v>
      </c>
      <c r="E4222" s="630" t="s">
        <v>646</v>
      </c>
      <c r="F4222" s="829">
        <v>9.66</v>
      </c>
      <c r="G4222" s="830">
        <v>2.5299999999999998</v>
      </c>
      <c r="H4222" s="831">
        <v>12.19</v>
      </c>
      <c r="I4222" s="846"/>
      <c r="J4222" s="846"/>
      <c r="K4222" s="846"/>
      <c r="L4222" s="846"/>
      <c r="M4222" s="846"/>
      <c r="N4222" s="846"/>
      <c r="O4222" s="846"/>
      <c r="P4222" s="846"/>
      <c r="Q4222" s="846"/>
      <c r="R4222" s="846"/>
      <c r="S4222" s="846"/>
      <c r="T4222" s="846"/>
    </row>
    <row r="4223" spans="2:20" ht="38.25" hidden="1">
      <c r="B4223" s="828" t="s">
        <v>6547</v>
      </c>
      <c r="C4223" s="828">
        <v>93052</v>
      </c>
      <c r="D4223" s="630" t="s">
        <v>7280</v>
      </c>
      <c r="E4223" s="630" t="s">
        <v>646</v>
      </c>
      <c r="F4223" s="829">
        <v>555.04999999999995</v>
      </c>
      <c r="G4223" s="830">
        <v>2.52</v>
      </c>
      <c r="H4223" s="831">
        <v>557.57000000000005</v>
      </c>
      <c r="I4223" s="846"/>
      <c r="J4223" s="846"/>
      <c r="K4223" s="846"/>
      <c r="L4223" s="846"/>
      <c r="M4223" s="846"/>
      <c r="N4223" s="846"/>
      <c r="O4223" s="846"/>
      <c r="P4223" s="846"/>
      <c r="Q4223" s="846"/>
      <c r="R4223" s="846"/>
      <c r="S4223" s="846"/>
      <c r="T4223" s="846"/>
    </row>
    <row r="4224" spans="2:20" ht="38.25" hidden="1">
      <c r="B4224" s="828" t="s">
        <v>6547</v>
      </c>
      <c r="C4224" s="828">
        <v>93054</v>
      </c>
      <c r="D4224" s="630" t="s">
        <v>7281</v>
      </c>
      <c r="E4224" s="630" t="s">
        <v>646</v>
      </c>
      <c r="F4224" s="829">
        <v>20.6</v>
      </c>
      <c r="G4224" s="830">
        <v>3.63</v>
      </c>
      <c r="H4224" s="831">
        <v>24.23</v>
      </c>
      <c r="I4224" s="846"/>
      <c r="J4224" s="846"/>
      <c r="K4224" s="846"/>
      <c r="L4224" s="846"/>
      <c r="M4224" s="846"/>
      <c r="N4224" s="846"/>
      <c r="O4224" s="846"/>
      <c r="P4224" s="846"/>
      <c r="Q4224" s="846"/>
      <c r="R4224" s="846"/>
      <c r="S4224" s="846"/>
      <c r="T4224" s="846"/>
    </row>
    <row r="4225" spans="2:20" ht="38.25" hidden="1">
      <c r="B4225" s="828" t="s">
        <v>6547</v>
      </c>
      <c r="C4225" s="828">
        <v>93055</v>
      </c>
      <c r="D4225" s="630" t="s">
        <v>7282</v>
      </c>
      <c r="E4225" s="630" t="s">
        <v>646</v>
      </c>
      <c r="F4225" s="829">
        <v>45.79</v>
      </c>
      <c r="G4225" s="830">
        <v>2.52</v>
      </c>
      <c r="H4225" s="831">
        <v>48.31</v>
      </c>
      <c r="I4225" s="846"/>
      <c r="J4225" s="846"/>
      <c r="K4225" s="846"/>
      <c r="L4225" s="846"/>
      <c r="M4225" s="846"/>
      <c r="N4225" s="846"/>
      <c r="O4225" s="846"/>
      <c r="P4225" s="846"/>
      <c r="Q4225" s="846"/>
      <c r="R4225" s="846"/>
      <c r="S4225" s="846"/>
      <c r="T4225" s="846"/>
    </row>
    <row r="4226" spans="2:20" ht="38.25" hidden="1">
      <c r="B4226" s="828" t="s">
        <v>6547</v>
      </c>
      <c r="C4226" s="828">
        <v>93056</v>
      </c>
      <c r="D4226" s="630" t="s">
        <v>7283</v>
      </c>
      <c r="E4226" s="630" t="s">
        <v>646</v>
      </c>
      <c r="F4226" s="829">
        <v>14.96</v>
      </c>
      <c r="G4226" s="830">
        <v>3.26</v>
      </c>
      <c r="H4226" s="831">
        <v>18.22</v>
      </c>
      <c r="I4226" s="846"/>
      <c r="J4226" s="846"/>
      <c r="K4226" s="846"/>
      <c r="L4226" s="846"/>
      <c r="M4226" s="846"/>
      <c r="N4226" s="846"/>
      <c r="O4226" s="846"/>
      <c r="P4226" s="846"/>
      <c r="Q4226" s="846"/>
      <c r="R4226" s="846"/>
      <c r="S4226" s="846"/>
      <c r="T4226" s="846"/>
    </row>
    <row r="4227" spans="2:20" ht="38.25" hidden="1">
      <c r="B4227" s="828" t="s">
        <v>6547</v>
      </c>
      <c r="C4227" s="828">
        <v>93057</v>
      </c>
      <c r="D4227" s="630" t="s">
        <v>7284</v>
      </c>
      <c r="E4227" s="630" t="s">
        <v>646</v>
      </c>
      <c r="F4227" s="829">
        <v>12.25</v>
      </c>
      <c r="G4227" s="830">
        <v>2.9</v>
      </c>
      <c r="H4227" s="831">
        <v>15.15</v>
      </c>
      <c r="I4227" s="846"/>
      <c r="J4227" s="846"/>
      <c r="K4227" s="846"/>
      <c r="L4227" s="846"/>
      <c r="M4227" s="846"/>
      <c r="N4227" s="846"/>
      <c r="O4227" s="846"/>
      <c r="P4227" s="846"/>
      <c r="Q4227" s="846"/>
      <c r="R4227" s="846"/>
      <c r="S4227" s="846"/>
      <c r="T4227" s="846"/>
    </row>
    <row r="4228" spans="2:20" ht="38.25" hidden="1">
      <c r="B4228" s="828" t="s">
        <v>6547</v>
      </c>
      <c r="C4228" s="828">
        <v>93058</v>
      </c>
      <c r="D4228" s="630" t="s">
        <v>7285</v>
      </c>
      <c r="E4228" s="630" t="s">
        <v>646</v>
      </c>
      <c r="F4228" s="829">
        <v>610.17999999999995</v>
      </c>
      <c r="G4228" s="830">
        <v>3.26</v>
      </c>
      <c r="H4228" s="831">
        <v>613.44000000000005</v>
      </c>
      <c r="I4228" s="846"/>
      <c r="J4228" s="846"/>
      <c r="K4228" s="846"/>
      <c r="L4228" s="846"/>
      <c r="M4228" s="846"/>
      <c r="N4228" s="846"/>
      <c r="O4228" s="846"/>
      <c r="P4228" s="846"/>
      <c r="Q4228" s="846"/>
      <c r="R4228" s="846"/>
      <c r="S4228" s="846"/>
      <c r="T4228" s="846"/>
    </row>
    <row r="4229" spans="2:20" ht="38.25" hidden="1">
      <c r="B4229" s="828" t="s">
        <v>6547</v>
      </c>
      <c r="C4229" s="828">
        <v>93059</v>
      </c>
      <c r="D4229" s="630" t="s">
        <v>7286</v>
      </c>
      <c r="E4229" s="630" t="s">
        <v>646</v>
      </c>
      <c r="F4229" s="829">
        <v>28.41</v>
      </c>
      <c r="G4229" s="830">
        <v>3.15</v>
      </c>
      <c r="H4229" s="831">
        <v>31.56</v>
      </c>
      <c r="I4229" s="846"/>
      <c r="J4229" s="846"/>
      <c r="K4229" s="846"/>
      <c r="L4229" s="846"/>
      <c r="M4229" s="846"/>
      <c r="N4229" s="846"/>
      <c r="O4229" s="846"/>
      <c r="P4229" s="846"/>
      <c r="Q4229" s="846"/>
      <c r="R4229" s="846"/>
      <c r="S4229" s="846"/>
      <c r="T4229" s="846"/>
    </row>
    <row r="4230" spans="2:20" ht="38.25" hidden="1">
      <c r="B4230" s="828" t="s">
        <v>6547</v>
      </c>
      <c r="C4230" s="828">
        <v>93060</v>
      </c>
      <c r="D4230" s="630" t="s">
        <v>7287</v>
      </c>
      <c r="E4230" s="630" t="s">
        <v>646</v>
      </c>
      <c r="F4230" s="829">
        <v>81.37</v>
      </c>
      <c r="G4230" s="830">
        <v>3.26</v>
      </c>
      <c r="H4230" s="831">
        <v>84.63</v>
      </c>
      <c r="I4230" s="846"/>
      <c r="J4230" s="846"/>
      <c r="K4230" s="846"/>
      <c r="L4230" s="846"/>
      <c r="M4230" s="846"/>
      <c r="N4230" s="846"/>
      <c r="O4230" s="846"/>
      <c r="P4230" s="846"/>
      <c r="Q4230" s="846"/>
      <c r="R4230" s="846"/>
      <c r="S4230" s="846"/>
      <c r="T4230" s="846"/>
    </row>
    <row r="4231" spans="2:20" ht="38.25" hidden="1">
      <c r="B4231" s="828" t="s">
        <v>6547</v>
      </c>
      <c r="C4231" s="828">
        <v>93061</v>
      </c>
      <c r="D4231" s="630" t="s">
        <v>7288</v>
      </c>
      <c r="E4231" s="630" t="s">
        <v>646</v>
      </c>
      <c r="F4231" s="829">
        <v>30.33</v>
      </c>
      <c r="G4231" s="830">
        <v>4.12</v>
      </c>
      <c r="H4231" s="831">
        <v>34.450000000000003</v>
      </c>
      <c r="I4231" s="846"/>
      <c r="J4231" s="846"/>
      <c r="K4231" s="846"/>
      <c r="L4231" s="846"/>
      <c r="M4231" s="846"/>
      <c r="N4231" s="846"/>
      <c r="O4231" s="846"/>
      <c r="P4231" s="846"/>
      <c r="Q4231" s="846"/>
      <c r="R4231" s="846"/>
      <c r="S4231" s="846"/>
      <c r="T4231" s="846"/>
    </row>
    <row r="4232" spans="2:20" ht="38.25" hidden="1">
      <c r="B4232" s="828" t="s">
        <v>6547</v>
      </c>
      <c r="C4232" s="828">
        <v>93062</v>
      </c>
      <c r="D4232" s="630" t="s">
        <v>7289</v>
      </c>
      <c r="E4232" s="630" t="s">
        <v>646</v>
      </c>
      <c r="F4232" s="829">
        <v>25.37</v>
      </c>
      <c r="G4232" s="830">
        <v>3.69</v>
      </c>
      <c r="H4232" s="831">
        <v>29.06</v>
      </c>
      <c r="I4232" s="846"/>
      <c r="J4232" s="846"/>
      <c r="K4232" s="846"/>
      <c r="L4232" s="846"/>
      <c r="M4232" s="846"/>
      <c r="N4232" s="846"/>
      <c r="O4232" s="846"/>
      <c r="P4232" s="846"/>
      <c r="Q4232" s="846"/>
      <c r="R4232" s="846"/>
      <c r="S4232" s="846"/>
      <c r="T4232" s="846"/>
    </row>
    <row r="4233" spans="2:20" ht="38.25" hidden="1">
      <c r="B4233" s="828" t="s">
        <v>6547</v>
      </c>
      <c r="C4233" s="828">
        <v>93063</v>
      </c>
      <c r="D4233" s="630" t="s">
        <v>7290</v>
      </c>
      <c r="E4233" s="630" t="s">
        <v>646</v>
      </c>
      <c r="F4233" s="829">
        <v>698.85</v>
      </c>
      <c r="G4233" s="830">
        <v>4.12</v>
      </c>
      <c r="H4233" s="831">
        <v>702.97</v>
      </c>
      <c r="I4233" s="846"/>
      <c r="J4233" s="846"/>
      <c r="K4233" s="846"/>
      <c r="L4233" s="846"/>
      <c r="M4233" s="846"/>
      <c r="N4233" s="846"/>
      <c r="O4233" s="846"/>
      <c r="P4233" s="846"/>
      <c r="Q4233" s="846"/>
      <c r="R4233" s="846"/>
      <c r="S4233" s="846"/>
      <c r="T4233" s="846"/>
    </row>
    <row r="4234" spans="2:20" ht="38.25" hidden="1">
      <c r="B4234" s="828" t="s">
        <v>6547</v>
      </c>
      <c r="C4234" s="828">
        <v>93064</v>
      </c>
      <c r="D4234" s="630" t="s">
        <v>7291</v>
      </c>
      <c r="E4234" s="630" t="s">
        <v>646</v>
      </c>
      <c r="F4234" s="829">
        <v>47.83</v>
      </c>
      <c r="G4234" s="830">
        <v>4.9800000000000004</v>
      </c>
      <c r="H4234" s="831">
        <v>52.81</v>
      </c>
      <c r="I4234" s="846"/>
      <c r="J4234" s="846"/>
      <c r="K4234" s="846"/>
      <c r="L4234" s="846"/>
      <c r="M4234" s="846"/>
      <c r="N4234" s="846"/>
      <c r="O4234" s="846"/>
      <c r="P4234" s="846"/>
      <c r="Q4234" s="846"/>
      <c r="R4234" s="846"/>
      <c r="S4234" s="846"/>
      <c r="T4234" s="846"/>
    </row>
    <row r="4235" spans="2:20" ht="38.25" hidden="1">
      <c r="B4235" s="828" t="s">
        <v>6547</v>
      </c>
      <c r="C4235" s="828">
        <v>93065</v>
      </c>
      <c r="D4235" s="630" t="s">
        <v>7292</v>
      </c>
      <c r="E4235" s="630" t="s">
        <v>646</v>
      </c>
      <c r="F4235" s="829">
        <v>42.87</v>
      </c>
      <c r="G4235" s="830">
        <v>4.55</v>
      </c>
      <c r="H4235" s="831">
        <v>47.42</v>
      </c>
      <c r="I4235" s="846"/>
      <c r="J4235" s="846"/>
      <c r="K4235" s="846"/>
      <c r="L4235" s="846"/>
      <c r="M4235" s="846"/>
      <c r="N4235" s="846"/>
      <c r="O4235" s="846"/>
      <c r="P4235" s="846"/>
      <c r="Q4235" s="846"/>
      <c r="R4235" s="846"/>
      <c r="S4235" s="846"/>
      <c r="T4235" s="846"/>
    </row>
    <row r="4236" spans="2:20" ht="38.25" hidden="1">
      <c r="B4236" s="828" t="s">
        <v>6547</v>
      </c>
      <c r="C4236" s="828">
        <v>93066</v>
      </c>
      <c r="D4236" s="630" t="s">
        <v>7293</v>
      </c>
      <c r="E4236" s="630" t="s">
        <v>646</v>
      </c>
      <c r="F4236" s="829">
        <v>877.2</v>
      </c>
      <c r="G4236" s="830">
        <v>4.9800000000000004</v>
      </c>
      <c r="H4236" s="831">
        <v>882.18</v>
      </c>
      <c r="I4236" s="846"/>
      <c r="J4236" s="846"/>
      <c r="K4236" s="846"/>
      <c r="L4236" s="846"/>
      <c r="M4236" s="846"/>
      <c r="N4236" s="846"/>
      <c r="O4236" s="846"/>
      <c r="P4236" s="846"/>
      <c r="Q4236" s="846"/>
      <c r="R4236" s="846"/>
      <c r="S4236" s="846"/>
      <c r="T4236" s="846"/>
    </row>
    <row r="4237" spans="2:20" ht="38.25" hidden="1">
      <c r="B4237" s="828" t="s">
        <v>6547</v>
      </c>
      <c r="C4237" s="828">
        <v>93067</v>
      </c>
      <c r="D4237" s="630" t="s">
        <v>7294</v>
      </c>
      <c r="E4237" s="630" t="s">
        <v>646</v>
      </c>
      <c r="F4237" s="829">
        <v>72.05</v>
      </c>
      <c r="G4237" s="830">
        <v>6.45</v>
      </c>
      <c r="H4237" s="831">
        <v>78.5</v>
      </c>
      <c r="I4237" s="846"/>
      <c r="J4237" s="846"/>
      <c r="K4237" s="846"/>
      <c r="L4237" s="846"/>
      <c r="M4237" s="846"/>
      <c r="N4237" s="846"/>
      <c r="O4237" s="846"/>
      <c r="P4237" s="846"/>
      <c r="Q4237" s="846"/>
      <c r="R4237" s="846"/>
      <c r="S4237" s="846"/>
      <c r="T4237" s="846"/>
    </row>
    <row r="4238" spans="2:20" ht="38.25" hidden="1">
      <c r="B4238" s="828" t="s">
        <v>6547</v>
      </c>
      <c r="C4238" s="828">
        <v>93068</v>
      </c>
      <c r="D4238" s="630" t="s">
        <v>7295</v>
      </c>
      <c r="E4238" s="630" t="s">
        <v>646</v>
      </c>
      <c r="F4238" s="829">
        <v>61.04</v>
      </c>
      <c r="G4238" s="830">
        <v>5.72</v>
      </c>
      <c r="H4238" s="831">
        <v>66.760000000000005</v>
      </c>
      <c r="I4238" s="846"/>
      <c r="J4238" s="846"/>
      <c r="K4238" s="846"/>
      <c r="L4238" s="846"/>
      <c r="M4238" s="846"/>
      <c r="N4238" s="846"/>
      <c r="O4238" s="846"/>
      <c r="P4238" s="846"/>
      <c r="Q4238" s="846"/>
      <c r="R4238" s="846"/>
      <c r="S4238" s="846"/>
      <c r="T4238" s="846"/>
    </row>
    <row r="4239" spans="2:20" ht="38.25" hidden="1">
      <c r="B4239" s="828" t="s">
        <v>6547</v>
      </c>
      <c r="C4239" s="828">
        <v>93069</v>
      </c>
      <c r="D4239" s="630" t="s">
        <v>7296</v>
      </c>
      <c r="E4239" s="630" t="s">
        <v>646</v>
      </c>
      <c r="F4239" s="829">
        <v>1216.3800000000001</v>
      </c>
      <c r="G4239" s="830">
        <v>6.45</v>
      </c>
      <c r="H4239" s="831">
        <v>1222.83</v>
      </c>
      <c r="I4239" s="846"/>
      <c r="J4239" s="846"/>
      <c r="K4239" s="846"/>
      <c r="L4239" s="846"/>
      <c r="M4239" s="846"/>
      <c r="N4239" s="846"/>
      <c r="O4239" s="846"/>
      <c r="P4239" s="846"/>
      <c r="Q4239" s="846"/>
      <c r="R4239" s="846"/>
      <c r="S4239" s="846"/>
      <c r="T4239" s="846"/>
    </row>
    <row r="4240" spans="2:20" ht="38.25" hidden="1">
      <c r="B4240" s="828" t="s">
        <v>6547</v>
      </c>
      <c r="C4240" s="828">
        <v>93070</v>
      </c>
      <c r="D4240" s="630" t="s">
        <v>7297</v>
      </c>
      <c r="E4240" s="630" t="s">
        <v>646</v>
      </c>
      <c r="F4240" s="829">
        <v>189.82</v>
      </c>
      <c r="G4240" s="830">
        <v>7.92</v>
      </c>
      <c r="H4240" s="831">
        <v>197.74</v>
      </c>
      <c r="I4240" s="846"/>
      <c r="J4240" s="846"/>
      <c r="K4240" s="846"/>
      <c r="L4240" s="846"/>
      <c r="M4240" s="846"/>
      <c r="N4240" s="846"/>
      <c r="O4240" s="846"/>
      <c r="P4240" s="846"/>
      <c r="Q4240" s="846"/>
      <c r="R4240" s="846"/>
      <c r="S4240" s="846"/>
      <c r="T4240" s="846"/>
    </row>
    <row r="4241" spans="2:20" ht="38.25" hidden="1">
      <c r="B4241" s="828" t="s">
        <v>6547</v>
      </c>
      <c r="C4241" s="828">
        <v>93071</v>
      </c>
      <c r="D4241" s="630" t="s">
        <v>7298</v>
      </c>
      <c r="E4241" s="630" t="s">
        <v>646</v>
      </c>
      <c r="F4241" s="829">
        <v>174.59</v>
      </c>
      <c r="G4241" s="830">
        <v>7.19</v>
      </c>
      <c r="H4241" s="831">
        <v>181.78</v>
      </c>
      <c r="I4241" s="846"/>
      <c r="J4241" s="846"/>
      <c r="K4241" s="846"/>
      <c r="L4241" s="846"/>
      <c r="M4241" s="846"/>
      <c r="N4241" s="846"/>
      <c r="O4241" s="846"/>
      <c r="P4241" s="846"/>
      <c r="Q4241" s="846"/>
      <c r="R4241" s="846"/>
      <c r="S4241" s="846"/>
      <c r="T4241" s="846"/>
    </row>
    <row r="4242" spans="2:20" ht="38.25" hidden="1">
      <c r="B4242" s="828" t="s">
        <v>6547</v>
      </c>
      <c r="C4242" s="828">
        <v>93072</v>
      </c>
      <c r="D4242" s="630" t="s">
        <v>7299</v>
      </c>
      <c r="E4242" s="630" t="s">
        <v>646</v>
      </c>
      <c r="F4242" s="829">
        <v>1605.85</v>
      </c>
      <c r="G4242" s="830">
        <v>7.92</v>
      </c>
      <c r="H4242" s="831">
        <v>1613.77</v>
      </c>
      <c r="I4242" s="846"/>
      <c r="J4242" s="846"/>
      <c r="K4242" s="846"/>
      <c r="L4242" s="846"/>
      <c r="M4242" s="846"/>
      <c r="N4242" s="846"/>
      <c r="O4242" s="846"/>
      <c r="P4242" s="846"/>
      <c r="Q4242" s="846"/>
      <c r="R4242" s="846"/>
      <c r="S4242" s="846"/>
      <c r="T4242" s="846"/>
    </row>
    <row r="4243" spans="2:20" ht="38.25" hidden="1">
      <c r="B4243" s="828" t="s">
        <v>6547</v>
      </c>
      <c r="C4243" s="828">
        <v>93074</v>
      </c>
      <c r="D4243" s="630" t="s">
        <v>7300</v>
      </c>
      <c r="E4243" s="630" t="s">
        <v>646</v>
      </c>
      <c r="F4243" s="829">
        <v>8.2799999999999994</v>
      </c>
      <c r="G4243" s="830">
        <v>6.41</v>
      </c>
      <c r="H4243" s="831">
        <v>14.69</v>
      </c>
      <c r="I4243" s="846"/>
      <c r="J4243" s="846"/>
      <c r="K4243" s="846"/>
      <c r="L4243" s="846"/>
      <c r="M4243" s="846"/>
      <c r="N4243" s="846"/>
      <c r="O4243" s="846"/>
      <c r="P4243" s="846"/>
      <c r="Q4243" s="846"/>
      <c r="R4243" s="846"/>
      <c r="S4243" s="846"/>
      <c r="T4243" s="846"/>
    </row>
    <row r="4244" spans="2:20" ht="38.25" hidden="1">
      <c r="B4244" s="828" t="s">
        <v>6547</v>
      </c>
      <c r="C4244" s="828">
        <v>93075</v>
      </c>
      <c r="D4244" s="630" t="s">
        <v>7301</v>
      </c>
      <c r="E4244" s="630" t="s">
        <v>646</v>
      </c>
      <c r="F4244" s="829">
        <v>16.64</v>
      </c>
      <c r="G4244" s="830">
        <v>4.7300000000000004</v>
      </c>
      <c r="H4244" s="831">
        <v>21.37</v>
      </c>
      <c r="I4244" s="846"/>
      <c r="J4244" s="846"/>
      <c r="K4244" s="846"/>
      <c r="L4244" s="846"/>
      <c r="M4244" s="846"/>
      <c r="N4244" s="846"/>
      <c r="O4244" s="846"/>
      <c r="P4244" s="846"/>
      <c r="Q4244" s="846"/>
      <c r="R4244" s="846"/>
      <c r="S4244" s="846"/>
      <c r="T4244" s="846"/>
    </row>
    <row r="4245" spans="2:20" ht="38.25" hidden="1">
      <c r="B4245" s="828" t="s">
        <v>6547</v>
      </c>
      <c r="C4245" s="828">
        <v>93076</v>
      </c>
      <c r="D4245" s="630" t="s">
        <v>7302</v>
      </c>
      <c r="E4245" s="630" t="s">
        <v>646</v>
      </c>
      <c r="F4245" s="829">
        <v>15.91</v>
      </c>
      <c r="G4245" s="830">
        <v>7.38</v>
      </c>
      <c r="H4245" s="831">
        <v>23.29</v>
      </c>
      <c r="I4245" s="846"/>
      <c r="J4245" s="846"/>
      <c r="K4245" s="846"/>
      <c r="L4245" s="846"/>
      <c r="M4245" s="846"/>
      <c r="N4245" s="846"/>
      <c r="O4245" s="846"/>
      <c r="P4245" s="846"/>
      <c r="Q4245" s="846"/>
      <c r="R4245" s="846"/>
      <c r="S4245" s="846"/>
      <c r="T4245" s="846"/>
    </row>
    <row r="4246" spans="2:20" ht="38.25" hidden="1">
      <c r="B4246" s="828" t="s">
        <v>6547</v>
      </c>
      <c r="C4246" s="828">
        <v>93077</v>
      </c>
      <c r="D4246" s="630" t="s">
        <v>7303</v>
      </c>
      <c r="E4246" s="630" t="s">
        <v>646</v>
      </c>
      <c r="F4246" s="829">
        <v>24.93</v>
      </c>
      <c r="G4246" s="830">
        <v>5.23</v>
      </c>
      <c r="H4246" s="831">
        <v>30.16</v>
      </c>
      <c r="I4246" s="846"/>
      <c r="J4246" s="846"/>
      <c r="K4246" s="846"/>
      <c r="L4246" s="846"/>
      <c r="M4246" s="846"/>
      <c r="N4246" s="846"/>
      <c r="O4246" s="846"/>
      <c r="P4246" s="846"/>
      <c r="Q4246" s="846"/>
      <c r="R4246" s="846"/>
      <c r="S4246" s="846"/>
      <c r="T4246" s="846"/>
    </row>
    <row r="4247" spans="2:20" ht="38.25" hidden="1">
      <c r="B4247" s="828" t="s">
        <v>6547</v>
      </c>
      <c r="C4247" s="828">
        <v>93078</v>
      </c>
      <c r="D4247" s="630" t="s">
        <v>7304</v>
      </c>
      <c r="E4247" s="630" t="s">
        <v>646</v>
      </c>
      <c r="F4247" s="829">
        <v>27.91</v>
      </c>
      <c r="G4247" s="830">
        <v>6.04</v>
      </c>
      <c r="H4247" s="831">
        <v>33.950000000000003</v>
      </c>
      <c r="I4247" s="846"/>
      <c r="J4247" s="846"/>
      <c r="K4247" s="846"/>
      <c r="L4247" s="846"/>
      <c r="M4247" s="846"/>
      <c r="N4247" s="846"/>
      <c r="O4247" s="846"/>
      <c r="P4247" s="846"/>
      <c r="Q4247" s="846"/>
      <c r="R4247" s="846"/>
      <c r="S4247" s="846"/>
      <c r="T4247" s="846"/>
    </row>
    <row r="4248" spans="2:20" ht="38.25" hidden="1">
      <c r="B4248" s="828" t="s">
        <v>6547</v>
      </c>
      <c r="C4248" s="828">
        <v>93079</v>
      </c>
      <c r="D4248" s="630" t="s">
        <v>7305</v>
      </c>
      <c r="E4248" s="630" t="s">
        <v>646</v>
      </c>
      <c r="F4248" s="829">
        <v>24.07</v>
      </c>
      <c r="G4248" s="830">
        <v>8.2100000000000009</v>
      </c>
      <c r="H4248" s="831">
        <v>32.28</v>
      </c>
      <c r="I4248" s="846"/>
      <c r="J4248" s="846"/>
      <c r="K4248" s="846"/>
      <c r="L4248" s="846"/>
      <c r="M4248" s="846"/>
      <c r="N4248" s="846"/>
      <c r="O4248" s="846"/>
      <c r="P4248" s="846"/>
      <c r="Q4248" s="846"/>
      <c r="R4248" s="846"/>
      <c r="S4248" s="846"/>
      <c r="T4248" s="846"/>
    </row>
    <row r="4249" spans="2:20" ht="38.25" hidden="1">
      <c r="B4249" s="828" t="s">
        <v>6547</v>
      </c>
      <c r="C4249" s="828">
        <v>93080</v>
      </c>
      <c r="D4249" s="630" t="s">
        <v>7306</v>
      </c>
      <c r="E4249" s="630" t="s">
        <v>646</v>
      </c>
      <c r="F4249" s="829">
        <v>5.3</v>
      </c>
      <c r="G4249" s="830">
        <v>4.2699999999999996</v>
      </c>
      <c r="H4249" s="831">
        <v>9.57</v>
      </c>
      <c r="I4249" s="846"/>
      <c r="J4249" s="846"/>
      <c r="K4249" s="846"/>
      <c r="L4249" s="846"/>
      <c r="M4249" s="846"/>
      <c r="N4249" s="846"/>
      <c r="O4249" s="846"/>
      <c r="P4249" s="846"/>
      <c r="Q4249" s="846"/>
      <c r="R4249" s="846"/>
      <c r="S4249" s="846"/>
      <c r="T4249" s="846"/>
    </row>
    <row r="4250" spans="2:20" ht="38.25" hidden="1">
      <c r="B4250" s="828" t="s">
        <v>6547</v>
      </c>
      <c r="C4250" s="828">
        <v>93081</v>
      </c>
      <c r="D4250" s="630" t="s">
        <v>7307</v>
      </c>
      <c r="E4250" s="630" t="s">
        <v>646</v>
      </c>
      <c r="F4250" s="829">
        <v>16.45</v>
      </c>
      <c r="G4250" s="830">
        <v>3.67</v>
      </c>
      <c r="H4250" s="831">
        <v>20.12</v>
      </c>
      <c r="I4250" s="846"/>
      <c r="J4250" s="846"/>
      <c r="K4250" s="846"/>
      <c r="L4250" s="846"/>
      <c r="M4250" s="846"/>
      <c r="N4250" s="846"/>
      <c r="O4250" s="846"/>
      <c r="P4250" s="846"/>
      <c r="Q4250" s="846"/>
      <c r="R4250" s="846"/>
      <c r="S4250" s="846"/>
      <c r="T4250" s="846"/>
    </row>
    <row r="4251" spans="2:20" ht="38.25" hidden="1">
      <c r="B4251" s="828" t="s">
        <v>6547</v>
      </c>
      <c r="C4251" s="828">
        <v>93082</v>
      </c>
      <c r="D4251" s="630" t="s">
        <v>7308</v>
      </c>
      <c r="E4251" s="630" t="s">
        <v>646</v>
      </c>
      <c r="F4251" s="829">
        <v>21.75</v>
      </c>
      <c r="G4251" s="830">
        <v>4.25</v>
      </c>
      <c r="H4251" s="831">
        <v>26</v>
      </c>
      <c r="I4251" s="846"/>
      <c r="J4251" s="846"/>
      <c r="K4251" s="846"/>
      <c r="L4251" s="846"/>
      <c r="M4251" s="846"/>
      <c r="N4251" s="846"/>
      <c r="O4251" s="846"/>
      <c r="P4251" s="846"/>
      <c r="Q4251" s="846"/>
      <c r="R4251" s="846"/>
      <c r="S4251" s="846"/>
      <c r="T4251" s="846"/>
    </row>
    <row r="4252" spans="2:20" ht="38.25" hidden="1">
      <c r="B4252" s="828" t="s">
        <v>6547</v>
      </c>
      <c r="C4252" s="828">
        <v>93083</v>
      </c>
      <c r="D4252" s="630" t="s">
        <v>7309</v>
      </c>
      <c r="E4252" s="630" t="s">
        <v>646</v>
      </c>
      <c r="F4252" s="829">
        <v>478.7</v>
      </c>
      <c r="G4252" s="830">
        <v>4.25</v>
      </c>
      <c r="H4252" s="831">
        <v>482.95</v>
      </c>
      <c r="I4252" s="846"/>
      <c r="J4252" s="846"/>
      <c r="K4252" s="846"/>
      <c r="L4252" s="846"/>
      <c r="M4252" s="846"/>
      <c r="N4252" s="846"/>
      <c r="O4252" s="846"/>
      <c r="P4252" s="846"/>
      <c r="Q4252" s="846"/>
      <c r="R4252" s="846"/>
      <c r="S4252" s="846"/>
      <c r="T4252" s="846"/>
    </row>
    <row r="4253" spans="2:20" ht="38.25" hidden="1">
      <c r="B4253" s="828" t="s">
        <v>6547</v>
      </c>
      <c r="C4253" s="828">
        <v>93084</v>
      </c>
      <c r="D4253" s="630" t="s">
        <v>7310</v>
      </c>
      <c r="E4253" s="630" t="s">
        <v>646</v>
      </c>
      <c r="F4253" s="829">
        <v>10.37</v>
      </c>
      <c r="G4253" s="830">
        <v>4.92</v>
      </c>
      <c r="H4253" s="831">
        <v>15.29</v>
      </c>
      <c r="I4253" s="846"/>
      <c r="J4253" s="846"/>
      <c r="K4253" s="846"/>
      <c r="L4253" s="846"/>
      <c r="M4253" s="846"/>
      <c r="N4253" s="846"/>
      <c r="O4253" s="846"/>
      <c r="P4253" s="846"/>
      <c r="Q4253" s="846"/>
      <c r="R4253" s="846"/>
      <c r="S4253" s="846"/>
      <c r="T4253" s="846"/>
    </row>
    <row r="4254" spans="2:20" ht="38.25" hidden="1">
      <c r="B4254" s="828" t="s">
        <v>6547</v>
      </c>
      <c r="C4254" s="828">
        <v>93085</v>
      </c>
      <c r="D4254" s="630" t="s">
        <v>7311</v>
      </c>
      <c r="E4254" s="630" t="s">
        <v>646</v>
      </c>
      <c r="F4254" s="829">
        <v>9.6199999999999992</v>
      </c>
      <c r="G4254" s="830">
        <v>6.9</v>
      </c>
      <c r="H4254" s="831">
        <v>16.52</v>
      </c>
      <c r="I4254" s="846"/>
      <c r="J4254" s="846"/>
      <c r="K4254" s="846"/>
      <c r="L4254" s="846"/>
      <c r="M4254" s="846"/>
      <c r="N4254" s="846"/>
      <c r="O4254" s="846"/>
      <c r="P4254" s="846"/>
      <c r="Q4254" s="846"/>
      <c r="R4254" s="846"/>
      <c r="S4254" s="846"/>
      <c r="T4254" s="846"/>
    </row>
    <row r="4255" spans="2:20" ht="38.25" hidden="1">
      <c r="B4255" s="828" t="s">
        <v>6547</v>
      </c>
      <c r="C4255" s="828">
        <v>93086</v>
      </c>
      <c r="D4255" s="630" t="s">
        <v>7312</v>
      </c>
      <c r="E4255" s="630" t="s">
        <v>646</v>
      </c>
      <c r="F4255" s="829">
        <v>555.77</v>
      </c>
      <c r="G4255" s="830">
        <v>4.9000000000000004</v>
      </c>
      <c r="H4255" s="831">
        <v>560.66999999999996</v>
      </c>
      <c r="I4255" s="846"/>
      <c r="J4255" s="846"/>
      <c r="K4255" s="846"/>
      <c r="L4255" s="846"/>
      <c r="M4255" s="846"/>
      <c r="N4255" s="846"/>
      <c r="O4255" s="846"/>
      <c r="P4255" s="846"/>
      <c r="Q4255" s="846"/>
      <c r="R4255" s="846"/>
      <c r="S4255" s="846"/>
      <c r="T4255" s="846"/>
    </row>
    <row r="4256" spans="2:20" ht="38.25" hidden="1">
      <c r="B4256" s="828" t="s">
        <v>6547</v>
      </c>
      <c r="C4256" s="828">
        <v>93087</v>
      </c>
      <c r="D4256" s="630" t="s">
        <v>7313</v>
      </c>
      <c r="E4256" s="630" t="s">
        <v>646</v>
      </c>
      <c r="F4256" s="829">
        <v>17.079999999999998</v>
      </c>
      <c r="G4256" s="830">
        <v>4</v>
      </c>
      <c r="H4256" s="831">
        <v>21.08</v>
      </c>
      <c r="I4256" s="846"/>
      <c r="J4256" s="846"/>
      <c r="K4256" s="846"/>
      <c r="L4256" s="846"/>
      <c r="M4256" s="846"/>
      <c r="N4256" s="846"/>
      <c r="O4256" s="846"/>
      <c r="P4256" s="846"/>
      <c r="Q4256" s="846"/>
      <c r="R4256" s="846"/>
      <c r="S4256" s="846"/>
      <c r="T4256" s="846"/>
    </row>
    <row r="4257" spans="2:20" ht="38.25" hidden="1">
      <c r="B4257" s="828" t="s">
        <v>6547</v>
      </c>
      <c r="C4257" s="828">
        <v>93088</v>
      </c>
      <c r="D4257" s="630" t="s">
        <v>7314</v>
      </c>
      <c r="E4257" s="630" t="s">
        <v>646</v>
      </c>
      <c r="F4257" s="829">
        <v>21.29</v>
      </c>
      <c r="G4257" s="830">
        <v>4.8099999999999996</v>
      </c>
      <c r="H4257" s="831">
        <v>26.1</v>
      </c>
      <c r="I4257" s="846"/>
      <c r="J4257" s="846"/>
      <c r="K4257" s="846"/>
      <c r="L4257" s="846"/>
      <c r="M4257" s="846"/>
      <c r="N4257" s="846"/>
      <c r="O4257" s="846"/>
      <c r="P4257" s="846"/>
      <c r="Q4257" s="846"/>
      <c r="R4257" s="846"/>
      <c r="S4257" s="846"/>
      <c r="T4257" s="846"/>
    </row>
    <row r="4258" spans="2:20" ht="38.25" hidden="1">
      <c r="B4258" s="828" t="s">
        <v>6547</v>
      </c>
      <c r="C4258" s="828">
        <v>93089</v>
      </c>
      <c r="D4258" s="630" t="s">
        <v>7315</v>
      </c>
      <c r="E4258" s="630" t="s">
        <v>646</v>
      </c>
      <c r="F4258" s="829">
        <v>46.51</v>
      </c>
      <c r="G4258" s="830">
        <v>4.9000000000000004</v>
      </c>
      <c r="H4258" s="831">
        <v>51.41</v>
      </c>
      <c r="I4258" s="846"/>
      <c r="J4258" s="846"/>
      <c r="K4258" s="846"/>
      <c r="L4258" s="846"/>
      <c r="M4258" s="846"/>
      <c r="N4258" s="846"/>
      <c r="O4258" s="846"/>
      <c r="P4258" s="846"/>
      <c r="Q4258" s="846"/>
      <c r="R4258" s="846"/>
      <c r="S4258" s="846"/>
      <c r="T4258" s="846"/>
    </row>
    <row r="4259" spans="2:20" ht="38.25" hidden="1">
      <c r="B4259" s="828" t="s">
        <v>6547</v>
      </c>
      <c r="C4259" s="828">
        <v>93090</v>
      </c>
      <c r="D4259" s="630" t="s">
        <v>7316</v>
      </c>
      <c r="E4259" s="630" t="s">
        <v>646</v>
      </c>
      <c r="F4259" s="829">
        <v>15.6</v>
      </c>
      <c r="G4259" s="830">
        <v>5.48</v>
      </c>
      <c r="H4259" s="831">
        <v>21.08</v>
      </c>
      <c r="I4259" s="846"/>
      <c r="J4259" s="846"/>
      <c r="K4259" s="846"/>
      <c r="L4259" s="846"/>
      <c r="M4259" s="846"/>
      <c r="N4259" s="846"/>
      <c r="O4259" s="846"/>
      <c r="P4259" s="846"/>
      <c r="Q4259" s="846"/>
      <c r="R4259" s="846"/>
      <c r="S4259" s="846"/>
      <c r="T4259" s="846"/>
    </row>
    <row r="4260" spans="2:20" ht="38.25" hidden="1">
      <c r="B4260" s="828" t="s">
        <v>6547</v>
      </c>
      <c r="C4260" s="828">
        <v>93091</v>
      </c>
      <c r="D4260" s="630" t="s">
        <v>7317</v>
      </c>
      <c r="E4260" s="630" t="s">
        <v>646</v>
      </c>
      <c r="F4260" s="829">
        <v>12.91</v>
      </c>
      <c r="G4260" s="830">
        <v>5.21</v>
      </c>
      <c r="H4260" s="831">
        <v>18.12</v>
      </c>
      <c r="I4260" s="846"/>
      <c r="J4260" s="846"/>
      <c r="K4260" s="846"/>
      <c r="L4260" s="846"/>
      <c r="M4260" s="846"/>
      <c r="N4260" s="846"/>
      <c r="O4260" s="846"/>
      <c r="P4260" s="846"/>
      <c r="Q4260" s="846"/>
      <c r="R4260" s="846"/>
      <c r="S4260" s="846"/>
      <c r="T4260" s="846"/>
    </row>
    <row r="4261" spans="2:20" ht="38.25" hidden="1">
      <c r="B4261" s="828" t="s">
        <v>6547</v>
      </c>
      <c r="C4261" s="828">
        <v>93092</v>
      </c>
      <c r="D4261" s="630" t="s">
        <v>7318</v>
      </c>
      <c r="E4261" s="630" t="s">
        <v>646</v>
      </c>
      <c r="F4261" s="829">
        <v>610.83000000000004</v>
      </c>
      <c r="G4261" s="830">
        <v>5.47</v>
      </c>
      <c r="H4261" s="831">
        <v>616.29999999999995</v>
      </c>
      <c r="I4261" s="846"/>
      <c r="J4261" s="846"/>
      <c r="K4261" s="846"/>
      <c r="L4261" s="846"/>
      <c r="M4261" s="846"/>
      <c r="N4261" s="846"/>
      <c r="O4261" s="846"/>
      <c r="P4261" s="846"/>
      <c r="Q4261" s="846"/>
      <c r="R4261" s="846"/>
      <c r="S4261" s="846"/>
      <c r="T4261" s="846"/>
    </row>
    <row r="4262" spans="2:20" ht="38.25" hidden="1">
      <c r="B4262" s="828" t="s">
        <v>6547</v>
      </c>
      <c r="C4262" s="828">
        <v>93093</v>
      </c>
      <c r="D4262" s="630" t="s">
        <v>7319</v>
      </c>
      <c r="E4262" s="630" t="s">
        <v>646</v>
      </c>
      <c r="F4262" s="829">
        <v>28.73</v>
      </c>
      <c r="G4262" s="830">
        <v>4.2699999999999996</v>
      </c>
      <c r="H4262" s="831">
        <v>33</v>
      </c>
      <c r="I4262" s="846"/>
      <c r="J4262" s="846"/>
      <c r="K4262" s="846"/>
      <c r="L4262" s="846"/>
      <c r="M4262" s="846"/>
      <c r="N4262" s="846"/>
      <c r="O4262" s="846"/>
      <c r="P4262" s="846"/>
      <c r="Q4262" s="846"/>
      <c r="R4262" s="846"/>
      <c r="S4262" s="846"/>
      <c r="T4262" s="846"/>
    </row>
    <row r="4263" spans="2:20" ht="38.25" hidden="1">
      <c r="B4263" s="828" t="s">
        <v>6547</v>
      </c>
      <c r="C4263" s="828">
        <v>93094</v>
      </c>
      <c r="D4263" s="630" t="s">
        <v>7320</v>
      </c>
      <c r="E4263" s="630" t="s">
        <v>646</v>
      </c>
      <c r="F4263" s="829">
        <v>82.02</v>
      </c>
      <c r="G4263" s="830">
        <v>5.47</v>
      </c>
      <c r="H4263" s="831">
        <v>87.49</v>
      </c>
      <c r="I4263" s="846"/>
      <c r="J4263" s="846"/>
      <c r="K4263" s="846"/>
      <c r="L4263" s="846"/>
      <c r="M4263" s="846"/>
      <c r="N4263" s="846"/>
      <c r="O4263" s="846"/>
      <c r="P4263" s="846"/>
      <c r="Q4263" s="846"/>
      <c r="R4263" s="846"/>
      <c r="S4263" s="846"/>
      <c r="T4263" s="846"/>
    </row>
    <row r="4264" spans="2:20" ht="38.25" hidden="1">
      <c r="B4264" s="828" t="s">
        <v>6547</v>
      </c>
      <c r="C4264" s="828">
        <v>93097</v>
      </c>
      <c r="D4264" s="630" t="s">
        <v>7321</v>
      </c>
      <c r="E4264" s="630" t="s">
        <v>646</v>
      </c>
      <c r="F4264" s="829">
        <v>8.33</v>
      </c>
      <c r="G4264" s="830">
        <v>6.65</v>
      </c>
      <c r="H4264" s="831">
        <v>14.98</v>
      </c>
      <c r="I4264" s="846"/>
      <c r="J4264" s="846"/>
      <c r="K4264" s="846"/>
      <c r="L4264" s="846"/>
      <c r="M4264" s="846"/>
      <c r="N4264" s="846"/>
      <c r="O4264" s="846"/>
      <c r="P4264" s="846"/>
      <c r="Q4264" s="846"/>
      <c r="R4264" s="846"/>
      <c r="S4264" s="846"/>
      <c r="T4264" s="846"/>
    </row>
    <row r="4265" spans="2:20" ht="38.25" hidden="1">
      <c r="B4265" s="828" t="s">
        <v>6547</v>
      </c>
      <c r="C4265" s="828">
        <v>93098</v>
      </c>
      <c r="D4265" s="630" t="s">
        <v>7322</v>
      </c>
      <c r="E4265" s="630" t="s">
        <v>646</v>
      </c>
      <c r="F4265" s="829">
        <v>16.68</v>
      </c>
      <c r="G4265" s="830">
        <v>4.84</v>
      </c>
      <c r="H4265" s="831">
        <v>21.52</v>
      </c>
      <c r="I4265" s="846"/>
      <c r="J4265" s="846"/>
      <c r="K4265" s="846"/>
      <c r="L4265" s="846"/>
      <c r="M4265" s="846"/>
      <c r="N4265" s="846"/>
      <c r="O4265" s="846"/>
      <c r="P4265" s="846"/>
      <c r="Q4265" s="846"/>
      <c r="R4265" s="846"/>
      <c r="S4265" s="846"/>
      <c r="T4265" s="846"/>
    </row>
    <row r="4266" spans="2:20" ht="38.25" hidden="1">
      <c r="B4266" s="828" t="s">
        <v>6547</v>
      </c>
      <c r="C4266" s="828">
        <v>93099</v>
      </c>
      <c r="D4266" s="630" t="s">
        <v>7323</v>
      </c>
      <c r="E4266" s="630" t="s">
        <v>646</v>
      </c>
      <c r="F4266" s="829">
        <v>16.68</v>
      </c>
      <c r="G4266" s="830">
        <v>10.029999999999999</v>
      </c>
      <c r="H4266" s="831">
        <v>26.71</v>
      </c>
      <c r="I4266" s="846"/>
      <c r="J4266" s="846"/>
      <c r="K4266" s="846"/>
      <c r="L4266" s="846"/>
      <c r="M4266" s="846"/>
      <c r="N4266" s="846"/>
      <c r="O4266" s="846"/>
      <c r="P4266" s="846"/>
      <c r="Q4266" s="846"/>
      <c r="R4266" s="846"/>
      <c r="S4266" s="846"/>
      <c r="T4266" s="846"/>
    </row>
    <row r="4267" spans="2:20" ht="38.25" hidden="1">
      <c r="B4267" s="828" t="s">
        <v>6547</v>
      </c>
      <c r="C4267" s="828">
        <v>93100</v>
      </c>
      <c r="D4267" s="630" t="s">
        <v>7324</v>
      </c>
      <c r="E4267" s="630" t="s">
        <v>646</v>
      </c>
      <c r="F4267" s="829">
        <v>25.32</v>
      </c>
      <c r="G4267" s="830">
        <v>6.55</v>
      </c>
      <c r="H4267" s="831">
        <v>31.87</v>
      </c>
      <c r="I4267" s="846"/>
      <c r="J4267" s="846"/>
      <c r="K4267" s="846"/>
      <c r="L4267" s="846"/>
      <c r="M4267" s="846"/>
      <c r="N4267" s="846"/>
      <c r="O4267" s="846"/>
      <c r="P4267" s="846"/>
      <c r="Q4267" s="846"/>
      <c r="R4267" s="846"/>
      <c r="S4267" s="846"/>
      <c r="T4267" s="846"/>
    </row>
    <row r="4268" spans="2:20" ht="38.25" hidden="1">
      <c r="B4268" s="828" t="s">
        <v>6547</v>
      </c>
      <c r="C4268" s="828">
        <v>93101</v>
      </c>
      <c r="D4268" s="630" t="s">
        <v>7325</v>
      </c>
      <c r="E4268" s="630" t="s">
        <v>646</v>
      </c>
      <c r="F4268" s="829">
        <v>28.3</v>
      </c>
      <c r="G4268" s="830">
        <v>7.37</v>
      </c>
      <c r="H4268" s="831">
        <v>35.67</v>
      </c>
      <c r="I4268" s="846"/>
      <c r="J4268" s="846"/>
      <c r="K4268" s="846"/>
      <c r="L4268" s="846"/>
      <c r="M4268" s="846"/>
      <c r="N4268" s="846"/>
      <c r="O4268" s="846"/>
      <c r="P4268" s="846"/>
      <c r="Q4268" s="846"/>
      <c r="R4268" s="846"/>
      <c r="S4268" s="846"/>
      <c r="T4268" s="846"/>
    </row>
    <row r="4269" spans="2:20" ht="38.25" hidden="1">
      <c r="B4269" s="828" t="s">
        <v>6547</v>
      </c>
      <c r="C4269" s="828">
        <v>93102</v>
      </c>
      <c r="D4269" s="630" t="s">
        <v>7326</v>
      </c>
      <c r="E4269" s="630" t="s">
        <v>646</v>
      </c>
      <c r="F4269" s="829">
        <v>25.43</v>
      </c>
      <c r="G4269" s="830">
        <v>12.94</v>
      </c>
      <c r="H4269" s="831">
        <v>38.369999999999997</v>
      </c>
      <c r="I4269" s="846"/>
      <c r="J4269" s="846"/>
      <c r="K4269" s="846"/>
      <c r="L4269" s="846"/>
      <c r="M4269" s="846"/>
      <c r="N4269" s="846"/>
      <c r="O4269" s="846"/>
      <c r="P4269" s="846"/>
      <c r="Q4269" s="846"/>
      <c r="R4269" s="846"/>
      <c r="S4269" s="846"/>
      <c r="T4269" s="846"/>
    </row>
    <row r="4270" spans="2:20" ht="38.25" hidden="1">
      <c r="B4270" s="828" t="s">
        <v>6547</v>
      </c>
      <c r="C4270" s="828">
        <v>93103</v>
      </c>
      <c r="D4270" s="630" t="s">
        <v>7327</v>
      </c>
      <c r="E4270" s="630" t="s">
        <v>646</v>
      </c>
      <c r="F4270" s="829">
        <v>5.33</v>
      </c>
      <c r="G4270" s="830">
        <v>4.43</v>
      </c>
      <c r="H4270" s="831">
        <v>9.76</v>
      </c>
      <c r="I4270" s="846"/>
      <c r="J4270" s="846"/>
      <c r="K4270" s="846"/>
      <c r="L4270" s="846"/>
      <c r="M4270" s="846"/>
      <c r="N4270" s="846"/>
      <c r="O4270" s="846"/>
      <c r="P4270" s="846"/>
      <c r="Q4270" s="846"/>
      <c r="R4270" s="846"/>
      <c r="S4270" s="846"/>
      <c r="T4270" s="846"/>
    </row>
    <row r="4271" spans="2:20" ht="38.25" hidden="1">
      <c r="B4271" s="828" t="s">
        <v>6547</v>
      </c>
      <c r="C4271" s="828">
        <v>93104</v>
      </c>
      <c r="D4271" s="630" t="s">
        <v>7328</v>
      </c>
      <c r="E4271" s="630" t="s">
        <v>646</v>
      </c>
      <c r="F4271" s="829">
        <v>16.47</v>
      </c>
      <c r="G4271" s="830">
        <v>3.74</v>
      </c>
      <c r="H4271" s="831">
        <v>20.21</v>
      </c>
      <c r="I4271" s="846"/>
      <c r="J4271" s="846"/>
      <c r="K4271" s="846"/>
      <c r="L4271" s="846"/>
      <c r="M4271" s="846"/>
      <c r="N4271" s="846"/>
      <c r="O4271" s="846"/>
      <c r="P4271" s="846"/>
      <c r="Q4271" s="846"/>
      <c r="R4271" s="846"/>
      <c r="S4271" s="846"/>
      <c r="T4271" s="846"/>
    </row>
    <row r="4272" spans="2:20" ht="38.25" hidden="1">
      <c r="B4272" s="828" t="s">
        <v>6547</v>
      </c>
      <c r="C4272" s="828">
        <v>93105</v>
      </c>
      <c r="D4272" s="630" t="s">
        <v>7329</v>
      </c>
      <c r="E4272" s="630" t="s">
        <v>646</v>
      </c>
      <c r="F4272" s="829">
        <v>21.79</v>
      </c>
      <c r="G4272" s="830">
        <v>4.4000000000000004</v>
      </c>
      <c r="H4272" s="831">
        <v>26.19</v>
      </c>
      <c r="I4272" s="846"/>
      <c r="J4272" s="846"/>
      <c r="K4272" s="846"/>
      <c r="L4272" s="846"/>
      <c r="M4272" s="846"/>
      <c r="N4272" s="846"/>
      <c r="O4272" s="846"/>
      <c r="P4272" s="846"/>
      <c r="Q4272" s="846"/>
      <c r="R4272" s="846"/>
      <c r="S4272" s="846"/>
      <c r="T4272" s="846"/>
    </row>
    <row r="4273" spans="2:20" ht="38.25" hidden="1">
      <c r="B4273" s="828" t="s">
        <v>6547</v>
      </c>
      <c r="C4273" s="828">
        <v>93106</v>
      </c>
      <c r="D4273" s="630" t="s">
        <v>7330</v>
      </c>
      <c r="E4273" s="630" t="s">
        <v>646</v>
      </c>
      <c r="F4273" s="829">
        <v>478.75</v>
      </c>
      <c r="G4273" s="830">
        <v>4.3899999999999997</v>
      </c>
      <c r="H4273" s="831">
        <v>483.14</v>
      </c>
      <c r="I4273" s="846"/>
      <c r="J4273" s="846"/>
      <c r="K4273" s="846"/>
      <c r="L4273" s="846"/>
      <c r="M4273" s="846"/>
      <c r="N4273" s="846"/>
      <c r="O4273" s="846"/>
      <c r="P4273" s="846"/>
      <c r="Q4273" s="846"/>
      <c r="R4273" s="846"/>
      <c r="S4273" s="846"/>
      <c r="T4273" s="846"/>
    </row>
    <row r="4274" spans="2:20" ht="38.25" hidden="1">
      <c r="B4274" s="828" t="s">
        <v>6547</v>
      </c>
      <c r="C4274" s="828">
        <v>93107</v>
      </c>
      <c r="D4274" s="630" t="s">
        <v>7331</v>
      </c>
      <c r="E4274" s="630" t="s">
        <v>646</v>
      </c>
      <c r="F4274" s="829">
        <v>10.89</v>
      </c>
      <c r="G4274" s="830">
        <v>6.7</v>
      </c>
      <c r="H4274" s="831">
        <v>17.59</v>
      </c>
      <c r="I4274" s="846"/>
      <c r="J4274" s="846"/>
      <c r="K4274" s="846"/>
      <c r="L4274" s="846"/>
      <c r="M4274" s="846"/>
      <c r="N4274" s="846"/>
      <c r="O4274" s="846"/>
      <c r="P4274" s="846"/>
      <c r="Q4274" s="846"/>
      <c r="R4274" s="846"/>
      <c r="S4274" s="846"/>
      <c r="T4274" s="846"/>
    </row>
    <row r="4275" spans="2:20" ht="38.25" hidden="1">
      <c r="B4275" s="828" t="s">
        <v>6547</v>
      </c>
      <c r="C4275" s="828">
        <v>93108</v>
      </c>
      <c r="D4275" s="630" t="s">
        <v>7332</v>
      </c>
      <c r="E4275" s="630" t="s">
        <v>646</v>
      </c>
      <c r="F4275" s="829">
        <v>9.26</v>
      </c>
      <c r="G4275" s="830">
        <v>5.56</v>
      </c>
      <c r="H4275" s="831">
        <v>14.82</v>
      </c>
      <c r="I4275" s="846"/>
      <c r="J4275" s="846"/>
      <c r="K4275" s="846"/>
      <c r="L4275" s="846"/>
      <c r="M4275" s="846"/>
      <c r="N4275" s="846"/>
      <c r="O4275" s="846"/>
      <c r="P4275" s="846"/>
      <c r="Q4275" s="846"/>
      <c r="R4275" s="846"/>
      <c r="S4275" s="846"/>
      <c r="T4275" s="846"/>
    </row>
    <row r="4276" spans="2:20" ht="38.25" hidden="1">
      <c r="B4276" s="828" t="s">
        <v>6547</v>
      </c>
      <c r="C4276" s="828">
        <v>93109</v>
      </c>
      <c r="D4276" s="630" t="s">
        <v>7333</v>
      </c>
      <c r="E4276" s="630" t="s">
        <v>646</v>
      </c>
      <c r="F4276" s="829">
        <v>556.29999999999995</v>
      </c>
      <c r="G4276" s="830">
        <v>6.67</v>
      </c>
      <c r="H4276" s="831">
        <v>562.97</v>
      </c>
      <c r="I4276" s="846"/>
      <c r="J4276" s="846"/>
      <c r="K4276" s="846"/>
      <c r="L4276" s="846"/>
      <c r="M4276" s="846"/>
      <c r="N4276" s="846"/>
      <c r="O4276" s="846"/>
      <c r="P4276" s="846"/>
      <c r="Q4276" s="846"/>
      <c r="R4276" s="846"/>
      <c r="S4276" s="846"/>
      <c r="T4276" s="846"/>
    </row>
    <row r="4277" spans="2:20" ht="38.25" hidden="1">
      <c r="B4277" s="828" t="s">
        <v>6547</v>
      </c>
      <c r="C4277" s="828">
        <v>93110</v>
      </c>
      <c r="D4277" s="630" t="s">
        <v>7334</v>
      </c>
      <c r="E4277" s="630" t="s">
        <v>646</v>
      </c>
      <c r="F4277" s="829">
        <v>17.36</v>
      </c>
      <c r="G4277" s="830">
        <v>4.8600000000000003</v>
      </c>
      <c r="H4277" s="831">
        <v>22.22</v>
      </c>
      <c r="I4277" s="846"/>
      <c r="J4277" s="846"/>
      <c r="K4277" s="846"/>
      <c r="L4277" s="846"/>
      <c r="M4277" s="846"/>
      <c r="N4277" s="846"/>
      <c r="O4277" s="846"/>
      <c r="P4277" s="846"/>
      <c r="Q4277" s="846"/>
      <c r="R4277" s="846"/>
      <c r="S4277" s="846"/>
      <c r="T4277" s="846"/>
    </row>
    <row r="4278" spans="2:20" ht="38.25" hidden="1">
      <c r="B4278" s="828" t="s">
        <v>6547</v>
      </c>
      <c r="C4278" s="828">
        <v>93111</v>
      </c>
      <c r="D4278" s="630" t="s">
        <v>7335</v>
      </c>
      <c r="E4278" s="630" t="s">
        <v>646</v>
      </c>
      <c r="F4278" s="829">
        <v>21.23</v>
      </c>
      <c r="G4278" s="830">
        <v>5.69</v>
      </c>
      <c r="H4278" s="831">
        <v>26.92</v>
      </c>
      <c r="I4278" s="846"/>
      <c r="J4278" s="846"/>
      <c r="K4278" s="846"/>
      <c r="L4278" s="846"/>
      <c r="M4278" s="846"/>
      <c r="N4278" s="846"/>
      <c r="O4278" s="846"/>
      <c r="P4278" s="846"/>
      <c r="Q4278" s="846"/>
      <c r="R4278" s="846"/>
      <c r="S4278" s="846"/>
      <c r="T4278" s="846"/>
    </row>
    <row r="4279" spans="2:20" ht="38.25" hidden="1">
      <c r="B4279" s="828" t="s">
        <v>6547</v>
      </c>
      <c r="C4279" s="828">
        <v>93112</v>
      </c>
      <c r="D4279" s="630" t="s">
        <v>7336</v>
      </c>
      <c r="E4279" s="630" t="s">
        <v>646</v>
      </c>
      <c r="F4279" s="829">
        <v>47.04</v>
      </c>
      <c r="G4279" s="830">
        <v>6.67</v>
      </c>
      <c r="H4279" s="831">
        <v>53.71</v>
      </c>
      <c r="I4279" s="846"/>
      <c r="J4279" s="846"/>
      <c r="K4279" s="846"/>
      <c r="L4279" s="846"/>
      <c r="M4279" s="846"/>
      <c r="N4279" s="846"/>
      <c r="O4279" s="846"/>
      <c r="P4279" s="846"/>
      <c r="Q4279" s="846"/>
      <c r="R4279" s="846"/>
      <c r="S4279" s="846"/>
      <c r="T4279" s="846"/>
    </row>
    <row r="4280" spans="2:20" ht="38.25" hidden="1">
      <c r="B4280" s="828" t="s">
        <v>6547</v>
      </c>
      <c r="C4280" s="828">
        <v>93113</v>
      </c>
      <c r="D4280" s="630" t="s">
        <v>7337</v>
      </c>
      <c r="E4280" s="630" t="s">
        <v>646</v>
      </c>
      <c r="F4280" s="829">
        <v>16.55</v>
      </c>
      <c r="G4280" s="830">
        <v>8.6199999999999992</v>
      </c>
      <c r="H4280" s="831">
        <v>25.17</v>
      </c>
      <c r="I4280" s="846"/>
      <c r="J4280" s="846"/>
      <c r="K4280" s="846"/>
      <c r="L4280" s="846"/>
      <c r="M4280" s="846"/>
      <c r="N4280" s="846"/>
      <c r="O4280" s="846"/>
      <c r="P4280" s="846"/>
      <c r="Q4280" s="846"/>
      <c r="R4280" s="846"/>
      <c r="S4280" s="846"/>
      <c r="T4280" s="846"/>
    </row>
    <row r="4281" spans="2:20" ht="38.25" hidden="1">
      <c r="B4281" s="828" t="s">
        <v>6547</v>
      </c>
      <c r="C4281" s="828">
        <v>93114</v>
      </c>
      <c r="D4281" s="630" t="s">
        <v>7338</v>
      </c>
      <c r="E4281" s="630" t="s">
        <v>646</v>
      </c>
      <c r="F4281" s="829">
        <v>29.19</v>
      </c>
      <c r="G4281" s="830">
        <v>5.85</v>
      </c>
      <c r="H4281" s="831">
        <v>35.04</v>
      </c>
      <c r="I4281" s="846"/>
      <c r="J4281" s="846"/>
      <c r="K4281" s="846"/>
      <c r="L4281" s="846"/>
      <c r="M4281" s="846"/>
      <c r="N4281" s="846"/>
      <c r="O4281" s="846"/>
      <c r="P4281" s="846"/>
      <c r="Q4281" s="846"/>
      <c r="R4281" s="846"/>
      <c r="S4281" s="846"/>
      <c r="T4281" s="846"/>
    </row>
    <row r="4282" spans="2:20" ht="38.25" hidden="1">
      <c r="B4282" s="828" t="s">
        <v>6547</v>
      </c>
      <c r="C4282" s="828">
        <v>93115</v>
      </c>
      <c r="D4282" s="630" t="s">
        <v>7339</v>
      </c>
      <c r="E4282" s="630" t="s">
        <v>646</v>
      </c>
      <c r="F4282" s="829">
        <v>82.98</v>
      </c>
      <c r="G4282" s="830">
        <v>8.6</v>
      </c>
      <c r="H4282" s="831">
        <v>91.58</v>
      </c>
      <c r="I4282" s="846"/>
      <c r="J4282" s="846"/>
      <c r="K4282" s="846"/>
      <c r="L4282" s="846"/>
      <c r="M4282" s="846"/>
      <c r="N4282" s="846"/>
      <c r="O4282" s="846"/>
      <c r="P4282" s="846"/>
      <c r="Q4282" s="846"/>
      <c r="R4282" s="846"/>
      <c r="S4282" s="846"/>
      <c r="T4282" s="846"/>
    </row>
    <row r="4283" spans="2:20" ht="38.25" hidden="1">
      <c r="B4283" s="828" t="s">
        <v>6547</v>
      </c>
      <c r="C4283" s="828">
        <v>93116</v>
      </c>
      <c r="D4283" s="630" t="s">
        <v>7340</v>
      </c>
      <c r="E4283" s="630" t="s">
        <v>646</v>
      </c>
      <c r="F4283" s="829">
        <v>611.79</v>
      </c>
      <c r="G4283" s="830">
        <v>8.6</v>
      </c>
      <c r="H4283" s="831">
        <v>620.39</v>
      </c>
      <c r="I4283" s="846"/>
      <c r="J4283" s="846"/>
      <c r="K4283" s="846"/>
      <c r="L4283" s="846"/>
      <c r="M4283" s="846"/>
      <c r="N4283" s="846"/>
      <c r="O4283" s="846"/>
      <c r="P4283" s="846"/>
      <c r="Q4283" s="846"/>
      <c r="R4283" s="846"/>
      <c r="S4283" s="846"/>
      <c r="T4283" s="846"/>
    </row>
    <row r="4284" spans="2:20" ht="38.25" hidden="1">
      <c r="B4284" s="828" t="s">
        <v>6547</v>
      </c>
      <c r="C4284" s="828">
        <v>93117</v>
      </c>
      <c r="D4284" s="630" t="s">
        <v>7341</v>
      </c>
      <c r="E4284" s="630" t="s">
        <v>646</v>
      </c>
      <c r="F4284" s="829">
        <v>56.61</v>
      </c>
      <c r="G4284" s="830">
        <v>6</v>
      </c>
      <c r="H4284" s="831">
        <v>62.61</v>
      </c>
      <c r="I4284" s="846"/>
      <c r="J4284" s="846"/>
      <c r="K4284" s="846"/>
      <c r="L4284" s="846"/>
      <c r="M4284" s="846"/>
      <c r="N4284" s="846"/>
      <c r="O4284" s="846"/>
      <c r="P4284" s="846"/>
      <c r="Q4284" s="846"/>
      <c r="R4284" s="846"/>
      <c r="S4284" s="846"/>
      <c r="T4284" s="846"/>
    </row>
    <row r="4285" spans="2:20" ht="38.25" hidden="1">
      <c r="B4285" s="828" t="s">
        <v>6547</v>
      </c>
      <c r="C4285" s="828">
        <v>93118</v>
      </c>
      <c r="D4285" s="630" t="s">
        <v>7342</v>
      </c>
      <c r="E4285" s="630" t="s">
        <v>646</v>
      </c>
      <c r="F4285" s="829">
        <v>83.13</v>
      </c>
      <c r="G4285" s="830">
        <v>9.16</v>
      </c>
      <c r="H4285" s="831">
        <v>92.29</v>
      </c>
      <c r="I4285" s="846"/>
      <c r="J4285" s="846"/>
      <c r="K4285" s="846"/>
      <c r="L4285" s="846"/>
      <c r="M4285" s="846"/>
      <c r="N4285" s="846"/>
      <c r="O4285" s="846"/>
      <c r="P4285" s="846"/>
      <c r="Q4285" s="846"/>
      <c r="R4285" s="846"/>
      <c r="S4285" s="846"/>
      <c r="T4285" s="846"/>
    </row>
    <row r="4286" spans="2:20" ht="38.25" hidden="1">
      <c r="B4286" s="828" t="s">
        <v>6547</v>
      </c>
      <c r="C4286" s="828">
        <v>93119</v>
      </c>
      <c r="D4286" s="630" t="s">
        <v>7343</v>
      </c>
      <c r="E4286" s="630" t="s">
        <v>646</v>
      </c>
      <c r="F4286" s="829">
        <v>14.85</v>
      </c>
      <c r="G4286" s="830">
        <v>3.82</v>
      </c>
      <c r="H4286" s="831">
        <v>18.670000000000002</v>
      </c>
      <c r="I4286" s="846"/>
      <c r="J4286" s="846"/>
      <c r="K4286" s="846"/>
      <c r="L4286" s="846"/>
      <c r="M4286" s="846"/>
      <c r="N4286" s="846"/>
      <c r="O4286" s="846"/>
      <c r="P4286" s="846"/>
      <c r="Q4286" s="846"/>
      <c r="R4286" s="846"/>
      <c r="S4286" s="846"/>
      <c r="T4286" s="846"/>
    </row>
    <row r="4287" spans="2:20" ht="38.25" hidden="1">
      <c r="B4287" s="828" t="s">
        <v>6547</v>
      </c>
      <c r="C4287" s="828">
        <v>93120</v>
      </c>
      <c r="D4287" s="630" t="s">
        <v>7344</v>
      </c>
      <c r="E4287" s="630" t="s">
        <v>646</v>
      </c>
      <c r="F4287" s="829">
        <v>24.42</v>
      </c>
      <c r="G4287" s="830">
        <v>3.43</v>
      </c>
      <c r="H4287" s="832">
        <v>27.85</v>
      </c>
      <c r="I4287" s="846"/>
      <c r="J4287" s="846"/>
      <c r="K4287" s="846"/>
      <c r="L4287" s="846"/>
      <c r="M4287" s="846"/>
      <c r="N4287" s="846"/>
      <c r="O4287" s="846"/>
      <c r="P4287" s="846"/>
      <c r="Q4287" s="846"/>
      <c r="R4287" s="846"/>
      <c r="S4287" s="846"/>
      <c r="T4287" s="846"/>
    </row>
    <row r="4288" spans="2:20" ht="38.25" hidden="1">
      <c r="B4288" s="828" t="s">
        <v>6547</v>
      </c>
      <c r="C4288" s="828">
        <v>93121</v>
      </c>
      <c r="D4288" s="630" t="s">
        <v>7345</v>
      </c>
      <c r="E4288" s="630" t="s">
        <v>646</v>
      </c>
      <c r="F4288" s="829">
        <v>27.39</v>
      </c>
      <c r="G4288" s="830">
        <v>4.25</v>
      </c>
      <c r="H4288" s="831">
        <v>31.64</v>
      </c>
      <c r="I4288" s="846"/>
      <c r="J4288" s="846"/>
      <c r="K4288" s="846"/>
      <c r="L4288" s="846"/>
      <c r="M4288" s="846"/>
      <c r="N4288" s="846"/>
      <c r="O4288" s="846"/>
      <c r="P4288" s="846"/>
      <c r="Q4288" s="846"/>
      <c r="R4288" s="846"/>
      <c r="S4288" s="846"/>
      <c r="T4288" s="846"/>
    </row>
    <row r="4289" spans="2:20" ht="38.25" hidden="1">
      <c r="B4289" s="828" t="s">
        <v>6547</v>
      </c>
      <c r="C4289" s="828">
        <v>93122</v>
      </c>
      <c r="D4289" s="630" t="s">
        <v>7346</v>
      </c>
      <c r="E4289" s="630" t="s">
        <v>646</v>
      </c>
      <c r="F4289" s="829">
        <v>23.09</v>
      </c>
      <c r="G4289" s="830">
        <v>4.9000000000000004</v>
      </c>
      <c r="H4289" s="831">
        <v>27.99</v>
      </c>
      <c r="I4289" s="846"/>
      <c r="J4289" s="846"/>
      <c r="K4289" s="846"/>
      <c r="L4289" s="846"/>
      <c r="M4289" s="846"/>
      <c r="N4289" s="846"/>
      <c r="O4289" s="846"/>
      <c r="P4289" s="846"/>
      <c r="Q4289" s="846"/>
      <c r="R4289" s="846"/>
      <c r="S4289" s="846"/>
      <c r="T4289" s="846"/>
    </row>
    <row r="4290" spans="2:20" ht="38.25" hidden="1">
      <c r="B4290" s="828" t="s">
        <v>6547</v>
      </c>
      <c r="C4290" s="828">
        <v>93123</v>
      </c>
      <c r="D4290" s="630" t="s">
        <v>7347</v>
      </c>
      <c r="E4290" s="630" t="s">
        <v>646</v>
      </c>
      <c r="F4290" s="829">
        <v>56.03</v>
      </c>
      <c r="G4290" s="830">
        <v>6.18</v>
      </c>
      <c r="H4290" s="832">
        <v>62.21</v>
      </c>
      <c r="I4290" s="846"/>
      <c r="J4290" s="846"/>
      <c r="K4290" s="846"/>
      <c r="L4290" s="846"/>
      <c r="M4290" s="846"/>
      <c r="N4290" s="846"/>
      <c r="O4290" s="846"/>
      <c r="P4290" s="846"/>
      <c r="Q4290" s="846"/>
      <c r="R4290" s="846"/>
      <c r="S4290" s="846"/>
      <c r="T4290" s="846"/>
    </row>
    <row r="4291" spans="2:20" ht="38.25" hidden="1">
      <c r="B4291" s="828" t="s">
        <v>6547</v>
      </c>
      <c r="C4291" s="828">
        <v>93124</v>
      </c>
      <c r="D4291" s="630" t="s">
        <v>7348</v>
      </c>
      <c r="E4291" s="630" t="s">
        <v>646</v>
      </c>
      <c r="F4291" s="829">
        <v>90.13</v>
      </c>
      <c r="G4291" s="830">
        <v>7.47</v>
      </c>
      <c r="H4291" s="831">
        <v>97.6</v>
      </c>
      <c r="I4291" s="846"/>
      <c r="J4291" s="846"/>
      <c r="K4291" s="846"/>
      <c r="L4291" s="846"/>
      <c r="M4291" s="846"/>
      <c r="N4291" s="846"/>
      <c r="O4291" s="846"/>
      <c r="P4291" s="846"/>
      <c r="Q4291" s="846"/>
      <c r="R4291" s="846"/>
      <c r="S4291" s="846"/>
      <c r="T4291" s="846"/>
    </row>
    <row r="4292" spans="2:20" ht="38.25" hidden="1">
      <c r="B4292" s="828" t="s">
        <v>6547</v>
      </c>
      <c r="C4292" s="828">
        <v>93125</v>
      </c>
      <c r="D4292" s="630" t="s">
        <v>7349</v>
      </c>
      <c r="E4292" s="630" t="s">
        <v>646</v>
      </c>
      <c r="F4292" s="829">
        <v>133.75</v>
      </c>
      <c r="G4292" s="830">
        <v>9.68</v>
      </c>
      <c r="H4292" s="831">
        <v>143.43</v>
      </c>
      <c r="I4292" s="846"/>
      <c r="J4292" s="846"/>
      <c r="K4292" s="846"/>
      <c r="L4292" s="846"/>
      <c r="M4292" s="846"/>
      <c r="N4292" s="846"/>
      <c r="O4292" s="846"/>
      <c r="P4292" s="846"/>
      <c r="Q4292" s="846"/>
      <c r="R4292" s="846"/>
      <c r="S4292" s="846"/>
      <c r="T4292" s="846"/>
    </row>
    <row r="4293" spans="2:20" ht="38.25" hidden="1">
      <c r="B4293" s="828" t="s">
        <v>6547</v>
      </c>
      <c r="C4293" s="828">
        <v>93126</v>
      </c>
      <c r="D4293" s="630" t="s">
        <v>7350</v>
      </c>
      <c r="E4293" s="630" t="s">
        <v>646</v>
      </c>
      <c r="F4293" s="829">
        <v>304.52999999999997</v>
      </c>
      <c r="G4293" s="830">
        <v>11.9</v>
      </c>
      <c r="H4293" s="831">
        <v>316.43</v>
      </c>
      <c r="I4293" s="846"/>
      <c r="J4293" s="846"/>
      <c r="K4293" s="846"/>
      <c r="L4293" s="846"/>
      <c r="M4293" s="846"/>
      <c r="N4293" s="846"/>
      <c r="O4293" s="846"/>
      <c r="P4293" s="846"/>
      <c r="Q4293" s="846"/>
      <c r="R4293" s="846"/>
      <c r="S4293" s="846"/>
      <c r="T4293" s="846"/>
    </row>
    <row r="4294" spans="2:20" ht="38.25" hidden="1">
      <c r="B4294" s="828" t="s">
        <v>6547</v>
      </c>
      <c r="C4294" s="828">
        <v>93133</v>
      </c>
      <c r="D4294" s="630" t="s">
        <v>7351</v>
      </c>
      <c r="E4294" s="630" t="s">
        <v>646</v>
      </c>
      <c r="F4294" s="829">
        <v>13.66</v>
      </c>
      <c r="G4294" s="830">
        <v>7.66</v>
      </c>
      <c r="H4294" s="831">
        <v>21.32</v>
      </c>
      <c r="I4294" s="846"/>
      <c r="J4294" s="846"/>
      <c r="K4294" s="846"/>
      <c r="L4294" s="846"/>
      <c r="M4294" s="846"/>
      <c r="N4294" s="846"/>
      <c r="O4294" s="846"/>
      <c r="P4294" s="846"/>
      <c r="Q4294" s="846"/>
      <c r="R4294" s="846"/>
      <c r="S4294" s="846"/>
      <c r="T4294" s="846"/>
    </row>
    <row r="4295" spans="2:20" ht="51" hidden="1">
      <c r="B4295" s="828" t="s">
        <v>6547</v>
      </c>
      <c r="C4295" s="828">
        <v>94465</v>
      </c>
      <c r="D4295" s="630" t="s">
        <v>1376</v>
      </c>
      <c r="E4295" s="630" t="s">
        <v>646</v>
      </c>
      <c r="F4295" s="829">
        <v>41.6</v>
      </c>
      <c r="G4295" s="830">
        <v>14.91</v>
      </c>
      <c r="H4295" s="831">
        <v>56.51</v>
      </c>
      <c r="I4295" s="846"/>
      <c r="J4295" s="846"/>
      <c r="K4295" s="846"/>
      <c r="L4295" s="846"/>
      <c r="M4295" s="846"/>
      <c r="N4295" s="846"/>
      <c r="O4295" s="846"/>
      <c r="P4295" s="846"/>
      <c r="Q4295" s="846"/>
      <c r="R4295" s="846"/>
      <c r="S4295" s="846"/>
      <c r="T4295" s="846"/>
    </row>
    <row r="4296" spans="2:20" ht="51" hidden="1">
      <c r="B4296" s="828" t="s">
        <v>6547</v>
      </c>
      <c r="C4296" s="828">
        <v>94466</v>
      </c>
      <c r="D4296" s="630" t="s">
        <v>1377</v>
      </c>
      <c r="E4296" s="630" t="s">
        <v>646</v>
      </c>
      <c r="F4296" s="829">
        <v>41.63</v>
      </c>
      <c r="G4296" s="830">
        <v>14.91</v>
      </c>
      <c r="H4296" s="831">
        <v>56.54</v>
      </c>
      <c r="I4296" s="846"/>
      <c r="J4296" s="846"/>
      <c r="K4296" s="846"/>
      <c r="L4296" s="846"/>
      <c r="M4296" s="846"/>
      <c r="N4296" s="846"/>
      <c r="O4296" s="846"/>
      <c r="P4296" s="846"/>
      <c r="Q4296" s="846"/>
      <c r="R4296" s="846"/>
      <c r="S4296" s="846"/>
      <c r="T4296" s="846"/>
    </row>
    <row r="4297" spans="2:20" ht="51" hidden="1">
      <c r="B4297" s="828" t="s">
        <v>6547</v>
      </c>
      <c r="C4297" s="828">
        <v>94467</v>
      </c>
      <c r="D4297" s="630" t="s">
        <v>1378</v>
      </c>
      <c r="E4297" s="630" t="s">
        <v>646</v>
      </c>
      <c r="F4297" s="829">
        <v>71.97</v>
      </c>
      <c r="G4297" s="830">
        <v>14.9</v>
      </c>
      <c r="H4297" s="831">
        <v>86.87</v>
      </c>
      <c r="I4297" s="846"/>
      <c r="J4297" s="846"/>
      <c r="K4297" s="846"/>
      <c r="L4297" s="846"/>
      <c r="M4297" s="846"/>
      <c r="N4297" s="846"/>
      <c r="O4297" s="846"/>
      <c r="P4297" s="846"/>
      <c r="Q4297" s="846"/>
      <c r="R4297" s="846"/>
      <c r="S4297" s="846"/>
      <c r="T4297" s="846"/>
    </row>
    <row r="4298" spans="2:20" ht="51" hidden="1">
      <c r="B4298" s="828" t="s">
        <v>6547</v>
      </c>
      <c r="C4298" s="828">
        <v>94468</v>
      </c>
      <c r="D4298" s="630" t="s">
        <v>1379</v>
      </c>
      <c r="E4298" s="630" t="s">
        <v>646</v>
      </c>
      <c r="F4298" s="829">
        <v>61.19</v>
      </c>
      <c r="G4298" s="830">
        <v>14.9</v>
      </c>
      <c r="H4298" s="831">
        <v>76.09</v>
      </c>
      <c r="I4298" s="846"/>
      <c r="J4298" s="846"/>
      <c r="K4298" s="846"/>
      <c r="L4298" s="846"/>
      <c r="M4298" s="846"/>
      <c r="N4298" s="846"/>
      <c r="O4298" s="846"/>
      <c r="P4298" s="846"/>
      <c r="Q4298" s="846"/>
      <c r="R4298" s="846"/>
      <c r="S4298" s="846"/>
      <c r="T4298" s="846"/>
    </row>
    <row r="4299" spans="2:20" ht="51" hidden="1">
      <c r="B4299" s="828" t="s">
        <v>6547</v>
      </c>
      <c r="C4299" s="828">
        <v>94469</v>
      </c>
      <c r="D4299" s="630" t="s">
        <v>1380</v>
      </c>
      <c r="E4299" s="630" t="s">
        <v>646</v>
      </c>
      <c r="F4299" s="829">
        <v>107.35</v>
      </c>
      <c r="G4299" s="830">
        <v>18.63</v>
      </c>
      <c r="H4299" s="831">
        <v>125.98</v>
      </c>
      <c r="I4299" s="846"/>
      <c r="J4299" s="846"/>
      <c r="K4299" s="846"/>
      <c r="L4299" s="846"/>
      <c r="M4299" s="846"/>
      <c r="N4299" s="846"/>
      <c r="O4299" s="846"/>
      <c r="P4299" s="846"/>
      <c r="Q4299" s="846"/>
      <c r="R4299" s="846"/>
      <c r="S4299" s="846"/>
      <c r="T4299" s="846"/>
    </row>
    <row r="4300" spans="2:20" ht="51" hidden="1">
      <c r="B4300" s="828" t="s">
        <v>6547</v>
      </c>
      <c r="C4300" s="828">
        <v>94470</v>
      </c>
      <c r="D4300" s="630" t="s">
        <v>1381</v>
      </c>
      <c r="E4300" s="630" t="s">
        <v>646</v>
      </c>
      <c r="F4300" s="829">
        <v>97.76</v>
      </c>
      <c r="G4300" s="830">
        <v>18.63</v>
      </c>
      <c r="H4300" s="831">
        <v>116.39</v>
      </c>
      <c r="I4300" s="846"/>
      <c r="J4300" s="846"/>
      <c r="K4300" s="846"/>
      <c r="L4300" s="846"/>
      <c r="M4300" s="846"/>
      <c r="N4300" s="846"/>
      <c r="O4300" s="846"/>
      <c r="P4300" s="846"/>
      <c r="Q4300" s="846"/>
      <c r="R4300" s="846"/>
      <c r="S4300" s="846"/>
      <c r="T4300" s="846"/>
    </row>
    <row r="4301" spans="2:20" ht="51" hidden="1">
      <c r="B4301" s="828" t="s">
        <v>6547</v>
      </c>
      <c r="C4301" s="828">
        <v>94471</v>
      </c>
      <c r="D4301" s="630" t="s">
        <v>1382</v>
      </c>
      <c r="E4301" s="630" t="s">
        <v>646</v>
      </c>
      <c r="F4301" s="829">
        <v>59.21</v>
      </c>
      <c r="G4301" s="830">
        <v>22.36</v>
      </c>
      <c r="H4301" s="831">
        <v>81.569999999999993</v>
      </c>
      <c r="I4301" s="846"/>
      <c r="J4301" s="846"/>
      <c r="K4301" s="846"/>
      <c r="L4301" s="846"/>
      <c r="M4301" s="846"/>
      <c r="N4301" s="846"/>
      <c r="O4301" s="846"/>
      <c r="P4301" s="846"/>
      <c r="Q4301" s="846"/>
      <c r="R4301" s="846"/>
      <c r="S4301" s="846"/>
      <c r="T4301" s="846"/>
    </row>
    <row r="4302" spans="2:20" ht="51" hidden="1">
      <c r="B4302" s="828" t="s">
        <v>6547</v>
      </c>
      <c r="C4302" s="828">
        <v>94472</v>
      </c>
      <c r="D4302" s="630" t="s">
        <v>1383</v>
      </c>
      <c r="E4302" s="630" t="s">
        <v>646</v>
      </c>
      <c r="F4302" s="829">
        <v>61.61</v>
      </c>
      <c r="G4302" s="830">
        <v>22.36</v>
      </c>
      <c r="H4302" s="831">
        <v>83.97</v>
      </c>
      <c r="I4302" s="846"/>
      <c r="J4302" s="846"/>
      <c r="K4302" s="846"/>
      <c r="L4302" s="846"/>
      <c r="M4302" s="846"/>
      <c r="N4302" s="846"/>
      <c r="O4302" s="846"/>
      <c r="P4302" s="846"/>
      <c r="Q4302" s="846"/>
      <c r="R4302" s="846"/>
      <c r="S4302" s="846"/>
      <c r="T4302" s="846"/>
    </row>
    <row r="4303" spans="2:20" ht="51" hidden="1">
      <c r="B4303" s="828" t="s">
        <v>6547</v>
      </c>
      <c r="C4303" s="828">
        <v>94473</v>
      </c>
      <c r="D4303" s="630" t="s">
        <v>1384</v>
      </c>
      <c r="E4303" s="630" t="s">
        <v>646</v>
      </c>
      <c r="F4303" s="829">
        <v>102.11</v>
      </c>
      <c r="G4303" s="830">
        <v>22.35</v>
      </c>
      <c r="H4303" s="831">
        <v>124.46</v>
      </c>
      <c r="I4303" s="846"/>
      <c r="J4303" s="846"/>
      <c r="K4303" s="846"/>
      <c r="L4303" s="846"/>
      <c r="M4303" s="846"/>
      <c r="N4303" s="846"/>
      <c r="O4303" s="846"/>
      <c r="P4303" s="846"/>
      <c r="Q4303" s="846"/>
      <c r="R4303" s="846"/>
      <c r="S4303" s="846"/>
      <c r="T4303" s="846"/>
    </row>
    <row r="4304" spans="2:20" ht="51" hidden="1">
      <c r="B4304" s="828" t="s">
        <v>6547</v>
      </c>
      <c r="C4304" s="828">
        <v>94474</v>
      </c>
      <c r="D4304" s="630" t="s">
        <v>1385</v>
      </c>
      <c r="E4304" s="630" t="s">
        <v>646</v>
      </c>
      <c r="F4304" s="829">
        <v>112.65</v>
      </c>
      <c r="G4304" s="830">
        <v>22.35</v>
      </c>
      <c r="H4304" s="831">
        <v>135</v>
      </c>
      <c r="I4304" s="846"/>
      <c r="J4304" s="846"/>
      <c r="K4304" s="846"/>
      <c r="L4304" s="846"/>
      <c r="M4304" s="846"/>
      <c r="N4304" s="846"/>
      <c r="O4304" s="846"/>
      <c r="P4304" s="846"/>
      <c r="Q4304" s="846"/>
      <c r="R4304" s="846"/>
      <c r="S4304" s="846"/>
      <c r="T4304" s="846"/>
    </row>
    <row r="4305" spans="2:20" ht="51" hidden="1">
      <c r="B4305" s="828" t="s">
        <v>6547</v>
      </c>
      <c r="C4305" s="828">
        <v>94475</v>
      </c>
      <c r="D4305" s="630" t="s">
        <v>1386</v>
      </c>
      <c r="E4305" s="630" t="s">
        <v>646</v>
      </c>
      <c r="F4305" s="829">
        <v>142.91999999999999</v>
      </c>
      <c r="G4305" s="830">
        <v>27.93</v>
      </c>
      <c r="H4305" s="831">
        <v>170.85</v>
      </c>
      <c r="I4305" s="846"/>
      <c r="J4305" s="846"/>
      <c r="K4305" s="846"/>
      <c r="L4305" s="846"/>
      <c r="M4305" s="846"/>
      <c r="N4305" s="846"/>
      <c r="O4305" s="846"/>
      <c r="P4305" s="846"/>
      <c r="Q4305" s="846"/>
      <c r="R4305" s="846"/>
      <c r="S4305" s="846"/>
      <c r="T4305" s="846"/>
    </row>
    <row r="4306" spans="2:20" ht="51" hidden="1">
      <c r="B4306" s="828" t="s">
        <v>6547</v>
      </c>
      <c r="C4306" s="828">
        <v>94476</v>
      </c>
      <c r="D4306" s="630" t="s">
        <v>1387</v>
      </c>
      <c r="E4306" s="630" t="s">
        <v>646</v>
      </c>
      <c r="F4306" s="829">
        <v>163.24</v>
      </c>
      <c r="G4306" s="830">
        <v>27.93</v>
      </c>
      <c r="H4306" s="831">
        <v>191.17</v>
      </c>
      <c r="I4306" s="846"/>
      <c r="J4306" s="846"/>
      <c r="K4306" s="846"/>
      <c r="L4306" s="846"/>
      <c r="M4306" s="846"/>
      <c r="N4306" s="846"/>
      <c r="O4306" s="846"/>
      <c r="P4306" s="846"/>
      <c r="Q4306" s="846"/>
      <c r="R4306" s="846"/>
      <c r="S4306" s="846"/>
      <c r="T4306" s="846"/>
    </row>
    <row r="4307" spans="2:20" ht="38.25" hidden="1">
      <c r="B4307" s="828" t="s">
        <v>6547</v>
      </c>
      <c r="C4307" s="828">
        <v>94477</v>
      </c>
      <c r="D4307" s="630" t="s">
        <v>1388</v>
      </c>
      <c r="E4307" s="630" t="s">
        <v>646</v>
      </c>
      <c r="F4307" s="829">
        <v>78.78</v>
      </c>
      <c r="G4307" s="830">
        <v>29.78</v>
      </c>
      <c r="H4307" s="831">
        <v>108.56</v>
      </c>
      <c r="I4307" s="846"/>
      <c r="J4307" s="846"/>
      <c r="K4307" s="846"/>
      <c r="L4307" s="846"/>
      <c r="M4307" s="846"/>
      <c r="N4307" s="846"/>
      <c r="O4307" s="846"/>
      <c r="P4307" s="846"/>
      <c r="Q4307" s="846"/>
      <c r="R4307" s="846"/>
      <c r="S4307" s="846"/>
      <c r="T4307" s="846"/>
    </row>
    <row r="4308" spans="2:20" ht="51" hidden="1">
      <c r="B4308" s="828" t="s">
        <v>6547</v>
      </c>
      <c r="C4308" s="828">
        <v>94478</v>
      </c>
      <c r="D4308" s="630" t="s">
        <v>1178</v>
      </c>
      <c r="E4308" s="630" t="s">
        <v>646</v>
      </c>
      <c r="F4308" s="829">
        <v>141.29</v>
      </c>
      <c r="G4308" s="830">
        <v>29.78</v>
      </c>
      <c r="H4308" s="831">
        <v>171.07</v>
      </c>
      <c r="I4308" s="846"/>
      <c r="J4308" s="846"/>
      <c r="K4308" s="846"/>
      <c r="L4308" s="846"/>
      <c r="M4308" s="846"/>
      <c r="N4308" s="846"/>
      <c r="O4308" s="846"/>
      <c r="P4308" s="846"/>
      <c r="Q4308" s="846"/>
      <c r="R4308" s="846"/>
      <c r="S4308" s="846"/>
      <c r="T4308" s="846"/>
    </row>
    <row r="4309" spans="2:20" ht="38.25" hidden="1">
      <c r="B4309" s="828" t="s">
        <v>6547</v>
      </c>
      <c r="C4309" s="828">
        <v>94479</v>
      </c>
      <c r="D4309" s="630" t="s">
        <v>1179</v>
      </c>
      <c r="E4309" s="630" t="s">
        <v>646</v>
      </c>
      <c r="F4309" s="829">
        <v>188.45</v>
      </c>
      <c r="G4309" s="830">
        <v>37.229999999999997</v>
      </c>
      <c r="H4309" s="831">
        <v>225.68</v>
      </c>
      <c r="I4309" s="846"/>
      <c r="J4309" s="846"/>
      <c r="K4309" s="846"/>
      <c r="L4309" s="846"/>
      <c r="M4309" s="846"/>
      <c r="N4309" s="846"/>
      <c r="O4309" s="846"/>
      <c r="P4309" s="846"/>
      <c r="Q4309" s="846"/>
      <c r="R4309" s="846"/>
      <c r="S4309" s="846"/>
      <c r="T4309" s="846"/>
    </row>
    <row r="4310" spans="2:20" ht="38.25" hidden="1">
      <c r="B4310" s="828" t="s">
        <v>6547</v>
      </c>
      <c r="C4310" s="828">
        <v>94606</v>
      </c>
      <c r="D4310" s="630" t="s">
        <v>3030</v>
      </c>
      <c r="E4310" s="630" t="s">
        <v>646</v>
      </c>
      <c r="F4310" s="829">
        <v>69.5</v>
      </c>
      <c r="G4310" s="830">
        <v>17.52</v>
      </c>
      <c r="H4310" s="831">
        <v>87.02</v>
      </c>
      <c r="I4310" s="846"/>
      <c r="J4310" s="846"/>
      <c r="K4310" s="846"/>
      <c r="L4310" s="846"/>
      <c r="M4310" s="846"/>
      <c r="N4310" s="846"/>
      <c r="O4310" s="846"/>
      <c r="P4310" s="846"/>
      <c r="Q4310" s="846"/>
      <c r="R4310" s="846"/>
      <c r="S4310" s="846"/>
      <c r="T4310" s="846"/>
    </row>
    <row r="4311" spans="2:20" ht="38.25" hidden="1">
      <c r="B4311" s="828" t="s">
        <v>6547</v>
      </c>
      <c r="C4311" s="828">
        <v>94608</v>
      </c>
      <c r="D4311" s="630" t="s">
        <v>3031</v>
      </c>
      <c r="E4311" s="630" t="s">
        <v>646</v>
      </c>
      <c r="F4311" s="829">
        <v>192.93</v>
      </c>
      <c r="G4311" s="830">
        <v>17.510000000000002</v>
      </c>
      <c r="H4311" s="831">
        <v>210.44</v>
      </c>
      <c r="I4311" s="846"/>
      <c r="J4311" s="846"/>
      <c r="K4311" s="846"/>
      <c r="L4311" s="846"/>
      <c r="M4311" s="846"/>
      <c r="N4311" s="846"/>
      <c r="O4311" s="846"/>
      <c r="P4311" s="846"/>
      <c r="Q4311" s="846"/>
      <c r="R4311" s="846"/>
      <c r="S4311" s="846"/>
      <c r="T4311" s="846"/>
    </row>
    <row r="4312" spans="2:20" ht="38.25" hidden="1">
      <c r="B4312" s="828" t="s">
        <v>6547</v>
      </c>
      <c r="C4312" s="828">
        <v>94610</v>
      </c>
      <c r="D4312" s="630" t="s">
        <v>3032</v>
      </c>
      <c r="E4312" s="630" t="s">
        <v>646</v>
      </c>
      <c r="F4312" s="829">
        <v>292.57</v>
      </c>
      <c r="G4312" s="830">
        <v>19.100000000000001</v>
      </c>
      <c r="H4312" s="831">
        <v>311.67</v>
      </c>
      <c r="I4312" s="846"/>
      <c r="J4312" s="846"/>
      <c r="K4312" s="846"/>
      <c r="L4312" s="846"/>
      <c r="M4312" s="846"/>
      <c r="N4312" s="846"/>
      <c r="O4312" s="846"/>
      <c r="P4312" s="846"/>
      <c r="Q4312" s="846"/>
      <c r="R4312" s="846"/>
      <c r="S4312" s="846"/>
      <c r="T4312" s="846"/>
    </row>
    <row r="4313" spans="2:20" ht="38.25" hidden="1">
      <c r="B4313" s="828" t="s">
        <v>6547</v>
      </c>
      <c r="C4313" s="828">
        <v>94612</v>
      </c>
      <c r="D4313" s="630" t="s">
        <v>3033</v>
      </c>
      <c r="E4313" s="630" t="s">
        <v>646</v>
      </c>
      <c r="F4313" s="829">
        <v>417.17</v>
      </c>
      <c r="G4313" s="830">
        <v>19.100000000000001</v>
      </c>
      <c r="H4313" s="831">
        <v>436.27</v>
      </c>
      <c r="I4313" s="846"/>
      <c r="J4313" s="846"/>
      <c r="K4313" s="846"/>
      <c r="L4313" s="846"/>
      <c r="M4313" s="846"/>
      <c r="N4313" s="846"/>
      <c r="O4313" s="846"/>
      <c r="P4313" s="846"/>
      <c r="Q4313" s="846"/>
      <c r="R4313" s="846"/>
      <c r="S4313" s="846"/>
      <c r="T4313" s="846"/>
    </row>
    <row r="4314" spans="2:20" ht="51" hidden="1">
      <c r="B4314" s="828" t="s">
        <v>6547</v>
      </c>
      <c r="C4314" s="828">
        <v>94614</v>
      </c>
      <c r="D4314" s="630" t="s">
        <v>3034</v>
      </c>
      <c r="E4314" s="630" t="s">
        <v>646</v>
      </c>
      <c r="F4314" s="829">
        <v>120.44</v>
      </c>
      <c r="G4314" s="830">
        <v>26.29</v>
      </c>
      <c r="H4314" s="831">
        <v>146.72999999999999</v>
      </c>
      <c r="I4314" s="846"/>
      <c r="J4314" s="846"/>
      <c r="K4314" s="846"/>
      <c r="L4314" s="846"/>
      <c r="M4314" s="846"/>
      <c r="N4314" s="846"/>
      <c r="O4314" s="846"/>
      <c r="P4314" s="846"/>
      <c r="Q4314" s="846"/>
      <c r="R4314" s="846"/>
      <c r="S4314" s="846"/>
      <c r="T4314" s="846"/>
    </row>
    <row r="4315" spans="2:20" ht="51" hidden="1">
      <c r="B4315" s="828" t="s">
        <v>6547</v>
      </c>
      <c r="C4315" s="828">
        <v>94615</v>
      </c>
      <c r="D4315" s="630" t="s">
        <v>3035</v>
      </c>
      <c r="E4315" s="630" t="s">
        <v>646</v>
      </c>
      <c r="F4315" s="829">
        <v>139.82</v>
      </c>
      <c r="G4315" s="830">
        <v>26.29</v>
      </c>
      <c r="H4315" s="831">
        <v>166.11</v>
      </c>
      <c r="I4315" s="846"/>
      <c r="J4315" s="846"/>
      <c r="K4315" s="846"/>
      <c r="L4315" s="846"/>
      <c r="M4315" s="846"/>
      <c r="N4315" s="846"/>
      <c r="O4315" s="846"/>
      <c r="P4315" s="846"/>
      <c r="Q4315" s="846"/>
      <c r="R4315" s="846"/>
      <c r="S4315" s="846"/>
      <c r="T4315" s="846"/>
    </row>
    <row r="4316" spans="2:20" ht="51" hidden="1">
      <c r="B4316" s="828" t="s">
        <v>6547</v>
      </c>
      <c r="C4316" s="828">
        <v>94616</v>
      </c>
      <c r="D4316" s="630" t="s">
        <v>3036</v>
      </c>
      <c r="E4316" s="630" t="s">
        <v>646</v>
      </c>
      <c r="F4316" s="829">
        <v>375.09</v>
      </c>
      <c r="G4316" s="830">
        <v>26.28</v>
      </c>
      <c r="H4316" s="831">
        <v>401.37</v>
      </c>
      <c r="I4316" s="846"/>
      <c r="J4316" s="846"/>
      <c r="K4316" s="846"/>
      <c r="L4316" s="846"/>
      <c r="M4316" s="846"/>
      <c r="N4316" s="846"/>
      <c r="O4316" s="846"/>
      <c r="P4316" s="846"/>
      <c r="Q4316" s="846"/>
      <c r="R4316" s="846"/>
      <c r="S4316" s="846"/>
      <c r="T4316" s="846"/>
    </row>
    <row r="4317" spans="2:20" ht="51" hidden="1">
      <c r="B4317" s="828" t="s">
        <v>6547</v>
      </c>
      <c r="C4317" s="828">
        <v>94617</v>
      </c>
      <c r="D4317" s="630" t="s">
        <v>3037</v>
      </c>
      <c r="E4317" s="630" t="s">
        <v>646</v>
      </c>
      <c r="F4317" s="829">
        <v>307.73</v>
      </c>
      <c r="G4317" s="830">
        <v>26.28</v>
      </c>
      <c r="H4317" s="831">
        <v>334.01</v>
      </c>
      <c r="I4317" s="846"/>
      <c r="J4317" s="846"/>
      <c r="K4317" s="846"/>
      <c r="L4317" s="846"/>
      <c r="M4317" s="846"/>
      <c r="N4317" s="846"/>
      <c r="O4317" s="846"/>
      <c r="P4317" s="846"/>
      <c r="Q4317" s="846"/>
      <c r="R4317" s="846"/>
      <c r="S4317" s="846"/>
      <c r="T4317" s="846"/>
    </row>
    <row r="4318" spans="2:20" ht="51" hidden="1">
      <c r="B4318" s="828" t="s">
        <v>6547</v>
      </c>
      <c r="C4318" s="828">
        <v>94618</v>
      </c>
      <c r="D4318" s="630" t="s">
        <v>3038</v>
      </c>
      <c r="E4318" s="630" t="s">
        <v>646</v>
      </c>
      <c r="F4318" s="829">
        <v>365.94</v>
      </c>
      <c r="G4318" s="830">
        <v>28.61</v>
      </c>
      <c r="H4318" s="831">
        <v>394.55</v>
      </c>
      <c r="I4318" s="846"/>
      <c r="J4318" s="846"/>
      <c r="K4318" s="846"/>
      <c r="L4318" s="846"/>
      <c r="M4318" s="846"/>
      <c r="N4318" s="846"/>
      <c r="O4318" s="846"/>
      <c r="P4318" s="846"/>
      <c r="Q4318" s="846"/>
      <c r="R4318" s="846"/>
      <c r="S4318" s="846"/>
      <c r="T4318" s="846"/>
    </row>
    <row r="4319" spans="2:20" ht="51" hidden="1">
      <c r="B4319" s="828" t="s">
        <v>6547</v>
      </c>
      <c r="C4319" s="828">
        <v>94620</v>
      </c>
      <c r="D4319" s="630" t="s">
        <v>3039</v>
      </c>
      <c r="E4319" s="630" t="s">
        <v>646</v>
      </c>
      <c r="F4319" s="829">
        <v>869.84</v>
      </c>
      <c r="G4319" s="830">
        <v>28.61</v>
      </c>
      <c r="H4319" s="831">
        <v>898.45</v>
      </c>
      <c r="I4319" s="846"/>
      <c r="J4319" s="846"/>
      <c r="K4319" s="846"/>
      <c r="L4319" s="846"/>
      <c r="M4319" s="846"/>
      <c r="N4319" s="846"/>
      <c r="O4319" s="846"/>
      <c r="P4319" s="846"/>
      <c r="Q4319" s="846"/>
      <c r="R4319" s="846"/>
      <c r="S4319" s="846"/>
      <c r="T4319" s="846"/>
    </row>
    <row r="4320" spans="2:20" ht="38.25" hidden="1">
      <c r="B4320" s="828" t="s">
        <v>6547</v>
      </c>
      <c r="C4320" s="828">
        <v>94622</v>
      </c>
      <c r="D4320" s="630" t="s">
        <v>3040</v>
      </c>
      <c r="E4320" s="630" t="s">
        <v>646</v>
      </c>
      <c r="F4320" s="829">
        <v>179.14</v>
      </c>
      <c r="G4320" s="830">
        <v>35.049999999999997</v>
      </c>
      <c r="H4320" s="831">
        <v>214.19</v>
      </c>
      <c r="I4320" s="846"/>
      <c r="J4320" s="846"/>
      <c r="K4320" s="846"/>
      <c r="L4320" s="846"/>
      <c r="M4320" s="846"/>
      <c r="N4320" s="846"/>
      <c r="O4320" s="846"/>
      <c r="P4320" s="846"/>
      <c r="Q4320" s="846"/>
      <c r="R4320" s="846"/>
      <c r="S4320" s="846"/>
      <c r="T4320" s="846"/>
    </row>
    <row r="4321" spans="2:20" ht="38.25" hidden="1">
      <c r="B4321" s="828" t="s">
        <v>6547</v>
      </c>
      <c r="C4321" s="828">
        <v>94623</v>
      </c>
      <c r="D4321" s="630" t="s">
        <v>3041</v>
      </c>
      <c r="E4321" s="630" t="s">
        <v>646</v>
      </c>
      <c r="F4321" s="829">
        <v>462.39</v>
      </c>
      <c r="G4321" s="830">
        <v>35.04</v>
      </c>
      <c r="H4321" s="831">
        <v>497.43</v>
      </c>
      <c r="I4321" s="846"/>
      <c r="J4321" s="846"/>
      <c r="K4321" s="846"/>
      <c r="L4321" s="846"/>
      <c r="M4321" s="846"/>
      <c r="N4321" s="846"/>
      <c r="O4321" s="846"/>
      <c r="P4321" s="846"/>
      <c r="Q4321" s="846"/>
      <c r="R4321" s="846"/>
      <c r="S4321" s="846"/>
      <c r="T4321" s="846"/>
    </row>
    <row r="4322" spans="2:20" ht="38.25" hidden="1">
      <c r="B4322" s="828" t="s">
        <v>6547</v>
      </c>
      <c r="C4322" s="828">
        <v>94624</v>
      </c>
      <c r="D4322" s="630" t="s">
        <v>3042</v>
      </c>
      <c r="E4322" s="630" t="s">
        <v>646</v>
      </c>
      <c r="F4322" s="829">
        <v>716.75</v>
      </c>
      <c r="G4322" s="830">
        <v>38.18</v>
      </c>
      <c r="H4322" s="831">
        <v>754.93</v>
      </c>
      <c r="I4322" s="846"/>
      <c r="J4322" s="846"/>
      <c r="K4322" s="846"/>
      <c r="L4322" s="846"/>
      <c r="M4322" s="846"/>
      <c r="N4322" s="846"/>
      <c r="O4322" s="846"/>
      <c r="P4322" s="846"/>
      <c r="Q4322" s="846"/>
      <c r="R4322" s="846"/>
      <c r="S4322" s="846"/>
      <c r="T4322" s="846"/>
    </row>
    <row r="4323" spans="2:20" ht="38.25" hidden="1">
      <c r="B4323" s="828" t="s">
        <v>6547</v>
      </c>
      <c r="C4323" s="828">
        <v>94625</v>
      </c>
      <c r="D4323" s="630" t="s">
        <v>3043</v>
      </c>
      <c r="E4323" s="630" t="s">
        <v>646</v>
      </c>
      <c r="F4323" s="829">
        <v>1527.24</v>
      </c>
      <c r="G4323" s="830">
        <v>38.18</v>
      </c>
      <c r="H4323" s="831">
        <v>1565.42</v>
      </c>
      <c r="I4323" s="846"/>
      <c r="J4323" s="846"/>
      <c r="K4323" s="846"/>
      <c r="L4323" s="846"/>
      <c r="M4323" s="846"/>
      <c r="N4323" s="846"/>
      <c r="O4323" s="846"/>
      <c r="P4323" s="846"/>
      <c r="Q4323" s="846"/>
      <c r="R4323" s="846"/>
      <c r="S4323" s="846"/>
      <c r="T4323" s="846"/>
    </row>
    <row r="4324" spans="2:20" ht="51" hidden="1">
      <c r="B4324" s="828" t="s">
        <v>6547</v>
      </c>
      <c r="C4324" s="828">
        <v>94656</v>
      </c>
      <c r="D4324" s="630" t="s">
        <v>1180</v>
      </c>
      <c r="E4324" s="630" t="s">
        <v>646</v>
      </c>
      <c r="F4324" s="829">
        <v>3.86</v>
      </c>
      <c r="G4324" s="830">
        <v>3.43</v>
      </c>
      <c r="H4324" s="831">
        <v>7.29</v>
      </c>
      <c r="I4324" s="846"/>
      <c r="J4324" s="846"/>
      <c r="K4324" s="846"/>
      <c r="L4324" s="846"/>
      <c r="M4324" s="846"/>
      <c r="N4324" s="846"/>
      <c r="O4324" s="846"/>
      <c r="P4324" s="846"/>
      <c r="Q4324" s="846"/>
      <c r="R4324" s="846"/>
      <c r="S4324" s="846"/>
      <c r="T4324" s="846"/>
    </row>
    <row r="4325" spans="2:20" ht="38.25" hidden="1">
      <c r="B4325" s="828" t="s">
        <v>6547</v>
      </c>
      <c r="C4325" s="828">
        <v>94657</v>
      </c>
      <c r="D4325" s="630" t="s">
        <v>1181</v>
      </c>
      <c r="E4325" s="630" t="s">
        <v>646</v>
      </c>
      <c r="F4325" s="829">
        <v>3.74</v>
      </c>
      <c r="G4325" s="830">
        <v>3.43</v>
      </c>
      <c r="H4325" s="831">
        <v>7.17</v>
      </c>
      <c r="I4325" s="846"/>
      <c r="J4325" s="846"/>
      <c r="K4325" s="846"/>
      <c r="L4325" s="846"/>
      <c r="M4325" s="846"/>
      <c r="N4325" s="846"/>
      <c r="O4325" s="846"/>
      <c r="P4325" s="846"/>
      <c r="Q4325" s="846"/>
      <c r="R4325" s="846"/>
      <c r="S4325" s="846"/>
      <c r="T4325" s="846"/>
    </row>
    <row r="4326" spans="2:20" ht="51" hidden="1">
      <c r="B4326" s="828" t="s">
        <v>6547</v>
      </c>
      <c r="C4326" s="828">
        <v>94658</v>
      </c>
      <c r="D4326" s="630" t="s">
        <v>1296</v>
      </c>
      <c r="E4326" s="630" t="s">
        <v>646</v>
      </c>
      <c r="F4326" s="829">
        <v>5.07</v>
      </c>
      <c r="G4326" s="830">
        <v>3.43</v>
      </c>
      <c r="H4326" s="831">
        <v>8.5</v>
      </c>
      <c r="I4326" s="846"/>
      <c r="J4326" s="846"/>
      <c r="K4326" s="846"/>
      <c r="L4326" s="846"/>
      <c r="M4326" s="846"/>
      <c r="N4326" s="846"/>
      <c r="O4326" s="846"/>
      <c r="P4326" s="846"/>
      <c r="Q4326" s="846"/>
      <c r="R4326" s="846"/>
      <c r="S4326" s="846"/>
      <c r="T4326" s="846"/>
    </row>
    <row r="4327" spans="2:20" ht="38.25" hidden="1">
      <c r="B4327" s="828" t="s">
        <v>6547</v>
      </c>
      <c r="C4327" s="828">
        <v>94659</v>
      </c>
      <c r="D4327" s="630" t="s">
        <v>1297</v>
      </c>
      <c r="E4327" s="630" t="s">
        <v>646</v>
      </c>
      <c r="F4327" s="829">
        <v>5.21</v>
      </c>
      <c r="G4327" s="830">
        <v>3.43</v>
      </c>
      <c r="H4327" s="831">
        <v>8.64</v>
      </c>
      <c r="I4327" s="846"/>
      <c r="J4327" s="846"/>
      <c r="K4327" s="846"/>
      <c r="L4327" s="846"/>
      <c r="M4327" s="846"/>
      <c r="N4327" s="846"/>
      <c r="O4327" s="846"/>
      <c r="P4327" s="846"/>
      <c r="Q4327" s="846"/>
      <c r="R4327" s="846"/>
      <c r="S4327" s="846"/>
      <c r="T4327" s="846"/>
    </row>
    <row r="4328" spans="2:20" ht="51" hidden="1">
      <c r="B4328" s="828" t="s">
        <v>6547</v>
      </c>
      <c r="C4328" s="828">
        <v>94660</v>
      </c>
      <c r="D4328" s="630" t="s">
        <v>1298</v>
      </c>
      <c r="E4328" s="630" t="s">
        <v>646</v>
      </c>
      <c r="F4328" s="829">
        <v>9.02</v>
      </c>
      <c r="G4328" s="830">
        <v>4.88</v>
      </c>
      <c r="H4328" s="831">
        <v>13.9</v>
      </c>
      <c r="I4328" s="846"/>
      <c r="J4328" s="846"/>
      <c r="K4328" s="846"/>
      <c r="L4328" s="846"/>
      <c r="M4328" s="846"/>
      <c r="N4328" s="846"/>
      <c r="O4328" s="846"/>
      <c r="P4328" s="846"/>
      <c r="Q4328" s="846"/>
      <c r="R4328" s="846"/>
      <c r="S4328" s="846"/>
      <c r="T4328" s="846"/>
    </row>
    <row r="4329" spans="2:20" ht="38.25" hidden="1">
      <c r="B4329" s="828" t="s">
        <v>6547</v>
      </c>
      <c r="C4329" s="828">
        <v>94661</v>
      </c>
      <c r="D4329" s="630" t="s">
        <v>1299</v>
      </c>
      <c r="E4329" s="630" t="s">
        <v>646</v>
      </c>
      <c r="F4329" s="829">
        <v>9.59</v>
      </c>
      <c r="G4329" s="830">
        <v>4.88</v>
      </c>
      <c r="H4329" s="831">
        <v>14.47</v>
      </c>
      <c r="I4329" s="846"/>
      <c r="J4329" s="846"/>
      <c r="K4329" s="846"/>
      <c r="L4329" s="846"/>
      <c r="M4329" s="846"/>
      <c r="N4329" s="846"/>
      <c r="O4329" s="846"/>
      <c r="P4329" s="846"/>
      <c r="Q4329" s="846"/>
      <c r="R4329" s="846"/>
      <c r="S4329" s="846"/>
      <c r="T4329" s="846"/>
    </row>
    <row r="4330" spans="2:20" ht="51" hidden="1">
      <c r="B4330" s="828" t="s">
        <v>6547</v>
      </c>
      <c r="C4330" s="828">
        <v>94662</v>
      </c>
      <c r="D4330" s="630" t="s">
        <v>1300</v>
      </c>
      <c r="E4330" s="630" t="s">
        <v>646</v>
      </c>
      <c r="F4330" s="829">
        <v>10.24</v>
      </c>
      <c r="G4330" s="830">
        <v>4.87</v>
      </c>
      <c r="H4330" s="831">
        <v>15.11</v>
      </c>
      <c r="I4330" s="846"/>
      <c r="J4330" s="846"/>
      <c r="K4330" s="846"/>
      <c r="L4330" s="846"/>
      <c r="M4330" s="846"/>
      <c r="N4330" s="846"/>
      <c r="O4330" s="846"/>
      <c r="P4330" s="846"/>
      <c r="Q4330" s="846"/>
      <c r="R4330" s="846"/>
      <c r="S4330" s="846"/>
      <c r="T4330" s="846"/>
    </row>
    <row r="4331" spans="2:20" ht="38.25" hidden="1">
      <c r="B4331" s="828" t="s">
        <v>6547</v>
      </c>
      <c r="C4331" s="828">
        <v>94663</v>
      </c>
      <c r="D4331" s="630" t="s">
        <v>1301</v>
      </c>
      <c r="E4331" s="630" t="s">
        <v>646</v>
      </c>
      <c r="F4331" s="829">
        <v>10.48</v>
      </c>
      <c r="G4331" s="830">
        <v>4.87</v>
      </c>
      <c r="H4331" s="831">
        <v>15.35</v>
      </c>
      <c r="I4331" s="846"/>
      <c r="J4331" s="846"/>
      <c r="K4331" s="846"/>
      <c r="L4331" s="846"/>
      <c r="M4331" s="846"/>
      <c r="N4331" s="846"/>
      <c r="O4331" s="846"/>
      <c r="P4331" s="846"/>
      <c r="Q4331" s="846"/>
      <c r="R4331" s="846"/>
      <c r="S4331" s="846"/>
      <c r="T4331" s="846"/>
    </row>
    <row r="4332" spans="2:20" ht="51" hidden="1">
      <c r="B4332" s="828" t="s">
        <v>6547</v>
      </c>
      <c r="C4332" s="828">
        <v>94664</v>
      </c>
      <c r="D4332" s="630" t="s">
        <v>1302</v>
      </c>
      <c r="E4332" s="630" t="s">
        <v>646</v>
      </c>
      <c r="F4332" s="829">
        <v>24.71</v>
      </c>
      <c r="G4332" s="830">
        <v>7.88</v>
      </c>
      <c r="H4332" s="831">
        <v>32.590000000000003</v>
      </c>
      <c r="I4332" s="846"/>
      <c r="J4332" s="846"/>
      <c r="K4332" s="846"/>
      <c r="L4332" s="846"/>
      <c r="M4332" s="846"/>
      <c r="N4332" s="846"/>
      <c r="O4332" s="846"/>
      <c r="P4332" s="846"/>
      <c r="Q4332" s="846"/>
      <c r="R4332" s="846"/>
      <c r="S4332" s="846"/>
      <c r="T4332" s="846"/>
    </row>
    <row r="4333" spans="2:20" ht="38.25" hidden="1">
      <c r="B4333" s="828" t="s">
        <v>6547</v>
      </c>
      <c r="C4333" s="828">
        <v>94665</v>
      </c>
      <c r="D4333" s="630" t="s">
        <v>1303</v>
      </c>
      <c r="E4333" s="630" t="s">
        <v>646</v>
      </c>
      <c r="F4333" s="829">
        <v>24.69</v>
      </c>
      <c r="G4333" s="830">
        <v>7.88</v>
      </c>
      <c r="H4333" s="831">
        <v>32.57</v>
      </c>
      <c r="I4333" s="846"/>
      <c r="J4333" s="846"/>
      <c r="K4333" s="846"/>
      <c r="L4333" s="846"/>
      <c r="M4333" s="846"/>
      <c r="N4333" s="846"/>
      <c r="O4333" s="846"/>
      <c r="P4333" s="846"/>
      <c r="Q4333" s="846"/>
      <c r="R4333" s="846"/>
      <c r="S4333" s="846"/>
      <c r="T4333" s="846"/>
    </row>
    <row r="4334" spans="2:20" ht="51" hidden="1">
      <c r="B4334" s="828" t="s">
        <v>6547</v>
      </c>
      <c r="C4334" s="828">
        <v>94666</v>
      </c>
      <c r="D4334" s="630" t="s">
        <v>1304</v>
      </c>
      <c r="E4334" s="630" t="s">
        <v>646</v>
      </c>
      <c r="F4334" s="829">
        <v>31.72</v>
      </c>
      <c r="G4334" s="830">
        <v>7.88</v>
      </c>
      <c r="H4334" s="831">
        <v>39.6</v>
      </c>
      <c r="I4334" s="846"/>
      <c r="J4334" s="846"/>
      <c r="K4334" s="846"/>
      <c r="L4334" s="846"/>
      <c r="M4334" s="846"/>
      <c r="N4334" s="846"/>
      <c r="O4334" s="846"/>
      <c r="P4334" s="846"/>
      <c r="Q4334" s="846"/>
      <c r="R4334" s="846"/>
      <c r="S4334" s="846"/>
      <c r="T4334" s="846"/>
    </row>
    <row r="4335" spans="2:20" ht="38.25" hidden="1">
      <c r="B4335" s="828" t="s">
        <v>6547</v>
      </c>
      <c r="C4335" s="828">
        <v>94667</v>
      </c>
      <c r="D4335" s="630" t="s">
        <v>1305</v>
      </c>
      <c r="E4335" s="630" t="s">
        <v>646</v>
      </c>
      <c r="F4335" s="829">
        <v>36.090000000000003</v>
      </c>
      <c r="G4335" s="830">
        <v>7.88</v>
      </c>
      <c r="H4335" s="831">
        <v>43.97</v>
      </c>
      <c r="I4335" s="846"/>
      <c r="J4335" s="846"/>
      <c r="K4335" s="846"/>
      <c r="L4335" s="846"/>
      <c r="M4335" s="846"/>
      <c r="N4335" s="846"/>
      <c r="O4335" s="846"/>
      <c r="P4335" s="846"/>
      <c r="Q4335" s="846"/>
      <c r="R4335" s="846"/>
      <c r="S4335" s="846"/>
      <c r="T4335" s="846"/>
    </row>
    <row r="4336" spans="2:20" ht="51" hidden="1">
      <c r="B4336" s="828" t="s">
        <v>6547</v>
      </c>
      <c r="C4336" s="828">
        <v>94668</v>
      </c>
      <c r="D4336" s="630" t="s">
        <v>1306</v>
      </c>
      <c r="E4336" s="630" t="s">
        <v>646</v>
      </c>
      <c r="F4336" s="829">
        <v>53.93</v>
      </c>
      <c r="G4336" s="830">
        <v>13.83</v>
      </c>
      <c r="H4336" s="831">
        <v>67.760000000000005</v>
      </c>
      <c r="I4336" s="846"/>
      <c r="J4336" s="846"/>
      <c r="K4336" s="846"/>
      <c r="L4336" s="846"/>
      <c r="M4336" s="846"/>
      <c r="N4336" s="846"/>
      <c r="O4336" s="846"/>
      <c r="P4336" s="846"/>
      <c r="Q4336" s="846"/>
      <c r="R4336" s="846"/>
      <c r="S4336" s="846"/>
      <c r="T4336" s="846"/>
    </row>
    <row r="4337" spans="2:20" ht="38.25" hidden="1">
      <c r="B4337" s="828" t="s">
        <v>6547</v>
      </c>
      <c r="C4337" s="828">
        <v>94669</v>
      </c>
      <c r="D4337" s="630" t="s">
        <v>1307</v>
      </c>
      <c r="E4337" s="630" t="s">
        <v>646</v>
      </c>
      <c r="F4337" s="829">
        <v>78.45</v>
      </c>
      <c r="G4337" s="830">
        <v>13.83</v>
      </c>
      <c r="H4337" s="831">
        <v>92.28</v>
      </c>
      <c r="I4337" s="846"/>
      <c r="J4337" s="846"/>
      <c r="K4337" s="846"/>
      <c r="L4337" s="846"/>
      <c r="M4337" s="846"/>
      <c r="N4337" s="846"/>
      <c r="O4337" s="846"/>
      <c r="P4337" s="846"/>
      <c r="Q4337" s="846"/>
      <c r="R4337" s="846"/>
      <c r="S4337" s="846"/>
      <c r="T4337" s="846"/>
    </row>
    <row r="4338" spans="2:20" ht="51" hidden="1">
      <c r="B4338" s="828" t="s">
        <v>6547</v>
      </c>
      <c r="C4338" s="828">
        <v>94670</v>
      </c>
      <c r="D4338" s="630" t="s">
        <v>1308</v>
      </c>
      <c r="E4338" s="630" t="s">
        <v>646</v>
      </c>
      <c r="F4338" s="829">
        <v>75.760000000000005</v>
      </c>
      <c r="G4338" s="830">
        <v>13.83</v>
      </c>
      <c r="H4338" s="831">
        <v>89.59</v>
      </c>
      <c r="I4338" s="846"/>
      <c r="J4338" s="846"/>
      <c r="K4338" s="846"/>
      <c r="L4338" s="846"/>
      <c r="M4338" s="846"/>
      <c r="N4338" s="846"/>
      <c r="O4338" s="846"/>
      <c r="P4338" s="846"/>
      <c r="Q4338" s="846"/>
      <c r="R4338" s="846"/>
      <c r="S4338" s="846"/>
      <c r="T4338" s="846"/>
    </row>
    <row r="4339" spans="2:20" ht="38.25" hidden="1">
      <c r="B4339" s="828" t="s">
        <v>6547</v>
      </c>
      <c r="C4339" s="828">
        <v>94671</v>
      </c>
      <c r="D4339" s="630" t="s">
        <v>1309</v>
      </c>
      <c r="E4339" s="630" t="s">
        <v>646</v>
      </c>
      <c r="F4339" s="829">
        <v>116.65</v>
      </c>
      <c r="G4339" s="830">
        <v>13.82</v>
      </c>
      <c r="H4339" s="831">
        <v>130.47</v>
      </c>
      <c r="I4339" s="846"/>
      <c r="J4339" s="846"/>
      <c r="K4339" s="846"/>
      <c r="L4339" s="846"/>
      <c r="M4339" s="846"/>
      <c r="N4339" s="846"/>
      <c r="O4339" s="846"/>
      <c r="P4339" s="846"/>
      <c r="Q4339" s="846"/>
      <c r="R4339" s="846"/>
      <c r="S4339" s="846"/>
      <c r="T4339" s="846"/>
    </row>
    <row r="4340" spans="2:20" ht="51" hidden="1">
      <c r="B4340" s="828" t="s">
        <v>6547</v>
      </c>
      <c r="C4340" s="828">
        <v>94672</v>
      </c>
      <c r="D4340" s="630" t="s">
        <v>1310</v>
      </c>
      <c r="E4340" s="630" t="s">
        <v>646</v>
      </c>
      <c r="F4340" s="829">
        <v>7.5</v>
      </c>
      <c r="G4340" s="830">
        <v>5.16</v>
      </c>
      <c r="H4340" s="831">
        <v>12.66</v>
      </c>
      <c r="I4340" s="846"/>
      <c r="J4340" s="846"/>
      <c r="K4340" s="846"/>
      <c r="L4340" s="846"/>
      <c r="M4340" s="846"/>
      <c r="N4340" s="846"/>
      <c r="O4340" s="846"/>
      <c r="P4340" s="846"/>
      <c r="Q4340" s="846"/>
      <c r="R4340" s="846"/>
      <c r="S4340" s="846"/>
      <c r="T4340" s="846"/>
    </row>
    <row r="4341" spans="2:20" ht="38.25" hidden="1">
      <c r="B4341" s="828" t="s">
        <v>6547</v>
      </c>
      <c r="C4341" s="828">
        <v>94673</v>
      </c>
      <c r="D4341" s="630" t="s">
        <v>1311</v>
      </c>
      <c r="E4341" s="630" t="s">
        <v>646</v>
      </c>
      <c r="F4341" s="829">
        <v>7.17</v>
      </c>
      <c r="G4341" s="830">
        <v>5.16</v>
      </c>
      <c r="H4341" s="831">
        <v>12.33</v>
      </c>
      <c r="I4341" s="846"/>
      <c r="J4341" s="846"/>
      <c r="K4341" s="846"/>
      <c r="L4341" s="846"/>
      <c r="M4341" s="846"/>
      <c r="N4341" s="846"/>
      <c r="O4341" s="846"/>
      <c r="P4341" s="846"/>
      <c r="Q4341" s="846"/>
      <c r="R4341" s="846"/>
      <c r="S4341" s="846"/>
      <c r="T4341" s="846"/>
    </row>
    <row r="4342" spans="2:20" ht="38.25" hidden="1">
      <c r="B4342" s="828" t="s">
        <v>6547</v>
      </c>
      <c r="C4342" s="828">
        <v>94674</v>
      </c>
      <c r="D4342" s="630" t="s">
        <v>1312</v>
      </c>
      <c r="E4342" s="630" t="s">
        <v>646</v>
      </c>
      <c r="F4342" s="829">
        <v>6.02</v>
      </c>
      <c r="G4342" s="830">
        <v>5.16</v>
      </c>
      <c r="H4342" s="831">
        <v>11.18</v>
      </c>
      <c r="I4342" s="846"/>
      <c r="J4342" s="846"/>
      <c r="K4342" s="846"/>
      <c r="L4342" s="846"/>
      <c r="M4342" s="846"/>
      <c r="N4342" s="846"/>
      <c r="O4342" s="846"/>
      <c r="P4342" s="846"/>
      <c r="Q4342" s="846"/>
      <c r="R4342" s="846"/>
      <c r="S4342" s="846"/>
      <c r="T4342" s="846"/>
    </row>
    <row r="4343" spans="2:20" ht="38.25" hidden="1">
      <c r="B4343" s="828" t="s">
        <v>6547</v>
      </c>
      <c r="C4343" s="828">
        <v>94675</v>
      </c>
      <c r="D4343" s="630" t="s">
        <v>1313</v>
      </c>
      <c r="E4343" s="630" t="s">
        <v>646</v>
      </c>
      <c r="F4343" s="829">
        <v>12.21</v>
      </c>
      <c r="G4343" s="830">
        <v>5.15</v>
      </c>
      <c r="H4343" s="831">
        <v>17.36</v>
      </c>
      <c r="I4343" s="846"/>
      <c r="J4343" s="846"/>
      <c r="K4343" s="846"/>
      <c r="L4343" s="846"/>
      <c r="M4343" s="846"/>
      <c r="N4343" s="846"/>
      <c r="O4343" s="846"/>
      <c r="P4343" s="846"/>
      <c r="Q4343" s="846"/>
      <c r="R4343" s="846"/>
      <c r="S4343" s="846"/>
      <c r="T4343" s="846"/>
    </row>
    <row r="4344" spans="2:20" ht="38.25" hidden="1">
      <c r="B4344" s="828" t="s">
        <v>6547</v>
      </c>
      <c r="C4344" s="828">
        <v>94676</v>
      </c>
      <c r="D4344" s="630" t="s">
        <v>1314</v>
      </c>
      <c r="E4344" s="630" t="s">
        <v>646</v>
      </c>
      <c r="F4344" s="829">
        <v>11.92</v>
      </c>
      <c r="G4344" s="830">
        <v>7.32</v>
      </c>
      <c r="H4344" s="831">
        <v>19.239999999999998</v>
      </c>
      <c r="I4344" s="846"/>
      <c r="J4344" s="846"/>
      <c r="K4344" s="846"/>
      <c r="L4344" s="846"/>
      <c r="M4344" s="846"/>
      <c r="N4344" s="846"/>
      <c r="O4344" s="846"/>
      <c r="P4344" s="846"/>
      <c r="Q4344" s="846"/>
      <c r="R4344" s="846"/>
      <c r="S4344" s="846"/>
      <c r="T4344" s="846"/>
    </row>
    <row r="4345" spans="2:20" ht="38.25" hidden="1">
      <c r="B4345" s="828" t="s">
        <v>6547</v>
      </c>
      <c r="C4345" s="828">
        <v>94677</v>
      </c>
      <c r="D4345" s="630" t="s">
        <v>1315</v>
      </c>
      <c r="E4345" s="630" t="s">
        <v>646</v>
      </c>
      <c r="F4345" s="829">
        <v>21.22</v>
      </c>
      <c r="G4345" s="830">
        <v>7.32</v>
      </c>
      <c r="H4345" s="831">
        <v>28.54</v>
      </c>
      <c r="I4345" s="846"/>
      <c r="J4345" s="846"/>
      <c r="K4345" s="846"/>
      <c r="L4345" s="846"/>
      <c r="M4345" s="846"/>
      <c r="N4345" s="846"/>
      <c r="O4345" s="846"/>
      <c r="P4345" s="846"/>
      <c r="Q4345" s="846"/>
      <c r="R4345" s="846"/>
      <c r="S4345" s="846"/>
      <c r="T4345" s="846"/>
    </row>
    <row r="4346" spans="2:20" ht="38.25" hidden="1">
      <c r="B4346" s="828" t="s">
        <v>6547</v>
      </c>
      <c r="C4346" s="828">
        <v>94678</v>
      </c>
      <c r="D4346" s="630" t="s">
        <v>1316</v>
      </c>
      <c r="E4346" s="630" t="s">
        <v>646</v>
      </c>
      <c r="F4346" s="829">
        <v>12.47</v>
      </c>
      <c r="G4346" s="830">
        <v>7.32</v>
      </c>
      <c r="H4346" s="831">
        <v>19.79</v>
      </c>
      <c r="I4346" s="846"/>
      <c r="J4346" s="846"/>
      <c r="K4346" s="846"/>
      <c r="L4346" s="846"/>
      <c r="M4346" s="846"/>
      <c r="N4346" s="846"/>
      <c r="O4346" s="846"/>
      <c r="P4346" s="846"/>
      <c r="Q4346" s="846"/>
      <c r="R4346" s="846"/>
      <c r="S4346" s="846"/>
      <c r="T4346" s="846"/>
    </row>
    <row r="4347" spans="2:20" ht="38.25" hidden="1">
      <c r="B4347" s="828" t="s">
        <v>6547</v>
      </c>
      <c r="C4347" s="828">
        <v>94679</v>
      </c>
      <c r="D4347" s="630" t="s">
        <v>1182</v>
      </c>
      <c r="E4347" s="630" t="s">
        <v>646</v>
      </c>
      <c r="F4347" s="829">
        <v>24.73</v>
      </c>
      <c r="G4347" s="830">
        <v>7.31</v>
      </c>
      <c r="H4347" s="831">
        <v>32.04</v>
      </c>
      <c r="I4347" s="846"/>
      <c r="J4347" s="846"/>
      <c r="K4347" s="846"/>
      <c r="L4347" s="846"/>
      <c r="M4347" s="846"/>
      <c r="N4347" s="846"/>
      <c r="O4347" s="846"/>
      <c r="P4347" s="846"/>
      <c r="Q4347" s="846"/>
      <c r="R4347" s="846"/>
      <c r="S4347" s="846"/>
      <c r="T4347" s="846"/>
    </row>
    <row r="4348" spans="2:20" ht="38.25" hidden="1">
      <c r="B4348" s="828" t="s">
        <v>6547</v>
      </c>
      <c r="C4348" s="828">
        <v>94680</v>
      </c>
      <c r="D4348" s="630" t="s">
        <v>1183</v>
      </c>
      <c r="E4348" s="630" t="s">
        <v>646</v>
      </c>
      <c r="F4348" s="829">
        <v>41.76</v>
      </c>
      <c r="G4348" s="830">
        <v>11.82</v>
      </c>
      <c r="H4348" s="831">
        <v>53.58</v>
      </c>
      <c r="I4348" s="846"/>
      <c r="J4348" s="846"/>
      <c r="K4348" s="846"/>
      <c r="L4348" s="846"/>
      <c r="M4348" s="846"/>
      <c r="N4348" s="846"/>
      <c r="O4348" s="846"/>
      <c r="P4348" s="846"/>
      <c r="Q4348" s="846"/>
      <c r="R4348" s="846"/>
      <c r="S4348" s="846"/>
      <c r="T4348" s="846"/>
    </row>
    <row r="4349" spans="2:20" ht="38.25" hidden="1">
      <c r="B4349" s="828" t="s">
        <v>6547</v>
      </c>
      <c r="C4349" s="828">
        <v>94681</v>
      </c>
      <c r="D4349" s="630" t="s">
        <v>1184</v>
      </c>
      <c r="E4349" s="630" t="s">
        <v>646</v>
      </c>
      <c r="F4349" s="829">
        <v>58.54</v>
      </c>
      <c r="G4349" s="830">
        <v>11.82</v>
      </c>
      <c r="H4349" s="831">
        <v>70.36</v>
      </c>
      <c r="I4349" s="846"/>
      <c r="J4349" s="846"/>
      <c r="K4349" s="846"/>
      <c r="L4349" s="846"/>
      <c r="M4349" s="846"/>
      <c r="N4349" s="846"/>
      <c r="O4349" s="846"/>
      <c r="P4349" s="846"/>
      <c r="Q4349" s="846"/>
      <c r="R4349" s="846"/>
      <c r="S4349" s="846"/>
      <c r="T4349" s="846"/>
    </row>
    <row r="4350" spans="2:20" ht="38.25" hidden="1">
      <c r="B4350" s="828" t="s">
        <v>6547</v>
      </c>
      <c r="C4350" s="828">
        <v>94682</v>
      </c>
      <c r="D4350" s="630" t="s">
        <v>1185</v>
      </c>
      <c r="E4350" s="630" t="s">
        <v>646</v>
      </c>
      <c r="F4350" s="829">
        <v>128.11000000000001</v>
      </c>
      <c r="G4350" s="830">
        <v>11.81</v>
      </c>
      <c r="H4350" s="831">
        <v>139.91999999999999</v>
      </c>
      <c r="I4350" s="846"/>
      <c r="J4350" s="846"/>
      <c r="K4350" s="846"/>
      <c r="L4350" s="846"/>
      <c r="M4350" s="846"/>
      <c r="N4350" s="846"/>
      <c r="O4350" s="846"/>
      <c r="P4350" s="846"/>
      <c r="Q4350" s="846"/>
      <c r="R4350" s="846"/>
      <c r="S4350" s="846"/>
      <c r="T4350" s="846"/>
    </row>
    <row r="4351" spans="2:20" ht="38.25" hidden="1">
      <c r="B4351" s="828" t="s">
        <v>6547</v>
      </c>
      <c r="C4351" s="828">
        <v>94683</v>
      </c>
      <c r="D4351" s="630" t="s">
        <v>1186</v>
      </c>
      <c r="E4351" s="630" t="s">
        <v>646</v>
      </c>
      <c r="F4351" s="829">
        <v>78.83</v>
      </c>
      <c r="G4351" s="830">
        <v>11.82</v>
      </c>
      <c r="H4351" s="831">
        <v>90.65</v>
      </c>
      <c r="I4351" s="846"/>
      <c r="J4351" s="846"/>
      <c r="K4351" s="846"/>
      <c r="L4351" s="846"/>
      <c r="M4351" s="846"/>
      <c r="N4351" s="846"/>
      <c r="O4351" s="846"/>
      <c r="P4351" s="846"/>
      <c r="Q4351" s="846"/>
      <c r="R4351" s="846"/>
      <c r="S4351" s="846"/>
      <c r="T4351" s="846"/>
    </row>
    <row r="4352" spans="2:20" ht="38.25" hidden="1">
      <c r="B4352" s="828" t="s">
        <v>6547</v>
      </c>
      <c r="C4352" s="828">
        <v>94684</v>
      </c>
      <c r="D4352" s="630" t="s">
        <v>1187</v>
      </c>
      <c r="E4352" s="630" t="s">
        <v>646</v>
      </c>
      <c r="F4352" s="829">
        <v>158.38999999999999</v>
      </c>
      <c r="G4352" s="830">
        <v>20.77</v>
      </c>
      <c r="H4352" s="831">
        <v>179.16</v>
      </c>
      <c r="I4352" s="846"/>
      <c r="J4352" s="846"/>
      <c r="K4352" s="846"/>
      <c r="L4352" s="846"/>
      <c r="M4352" s="846"/>
      <c r="N4352" s="846"/>
      <c r="O4352" s="846"/>
      <c r="P4352" s="846"/>
      <c r="Q4352" s="846"/>
      <c r="R4352" s="846"/>
      <c r="S4352" s="846"/>
      <c r="T4352" s="846"/>
    </row>
    <row r="4353" spans="2:20" ht="38.25" hidden="1">
      <c r="B4353" s="828" t="s">
        <v>6547</v>
      </c>
      <c r="C4353" s="828">
        <v>94685</v>
      </c>
      <c r="D4353" s="630" t="s">
        <v>1188</v>
      </c>
      <c r="E4353" s="630" t="s">
        <v>646</v>
      </c>
      <c r="F4353" s="829">
        <v>117.38</v>
      </c>
      <c r="G4353" s="830">
        <v>20.77</v>
      </c>
      <c r="H4353" s="831">
        <v>138.15</v>
      </c>
      <c r="I4353" s="846"/>
      <c r="J4353" s="846"/>
      <c r="K4353" s="846"/>
      <c r="L4353" s="846"/>
      <c r="M4353" s="846"/>
      <c r="N4353" s="846"/>
      <c r="O4353" s="846"/>
      <c r="P4353" s="846"/>
      <c r="Q4353" s="846"/>
      <c r="R4353" s="846"/>
      <c r="S4353" s="846"/>
      <c r="T4353" s="846"/>
    </row>
    <row r="4354" spans="2:20" ht="38.25" hidden="1">
      <c r="B4354" s="828" t="s">
        <v>6547</v>
      </c>
      <c r="C4354" s="828">
        <v>94686</v>
      </c>
      <c r="D4354" s="630" t="s">
        <v>1189</v>
      </c>
      <c r="E4354" s="630" t="s">
        <v>646</v>
      </c>
      <c r="F4354" s="829">
        <v>312.97000000000003</v>
      </c>
      <c r="G4354" s="830">
        <v>20.77</v>
      </c>
      <c r="H4354" s="831">
        <v>333.74</v>
      </c>
      <c r="I4354" s="846"/>
      <c r="J4354" s="846"/>
      <c r="K4354" s="846"/>
      <c r="L4354" s="846"/>
      <c r="M4354" s="846"/>
      <c r="N4354" s="846"/>
      <c r="O4354" s="846"/>
      <c r="P4354" s="846"/>
      <c r="Q4354" s="846"/>
      <c r="R4354" s="846"/>
      <c r="S4354" s="846"/>
      <c r="T4354" s="846"/>
    </row>
    <row r="4355" spans="2:20" ht="38.25" hidden="1">
      <c r="B4355" s="828" t="s">
        <v>6547</v>
      </c>
      <c r="C4355" s="828">
        <v>94687</v>
      </c>
      <c r="D4355" s="630" t="s">
        <v>1190</v>
      </c>
      <c r="E4355" s="630" t="s">
        <v>646</v>
      </c>
      <c r="F4355" s="829">
        <v>251.16</v>
      </c>
      <c r="G4355" s="830">
        <v>20.77</v>
      </c>
      <c r="H4355" s="831">
        <v>271.93</v>
      </c>
      <c r="I4355" s="846"/>
      <c r="J4355" s="846"/>
      <c r="K4355" s="846"/>
      <c r="L4355" s="846"/>
      <c r="M4355" s="846"/>
      <c r="N4355" s="846"/>
      <c r="O4355" s="846"/>
      <c r="P4355" s="846"/>
      <c r="Q4355" s="846"/>
      <c r="R4355" s="846"/>
      <c r="S4355" s="846"/>
      <c r="T4355" s="846"/>
    </row>
    <row r="4356" spans="2:20" ht="38.25" hidden="1">
      <c r="B4356" s="828" t="s">
        <v>6547</v>
      </c>
      <c r="C4356" s="828">
        <v>94688</v>
      </c>
      <c r="D4356" s="630" t="s">
        <v>1191</v>
      </c>
      <c r="E4356" s="630" t="s">
        <v>646</v>
      </c>
      <c r="F4356" s="829">
        <v>6.1</v>
      </c>
      <c r="G4356" s="830">
        <v>6.84</v>
      </c>
      <c r="H4356" s="831">
        <v>12.94</v>
      </c>
      <c r="I4356" s="846"/>
      <c r="J4356" s="846"/>
      <c r="K4356" s="846"/>
      <c r="L4356" s="846"/>
      <c r="M4356" s="846"/>
      <c r="N4356" s="846"/>
      <c r="O4356" s="846"/>
      <c r="P4356" s="846"/>
      <c r="Q4356" s="846"/>
      <c r="R4356" s="846"/>
      <c r="S4356" s="846"/>
      <c r="T4356" s="846"/>
    </row>
    <row r="4357" spans="2:20" ht="51" hidden="1">
      <c r="B4357" s="828" t="s">
        <v>6547</v>
      </c>
      <c r="C4357" s="828">
        <v>94689</v>
      </c>
      <c r="D4357" s="630" t="s">
        <v>1192</v>
      </c>
      <c r="E4357" s="630" t="s">
        <v>646</v>
      </c>
      <c r="F4357" s="829">
        <v>10.56</v>
      </c>
      <c r="G4357" s="830">
        <v>6.82</v>
      </c>
      <c r="H4357" s="831">
        <v>17.38</v>
      </c>
      <c r="I4357" s="846"/>
      <c r="J4357" s="846"/>
      <c r="K4357" s="846"/>
      <c r="L4357" s="846"/>
      <c r="M4357" s="846"/>
      <c r="N4357" s="846"/>
      <c r="O4357" s="846"/>
      <c r="P4357" s="846"/>
      <c r="Q4357" s="846"/>
      <c r="R4357" s="846"/>
      <c r="S4357" s="846"/>
      <c r="T4357" s="846"/>
    </row>
    <row r="4358" spans="2:20" ht="38.25" hidden="1">
      <c r="B4358" s="828" t="s">
        <v>6547</v>
      </c>
      <c r="C4358" s="828">
        <v>94690</v>
      </c>
      <c r="D4358" s="630" t="s">
        <v>1193</v>
      </c>
      <c r="E4358" s="630" t="s">
        <v>646</v>
      </c>
      <c r="F4358" s="829">
        <v>9.84</v>
      </c>
      <c r="G4358" s="830">
        <v>6.82</v>
      </c>
      <c r="H4358" s="831">
        <v>16.66</v>
      </c>
      <c r="I4358" s="846"/>
      <c r="J4358" s="846"/>
      <c r="K4358" s="846"/>
      <c r="L4358" s="846"/>
      <c r="M4358" s="846"/>
      <c r="N4358" s="846"/>
      <c r="O4358" s="846"/>
      <c r="P4358" s="846"/>
      <c r="Q4358" s="846"/>
      <c r="R4358" s="846"/>
      <c r="S4358" s="846"/>
      <c r="T4358" s="846"/>
    </row>
    <row r="4359" spans="2:20" ht="38.25" hidden="1">
      <c r="B4359" s="828" t="s">
        <v>6547</v>
      </c>
      <c r="C4359" s="828">
        <v>94691</v>
      </c>
      <c r="D4359" s="630" t="s">
        <v>1194</v>
      </c>
      <c r="E4359" s="630" t="s">
        <v>646</v>
      </c>
      <c r="F4359" s="829">
        <v>12.41</v>
      </c>
      <c r="G4359" s="830">
        <v>6.82</v>
      </c>
      <c r="H4359" s="831">
        <v>19.23</v>
      </c>
      <c r="I4359" s="846"/>
      <c r="J4359" s="846"/>
      <c r="K4359" s="846"/>
      <c r="L4359" s="846"/>
      <c r="M4359" s="846"/>
      <c r="N4359" s="846"/>
      <c r="O4359" s="846"/>
      <c r="P4359" s="846"/>
      <c r="Q4359" s="846"/>
      <c r="R4359" s="846"/>
      <c r="S4359" s="846"/>
      <c r="T4359" s="846"/>
    </row>
    <row r="4360" spans="2:20" ht="38.25" hidden="1">
      <c r="B4360" s="828" t="s">
        <v>6547</v>
      </c>
      <c r="C4360" s="828">
        <v>94692</v>
      </c>
      <c r="D4360" s="630" t="s">
        <v>1195</v>
      </c>
      <c r="E4360" s="630" t="s">
        <v>646</v>
      </c>
      <c r="F4360" s="829">
        <v>19.18</v>
      </c>
      <c r="G4360" s="830">
        <v>9.7200000000000006</v>
      </c>
      <c r="H4360" s="831">
        <v>28.9</v>
      </c>
      <c r="I4360" s="846"/>
      <c r="J4360" s="846"/>
      <c r="K4360" s="846"/>
      <c r="L4360" s="846"/>
      <c r="M4360" s="846"/>
      <c r="N4360" s="846"/>
      <c r="O4360" s="846"/>
      <c r="P4360" s="846"/>
      <c r="Q4360" s="846"/>
      <c r="R4360" s="846"/>
      <c r="S4360" s="846"/>
      <c r="T4360" s="846"/>
    </row>
    <row r="4361" spans="2:20" ht="38.25" hidden="1">
      <c r="B4361" s="828" t="s">
        <v>6547</v>
      </c>
      <c r="C4361" s="828">
        <v>94693</v>
      </c>
      <c r="D4361" s="630" t="s">
        <v>1196</v>
      </c>
      <c r="E4361" s="630" t="s">
        <v>646</v>
      </c>
      <c r="F4361" s="829">
        <v>20.48</v>
      </c>
      <c r="G4361" s="830">
        <v>9.7200000000000006</v>
      </c>
      <c r="H4361" s="831">
        <v>30.2</v>
      </c>
      <c r="I4361" s="846"/>
      <c r="J4361" s="846"/>
      <c r="K4361" s="846"/>
      <c r="L4361" s="846"/>
      <c r="M4361" s="846"/>
      <c r="N4361" s="846"/>
      <c r="O4361" s="846"/>
      <c r="P4361" s="846"/>
      <c r="Q4361" s="846"/>
      <c r="R4361" s="846"/>
      <c r="S4361" s="846"/>
      <c r="T4361" s="846"/>
    </row>
    <row r="4362" spans="2:20" ht="38.25" hidden="1">
      <c r="B4362" s="828" t="s">
        <v>6547</v>
      </c>
      <c r="C4362" s="828">
        <v>94694</v>
      </c>
      <c r="D4362" s="630" t="s">
        <v>1197</v>
      </c>
      <c r="E4362" s="630" t="s">
        <v>646</v>
      </c>
      <c r="F4362" s="829">
        <v>20.55</v>
      </c>
      <c r="G4362" s="830">
        <v>9.7200000000000006</v>
      </c>
      <c r="H4362" s="831">
        <v>30.27</v>
      </c>
      <c r="I4362" s="846"/>
      <c r="J4362" s="846"/>
      <c r="K4362" s="846"/>
      <c r="L4362" s="846"/>
      <c r="M4362" s="846"/>
      <c r="N4362" s="846"/>
      <c r="O4362" s="846"/>
      <c r="P4362" s="846"/>
      <c r="Q4362" s="846"/>
      <c r="R4362" s="846"/>
      <c r="S4362" s="846"/>
      <c r="T4362" s="846"/>
    </row>
    <row r="4363" spans="2:20" ht="38.25" hidden="1">
      <c r="B4363" s="828" t="s">
        <v>6547</v>
      </c>
      <c r="C4363" s="828">
        <v>94695</v>
      </c>
      <c r="D4363" s="630" t="s">
        <v>1198</v>
      </c>
      <c r="E4363" s="630" t="s">
        <v>646</v>
      </c>
      <c r="F4363" s="829">
        <v>30.57</v>
      </c>
      <c r="G4363" s="830">
        <v>9.7100000000000009</v>
      </c>
      <c r="H4363" s="831">
        <v>40.28</v>
      </c>
      <c r="I4363" s="846"/>
      <c r="J4363" s="846"/>
      <c r="K4363" s="846"/>
      <c r="L4363" s="846"/>
      <c r="M4363" s="846"/>
      <c r="N4363" s="846"/>
      <c r="O4363" s="846"/>
      <c r="P4363" s="846"/>
      <c r="Q4363" s="846"/>
      <c r="R4363" s="846"/>
      <c r="S4363" s="846"/>
      <c r="T4363" s="846"/>
    </row>
    <row r="4364" spans="2:20" ht="38.25" hidden="1">
      <c r="B4364" s="828" t="s">
        <v>6547</v>
      </c>
      <c r="C4364" s="828">
        <v>94696</v>
      </c>
      <c r="D4364" s="630" t="s">
        <v>1199</v>
      </c>
      <c r="E4364" s="630" t="s">
        <v>646</v>
      </c>
      <c r="F4364" s="829">
        <v>53.89</v>
      </c>
      <c r="G4364" s="830">
        <v>15.76</v>
      </c>
      <c r="H4364" s="831">
        <v>69.650000000000006</v>
      </c>
      <c r="I4364" s="846"/>
      <c r="J4364" s="846"/>
      <c r="K4364" s="846"/>
      <c r="L4364" s="846"/>
      <c r="M4364" s="846"/>
      <c r="N4364" s="846"/>
      <c r="O4364" s="846"/>
      <c r="P4364" s="846"/>
      <c r="Q4364" s="846"/>
      <c r="R4364" s="846"/>
      <c r="S4364" s="846"/>
      <c r="T4364" s="846"/>
    </row>
    <row r="4365" spans="2:20" ht="38.25" hidden="1">
      <c r="B4365" s="828" t="s">
        <v>6547</v>
      </c>
      <c r="C4365" s="828">
        <v>94697</v>
      </c>
      <c r="D4365" s="630" t="s">
        <v>1327</v>
      </c>
      <c r="E4365" s="630" t="s">
        <v>646</v>
      </c>
      <c r="F4365" s="829">
        <v>92.66</v>
      </c>
      <c r="G4365" s="830">
        <v>15.76</v>
      </c>
      <c r="H4365" s="831">
        <v>108.42</v>
      </c>
      <c r="I4365" s="846"/>
      <c r="J4365" s="846"/>
      <c r="K4365" s="846"/>
      <c r="L4365" s="846"/>
      <c r="M4365" s="846"/>
      <c r="N4365" s="846"/>
      <c r="O4365" s="846"/>
      <c r="P4365" s="846"/>
      <c r="Q4365" s="846"/>
      <c r="R4365" s="846"/>
      <c r="S4365" s="846"/>
      <c r="T4365" s="846"/>
    </row>
    <row r="4366" spans="2:20" ht="38.25" hidden="1">
      <c r="B4366" s="828" t="s">
        <v>6547</v>
      </c>
      <c r="C4366" s="828">
        <v>94698</v>
      </c>
      <c r="D4366" s="630" t="s">
        <v>1328</v>
      </c>
      <c r="E4366" s="630" t="s">
        <v>646</v>
      </c>
      <c r="F4366" s="829">
        <v>79.03</v>
      </c>
      <c r="G4366" s="830">
        <v>15.76</v>
      </c>
      <c r="H4366" s="831">
        <v>94.79</v>
      </c>
      <c r="I4366" s="846"/>
      <c r="J4366" s="846"/>
      <c r="K4366" s="846"/>
      <c r="L4366" s="846"/>
      <c r="M4366" s="846"/>
      <c r="N4366" s="846"/>
      <c r="O4366" s="846"/>
      <c r="P4366" s="846"/>
      <c r="Q4366" s="846"/>
      <c r="R4366" s="846"/>
      <c r="S4366" s="846"/>
      <c r="T4366" s="846"/>
    </row>
    <row r="4367" spans="2:20" ht="38.25" hidden="1">
      <c r="B4367" s="828" t="s">
        <v>6547</v>
      </c>
      <c r="C4367" s="828">
        <v>94699</v>
      </c>
      <c r="D4367" s="630" t="s">
        <v>1329</v>
      </c>
      <c r="E4367" s="630" t="s">
        <v>646</v>
      </c>
      <c r="F4367" s="829">
        <v>154.80000000000001</v>
      </c>
      <c r="G4367" s="830">
        <v>27.67</v>
      </c>
      <c r="H4367" s="831">
        <v>182.47</v>
      </c>
      <c r="I4367" s="846"/>
      <c r="J4367" s="846"/>
      <c r="K4367" s="846"/>
      <c r="L4367" s="846"/>
      <c r="M4367" s="846"/>
      <c r="N4367" s="846"/>
      <c r="O4367" s="846"/>
      <c r="P4367" s="846"/>
      <c r="Q4367" s="846"/>
      <c r="R4367" s="846"/>
      <c r="S4367" s="846"/>
      <c r="T4367" s="846"/>
    </row>
    <row r="4368" spans="2:20" ht="38.25" hidden="1">
      <c r="B4368" s="828" t="s">
        <v>6547</v>
      </c>
      <c r="C4368" s="828">
        <v>94700</v>
      </c>
      <c r="D4368" s="630" t="s">
        <v>1330</v>
      </c>
      <c r="E4368" s="630" t="s">
        <v>646</v>
      </c>
      <c r="F4368" s="829">
        <v>126.9</v>
      </c>
      <c r="G4368" s="830">
        <v>27.67</v>
      </c>
      <c r="H4368" s="831">
        <v>154.57</v>
      </c>
      <c r="I4368" s="846"/>
      <c r="J4368" s="846"/>
      <c r="K4368" s="846"/>
      <c r="L4368" s="846"/>
      <c r="M4368" s="846"/>
      <c r="N4368" s="846"/>
      <c r="O4368" s="846"/>
      <c r="P4368" s="846"/>
      <c r="Q4368" s="846"/>
      <c r="R4368" s="846"/>
      <c r="S4368" s="846"/>
      <c r="T4368" s="846"/>
    </row>
    <row r="4369" spans="2:20" ht="38.25" hidden="1">
      <c r="B4369" s="828" t="s">
        <v>6547</v>
      </c>
      <c r="C4369" s="828">
        <v>94701</v>
      </c>
      <c r="D4369" s="630" t="s">
        <v>1331</v>
      </c>
      <c r="E4369" s="630" t="s">
        <v>646</v>
      </c>
      <c r="F4369" s="829">
        <v>243.29</v>
      </c>
      <c r="G4369" s="830">
        <v>27.67</v>
      </c>
      <c r="H4369" s="831">
        <v>270.95999999999998</v>
      </c>
      <c r="I4369" s="846"/>
      <c r="J4369" s="846"/>
      <c r="K4369" s="846"/>
      <c r="L4369" s="846"/>
      <c r="M4369" s="846"/>
      <c r="N4369" s="846"/>
      <c r="O4369" s="846"/>
      <c r="P4369" s="846"/>
      <c r="Q4369" s="846"/>
      <c r="R4369" s="846"/>
      <c r="S4369" s="846"/>
      <c r="T4369" s="846"/>
    </row>
    <row r="4370" spans="2:20" ht="38.25" hidden="1">
      <c r="B4370" s="828" t="s">
        <v>6547</v>
      </c>
      <c r="C4370" s="828">
        <v>94702</v>
      </c>
      <c r="D4370" s="630" t="s">
        <v>1332</v>
      </c>
      <c r="E4370" s="630" t="s">
        <v>646</v>
      </c>
      <c r="F4370" s="829">
        <v>229.02</v>
      </c>
      <c r="G4370" s="830">
        <v>27.67</v>
      </c>
      <c r="H4370" s="831">
        <v>256.69</v>
      </c>
      <c r="I4370" s="846"/>
      <c r="J4370" s="846"/>
      <c r="K4370" s="846"/>
      <c r="L4370" s="846"/>
      <c r="M4370" s="846"/>
      <c r="N4370" s="846"/>
      <c r="O4370" s="846"/>
      <c r="P4370" s="846"/>
      <c r="Q4370" s="846"/>
      <c r="R4370" s="846"/>
      <c r="S4370" s="846"/>
      <c r="T4370" s="846"/>
    </row>
    <row r="4371" spans="2:20" ht="51" hidden="1">
      <c r="B4371" s="828" t="s">
        <v>6547</v>
      </c>
      <c r="C4371" s="828">
        <v>94703</v>
      </c>
      <c r="D4371" s="630" t="s">
        <v>1333</v>
      </c>
      <c r="E4371" s="630" t="s">
        <v>646</v>
      </c>
      <c r="F4371" s="829">
        <v>18</v>
      </c>
      <c r="G4371" s="830">
        <v>5.82</v>
      </c>
      <c r="H4371" s="831">
        <v>23.82</v>
      </c>
      <c r="I4371" s="846"/>
      <c r="J4371" s="846"/>
      <c r="K4371" s="846"/>
      <c r="L4371" s="846"/>
      <c r="M4371" s="846"/>
      <c r="N4371" s="846"/>
      <c r="O4371" s="846"/>
      <c r="P4371" s="846"/>
      <c r="Q4371" s="846"/>
      <c r="R4371" s="846"/>
      <c r="S4371" s="846"/>
      <c r="T4371" s="846"/>
    </row>
    <row r="4372" spans="2:20" ht="51" hidden="1">
      <c r="B4372" s="828" t="s">
        <v>6547</v>
      </c>
      <c r="C4372" s="828">
        <v>94704</v>
      </c>
      <c r="D4372" s="630" t="s">
        <v>1334</v>
      </c>
      <c r="E4372" s="630" t="s">
        <v>646</v>
      </c>
      <c r="F4372" s="829">
        <v>22.28</v>
      </c>
      <c r="G4372" s="830">
        <v>5.82</v>
      </c>
      <c r="H4372" s="831">
        <v>28.1</v>
      </c>
      <c r="I4372" s="846"/>
      <c r="J4372" s="846"/>
      <c r="K4372" s="846"/>
      <c r="L4372" s="846"/>
      <c r="M4372" s="846"/>
      <c r="N4372" s="846"/>
      <c r="O4372" s="846"/>
      <c r="P4372" s="846"/>
      <c r="Q4372" s="846"/>
      <c r="R4372" s="846"/>
      <c r="S4372" s="846"/>
      <c r="T4372" s="846"/>
    </row>
    <row r="4373" spans="2:20" ht="51" hidden="1">
      <c r="B4373" s="828" t="s">
        <v>6547</v>
      </c>
      <c r="C4373" s="828">
        <v>94705</v>
      </c>
      <c r="D4373" s="630" t="s">
        <v>1335</v>
      </c>
      <c r="E4373" s="630" t="s">
        <v>646</v>
      </c>
      <c r="F4373" s="829">
        <v>28.76</v>
      </c>
      <c r="G4373" s="830">
        <v>5.82</v>
      </c>
      <c r="H4373" s="831">
        <v>34.58</v>
      </c>
      <c r="I4373" s="846"/>
      <c r="J4373" s="846"/>
      <c r="K4373" s="846"/>
      <c r="L4373" s="846"/>
      <c r="M4373" s="846"/>
      <c r="N4373" s="846"/>
      <c r="O4373" s="846"/>
      <c r="P4373" s="846"/>
      <c r="Q4373" s="846"/>
      <c r="R4373" s="846"/>
      <c r="S4373" s="846"/>
      <c r="T4373" s="846"/>
    </row>
    <row r="4374" spans="2:20" ht="51" hidden="1">
      <c r="B4374" s="828" t="s">
        <v>6547</v>
      </c>
      <c r="C4374" s="828">
        <v>94706</v>
      </c>
      <c r="D4374" s="630" t="s">
        <v>1336</v>
      </c>
      <c r="E4374" s="630" t="s">
        <v>646</v>
      </c>
      <c r="F4374" s="829">
        <v>41.55</v>
      </c>
      <c r="G4374" s="830">
        <v>7.75</v>
      </c>
      <c r="H4374" s="832">
        <v>49.3</v>
      </c>
      <c r="I4374" s="846"/>
      <c r="J4374" s="846"/>
      <c r="K4374" s="846"/>
      <c r="L4374" s="846"/>
      <c r="M4374" s="846"/>
      <c r="N4374" s="846"/>
      <c r="O4374" s="846"/>
      <c r="P4374" s="846"/>
      <c r="Q4374" s="846"/>
      <c r="R4374" s="846"/>
      <c r="S4374" s="846"/>
      <c r="T4374" s="846"/>
    </row>
    <row r="4375" spans="2:20" ht="51" hidden="1">
      <c r="B4375" s="828" t="s">
        <v>6547</v>
      </c>
      <c r="C4375" s="828">
        <v>94707</v>
      </c>
      <c r="D4375" s="630" t="s">
        <v>1337</v>
      </c>
      <c r="E4375" s="630" t="s">
        <v>646</v>
      </c>
      <c r="F4375" s="829">
        <v>53.59</v>
      </c>
      <c r="G4375" s="830">
        <v>7.74</v>
      </c>
      <c r="H4375" s="831">
        <v>61.33</v>
      </c>
      <c r="I4375" s="846"/>
      <c r="J4375" s="846"/>
      <c r="K4375" s="846"/>
      <c r="L4375" s="846"/>
      <c r="M4375" s="846"/>
      <c r="N4375" s="846"/>
      <c r="O4375" s="846"/>
      <c r="P4375" s="846"/>
      <c r="Q4375" s="846"/>
      <c r="R4375" s="846"/>
      <c r="S4375" s="846"/>
      <c r="T4375" s="846"/>
    </row>
    <row r="4376" spans="2:20" ht="51" hidden="1">
      <c r="B4376" s="828" t="s">
        <v>6547</v>
      </c>
      <c r="C4376" s="828">
        <v>94708</v>
      </c>
      <c r="D4376" s="630" t="s">
        <v>1338</v>
      </c>
      <c r="E4376" s="630" t="s">
        <v>646</v>
      </c>
      <c r="F4376" s="829">
        <v>20.95</v>
      </c>
      <c r="G4376" s="830">
        <v>9.91</v>
      </c>
      <c r="H4376" s="831">
        <v>30.86</v>
      </c>
      <c r="I4376" s="846"/>
      <c r="J4376" s="846"/>
      <c r="K4376" s="846"/>
      <c r="L4376" s="846"/>
      <c r="M4376" s="846"/>
      <c r="N4376" s="846"/>
      <c r="O4376" s="846"/>
      <c r="P4376" s="846"/>
      <c r="Q4376" s="846"/>
      <c r="R4376" s="846"/>
      <c r="S4376" s="846"/>
      <c r="T4376" s="846"/>
    </row>
    <row r="4377" spans="2:20" ht="51" hidden="1">
      <c r="B4377" s="828" t="s">
        <v>6547</v>
      </c>
      <c r="C4377" s="828">
        <v>94709</v>
      </c>
      <c r="D4377" s="630" t="s">
        <v>1339</v>
      </c>
      <c r="E4377" s="630" t="s">
        <v>646</v>
      </c>
      <c r="F4377" s="829">
        <v>29.5</v>
      </c>
      <c r="G4377" s="830">
        <v>9.9</v>
      </c>
      <c r="H4377" s="831">
        <v>39.4</v>
      </c>
      <c r="I4377" s="846"/>
      <c r="J4377" s="846"/>
      <c r="K4377" s="846"/>
      <c r="L4377" s="846"/>
      <c r="M4377" s="846"/>
      <c r="N4377" s="846"/>
      <c r="O4377" s="846"/>
      <c r="P4377" s="846"/>
      <c r="Q4377" s="846"/>
      <c r="R4377" s="846"/>
      <c r="S4377" s="846"/>
      <c r="T4377" s="846"/>
    </row>
    <row r="4378" spans="2:20" ht="51" hidden="1">
      <c r="B4378" s="828" t="s">
        <v>6547</v>
      </c>
      <c r="C4378" s="828">
        <v>94710</v>
      </c>
      <c r="D4378" s="630" t="s">
        <v>1340</v>
      </c>
      <c r="E4378" s="630" t="s">
        <v>646</v>
      </c>
      <c r="F4378" s="829">
        <v>50.69</v>
      </c>
      <c r="G4378" s="830">
        <v>9.9</v>
      </c>
      <c r="H4378" s="831">
        <v>60.59</v>
      </c>
      <c r="I4378" s="846"/>
      <c r="J4378" s="846"/>
      <c r="K4378" s="846"/>
      <c r="L4378" s="846"/>
      <c r="M4378" s="846"/>
      <c r="N4378" s="846"/>
      <c r="O4378" s="846"/>
      <c r="P4378" s="846"/>
      <c r="Q4378" s="846"/>
      <c r="R4378" s="846"/>
      <c r="S4378" s="846"/>
      <c r="T4378" s="846"/>
    </row>
    <row r="4379" spans="2:20" ht="51" hidden="1">
      <c r="B4379" s="828" t="s">
        <v>6547</v>
      </c>
      <c r="C4379" s="828">
        <v>94711</v>
      </c>
      <c r="D4379" s="630" t="s">
        <v>1341</v>
      </c>
      <c r="E4379" s="630" t="s">
        <v>646</v>
      </c>
      <c r="F4379" s="829">
        <v>58.68</v>
      </c>
      <c r="G4379" s="830">
        <v>13.2</v>
      </c>
      <c r="H4379" s="831">
        <v>71.88</v>
      </c>
      <c r="I4379" s="846"/>
      <c r="J4379" s="846"/>
      <c r="K4379" s="846"/>
      <c r="L4379" s="846"/>
      <c r="M4379" s="846"/>
      <c r="N4379" s="846"/>
      <c r="O4379" s="846"/>
      <c r="P4379" s="846"/>
      <c r="Q4379" s="846"/>
      <c r="R4379" s="846"/>
      <c r="S4379" s="846"/>
      <c r="T4379" s="846"/>
    </row>
    <row r="4380" spans="2:20" ht="51" hidden="1">
      <c r="B4380" s="828" t="s">
        <v>6547</v>
      </c>
      <c r="C4380" s="828">
        <v>94712</v>
      </c>
      <c r="D4380" s="630" t="s">
        <v>1342</v>
      </c>
      <c r="E4380" s="630" t="s">
        <v>646</v>
      </c>
      <c r="F4380" s="829">
        <v>83.01</v>
      </c>
      <c r="G4380" s="830">
        <v>13.2</v>
      </c>
      <c r="H4380" s="831">
        <v>96.21</v>
      </c>
      <c r="I4380" s="846"/>
      <c r="J4380" s="846"/>
      <c r="K4380" s="846"/>
      <c r="L4380" s="846"/>
      <c r="M4380" s="846"/>
      <c r="N4380" s="846"/>
      <c r="O4380" s="846"/>
      <c r="P4380" s="846"/>
      <c r="Q4380" s="846"/>
      <c r="R4380" s="846"/>
      <c r="S4380" s="846"/>
      <c r="T4380" s="846"/>
    </row>
    <row r="4381" spans="2:20" ht="51" hidden="1">
      <c r="B4381" s="828" t="s">
        <v>6547</v>
      </c>
      <c r="C4381" s="828">
        <v>94713</v>
      </c>
      <c r="D4381" s="630" t="s">
        <v>1343</v>
      </c>
      <c r="E4381" s="630" t="s">
        <v>646</v>
      </c>
      <c r="F4381" s="829">
        <v>237.4</v>
      </c>
      <c r="G4381" s="830">
        <v>13.19</v>
      </c>
      <c r="H4381" s="831">
        <v>250.59</v>
      </c>
      <c r="I4381" s="846"/>
      <c r="J4381" s="846"/>
      <c r="K4381" s="846"/>
      <c r="L4381" s="846"/>
      <c r="M4381" s="846"/>
      <c r="N4381" s="846"/>
      <c r="O4381" s="846"/>
      <c r="P4381" s="846"/>
      <c r="Q4381" s="846"/>
      <c r="R4381" s="846"/>
      <c r="S4381" s="846"/>
      <c r="T4381" s="846"/>
    </row>
    <row r="4382" spans="2:20" ht="51" hidden="1">
      <c r="B4382" s="828" t="s">
        <v>6547</v>
      </c>
      <c r="C4382" s="828">
        <v>94714</v>
      </c>
      <c r="D4382" s="630" t="s">
        <v>1344</v>
      </c>
      <c r="E4382" s="630" t="s">
        <v>646</v>
      </c>
      <c r="F4382" s="829">
        <v>326.41000000000003</v>
      </c>
      <c r="G4382" s="830">
        <v>13.19</v>
      </c>
      <c r="H4382" s="831">
        <v>339.6</v>
      </c>
      <c r="I4382" s="846"/>
      <c r="J4382" s="846"/>
      <c r="K4382" s="846"/>
      <c r="L4382" s="846"/>
      <c r="M4382" s="846"/>
      <c r="N4382" s="846"/>
      <c r="O4382" s="846"/>
      <c r="P4382" s="846"/>
      <c r="Q4382" s="846"/>
      <c r="R4382" s="846"/>
      <c r="S4382" s="846"/>
      <c r="T4382" s="846"/>
    </row>
    <row r="4383" spans="2:20" ht="51" hidden="1">
      <c r="B4383" s="828" t="s">
        <v>6547</v>
      </c>
      <c r="C4383" s="828">
        <v>94715</v>
      </c>
      <c r="D4383" s="630" t="s">
        <v>1345</v>
      </c>
      <c r="E4383" s="630" t="s">
        <v>646</v>
      </c>
      <c r="F4383" s="829">
        <v>455.5</v>
      </c>
      <c r="G4383" s="830">
        <v>13.19</v>
      </c>
      <c r="H4383" s="831">
        <v>468.69</v>
      </c>
      <c r="I4383" s="846"/>
      <c r="J4383" s="846"/>
      <c r="K4383" s="846"/>
      <c r="L4383" s="846"/>
      <c r="M4383" s="846"/>
      <c r="N4383" s="846"/>
      <c r="O4383" s="846"/>
      <c r="P4383" s="846"/>
      <c r="Q4383" s="846"/>
      <c r="R4383" s="846"/>
      <c r="S4383" s="846"/>
      <c r="T4383" s="846"/>
    </row>
    <row r="4384" spans="2:20" ht="38.25" hidden="1">
      <c r="B4384" s="828" t="s">
        <v>6547</v>
      </c>
      <c r="C4384" s="828">
        <v>94724</v>
      </c>
      <c r="D4384" s="630" t="s">
        <v>1294</v>
      </c>
      <c r="E4384" s="630" t="s">
        <v>646</v>
      </c>
      <c r="F4384" s="829">
        <v>35.119999999999997</v>
      </c>
      <c r="G4384" s="830">
        <v>3.19</v>
      </c>
      <c r="H4384" s="831">
        <v>38.31</v>
      </c>
      <c r="I4384" s="846"/>
      <c r="J4384" s="846"/>
      <c r="K4384" s="846"/>
      <c r="L4384" s="846"/>
      <c r="M4384" s="846"/>
      <c r="N4384" s="846"/>
      <c r="O4384" s="846"/>
      <c r="P4384" s="846"/>
      <c r="Q4384" s="846"/>
      <c r="R4384" s="846"/>
      <c r="S4384" s="846"/>
      <c r="T4384" s="846"/>
    </row>
    <row r="4385" spans="2:20" ht="38.25" hidden="1">
      <c r="B4385" s="828" t="s">
        <v>6547</v>
      </c>
      <c r="C4385" s="828">
        <v>94725</v>
      </c>
      <c r="D4385" s="630" t="s">
        <v>1502</v>
      </c>
      <c r="E4385" s="630" t="s">
        <v>646</v>
      </c>
      <c r="F4385" s="829">
        <v>5.31</v>
      </c>
      <c r="G4385" s="830">
        <v>3.21</v>
      </c>
      <c r="H4385" s="831">
        <v>8.52</v>
      </c>
      <c r="I4385" s="846"/>
      <c r="J4385" s="846"/>
      <c r="K4385" s="846"/>
      <c r="L4385" s="846"/>
      <c r="M4385" s="846"/>
      <c r="N4385" s="846"/>
      <c r="O4385" s="846"/>
      <c r="P4385" s="846"/>
      <c r="Q4385" s="846"/>
      <c r="R4385" s="846"/>
      <c r="S4385" s="846"/>
      <c r="T4385" s="846"/>
    </row>
    <row r="4386" spans="2:20" ht="38.25" hidden="1">
      <c r="B4386" s="828" t="s">
        <v>6547</v>
      </c>
      <c r="C4386" s="828">
        <v>94726</v>
      </c>
      <c r="D4386" s="630" t="s">
        <v>1295</v>
      </c>
      <c r="E4386" s="630" t="s">
        <v>646</v>
      </c>
      <c r="F4386" s="829">
        <v>56.43</v>
      </c>
      <c r="G4386" s="830">
        <v>3.19</v>
      </c>
      <c r="H4386" s="831">
        <v>59.62</v>
      </c>
      <c r="I4386" s="846"/>
      <c r="J4386" s="846"/>
      <c r="K4386" s="846"/>
      <c r="L4386" s="846"/>
      <c r="M4386" s="846"/>
      <c r="N4386" s="846"/>
      <c r="O4386" s="846"/>
      <c r="P4386" s="846"/>
      <c r="Q4386" s="846"/>
      <c r="R4386" s="846"/>
      <c r="S4386" s="846"/>
      <c r="T4386" s="846"/>
    </row>
    <row r="4387" spans="2:20" ht="38.25" hidden="1">
      <c r="B4387" s="828" t="s">
        <v>6547</v>
      </c>
      <c r="C4387" s="828">
        <v>94727</v>
      </c>
      <c r="D4387" s="630" t="s">
        <v>1503</v>
      </c>
      <c r="E4387" s="630" t="s">
        <v>646</v>
      </c>
      <c r="F4387" s="829">
        <v>9.27</v>
      </c>
      <c r="G4387" s="830">
        <v>3.2</v>
      </c>
      <c r="H4387" s="831">
        <v>12.47</v>
      </c>
      <c r="I4387" s="846"/>
      <c r="J4387" s="846"/>
      <c r="K4387" s="846"/>
      <c r="L4387" s="846"/>
      <c r="M4387" s="846"/>
      <c r="N4387" s="846"/>
      <c r="O4387" s="846"/>
      <c r="P4387" s="846"/>
      <c r="Q4387" s="846"/>
      <c r="R4387" s="846"/>
      <c r="S4387" s="846"/>
      <c r="T4387" s="846"/>
    </row>
    <row r="4388" spans="2:20" ht="38.25" hidden="1">
      <c r="B4388" s="828" t="s">
        <v>6547</v>
      </c>
      <c r="C4388" s="828">
        <v>94728</v>
      </c>
      <c r="D4388" s="630" t="s">
        <v>1392</v>
      </c>
      <c r="E4388" s="630" t="s">
        <v>646</v>
      </c>
      <c r="F4388" s="829">
        <v>223.37</v>
      </c>
      <c r="G4388" s="830">
        <v>4.2300000000000004</v>
      </c>
      <c r="H4388" s="831">
        <v>227.6</v>
      </c>
      <c r="I4388" s="846"/>
      <c r="J4388" s="846"/>
      <c r="K4388" s="846"/>
      <c r="L4388" s="846"/>
      <c r="M4388" s="846"/>
      <c r="N4388" s="846"/>
      <c r="O4388" s="846"/>
      <c r="P4388" s="846"/>
      <c r="Q4388" s="846"/>
      <c r="R4388" s="846"/>
      <c r="S4388" s="846"/>
      <c r="T4388" s="846"/>
    </row>
    <row r="4389" spans="2:20" ht="38.25" hidden="1">
      <c r="B4389" s="828" t="s">
        <v>6547</v>
      </c>
      <c r="C4389" s="828">
        <v>94729</v>
      </c>
      <c r="D4389" s="630" t="s">
        <v>1389</v>
      </c>
      <c r="E4389" s="630" t="s">
        <v>646</v>
      </c>
      <c r="F4389" s="829">
        <v>18.100000000000001</v>
      </c>
      <c r="G4389" s="830">
        <v>4.2300000000000004</v>
      </c>
      <c r="H4389" s="831">
        <v>22.33</v>
      </c>
      <c r="I4389" s="846"/>
      <c r="J4389" s="846"/>
      <c r="K4389" s="846"/>
      <c r="L4389" s="846"/>
      <c r="M4389" s="846"/>
      <c r="N4389" s="846"/>
      <c r="O4389" s="846"/>
      <c r="P4389" s="846"/>
      <c r="Q4389" s="846"/>
      <c r="R4389" s="846"/>
      <c r="S4389" s="846"/>
      <c r="T4389" s="846"/>
    </row>
    <row r="4390" spans="2:20" ht="38.25" hidden="1">
      <c r="B4390" s="828" t="s">
        <v>6547</v>
      </c>
      <c r="C4390" s="828">
        <v>94730</v>
      </c>
      <c r="D4390" s="630" t="s">
        <v>1393</v>
      </c>
      <c r="E4390" s="630" t="s">
        <v>646</v>
      </c>
      <c r="F4390" s="829">
        <v>272.52</v>
      </c>
      <c r="G4390" s="830">
        <v>4.2300000000000004</v>
      </c>
      <c r="H4390" s="831">
        <v>276.75</v>
      </c>
      <c r="I4390" s="846"/>
      <c r="J4390" s="846"/>
      <c r="K4390" s="846"/>
      <c r="L4390" s="846"/>
      <c r="M4390" s="846"/>
      <c r="N4390" s="846"/>
      <c r="O4390" s="846"/>
      <c r="P4390" s="846"/>
      <c r="Q4390" s="846"/>
      <c r="R4390" s="846"/>
      <c r="S4390" s="846"/>
      <c r="T4390" s="846"/>
    </row>
    <row r="4391" spans="2:20" ht="38.25" hidden="1">
      <c r="B4391" s="828" t="s">
        <v>6547</v>
      </c>
      <c r="C4391" s="828">
        <v>94731</v>
      </c>
      <c r="D4391" s="630" t="s">
        <v>1390</v>
      </c>
      <c r="E4391" s="630" t="s">
        <v>646</v>
      </c>
      <c r="F4391" s="829">
        <v>24.08</v>
      </c>
      <c r="G4391" s="830">
        <v>4.2300000000000004</v>
      </c>
      <c r="H4391" s="831">
        <v>28.31</v>
      </c>
      <c r="I4391" s="846"/>
      <c r="J4391" s="846"/>
      <c r="K4391" s="846"/>
      <c r="L4391" s="846"/>
      <c r="M4391" s="846"/>
      <c r="N4391" s="846"/>
      <c r="O4391" s="846"/>
      <c r="P4391" s="846"/>
      <c r="Q4391" s="846"/>
      <c r="R4391" s="846"/>
      <c r="S4391" s="846"/>
      <c r="T4391" s="846"/>
    </row>
    <row r="4392" spans="2:20" ht="38.25" hidden="1">
      <c r="B4392" s="828" t="s">
        <v>6547</v>
      </c>
      <c r="C4392" s="828">
        <v>94733</v>
      </c>
      <c r="D4392" s="630" t="s">
        <v>1290</v>
      </c>
      <c r="E4392" s="630" t="s">
        <v>646</v>
      </c>
      <c r="F4392" s="829">
        <v>47.9</v>
      </c>
      <c r="G4392" s="830">
        <v>7.31</v>
      </c>
      <c r="H4392" s="831">
        <v>55.21</v>
      </c>
      <c r="I4392" s="846"/>
      <c r="J4392" s="846"/>
      <c r="K4392" s="846"/>
      <c r="L4392" s="846"/>
      <c r="M4392" s="846"/>
      <c r="N4392" s="846"/>
      <c r="O4392" s="846"/>
      <c r="P4392" s="846"/>
      <c r="Q4392" s="846"/>
      <c r="R4392" s="846"/>
      <c r="S4392" s="846"/>
      <c r="T4392" s="846"/>
    </row>
    <row r="4393" spans="2:20" ht="38.25" hidden="1">
      <c r="B4393" s="828" t="s">
        <v>6547</v>
      </c>
      <c r="C4393" s="828">
        <v>94737</v>
      </c>
      <c r="D4393" s="630" t="s">
        <v>1291</v>
      </c>
      <c r="E4393" s="630" t="s">
        <v>646</v>
      </c>
      <c r="F4393" s="829">
        <v>220.7</v>
      </c>
      <c r="G4393" s="830">
        <v>14.76</v>
      </c>
      <c r="H4393" s="831">
        <v>235.46</v>
      </c>
      <c r="I4393" s="846"/>
      <c r="J4393" s="846"/>
      <c r="K4393" s="846"/>
      <c r="L4393" s="846"/>
      <c r="M4393" s="846"/>
      <c r="N4393" s="846"/>
      <c r="O4393" s="846"/>
      <c r="P4393" s="846"/>
      <c r="Q4393" s="846"/>
      <c r="R4393" s="846"/>
      <c r="S4393" s="846"/>
      <c r="T4393" s="846"/>
    </row>
    <row r="4394" spans="2:20" ht="38.25" hidden="1">
      <c r="B4394" s="828" t="s">
        <v>6547</v>
      </c>
      <c r="C4394" s="828">
        <v>94740</v>
      </c>
      <c r="D4394" s="630" t="s">
        <v>1369</v>
      </c>
      <c r="E4394" s="630" t="s">
        <v>646</v>
      </c>
      <c r="F4394" s="829">
        <v>8.81</v>
      </c>
      <c r="G4394" s="830">
        <v>4.8</v>
      </c>
      <c r="H4394" s="831">
        <v>13.61</v>
      </c>
      <c r="I4394" s="846"/>
      <c r="J4394" s="846"/>
      <c r="K4394" s="846"/>
      <c r="L4394" s="846"/>
      <c r="M4394" s="846"/>
      <c r="N4394" s="846"/>
      <c r="O4394" s="846"/>
      <c r="P4394" s="846"/>
      <c r="Q4394" s="846"/>
      <c r="R4394" s="846"/>
      <c r="S4394" s="846"/>
      <c r="T4394" s="846"/>
    </row>
    <row r="4395" spans="2:20" ht="38.25" hidden="1">
      <c r="B4395" s="828" t="s">
        <v>6547</v>
      </c>
      <c r="C4395" s="828">
        <v>94741</v>
      </c>
      <c r="D4395" s="630" t="s">
        <v>1500</v>
      </c>
      <c r="E4395" s="630" t="s">
        <v>646</v>
      </c>
      <c r="F4395" s="829">
        <v>12.41</v>
      </c>
      <c r="G4395" s="830">
        <v>4.79</v>
      </c>
      <c r="H4395" s="831">
        <v>17.2</v>
      </c>
      <c r="I4395" s="846"/>
      <c r="J4395" s="846"/>
      <c r="K4395" s="846"/>
      <c r="L4395" s="846"/>
      <c r="M4395" s="846"/>
      <c r="N4395" s="846"/>
      <c r="O4395" s="846"/>
      <c r="P4395" s="846"/>
      <c r="Q4395" s="846"/>
      <c r="R4395" s="846"/>
      <c r="S4395" s="846"/>
      <c r="T4395" s="846"/>
    </row>
    <row r="4396" spans="2:20" ht="38.25" hidden="1">
      <c r="B4396" s="828" t="s">
        <v>6547</v>
      </c>
      <c r="C4396" s="828">
        <v>94742</v>
      </c>
      <c r="D4396" s="630" t="s">
        <v>1370</v>
      </c>
      <c r="E4396" s="630" t="s">
        <v>646</v>
      </c>
      <c r="F4396" s="829">
        <v>16.440000000000001</v>
      </c>
      <c r="G4396" s="830">
        <v>4.79</v>
      </c>
      <c r="H4396" s="831">
        <v>21.23</v>
      </c>
      <c r="I4396" s="846"/>
      <c r="J4396" s="846"/>
      <c r="K4396" s="846"/>
      <c r="L4396" s="846"/>
      <c r="M4396" s="846"/>
      <c r="N4396" s="846"/>
      <c r="O4396" s="846"/>
      <c r="P4396" s="846"/>
      <c r="Q4396" s="846"/>
      <c r="R4396" s="846"/>
      <c r="S4396" s="846"/>
      <c r="T4396" s="846"/>
    </row>
    <row r="4397" spans="2:20" ht="38.25" hidden="1">
      <c r="B4397" s="828" t="s">
        <v>6547</v>
      </c>
      <c r="C4397" s="828">
        <v>94743</v>
      </c>
      <c r="D4397" s="630" t="s">
        <v>1501</v>
      </c>
      <c r="E4397" s="630" t="s">
        <v>646</v>
      </c>
      <c r="F4397" s="829">
        <v>18.71</v>
      </c>
      <c r="G4397" s="830">
        <v>4.79</v>
      </c>
      <c r="H4397" s="831">
        <v>23.5</v>
      </c>
      <c r="I4397" s="846"/>
      <c r="J4397" s="846"/>
      <c r="K4397" s="846"/>
      <c r="L4397" s="846"/>
      <c r="M4397" s="846"/>
      <c r="N4397" s="846"/>
      <c r="O4397" s="846"/>
      <c r="P4397" s="846"/>
      <c r="Q4397" s="846"/>
      <c r="R4397" s="846"/>
      <c r="S4397" s="846"/>
      <c r="T4397" s="846"/>
    </row>
    <row r="4398" spans="2:20" ht="38.25" hidden="1">
      <c r="B4398" s="828" t="s">
        <v>6547</v>
      </c>
      <c r="C4398" s="828">
        <v>94744</v>
      </c>
      <c r="D4398" s="630" t="s">
        <v>1371</v>
      </c>
      <c r="E4398" s="630" t="s">
        <v>646</v>
      </c>
      <c r="F4398" s="829">
        <v>27.87</v>
      </c>
      <c r="G4398" s="830">
        <v>6.29</v>
      </c>
      <c r="H4398" s="831">
        <v>34.159999999999997</v>
      </c>
      <c r="I4398" s="846"/>
      <c r="J4398" s="846"/>
      <c r="K4398" s="846"/>
      <c r="L4398" s="846"/>
      <c r="M4398" s="846"/>
      <c r="N4398" s="846"/>
      <c r="O4398" s="846"/>
      <c r="P4398" s="846"/>
      <c r="Q4398" s="846"/>
      <c r="R4398" s="846"/>
      <c r="S4398" s="846"/>
      <c r="T4398" s="846"/>
    </row>
    <row r="4399" spans="2:20" ht="38.25" hidden="1">
      <c r="B4399" s="828" t="s">
        <v>6547</v>
      </c>
      <c r="C4399" s="828">
        <v>94746</v>
      </c>
      <c r="D4399" s="630" t="s">
        <v>1372</v>
      </c>
      <c r="E4399" s="630" t="s">
        <v>646</v>
      </c>
      <c r="F4399" s="829">
        <v>43.05</v>
      </c>
      <c r="G4399" s="830">
        <v>6.28</v>
      </c>
      <c r="H4399" s="831">
        <v>49.33</v>
      </c>
      <c r="I4399" s="846"/>
      <c r="J4399" s="846"/>
      <c r="K4399" s="846"/>
      <c r="L4399" s="846"/>
      <c r="M4399" s="846"/>
      <c r="N4399" s="846"/>
      <c r="O4399" s="846"/>
      <c r="P4399" s="846"/>
      <c r="Q4399" s="846"/>
      <c r="R4399" s="846"/>
      <c r="S4399" s="846"/>
      <c r="T4399" s="846"/>
    </row>
    <row r="4400" spans="2:20" ht="38.25" hidden="1">
      <c r="B4400" s="828" t="s">
        <v>6547</v>
      </c>
      <c r="C4400" s="828">
        <v>94748</v>
      </c>
      <c r="D4400" s="630" t="s">
        <v>1373</v>
      </c>
      <c r="E4400" s="630" t="s">
        <v>646</v>
      </c>
      <c r="F4400" s="829">
        <v>91.3</v>
      </c>
      <c r="G4400" s="830">
        <v>10.94</v>
      </c>
      <c r="H4400" s="831">
        <v>102.24</v>
      </c>
      <c r="I4400" s="846"/>
      <c r="J4400" s="846"/>
      <c r="K4400" s="846"/>
      <c r="L4400" s="846"/>
      <c r="M4400" s="846"/>
      <c r="N4400" s="846"/>
      <c r="O4400" s="846"/>
      <c r="P4400" s="846"/>
      <c r="Q4400" s="846"/>
      <c r="R4400" s="846"/>
      <c r="S4400" s="846"/>
      <c r="T4400" s="846"/>
    </row>
    <row r="4401" spans="2:20" ht="38.25" hidden="1">
      <c r="B4401" s="828" t="s">
        <v>6547</v>
      </c>
      <c r="C4401" s="828">
        <v>94750</v>
      </c>
      <c r="D4401" s="630" t="s">
        <v>1374</v>
      </c>
      <c r="E4401" s="630" t="s">
        <v>646</v>
      </c>
      <c r="F4401" s="829">
        <v>234.79</v>
      </c>
      <c r="G4401" s="830">
        <v>10.94</v>
      </c>
      <c r="H4401" s="831">
        <v>245.73</v>
      </c>
      <c r="I4401" s="846"/>
      <c r="J4401" s="846"/>
      <c r="K4401" s="846"/>
      <c r="L4401" s="846"/>
      <c r="M4401" s="846"/>
      <c r="N4401" s="846"/>
      <c r="O4401" s="846"/>
      <c r="P4401" s="846"/>
      <c r="Q4401" s="846"/>
      <c r="R4401" s="846"/>
      <c r="S4401" s="846"/>
      <c r="T4401" s="846"/>
    </row>
    <row r="4402" spans="2:20" ht="38.25" hidden="1">
      <c r="B4402" s="828" t="s">
        <v>6547</v>
      </c>
      <c r="C4402" s="828">
        <v>94752</v>
      </c>
      <c r="D4402" s="630" t="s">
        <v>1375</v>
      </c>
      <c r="E4402" s="630" t="s">
        <v>646</v>
      </c>
      <c r="F4402" s="829">
        <v>275.77</v>
      </c>
      <c r="G4402" s="830">
        <v>22.18</v>
      </c>
      <c r="H4402" s="831">
        <v>297.95</v>
      </c>
      <c r="I4402" s="846"/>
      <c r="J4402" s="846"/>
      <c r="K4402" s="846"/>
      <c r="L4402" s="846"/>
      <c r="M4402" s="846"/>
      <c r="N4402" s="846"/>
      <c r="O4402" s="846"/>
      <c r="P4402" s="846"/>
      <c r="Q4402" s="846"/>
      <c r="R4402" s="846"/>
      <c r="S4402" s="846"/>
      <c r="T4402" s="846"/>
    </row>
    <row r="4403" spans="2:20" ht="38.25" hidden="1">
      <c r="B4403" s="828" t="s">
        <v>6547</v>
      </c>
      <c r="C4403" s="828">
        <v>94756</v>
      </c>
      <c r="D4403" s="630" t="s">
        <v>1395</v>
      </c>
      <c r="E4403" s="630" t="s">
        <v>646</v>
      </c>
      <c r="F4403" s="829">
        <v>10.72</v>
      </c>
      <c r="G4403" s="830">
        <v>6.39</v>
      </c>
      <c r="H4403" s="831">
        <v>17.11</v>
      </c>
      <c r="I4403" s="846"/>
      <c r="J4403" s="846"/>
      <c r="K4403" s="846"/>
      <c r="L4403" s="846"/>
      <c r="M4403" s="846"/>
      <c r="N4403" s="846"/>
      <c r="O4403" s="846"/>
      <c r="P4403" s="846"/>
      <c r="Q4403" s="846"/>
      <c r="R4403" s="846"/>
      <c r="S4403" s="846"/>
      <c r="T4403" s="846"/>
    </row>
    <row r="4404" spans="2:20" ht="38.25" hidden="1">
      <c r="B4404" s="828" t="s">
        <v>6547</v>
      </c>
      <c r="C4404" s="828">
        <v>94757</v>
      </c>
      <c r="D4404" s="630" t="s">
        <v>1396</v>
      </c>
      <c r="E4404" s="630" t="s">
        <v>646</v>
      </c>
      <c r="F4404" s="829">
        <v>17.53</v>
      </c>
      <c r="G4404" s="830">
        <v>6.38</v>
      </c>
      <c r="H4404" s="831">
        <v>23.91</v>
      </c>
      <c r="I4404" s="846"/>
      <c r="J4404" s="846"/>
      <c r="K4404" s="846"/>
      <c r="L4404" s="846"/>
      <c r="M4404" s="846"/>
      <c r="N4404" s="846"/>
      <c r="O4404" s="846"/>
      <c r="P4404" s="846"/>
      <c r="Q4404" s="846"/>
      <c r="R4404" s="846"/>
      <c r="S4404" s="846"/>
      <c r="T4404" s="846"/>
    </row>
    <row r="4405" spans="2:20" ht="38.25" hidden="1">
      <c r="B4405" s="828" t="s">
        <v>6547</v>
      </c>
      <c r="C4405" s="828">
        <v>94758</v>
      </c>
      <c r="D4405" s="630" t="s">
        <v>1397</v>
      </c>
      <c r="E4405" s="630" t="s">
        <v>646</v>
      </c>
      <c r="F4405" s="829">
        <v>54.5</v>
      </c>
      <c r="G4405" s="830">
        <v>8.39</v>
      </c>
      <c r="H4405" s="831">
        <v>62.89</v>
      </c>
      <c r="I4405" s="846"/>
      <c r="J4405" s="846"/>
      <c r="K4405" s="846"/>
      <c r="L4405" s="846"/>
      <c r="M4405" s="846"/>
      <c r="N4405" s="846"/>
      <c r="O4405" s="846"/>
      <c r="P4405" s="846"/>
      <c r="Q4405" s="846"/>
      <c r="R4405" s="846"/>
      <c r="S4405" s="846"/>
      <c r="T4405" s="846"/>
    </row>
    <row r="4406" spans="2:20" ht="38.25" hidden="1">
      <c r="B4406" s="828" t="s">
        <v>6547</v>
      </c>
      <c r="C4406" s="828">
        <v>94759</v>
      </c>
      <c r="D4406" s="630" t="s">
        <v>1398</v>
      </c>
      <c r="E4406" s="630" t="s">
        <v>646</v>
      </c>
      <c r="F4406" s="829">
        <v>69.63</v>
      </c>
      <c r="G4406" s="830">
        <v>8.39</v>
      </c>
      <c r="H4406" s="831">
        <v>78.02</v>
      </c>
      <c r="I4406" s="846"/>
      <c r="J4406" s="846"/>
      <c r="K4406" s="846"/>
      <c r="L4406" s="846"/>
      <c r="M4406" s="846"/>
      <c r="N4406" s="846"/>
      <c r="O4406" s="846"/>
      <c r="P4406" s="846"/>
      <c r="Q4406" s="846"/>
      <c r="R4406" s="846"/>
      <c r="S4406" s="846"/>
      <c r="T4406" s="846"/>
    </row>
    <row r="4407" spans="2:20" ht="38.25" hidden="1">
      <c r="B4407" s="828" t="s">
        <v>6547</v>
      </c>
      <c r="C4407" s="828">
        <v>94760</v>
      </c>
      <c r="D4407" s="630" t="s">
        <v>1399</v>
      </c>
      <c r="E4407" s="630" t="s">
        <v>646</v>
      </c>
      <c r="F4407" s="829">
        <v>113.45</v>
      </c>
      <c r="G4407" s="830">
        <v>14.59</v>
      </c>
      <c r="H4407" s="831">
        <v>128.04</v>
      </c>
      <c r="I4407" s="846"/>
      <c r="J4407" s="846"/>
      <c r="K4407" s="846"/>
      <c r="L4407" s="846"/>
      <c r="M4407" s="846"/>
      <c r="N4407" s="846"/>
      <c r="O4407" s="846"/>
      <c r="P4407" s="846"/>
      <c r="Q4407" s="846"/>
      <c r="R4407" s="846"/>
      <c r="S4407" s="846"/>
      <c r="T4407" s="846"/>
    </row>
    <row r="4408" spans="2:20" ht="38.25" hidden="1">
      <c r="B4408" s="828" t="s">
        <v>6547</v>
      </c>
      <c r="C4408" s="828">
        <v>94761</v>
      </c>
      <c r="D4408" s="630" t="s">
        <v>1400</v>
      </c>
      <c r="E4408" s="630" t="s">
        <v>646</v>
      </c>
      <c r="F4408" s="829">
        <v>265.12</v>
      </c>
      <c r="G4408" s="830">
        <v>14.59</v>
      </c>
      <c r="H4408" s="831">
        <v>279.70999999999998</v>
      </c>
      <c r="I4408" s="846"/>
      <c r="J4408" s="846"/>
      <c r="K4408" s="846"/>
      <c r="L4408" s="846"/>
      <c r="M4408" s="846"/>
      <c r="N4408" s="846"/>
      <c r="O4408" s="846"/>
      <c r="P4408" s="846"/>
      <c r="Q4408" s="846"/>
      <c r="R4408" s="846"/>
      <c r="S4408" s="846"/>
      <c r="T4408" s="846"/>
    </row>
    <row r="4409" spans="2:20" ht="38.25" hidden="1">
      <c r="B4409" s="828" t="s">
        <v>6547</v>
      </c>
      <c r="C4409" s="828">
        <v>94762</v>
      </c>
      <c r="D4409" s="630" t="s">
        <v>1401</v>
      </c>
      <c r="E4409" s="630" t="s">
        <v>646</v>
      </c>
      <c r="F4409" s="829">
        <v>326.27</v>
      </c>
      <c r="G4409" s="830">
        <v>29.55</v>
      </c>
      <c r="H4409" s="831">
        <v>355.82</v>
      </c>
      <c r="I4409" s="846"/>
      <c r="J4409" s="846"/>
      <c r="K4409" s="846"/>
      <c r="L4409" s="846"/>
      <c r="M4409" s="846"/>
      <c r="N4409" s="846"/>
      <c r="O4409" s="846"/>
      <c r="P4409" s="846"/>
      <c r="Q4409" s="846"/>
      <c r="R4409" s="846"/>
      <c r="S4409" s="846"/>
      <c r="T4409" s="846"/>
    </row>
    <row r="4410" spans="2:20" ht="51" hidden="1">
      <c r="B4410" s="828" t="s">
        <v>6547</v>
      </c>
      <c r="C4410" s="828">
        <v>94783</v>
      </c>
      <c r="D4410" s="630" t="s">
        <v>1200</v>
      </c>
      <c r="E4410" s="630" t="s">
        <v>646</v>
      </c>
      <c r="F4410" s="829">
        <v>16.12</v>
      </c>
      <c r="G4410" s="830">
        <v>5.83</v>
      </c>
      <c r="H4410" s="831">
        <v>21.95</v>
      </c>
      <c r="I4410" s="846"/>
      <c r="J4410" s="846"/>
      <c r="K4410" s="846"/>
      <c r="L4410" s="846"/>
      <c r="M4410" s="846"/>
      <c r="N4410" s="846"/>
      <c r="O4410" s="846"/>
      <c r="P4410" s="846"/>
      <c r="Q4410" s="846"/>
      <c r="R4410" s="846"/>
      <c r="S4410" s="846"/>
      <c r="T4410" s="846"/>
    </row>
    <row r="4411" spans="2:20" ht="51" hidden="1">
      <c r="B4411" s="828" t="s">
        <v>6547</v>
      </c>
      <c r="C4411" s="828">
        <v>94785</v>
      </c>
      <c r="D4411" s="630" t="s">
        <v>1201</v>
      </c>
      <c r="E4411" s="630" t="s">
        <v>646</v>
      </c>
      <c r="F4411" s="829">
        <v>30.1</v>
      </c>
      <c r="G4411" s="830">
        <v>9.9</v>
      </c>
      <c r="H4411" s="831">
        <v>40</v>
      </c>
      <c r="I4411" s="846"/>
      <c r="J4411" s="846"/>
      <c r="K4411" s="846"/>
      <c r="L4411" s="846"/>
      <c r="M4411" s="846"/>
      <c r="N4411" s="846"/>
      <c r="O4411" s="846"/>
      <c r="P4411" s="846"/>
      <c r="Q4411" s="846"/>
      <c r="R4411" s="846"/>
      <c r="S4411" s="846"/>
      <c r="T4411" s="846"/>
    </row>
    <row r="4412" spans="2:20" ht="51" hidden="1">
      <c r="B4412" s="828" t="s">
        <v>6547</v>
      </c>
      <c r="C4412" s="828">
        <v>94786</v>
      </c>
      <c r="D4412" s="630" t="s">
        <v>1202</v>
      </c>
      <c r="E4412" s="630" t="s">
        <v>646</v>
      </c>
      <c r="F4412" s="829">
        <v>42.21</v>
      </c>
      <c r="G4412" s="830">
        <v>9.9</v>
      </c>
      <c r="H4412" s="831">
        <v>52.11</v>
      </c>
      <c r="I4412" s="846"/>
      <c r="J4412" s="846"/>
      <c r="K4412" s="846"/>
      <c r="L4412" s="846"/>
      <c r="M4412" s="846"/>
      <c r="N4412" s="846"/>
      <c r="O4412" s="846"/>
      <c r="P4412" s="846"/>
      <c r="Q4412" s="846"/>
      <c r="R4412" s="846"/>
      <c r="S4412" s="846"/>
      <c r="T4412" s="846"/>
    </row>
    <row r="4413" spans="2:20" ht="51" hidden="1">
      <c r="B4413" s="828" t="s">
        <v>6547</v>
      </c>
      <c r="C4413" s="828">
        <v>94787</v>
      </c>
      <c r="D4413" s="630" t="s">
        <v>1203</v>
      </c>
      <c r="E4413" s="630" t="s">
        <v>646</v>
      </c>
      <c r="F4413" s="829">
        <v>55.47</v>
      </c>
      <c r="G4413" s="830">
        <v>13.2</v>
      </c>
      <c r="H4413" s="831">
        <v>68.67</v>
      </c>
      <c r="I4413" s="846"/>
      <c r="J4413" s="846"/>
      <c r="K4413" s="846"/>
      <c r="L4413" s="846"/>
      <c r="M4413" s="846"/>
      <c r="N4413" s="846"/>
      <c r="O4413" s="846"/>
      <c r="P4413" s="846"/>
      <c r="Q4413" s="846"/>
      <c r="R4413" s="846"/>
      <c r="S4413" s="846"/>
      <c r="T4413" s="846"/>
    </row>
    <row r="4414" spans="2:20" ht="51" hidden="1">
      <c r="B4414" s="828" t="s">
        <v>6547</v>
      </c>
      <c r="C4414" s="828">
        <v>94788</v>
      </c>
      <c r="D4414" s="630" t="s">
        <v>1204</v>
      </c>
      <c r="E4414" s="630" t="s">
        <v>646</v>
      </c>
      <c r="F4414" s="829">
        <v>85.9</v>
      </c>
      <c r="G4414" s="830">
        <v>13.2</v>
      </c>
      <c r="H4414" s="831">
        <v>99.1</v>
      </c>
      <c r="I4414" s="846"/>
      <c r="J4414" s="846"/>
      <c r="K4414" s="846"/>
      <c r="L4414" s="846"/>
      <c r="M4414" s="846"/>
      <c r="N4414" s="846"/>
      <c r="O4414" s="846"/>
      <c r="P4414" s="846"/>
      <c r="Q4414" s="846"/>
      <c r="R4414" s="846"/>
      <c r="S4414" s="846"/>
      <c r="T4414" s="846"/>
    </row>
    <row r="4415" spans="2:20" ht="51" hidden="1">
      <c r="B4415" s="828" t="s">
        <v>6547</v>
      </c>
      <c r="C4415" s="828">
        <v>94789</v>
      </c>
      <c r="D4415" s="630" t="s">
        <v>1205</v>
      </c>
      <c r="E4415" s="630" t="s">
        <v>646</v>
      </c>
      <c r="F4415" s="829">
        <v>297.06</v>
      </c>
      <c r="G4415" s="830">
        <v>13.19</v>
      </c>
      <c r="H4415" s="831">
        <v>310.25</v>
      </c>
      <c r="I4415" s="846"/>
      <c r="J4415" s="846"/>
      <c r="K4415" s="846"/>
      <c r="L4415" s="846"/>
      <c r="M4415" s="846"/>
      <c r="N4415" s="846"/>
      <c r="O4415" s="846"/>
      <c r="P4415" s="846"/>
      <c r="Q4415" s="846"/>
      <c r="R4415" s="846"/>
      <c r="S4415" s="846"/>
      <c r="T4415" s="846"/>
    </row>
    <row r="4416" spans="2:20" ht="51" hidden="1">
      <c r="B4416" s="828" t="s">
        <v>6547</v>
      </c>
      <c r="C4416" s="828">
        <v>94790</v>
      </c>
      <c r="D4416" s="630" t="s">
        <v>1206</v>
      </c>
      <c r="E4416" s="630" t="s">
        <v>646</v>
      </c>
      <c r="F4416" s="829">
        <v>345.62</v>
      </c>
      <c r="G4416" s="830">
        <v>13.19</v>
      </c>
      <c r="H4416" s="831">
        <v>358.81</v>
      </c>
      <c r="I4416" s="846"/>
      <c r="J4416" s="846"/>
      <c r="K4416" s="846"/>
      <c r="L4416" s="846"/>
      <c r="M4416" s="846"/>
      <c r="N4416" s="846"/>
      <c r="O4416" s="846"/>
      <c r="P4416" s="846"/>
      <c r="Q4416" s="846"/>
      <c r="R4416" s="846"/>
      <c r="S4416" s="846"/>
      <c r="T4416" s="846"/>
    </row>
    <row r="4417" spans="2:20" ht="51" hidden="1">
      <c r="B4417" s="828" t="s">
        <v>6547</v>
      </c>
      <c r="C4417" s="828">
        <v>94791</v>
      </c>
      <c r="D4417" s="630" t="s">
        <v>1207</v>
      </c>
      <c r="E4417" s="630" t="s">
        <v>646</v>
      </c>
      <c r="F4417" s="829">
        <v>489.31</v>
      </c>
      <c r="G4417" s="830">
        <v>13.19</v>
      </c>
      <c r="H4417" s="831">
        <v>502.5</v>
      </c>
      <c r="I4417" s="846"/>
      <c r="J4417" s="846"/>
      <c r="K4417" s="846"/>
      <c r="L4417" s="846"/>
      <c r="M4417" s="846"/>
      <c r="N4417" s="846"/>
      <c r="O4417" s="846"/>
      <c r="P4417" s="846"/>
      <c r="Q4417" s="846"/>
      <c r="R4417" s="846"/>
      <c r="S4417" s="846"/>
      <c r="T4417" s="846"/>
    </row>
    <row r="4418" spans="2:20" ht="38.25" hidden="1">
      <c r="B4418" s="828" t="s">
        <v>6547</v>
      </c>
      <c r="C4418" s="828">
        <v>94863</v>
      </c>
      <c r="D4418" s="630" t="s">
        <v>1292</v>
      </c>
      <c r="E4418" s="630" t="s">
        <v>646</v>
      </c>
      <c r="F4418" s="829">
        <v>194.41</v>
      </c>
      <c r="G4418" s="830">
        <v>7.31</v>
      </c>
      <c r="H4418" s="831">
        <v>201.72</v>
      </c>
      <c r="I4418" s="846"/>
      <c r="J4418" s="846"/>
      <c r="K4418" s="846"/>
      <c r="L4418" s="846"/>
      <c r="M4418" s="846"/>
      <c r="N4418" s="846"/>
      <c r="O4418" s="846"/>
      <c r="P4418" s="846"/>
      <c r="Q4418" s="846"/>
      <c r="R4418" s="846"/>
      <c r="S4418" s="846"/>
      <c r="T4418" s="846"/>
    </row>
    <row r="4419" spans="2:20" ht="51" hidden="1">
      <c r="B4419" s="828" t="s">
        <v>6547</v>
      </c>
      <c r="C4419" s="828">
        <v>95141</v>
      </c>
      <c r="D4419" s="630" t="s">
        <v>1208</v>
      </c>
      <c r="E4419" s="630" t="s">
        <v>646</v>
      </c>
      <c r="F4419" s="829">
        <v>27.48</v>
      </c>
      <c r="G4419" s="830">
        <v>9.9</v>
      </c>
      <c r="H4419" s="831">
        <v>37.380000000000003</v>
      </c>
      <c r="I4419" s="846"/>
      <c r="J4419" s="846"/>
      <c r="K4419" s="846"/>
      <c r="L4419" s="846"/>
      <c r="M4419" s="846"/>
      <c r="N4419" s="846"/>
      <c r="O4419" s="846"/>
      <c r="P4419" s="846"/>
      <c r="Q4419" s="846"/>
      <c r="R4419" s="846"/>
      <c r="S4419" s="846"/>
      <c r="T4419" s="846"/>
    </row>
    <row r="4420" spans="2:20" ht="38.25" hidden="1">
      <c r="B4420" s="828" t="s">
        <v>6547</v>
      </c>
      <c r="C4420" s="828">
        <v>95237</v>
      </c>
      <c r="D4420" s="630" t="s">
        <v>8195</v>
      </c>
      <c r="E4420" s="630" t="s">
        <v>646</v>
      </c>
      <c r="F4420" s="829">
        <v>26.29</v>
      </c>
      <c r="G4420" s="830">
        <v>4.24</v>
      </c>
      <c r="H4420" s="831">
        <v>30.53</v>
      </c>
      <c r="I4420" s="846"/>
      <c r="J4420" s="846"/>
      <c r="K4420" s="846"/>
      <c r="L4420" s="846"/>
      <c r="M4420" s="846"/>
      <c r="N4420" s="846"/>
      <c r="O4420" s="846"/>
      <c r="P4420" s="846"/>
      <c r="Q4420" s="846"/>
      <c r="R4420" s="846"/>
      <c r="S4420" s="846"/>
      <c r="T4420" s="846"/>
    </row>
    <row r="4421" spans="2:20" ht="38.25" hidden="1">
      <c r="B4421" s="828" t="s">
        <v>6547</v>
      </c>
      <c r="C4421" s="828">
        <v>95693</v>
      </c>
      <c r="D4421" s="630" t="s">
        <v>1346</v>
      </c>
      <c r="E4421" s="630" t="s">
        <v>646</v>
      </c>
      <c r="F4421" s="829">
        <v>53.85</v>
      </c>
      <c r="G4421" s="830">
        <v>9.41</v>
      </c>
      <c r="H4421" s="831">
        <v>63.26</v>
      </c>
      <c r="I4421" s="846"/>
      <c r="J4421" s="846"/>
      <c r="K4421" s="846"/>
      <c r="L4421" s="846"/>
      <c r="M4421" s="846"/>
      <c r="N4421" s="846"/>
      <c r="O4421" s="846"/>
      <c r="P4421" s="846"/>
      <c r="Q4421" s="846"/>
      <c r="R4421" s="846"/>
      <c r="S4421" s="846"/>
      <c r="T4421" s="846"/>
    </row>
    <row r="4422" spans="2:20" ht="38.25" hidden="1">
      <c r="B4422" s="828" t="s">
        <v>6547</v>
      </c>
      <c r="C4422" s="828">
        <v>95694</v>
      </c>
      <c r="D4422" s="630" t="s">
        <v>8196</v>
      </c>
      <c r="E4422" s="630" t="s">
        <v>646</v>
      </c>
      <c r="F4422" s="829">
        <v>89.12</v>
      </c>
      <c r="G4422" s="830">
        <v>5.5</v>
      </c>
      <c r="H4422" s="831">
        <v>94.62</v>
      </c>
      <c r="I4422" s="846"/>
      <c r="J4422" s="846"/>
      <c r="K4422" s="846"/>
      <c r="L4422" s="846"/>
      <c r="M4422" s="846"/>
      <c r="N4422" s="846"/>
      <c r="O4422" s="846"/>
      <c r="P4422" s="846"/>
      <c r="Q4422" s="846"/>
      <c r="R4422" s="846"/>
      <c r="S4422" s="846"/>
      <c r="T4422" s="846"/>
    </row>
    <row r="4423" spans="2:20" ht="38.25" hidden="1">
      <c r="B4423" s="828" t="s">
        <v>6547</v>
      </c>
      <c r="C4423" s="828">
        <v>95695</v>
      </c>
      <c r="D4423" s="630" t="s">
        <v>8197</v>
      </c>
      <c r="E4423" s="630" t="s">
        <v>646</v>
      </c>
      <c r="F4423" s="829">
        <v>90.87</v>
      </c>
      <c r="G4423" s="830">
        <v>11.68</v>
      </c>
      <c r="H4423" s="831">
        <v>102.55</v>
      </c>
      <c r="I4423" s="846"/>
      <c r="J4423" s="846"/>
      <c r="K4423" s="846"/>
      <c r="L4423" s="846"/>
      <c r="M4423" s="846"/>
      <c r="N4423" s="846"/>
      <c r="O4423" s="846"/>
      <c r="P4423" s="846"/>
      <c r="Q4423" s="846"/>
      <c r="R4423" s="846"/>
      <c r="S4423" s="846"/>
      <c r="T4423" s="846"/>
    </row>
    <row r="4424" spans="2:20" ht="25.5" hidden="1">
      <c r="B4424" s="828" t="s">
        <v>6547</v>
      </c>
      <c r="C4424" s="828">
        <v>95696</v>
      </c>
      <c r="D4424" s="630" t="s">
        <v>5091</v>
      </c>
      <c r="E4424" s="630" t="s">
        <v>646</v>
      </c>
      <c r="F4424" s="829">
        <v>53.27</v>
      </c>
      <c r="G4424" s="830">
        <v>2.98</v>
      </c>
      <c r="H4424" s="831">
        <v>56.25</v>
      </c>
      <c r="I4424" s="846"/>
      <c r="J4424" s="846"/>
      <c r="K4424" s="846"/>
      <c r="L4424" s="846"/>
      <c r="M4424" s="846"/>
      <c r="N4424" s="846"/>
      <c r="O4424" s="846"/>
      <c r="P4424" s="846"/>
      <c r="Q4424" s="846"/>
      <c r="R4424" s="846"/>
      <c r="S4424" s="846"/>
      <c r="T4424" s="846"/>
    </row>
    <row r="4425" spans="2:20" ht="25.5" hidden="1">
      <c r="B4425" s="828" t="s">
        <v>6547</v>
      </c>
      <c r="C4425" s="828">
        <v>96637</v>
      </c>
      <c r="D4425" s="630" t="s">
        <v>2418</v>
      </c>
      <c r="E4425" s="630" t="s">
        <v>646</v>
      </c>
      <c r="F4425" s="829">
        <v>6.94</v>
      </c>
      <c r="G4425" s="830">
        <v>10.130000000000001</v>
      </c>
      <c r="H4425" s="831">
        <v>17.07</v>
      </c>
      <c r="I4425" s="846"/>
      <c r="J4425" s="846"/>
      <c r="K4425" s="846"/>
      <c r="L4425" s="846"/>
      <c r="M4425" s="846"/>
      <c r="N4425" s="846"/>
      <c r="O4425" s="846"/>
      <c r="P4425" s="846"/>
      <c r="Q4425" s="846"/>
      <c r="R4425" s="846"/>
      <c r="S4425" s="846"/>
      <c r="T4425" s="846"/>
    </row>
    <row r="4426" spans="2:20" ht="25.5" hidden="1">
      <c r="B4426" s="828" t="s">
        <v>6547</v>
      </c>
      <c r="C4426" s="828">
        <v>96638</v>
      </c>
      <c r="D4426" s="630" t="s">
        <v>2419</v>
      </c>
      <c r="E4426" s="630" t="s">
        <v>646</v>
      </c>
      <c r="F4426" s="829">
        <v>6.18</v>
      </c>
      <c r="G4426" s="830">
        <v>10.14</v>
      </c>
      <c r="H4426" s="831">
        <v>16.32</v>
      </c>
      <c r="I4426" s="846"/>
      <c r="J4426" s="846"/>
      <c r="K4426" s="846"/>
      <c r="L4426" s="846"/>
      <c r="M4426" s="846"/>
      <c r="N4426" s="846"/>
      <c r="O4426" s="846"/>
      <c r="P4426" s="846"/>
      <c r="Q4426" s="846"/>
      <c r="R4426" s="846"/>
      <c r="S4426" s="846"/>
      <c r="T4426" s="846"/>
    </row>
    <row r="4427" spans="2:20" ht="25.5" hidden="1">
      <c r="B4427" s="828" t="s">
        <v>6547</v>
      </c>
      <c r="C4427" s="828">
        <v>96639</v>
      </c>
      <c r="D4427" s="630" t="s">
        <v>2420</v>
      </c>
      <c r="E4427" s="630" t="s">
        <v>646</v>
      </c>
      <c r="F4427" s="829">
        <v>5.25</v>
      </c>
      <c r="G4427" s="830">
        <v>6.76</v>
      </c>
      <c r="H4427" s="831">
        <v>12.01</v>
      </c>
      <c r="I4427" s="846"/>
      <c r="J4427" s="846"/>
      <c r="K4427" s="846"/>
      <c r="L4427" s="846"/>
      <c r="M4427" s="846"/>
      <c r="N4427" s="846"/>
      <c r="O4427" s="846"/>
      <c r="P4427" s="846"/>
      <c r="Q4427" s="846"/>
      <c r="R4427" s="846"/>
      <c r="S4427" s="846"/>
      <c r="T4427" s="846"/>
    </row>
    <row r="4428" spans="2:20" ht="25.5" hidden="1">
      <c r="B4428" s="828" t="s">
        <v>6547</v>
      </c>
      <c r="C4428" s="828">
        <v>96640</v>
      </c>
      <c r="D4428" s="630" t="s">
        <v>2421</v>
      </c>
      <c r="E4428" s="630" t="s">
        <v>646</v>
      </c>
      <c r="F4428" s="829">
        <v>26.35</v>
      </c>
      <c r="G4428" s="830">
        <v>6.72</v>
      </c>
      <c r="H4428" s="831">
        <v>33.07</v>
      </c>
      <c r="I4428" s="846"/>
      <c r="J4428" s="846"/>
      <c r="K4428" s="846"/>
      <c r="L4428" s="846"/>
      <c r="M4428" s="846"/>
      <c r="N4428" s="846"/>
      <c r="O4428" s="846"/>
      <c r="P4428" s="846"/>
      <c r="Q4428" s="846"/>
      <c r="R4428" s="846"/>
      <c r="S4428" s="846"/>
      <c r="T4428" s="846"/>
    </row>
    <row r="4429" spans="2:20" ht="25.5" hidden="1">
      <c r="B4429" s="828" t="s">
        <v>6547</v>
      </c>
      <c r="C4429" s="828">
        <v>96641</v>
      </c>
      <c r="D4429" s="630" t="s">
        <v>2422</v>
      </c>
      <c r="E4429" s="630" t="s">
        <v>646</v>
      </c>
      <c r="F4429" s="829">
        <v>18.82</v>
      </c>
      <c r="G4429" s="830">
        <v>6.73</v>
      </c>
      <c r="H4429" s="831">
        <v>25.55</v>
      </c>
      <c r="I4429" s="846"/>
      <c r="J4429" s="846"/>
      <c r="K4429" s="846"/>
      <c r="L4429" s="846"/>
      <c r="M4429" s="846"/>
      <c r="N4429" s="846"/>
      <c r="O4429" s="846"/>
      <c r="P4429" s="846"/>
      <c r="Q4429" s="846"/>
      <c r="R4429" s="846"/>
      <c r="S4429" s="846"/>
      <c r="T4429" s="846"/>
    </row>
    <row r="4430" spans="2:20" ht="25.5" hidden="1">
      <c r="B4430" s="828" t="s">
        <v>6547</v>
      </c>
      <c r="C4430" s="828">
        <v>96642</v>
      </c>
      <c r="D4430" s="630" t="s">
        <v>2423</v>
      </c>
      <c r="E4430" s="630" t="s">
        <v>646</v>
      </c>
      <c r="F4430" s="829">
        <v>9.0299999999999994</v>
      </c>
      <c r="G4430" s="830">
        <v>13.54</v>
      </c>
      <c r="H4430" s="831">
        <v>22.57</v>
      </c>
      <c r="I4430" s="846"/>
      <c r="J4430" s="846"/>
      <c r="K4430" s="846"/>
      <c r="L4430" s="846"/>
      <c r="M4430" s="846"/>
      <c r="N4430" s="846"/>
      <c r="O4430" s="846"/>
      <c r="P4430" s="846"/>
      <c r="Q4430" s="846"/>
      <c r="R4430" s="846"/>
      <c r="S4430" s="846"/>
      <c r="T4430" s="846"/>
    </row>
    <row r="4431" spans="2:20" ht="25.5" hidden="1">
      <c r="B4431" s="828" t="s">
        <v>6547</v>
      </c>
      <c r="C4431" s="828">
        <v>96643</v>
      </c>
      <c r="D4431" s="630" t="s">
        <v>2424</v>
      </c>
      <c r="E4431" s="630" t="s">
        <v>646</v>
      </c>
      <c r="F4431" s="829">
        <v>53.16</v>
      </c>
      <c r="G4431" s="830">
        <v>13.5</v>
      </c>
      <c r="H4431" s="831">
        <v>66.66</v>
      </c>
      <c r="I4431" s="846"/>
      <c r="J4431" s="846"/>
      <c r="K4431" s="846"/>
      <c r="L4431" s="846"/>
      <c r="M4431" s="846"/>
      <c r="N4431" s="846"/>
      <c r="O4431" s="846"/>
      <c r="P4431" s="846"/>
      <c r="Q4431" s="846"/>
      <c r="R4431" s="846"/>
      <c r="S4431" s="846"/>
      <c r="T4431" s="846"/>
    </row>
    <row r="4432" spans="2:20" ht="25.5" hidden="1">
      <c r="B4432" s="828" t="s">
        <v>6547</v>
      </c>
      <c r="C4432" s="828">
        <v>96650</v>
      </c>
      <c r="D4432" s="630" t="s">
        <v>2425</v>
      </c>
      <c r="E4432" s="630" t="s">
        <v>646</v>
      </c>
      <c r="F4432" s="829">
        <v>6</v>
      </c>
      <c r="G4432" s="830">
        <v>6.89</v>
      </c>
      <c r="H4432" s="831">
        <v>12.89</v>
      </c>
      <c r="I4432" s="846"/>
      <c r="J4432" s="846"/>
      <c r="K4432" s="846"/>
      <c r="L4432" s="846"/>
      <c r="M4432" s="846"/>
      <c r="N4432" s="846"/>
      <c r="O4432" s="846"/>
      <c r="P4432" s="846"/>
      <c r="Q4432" s="846"/>
      <c r="R4432" s="846"/>
      <c r="S4432" s="846"/>
      <c r="T4432" s="846"/>
    </row>
    <row r="4433" spans="2:20" ht="25.5" hidden="1">
      <c r="B4433" s="828" t="s">
        <v>6547</v>
      </c>
      <c r="C4433" s="828">
        <v>96651</v>
      </c>
      <c r="D4433" s="630" t="s">
        <v>2426</v>
      </c>
      <c r="E4433" s="630" t="s">
        <v>646</v>
      </c>
      <c r="F4433" s="829">
        <v>5.25</v>
      </c>
      <c r="G4433" s="830">
        <v>6.89</v>
      </c>
      <c r="H4433" s="831">
        <v>12.14</v>
      </c>
      <c r="I4433" s="846"/>
      <c r="J4433" s="846"/>
      <c r="K4433" s="846"/>
      <c r="L4433" s="846"/>
      <c r="M4433" s="846"/>
      <c r="N4433" s="846"/>
      <c r="O4433" s="846"/>
      <c r="P4433" s="846"/>
      <c r="Q4433" s="846"/>
      <c r="R4433" s="846"/>
      <c r="S4433" s="846"/>
      <c r="T4433" s="846"/>
    </row>
    <row r="4434" spans="2:20" ht="25.5" hidden="1">
      <c r="B4434" s="828" t="s">
        <v>6547</v>
      </c>
      <c r="C4434" s="828">
        <v>96652</v>
      </c>
      <c r="D4434" s="630" t="s">
        <v>2427</v>
      </c>
      <c r="E4434" s="630" t="s">
        <v>646</v>
      </c>
      <c r="F4434" s="829">
        <v>10.210000000000001</v>
      </c>
      <c r="G4434" s="830">
        <v>14.1</v>
      </c>
      <c r="H4434" s="831">
        <v>24.31</v>
      </c>
      <c r="I4434" s="846"/>
      <c r="J4434" s="846"/>
      <c r="K4434" s="846"/>
      <c r="L4434" s="846"/>
      <c r="M4434" s="846"/>
      <c r="N4434" s="846"/>
      <c r="O4434" s="846"/>
      <c r="P4434" s="846"/>
      <c r="Q4434" s="846"/>
      <c r="R4434" s="846"/>
      <c r="S4434" s="846"/>
      <c r="T4434" s="846"/>
    </row>
    <row r="4435" spans="2:20" ht="25.5" hidden="1">
      <c r="B4435" s="828" t="s">
        <v>6547</v>
      </c>
      <c r="C4435" s="828">
        <v>96653</v>
      </c>
      <c r="D4435" s="630" t="s">
        <v>2428</v>
      </c>
      <c r="E4435" s="630" t="s">
        <v>646</v>
      </c>
      <c r="F4435" s="829">
        <v>10.130000000000001</v>
      </c>
      <c r="G4435" s="830">
        <v>14.1</v>
      </c>
      <c r="H4435" s="831">
        <v>24.23</v>
      </c>
      <c r="I4435" s="846"/>
      <c r="J4435" s="846"/>
      <c r="K4435" s="846"/>
      <c r="L4435" s="846"/>
      <c r="M4435" s="846"/>
      <c r="N4435" s="846"/>
      <c r="O4435" s="846"/>
      <c r="P4435" s="846"/>
      <c r="Q4435" s="846"/>
      <c r="R4435" s="846"/>
      <c r="S4435" s="846"/>
      <c r="T4435" s="846"/>
    </row>
    <row r="4436" spans="2:20" ht="25.5" hidden="1">
      <c r="B4436" s="828" t="s">
        <v>6547</v>
      </c>
      <c r="C4436" s="828">
        <v>96654</v>
      </c>
      <c r="D4436" s="630" t="s">
        <v>2429</v>
      </c>
      <c r="E4436" s="630" t="s">
        <v>646</v>
      </c>
      <c r="F4436" s="829">
        <v>18.22</v>
      </c>
      <c r="G4436" s="830">
        <v>22.3</v>
      </c>
      <c r="H4436" s="831">
        <v>40.520000000000003</v>
      </c>
      <c r="I4436" s="846"/>
      <c r="J4436" s="846"/>
      <c r="K4436" s="846"/>
      <c r="L4436" s="846"/>
      <c r="M4436" s="846"/>
      <c r="N4436" s="846"/>
      <c r="O4436" s="846"/>
      <c r="P4436" s="846"/>
      <c r="Q4436" s="846"/>
      <c r="R4436" s="846"/>
      <c r="S4436" s="846"/>
      <c r="T4436" s="846"/>
    </row>
    <row r="4437" spans="2:20" ht="25.5" hidden="1">
      <c r="B4437" s="828" t="s">
        <v>6547</v>
      </c>
      <c r="C4437" s="828">
        <v>96655</v>
      </c>
      <c r="D4437" s="630" t="s">
        <v>2430</v>
      </c>
      <c r="E4437" s="630" t="s">
        <v>646</v>
      </c>
      <c r="F4437" s="829">
        <v>17.39</v>
      </c>
      <c r="G4437" s="830">
        <v>22.3</v>
      </c>
      <c r="H4437" s="831">
        <v>39.69</v>
      </c>
      <c r="I4437" s="846"/>
      <c r="J4437" s="846"/>
      <c r="K4437" s="846"/>
      <c r="L4437" s="846"/>
      <c r="M4437" s="846"/>
      <c r="N4437" s="846"/>
      <c r="O4437" s="846"/>
      <c r="P4437" s="846"/>
      <c r="Q4437" s="846"/>
      <c r="R4437" s="846"/>
      <c r="S4437" s="846"/>
      <c r="T4437" s="846"/>
    </row>
    <row r="4438" spans="2:20" ht="25.5" hidden="1">
      <c r="B4438" s="828" t="s">
        <v>6547</v>
      </c>
      <c r="C4438" s="828">
        <v>96656</v>
      </c>
      <c r="D4438" s="630" t="s">
        <v>2431</v>
      </c>
      <c r="E4438" s="630" t="s">
        <v>646</v>
      </c>
      <c r="F4438" s="829">
        <v>4.67</v>
      </c>
      <c r="G4438" s="830">
        <v>4.58</v>
      </c>
      <c r="H4438" s="831">
        <v>9.25</v>
      </c>
      <c r="I4438" s="846"/>
      <c r="J4438" s="846"/>
      <c r="K4438" s="846"/>
      <c r="L4438" s="846"/>
      <c r="M4438" s="846"/>
      <c r="N4438" s="846"/>
      <c r="O4438" s="846"/>
      <c r="P4438" s="846"/>
      <c r="Q4438" s="846"/>
      <c r="R4438" s="846"/>
      <c r="S4438" s="846"/>
      <c r="T4438" s="846"/>
    </row>
    <row r="4439" spans="2:20" ht="25.5" hidden="1">
      <c r="B4439" s="828" t="s">
        <v>6547</v>
      </c>
      <c r="C4439" s="828">
        <v>96657</v>
      </c>
      <c r="D4439" s="630" t="s">
        <v>2432</v>
      </c>
      <c r="E4439" s="630" t="s">
        <v>646</v>
      </c>
      <c r="F4439" s="829">
        <v>25.74</v>
      </c>
      <c r="G4439" s="830">
        <v>4.57</v>
      </c>
      <c r="H4439" s="831">
        <v>30.31</v>
      </c>
      <c r="I4439" s="846"/>
      <c r="J4439" s="846"/>
      <c r="K4439" s="846"/>
      <c r="L4439" s="846"/>
      <c r="M4439" s="846"/>
      <c r="N4439" s="846"/>
      <c r="O4439" s="846"/>
      <c r="P4439" s="846"/>
      <c r="Q4439" s="846"/>
      <c r="R4439" s="846"/>
      <c r="S4439" s="846"/>
      <c r="T4439" s="846"/>
    </row>
    <row r="4440" spans="2:20" ht="25.5" hidden="1">
      <c r="B4440" s="828" t="s">
        <v>6547</v>
      </c>
      <c r="C4440" s="828">
        <v>96658</v>
      </c>
      <c r="D4440" s="630" t="s">
        <v>2433</v>
      </c>
      <c r="E4440" s="630" t="s">
        <v>646</v>
      </c>
      <c r="F4440" s="829">
        <v>18.22</v>
      </c>
      <c r="G4440" s="830">
        <v>4.57</v>
      </c>
      <c r="H4440" s="831">
        <v>22.79</v>
      </c>
      <c r="I4440" s="846"/>
      <c r="J4440" s="846"/>
      <c r="K4440" s="846"/>
      <c r="L4440" s="846"/>
      <c r="M4440" s="846"/>
      <c r="N4440" s="846"/>
      <c r="O4440" s="846"/>
      <c r="P4440" s="846"/>
      <c r="Q4440" s="846"/>
      <c r="R4440" s="846"/>
      <c r="S4440" s="846"/>
      <c r="T4440" s="846"/>
    </row>
    <row r="4441" spans="2:20" ht="25.5" hidden="1">
      <c r="B4441" s="828" t="s">
        <v>6547</v>
      </c>
      <c r="C4441" s="828">
        <v>96659</v>
      </c>
      <c r="D4441" s="630" t="s">
        <v>2434</v>
      </c>
      <c r="E4441" s="630" t="s">
        <v>646</v>
      </c>
      <c r="F4441" s="829">
        <v>7.06</v>
      </c>
      <c r="G4441" s="830">
        <v>9.41</v>
      </c>
      <c r="H4441" s="831">
        <v>16.47</v>
      </c>
      <c r="I4441" s="846"/>
      <c r="J4441" s="846"/>
      <c r="K4441" s="846"/>
      <c r="L4441" s="846"/>
      <c r="M4441" s="846"/>
      <c r="N4441" s="846"/>
      <c r="O4441" s="846"/>
      <c r="P4441" s="846"/>
      <c r="Q4441" s="846"/>
      <c r="R4441" s="846"/>
      <c r="S4441" s="846"/>
      <c r="T4441" s="846"/>
    </row>
    <row r="4442" spans="2:20" ht="25.5" hidden="1">
      <c r="B4442" s="828" t="s">
        <v>6547</v>
      </c>
      <c r="C4442" s="828">
        <v>96660</v>
      </c>
      <c r="D4442" s="630" t="s">
        <v>2435</v>
      </c>
      <c r="E4442" s="630" t="s">
        <v>646</v>
      </c>
      <c r="F4442" s="829">
        <v>42.2</v>
      </c>
      <c r="G4442" s="830">
        <v>9.3800000000000008</v>
      </c>
      <c r="H4442" s="831">
        <v>51.58</v>
      </c>
      <c r="I4442" s="846"/>
      <c r="J4442" s="846"/>
      <c r="K4442" s="846"/>
      <c r="L4442" s="846"/>
      <c r="M4442" s="846"/>
      <c r="N4442" s="846"/>
      <c r="O4442" s="846"/>
      <c r="P4442" s="846"/>
      <c r="Q4442" s="846"/>
      <c r="R4442" s="846"/>
      <c r="S4442" s="846"/>
      <c r="T4442" s="846"/>
    </row>
    <row r="4443" spans="2:20" ht="25.5" hidden="1">
      <c r="B4443" s="828" t="s">
        <v>6547</v>
      </c>
      <c r="C4443" s="828">
        <v>96661</v>
      </c>
      <c r="D4443" s="630" t="s">
        <v>2436</v>
      </c>
      <c r="E4443" s="630" t="s">
        <v>646</v>
      </c>
      <c r="F4443" s="829">
        <v>30.64</v>
      </c>
      <c r="G4443" s="830">
        <v>9.3800000000000008</v>
      </c>
      <c r="H4443" s="831">
        <v>40.020000000000003</v>
      </c>
      <c r="I4443" s="846"/>
      <c r="J4443" s="846"/>
      <c r="K4443" s="846"/>
      <c r="L4443" s="846"/>
      <c r="M4443" s="846"/>
      <c r="N4443" s="846"/>
      <c r="O4443" s="846"/>
      <c r="P4443" s="846"/>
      <c r="Q4443" s="846"/>
      <c r="R4443" s="846"/>
      <c r="S4443" s="846"/>
      <c r="T4443" s="846"/>
    </row>
    <row r="4444" spans="2:20" ht="25.5" hidden="1">
      <c r="B4444" s="828" t="s">
        <v>6547</v>
      </c>
      <c r="C4444" s="828">
        <v>96662</v>
      </c>
      <c r="D4444" s="630" t="s">
        <v>2437</v>
      </c>
      <c r="E4444" s="630" t="s">
        <v>646</v>
      </c>
      <c r="F4444" s="829">
        <v>7.44</v>
      </c>
      <c r="G4444" s="830">
        <v>9.41</v>
      </c>
      <c r="H4444" s="831">
        <v>16.850000000000001</v>
      </c>
      <c r="I4444" s="846"/>
      <c r="J4444" s="846"/>
      <c r="K4444" s="846"/>
      <c r="L4444" s="846"/>
      <c r="M4444" s="846"/>
      <c r="N4444" s="846"/>
      <c r="O4444" s="846"/>
      <c r="P4444" s="846"/>
      <c r="Q4444" s="846"/>
      <c r="R4444" s="846"/>
      <c r="S4444" s="846"/>
      <c r="T4444" s="846"/>
    </row>
    <row r="4445" spans="2:20" ht="25.5" hidden="1">
      <c r="B4445" s="828" t="s">
        <v>6547</v>
      </c>
      <c r="C4445" s="828">
        <v>96663</v>
      </c>
      <c r="D4445" s="630" t="s">
        <v>2438</v>
      </c>
      <c r="E4445" s="630" t="s">
        <v>646</v>
      </c>
      <c r="F4445" s="829">
        <v>15.49</v>
      </c>
      <c r="G4445" s="830">
        <v>14.88</v>
      </c>
      <c r="H4445" s="831">
        <v>30.37</v>
      </c>
      <c r="I4445" s="846"/>
      <c r="J4445" s="846"/>
      <c r="K4445" s="846"/>
      <c r="L4445" s="846"/>
      <c r="M4445" s="846"/>
      <c r="N4445" s="846"/>
      <c r="O4445" s="846"/>
      <c r="P4445" s="846"/>
      <c r="Q4445" s="846"/>
      <c r="R4445" s="846"/>
      <c r="S4445" s="846"/>
      <c r="T4445" s="846"/>
    </row>
    <row r="4446" spans="2:20" ht="25.5" hidden="1">
      <c r="B4446" s="828" t="s">
        <v>6547</v>
      </c>
      <c r="C4446" s="828">
        <v>96664</v>
      </c>
      <c r="D4446" s="630" t="s">
        <v>2439</v>
      </c>
      <c r="E4446" s="630" t="s">
        <v>646</v>
      </c>
      <c r="F4446" s="829">
        <v>17.96</v>
      </c>
      <c r="G4446" s="830">
        <v>14.88</v>
      </c>
      <c r="H4446" s="831">
        <v>32.840000000000003</v>
      </c>
      <c r="I4446" s="846"/>
      <c r="J4446" s="846"/>
      <c r="K4446" s="846"/>
      <c r="L4446" s="846"/>
      <c r="M4446" s="846"/>
      <c r="N4446" s="846"/>
      <c r="O4446" s="846"/>
      <c r="P4446" s="846"/>
      <c r="Q4446" s="846"/>
      <c r="R4446" s="846"/>
      <c r="S4446" s="846"/>
      <c r="T4446" s="846"/>
    </row>
    <row r="4447" spans="2:20" ht="25.5" hidden="1">
      <c r="B4447" s="828" t="s">
        <v>6547</v>
      </c>
      <c r="C4447" s="828">
        <v>96665</v>
      </c>
      <c r="D4447" s="630" t="s">
        <v>2440</v>
      </c>
      <c r="E4447" s="630" t="s">
        <v>646</v>
      </c>
      <c r="F4447" s="829">
        <v>7.81</v>
      </c>
      <c r="G4447" s="830">
        <v>9.15</v>
      </c>
      <c r="H4447" s="831">
        <v>16.96</v>
      </c>
      <c r="I4447" s="846"/>
      <c r="J4447" s="846"/>
      <c r="K4447" s="846"/>
      <c r="L4447" s="846"/>
      <c r="M4447" s="846"/>
      <c r="N4447" s="846"/>
      <c r="O4447" s="846"/>
      <c r="P4447" s="846"/>
      <c r="Q4447" s="846"/>
      <c r="R4447" s="846"/>
      <c r="S4447" s="846"/>
      <c r="T4447" s="846"/>
    </row>
    <row r="4448" spans="2:20" ht="25.5" hidden="1">
      <c r="B4448" s="828" t="s">
        <v>6547</v>
      </c>
      <c r="C4448" s="828">
        <v>96666</v>
      </c>
      <c r="D4448" s="630" t="s">
        <v>2441</v>
      </c>
      <c r="E4448" s="630" t="s">
        <v>646</v>
      </c>
      <c r="F4448" s="829">
        <v>13.83</v>
      </c>
      <c r="G4448" s="830">
        <v>18.760000000000002</v>
      </c>
      <c r="H4448" s="831">
        <v>32.590000000000003</v>
      </c>
      <c r="I4448" s="846"/>
      <c r="J4448" s="846"/>
      <c r="K4448" s="846"/>
      <c r="L4448" s="846"/>
      <c r="M4448" s="846"/>
      <c r="N4448" s="846"/>
      <c r="O4448" s="846"/>
      <c r="P4448" s="846"/>
      <c r="Q4448" s="846"/>
      <c r="R4448" s="846"/>
      <c r="S4448" s="846"/>
      <c r="T4448" s="846"/>
    </row>
    <row r="4449" spans="2:20" ht="25.5" hidden="1">
      <c r="B4449" s="828" t="s">
        <v>6547</v>
      </c>
      <c r="C4449" s="828">
        <v>96667</v>
      </c>
      <c r="D4449" s="630" t="s">
        <v>2442</v>
      </c>
      <c r="E4449" s="630" t="s">
        <v>646</v>
      </c>
      <c r="F4449" s="829">
        <v>27.69</v>
      </c>
      <c r="G4449" s="830">
        <v>29.76</v>
      </c>
      <c r="H4449" s="831">
        <v>57.45</v>
      </c>
      <c r="I4449" s="846"/>
      <c r="J4449" s="846"/>
      <c r="K4449" s="846"/>
      <c r="L4449" s="846"/>
      <c r="M4449" s="846"/>
      <c r="N4449" s="846"/>
      <c r="O4449" s="846"/>
      <c r="P4449" s="846"/>
      <c r="Q4449" s="846"/>
      <c r="R4449" s="846"/>
      <c r="S4449" s="846"/>
      <c r="T4449" s="846"/>
    </row>
    <row r="4450" spans="2:20" ht="25.5" hidden="1">
      <c r="B4450" s="828" t="s">
        <v>6547</v>
      </c>
      <c r="C4450" s="828">
        <v>96684</v>
      </c>
      <c r="D4450" s="630" t="s">
        <v>2443</v>
      </c>
      <c r="E4450" s="630" t="s">
        <v>646</v>
      </c>
      <c r="F4450" s="829">
        <v>4.6500000000000004</v>
      </c>
      <c r="G4450" s="830">
        <v>1.97</v>
      </c>
      <c r="H4450" s="831">
        <v>6.62</v>
      </c>
      <c r="I4450" s="846"/>
      <c r="J4450" s="846"/>
      <c r="K4450" s="846"/>
      <c r="L4450" s="846"/>
      <c r="M4450" s="846"/>
      <c r="N4450" s="846"/>
      <c r="O4450" s="846"/>
      <c r="P4450" s="846"/>
      <c r="Q4450" s="846"/>
      <c r="R4450" s="846"/>
      <c r="S4450" s="846"/>
      <c r="T4450" s="846"/>
    </row>
    <row r="4451" spans="2:20" ht="25.5" hidden="1">
      <c r="B4451" s="828" t="s">
        <v>6547</v>
      </c>
      <c r="C4451" s="828">
        <v>96685</v>
      </c>
      <c r="D4451" s="630" t="s">
        <v>2444</v>
      </c>
      <c r="E4451" s="630" t="s">
        <v>646</v>
      </c>
      <c r="F4451" s="829">
        <v>3.9</v>
      </c>
      <c r="G4451" s="830">
        <v>1.97</v>
      </c>
      <c r="H4451" s="831">
        <v>5.87</v>
      </c>
      <c r="I4451" s="846"/>
      <c r="J4451" s="846"/>
      <c r="K4451" s="846"/>
      <c r="L4451" s="846"/>
      <c r="M4451" s="846"/>
      <c r="N4451" s="846"/>
      <c r="O4451" s="846"/>
      <c r="P4451" s="846"/>
      <c r="Q4451" s="846"/>
      <c r="R4451" s="846"/>
      <c r="S4451" s="846"/>
      <c r="T4451" s="846"/>
    </row>
    <row r="4452" spans="2:20" ht="25.5" hidden="1">
      <c r="B4452" s="828" t="s">
        <v>6547</v>
      </c>
      <c r="C4452" s="828">
        <v>96686</v>
      </c>
      <c r="D4452" s="630" t="s">
        <v>2445</v>
      </c>
      <c r="E4452" s="630" t="s">
        <v>646</v>
      </c>
      <c r="F4452" s="829">
        <v>7.09</v>
      </c>
      <c r="G4452" s="830">
        <v>2.87</v>
      </c>
      <c r="H4452" s="831">
        <v>9.9600000000000009</v>
      </c>
      <c r="I4452" s="846"/>
      <c r="J4452" s="846"/>
      <c r="K4452" s="846"/>
      <c r="L4452" s="846"/>
      <c r="M4452" s="846"/>
      <c r="N4452" s="846"/>
      <c r="O4452" s="846"/>
      <c r="P4452" s="846"/>
      <c r="Q4452" s="846"/>
      <c r="R4452" s="846"/>
      <c r="S4452" s="846"/>
      <c r="T4452" s="846"/>
    </row>
    <row r="4453" spans="2:20" ht="25.5" hidden="1">
      <c r="B4453" s="828" t="s">
        <v>6547</v>
      </c>
      <c r="C4453" s="828">
        <v>96687</v>
      </c>
      <c r="D4453" s="630" t="s">
        <v>2446</v>
      </c>
      <c r="E4453" s="630" t="s">
        <v>646</v>
      </c>
      <c r="F4453" s="829">
        <v>7.01</v>
      </c>
      <c r="G4453" s="830">
        <v>2.87</v>
      </c>
      <c r="H4453" s="831">
        <v>9.8800000000000008</v>
      </c>
      <c r="I4453" s="846"/>
      <c r="J4453" s="846"/>
      <c r="K4453" s="846"/>
      <c r="L4453" s="846"/>
      <c r="M4453" s="846"/>
      <c r="N4453" s="846"/>
      <c r="O4453" s="846"/>
      <c r="P4453" s="846"/>
      <c r="Q4453" s="846"/>
      <c r="R4453" s="846"/>
      <c r="S4453" s="846"/>
      <c r="T4453" s="846"/>
    </row>
    <row r="4454" spans="2:20" ht="25.5" hidden="1">
      <c r="B4454" s="828" t="s">
        <v>6547</v>
      </c>
      <c r="C4454" s="828">
        <v>96688</v>
      </c>
      <c r="D4454" s="630" t="s">
        <v>2447</v>
      </c>
      <c r="E4454" s="630" t="s">
        <v>646</v>
      </c>
      <c r="F4454" s="829">
        <v>13.12</v>
      </c>
      <c r="G4454" s="830">
        <v>4.1900000000000004</v>
      </c>
      <c r="H4454" s="831">
        <v>17.309999999999999</v>
      </c>
      <c r="I4454" s="846"/>
      <c r="J4454" s="846"/>
      <c r="K4454" s="846"/>
      <c r="L4454" s="846"/>
      <c r="M4454" s="846"/>
      <c r="N4454" s="846"/>
      <c r="O4454" s="846"/>
      <c r="P4454" s="846"/>
      <c r="Q4454" s="846"/>
      <c r="R4454" s="846"/>
      <c r="S4454" s="846"/>
      <c r="T4454" s="846"/>
    </row>
    <row r="4455" spans="2:20" ht="25.5" hidden="1">
      <c r="B4455" s="828" t="s">
        <v>6547</v>
      </c>
      <c r="C4455" s="828">
        <v>96689</v>
      </c>
      <c r="D4455" s="630" t="s">
        <v>2448</v>
      </c>
      <c r="E4455" s="630" t="s">
        <v>646</v>
      </c>
      <c r="F4455" s="829">
        <v>12.29</v>
      </c>
      <c r="G4455" s="830">
        <v>4.1900000000000004</v>
      </c>
      <c r="H4455" s="831">
        <v>16.48</v>
      </c>
      <c r="I4455" s="846"/>
      <c r="J4455" s="846"/>
      <c r="K4455" s="846"/>
      <c r="L4455" s="846"/>
      <c r="M4455" s="846"/>
      <c r="N4455" s="846"/>
      <c r="O4455" s="846"/>
      <c r="P4455" s="846"/>
      <c r="Q4455" s="846"/>
      <c r="R4455" s="846"/>
      <c r="S4455" s="846"/>
      <c r="T4455" s="846"/>
    </row>
    <row r="4456" spans="2:20" ht="25.5" hidden="1">
      <c r="B4456" s="828" t="s">
        <v>6547</v>
      </c>
      <c r="C4456" s="828">
        <v>96690</v>
      </c>
      <c r="D4456" s="630" t="s">
        <v>2449</v>
      </c>
      <c r="E4456" s="630" t="s">
        <v>646</v>
      </c>
      <c r="F4456" s="829">
        <v>26.43</v>
      </c>
      <c r="G4456" s="830">
        <v>6.2</v>
      </c>
      <c r="H4456" s="831">
        <v>32.630000000000003</v>
      </c>
      <c r="I4456" s="846"/>
      <c r="J4456" s="846"/>
      <c r="K4456" s="846"/>
      <c r="L4456" s="846"/>
      <c r="M4456" s="846"/>
      <c r="N4456" s="846"/>
      <c r="O4456" s="846"/>
      <c r="P4456" s="846"/>
      <c r="Q4456" s="846"/>
      <c r="R4456" s="846"/>
      <c r="S4456" s="846"/>
      <c r="T4456" s="846"/>
    </row>
    <row r="4457" spans="2:20" ht="25.5" hidden="1">
      <c r="B4457" s="828" t="s">
        <v>6547</v>
      </c>
      <c r="C4457" s="828">
        <v>96691</v>
      </c>
      <c r="D4457" s="630" t="s">
        <v>2450</v>
      </c>
      <c r="E4457" s="630" t="s">
        <v>646</v>
      </c>
      <c r="F4457" s="829">
        <v>27.56</v>
      </c>
      <c r="G4457" s="830">
        <v>6.2</v>
      </c>
      <c r="H4457" s="831">
        <v>33.76</v>
      </c>
      <c r="I4457" s="846"/>
      <c r="J4457" s="846"/>
      <c r="K4457" s="846"/>
      <c r="L4457" s="846"/>
      <c r="M4457" s="846"/>
      <c r="N4457" s="846"/>
      <c r="O4457" s="846"/>
      <c r="P4457" s="846"/>
      <c r="Q4457" s="846"/>
      <c r="R4457" s="846"/>
      <c r="S4457" s="846"/>
      <c r="T4457" s="846"/>
    </row>
    <row r="4458" spans="2:20" ht="25.5" hidden="1">
      <c r="B4458" s="828" t="s">
        <v>6547</v>
      </c>
      <c r="C4458" s="828">
        <v>96692</v>
      </c>
      <c r="D4458" s="630" t="s">
        <v>2451</v>
      </c>
      <c r="E4458" s="630" t="s">
        <v>646</v>
      </c>
      <c r="F4458" s="829">
        <v>39.74</v>
      </c>
      <c r="G4458" s="830">
        <v>9.5399999999999991</v>
      </c>
      <c r="H4458" s="831">
        <v>49.28</v>
      </c>
      <c r="I4458" s="846"/>
      <c r="J4458" s="846"/>
      <c r="K4458" s="846"/>
      <c r="L4458" s="846"/>
      <c r="M4458" s="846"/>
      <c r="N4458" s="846"/>
      <c r="O4458" s="846"/>
      <c r="P4458" s="846"/>
      <c r="Q4458" s="846"/>
      <c r="R4458" s="846"/>
      <c r="S4458" s="846"/>
      <c r="T4458" s="846"/>
    </row>
    <row r="4459" spans="2:20" ht="25.5" hidden="1">
      <c r="B4459" s="828" t="s">
        <v>6547</v>
      </c>
      <c r="C4459" s="828">
        <v>96693</v>
      </c>
      <c r="D4459" s="630" t="s">
        <v>2452</v>
      </c>
      <c r="E4459" s="630" t="s">
        <v>646</v>
      </c>
      <c r="F4459" s="829">
        <v>36.97</v>
      </c>
      <c r="G4459" s="830">
        <v>9.5399999999999991</v>
      </c>
      <c r="H4459" s="831">
        <v>46.51</v>
      </c>
      <c r="I4459" s="846"/>
      <c r="J4459" s="846"/>
      <c r="K4459" s="846"/>
      <c r="L4459" s="846"/>
      <c r="M4459" s="846"/>
      <c r="N4459" s="846"/>
      <c r="O4459" s="846"/>
      <c r="P4459" s="846"/>
      <c r="Q4459" s="846"/>
      <c r="R4459" s="846"/>
      <c r="S4459" s="846"/>
      <c r="T4459" s="846"/>
    </row>
    <row r="4460" spans="2:20" ht="25.5" hidden="1">
      <c r="B4460" s="828" t="s">
        <v>6547</v>
      </c>
      <c r="C4460" s="828">
        <v>96694</v>
      </c>
      <c r="D4460" s="630" t="s">
        <v>2453</v>
      </c>
      <c r="E4460" s="630" t="s">
        <v>646</v>
      </c>
      <c r="F4460" s="829">
        <v>97.33</v>
      </c>
      <c r="G4460" s="830">
        <v>13.27</v>
      </c>
      <c r="H4460" s="831">
        <v>110.6</v>
      </c>
      <c r="I4460" s="846"/>
      <c r="J4460" s="846"/>
      <c r="K4460" s="846"/>
      <c r="L4460" s="846"/>
      <c r="M4460" s="846"/>
      <c r="N4460" s="846"/>
      <c r="O4460" s="846"/>
      <c r="P4460" s="846"/>
      <c r="Q4460" s="846"/>
      <c r="R4460" s="846"/>
      <c r="S4460" s="846"/>
      <c r="T4460" s="846"/>
    </row>
    <row r="4461" spans="2:20" ht="25.5" hidden="1">
      <c r="B4461" s="828" t="s">
        <v>6547</v>
      </c>
      <c r="C4461" s="828">
        <v>96695</v>
      </c>
      <c r="D4461" s="630" t="s">
        <v>2454</v>
      </c>
      <c r="E4461" s="630" t="s">
        <v>646</v>
      </c>
      <c r="F4461" s="829">
        <v>94.08</v>
      </c>
      <c r="G4461" s="830">
        <v>13.27</v>
      </c>
      <c r="H4461" s="831">
        <v>107.35</v>
      </c>
      <c r="I4461" s="846"/>
      <c r="J4461" s="846"/>
      <c r="K4461" s="846"/>
      <c r="L4461" s="846"/>
      <c r="M4461" s="846"/>
      <c r="N4461" s="846"/>
      <c r="O4461" s="846"/>
      <c r="P4461" s="846"/>
      <c r="Q4461" s="846"/>
      <c r="R4461" s="846"/>
      <c r="S4461" s="846"/>
      <c r="T4461" s="846"/>
    </row>
    <row r="4462" spans="2:20" ht="25.5" hidden="1">
      <c r="B4462" s="828" t="s">
        <v>6547</v>
      </c>
      <c r="C4462" s="828">
        <v>96696</v>
      </c>
      <c r="D4462" s="630" t="s">
        <v>2455</v>
      </c>
      <c r="E4462" s="630" t="s">
        <v>646</v>
      </c>
      <c r="F4462" s="829">
        <v>147.97999999999999</v>
      </c>
      <c r="G4462" s="830">
        <v>18.87</v>
      </c>
      <c r="H4462" s="831">
        <v>166.85</v>
      </c>
      <c r="I4462" s="846"/>
      <c r="J4462" s="846"/>
      <c r="K4462" s="846"/>
      <c r="L4462" s="846"/>
      <c r="M4462" s="846"/>
      <c r="N4462" s="846"/>
      <c r="O4462" s="846"/>
      <c r="P4462" s="846"/>
      <c r="Q4462" s="846"/>
      <c r="R4462" s="846"/>
      <c r="S4462" s="846"/>
      <c r="T4462" s="846"/>
    </row>
    <row r="4463" spans="2:20" ht="25.5" hidden="1">
      <c r="B4463" s="828" t="s">
        <v>6547</v>
      </c>
      <c r="C4463" s="828">
        <v>96697</v>
      </c>
      <c r="D4463" s="630" t="s">
        <v>2456</v>
      </c>
      <c r="E4463" s="630" t="s">
        <v>646</v>
      </c>
      <c r="F4463" s="829">
        <v>221.79</v>
      </c>
      <c r="G4463" s="830">
        <v>27.93</v>
      </c>
      <c r="H4463" s="831">
        <v>249.72</v>
      </c>
      <c r="I4463" s="846"/>
      <c r="J4463" s="846"/>
      <c r="K4463" s="846"/>
      <c r="L4463" s="846"/>
      <c r="M4463" s="846"/>
      <c r="N4463" s="846"/>
      <c r="O4463" s="846"/>
      <c r="P4463" s="846"/>
      <c r="Q4463" s="846"/>
      <c r="R4463" s="846"/>
      <c r="S4463" s="846"/>
      <c r="T4463" s="846"/>
    </row>
    <row r="4464" spans="2:20" ht="25.5" hidden="1">
      <c r="B4464" s="828" t="s">
        <v>6547</v>
      </c>
      <c r="C4464" s="828">
        <v>96698</v>
      </c>
      <c r="D4464" s="630" t="s">
        <v>2457</v>
      </c>
      <c r="E4464" s="630" t="s">
        <v>646</v>
      </c>
      <c r="F4464" s="829">
        <v>3.76</v>
      </c>
      <c r="G4464" s="830">
        <v>1.32</v>
      </c>
      <c r="H4464" s="831">
        <v>5.08</v>
      </c>
      <c r="I4464" s="846"/>
      <c r="J4464" s="846"/>
      <c r="K4464" s="846"/>
      <c r="L4464" s="846"/>
      <c r="M4464" s="846"/>
      <c r="N4464" s="846"/>
      <c r="O4464" s="846"/>
      <c r="P4464" s="846"/>
      <c r="Q4464" s="846"/>
      <c r="R4464" s="846"/>
      <c r="S4464" s="846"/>
      <c r="T4464" s="846"/>
    </row>
    <row r="4465" spans="2:20" ht="25.5" hidden="1">
      <c r="B4465" s="828" t="s">
        <v>6547</v>
      </c>
      <c r="C4465" s="828">
        <v>96699</v>
      </c>
      <c r="D4465" s="630" t="s">
        <v>2458</v>
      </c>
      <c r="E4465" s="630" t="s">
        <v>646</v>
      </c>
      <c r="F4465" s="829">
        <v>24.83</v>
      </c>
      <c r="G4465" s="830">
        <v>1.31</v>
      </c>
      <c r="H4465" s="831">
        <v>26.14</v>
      </c>
      <c r="I4465" s="846"/>
      <c r="J4465" s="846"/>
      <c r="K4465" s="846"/>
      <c r="L4465" s="846"/>
      <c r="M4465" s="846"/>
      <c r="N4465" s="846"/>
      <c r="O4465" s="846"/>
      <c r="P4465" s="846"/>
      <c r="Q4465" s="846"/>
      <c r="R4465" s="846"/>
      <c r="S4465" s="846"/>
      <c r="T4465" s="846"/>
    </row>
    <row r="4466" spans="2:20" ht="25.5" hidden="1">
      <c r="B4466" s="828" t="s">
        <v>6547</v>
      </c>
      <c r="C4466" s="828">
        <v>96700</v>
      </c>
      <c r="D4466" s="630" t="s">
        <v>2459</v>
      </c>
      <c r="E4466" s="630" t="s">
        <v>646</v>
      </c>
      <c r="F4466" s="829">
        <v>17.309999999999999</v>
      </c>
      <c r="G4466" s="830">
        <v>1.31</v>
      </c>
      <c r="H4466" s="831">
        <v>18.62</v>
      </c>
      <c r="I4466" s="846"/>
      <c r="J4466" s="846"/>
      <c r="K4466" s="846"/>
      <c r="L4466" s="846"/>
      <c r="M4466" s="846"/>
      <c r="N4466" s="846"/>
      <c r="O4466" s="846"/>
      <c r="P4466" s="846"/>
      <c r="Q4466" s="846"/>
      <c r="R4466" s="846"/>
      <c r="S4466" s="846"/>
      <c r="T4466" s="846"/>
    </row>
    <row r="4467" spans="2:20" ht="25.5" hidden="1">
      <c r="B4467" s="828" t="s">
        <v>6547</v>
      </c>
      <c r="C4467" s="828">
        <v>96701</v>
      </c>
      <c r="D4467" s="630" t="s">
        <v>2460</v>
      </c>
      <c r="E4467" s="630" t="s">
        <v>646</v>
      </c>
      <c r="F4467" s="829">
        <v>4.9800000000000004</v>
      </c>
      <c r="G4467" s="830">
        <v>1.92</v>
      </c>
      <c r="H4467" s="831">
        <v>6.9</v>
      </c>
      <c r="I4467" s="846"/>
      <c r="J4467" s="846"/>
      <c r="K4467" s="846"/>
      <c r="L4467" s="846"/>
      <c r="M4467" s="846"/>
      <c r="N4467" s="846"/>
      <c r="O4467" s="846"/>
      <c r="P4467" s="846"/>
      <c r="Q4467" s="846"/>
      <c r="R4467" s="846"/>
      <c r="S4467" s="846"/>
      <c r="T4467" s="846"/>
    </row>
    <row r="4468" spans="2:20" ht="25.5" hidden="1">
      <c r="B4468" s="828" t="s">
        <v>6547</v>
      </c>
      <c r="C4468" s="828">
        <v>96702</v>
      </c>
      <c r="D4468" s="630" t="s">
        <v>2461</v>
      </c>
      <c r="E4468" s="630" t="s">
        <v>646</v>
      </c>
      <c r="F4468" s="829">
        <v>5.36</v>
      </c>
      <c r="G4468" s="830">
        <v>1.92</v>
      </c>
      <c r="H4468" s="831">
        <v>7.28</v>
      </c>
      <c r="I4468" s="846"/>
      <c r="J4468" s="846"/>
      <c r="K4468" s="846"/>
      <c r="L4468" s="846"/>
      <c r="M4468" s="846"/>
      <c r="N4468" s="846"/>
      <c r="O4468" s="846"/>
      <c r="P4468" s="846"/>
      <c r="Q4468" s="846"/>
      <c r="R4468" s="846"/>
      <c r="S4468" s="846"/>
      <c r="T4468" s="846"/>
    </row>
    <row r="4469" spans="2:20" ht="25.5" hidden="1">
      <c r="B4469" s="828" t="s">
        <v>6547</v>
      </c>
      <c r="C4469" s="828">
        <v>96703</v>
      </c>
      <c r="D4469" s="630" t="s">
        <v>2462</v>
      </c>
      <c r="E4469" s="630" t="s">
        <v>646</v>
      </c>
      <c r="F4469" s="829">
        <v>12.09</v>
      </c>
      <c r="G4469" s="830">
        <v>2.77</v>
      </c>
      <c r="H4469" s="831">
        <v>14.86</v>
      </c>
      <c r="I4469" s="846"/>
      <c r="J4469" s="846"/>
      <c r="K4469" s="846"/>
      <c r="L4469" s="846"/>
      <c r="M4469" s="846"/>
      <c r="N4469" s="846"/>
      <c r="O4469" s="846"/>
      <c r="P4469" s="846"/>
      <c r="Q4469" s="846"/>
      <c r="R4469" s="846"/>
      <c r="S4469" s="846"/>
      <c r="T4469" s="846"/>
    </row>
    <row r="4470" spans="2:20" ht="25.5" hidden="1">
      <c r="B4470" s="828" t="s">
        <v>6547</v>
      </c>
      <c r="C4470" s="828">
        <v>96704</v>
      </c>
      <c r="D4470" s="630" t="s">
        <v>2463</v>
      </c>
      <c r="E4470" s="630" t="s">
        <v>646</v>
      </c>
      <c r="F4470" s="829">
        <v>14.56</v>
      </c>
      <c r="G4470" s="830">
        <v>2.77</v>
      </c>
      <c r="H4470" s="831">
        <v>17.329999999999998</v>
      </c>
      <c r="I4470" s="846"/>
      <c r="J4470" s="846"/>
      <c r="K4470" s="846"/>
      <c r="L4470" s="846"/>
      <c r="M4470" s="846"/>
      <c r="N4470" s="846"/>
      <c r="O4470" s="846"/>
      <c r="P4470" s="846"/>
      <c r="Q4470" s="846"/>
      <c r="R4470" s="846"/>
      <c r="S4470" s="846"/>
      <c r="T4470" s="846"/>
    </row>
    <row r="4471" spans="2:20" ht="25.5" hidden="1">
      <c r="B4471" s="828" t="s">
        <v>6547</v>
      </c>
      <c r="C4471" s="828">
        <v>96705</v>
      </c>
      <c r="D4471" s="630" t="s">
        <v>2464</v>
      </c>
      <c r="E4471" s="630" t="s">
        <v>646</v>
      </c>
      <c r="F4471" s="829">
        <v>18.23</v>
      </c>
      <c r="G4471" s="830">
        <v>4.1500000000000004</v>
      </c>
      <c r="H4471" s="831">
        <v>22.38</v>
      </c>
      <c r="I4471" s="846"/>
      <c r="J4471" s="846"/>
      <c r="K4471" s="846"/>
      <c r="L4471" s="846"/>
      <c r="M4471" s="846"/>
      <c r="N4471" s="846"/>
      <c r="O4471" s="846"/>
      <c r="P4471" s="846"/>
      <c r="Q4471" s="846"/>
      <c r="R4471" s="846"/>
      <c r="S4471" s="846"/>
      <c r="T4471" s="846"/>
    </row>
    <row r="4472" spans="2:20" ht="25.5" hidden="1">
      <c r="B4472" s="828" t="s">
        <v>6547</v>
      </c>
      <c r="C4472" s="828">
        <v>96706</v>
      </c>
      <c r="D4472" s="630" t="s">
        <v>2465</v>
      </c>
      <c r="E4472" s="630" t="s">
        <v>646</v>
      </c>
      <c r="F4472" s="829">
        <v>27.2</v>
      </c>
      <c r="G4472" s="830">
        <v>6.37</v>
      </c>
      <c r="H4472" s="831">
        <v>33.57</v>
      </c>
      <c r="I4472" s="846"/>
      <c r="J4472" s="846"/>
      <c r="K4472" s="846"/>
      <c r="L4472" s="846"/>
      <c r="M4472" s="846"/>
      <c r="N4472" s="846"/>
      <c r="O4472" s="846"/>
      <c r="P4472" s="846"/>
      <c r="Q4472" s="846"/>
      <c r="R4472" s="846"/>
      <c r="S4472" s="846"/>
      <c r="T4472" s="846"/>
    </row>
    <row r="4473" spans="2:20" ht="25.5" hidden="1">
      <c r="B4473" s="828" t="s">
        <v>6547</v>
      </c>
      <c r="C4473" s="828">
        <v>96707</v>
      </c>
      <c r="D4473" s="630" t="s">
        <v>2466</v>
      </c>
      <c r="E4473" s="630" t="s">
        <v>646</v>
      </c>
      <c r="F4473" s="829">
        <v>62.13</v>
      </c>
      <c r="G4473" s="830">
        <v>8.86</v>
      </c>
      <c r="H4473" s="831">
        <v>70.989999999999995</v>
      </c>
      <c r="I4473" s="846"/>
      <c r="J4473" s="846"/>
      <c r="K4473" s="846"/>
      <c r="L4473" s="846"/>
      <c r="M4473" s="846"/>
      <c r="N4473" s="846"/>
      <c r="O4473" s="846"/>
      <c r="P4473" s="846"/>
      <c r="Q4473" s="846"/>
      <c r="R4473" s="846"/>
      <c r="S4473" s="846"/>
      <c r="T4473" s="846"/>
    </row>
    <row r="4474" spans="2:20" ht="25.5" hidden="1">
      <c r="B4474" s="828" t="s">
        <v>6547</v>
      </c>
      <c r="C4474" s="828">
        <v>96708</v>
      </c>
      <c r="D4474" s="630" t="s">
        <v>2467</v>
      </c>
      <c r="E4474" s="630" t="s">
        <v>646</v>
      </c>
      <c r="F4474" s="829">
        <v>99.78</v>
      </c>
      <c r="G4474" s="830">
        <v>12.58</v>
      </c>
      <c r="H4474" s="831">
        <v>112.36</v>
      </c>
      <c r="I4474" s="846"/>
      <c r="J4474" s="846"/>
      <c r="K4474" s="846"/>
      <c r="L4474" s="846"/>
      <c r="M4474" s="846"/>
      <c r="N4474" s="846"/>
      <c r="O4474" s="846"/>
      <c r="P4474" s="846"/>
      <c r="Q4474" s="846"/>
      <c r="R4474" s="846"/>
      <c r="S4474" s="846"/>
      <c r="T4474" s="846"/>
    </row>
    <row r="4475" spans="2:20" ht="25.5" hidden="1">
      <c r="B4475" s="828" t="s">
        <v>6547</v>
      </c>
      <c r="C4475" s="828">
        <v>96709</v>
      </c>
      <c r="D4475" s="630" t="s">
        <v>2468</v>
      </c>
      <c r="E4475" s="630" t="s">
        <v>646</v>
      </c>
      <c r="F4475" s="829">
        <v>159.22999999999999</v>
      </c>
      <c r="G4475" s="830">
        <v>18.63</v>
      </c>
      <c r="H4475" s="831">
        <v>177.86</v>
      </c>
      <c r="I4475" s="846"/>
      <c r="J4475" s="846"/>
      <c r="K4475" s="846"/>
      <c r="L4475" s="846"/>
      <c r="M4475" s="846"/>
      <c r="N4475" s="846"/>
      <c r="O4475" s="846"/>
      <c r="P4475" s="846"/>
      <c r="Q4475" s="846"/>
      <c r="R4475" s="846"/>
      <c r="S4475" s="846"/>
      <c r="T4475" s="846"/>
    </row>
    <row r="4476" spans="2:20" ht="25.5" hidden="1">
      <c r="B4476" s="828" t="s">
        <v>6547</v>
      </c>
      <c r="C4476" s="828">
        <v>96710</v>
      </c>
      <c r="D4476" s="630" t="s">
        <v>2469</v>
      </c>
      <c r="E4476" s="630" t="s">
        <v>646</v>
      </c>
      <c r="F4476" s="829">
        <v>6</v>
      </c>
      <c r="G4476" s="830">
        <v>2.65</v>
      </c>
      <c r="H4476" s="831">
        <v>8.65</v>
      </c>
      <c r="I4476" s="846"/>
      <c r="J4476" s="846"/>
      <c r="K4476" s="846"/>
      <c r="L4476" s="846"/>
      <c r="M4476" s="846"/>
      <c r="N4476" s="846"/>
      <c r="O4476" s="846"/>
      <c r="P4476" s="846"/>
      <c r="Q4476" s="846"/>
      <c r="R4476" s="846"/>
      <c r="S4476" s="846"/>
      <c r="T4476" s="846"/>
    </row>
    <row r="4477" spans="2:20" ht="25.5" hidden="1">
      <c r="B4477" s="828" t="s">
        <v>6547</v>
      </c>
      <c r="C4477" s="828">
        <v>96711</v>
      </c>
      <c r="D4477" s="630" t="s">
        <v>2470</v>
      </c>
      <c r="E4477" s="630" t="s">
        <v>646</v>
      </c>
      <c r="F4477" s="829">
        <v>9.64</v>
      </c>
      <c r="G4477" s="830">
        <v>3.86</v>
      </c>
      <c r="H4477" s="831">
        <v>13.5</v>
      </c>
      <c r="I4477" s="846"/>
      <c r="J4477" s="846"/>
      <c r="K4477" s="846"/>
      <c r="L4477" s="846"/>
      <c r="M4477" s="846"/>
      <c r="N4477" s="846"/>
      <c r="O4477" s="846"/>
      <c r="P4477" s="846"/>
      <c r="Q4477" s="846"/>
      <c r="R4477" s="846"/>
      <c r="S4477" s="846"/>
      <c r="T4477" s="846"/>
    </row>
    <row r="4478" spans="2:20" ht="25.5" hidden="1">
      <c r="B4478" s="828" t="s">
        <v>6547</v>
      </c>
      <c r="C4478" s="828">
        <v>96712</v>
      </c>
      <c r="D4478" s="630" t="s">
        <v>2471</v>
      </c>
      <c r="E4478" s="630" t="s">
        <v>646</v>
      </c>
      <c r="F4478" s="829">
        <v>20.86</v>
      </c>
      <c r="G4478" s="830">
        <v>5.57</v>
      </c>
      <c r="H4478" s="831">
        <v>26.43</v>
      </c>
      <c r="I4478" s="846"/>
      <c r="J4478" s="846"/>
      <c r="K4478" s="846"/>
      <c r="L4478" s="846"/>
      <c r="M4478" s="846"/>
      <c r="N4478" s="846"/>
      <c r="O4478" s="846"/>
      <c r="P4478" s="846"/>
      <c r="Q4478" s="846"/>
      <c r="R4478" s="846"/>
      <c r="S4478" s="846"/>
      <c r="T4478" s="846"/>
    </row>
    <row r="4479" spans="2:20" ht="25.5" hidden="1">
      <c r="B4479" s="828" t="s">
        <v>6547</v>
      </c>
      <c r="C4479" s="828">
        <v>96713</v>
      </c>
      <c r="D4479" s="630" t="s">
        <v>2472</v>
      </c>
      <c r="E4479" s="630" t="s">
        <v>646</v>
      </c>
      <c r="F4479" s="829">
        <v>28.21</v>
      </c>
      <c r="G4479" s="830">
        <v>8.31</v>
      </c>
      <c r="H4479" s="831">
        <v>36.520000000000003</v>
      </c>
      <c r="I4479" s="846"/>
      <c r="J4479" s="846"/>
      <c r="K4479" s="846"/>
      <c r="L4479" s="846"/>
      <c r="M4479" s="846"/>
      <c r="N4479" s="846"/>
      <c r="O4479" s="846"/>
      <c r="P4479" s="846"/>
      <c r="Q4479" s="846"/>
      <c r="R4479" s="846"/>
      <c r="S4479" s="846"/>
      <c r="T4479" s="846"/>
    </row>
    <row r="4480" spans="2:20" ht="25.5" hidden="1">
      <c r="B4480" s="828" t="s">
        <v>6547</v>
      </c>
      <c r="C4480" s="828">
        <v>96714</v>
      </c>
      <c r="D4480" s="630" t="s">
        <v>2473</v>
      </c>
      <c r="E4480" s="630" t="s">
        <v>646</v>
      </c>
      <c r="F4480" s="829">
        <v>49.24</v>
      </c>
      <c r="G4480" s="830">
        <v>12.73</v>
      </c>
      <c r="H4480" s="831">
        <v>61.97</v>
      </c>
      <c r="I4480" s="846"/>
      <c r="J4480" s="846"/>
      <c r="K4480" s="846"/>
      <c r="L4480" s="846"/>
      <c r="M4480" s="846"/>
      <c r="N4480" s="846"/>
      <c r="O4480" s="846"/>
      <c r="P4480" s="846"/>
      <c r="Q4480" s="846"/>
      <c r="R4480" s="846"/>
      <c r="S4480" s="846"/>
      <c r="T4480" s="846"/>
    </row>
    <row r="4481" spans="2:20" ht="25.5" hidden="1">
      <c r="B4481" s="828" t="s">
        <v>6547</v>
      </c>
      <c r="C4481" s="828">
        <v>96715</v>
      </c>
      <c r="D4481" s="630" t="s">
        <v>2474</v>
      </c>
      <c r="E4481" s="630" t="s">
        <v>646</v>
      </c>
      <c r="F4481" s="829">
        <v>100.34</v>
      </c>
      <c r="G4481" s="830">
        <v>17.739999999999998</v>
      </c>
      <c r="H4481" s="831">
        <v>118.08</v>
      </c>
      <c r="I4481" s="846"/>
      <c r="J4481" s="846"/>
      <c r="K4481" s="846"/>
      <c r="L4481" s="846"/>
      <c r="M4481" s="846"/>
      <c r="N4481" s="846"/>
      <c r="O4481" s="846"/>
      <c r="P4481" s="846"/>
      <c r="Q4481" s="846"/>
      <c r="R4481" s="846"/>
      <c r="S4481" s="846"/>
      <c r="T4481" s="846"/>
    </row>
    <row r="4482" spans="2:20" ht="25.5" hidden="1">
      <c r="B4482" s="828" t="s">
        <v>6547</v>
      </c>
      <c r="C4482" s="828">
        <v>96716</v>
      </c>
      <c r="D4482" s="630" t="s">
        <v>2475</v>
      </c>
      <c r="E4482" s="630" t="s">
        <v>646</v>
      </c>
      <c r="F4482" s="829">
        <v>152.55000000000001</v>
      </c>
      <c r="G4482" s="830">
        <v>25.19</v>
      </c>
      <c r="H4482" s="831">
        <v>177.74</v>
      </c>
      <c r="I4482" s="846"/>
      <c r="J4482" s="846"/>
      <c r="K4482" s="846"/>
      <c r="L4482" s="846"/>
      <c r="M4482" s="846"/>
      <c r="N4482" s="846"/>
      <c r="O4482" s="846"/>
      <c r="P4482" s="846"/>
      <c r="Q4482" s="846"/>
      <c r="R4482" s="846"/>
      <c r="S4482" s="846"/>
      <c r="T4482" s="846"/>
    </row>
    <row r="4483" spans="2:20" ht="25.5" hidden="1">
      <c r="B4483" s="828" t="s">
        <v>6547</v>
      </c>
      <c r="C4483" s="828">
        <v>96717</v>
      </c>
      <c r="D4483" s="630" t="s">
        <v>2476</v>
      </c>
      <c r="E4483" s="630" t="s">
        <v>646</v>
      </c>
      <c r="F4483" s="829">
        <v>243.26</v>
      </c>
      <c r="G4483" s="830">
        <v>37.270000000000003</v>
      </c>
      <c r="H4483" s="831">
        <v>280.52999999999997</v>
      </c>
      <c r="I4483" s="846"/>
      <c r="J4483" s="846"/>
      <c r="K4483" s="846"/>
      <c r="L4483" s="846"/>
      <c r="M4483" s="846"/>
      <c r="N4483" s="846"/>
      <c r="O4483" s="846"/>
      <c r="P4483" s="846"/>
      <c r="Q4483" s="846"/>
      <c r="R4483" s="846"/>
      <c r="S4483" s="846"/>
      <c r="T4483" s="846"/>
    </row>
    <row r="4484" spans="2:20" ht="38.25" hidden="1">
      <c r="B4484" s="828" t="s">
        <v>6547</v>
      </c>
      <c r="C4484" s="828">
        <v>96736</v>
      </c>
      <c r="D4484" s="630" t="s">
        <v>2477</v>
      </c>
      <c r="E4484" s="630" t="s">
        <v>646</v>
      </c>
      <c r="F4484" s="829">
        <v>3.24</v>
      </c>
      <c r="G4484" s="830">
        <v>3.71</v>
      </c>
      <c r="H4484" s="831">
        <v>6.95</v>
      </c>
      <c r="I4484" s="846"/>
      <c r="J4484" s="846"/>
      <c r="K4484" s="846"/>
      <c r="L4484" s="846"/>
      <c r="M4484" s="846"/>
      <c r="N4484" s="846"/>
      <c r="O4484" s="846"/>
      <c r="P4484" s="846"/>
      <c r="Q4484" s="846"/>
      <c r="R4484" s="846"/>
      <c r="S4484" s="846"/>
      <c r="T4484" s="846"/>
    </row>
    <row r="4485" spans="2:20" ht="38.25" hidden="1">
      <c r="B4485" s="828" t="s">
        <v>6547</v>
      </c>
      <c r="C4485" s="828">
        <v>96737</v>
      </c>
      <c r="D4485" s="630" t="s">
        <v>2478</v>
      </c>
      <c r="E4485" s="630" t="s">
        <v>646</v>
      </c>
      <c r="F4485" s="829">
        <v>4.41</v>
      </c>
      <c r="G4485" s="830">
        <v>3.69</v>
      </c>
      <c r="H4485" s="831">
        <v>8.1</v>
      </c>
      <c r="I4485" s="846"/>
      <c r="J4485" s="846"/>
      <c r="K4485" s="846"/>
      <c r="L4485" s="846"/>
      <c r="M4485" s="846"/>
      <c r="N4485" s="846"/>
      <c r="O4485" s="846"/>
      <c r="P4485" s="846"/>
      <c r="Q4485" s="846"/>
      <c r="R4485" s="846"/>
      <c r="S4485" s="846"/>
      <c r="T4485" s="846"/>
    </row>
    <row r="4486" spans="2:20" ht="38.25" hidden="1">
      <c r="B4486" s="828" t="s">
        <v>6547</v>
      </c>
      <c r="C4486" s="828">
        <v>96738</v>
      </c>
      <c r="D4486" s="630" t="s">
        <v>2479</v>
      </c>
      <c r="E4486" s="630" t="s">
        <v>646</v>
      </c>
      <c r="F4486" s="829">
        <v>25.49</v>
      </c>
      <c r="G4486" s="830">
        <v>3.67</v>
      </c>
      <c r="H4486" s="831">
        <v>29.16</v>
      </c>
      <c r="I4486" s="846"/>
      <c r="J4486" s="846"/>
      <c r="K4486" s="846"/>
      <c r="L4486" s="846"/>
      <c r="M4486" s="846"/>
      <c r="N4486" s="846"/>
      <c r="O4486" s="846"/>
      <c r="P4486" s="846"/>
      <c r="Q4486" s="846"/>
      <c r="R4486" s="846"/>
      <c r="S4486" s="846"/>
      <c r="T4486" s="846"/>
    </row>
    <row r="4487" spans="2:20" ht="38.25" hidden="1">
      <c r="B4487" s="828" t="s">
        <v>6547</v>
      </c>
      <c r="C4487" s="828">
        <v>96739</v>
      </c>
      <c r="D4487" s="630" t="s">
        <v>2480</v>
      </c>
      <c r="E4487" s="630" t="s">
        <v>646</v>
      </c>
      <c r="F4487" s="829">
        <v>5.76</v>
      </c>
      <c r="G4487" s="830">
        <v>4.72</v>
      </c>
      <c r="H4487" s="831">
        <v>10.48</v>
      </c>
      <c r="I4487" s="846"/>
      <c r="J4487" s="846"/>
      <c r="K4487" s="846"/>
      <c r="L4487" s="846"/>
      <c r="M4487" s="846"/>
      <c r="N4487" s="846"/>
      <c r="O4487" s="846"/>
      <c r="P4487" s="846"/>
      <c r="Q4487" s="846"/>
      <c r="R4487" s="846"/>
      <c r="S4487" s="846"/>
      <c r="T4487" s="846"/>
    </row>
    <row r="4488" spans="2:20" ht="38.25" hidden="1">
      <c r="B4488" s="828" t="s">
        <v>6547</v>
      </c>
      <c r="C4488" s="828">
        <v>96740</v>
      </c>
      <c r="D4488" s="630" t="s">
        <v>2481</v>
      </c>
      <c r="E4488" s="630" t="s">
        <v>646</v>
      </c>
      <c r="F4488" s="829">
        <v>40.9</v>
      </c>
      <c r="G4488" s="830">
        <v>4.6900000000000004</v>
      </c>
      <c r="H4488" s="831">
        <v>45.59</v>
      </c>
      <c r="I4488" s="846"/>
      <c r="J4488" s="846"/>
      <c r="K4488" s="846"/>
      <c r="L4488" s="846"/>
      <c r="M4488" s="846"/>
      <c r="N4488" s="846"/>
      <c r="O4488" s="846"/>
      <c r="P4488" s="846"/>
      <c r="Q4488" s="846"/>
      <c r="R4488" s="846"/>
      <c r="S4488" s="846"/>
      <c r="T4488" s="846"/>
    </row>
    <row r="4489" spans="2:20" ht="38.25" hidden="1">
      <c r="B4489" s="828" t="s">
        <v>6547</v>
      </c>
      <c r="C4489" s="828">
        <v>96741</v>
      </c>
      <c r="D4489" s="630" t="s">
        <v>2482</v>
      </c>
      <c r="E4489" s="630" t="s">
        <v>646</v>
      </c>
      <c r="F4489" s="829">
        <v>12.63</v>
      </c>
      <c r="G4489" s="830">
        <v>4.7</v>
      </c>
      <c r="H4489" s="831">
        <v>17.329999999999998</v>
      </c>
      <c r="I4489" s="846"/>
      <c r="J4489" s="846"/>
      <c r="K4489" s="846"/>
      <c r="L4489" s="846"/>
      <c r="M4489" s="846"/>
      <c r="N4489" s="846"/>
      <c r="O4489" s="846"/>
      <c r="P4489" s="846"/>
      <c r="Q4489" s="846"/>
      <c r="R4489" s="846"/>
      <c r="S4489" s="846"/>
      <c r="T4489" s="846"/>
    </row>
    <row r="4490" spans="2:20" ht="38.25" hidden="1">
      <c r="B4490" s="828" t="s">
        <v>6547</v>
      </c>
      <c r="C4490" s="828">
        <v>96742</v>
      </c>
      <c r="D4490" s="630" t="s">
        <v>2483</v>
      </c>
      <c r="E4490" s="630" t="s">
        <v>646</v>
      </c>
      <c r="F4490" s="829">
        <v>19.09</v>
      </c>
      <c r="G4490" s="830">
        <v>7.19</v>
      </c>
      <c r="H4490" s="831">
        <v>26.28</v>
      </c>
      <c r="I4490" s="846"/>
      <c r="J4490" s="846"/>
      <c r="K4490" s="846"/>
      <c r="L4490" s="846"/>
      <c r="M4490" s="846"/>
      <c r="N4490" s="846"/>
      <c r="O4490" s="846"/>
      <c r="P4490" s="846"/>
      <c r="Q4490" s="846"/>
      <c r="R4490" s="846"/>
      <c r="S4490" s="846"/>
      <c r="T4490" s="846"/>
    </row>
    <row r="4491" spans="2:20" ht="38.25" hidden="1">
      <c r="B4491" s="828" t="s">
        <v>6547</v>
      </c>
      <c r="C4491" s="828">
        <v>96743</v>
      </c>
      <c r="D4491" s="630" t="s">
        <v>2484</v>
      </c>
      <c r="E4491" s="630" t="s">
        <v>646</v>
      </c>
      <c r="F4491" s="829">
        <v>27.42</v>
      </c>
      <c r="G4491" s="830">
        <v>7.19</v>
      </c>
      <c r="H4491" s="831">
        <v>34.61</v>
      </c>
      <c r="I4491" s="846"/>
      <c r="J4491" s="846"/>
      <c r="K4491" s="846"/>
      <c r="L4491" s="846"/>
      <c r="M4491" s="846"/>
      <c r="N4491" s="846"/>
      <c r="O4491" s="846"/>
      <c r="P4491" s="846"/>
      <c r="Q4491" s="846"/>
      <c r="R4491" s="846"/>
      <c r="S4491" s="846"/>
      <c r="T4491" s="846"/>
    </row>
    <row r="4492" spans="2:20" ht="38.25" hidden="1">
      <c r="B4492" s="828" t="s">
        <v>6547</v>
      </c>
      <c r="C4492" s="828">
        <v>96744</v>
      </c>
      <c r="D4492" s="630" t="s">
        <v>2485</v>
      </c>
      <c r="E4492" s="630" t="s">
        <v>646</v>
      </c>
      <c r="F4492" s="829">
        <v>62.97</v>
      </c>
      <c r="G4492" s="830">
        <v>11.86</v>
      </c>
      <c r="H4492" s="831">
        <v>74.83</v>
      </c>
      <c r="I4492" s="846"/>
      <c r="J4492" s="846"/>
      <c r="K4492" s="846"/>
      <c r="L4492" s="846"/>
      <c r="M4492" s="846"/>
      <c r="N4492" s="846"/>
      <c r="O4492" s="846"/>
      <c r="P4492" s="846"/>
      <c r="Q4492" s="846"/>
      <c r="R4492" s="846"/>
      <c r="S4492" s="846"/>
      <c r="T4492" s="846"/>
    </row>
    <row r="4493" spans="2:20" ht="38.25" hidden="1">
      <c r="B4493" s="828" t="s">
        <v>6547</v>
      </c>
      <c r="C4493" s="828">
        <v>96745</v>
      </c>
      <c r="D4493" s="630" t="s">
        <v>2486</v>
      </c>
      <c r="E4493" s="630" t="s">
        <v>646</v>
      </c>
      <c r="F4493" s="829">
        <v>99.56</v>
      </c>
      <c r="G4493" s="830">
        <v>11.86</v>
      </c>
      <c r="H4493" s="831">
        <v>111.42</v>
      </c>
      <c r="I4493" s="846"/>
      <c r="J4493" s="846"/>
      <c r="K4493" s="846"/>
      <c r="L4493" s="846"/>
      <c r="M4493" s="846"/>
      <c r="N4493" s="846"/>
      <c r="O4493" s="846"/>
      <c r="P4493" s="846"/>
      <c r="Q4493" s="846"/>
      <c r="R4493" s="846"/>
      <c r="S4493" s="846"/>
      <c r="T4493" s="846"/>
    </row>
    <row r="4494" spans="2:20" ht="38.25" hidden="1">
      <c r="B4494" s="828" t="s">
        <v>6547</v>
      </c>
      <c r="C4494" s="828">
        <v>96746</v>
      </c>
      <c r="D4494" s="630" t="s">
        <v>2487</v>
      </c>
      <c r="E4494" s="630" t="s">
        <v>646</v>
      </c>
      <c r="F4494" s="829">
        <v>159.22</v>
      </c>
      <c r="G4494" s="830">
        <v>18.579999999999998</v>
      </c>
      <c r="H4494" s="831">
        <v>177.8</v>
      </c>
      <c r="I4494" s="846"/>
      <c r="J4494" s="846"/>
      <c r="K4494" s="846"/>
      <c r="L4494" s="846"/>
      <c r="M4494" s="846"/>
      <c r="N4494" s="846"/>
      <c r="O4494" s="846"/>
      <c r="P4494" s="846"/>
      <c r="Q4494" s="846"/>
      <c r="R4494" s="846"/>
      <c r="S4494" s="846"/>
      <c r="T4494" s="846"/>
    </row>
    <row r="4495" spans="2:20" ht="38.25" hidden="1">
      <c r="B4495" s="828" t="s">
        <v>6547</v>
      </c>
      <c r="C4495" s="828">
        <v>96747</v>
      </c>
      <c r="D4495" s="630" t="s">
        <v>2488</v>
      </c>
      <c r="E4495" s="630" t="s">
        <v>646</v>
      </c>
      <c r="F4495" s="829">
        <v>4.2</v>
      </c>
      <c r="G4495" s="830">
        <v>5.54</v>
      </c>
      <c r="H4495" s="831">
        <v>9.74</v>
      </c>
      <c r="I4495" s="846"/>
      <c r="J4495" s="846"/>
      <c r="K4495" s="846"/>
      <c r="L4495" s="846"/>
      <c r="M4495" s="846"/>
      <c r="N4495" s="846"/>
      <c r="O4495" s="846"/>
      <c r="P4495" s="846"/>
      <c r="Q4495" s="846"/>
      <c r="R4495" s="846"/>
      <c r="S4495" s="846"/>
      <c r="T4495" s="846"/>
    </row>
    <row r="4496" spans="2:20" ht="38.25" hidden="1">
      <c r="B4496" s="828" t="s">
        <v>6547</v>
      </c>
      <c r="C4496" s="828">
        <v>96748</v>
      </c>
      <c r="D4496" s="630" t="s">
        <v>2489</v>
      </c>
      <c r="E4496" s="630" t="s">
        <v>646</v>
      </c>
      <c r="F4496" s="829">
        <v>5.65</v>
      </c>
      <c r="G4496" s="830">
        <v>5.53</v>
      </c>
      <c r="H4496" s="831">
        <v>11.18</v>
      </c>
      <c r="I4496" s="846"/>
      <c r="J4496" s="846"/>
      <c r="K4496" s="846"/>
      <c r="L4496" s="846"/>
      <c r="M4496" s="846"/>
      <c r="N4496" s="846"/>
      <c r="O4496" s="846"/>
      <c r="P4496" s="846"/>
      <c r="Q4496" s="846"/>
      <c r="R4496" s="846"/>
      <c r="S4496" s="846"/>
      <c r="T4496" s="846"/>
    </row>
    <row r="4497" spans="2:20" ht="38.25" hidden="1">
      <c r="B4497" s="828" t="s">
        <v>6547</v>
      </c>
      <c r="C4497" s="828">
        <v>96749</v>
      </c>
      <c r="D4497" s="630" t="s">
        <v>2490</v>
      </c>
      <c r="E4497" s="630" t="s">
        <v>646</v>
      </c>
      <c r="F4497" s="829">
        <v>8.26</v>
      </c>
      <c r="G4497" s="830">
        <v>7.08</v>
      </c>
      <c r="H4497" s="831">
        <v>15.34</v>
      </c>
      <c r="I4497" s="846"/>
      <c r="J4497" s="846"/>
      <c r="K4497" s="846"/>
      <c r="L4497" s="846"/>
      <c r="M4497" s="846"/>
      <c r="N4497" s="846"/>
      <c r="O4497" s="846"/>
      <c r="P4497" s="846"/>
      <c r="Q4497" s="846"/>
      <c r="R4497" s="846"/>
      <c r="S4497" s="846"/>
      <c r="T4497" s="846"/>
    </row>
    <row r="4498" spans="2:20" ht="38.25" hidden="1">
      <c r="B4498" s="828" t="s">
        <v>6547</v>
      </c>
      <c r="C4498" s="828">
        <v>96750</v>
      </c>
      <c r="D4498" s="630" t="s">
        <v>2491</v>
      </c>
      <c r="E4498" s="630" t="s">
        <v>646</v>
      </c>
      <c r="F4498" s="829">
        <v>13.91</v>
      </c>
      <c r="G4498" s="830">
        <v>7.08</v>
      </c>
      <c r="H4498" s="831">
        <v>20.99</v>
      </c>
      <c r="I4498" s="846"/>
      <c r="J4498" s="846"/>
      <c r="K4498" s="846"/>
      <c r="L4498" s="846"/>
      <c r="M4498" s="846"/>
      <c r="N4498" s="846"/>
      <c r="O4498" s="846"/>
      <c r="P4498" s="846"/>
      <c r="Q4498" s="846"/>
      <c r="R4498" s="846"/>
      <c r="S4498" s="846"/>
      <c r="T4498" s="846"/>
    </row>
    <row r="4499" spans="2:20" ht="38.25" hidden="1">
      <c r="B4499" s="828" t="s">
        <v>6547</v>
      </c>
      <c r="C4499" s="828">
        <v>96751</v>
      </c>
      <c r="D4499" s="630" t="s">
        <v>2492</v>
      </c>
      <c r="E4499" s="630" t="s">
        <v>646</v>
      </c>
      <c r="F4499" s="829">
        <v>27.71</v>
      </c>
      <c r="G4499" s="830">
        <v>10.74</v>
      </c>
      <c r="H4499" s="831">
        <v>38.450000000000003</v>
      </c>
      <c r="I4499" s="846"/>
      <c r="J4499" s="846"/>
      <c r="K4499" s="846"/>
      <c r="L4499" s="846"/>
      <c r="M4499" s="846"/>
      <c r="N4499" s="846"/>
      <c r="O4499" s="846"/>
      <c r="P4499" s="846"/>
      <c r="Q4499" s="846"/>
      <c r="R4499" s="846"/>
      <c r="S4499" s="846"/>
      <c r="T4499" s="846"/>
    </row>
    <row r="4500" spans="2:20" ht="38.25" hidden="1">
      <c r="B4500" s="828" t="s">
        <v>6547</v>
      </c>
      <c r="C4500" s="828">
        <v>96752</v>
      </c>
      <c r="D4500" s="630" t="s">
        <v>2493</v>
      </c>
      <c r="E4500" s="630" t="s">
        <v>646</v>
      </c>
      <c r="F4500" s="829">
        <v>40.08</v>
      </c>
      <c r="G4500" s="830">
        <v>10.74</v>
      </c>
      <c r="H4500" s="831">
        <v>50.82</v>
      </c>
      <c r="I4500" s="846"/>
      <c r="J4500" s="846"/>
      <c r="K4500" s="846"/>
      <c r="L4500" s="846"/>
      <c r="M4500" s="846"/>
      <c r="N4500" s="846"/>
      <c r="O4500" s="846"/>
      <c r="P4500" s="846"/>
      <c r="Q4500" s="846"/>
      <c r="R4500" s="846"/>
      <c r="S4500" s="846"/>
      <c r="T4500" s="846"/>
    </row>
    <row r="4501" spans="2:20" ht="38.25" hidden="1">
      <c r="B4501" s="828" t="s">
        <v>6547</v>
      </c>
      <c r="C4501" s="828">
        <v>96753</v>
      </c>
      <c r="D4501" s="630" t="s">
        <v>2494</v>
      </c>
      <c r="E4501" s="630" t="s">
        <v>646</v>
      </c>
      <c r="F4501" s="829">
        <v>98.6</v>
      </c>
      <c r="G4501" s="830">
        <v>17.77</v>
      </c>
      <c r="H4501" s="831">
        <v>116.37</v>
      </c>
      <c r="I4501" s="846"/>
      <c r="J4501" s="846"/>
      <c r="K4501" s="846"/>
      <c r="L4501" s="846"/>
      <c r="M4501" s="846"/>
      <c r="N4501" s="846"/>
      <c r="O4501" s="846"/>
      <c r="P4501" s="846"/>
      <c r="Q4501" s="846"/>
      <c r="R4501" s="846"/>
      <c r="S4501" s="846"/>
      <c r="T4501" s="846"/>
    </row>
    <row r="4502" spans="2:20" ht="38.25" hidden="1">
      <c r="B4502" s="828" t="s">
        <v>6547</v>
      </c>
      <c r="C4502" s="828">
        <v>96754</v>
      </c>
      <c r="D4502" s="630" t="s">
        <v>2495</v>
      </c>
      <c r="E4502" s="630" t="s">
        <v>646</v>
      </c>
      <c r="F4502" s="829">
        <v>147.63999999999999</v>
      </c>
      <c r="G4502" s="830">
        <v>17.77</v>
      </c>
      <c r="H4502" s="831">
        <v>165.41</v>
      </c>
      <c r="I4502" s="846"/>
      <c r="J4502" s="846"/>
      <c r="K4502" s="846"/>
      <c r="L4502" s="846"/>
      <c r="M4502" s="846"/>
      <c r="N4502" s="846"/>
      <c r="O4502" s="846"/>
      <c r="P4502" s="846"/>
      <c r="Q4502" s="846"/>
      <c r="R4502" s="846"/>
      <c r="S4502" s="846"/>
      <c r="T4502" s="846"/>
    </row>
    <row r="4503" spans="2:20" ht="38.25" hidden="1">
      <c r="B4503" s="828" t="s">
        <v>6547</v>
      </c>
      <c r="C4503" s="828">
        <v>96755</v>
      </c>
      <c r="D4503" s="630" t="s">
        <v>2496</v>
      </c>
      <c r="E4503" s="630" t="s">
        <v>646</v>
      </c>
      <c r="F4503" s="829">
        <v>221.77</v>
      </c>
      <c r="G4503" s="830">
        <v>27.89</v>
      </c>
      <c r="H4503" s="831">
        <v>249.66</v>
      </c>
      <c r="I4503" s="846"/>
      <c r="J4503" s="846"/>
      <c r="K4503" s="846"/>
      <c r="L4503" s="846"/>
      <c r="M4503" s="846"/>
      <c r="N4503" s="846"/>
      <c r="O4503" s="846"/>
      <c r="P4503" s="846"/>
      <c r="Q4503" s="846"/>
      <c r="R4503" s="846"/>
      <c r="S4503" s="846"/>
      <c r="T4503" s="846"/>
    </row>
    <row r="4504" spans="2:20" ht="38.25" hidden="1">
      <c r="B4504" s="828" t="s">
        <v>6547</v>
      </c>
      <c r="C4504" s="828">
        <v>96756</v>
      </c>
      <c r="D4504" s="630" t="s">
        <v>2497</v>
      </c>
      <c r="E4504" s="630" t="s">
        <v>646</v>
      </c>
      <c r="F4504" s="829">
        <v>11.08</v>
      </c>
      <c r="G4504" s="830">
        <v>7.37</v>
      </c>
      <c r="H4504" s="831">
        <v>18.45</v>
      </c>
      <c r="I4504" s="846"/>
      <c r="J4504" s="846"/>
      <c r="K4504" s="846"/>
      <c r="L4504" s="846"/>
      <c r="M4504" s="846"/>
      <c r="N4504" s="846"/>
      <c r="O4504" s="846"/>
      <c r="P4504" s="846"/>
      <c r="Q4504" s="846"/>
      <c r="R4504" s="846"/>
      <c r="S4504" s="846"/>
      <c r="T4504" s="846"/>
    </row>
    <row r="4505" spans="2:20" ht="38.25" hidden="1">
      <c r="B4505" s="828" t="s">
        <v>6547</v>
      </c>
      <c r="C4505" s="828">
        <v>96757</v>
      </c>
      <c r="D4505" s="630" t="s">
        <v>2498</v>
      </c>
      <c r="E4505" s="630" t="s">
        <v>646</v>
      </c>
      <c r="F4505" s="829">
        <v>10.32</v>
      </c>
      <c r="G4505" s="830">
        <v>7.37</v>
      </c>
      <c r="H4505" s="831">
        <v>17.690000000000001</v>
      </c>
      <c r="I4505" s="846"/>
      <c r="J4505" s="846"/>
      <c r="K4505" s="846"/>
      <c r="L4505" s="846"/>
      <c r="M4505" s="846"/>
      <c r="N4505" s="846"/>
      <c r="O4505" s="846"/>
      <c r="P4505" s="846"/>
      <c r="Q4505" s="846"/>
      <c r="R4505" s="846"/>
      <c r="S4505" s="846"/>
      <c r="T4505" s="846"/>
    </row>
    <row r="4506" spans="2:20" ht="38.25" hidden="1">
      <c r="B4506" s="828" t="s">
        <v>6547</v>
      </c>
      <c r="C4506" s="828">
        <v>96758</v>
      </c>
      <c r="D4506" s="630" t="s">
        <v>2499</v>
      </c>
      <c r="E4506" s="630" t="s">
        <v>646</v>
      </c>
      <c r="F4506" s="829">
        <v>11.22</v>
      </c>
      <c r="G4506" s="830">
        <v>9.43</v>
      </c>
      <c r="H4506" s="831">
        <v>20.65</v>
      </c>
      <c r="I4506" s="846"/>
      <c r="J4506" s="846"/>
      <c r="K4506" s="846"/>
      <c r="L4506" s="846"/>
      <c r="M4506" s="846"/>
      <c r="N4506" s="846"/>
      <c r="O4506" s="846"/>
      <c r="P4506" s="846"/>
      <c r="Q4506" s="846"/>
      <c r="R4506" s="846"/>
      <c r="S4506" s="846"/>
      <c r="T4506" s="846"/>
    </row>
    <row r="4507" spans="2:20" ht="38.25" hidden="1">
      <c r="B4507" s="828" t="s">
        <v>6547</v>
      </c>
      <c r="C4507" s="828">
        <v>96759</v>
      </c>
      <c r="D4507" s="630" t="s">
        <v>2500</v>
      </c>
      <c r="E4507" s="630" t="s">
        <v>646</v>
      </c>
      <c r="F4507" s="829">
        <v>21.96</v>
      </c>
      <c r="G4507" s="830">
        <v>9.42</v>
      </c>
      <c r="H4507" s="831">
        <v>31.38</v>
      </c>
      <c r="I4507" s="846"/>
      <c r="J4507" s="846"/>
      <c r="K4507" s="846"/>
      <c r="L4507" s="846"/>
      <c r="M4507" s="846"/>
      <c r="N4507" s="846"/>
      <c r="O4507" s="846"/>
      <c r="P4507" s="846"/>
      <c r="Q4507" s="846"/>
      <c r="R4507" s="846"/>
      <c r="S4507" s="846"/>
      <c r="T4507" s="846"/>
    </row>
    <row r="4508" spans="2:20" ht="38.25" hidden="1">
      <c r="B4508" s="828" t="s">
        <v>6547</v>
      </c>
      <c r="C4508" s="828">
        <v>96760</v>
      </c>
      <c r="D4508" s="630" t="s">
        <v>2501</v>
      </c>
      <c r="E4508" s="630" t="s">
        <v>646</v>
      </c>
      <c r="F4508" s="829">
        <v>29.93</v>
      </c>
      <c r="G4508" s="830">
        <v>14.34</v>
      </c>
      <c r="H4508" s="831">
        <v>44.27</v>
      </c>
      <c r="I4508" s="846"/>
      <c r="J4508" s="846"/>
      <c r="K4508" s="846"/>
      <c r="L4508" s="846"/>
      <c r="M4508" s="846"/>
      <c r="N4508" s="846"/>
      <c r="O4508" s="846"/>
      <c r="P4508" s="846"/>
      <c r="Q4508" s="846"/>
      <c r="R4508" s="846"/>
      <c r="S4508" s="846"/>
      <c r="T4508" s="846"/>
    </row>
    <row r="4509" spans="2:20" ht="38.25" hidden="1">
      <c r="B4509" s="828" t="s">
        <v>6547</v>
      </c>
      <c r="C4509" s="828">
        <v>96761</v>
      </c>
      <c r="D4509" s="630" t="s">
        <v>2502</v>
      </c>
      <c r="E4509" s="630" t="s">
        <v>646</v>
      </c>
      <c r="F4509" s="829">
        <v>49.71</v>
      </c>
      <c r="G4509" s="830">
        <v>14.34</v>
      </c>
      <c r="H4509" s="831">
        <v>64.05</v>
      </c>
      <c r="I4509" s="846"/>
      <c r="J4509" s="846"/>
      <c r="K4509" s="846"/>
      <c r="L4509" s="846"/>
      <c r="M4509" s="846"/>
      <c r="N4509" s="846"/>
      <c r="O4509" s="846"/>
      <c r="P4509" s="846"/>
      <c r="Q4509" s="846"/>
      <c r="R4509" s="846"/>
      <c r="S4509" s="846"/>
      <c r="T4509" s="846"/>
    </row>
    <row r="4510" spans="2:20" ht="38.25" hidden="1">
      <c r="B4510" s="828" t="s">
        <v>6547</v>
      </c>
      <c r="C4510" s="828">
        <v>96762</v>
      </c>
      <c r="D4510" s="630" t="s">
        <v>2503</v>
      </c>
      <c r="E4510" s="630" t="s">
        <v>646</v>
      </c>
      <c r="F4510" s="829">
        <v>102.04</v>
      </c>
      <c r="G4510" s="830">
        <v>23.69</v>
      </c>
      <c r="H4510" s="831">
        <v>125.73</v>
      </c>
      <c r="I4510" s="846"/>
      <c r="J4510" s="846"/>
      <c r="K4510" s="846"/>
      <c r="L4510" s="846"/>
      <c r="M4510" s="846"/>
      <c r="N4510" s="846"/>
      <c r="O4510" s="846"/>
      <c r="P4510" s="846"/>
      <c r="Q4510" s="846"/>
      <c r="R4510" s="846"/>
      <c r="S4510" s="846"/>
      <c r="T4510" s="846"/>
    </row>
    <row r="4511" spans="2:20" ht="38.25" hidden="1">
      <c r="B4511" s="828" t="s">
        <v>6547</v>
      </c>
      <c r="C4511" s="828">
        <v>96763</v>
      </c>
      <c r="D4511" s="630" t="s">
        <v>2504</v>
      </c>
      <c r="E4511" s="630" t="s">
        <v>646</v>
      </c>
      <c r="F4511" s="829">
        <v>152.13</v>
      </c>
      <c r="G4511" s="830">
        <v>23.69</v>
      </c>
      <c r="H4511" s="831">
        <v>175.82</v>
      </c>
      <c r="I4511" s="846"/>
      <c r="J4511" s="846"/>
      <c r="K4511" s="846"/>
      <c r="L4511" s="846"/>
      <c r="M4511" s="846"/>
      <c r="N4511" s="846"/>
      <c r="O4511" s="846"/>
      <c r="P4511" s="846"/>
      <c r="Q4511" s="846"/>
      <c r="R4511" s="846"/>
      <c r="S4511" s="846"/>
      <c r="T4511" s="846"/>
    </row>
    <row r="4512" spans="2:20" ht="38.25" hidden="1">
      <c r="B4512" s="828" t="s">
        <v>6547</v>
      </c>
      <c r="C4512" s="828">
        <v>96764</v>
      </c>
      <c r="D4512" s="630" t="s">
        <v>2505</v>
      </c>
      <c r="E4512" s="630" t="s">
        <v>646</v>
      </c>
      <c r="F4512" s="829">
        <v>243.24</v>
      </c>
      <c r="G4512" s="830">
        <v>37.18</v>
      </c>
      <c r="H4512" s="831">
        <v>280.42</v>
      </c>
      <c r="I4512" s="846"/>
      <c r="J4512" s="846"/>
      <c r="K4512" s="846"/>
      <c r="L4512" s="846"/>
      <c r="M4512" s="846"/>
      <c r="N4512" s="846"/>
      <c r="O4512" s="846"/>
      <c r="P4512" s="846"/>
      <c r="Q4512" s="846"/>
      <c r="R4512" s="846"/>
      <c r="S4512" s="846"/>
      <c r="T4512" s="846"/>
    </row>
    <row r="4513" spans="2:20" ht="38.25" hidden="1">
      <c r="B4513" s="828" t="s">
        <v>6547</v>
      </c>
      <c r="C4513" s="828">
        <v>96802</v>
      </c>
      <c r="D4513" s="630" t="s">
        <v>2506</v>
      </c>
      <c r="E4513" s="630" t="s">
        <v>646</v>
      </c>
      <c r="F4513" s="829">
        <v>216.59</v>
      </c>
      <c r="G4513" s="830">
        <v>12.2</v>
      </c>
      <c r="H4513" s="831">
        <v>228.79</v>
      </c>
      <c r="I4513" s="846"/>
      <c r="J4513" s="846"/>
      <c r="K4513" s="846"/>
      <c r="L4513" s="846"/>
      <c r="M4513" s="846"/>
      <c r="N4513" s="846"/>
      <c r="O4513" s="846"/>
      <c r="P4513" s="846"/>
      <c r="Q4513" s="846"/>
      <c r="R4513" s="846"/>
      <c r="S4513" s="846"/>
      <c r="T4513" s="846"/>
    </row>
    <row r="4514" spans="2:20" ht="25.5" hidden="1">
      <c r="B4514" s="828" t="s">
        <v>6547</v>
      </c>
      <c r="C4514" s="828">
        <v>96803</v>
      </c>
      <c r="D4514" s="630" t="s">
        <v>2507</v>
      </c>
      <c r="E4514" s="630" t="s">
        <v>646</v>
      </c>
      <c r="F4514" s="829">
        <v>108.97</v>
      </c>
      <c r="G4514" s="830">
        <v>9.94</v>
      </c>
      <c r="H4514" s="831">
        <v>118.91</v>
      </c>
      <c r="I4514" s="846"/>
      <c r="J4514" s="846"/>
      <c r="K4514" s="846"/>
      <c r="L4514" s="846"/>
      <c r="M4514" s="846"/>
      <c r="N4514" s="846"/>
      <c r="O4514" s="846"/>
      <c r="P4514" s="846"/>
      <c r="Q4514" s="846"/>
      <c r="R4514" s="846"/>
      <c r="S4514" s="846"/>
      <c r="T4514" s="846"/>
    </row>
    <row r="4515" spans="2:20" ht="38.25" hidden="1">
      <c r="B4515" s="828" t="s">
        <v>6547</v>
      </c>
      <c r="C4515" s="828">
        <v>96804</v>
      </c>
      <c r="D4515" s="630" t="s">
        <v>2508</v>
      </c>
      <c r="E4515" s="630" t="s">
        <v>646</v>
      </c>
      <c r="F4515" s="829">
        <v>188.82</v>
      </c>
      <c r="G4515" s="830">
        <v>27.96</v>
      </c>
      <c r="H4515" s="831">
        <v>216.78</v>
      </c>
      <c r="I4515" s="846"/>
      <c r="J4515" s="846"/>
      <c r="K4515" s="846"/>
      <c r="L4515" s="846"/>
      <c r="M4515" s="846"/>
      <c r="N4515" s="846"/>
      <c r="O4515" s="846"/>
      <c r="P4515" s="846"/>
      <c r="Q4515" s="846"/>
      <c r="R4515" s="846"/>
      <c r="S4515" s="846"/>
      <c r="T4515" s="846"/>
    </row>
    <row r="4516" spans="2:20" ht="38.25" hidden="1">
      <c r="B4516" s="828" t="s">
        <v>6547</v>
      </c>
      <c r="C4516" s="828">
        <v>96805</v>
      </c>
      <c r="D4516" s="630" t="s">
        <v>2509</v>
      </c>
      <c r="E4516" s="630" t="s">
        <v>646</v>
      </c>
      <c r="F4516" s="829">
        <v>219.3</v>
      </c>
      <c r="G4516" s="830">
        <v>19.690000000000001</v>
      </c>
      <c r="H4516" s="831">
        <v>238.99</v>
      </c>
      <c r="I4516" s="846"/>
      <c r="J4516" s="846"/>
      <c r="K4516" s="846"/>
      <c r="L4516" s="846"/>
      <c r="M4516" s="846"/>
      <c r="N4516" s="846"/>
      <c r="O4516" s="846"/>
      <c r="P4516" s="846"/>
      <c r="Q4516" s="846"/>
      <c r="R4516" s="846"/>
      <c r="S4516" s="846"/>
      <c r="T4516" s="846"/>
    </row>
    <row r="4517" spans="2:20" ht="38.25" hidden="1">
      <c r="B4517" s="828" t="s">
        <v>6547</v>
      </c>
      <c r="C4517" s="828">
        <v>96806</v>
      </c>
      <c r="D4517" s="630" t="s">
        <v>2510</v>
      </c>
      <c r="E4517" s="630" t="s">
        <v>646</v>
      </c>
      <c r="F4517" s="829">
        <v>101.6</v>
      </c>
      <c r="G4517" s="830">
        <v>17.440000000000001</v>
      </c>
      <c r="H4517" s="831">
        <v>119.04</v>
      </c>
      <c r="I4517" s="846"/>
      <c r="J4517" s="846"/>
      <c r="K4517" s="846"/>
      <c r="L4517" s="846"/>
      <c r="M4517" s="846"/>
      <c r="N4517" s="846"/>
      <c r="O4517" s="846"/>
      <c r="P4517" s="846"/>
      <c r="Q4517" s="846"/>
      <c r="R4517" s="846"/>
      <c r="S4517" s="846"/>
      <c r="T4517" s="846"/>
    </row>
    <row r="4518" spans="2:20" ht="38.25" hidden="1">
      <c r="B4518" s="828" t="s">
        <v>6547</v>
      </c>
      <c r="C4518" s="828">
        <v>96807</v>
      </c>
      <c r="D4518" s="630" t="s">
        <v>2511</v>
      </c>
      <c r="E4518" s="630" t="s">
        <v>646</v>
      </c>
      <c r="F4518" s="829">
        <v>165.5</v>
      </c>
      <c r="G4518" s="830">
        <v>35.46</v>
      </c>
      <c r="H4518" s="831">
        <v>200.96</v>
      </c>
      <c r="I4518" s="846"/>
      <c r="J4518" s="846"/>
      <c r="K4518" s="846"/>
      <c r="L4518" s="846"/>
      <c r="M4518" s="846"/>
      <c r="N4518" s="846"/>
      <c r="O4518" s="846"/>
      <c r="P4518" s="846"/>
      <c r="Q4518" s="846"/>
      <c r="R4518" s="846"/>
      <c r="S4518" s="846"/>
      <c r="T4518" s="846"/>
    </row>
    <row r="4519" spans="2:20" ht="38.25" hidden="1">
      <c r="B4519" s="828" t="s">
        <v>6547</v>
      </c>
      <c r="C4519" s="828">
        <v>96808</v>
      </c>
      <c r="D4519" s="630" t="s">
        <v>2512</v>
      </c>
      <c r="E4519" s="630" t="s">
        <v>646</v>
      </c>
      <c r="F4519" s="829">
        <v>7.74</v>
      </c>
      <c r="G4519" s="830">
        <v>4.58</v>
      </c>
      <c r="H4519" s="831">
        <v>12.32</v>
      </c>
      <c r="I4519" s="846"/>
      <c r="J4519" s="846"/>
      <c r="K4519" s="846"/>
      <c r="L4519" s="846"/>
      <c r="M4519" s="846"/>
      <c r="N4519" s="846"/>
      <c r="O4519" s="846"/>
      <c r="P4519" s="846"/>
      <c r="Q4519" s="846"/>
      <c r="R4519" s="846"/>
      <c r="S4519" s="846"/>
      <c r="T4519" s="846"/>
    </row>
    <row r="4520" spans="2:20" ht="38.25" hidden="1">
      <c r="B4520" s="828" t="s">
        <v>6547</v>
      </c>
      <c r="C4520" s="828">
        <v>96809</v>
      </c>
      <c r="D4520" s="630" t="s">
        <v>2513</v>
      </c>
      <c r="E4520" s="630" t="s">
        <v>646</v>
      </c>
      <c r="F4520" s="829">
        <v>9.27</v>
      </c>
      <c r="G4520" s="830">
        <v>4.57</v>
      </c>
      <c r="H4520" s="831">
        <v>13.84</v>
      </c>
      <c r="I4520" s="846"/>
      <c r="J4520" s="846"/>
      <c r="K4520" s="846"/>
      <c r="L4520" s="846"/>
      <c r="M4520" s="846"/>
      <c r="N4520" s="846"/>
      <c r="O4520" s="846"/>
      <c r="P4520" s="846"/>
      <c r="Q4520" s="846"/>
      <c r="R4520" s="846"/>
      <c r="S4520" s="846"/>
      <c r="T4520" s="846"/>
    </row>
    <row r="4521" spans="2:20" ht="38.25" hidden="1">
      <c r="B4521" s="828" t="s">
        <v>6547</v>
      </c>
      <c r="C4521" s="828">
        <v>96810</v>
      </c>
      <c r="D4521" s="630" t="s">
        <v>2514</v>
      </c>
      <c r="E4521" s="630" t="s">
        <v>646</v>
      </c>
      <c r="F4521" s="829">
        <v>10.29</v>
      </c>
      <c r="G4521" s="830">
        <v>4.57</v>
      </c>
      <c r="H4521" s="831">
        <v>14.86</v>
      </c>
      <c r="I4521" s="846"/>
      <c r="J4521" s="846"/>
      <c r="K4521" s="846"/>
      <c r="L4521" s="846"/>
      <c r="M4521" s="846"/>
      <c r="N4521" s="846"/>
      <c r="O4521" s="846"/>
      <c r="P4521" s="846"/>
      <c r="Q4521" s="846"/>
      <c r="R4521" s="846"/>
      <c r="S4521" s="846"/>
      <c r="T4521" s="846"/>
    </row>
    <row r="4522" spans="2:20" ht="38.25" hidden="1">
      <c r="B4522" s="828" t="s">
        <v>6547</v>
      </c>
      <c r="C4522" s="828">
        <v>96811</v>
      </c>
      <c r="D4522" s="630" t="s">
        <v>2515</v>
      </c>
      <c r="E4522" s="630" t="s">
        <v>646</v>
      </c>
      <c r="F4522" s="829">
        <v>10.77</v>
      </c>
      <c r="G4522" s="830">
        <v>5.4</v>
      </c>
      <c r="H4522" s="831">
        <v>16.170000000000002</v>
      </c>
      <c r="I4522" s="846"/>
      <c r="J4522" s="846"/>
      <c r="K4522" s="846"/>
      <c r="L4522" s="846"/>
      <c r="M4522" s="846"/>
      <c r="N4522" s="846"/>
      <c r="O4522" s="846"/>
      <c r="P4522" s="846"/>
      <c r="Q4522" s="846"/>
      <c r="R4522" s="846"/>
      <c r="S4522" s="846"/>
      <c r="T4522" s="846"/>
    </row>
    <row r="4523" spans="2:20" ht="38.25" hidden="1">
      <c r="B4523" s="828" t="s">
        <v>6547</v>
      </c>
      <c r="C4523" s="828">
        <v>96812</v>
      </c>
      <c r="D4523" s="630" t="s">
        <v>2516</v>
      </c>
      <c r="E4523" s="630" t="s">
        <v>646</v>
      </c>
      <c r="F4523" s="829">
        <v>10.23</v>
      </c>
      <c r="G4523" s="830">
        <v>5.4</v>
      </c>
      <c r="H4523" s="831">
        <v>15.63</v>
      </c>
      <c r="I4523" s="846"/>
      <c r="J4523" s="846"/>
      <c r="K4523" s="846"/>
      <c r="L4523" s="846"/>
      <c r="M4523" s="846"/>
      <c r="N4523" s="846"/>
      <c r="O4523" s="846"/>
      <c r="P4523" s="846"/>
      <c r="Q4523" s="846"/>
      <c r="R4523" s="846"/>
      <c r="S4523" s="846"/>
      <c r="T4523" s="846"/>
    </row>
    <row r="4524" spans="2:20" ht="38.25" hidden="1">
      <c r="B4524" s="828" t="s">
        <v>6547</v>
      </c>
      <c r="C4524" s="828">
        <v>96813</v>
      </c>
      <c r="D4524" s="630" t="s">
        <v>2517</v>
      </c>
      <c r="E4524" s="630" t="s">
        <v>646</v>
      </c>
      <c r="F4524" s="829">
        <v>12.26</v>
      </c>
      <c r="G4524" s="830">
        <v>5.4</v>
      </c>
      <c r="H4524" s="831">
        <v>17.66</v>
      </c>
      <c r="I4524" s="846"/>
      <c r="J4524" s="846"/>
      <c r="K4524" s="846"/>
      <c r="L4524" s="846"/>
      <c r="M4524" s="846"/>
      <c r="N4524" s="846"/>
      <c r="O4524" s="846"/>
      <c r="P4524" s="846"/>
      <c r="Q4524" s="846"/>
      <c r="R4524" s="846"/>
      <c r="S4524" s="846"/>
      <c r="T4524" s="846"/>
    </row>
    <row r="4525" spans="2:20" ht="38.25" hidden="1">
      <c r="B4525" s="828" t="s">
        <v>6547</v>
      </c>
      <c r="C4525" s="828">
        <v>96814</v>
      </c>
      <c r="D4525" s="630" t="s">
        <v>2518</v>
      </c>
      <c r="E4525" s="630" t="s">
        <v>646</v>
      </c>
      <c r="F4525" s="829">
        <v>9.89</v>
      </c>
      <c r="G4525" s="830">
        <v>5.4</v>
      </c>
      <c r="H4525" s="831">
        <v>15.29</v>
      </c>
      <c r="I4525" s="846"/>
      <c r="J4525" s="846"/>
      <c r="K4525" s="846"/>
      <c r="L4525" s="846"/>
      <c r="M4525" s="846"/>
      <c r="N4525" s="846"/>
      <c r="O4525" s="846"/>
      <c r="P4525" s="846"/>
      <c r="Q4525" s="846"/>
      <c r="R4525" s="846"/>
      <c r="S4525" s="846"/>
      <c r="T4525" s="846"/>
    </row>
    <row r="4526" spans="2:20" ht="38.25" hidden="1">
      <c r="B4526" s="828" t="s">
        <v>6547</v>
      </c>
      <c r="C4526" s="828">
        <v>96815</v>
      </c>
      <c r="D4526" s="630" t="s">
        <v>2519</v>
      </c>
      <c r="E4526" s="630" t="s">
        <v>646</v>
      </c>
      <c r="F4526" s="829">
        <v>18.190000000000001</v>
      </c>
      <c r="G4526" s="830">
        <v>6.47</v>
      </c>
      <c r="H4526" s="831">
        <v>24.66</v>
      </c>
      <c r="I4526" s="846"/>
      <c r="J4526" s="846"/>
      <c r="K4526" s="846"/>
      <c r="L4526" s="846"/>
      <c r="M4526" s="846"/>
      <c r="N4526" s="846"/>
      <c r="O4526" s="846"/>
      <c r="P4526" s="846"/>
      <c r="Q4526" s="846"/>
      <c r="R4526" s="846"/>
      <c r="S4526" s="846"/>
      <c r="T4526" s="846"/>
    </row>
    <row r="4527" spans="2:20" ht="38.25" hidden="1">
      <c r="B4527" s="828" t="s">
        <v>6547</v>
      </c>
      <c r="C4527" s="828">
        <v>96816</v>
      </c>
      <c r="D4527" s="630" t="s">
        <v>2520</v>
      </c>
      <c r="E4527" s="630" t="s">
        <v>646</v>
      </c>
      <c r="F4527" s="829">
        <v>14.32</v>
      </c>
      <c r="G4527" s="830">
        <v>6.47</v>
      </c>
      <c r="H4527" s="831">
        <v>20.79</v>
      </c>
      <c r="I4527" s="846"/>
      <c r="J4527" s="846"/>
      <c r="K4527" s="846"/>
      <c r="L4527" s="846"/>
      <c r="M4527" s="846"/>
      <c r="N4527" s="846"/>
      <c r="O4527" s="846"/>
      <c r="P4527" s="846"/>
      <c r="Q4527" s="846"/>
      <c r="R4527" s="846"/>
      <c r="S4527" s="846"/>
      <c r="T4527" s="846"/>
    </row>
    <row r="4528" spans="2:20" ht="38.25" hidden="1">
      <c r="B4528" s="828" t="s">
        <v>6547</v>
      </c>
      <c r="C4528" s="828">
        <v>96817</v>
      </c>
      <c r="D4528" s="630" t="s">
        <v>2521</v>
      </c>
      <c r="E4528" s="630" t="s">
        <v>646</v>
      </c>
      <c r="F4528" s="829">
        <v>16.78</v>
      </c>
      <c r="G4528" s="830">
        <v>6.47</v>
      </c>
      <c r="H4528" s="831">
        <v>23.25</v>
      </c>
      <c r="I4528" s="846"/>
      <c r="J4528" s="846"/>
      <c r="K4528" s="846"/>
      <c r="L4528" s="846"/>
      <c r="M4528" s="846"/>
      <c r="N4528" s="846"/>
      <c r="O4528" s="846"/>
      <c r="P4528" s="846"/>
      <c r="Q4528" s="846"/>
      <c r="R4528" s="846"/>
      <c r="S4528" s="846"/>
      <c r="T4528" s="846"/>
    </row>
    <row r="4529" spans="2:20" ht="25.5" hidden="1">
      <c r="B4529" s="828" t="s">
        <v>6547</v>
      </c>
      <c r="C4529" s="828">
        <v>96818</v>
      </c>
      <c r="D4529" s="630" t="s">
        <v>2522</v>
      </c>
      <c r="E4529" s="630" t="s">
        <v>646</v>
      </c>
      <c r="F4529" s="829">
        <v>15.38</v>
      </c>
      <c r="G4529" s="830">
        <v>6.47</v>
      </c>
      <c r="H4529" s="831">
        <v>21.85</v>
      </c>
      <c r="I4529" s="846"/>
      <c r="J4529" s="846"/>
      <c r="K4529" s="846"/>
      <c r="L4529" s="846"/>
      <c r="M4529" s="846"/>
      <c r="N4529" s="846"/>
      <c r="O4529" s="846"/>
      <c r="P4529" s="846"/>
      <c r="Q4529" s="846"/>
      <c r="R4529" s="846"/>
      <c r="S4529" s="846"/>
      <c r="T4529" s="846"/>
    </row>
    <row r="4530" spans="2:20" ht="25.5" hidden="1">
      <c r="B4530" s="828" t="s">
        <v>6547</v>
      </c>
      <c r="C4530" s="828">
        <v>96819</v>
      </c>
      <c r="D4530" s="630" t="s">
        <v>2523</v>
      </c>
      <c r="E4530" s="630" t="s">
        <v>646</v>
      </c>
      <c r="F4530" s="829">
        <v>15.38</v>
      </c>
      <c r="G4530" s="830">
        <v>6.47</v>
      </c>
      <c r="H4530" s="831">
        <v>21.85</v>
      </c>
      <c r="I4530" s="846"/>
      <c r="J4530" s="846"/>
      <c r="K4530" s="846"/>
      <c r="L4530" s="846"/>
      <c r="M4530" s="846"/>
      <c r="N4530" s="846"/>
      <c r="O4530" s="846"/>
      <c r="P4530" s="846"/>
      <c r="Q4530" s="846"/>
      <c r="R4530" s="846"/>
      <c r="S4530" s="846"/>
      <c r="T4530" s="846"/>
    </row>
    <row r="4531" spans="2:20" ht="38.25" hidden="1">
      <c r="B4531" s="828" t="s">
        <v>6547</v>
      </c>
      <c r="C4531" s="828">
        <v>96820</v>
      </c>
      <c r="D4531" s="630" t="s">
        <v>2524</v>
      </c>
      <c r="E4531" s="630" t="s">
        <v>646</v>
      </c>
      <c r="F4531" s="829">
        <v>30.16</v>
      </c>
      <c r="G4531" s="830">
        <v>7.92</v>
      </c>
      <c r="H4531" s="831">
        <v>38.08</v>
      </c>
      <c r="I4531" s="846"/>
      <c r="J4531" s="846"/>
      <c r="K4531" s="846"/>
      <c r="L4531" s="846"/>
      <c r="M4531" s="846"/>
      <c r="N4531" s="846"/>
      <c r="O4531" s="846"/>
      <c r="P4531" s="846"/>
      <c r="Q4531" s="846"/>
      <c r="R4531" s="846"/>
      <c r="S4531" s="846"/>
      <c r="T4531" s="846"/>
    </row>
    <row r="4532" spans="2:20" ht="38.25" hidden="1">
      <c r="B4532" s="828" t="s">
        <v>6547</v>
      </c>
      <c r="C4532" s="828">
        <v>96821</v>
      </c>
      <c r="D4532" s="630" t="s">
        <v>2525</v>
      </c>
      <c r="E4532" s="630" t="s">
        <v>646</v>
      </c>
      <c r="F4532" s="829">
        <v>25.03</v>
      </c>
      <c r="G4532" s="830">
        <v>7.92</v>
      </c>
      <c r="H4532" s="831">
        <v>32.950000000000003</v>
      </c>
      <c r="I4532" s="846"/>
      <c r="J4532" s="846"/>
      <c r="K4532" s="846"/>
      <c r="L4532" s="846"/>
      <c r="M4532" s="846"/>
      <c r="N4532" s="846"/>
      <c r="O4532" s="846"/>
      <c r="P4532" s="846"/>
      <c r="Q4532" s="846"/>
      <c r="R4532" s="846"/>
      <c r="S4532" s="846"/>
      <c r="T4532" s="846"/>
    </row>
    <row r="4533" spans="2:20" ht="25.5" hidden="1">
      <c r="B4533" s="828" t="s">
        <v>6547</v>
      </c>
      <c r="C4533" s="828">
        <v>96822</v>
      </c>
      <c r="D4533" s="630" t="s">
        <v>2526</v>
      </c>
      <c r="E4533" s="630" t="s">
        <v>646</v>
      </c>
      <c r="F4533" s="829">
        <v>25.42</v>
      </c>
      <c r="G4533" s="830">
        <v>7.92</v>
      </c>
      <c r="H4533" s="831">
        <v>33.340000000000003</v>
      </c>
      <c r="I4533" s="846"/>
      <c r="J4533" s="846"/>
      <c r="K4533" s="846"/>
      <c r="L4533" s="846"/>
      <c r="M4533" s="846"/>
      <c r="N4533" s="846"/>
      <c r="O4533" s="846"/>
      <c r="P4533" s="846"/>
      <c r="Q4533" s="846"/>
      <c r="R4533" s="846"/>
      <c r="S4533" s="846"/>
      <c r="T4533" s="846"/>
    </row>
    <row r="4534" spans="2:20" ht="25.5" hidden="1">
      <c r="B4534" s="828" t="s">
        <v>6547</v>
      </c>
      <c r="C4534" s="828">
        <v>96823</v>
      </c>
      <c r="D4534" s="630" t="s">
        <v>2527</v>
      </c>
      <c r="E4534" s="630" t="s">
        <v>646</v>
      </c>
      <c r="F4534" s="829">
        <v>10.38</v>
      </c>
      <c r="G4534" s="830">
        <v>3.45</v>
      </c>
      <c r="H4534" s="831">
        <v>13.83</v>
      </c>
      <c r="I4534" s="846"/>
      <c r="J4534" s="846"/>
      <c r="K4534" s="846"/>
      <c r="L4534" s="846"/>
      <c r="M4534" s="846"/>
      <c r="N4534" s="846"/>
      <c r="O4534" s="846"/>
      <c r="P4534" s="846"/>
      <c r="Q4534" s="846"/>
      <c r="R4534" s="846"/>
      <c r="S4534" s="846"/>
      <c r="T4534" s="846"/>
    </row>
    <row r="4535" spans="2:20" ht="38.25" hidden="1">
      <c r="B4535" s="828" t="s">
        <v>6547</v>
      </c>
      <c r="C4535" s="828">
        <v>96824</v>
      </c>
      <c r="D4535" s="630" t="s">
        <v>2528</v>
      </c>
      <c r="E4535" s="630" t="s">
        <v>646</v>
      </c>
      <c r="F4535" s="829">
        <v>11.96</v>
      </c>
      <c r="G4535" s="830">
        <v>3.45</v>
      </c>
      <c r="H4535" s="831">
        <v>15.41</v>
      </c>
      <c r="I4535" s="846"/>
      <c r="J4535" s="846"/>
      <c r="K4535" s="846"/>
      <c r="L4535" s="846"/>
      <c r="M4535" s="846"/>
      <c r="N4535" s="846"/>
      <c r="O4535" s="846"/>
      <c r="P4535" s="846"/>
      <c r="Q4535" s="846"/>
      <c r="R4535" s="846"/>
      <c r="S4535" s="846"/>
      <c r="T4535" s="846"/>
    </row>
    <row r="4536" spans="2:20" ht="38.25" hidden="1">
      <c r="B4536" s="828" t="s">
        <v>6547</v>
      </c>
      <c r="C4536" s="828">
        <v>96825</v>
      </c>
      <c r="D4536" s="630" t="s">
        <v>2529</v>
      </c>
      <c r="E4536" s="630" t="s">
        <v>646</v>
      </c>
      <c r="F4536" s="829">
        <v>16.89</v>
      </c>
      <c r="G4536" s="830">
        <v>3.45</v>
      </c>
      <c r="H4536" s="831">
        <v>20.34</v>
      </c>
      <c r="I4536" s="846"/>
      <c r="J4536" s="846"/>
      <c r="K4536" s="846"/>
      <c r="L4536" s="846"/>
      <c r="M4536" s="846"/>
      <c r="N4536" s="846"/>
      <c r="O4536" s="846"/>
      <c r="P4536" s="846"/>
      <c r="Q4536" s="846"/>
      <c r="R4536" s="846"/>
      <c r="S4536" s="846"/>
      <c r="T4536" s="846"/>
    </row>
    <row r="4537" spans="2:20" ht="25.5" hidden="1">
      <c r="B4537" s="828" t="s">
        <v>6547</v>
      </c>
      <c r="C4537" s="828">
        <v>96826</v>
      </c>
      <c r="D4537" s="630" t="s">
        <v>2530</v>
      </c>
      <c r="E4537" s="630" t="s">
        <v>646</v>
      </c>
      <c r="F4537" s="829">
        <v>14.75</v>
      </c>
      <c r="G4537" s="830">
        <v>4.13</v>
      </c>
      <c r="H4537" s="831">
        <v>18.88</v>
      </c>
      <c r="I4537" s="846"/>
      <c r="J4537" s="846"/>
      <c r="K4537" s="846"/>
      <c r="L4537" s="846"/>
      <c r="M4537" s="846"/>
      <c r="N4537" s="846"/>
      <c r="O4537" s="846"/>
      <c r="P4537" s="846"/>
      <c r="Q4537" s="846"/>
      <c r="R4537" s="846"/>
      <c r="S4537" s="846"/>
      <c r="T4537" s="846"/>
    </row>
    <row r="4538" spans="2:20" ht="38.25" hidden="1">
      <c r="B4538" s="828" t="s">
        <v>6547</v>
      </c>
      <c r="C4538" s="828">
        <v>96827</v>
      </c>
      <c r="D4538" s="630" t="s">
        <v>2531</v>
      </c>
      <c r="E4538" s="630" t="s">
        <v>646</v>
      </c>
      <c r="F4538" s="829">
        <v>15.39</v>
      </c>
      <c r="G4538" s="830">
        <v>4.13</v>
      </c>
      <c r="H4538" s="831">
        <v>19.52</v>
      </c>
      <c r="I4538" s="846"/>
      <c r="J4538" s="846"/>
      <c r="K4538" s="846"/>
      <c r="L4538" s="846"/>
      <c r="M4538" s="846"/>
      <c r="N4538" s="846"/>
      <c r="O4538" s="846"/>
      <c r="P4538" s="846"/>
      <c r="Q4538" s="846"/>
      <c r="R4538" s="846"/>
      <c r="S4538" s="846"/>
      <c r="T4538" s="846"/>
    </row>
    <row r="4539" spans="2:20" ht="38.25" hidden="1">
      <c r="B4539" s="828" t="s">
        <v>6547</v>
      </c>
      <c r="C4539" s="828">
        <v>96828</v>
      </c>
      <c r="D4539" s="630" t="s">
        <v>2532</v>
      </c>
      <c r="E4539" s="630" t="s">
        <v>646</v>
      </c>
      <c r="F4539" s="829">
        <v>19.920000000000002</v>
      </c>
      <c r="G4539" s="830">
        <v>4.13</v>
      </c>
      <c r="H4539" s="831">
        <v>24.05</v>
      </c>
      <c r="I4539" s="846"/>
      <c r="J4539" s="846"/>
      <c r="K4539" s="846"/>
      <c r="L4539" s="846"/>
      <c r="M4539" s="846"/>
      <c r="N4539" s="846"/>
      <c r="O4539" s="846"/>
      <c r="P4539" s="846"/>
      <c r="Q4539" s="846"/>
      <c r="R4539" s="846"/>
      <c r="S4539" s="846"/>
      <c r="T4539" s="846"/>
    </row>
    <row r="4540" spans="2:20" ht="25.5" hidden="1">
      <c r="B4540" s="828" t="s">
        <v>6547</v>
      </c>
      <c r="C4540" s="828">
        <v>96829</v>
      </c>
      <c r="D4540" s="630" t="s">
        <v>2533</v>
      </c>
      <c r="E4540" s="630" t="s">
        <v>646</v>
      </c>
      <c r="F4540" s="829">
        <v>14.72</v>
      </c>
      <c r="G4540" s="830">
        <v>4.13</v>
      </c>
      <c r="H4540" s="831">
        <v>18.850000000000001</v>
      </c>
      <c r="I4540" s="846"/>
      <c r="J4540" s="846"/>
      <c r="K4540" s="846"/>
      <c r="L4540" s="846"/>
      <c r="M4540" s="846"/>
      <c r="N4540" s="846"/>
      <c r="O4540" s="846"/>
      <c r="P4540" s="846"/>
      <c r="Q4540" s="846"/>
      <c r="R4540" s="846"/>
      <c r="S4540" s="846"/>
      <c r="T4540" s="846"/>
    </row>
    <row r="4541" spans="2:20" ht="25.5" hidden="1">
      <c r="B4541" s="828" t="s">
        <v>6547</v>
      </c>
      <c r="C4541" s="828">
        <v>96830</v>
      </c>
      <c r="D4541" s="630" t="s">
        <v>2534</v>
      </c>
      <c r="E4541" s="630" t="s">
        <v>646</v>
      </c>
      <c r="F4541" s="829">
        <v>22.02</v>
      </c>
      <c r="G4541" s="830">
        <v>4.92</v>
      </c>
      <c r="H4541" s="831">
        <v>26.94</v>
      </c>
      <c r="I4541" s="846"/>
      <c r="J4541" s="846"/>
      <c r="K4541" s="846"/>
      <c r="L4541" s="846"/>
      <c r="M4541" s="846"/>
      <c r="N4541" s="846"/>
      <c r="O4541" s="846"/>
      <c r="P4541" s="846"/>
      <c r="Q4541" s="846"/>
      <c r="R4541" s="846"/>
      <c r="S4541" s="846"/>
      <c r="T4541" s="846"/>
    </row>
    <row r="4542" spans="2:20" ht="38.25" hidden="1">
      <c r="B4542" s="828" t="s">
        <v>6547</v>
      </c>
      <c r="C4542" s="828">
        <v>96831</v>
      </c>
      <c r="D4542" s="630" t="s">
        <v>2535</v>
      </c>
      <c r="E4542" s="630" t="s">
        <v>646</v>
      </c>
      <c r="F4542" s="829">
        <v>17.45</v>
      </c>
      <c r="G4542" s="830">
        <v>4.92</v>
      </c>
      <c r="H4542" s="831">
        <v>22.37</v>
      </c>
      <c r="I4542" s="846"/>
      <c r="J4542" s="846"/>
      <c r="K4542" s="846"/>
      <c r="L4542" s="846"/>
      <c r="M4542" s="846"/>
      <c r="N4542" s="846"/>
      <c r="O4542" s="846"/>
      <c r="P4542" s="846"/>
      <c r="Q4542" s="846"/>
      <c r="R4542" s="846"/>
      <c r="S4542" s="846"/>
      <c r="T4542" s="846"/>
    </row>
    <row r="4543" spans="2:20" ht="38.25" hidden="1">
      <c r="B4543" s="828" t="s">
        <v>6547</v>
      </c>
      <c r="C4543" s="828">
        <v>96832</v>
      </c>
      <c r="D4543" s="630" t="s">
        <v>2536</v>
      </c>
      <c r="E4543" s="630" t="s">
        <v>646</v>
      </c>
      <c r="F4543" s="829">
        <v>20.6</v>
      </c>
      <c r="G4543" s="830">
        <v>4.92</v>
      </c>
      <c r="H4543" s="831">
        <v>25.52</v>
      </c>
      <c r="I4543" s="846"/>
      <c r="J4543" s="846"/>
      <c r="K4543" s="846"/>
      <c r="L4543" s="846"/>
      <c r="M4543" s="846"/>
      <c r="N4543" s="846"/>
      <c r="O4543" s="846"/>
      <c r="P4543" s="846"/>
      <c r="Q4543" s="846"/>
      <c r="R4543" s="846"/>
      <c r="S4543" s="846"/>
      <c r="T4543" s="846"/>
    </row>
    <row r="4544" spans="2:20" ht="25.5" hidden="1">
      <c r="B4544" s="828" t="s">
        <v>6547</v>
      </c>
      <c r="C4544" s="828">
        <v>96833</v>
      </c>
      <c r="D4544" s="630" t="s">
        <v>2537</v>
      </c>
      <c r="E4544" s="630" t="s">
        <v>646</v>
      </c>
      <c r="F4544" s="829">
        <v>19.11</v>
      </c>
      <c r="G4544" s="830">
        <v>4.92</v>
      </c>
      <c r="H4544" s="831">
        <v>24.03</v>
      </c>
      <c r="I4544" s="846"/>
      <c r="J4544" s="846"/>
      <c r="K4544" s="846"/>
      <c r="L4544" s="846"/>
      <c r="M4544" s="846"/>
      <c r="N4544" s="846"/>
      <c r="O4544" s="846"/>
      <c r="P4544" s="846"/>
      <c r="Q4544" s="846"/>
      <c r="R4544" s="846"/>
      <c r="S4544" s="846"/>
      <c r="T4544" s="846"/>
    </row>
    <row r="4545" spans="2:20" ht="25.5" hidden="1">
      <c r="B4545" s="828" t="s">
        <v>6547</v>
      </c>
      <c r="C4545" s="828">
        <v>96834</v>
      </c>
      <c r="D4545" s="630" t="s">
        <v>2538</v>
      </c>
      <c r="E4545" s="630" t="s">
        <v>646</v>
      </c>
      <c r="F4545" s="829">
        <v>32.74</v>
      </c>
      <c r="G4545" s="830">
        <v>6.03</v>
      </c>
      <c r="H4545" s="831">
        <v>38.770000000000003</v>
      </c>
      <c r="I4545" s="846"/>
      <c r="J4545" s="846"/>
      <c r="K4545" s="846"/>
      <c r="L4545" s="846"/>
      <c r="M4545" s="846"/>
      <c r="N4545" s="846"/>
      <c r="O4545" s="846"/>
      <c r="P4545" s="846"/>
      <c r="Q4545" s="846"/>
      <c r="R4545" s="846"/>
      <c r="S4545" s="846"/>
      <c r="T4545" s="846"/>
    </row>
    <row r="4546" spans="2:20" ht="38.25" hidden="1">
      <c r="B4546" s="828" t="s">
        <v>6547</v>
      </c>
      <c r="C4546" s="828">
        <v>96835</v>
      </c>
      <c r="D4546" s="630" t="s">
        <v>2539</v>
      </c>
      <c r="E4546" s="630" t="s">
        <v>646</v>
      </c>
      <c r="F4546" s="829">
        <v>27.85</v>
      </c>
      <c r="G4546" s="830">
        <v>6.03</v>
      </c>
      <c r="H4546" s="831">
        <v>33.880000000000003</v>
      </c>
      <c r="I4546" s="846"/>
      <c r="J4546" s="846"/>
      <c r="K4546" s="846"/>
      <c r="L4546" s="846"/>
      <c r="M4546" s="846"/>
      <c r="N4546" s="846"/>
      <c r="O4546" s="846"/>
      <c r="P4546" s="846"/>
      <c r="Q4546" s="846"/>
      <c r="R4546" s="846"/>
      <c r="S4546" s="846"/>
      <c r="T4546" s="846"/>
    </row>
    <row r="4547" spans="2:20" ht="25.5" hidden="1">
      <c r="B4547" s="828" t="s">
        <v>6547</v>
      </c>
      <c r="C4547" s="828">
        <v>96836</v>
      </c>
      <c r="D4547" s="630" t="s">
        <v>2540</v>
      </c>
      <c r="E4547" s="630" t="s">
        <v>646</v>
      </c>
      <c r="F4547" s="829">
        <v>29.88</v>
      </c>
      <c r="G4547" s="830">
        <v>6.03</v>
      </c>
      <c r="H4547" s="831">
        <v>35.909999999999997</v>
      </c>
      <c r="I4547" s="846"/>
      <c r="J4547" s="846"/>
      <c r="K4547" s="846"/>
      <c r="L4547" s="846"/>
      <c r="M4547" s="846"/>
      <c r="N4547" s="846"/>
      <c r="O4547" s="846"/>
      <c r="P4547" s="846"/>
      <c r="Q4547" s="846"/>
      <c r="R4547" s="846"/>
      <c r="S4547" s="846"/>
      <c r="T4547" s="846"/>
    </row>
    <row r="4548" spans="2:20" ht="38.25" hidden="1">
      <c r="B4548" s="828" t="s">
        <v>6547</v>
      </c>
      <c r="C4548" s="828">
        <v>96837</v>
      </c>
      <c r="D4548" s="630" t="s">
        <v>2541</v>
      </c>
      <c r="E4548" s="630" t="s">
        <v>646</v>
      </c>
      <c r="F4548" s="829">
        <v>14.2</v>
      </c>
      <c r="G4548" s="830">
        <v>6.82</v>
      </c>
      <c r="H4548" s="831">
        <v>21.02</v>
      </c>
      <c r="I4548" s="846"/>
      <c r="J4548" s="846"/>
      <c r="K4548" s="846"/>
      <c r="L4548" s="846"/>
      <c r="M4548" s="846"/>
      <c r="N4548" s="846"/>
      <c r="O4548" s="846"/>
      <c r="P4548" s="846"/>
      <c r="Q4548" s="846"/>
      <c r="R4548" s="846"/>
      <c r="S4548" s="846"/>
      <c r="T4548" s="846"/>
    </row>
    <row r="4549" spans="2:20" ht="38.25" hidden="1">
      <c r="B4549" s="828" t="s">
        <v>6547</v>
      </c>
      <c r="C4549" s="828">
        <v>96838</v>
      </c>
      <c r="D4549" s="630" t="s">
        <v>2542</v>
      </c>
      <c r="E4549" s="630" t="s">
        <v>646</v>
      </c>
      <c r="F4549" s="829">
        <v>12.74</v>
      </c>
      <c r="G4549" s="830">
        <v>6.82</v>
      </c>
      <c r="H4549" s="831">
        <v>19.559999999999999</v>
      </c>
      <c r="I4549" s="846"/>
      <c r="J4549" s="846"/>
      <c r="K4549" s="846"/>
      <c r="L4549" s="846"/>
      <c r="M4549" s="846"/>
      <c r="N4549" s="846"/>
      <c r="O4549" s="846"/>
      <c r="P4549" s="846"/>
      <c r="Q4549" s="846"/>
      <c r="R4549" s="846"/>
      <c r="S4549" s="846"/>
      <c r="T4549" s="846"/>
    </row>
    <row r="4550" spans="2:20" ht="38.25" hidden="1">
      <c r="B4550" s="828" t="s">
        <v>6547</v>
      </c>
      <c r="C4550" s="828">
        <v>96839</v>
      </c>
      <c r="D4550" s="630" t="s">
        <v>2543</v>
      </c>
      <c r="E4550" s="630" t="s">
        <v>646</v>
      </c>
      <c r="F4550" s="829">
        <v>12.48</v>
      </c>
      <c r="G4550" s="830">
        <v>6.82</v>
      </c>
      <c r="H4550" s="831">
        <v>19.3</v>
      </c>
      <c r="I4550" s="846"/>
      <c r="J4550" s="846"/>
      <c r="K4550" s="846"/>
      <c r="L4550" s="846"/>
      <c r="M4550" s="846"/>
      <c r="N4550" s="846"/>
      <c r="O4550" s="846"/>
      <c r="P4550" s="846"/>
      <c r="Q4550" s="846"/>
      <c r="R4550" s="846"/>
      <c r="S4550" s="846"/>
      <c r="T4550" s="846"/>
    </row>
    <row r="4551" spans="2:20" ht="38.25" hidden="1">
      <c r="B4551" s="828" t="s">
        <v>6547</v>
      </c>
      <c r="C4551" s="828">
        <v>96840</v>
      </c>
      <c r="D4551" s="630" t="s">
        <v>2544</v>
      </c>
      <c r="E4551" s="630" t="s">
        <v>646</v>
      </c>
      <c r="F4551" s="829">
        <v>16.52</v>
      </c>
      <c r="G4551" s="830">
        <v>8.11</v>
      </c>
      <c r="H4551" s="831">
        <v>24.63</v>
      </c>
      <c r="I4551" s="846"/>
      <c r="J4551" s="846"/>
      <c r="K4551" s="846"/>
      <c r="L4551" s="846"/>
      <c r="M4551" s="846"/>
      <c r="N4551" s="846"/>
      <c r="O4551" s="846"/>
      <c r="P4551" s="846"/>
      <c r="Q4551" s="846"/>
      <c r="R4551" s="846"/>
      <c r="S4551" s="846"/>
      <c r="T4551" s="846"/>
    </row>
    <row r="4552" spans="2:20" ht="38.25" hidden="1">
      <c r="B4552" s="828" t="s">
        <v>6547</v>
      </c>
      <c r="C4552" s="828">
        <v>96841</v>
      </c>
      <c r="D4552" s="630" t="s">
        <v>2545</v>
      </c>
      <c r="E4552" s="630" t="s">
        <v>646</v>
      </c>
      <c r="F4552" s="829">
        <v>13.88</v>
      </c>
      <c r="G4552" s="830">
        <v>8.1199999999999992</v>
      </c>
      <c r="H4552" s="831">
        <v>22</v>
      </c>
      <c r="I4552" s="846"/>
      <c r="J4552" s="846"/>
      <c r="K4552" s="846"/>
      <c r="L4552" s="846"/>
      <c r="M4552" s="846"/>
      <c r="N4552" s="846"/>
      <c r="O4552" s="846"/>
      <c r="P4552" s="846"/>
      <c r="Q4552" s="846"/>
      <c r="R4552" s="846"/>
      <c r="S4552" s="846"/>
      <c r="T4552" s="846"/>
    </row>
    <row r="4553" spans="2:20" ht="38.25" hidden="1">
      <c r="B4553" s="828" t="s">
        <v>6547</v>
      </c>
      <c r="C4553" s="828">
        <v>96842</v>
      </c>
      <c r="D4553" s="630" t="s">
        <v>2546</v>
      </c>
      <c r="E4553" s="630" t="s">
        <v>646</v>
      </c>
      <c r="F4553" s="829">
        <v>18.93</v>
      </c>
      <c r="G4553" s="830">
        <v>8.11</v>
      </c>
      <c r="H4553" s="831">
        <v>27.04</v>
      </c>
      <c r="I4553" s="846"/>
      <c r="J4553" s="846"/>
      <c r="K4553" s="846"/>
      <c r="L4553" s="846"/>
      <c r="M4553" s="846"/>
      <c r="N4553" s="846"/>
      <c r="O4553" s="846"/>
      <c r="P4553" s="846"/>
      <c r="Q4553" s="846"/>
      <c r="R4553" s="846"/>
      <c r="S4553" s="846"/>
      <c r="T4553" s="846"/>
    </row>
    <row r="4554" spans="2:20" ht="38.25" hidden="1">
      <c r="B4554" s="828" t="s">
        <v>6547</v>
      </c>
      <c r="C4554" s="828">
        <v>96843</v>
      </c>
      <c r="D4554" s="630" t="s">
        <v>2547</v>
      </c>
      <c r="E4554" s="630" t="s">
        <v>646</v>
      </c>
      <c r="F4554" s="829">
        <v>18.03</v>
      </c>
      <c r="G4554" s="830">
        <v>8.11</v>
      </c>
      <c r="H4554" s="831">
        <v>26.14</v>
      </c>
      <c r="I4554" s="846"/>
      <c r="J4554" s="846"/>
      <c r="K4554" s="846"/>
      <c r="L4554" s="846"/>
      <c r="M4554" s="846"/>
      <c r="N4554" s="846"/>
      <c r="O4554" s="846"/>
      <c r="P4554" s="846"/>
      <c r="Q4554" s="846"/>
      <c r="R4554" s="846"/>
      <c r="S4554" s="846"/>
      <c r="T4554" s="846"/>
    </row>
    <row r="4555" spans="2:20" ht="38.25" hidden="1">
      <c r="B4555" s="828" t="s">
        <v>6547</v>
      </c>
      <c r="C4555" s="828">
        <v>96844</v>
      </c>
      <c r="D4555" s="630" t="s">
        <v>2548</v>
      </c>
      <c r="E4555" s="630" t="s">
        <v>646</v>
      </c>
      <c r="F4555" s="829">
        <v>26.23</v>
      </c>
      <c r="G4555" s="830">
        <v>8.11</v>
      </c>
      <c r="H4555" s="831">
        <v>34.340000000000003</v>
      </c>
      <c r="I4555" s="846"/>
      <c r="J4555" s="846"/>
      <c r="K4555" s="846"/>
      <c r="L4555" s="846"/>
      <c r="M4555" s="846"/>
      <c r="N4555" s="846"/>
      <c r="O4555" s="846"/>
      <c r="P4555" s="846"/>
      <c r="Q4555" s="846"/>
      <c r="R4555" s="846"/>
      <c r="S4555" s="846"/>
      <c r="T4555" s="846"/>
    </row>
    <row r="4556" spans="2:20" ht="38.25" hidden="1">
      <c r="B4556" s="828" t="s">
        <v>6547</v>
      </c>
      <c r="C4556" s="828">
        <v>96845</v>
      </c>
      <c r="D4556" s="630" t="s">
        <v>2549</v>
      </c>
      <c r="E4556" s="630" t="s">
        <v>646</v>
      </c>
      <c r="F4556" s="829">
        <v>27.53</v>
      </c>
      <c r="G4556" s="830">
        <v>9.69</v>
      </c>
      <c r="H4556" s="831">
        <v>37.22</v>
      </c>
      <c r="I4556" s="846"/>
      <c r="J4556" s="846"/>
      <c r="K4556" s="846"/>
      <c r="L4556" s="846"/>
      <c r="M4556" s="846"/>
      <c r="N4556" s="846"/>
      <c r="O4556" s="846"/>
      <c r="P4556" s="846"/>
      <c r="Q4556" s="846"/>
      <c r="R4556" s="846"/>
      <c r="S4556" s="846"/>
      <c r="T4556" s="846"/>
    </row>
    <row r="4557" spans="2:20" ht="38.25" hidden="1">
      <c r="B4557" s="828" t="s">
        <v>6547</v>
      </c>
      <c r="C4557" s="828">
        <v>96846</v>
      </c>
      <c r="D4557" s="630" t="s">
        <v>2550</v>
      </c>
      <c r="E4557" s="630" t="s">
        <v>646</v>
      </c>
      <c r="F4557" s="829">
        <v>20.5</v>
      </c>
      <c r="G4557" s="830">
        <v>9.6999999999999993</v>
      </c>
      <c r="H4557" s="831">
        <v>30.2</v>
      </c>
      <c r="I4557" s="846"/>
      <c r="J4557" s="846"/>
      <c r="K4557" s="846"/>
      <c r="L4557" s="846"/>
      <c r="M4557" s="846"/>
      <c r="N4557" s="846"/>
      <c r="O4557" s="846"/>
      <c r="P4557" s="846"/>
      <c r="Q4557" s="846"/>
      <c r="R4557" s="846"/>
      <c r="S4557" s="846"/>
      <c r="T4557" s="846"/>
    </row>
    <row r="4558" spans="2:20" ht="38.25" hidden="1">
      <c r="B4558" s="828" t="s">
        <v>6547</v>
      </c>
      <c r="C4558" s="828">
        <v>96847</v>
      </c>
      <c r="D4558" s="630" t="s">
        <v>2551</v>
      </c>
      <c r="E4558" s="630" t="s">
        <v>646</v>
      </c>
      <c r="F4558" s="829">
        <v>23.08</v>
      </c>
      <c r="G4558" s="830">
        <v>9.69</v>
      </c>
      <c r="H4558" s="831">
        <v>32.770000000000003</v>
      </c>
      <c r="I4558" s="846"/>
      <c r="J4558" s="846"/>
      <c r="K4558" s="846"/>
      <c r="L4558" s="846"/>
      <c r="M4558" s="846"/>
      <c r="N4558" s="846"/>
      <c r="O4558" s="846"/>
      <c r="P4558" s="846"/>
      <c r="Q4558" s="846"/>
      <c r="R4558" s="846"/>
      <c r="S4558" s="846"/>
      <c r="T4558" s="846"/>
    </row>
    <row r="4559" spans="2:20" ht="38.25" hidden="1">
      <c r="B4559" s="828" t="s">
        <v>6547</v>
      </c>
      <c r="C4559" s="828">
        <v>96848</v>
      </c>
      <c r="D4559" s="630" t="s">
        <v>2552</v>
      </c>
      <c r="E4559" s="630" t="s">
        <v>646</v>
      </c>
      <c r="F4559" s="829">
        <v>36.07</v>
      </c>
      <c r="G4559" s="830">
        <v>11.88</v>
      </c>
      <c r="H4559" s="831">
        <v>47.95</v>
      </c>
      <c r="I4559" s="846"/>
      <c r="J4559" s="846"/>
      <c r="K4559" s="846"/>
      <c r="L4559" s="846"/>
      <c r="M4559" s="846"/>
      <c r="N4559" s="846"/>
      <c r="O4559" s="846"/>
      <c r="P4559" s="846"/>
      <c r="Q4559" s="846"/>
      <c r="R4559" s="846"/>
      <c r="S4559" s="846"/>
      <c r="T4559" s="846"/>
    </row>
    <row r="4560" spans="2:20" ht="25.5" hidden="1">
      <c r="B4560" s="828" t="s">
        <v>6547</v>
      </c>
      <c r="C4560" s="828">
        <v>96849</v>
      </c>
      <c r="D4560" s="630" t="s">
        <v>2553</v>
      </c>
      <c r="E4560" s="630" t="s">
        <v>646</v>
      </c>
      <c r="F4560" s="829">
        <v>12.59</v>
      </c>
      <c r="G4560" s="830">
        <v>5.23</v>
      </c>
      <c r="H4560" s="831">
        <v>17.82</v>
      </c>
      <c r="I4560" s="846"/>
      <c r="J4560" s="846"/>
      <c r="K4560" s="846"/>
      <c r="L4560" s="846"/>
      <c r="M4560" s="846"/>
      <c r="N4560" s="846"/>
      <c r="O4560" s="846"/>
      <c r="P4560" s="846"/>
      <c r="Q4560" s="846"/>
      <c r="R4560" s="846"/>
      <c r="S4560" s="846"/>
      <c r="T4560" s="846"/>
    </row>
    <row r="4561" spans="2:20" ht="38.25" hidden="1">
      <c r="B4561" s="828" t="s">
        <v>6547</v>
      </c>
      <c r="C4561" s="828">
        <v>96850</v>
      </c>
      <c r="D4561" s="630" t="s">
        <v>2554</v>
      </c>
      <c r="E4561" s="630" t="s">
        <v>646</v>
      </c>
      <c r="F4561" s="829">
        <v>15.21</v>
      </c>
      <c r="G4561" s="830">
        <v>5.23</v>
      </c>
      <c r="H4561" s="831">
        <v>20.440000000000001</v>
      </c>
      <c r="I4561" s="846"/>
      <c r="J4561" s="846"/>
      <c r="K4561" s="846"/>
      <c r="L4561" s="846"/>
      <c r="M4561" s="846"/>
      <c r="N4561" s="846"/>
      <c r="O4561" s="846"/>
      <c r="P4561" s="846"/>
      <c r="Q4561" s="846"/>
      <c r="R4561" s="846"/>
      <c r="S4561" s="846"/>
      <c r="T4561" s="846"/>
    </row>
    <row r="4562" spans="2:20" ht="38.25" hidden="1">
      <c r="B4562" s="828" t="s">
        <v>6547</v>
      </c>
      <c r="C4562" s="828">
        <v>96851</v>
      </c>
      <c r="D4562" s="630" t="s">
        <v>2555</v>
      </c>
      <c r="E4562" s="630" t="s">
        <v>646</v>
      </c>
      <c r="F4562" s="829">
        <v>21.1</v>
      </c>
      <c r="G4562" s="830">
        <v>5.22</v>
      </c>
      <c r="H4562" s="831">
        <v>26.32</v>
      </c>
      <c r="I4562" s="846"/>
      <c r="J4562" s="846"/>
      <c r="K4562" s="846"/>
      <c r="L4562" s="846"/>
      <c r="M4562" s="846"/>
      <c r="N4562" s="846"/>
      <c r="O4562" s="846"/>
      <c r="P4562" s="846"/>
      <c r="Q4562" s="846"/>
      <c r="R4562" s="846"/>
      <c r="S4562" s="846"/>
      <c r="T4562" s="846"/>
    </row>
    <row r="4563" spans="2:20" ht="25.5" hidden="1">
      <c r="B4563" s="828" t="s">
        <v>6547</v>
      </c>
      <c r="C4563" s="828">
        <v>96852</v>
      </c>
      <c r="D4563" s="630" t="s">
        <v>2556</v>
      </c>
      <c r="E4563" s="630" t="s">
        <v>646</v>
      </c>
      <c r="F4563" s="829">
        <v>17.190000000000001</v>
      </c>
      <c r="G4563" s="830">
        <v>6.17</v>
      </c>
      <c r="H4563" s="831">
        <v>23.36</v>
      </c>
      <c r="I4563" s="846"/>
      <c r="J4563" s="846"/>
      <c r="K4563" s="846"/>
      <c r="L4563" s="846"/>
      <c r="M4563" s="846"/>
      <c r="N4563" s="846"/>
      <c r="O4563" s="846"/>
      <c r="P4563" s="846"/>
      <c r="Q4563" s="846"/>
      <c r="R4563" s="846"/>
      <c r="S4563" s="846"/>
      <c r="T4563" s="846"/>
    </row>
    <row r="4564" spans="2:20" ht="38.25" hidden="1">
      <c r="B4564" s="828" t="s">
        <v>6547</v>
      </c>
      <c r="C4564" s="828">
        <v>96853</v>
      </c>
      <c r="D4564" s="630" t="s">
        <v>2557</v>
      </c>
      <c r="E4564" s="630" t="s">
        <v>646</v>
      </c>
      <c r="F4564" s="829">
        <v>19.760000000000002</v>
      </c>
      <c r="G4564" s="830">
        <v>6.17</v>
      </c>
      <c r="H4564" s="831">
        <v>25.93</v>
      </c>
      <c r="I4564" s="846"/>
      <c r="J4564" s="846"/>
      <c r="K4564" s="846"/>
      <c r="L4564" s="846"/>
      <c r="M4564" s="846"/>
      <c r="N4564" s="846"/>
      <c r="O4564" s="846"/>
      <c r="P4564" s="846"/>
      <c r="Q4564" s="846"/>
      <c r="R4564" s="846"/>
      <c r="S4564" s="846"/>
      <c r="T4564" s="846"/>
    </row>
    <row r="4565" spans="2:20" ht="38.25" hidden="1">
      <c r="B4565" s="828" t="s">
        <v>6547</v>
      </c>
      <c r="C4565" s="828">
        <v>96854</v>
      </c>
      <c r="D4565" s="630" t="s">
        <v>2558</v>
      </c>
      <c r="E4565" s="630" t="s">
        <v>646</v>
      </c>
      <c r="F4565" s="829">
        <v>24.3</v>
      </c>
      <c r="G4565" s="830">
        <v>6.17</v>
      </c>
      <c r="H4565" s="831">
        <v>30.47</v>
      </c>
      <c r="I4565" s="846"/>
      <c r="J4565" s="846"/>
      <c r="K4565" s="846"/>
      <c r="L4565" s="846"/>
      <c r="M4565" s="846"/>
      <c r="N4565" s="846"/>
      <c r="O4565" s="846"/>
      <c r="P4565" s="846"/>
      <c r="Q4565" s="846"/>
      <c r="R4565" s="846"/>
      <c r="S4565" s="846"/>
      <c r="T4565" s="846"/>
    </row>
    <row r="4566" spans="2:20" ht="25.5" hidden="1">
      <c r="B4566" s="828" t="s">
        <v>6547</v>
      </c>
      <c r="C4566" s="828">
        <v>96855</v>
      </c>
      <c r="D4566" s="630" t="s">
        <v>2559</v>
      </c>
      <c r="E4566" s="630" t="s">
        <v>646</v>
      </c>
      <c r="F4566" s="829">
        <v>21.48</v>
      </c>
      <c r="G4566" s="830">
        <v>7.4</v>
      </c>
      <c r="H4566" s="831">
        <v>28.88</v>
      </c>
      <c r="I4566" s="846"/>
      <c r="J4566" s="846"/>
      <c r="K4566" s="846"/>
      <c r="L4566" s="846"/>
      <c r="M4566" s="846"/>
      <c r="N4566" s="846"/>
      <c r="O4566" s="846"/>
      <c r="P4566" s="846"/>
      <c r="Q4566" s="846"/>
      <c r="R4566" s="846"/>
      <c r="S4566" s="846"/>
      <c r="T4566" s="846"/>
    </row>
    <row r="4567" spans="2:20" ht="38.25" hidden="1">
      <c r="B4567" s="828" t="s">
        <v>6547</v>
      </c>
      <c r="C4567" s="828">
        <v>96856</v>
      </c>
      <c r="D4567" s="630" t="s">
        <v>2560</v>
      </c>
      <c r="E4567" s="630" t="s">
        <v>646</v>
      </c>
      <c r="F4567" s="829">
        <v>21.85</v>
      </c>
      <c r="G4567" s="830">
        <v>7.4</v>
      </c>
      <c r="H4567" s="831">
        <v>29.25</v>
      </c>
      <c r="I4567" s="846"/>
      <c r="J4567" s="846"/>
      <c r="K4567" s="846"/>
      <c r="L4567" s="846"/>
      <c r="M4567" s="846"/>
      <c r="N4567" s="846"/>
      <c r="O4567" s="846"/>
      <c r="P4567" s="846"/>
      <c r="Q4567" s="846"/>
      <c r="R4567" s="846"/>
      <c r="S4567" s="846"/>
      <c r="T4567" s="846"/>
    </row>
    <row r="4568" spans="2:20" ht="38.25" hidden="1">
      <c r="B4568" s="828" t="s">
        <v>6547</v>
      </c>
      <c r="C4568" s="828">
        <v>96857</v>
      </c>
      <c r="D4568" s="630" t="s">
        <v>2561</v>
      </c>
      <c r="E4568" s="630" t="s">
        <v>646</v>
      </c>
      <c r="F4568" s="829">
        <v>37.22</v>
      </c>
      <c r="G4568" s="830">
        <v>7.4</v>
      </c>
      <c r="H4568" s="831">
        <v>44.62</v>
      </c>
      <c r="I4568" s="846"/>
      <c r="J4568" s="846"/>
      <c r="K4568" s="846"/>
      <c r="L4568" s="846"/>
      <c r="M4568" s="846"/>
      <c r="N4568" s="846"/>
      <c r="O4568" s="846"/>
      <c r="P4568" s="846"/>
      <c r="Q4568" s="846"/>
      <c r="R4568" s="846"/>
      <c r="S4568" s="846"/>
      <c r="T4568" s="846"/>
    </row>
    <row r="4569" spans="2:20" ht="25.5" hidden="1">
      <c r="B4569" s="828" t="s">
        <v>6547</v>
      </c>
      <c r="C4569" s="828">
        <v>96858</v>
      </c>
      <c r="D4569" s="630" t="s">
        <v>2562</v>
      </c>
      <c r="E4569" s="630" t="s">
        <v>646</v>
      </c>
      <c r="F4569" s="829">
        <v>36.729999999999997</v>
      </c>
      <c r="G4569" s="830">
        <v>9.11</v>
      </c>
      <c r="H4569" s="831">
        <v>45.84</v>
      </c>
      <c r="I4569" s="846"/>
      <c r="J4569" s="846"/>
      <c r="K4569" s="846"/>
      <c r="L4569" s="846"/>
      <c r="M4569" s="846"/>
      <c r="N4569" s="846"/>
      <c r="O4569" s="846"/>
      <c r="P4569" s="846"/>
      <c r="Q4569" s="846"/>
      <c r="R4569" s="846"/>
      <c r="S4569" s="846"/>
      <c r="T4569" s="846"/>
    </row>
    <row r="4570" spans="2:20" ht="38.25" hidden="1">
      <c r="B4570" s="828" t="s">
        <v>6547</v>
      </c>
      <c r="C4570" s="828">
        <v>96859</v>
      </c>
      <c r="D4570" s="630" t="s">
        <v>2563</v>
      </c>
      <c r="E4570" s="630" t="s">
        <v>646</v>
      </c>
      <c r="F4570" s="829">
        <v>46.73</v>
      </c>
      <c r="G4570" s="830">
        <v>9.1</v>
      </c>
      <c r="H4570" s="831">
        <v>55.83</v>
      </c>
      <c r="I4570" s="846"/>
      <c r="J4570" s="846"/>
      <c r="K4570" s="846"/>
      <c r="L4570" s="846"/>
      <c r="M4570" s="846"/>
      <c r="N4570" s="846"/>
      <c r="O4570" s="846"/>
      <c r="P4570" s="846"/>
      <c r="Q4570" s="846"/>
      <c r="R4570" s="846"/>
      <c r="S4570" s="846"/>
      <c r="T4570" s="846"/>
    </row>
    <row r="4571" spans="2:20" ht="25.5" hidden="1">
      <c r="B4571" s="828" t="s">
        <v>6547</v>
      </c>
      <c r="C4571" s="828">
        <v>96860</v>
      </c>
      <c r="D4571" s="630" t="s">
        <v>2564</v>
      </c>
      <c r="E4571" s="630" t="s">
        <v>646</v>
      </c>
      <c r="F4571" s="829">
        <v>15.82</v>
      </c>
      <c r="G4571" s="830">
        <v>9.1199999999999992</v>
      </c>
      <c r="H4571" s="831">
        <v>24.94</v>
      </c>
      <c r="I4571" s="846"/>
      <c r="J4571" s="846"/>
      <c r="K4571" s="846"/>
      <c r="L4571" s="846"/>
      <c r="M4571" s="846"/>
      <c r="N4571" s="846"/>
      <c r="O4571" s="846"/>
      <c r="P4571" s="846"/>
      <c r="Q4571" s="846"/>
      <c r="R4571" s="846"/>
      <c r="S4571" s="846"/>
      <c r="T4571" s="846"/>
    </row>
    <row r="4572" spans="2:20" ht="38.25" hidden="1">
      <c r="B4572" s="828" t="s">
        <v>6547</v>
      </c>
      <c r="C4572" s="828">
        <v>96861</v>
      </c>
      <c r="D4572" s="630" t="s">
        <v>2565</v>
      </c>
      <c r="E4572" s="630" t="s">
        <v>646</v>
      </c>
      <c r="F4572" s="829">
        <v>17.48</v>
      </c>
      <c r="G4572" s="830">
        <v>9.1199999999999992</v>
      </c>
      <c r="H4572" s="831">
        <v>26.6</v>
      </c>
      <c r="I4572" s="846"/>
      <c r="J4572" s="846"/>
      <c r="K4572" s="846"/>
      <c r="L4572" s="846"/>
      <c r="M4572" s="846"/>
      <c r="N4572" s="846"/>
      <c r="O4572" s="846"/>
      <c r="P4572" s="846"/>
      <c r="Q4572" s="846"/>
      <c r="R4572" s="846"/>
      <c r="S4572" s="846"/>
      <c r="T4572" s="846"/>
    </row>
    <row r="4573" spans="2:20" ht="25.5" hidden="1">
      <c r="B4573" s="828" t="s">
        <v>6547</v>
      </c>
      <c r="C4573" s="828">
        <v>96862</v>
      </c>
      <c r="D4573" s="630" t="s">
        <v>2566</v>
      </c>
      <c r="E4573" s="630" t="s">
        <v>646</v>
      </c>
      <c r="F4573" s="829">
        <v>19.149999999999999</v>
      </c>
      <c r="G4573" s="830">
        <v>10.82</v>
      </c>
      <c r="H4573" s="831">
        <v>29.97</v>
      </c>
      <c r="I4573" s="846"/>
      <c r="J4573" s="846"/>
      <c r="K4573" s="846"/>
      <c r="L4573" s="846"/>
      <c r="M4573" s="846"/>
      <c r="N4573" s="846"/>
      <c r="O4573" s="846"/>
      <c r="P4573" s="846"/>
      <c r="Q4573" s="846"/>
      <c r="R4573" s="846"/>
      <c r="S4573" s="846"/>
      <c r="T4573" s="846"/>
    </row>
    <row r="4574" spans="2:20" ht="38.25" hidden="1">
      <c r="B4574" s="828" t="s">
        <v>6547</v>
      </c>
      <c r="C4574" s="828">
        <v>96863</v>
      </c>
      <c r="D4574" s="630" t="s">
        <v>2567</v>
      </c>
      <c r="E4574" s="630" t="s">
        <v>646</v>
      </c>
      <c r="F4574" s="829">
        <v>18.88</v>
      </c>
      <c r="G4574" s="830">
        <v>10.82</v>
      </c>
      <c r="H4574" s="831">
        <v>29.7</v>
      </c>
      <c r="I4574" s="846"/>
      <c r="J4574" s="846"/>
      <c r="K4574" s="846"/>
      <c r="L4574" s="846"/>
      <c r="M4574" s="846"/>
      <c r="N4574" s="846"/>
      <c r="O4574" s="846"/>
      <c r="P4574" s="846"/>
      <c r="Q4574" s="846"/>
      <c r="R4574" s="846"/>
      <c r="S4574" s="846"/>
      <c r="T4574" s="846"/>
    </row>
    <row r="4575" spans="2:20" ht="25.5" hidden="1">
      <c r="B4575" s="828" t="s">
        <v>6547</v>
      </c>
      <c r="C4575" s="828">
        <v>96864</v>
      </c>
      <c r="D4575" s="630" t="s">
        <v>2568</v>
      </c>
      <c r="E4575" s="630" t="s">
        <v>646</v>
      </c>
      <c r="F4575" s="829">
        <v>32.24</v>
      </c>
      <c r="G4575" s="830">
        <v>12.91</v>
      </c>
      <c r="H4575" s="831">
        <v>45.15</v>
      </c>
      <c r="I4575" s="846"/>
      <c r="J4575" s="846"/>
      <c r="K4575" s="846"/>
      <c r="L4575" s="846"/>
      <c r="M4575" s="846"/>
      <c r="N4575" s="846"/>
      <c r="O4575" s="846"/>
      <c r="P4575" s="846"/>
      <c r="Q4575" s="846"/>
      <c r="R4575" s="846"/>
      <c r="S4575" s="846"/>
      <c r="T4575" s="846"/>
    </row>
    <row r="4576" spans="2:20" ht="38.25" hidden="1">
      <c r="B4576" s="828" t="s">
        <v>6547</v>
      </c>
      <c r="C4576" s="828">
        <v>96865</v>
      </c>
      <c r="D4576" s="630" t="s">
        <v>2569</v>
      </c>
      <c r="E4576" s="630" t="s">
        <v>646</v>
      </c>
      <c r="F4576" s="829">
        <v>31.43</v>
      </c>
      <c r="G4576" s="830">
        <v>12.91</v>
      </c>
      <c r="H4576" s="831">
        <v>44.34</v>
      </c>
      <c r="I4576" s="846"/>
      <c r="J4576" s="846"/>
      <c r="K4576" s="846"/>
      <c r="L4576" s="846"/>
      <c r="M4576" s="846"/>
      <c r="N4576" s="846"/>
      <c r="O4576" s="846"/>
      <c r="P4576" s="846"/>
      <c r="Q4576" s="846"/>
      <c r="R4576" s="846"/>
      <c r="S4576" s="846"/>
      <c r="T4576" s="846"/>
    </row>
    <row r="4577" spans="2:20" ht="25.5" hidden="1">
      <c r="B4577" s="828" t="s">
        <v>6547</v>
      </c>
      <c r="C4577" s="828">
        <v>96866</v>
      </c>
      <c r="D4577" s="630" t="s">
        <v>2570</v>
      </c>
      <c r="E4577" s="630" t="s">
        <v>646</v>
      </c>
      <c r="F4577" s="829">
        <v>43</v>
      </c>
      <c r="G4577" s="830">
        <v>15.87</v>
      </c>
      <c r="H4577" s="831">
        <v>58.87</v>
      </c>
      <c r="I4577" s="846"/>
      <c r="J4577" s="846"/>
      <c r="K4577" s="846"/>
      <c r="L4577" s="846"/>
      <c r="M4577" s="846"/>
      <c r="N4577" s="846"/>
      <c r="O4577" s="846"/>
      <c r="P4577" s="846"/>
      <c r="Q4577" s="846"/>
      <c r="R4577" s="846"/>
      <c r="S4577" s="846"/>
      <c r="T4577" s="846"/>
    </row>
    <row r="4578" spans="2:20" ht="38.25" hidden="1">
      <c r="B4578" s="828" t="s">
        <v>6547</v>
      </c>
      <c r="C4578" s="828">
        <v>96867</v>
      </c>
      <c r="D4578" s="630" t="s">
        <v>2571</v>
      </c>
      <c r="E4578" s="630" t="s">
        <v>646</v>
      </c>
      <c r="F4578" s="829">
        <v>51.38</v>
      </c>
      <c r="G4578" s="830">
        <v>15.87</v>
      </c>
      <c r="H4578" s="831">
        <v>67.25</v>
      </c>
      <c r="I4578" s="846"/>
      <c r="J4578" s="846"/>
      <c r="K4578" s="846"/>
      <c r="L4578" s="846"/>
      <c r="M4578" s="846"/>
      <c r="N4578" s="846"/>
      <c r="O4578" s="846"/>
      <c r="P4578" s="846"/>
      <c r="Q4578" s="846"/>
      <c r="R4578" s="846"/>
      <c r="S4578" s="846"/>
      <c r="T4578" s="846"/>
    </row>
    <row r="4579" spans="2:20" ht="25.5" hidden="1">
      <c r="B4579" s="828" t="s">
        <v>6547</v>
      </c>
      <c r="C4579" s="828">
        <v>96868</v>
      </c>
      <c r="D4579" s="630" t="s">
        <v>2572</v>
      </c>
      <c r="E4579" s="630" t="s">
        <v>646</v>
      </c>
      <c r="F4579" s="829">
        <v>20.14</v>
      </c>
      <c r="G4579" s="830">
        <v>6.96</v>
      </c>
      <c r="H4579" s="831">
        <v>27.1</v>
      </c>
      <c r="I4579" s="846"/>
      <c r="J4579" s="846"/>
      <c r="K4579" s="846"/>
      <c r="L4579" s="846"/>
      <c r="M4579" s="846"/>
      <c r="N4579" s="846"/>
      <c r="O4579" s="846"/>
      <c r="P4579" s="846"/>
      <c r="Q4579" s="846"/>
      <c r="R4579" s="846"/>
      <c r="S4579" s="846"/>
      <c r="T4579" s="846"/>
    </row>
    <row r="4580" spans="2:20" ht="25.5" hidden="1">
      <c r="B4580" s="828" t="s">
        <v>6547</v>
      </c>
      <c r="C4580" s="828">
        <v>96869</v>
      </c>
      <c r="D4580" s="630" t="s">
        <v>2573</v>
      </c>
      <c r="E4580" s="630" t="s">
        <v>646</v>
      </c>
      <c r="F4580" s="829">
        <v>24.08</v>
      </c>
      <c r="G4580" s="830">
        <v>8.25</v>
      </c>
      <c r="H4580" s="831">
        <v>32.33</v>
      </c>
      <c r="I4580" s="846"/>
      <c r="J4580" s="846"/>
      <c r="K4580" s="846"/>
      <c r="L4580" s="846"/>
      <c r="M4580" s="846"/>
      <c r="N4580" s="846"/>
      <c r="O4580" s="846"/>
      <c r="P4580" s="846"/>
      <c r="Q4580" s="846"/>
      <c r="R4580" s="846"/>
      <c r="S4580" s="846"/>
      <c r="T4580" s="846"/>
    </row>
    <row r="4581" spans="2:20" ht="25.5" hidden="1">
      <c r="B4581" s="828" t="s">
        <v>6547</v>
      </c>
      <c r="C4581" s="828">
        <v>96870</v>
      </c>
      <c r="D4581" s="630" t="s">
        <v>2574</v>
      </c>
      <c r="E4581" s="630" t="s">
        <v>646</v>
      </c>
      <c r="F4581" s="829">
        <v>39.799999999999997</v>
      </c>
      <c r="G4581" s="830">
        <v>9.86</v>
      </c>
      <c r="H4581" s="831">
        <v>49.66</v>
      </c>
      <c r="I4581" s="846"/>
      <c r="J4581" s="846"/>
      <c r="K4581" s="846"/>
      <c r="L4581" s="846"/>
      <c r="M4581" s="846"/>
      <c r="N4581" s="846"/>
      <c r="O4581" s="846"/>
      <c r="P4581" s="846"/>
      <c r="Q4581" s="846"/>
      <c r="R4581" s="846"/>
      <c r="S4581" s="846"/>
      <c r="T4581" s="846"/>
    </row>
    <row r="4582" spans="2:20" ht="25.5" hidden="1">
      <c r="B4582" s="828" t="s">
        <v>6547</v>
      </c>
      <c r="C4582" s="828">
        <v>96871</v>
      </c>
      <c r="D4582" s="630" t="s">
        <v>2575</v>
      </c>
      <c r="E4582" s="630" t="s">
        <v>646</v>
      </c>
      <c r="F4582" s="829">
        <v>58.87</v>
      </c>
      <c r="G4582" s="830">
        <v>12.12</v>
      </c>
      <c r="H4582" s="831">
        <v>70.989999999999995</v>
      </c>
      <c r="I4582" s="846"/>
      <c r="J4582" s="846"/>
      <c r="K4582" s="846"/>
      <c r="L4582" s="846"/>
      <c r="M4582" s="846"/>
      <c r="N4582" s="846"/>
      <c r="O4582" s="846"/>
      <c r="P4582" s="846"/>
      <c r="Q4582" s="846"/>
      <c r="R4582" s="846"/>
      <c r="S4582" s="846"/>
      <c r="T4582" s="846"/>
    </row>
    <row r="4583" spans="2:20" ht="38.25" hidden="1">
      <c r="B4583" s="828" t="s">
        <v>6547</v>
      </c>
      <c r="C4583" s="828">
        <v>96872</v>
      </c>
      <c r="D4583" s="630" t="s">
        <v>2576</v>
      </c>
      <c r="E4583" s="630" t="s">
        <v>646</v>
      </c>
      <c r="F4583" s="829">
        <v>51.46</v>
      </c>
      <c r="G4583" s="830">
        <v>19.55</v>
      </c>
      <c r="H4583" s="831">
        <v>71.010000000000005</v>
      </c>
      <c r="I4583" s="846"/>
      <c r="J4583" s="846"/>
      <c r="K4583" s="846"/>
      <c r="L4583" s="846"/>
      <c r="M4583" s="846"/>
      <c r="N4583" s="846"/>
      <c r="O4583" s="846"/>
      <c r="P4583" s="846"/>
      <c r="Q4583" s="846"/>
      <c r="R4583" s="846"/>
      <c r="S4583" s="846"/>
      <c r="T4583" s="846"/>
    </row>
    <row r="4584" spans="2:20" ht="38.25" hidden="1">
      <c r="B4584" s="828" t="s">
        <v>6547</v>
      </c>
      <c r="C4584" s="828">
        <v>96873</v>
      </c>
      <c r="D4584" s="630" t="s">
        <v>2577</v>
      </c>
      <c r="E4584" s="630" t="s">
        <v>646</v>
      </c>
      <c r="F4584" s="829">
        <v>60.71</v>
      </c>
      <c r="G4584" s="830">
        <v>19.55</v>
      </c>
      <c r="H4584" s="831">
        <v>80.260000000000005</v>
      </c>
      <c r="I4584" s="846"/>
      <c r="J4584" s="846"/>
      <c r="K4584" s="846"/>
      <c r="L4584" s="846"/>
      <c r="M4584" s="846"/>
      <c r="N4584" s="846"/>
      <c r="O4584" s="846"/>
      <c r="P4584" s="846"/>
      <c r="Q4584" s="846"/>
      <c r="R4584" s="846"/>
      <c r="S4584" s="846"/>
      <c r="T4584" s="846"/>
    </row>
    <row r="4585" spans="2:20" ht="38.25" hidden="1">
      <c r="B4585" s="828" t="s">
        <v>6547</v>
      </c>
      <c r="C4585" s="828">
        <v>96874</v>
      </c>
      <c r="D4585" s="630" t="s">
        <v>2578</v>
      </c>
      <c r="E4585" s="630" t="s">
        <v>646</v>
      </c>
      <c r="F4585" s="829">
        <v>61.23</v>
      </c>
      <c r="G4585" s="830">
        <v>25.59</v>
      </c>
      <c r="H4585" s="831">
        <v>86.82</v>
      </c>
      <c r="I4585" s="846"/>
      <c r="J4585" s="846"/>
      <c r="K4585" s="846"/>
      <c r="L4585" s="846"/>
      <c r="M4585" s="846"/>
      <c r="N4585" s="846"/>
      <c r="O4585" s="846"/>
      <c r="P4585" s="846"/>
      <c r="Q4585" s="846"/>
      <c r="R4585" s="846"/>
      <c r="S4585" s="846"/>
      <c r="T4585" s="846"/>
    </row>
    <row r="4586" spans="2:20" ht="38.25" hidden="1">
      <c r="B4586" s="828" t="s">
        <v>6547</v>
      </c>
      <c r="C4586" s="828">
        <v>96875</v>
      </c>
      <c r="D4586" s="630" t="s">
        <v>2579</v>
      </c>
      <c r="E4586" s="630" t="s">
        <v>646</v>
      </c>
      <c r="F4586" s="829">
        <v>76.11</v>
      </c>
      <c r="G4586" s="830">
        <v>25.59</v>
      </c>
      <c r="H4586" s="831">
        <v>101.7</v>
      </c>
      <c r="I4586" s="846"/>
      <c r="J4586" s="846"/>
      <c r="K4586" s="846"/>
      <c r="L4586" s="846"/>
      <c r="M4586" s="846"/>
      <c r="N4586" s="846"/>
      <c r="O4586" s="846"/>
      <c r="P4586" s="846"/>
      <c r="Q4586" s="846"/>
      <c r="R4586" s="846"/>
      <c r="S4586" s="846"/>
      <c r="T4586" s="846"/>
    </row>
    <row r="4587" spans="2:20" ht="38.25" hidden="1">
      <c r="B4587" s="828" t="s">
        <v>6547</v>
      </c>
      <c r="C4587" s="828">
        <v>96876</v>
      </c>
      <c r="D4587" s="630" t="s">
        <v>2580</v>
      </c>
      <c r="E4587" s="630" t="s">
        <v>646</v>
      </c>
      <c r="F4587" s="829">
        <v>156.4</v>
      </c>
      <c r="G4587" s="830">
        <v>14.95</v>
      </c>
      <c r="H4587" s="831">
        <v>171.35</v>
      </c>
      <c r="I4587" s="846"/>
      <c r="J4587" s="846"/>
      <c r="K4587" s="846"/>
      <c r="L4587" s="846"/>
      <c r="M4587" s="846"/>
      <c r="N4587" s="846"/>
      <c r="O4587" s="846"/>
      <c r="P4587" s="846"/>
      <c r="Q4587" s="846"/>
      <c r="R4587" s="846"/>
      <c r="S4587" s="846"/>
      <c r="T4587" s="846"/>
    </row>
    <row r="4588" spans="2:20" ht="38.25" hidden="1">
      <c r="B4588" s="828" t="s">
        <v>6547</v>
      </c>
      <c r="C4588" s="828">
        <v>96877</v>
      </c>
      <c r="D4588" s="630" t="s">
        <v>2581</v>
      </c>
      <c r="E4588" s="630" t="s">
        <v>646</v>
      </c>
      <c r="F4588" s="829">
        <v>167.2</v>
      </c>
      <c r="G4588" s="830">
        <v>14.95</v>
      </c>
      <c r="H4588" s="831">
        <v>182.15</v>
      </c>
      <c r="I4588" s="846"/>
      <c r="J4588" s="846"/>
      <c r="K4588" s="846"/>
      <c r="L4588" s="846"/>
      <c r="M4588" s="846"/>
      <c r="N4588" s="846"/>
      <c r="O4588" s="846"/>
      <c r="P4588" s="846"/>
      <c r="Q4588" s="846"/>
      <c r="R4588" s="846"/>
      <c r="S4588" s="846"/>
      <c r="T4588" s="846"/>
    </row>
    <row r="4589" spans="2:20" ht="38.25" hidden="1">
      <c r="B4589" s="828" t="s">
        <v>6547</v>
      </c>
      <c r="C4589" s="828">
        <v>96878</v>
      </c>
      <c r="D4589" s="630" t="s">
        <v>2582</v>
      </c>
      <c r="E4589" s="630" t="s">
        <v>646</v>
      </c>
      <c r="F4589" s="829">
        <v>169.22</v>
      </c>
      <c r="G4589" s="830">
        <v>14.95</v>
      </c>
      <c r="H4589" s="831">
        <v>184.17</v>
      </c>
      <c r="I4589" s="846"/>
      <c r="J4589" s="846"/>
      <c r="K4589" s="846"/>
      <c r="L4589" s="846"/>
      <c r="M4589" s="846"/>
      <c r="N4589" s="846"/>
      <c r="O4589" s="846"/>
      <c r="P4589" s="846"/>
      <c r="Q4589" s="846"/>
      <c r="R4589" s="846"/>
      <c r="S4589" s="846"/>
      <c r="T4589" s="846"/>
    </row>
    <row r="4590" spans="2:20" ht="38.25" hidden="1">
      <c r="B4590" s="828" t="s">
        <v>6547</v>
      </c>
      <c r="C4590" s="828">
        <v>96879</v>
      </c>
      <c r="D4590" s="630" t="s">
        <v>2583</v>
      </c>
      <c r="E4590" s="630" t="s">
        <v>646</v>
      </c>
      <c r="F4590" s="829">
        <v>167.35</v>
      </c>
      <c r="G4590" s="830">
        <v>19.57</v>
      </c>
      <c r="H4590" s="831">
        <v>186.92</v>
      </c>
      <c r="I4590" s="846"/>
      <c r="J4590" s="846"/>
      <c r="K4590" s="846"/>
      <c r="L4590" s="846"/>
      <c r="M4590" s="846"/>
      <c r="N4590" s="846"/>
      <c r="O4590" s="846"/>
      <c r="P4590" s="846"/>
      <c r="Q4590" s="846"/>
      <c r="R4590" s="846"/>
      <c r="S4590" s="846"/>
      <c r="T4590" s="846"/>
    </row>
    <row r="4591" spans="2:20" ht="38.25" hidden="1">
      <c r="B4591" s="828" t="s">
        <v>6547</v>
      </c>
      <c r="C4591" s="828">
        <v>96880</v>
      </c>
      <c r="D4591" s="630" t="s">
        <v>2584</v>
      </c>
      <c r="E4591" s="630" t="s">
        <v>646</v>
      </c>
      <c r="F4591" s="829">
        <v>191.53</v>
      </c>
      <c r="G4591" s="830">
        <v>19.57</v>
      </c>
      <c r="H4591" s="831">
        <v>211.1</v>
      </c>
      <c r="I4591" s="846"/>
      <c r="J4591" s="846"/>
      <c r="K4591" s="846"/>
      <c r="L4591" s="846"/>
      <c r="M4591" s="846"/>
      <c r="N4591" s="846"/>
      <c r="O4591" s="846"/>
      <c r="P4591" s="846"/>
      <c r="Q4591" s="846"/>
      <c r="R4591" s="846"/>
      <c r="S4591" s="846"/>
      <c r="T4591" s="846"/>
    </row>
    <row r="4592" spans="2:20" ht="38.25" hidden="1">
      <c r="B4592" s="828" t="s">
        <v>6547</v>
      </c>
      <c r="C4592" s="828">
        <v>96881</v>
      </c>
      <c r="D4592" s="630" t="s">
        <v>2585</v>
      </c>
      <c r="E4592" s="630" t="s">
        <v>646</v>
      </c>
      <c r="F4592" s="829">
        <v>202.48</v>
      </c>
      <c r="G4592" s="830">
        <v>19.57</v>
      </c>
      <c r="H4592" s="831">
        <v>222.05</v>
      </c>
      <c r="I4592" s="846"/>
      <c r="J4592" s="846"/>
      <c r="K4592" s="846"/>
      <c r="L4592" s="846"/>
      <c r="M4592" s="846"/>
      <c r="N4592" s="846"/>
      <c r="O4592" s="846"/>
      <c r="P4592" s="846"/>
      <c r="Q4592" s="846"/>
      <c r="R4592" s="846"/>
      <c r="S4592" s="846"/>
      <c r="T4592" s="846"/>
    </row>
    <row r="4593" spans="2:20" ht="38.25" hidden="1">
      <c r="B4593" s="828" t="s">
        <v>6547</v>
      </c>
      <c r="C4593" s="828">
        <v>97425</v>
      </c>
      <c r="D4593" s="630" t="s">
        <v>2907</v>
      </c>
      <c r="E4593" s="630" t="s">
        <v>646</v>
      </c>
      <c r="F4593" s="829">
        <v>22.74</v>
      </c>
      <c r="G4593" s="830">
        <v>11.22</v>
      </c>
      <c r="H4593" s="831">
        <v>33.96</v>
      </c>
      <c r="I4593" s="846"/>
      <c r="J4593" s="846"/>
      <c r="K4593" s="846"/>
      <c r="L4593" s="846"/>
      <c r="M4593" s="846"/>
      <c r="N4593" s="846"/>
      <c r="O4593" s="846"/>
      <c r="P4593" s="846"/>
      <c r="Q4593" s="846"/>
      <c r="R4593" s="846"/>
      <c r="S4593" s="846"/>
      <c r="T4593" s="846"/>
    </row>
    <row r="4594" spans="2:20" ht="38.25" hidden="1">
      <c r="B4594" s="828" t="s">
        <v>6547</v>
      </c>
      <c r="C4594" s="828">
        <v>97426</v>
      </c>
      <c r="D4594" s="630" t="s">
        <v>2908</v>
      </c>
      <c r="E4594" s="630" t="s">
        <v>646</v>
      </c>
      <c r="F4594" s="829">
        <v>29.79</v>
      </c>
      <c r="G4594" s="830">
        <v>11.22</v>
      </c>
      <c r="H4594" s="831">
        <v>41.01</v>
      </c>
      <c r="I4594" s="846"/>
      <c r="J4594" s="846"/>
      <c r="K4594" s="846"/>
      <c r="L4594" s="846"/>
      <c r="M4594" s="846"/>
      <c r="N4594" s="846"/>
      <c r="O4594" s="846"/>
      <c r="P4594" s="846"/>
      <c r="Q4594" s="846"/>
      <c r="R4594" s="846"/>
      <c r="S4594" s="846"/>
      <c r="T4594" s="846"/>
    </row>
    <row r="4595" spans="2:20" ht="38.25" hidden="1">
      <c r="B4595" s="828" t="s">
        <v>6547</v>
      </c>
      <c r="C4595" s="828">
        <v>97427</v>
      </c>
      <c r="D4595" s="630" t="s">
        <v>2909</v>
      </c>
      <c r="E4595" s="630" t="s">
        <v>646</v>
      </c>
      <c r="F4595" s="829">
        <v>35.14</v>
      </c>
      <c r="G4595" s="830">
        <v>11.21</v>
      </c>
      <c r="H4595" s="831">
        <v>46.35</v>
      </c>
      <c r="I4595" s="846"/>
      <c r="J4595" s="846"/>
      <c r="K4595" s="846"/>
      <c r="L4595" s="846"/>
      <c r="M4595" s="846"/>
      <c r="N4595" s="846"/>
      <c r="O4595" s="846"/>
      <c r="P4595" s="846"/>
      <c r="Q4595" s="846"/>
      <c r="R4595" s="846"/>
      <c r="S4595" s="846"/>
      <c r="T4595" s="846"/>
    </row>
    <row r="4596" spans="2:20" ht="38.25" hidden="1">
      <c r="B4596" s="828" t="s">
        <v>6547</v>
      </c>
      <c r="C4596" s="828">
        <v>97428</v>
      </c>
      <c r="D4596" s="630" t="s">
        <v>2910</v>
      </c>
      <c r="E4596" s="630" t="s">
        <v>646</v>
      </c>
      <c r="F4596" s="829">
        <v>47.51</v>
      </c>
      <c r="G4596" s="830">
        <v>11.21</v>
      </c>
      <c r="H4596" s="831">
        <v>58.72</v>
      </c>
      <c r="I4596" s="846"/>
      <c r="J4596" s="846"/>
      <c r="K4596" s="846"/>
      <c r="L4596" s="846"/>
      <c r="M4596" s="846"/>
      <c r="N4596" s="846"/>
      <c r="O4596" s="846"/>
      <c r="P4596" s="846"/>
      <c r="Q4596" s="846"/>
      <c r="R4596" s="846"/>
      <c r="S4596" s="846"/>
      <c r="T4596" s="846"/>
    </row>
    <row r="4597" spans="2:20" ht="38.25" hidden="1">
      <c r="B4597" s="828" t="s">
        <v>6547</v>
      </c>
      <c r="C4597" s="828">
        <v>97429</v>
      </c>
      <c r="D4597" s="630" t="s">
        <v>2911</v>
      </c>
      <c r="E4597" s="630" t="s">
        <v>646</v>
      </c>
      <c r="F4597" s="829">
        <v>58.9</v>
      </c>
      <c r="G4597" s="830">
        <v>11.21</v>
      </c>
      <c r="H4597" s="831">
        <v>70.11</v>
      </c>
      <c r="I4597" s="846"/>
      <c r="J4597" s="846"/>
      <c r="K4597" s="846"/>
      <c r="L4597" s="846"/>
      <c r="M4597" s="846"/>
      <c r="N4597" s="846"/>
      <c r="O4597" s="846"/>
      <c r="P4597" s="846"/>
      <c r="Q4597" s="846"/>
      <c r="R4597" s="846"/>
      <c r="S4597" s="846"/>
      <c r="T4597" s="846"/>
    </row>
    <row r="4598" spans="2:20" ht="25.5" hidden="1">
      <c r="B4598" s="828" t="s">
        <v>6547</v>
      </c>
      <c r="C4598" s="828">
        <v>97430</v>
      </c>
      <c r="D4598" s="630" t="s">
        <v>5098</v>
      </c>
      <c r="E4598" s="630" t="s">
        <v>646</v>
      </c>
      <c r="F4598" s="829">
        <v>31.42</v>
      </c>
      <c r="G4598" s="830">
        <v>15.35</v>
      </c>
      <c r="H4598" s="831">
        <v>46.77</v>
      </c>
      <c r="I4598" s="846"/>
      <c r="J4598" s="846"/>
      <c r="K4598" s="846"/>
      <c r="L4598" s="846"/>
      <c r="M4598" s="846"/>
      <c r="N4598" s="846"/>
      <c r="O4598" s="846"/>
      <c r="P4598" s="846"/>
      <c r="Q4598" s="846"/>
      <c r="R4598" s="846"/>
      <c r="S4598" s="846"/>
      <c r="T4598" s="846"/>
    </row>
    <row r="4599" spans="2:20" ht="25.5" hidden="1">
      <c r="B4599" s="828" t="s">
        <v>6547</v>
      </c>
      <c r="C4599" s="828">
        <v>97431</v>
      </c>
      <c r="D4599" s="630" t="s">
        <v>5099</v>
      </c>
      <c r="E4599" s="630" t="s">
        <v>646</v>
      </c>
      <c r="F4599" s="829">
        <v>34.450000000000003</v>
      </c>
      <c r="G4599" s="830">
        <v>17.7</v>
      </c>
      <c r="H4599" s="831">
        <v>52.15</v>
      </c>
      <c r="I4599" s="846"/>
      <c r="J4599" s="846"/>
      <c r="K4599" s="846"/>
      <c r="L4599" s="846"/>
      <c r="M4599" s="846"/>
      <c r="N4599" s="846"/>
      <c r="O4599" s="846"/>
      <c r="P4599" s="846"/>
      <c r="Q4599" s="846"/>
      <c r="R4599" s="846"/>
      <c r="S4599" s="846"/>
      <c r="T4599" s="846"/>
    </row>
    <row r="4600" spans="2:20" ht="25.5" hidden="1">
      <c r="B4600" s="828" t="s">
        <v>6547</v>
      </c>
      <c r="C4600" s="828">
        <v>97432</v>
      </c>
      <c r="D4600" s="630" t="s">
        <v>5100</v>
      </c>
      <c r="E4600" s="630" t="s">
        <v>646</v>
      </c>
      <c r="F4600" s="829">
        <v>38.81</v>
      </c>
      <c r="G4600" s="830">
        <v>20.02</v>
      </c>
      <c r="H4600" s="831">
        <v>58.83</v>
      </c>
      <c r="I4600" s="846"/>
      <c r="J4600" s="846"/>
      <c r="K4600" s="846"/>
      <c r="L4600" s="846"/>
      <c r="M4600" s="846"/>
      <c r="N4600" s="846"/>
      <c r="O4600" s="846"/>
      <c r="P4600" s="846"/>
      <c r="Q4600" s="846"/>
      <c r="R4600" s="846"/>
      <c r="S4600" s="846"/>
      <c r="T4600" s="846"/>
    </row>
    <row r="4601" spans="2:20" ht="25.5" hidden="1">
      <c r="B4601" s="828" t="s">
        <v>6547</v>
      </c>
      <c r="C4601" s="828">
        <v>97433</v>
      </c>
      <c r="D4601" s="630" t="s">
        <v>5101</v>
      </c>
      <c r="E4601" s="630" t="s">
        <v>646</v>
      </c>
      <c r="F4601" s="829">
        <v>84.24</v>
      </c>
      <c r="G4601" s="830">
        <v>23</v>
      </c>
      <c r="H4601" s="831">
        <v>107.24</v>
      </c>
      <c r="I4601" s="846"/>
      <c r="J4601" s="846"/>
      <c r="K4601" s="846"/>
      <c r="L4601" s="846"/>
      <c r="M4601" s="846"/>
      <c r="N4601" s="846"/>
      <c r="O4601" s="846"/>
      <c r="P4601" s="846"/>
      <c r="Q4601" s="846"/>
      <c r="R4601" s="846"/>
      <c r="S4601" s="846"/>
      <c r="T4601" s="846"/>
    </row>
    <row r="4602" spans="2:20" ht="25.5" hidden="1">
      <c r="B4602" s="828" t="s">
        <v>6547</v>
      </c>
      <c r="C4602" s="828">
        <v>97434</v>
      </c>
      <c r="D4602" s="630" t="s">
        <v>5102</v>
      </c>
      <c r="E4602" s="630" t="s">
        <v>646</v>
      </c>
      <c r="F4602" s="829">
        <v>86.27</v>
      </c>
      <c r="G4602" s="830">
        <v>23</v>
      </c>
      <c r="H4602" s="831">
        <v>109.27</v>
      </c>
      <c r="I4602" s="846"/>
      <c r="J4602" s="846"/>
      <c r="K4602" s="846"/>
      <c r="L4602" s="846"/>
      <c r="M4602" s="846"/>
      <c r="N4602" s="846"/>
      <c r="O4602" s="846"/>
      <c r="P4602" s="846"/>
      <c r="Q4602" s="846"/>
      <c r="R4602" s="846"/>
      <c r="S4602" s="846"/>
      <c r="T4602" s="846"/>
    </row>
    <row r="4603" spans="2:20" ht="25.5" hidden="1">
      <c r="B4603" s="828" t="s">
        <v>6547</v>
      </c>
      <c r="C4603" s="828">
        <v>97435</v>
      </c>
      <c r="D4603" s="630" t="s">
        <v>5103</v>
      </c>
      <c r="E4603" s="630" t="s">
        <v>646</v>
      </c>
      <c r="F4603" s="829">
        <v>98.93</v>
      </c>
      <c r="G4603" s="830">
        <v>26.53</v>
      </c>
      <c r="H4603" s="831">
        <v>125.46</v>
      </c>
      <c r="I4603" s="846"/>
      <c r="J4603" s="846"/>
      <c r="K4603" s="846"/>
      <c r="L4603" s="846"/>
      <c r="M4603" s="846"/>
      <c r="N4603" s="846"/>
      <c r="O4603" s="846"/>
      <c r="P4603" s="846"/>
      <c r="Q4603" s="846"/>
      <c r="R4603" s="846"/>
      <c r="S4603" s="846"/>
      <c r="T4603" s="846"/>
    </row>
    <row r="4604" spans="2:20" ht="25.5" hidden="1">
      <c r="B4604" s="828" t="s">
        <v>6547</v>
      </c>
      <c r="C4604" s="828">
        <v>97436</v>
      </c>
      <c r="D4604" s="630" t="s">
        <v>5104</v>
      </c>
      <c r="E4604" s="630" t="s">
        <v>646</v>
      </c>
      <c r="F4604" s="829">
        <v>102.83</v>
      </c>
      <c r="G4604" s="830">
        <v>26.53</v>
      </c>
      <c r="H4604" s="831">
        <v>129.36000000000001</v>
      </c>
      <c r="I4604" s="846"/>
      <c r="J4604" s="846"/>
      <c r="K4604" s="846"/>
      <c r="L4604" s="846"/>
      <c r="M4604" s="846"/>
      <c r="N4604" s="846"/>
      <c r="O4604" s="846"/>
      <c r="P4604" s="846"/>
      <c r="Q4604" s="846"/>
      <c r="R4604" s="846"/>
      <c r="S4604" s="846"/>
      <c r="T4604" s="846"/>
    </row>
    <row r="4605" spans="2:20" ht="25.5" hidden="1">
      <c r="B4605" s="828" t="s">
        <v>6547</v>
      </c>
      <c r="C4605" s="828">
        <v>97437</v>
      </c>
      <c r="D4605" s="630" t="s">
        <v>5105</v>
      </c>
      <c r="E4605" s="630" t="s">
        <v>646</v>
      </c>
      <c r="F4605" s="829">
        <v>113.55</v>
      </c>
      <c r="G4605" s="830">
        <v>30.04</v>
      </c>
      <c r="H4605" s="831">
        <v>143.59</v>
      </c>
      <c r="I4605" s="846"/>
      <c r="J4605" s="846"/>
      <c r="K4605" s="846"/>
      <c r="L4605" s="846"/>
      <c r="M4605" s="846"/>
      <c r="N4605" s="846"/>
      <c r="O4605" s="846"/>
      <c r="P4605" s="846"/>
      <c r="Q4605" s="846"/>
      <c r="R4605" s="846"/>
      <c r="S4605" s="846"/>
      <c r="T4605" s="846"/>
    </row>
    <row r="4606" spans="2:20" ht="25.5" hidden="1">
      <c r="B4606" s="828" t="s">
        <v>6547</v>
      </c>
      <c r="C4606" s="828">
        <v>97438</v>
      </c>
      <c r="D4606" s="630" t="s">
        <v>5106</v>
      </c>
      <c r="E4606" s="630" t="s">
        <v>646</v>
      </c>
      <c r="F4606" s="829">
        <v>117.73</v>
      </c>
      <c r="G4606" s="830">
        <v>30.04</v>
      </c>
      <c r="H4606" s="831">
        <v>147.77000000000001</v>
      </c>
      <c r="I4606" s="846"/>
      <c r="J4606" s="846"/>
      <c r="K4606" s="846"/>
      <c r="L4606" s="846"/>
      <c r="M4606" s="846"/>
      <c r="N4606" s="846"/>
      <c r="O4606" s="846"/>
      <c r="P4606" s="846"/>
      <c r="Q4606" s="846"/>
      <c r="R4606" s="846"/>
      <c r="S4606" s="846"/>
      <c r="T4606" s="846"/>
    </row>
    <row r="4607" spans="2:20" ht="25.5" hidden="1">
      <c r="B4607" s="828" t="s">
        <v>6547</v>
      </c>
      <c r="C4607" s="828">
        <v>97439</v>
      </c>
      <c r="D4607" s="630" t="s">
        <v>5107</v>
      </c>
      <c r="E4607" s="630" t="s">
        <v>646</v>
      </c>
      <c r="F4607" s="829">
        <v>131.78</v>
      </c>
      <c r="G4607" s="830">
        <v>30.68</v>
      </c>
      <c r="H4607" s="831">
        <v>162.46</v>
      </c>
      <c r="I4607" s="846"/>
      <c r="J4607" s="846"/>
      <c r="K4607" s="846"/>
      <c r="L4607" s="846"/>
      <c r="M4607" s="846"/>
      <c r="N4607" s="846"/>
      <c r="O4607" s="846"/>
      <c r="P4607" s="846"/>
      <c r="Q4607" s="846"/>
      <c r="R4607" s="846"/>
      <c r="S4607" s="846"/>
      <c r="T4607" s="846"/>
    </row>
    <row r="4608" spans="2:20" ht="25.5" hidden="1">
      <c r="B4608" s="828" t="s">
        <v>6547</v>
      </c>
      <c r="C4608" s="828">
        <v>97440</v>
      </c>
      <c r="D4608" s="630" t="s">
        <v>5108</v>
      </c>
      <c r="E4608" s="630" t="s">
        <v>646</v>
      </c>
      <c r="F4608" s="829">
        <v>159.44999999999999</v>
      </c>
      <c r="G4608" s="830">
        <v>35.36</v>
      </c>
      <c r="H4608" s="831">
        <v>194.81</v>
      </c>
      <c r="I4608" s="846"/>
      <c r="J4608" s="846"/>
      <c r="K4608" s="846"/>
      <c r="L4608" s="846"/>
      <c r="M4608" s="846"/>
      <c r="N4608" s="846"/>
      <c r="O4608" s="846"/>
      <c r="P4608" s="846"/>
      <c r="Q4608" s="846"/>
      <c r="R4608" s="846"/>
      <c r="S4608" s="846"/>
      <c r="T4608" s="846"/>
    </row>
    <row r="4609" spans="2:20" ht="25.5" hidden="1">
      <c r="B4609" s="828" t="s">
        <v>6547</v>
      </c>
      <c r="C4609" s="828">
        <v>97442</v>
      </c>
      <c r="D4609" s="630" t="s">
        <v>5109</v>
      </c>
      <c r="E4609" s="630" t="s">
        <v>646</v>
      </c>
      <c r="F4609" s="829">
        <v>175.15</v>
      </c>
      <c r="G4609" s="830">
        <v>40.020000000000003</v>
      </c>
      <c r="H4609" s="831">
        <v>215.17</v>
      </c>
      <c r="I4609" s="846"/>
      <c r="J4609" s="846"/>
      <c r="K4609" s="846"/>
      <c r="L4609" s="846"/>
      <c r="M4609" s="846"/>
      <c r="N4609" s="846"/>
      <c r="O4609" s="846"/>
      <c r="P4609" s="846"/>
      <c r="Q4609" s="846"/>
      <c r="R4609" s="846"/>
      <c r="S4609" s="846"/>
      <c r="T4609" s="846"/>
    </row>
    <row r="4610" spans="2:20" ht="25.5" hidden="1">
      <c r="B4610" s="828" t="s">
        <v>6547</v>
      </c>
      <c r="C4610" s="828">
        <v>97443</v>
      </c>
      <c r="D4610" s="630" t="s">
        <v>5110</v>
      </c>
      <c r="E4610" s="630" t="s">
        <v>646</v>
      </c>
      <c r="F4610" s="829">
        <v>89.83</v>
      </c>
      <c r="G4610" s="830">
        <v>34.590000000000003</v>
      </c>
      <c r="H4610" s="831">
        <v>124.42</v>
      </c>
      <c r="I4610" s="846"/>
      <c r="J4610" s="846"/>
      <c r="K4610" s="846"/>
      <c r="L4610" s="846"/>
      <c r="M4610" s="846"/>
      <c r="N4610" s="846"/>
      <c r="O4610" s="846"/>
      <c r="P4610" s="846"/>
      <c r="Q4610" s="846"/>
      <c r="R4610" s="846"/>
      <c r="S4610" s="846"/>
      <c r="T4610" s="846"/>
    </row>
    <row r="4611" spans="2:20" ht="38.25" hidden="1">
      <c r="B4611" s="828" t="s">
        <v>6547</v>
      </c>
      <c r="C4611" s="828">
        <v>97444</v>
      </c>
      <c r="D4611" s="630" t="s">
        <v>5111</v>
      </c>
      <c r="E4611" s="630" t="s">
        <v>646</v>
      </c>
      <c r="F4611" s="829">
        <v>111.92</v>
      </c>
      <c r="G4611" s="830">
        <v>34.58</v>
      </c>
      <c r="H4611" s="831">
        <v>146.5</v>
      </c>
      <c r="I4611" s="846"/>
      <c r="J4611" s="846"/>
      <c r="K4611" s="846"/>
      <c r="L4611" s="846"/>
      <c r="M4611" s="846"/>
      <c r="N4611" s="846"/>
      <c r="O4611" s="846"/>
      <c r="P4611" s="846"/>
      <c r="Q4611" s="846"/>
      <c r="R4611" s="846"/>
      <c r="S4611" s="846"/>
      <c r="T4611" s="846"/>
    </row>
    <row r="4612" spans="2:20" ht="25.5" hidden="1">
      <c r="B4612" s="828" t="s">
        <v>6547</v>
      </c>
      <c r="C4612" s="828">
        <v>97446</v>
      </c>
      <c r="D4612" s="630" t="s">
        <v>5112</v>
      </c>
      <c r="E4612" s="630" t="s">
        <v>646</v>
      </c>
      <c r="F4612" s="829">
        <v>215.62</v>
      </c>
      <c r="G4612" s="830">
        <v>38.22</v>
      </c>
      <c r="H4612" s="831">
        <v>253.84</v>
      </c>
      <c r="I4612" s="846"/>
      <c r="J4612" s="846"/>
      <c r="K4612" s="846"/>
      <c r="L4612" s="846"/>
      <c r="M4612" s="846"/>
      <c r="N4612" s="846"/>
      <c r="O4612" s="846"/>
      <c r="P4612" s="846"/>
      <c r="Q4612" s="846"/>
      <c r="R4612" s="846"/>
      <c r="S4612" s="846"/>
      <c r="T4612" s="846"/>
    </row>
    <row r="4613" spans="2:20" ht="38.25" hidden="1">
      <c r="B4613" s="828" t="s">
        <v>6547</v>
      </c>
      <c r="C4613" s="828">
        <v>97447</v>
      </c>
      <c r="D4613" s="630" t="s">
        <v>5113</v>
      </c>
      <c r="E4613" s="630" t="s">
        <v>646</v>
      </c>
      <c r="F4613" s="829">
        <v>215.62</v>
      </c>
      <c r="G4613" s="830">
        <v>38.22</v>
      </c>
      <c r="H4613" s="831">
        <v>253.84</v>
      </c>
      <c r="I4613" s="846"/>
      <c r="J4613" s="846"/>
      <c r="K4613" s="846"/>
      <c r="L4613" s="846"/>
      <c r="M4613" s="846"/>
      <c r="N4613" s="846"/>
      <c r="O4613" s="846"/>
      <c r="P4613" s="846"/>
      <c r="Q4613" s="846"/>
      <c r="R4613" s="846"/>
      <c r="S4613" s="846"/>
      <c r="T4613" s="846"/>
    </row>
    <row r="4614" spans="2:20" ht="25.5" hidden="1">
      <c r="B4614" s="828" t="s">
        <v>6547</v>
      </c>
      <c r="C4614" s="828">
        <v>97449</v>
      </c>
      <c r="D4614" s="630" t="s">
        <v>5114</v>
      </c>
      <c r="E4614" s="630" t="s">
        <v>646</v>
      </c>
      <c r="F4614" s="829">
        <v>228.51</v>
      </c>
      <c r="G4614" s="830">
        <v>41.96</v>
      </c>
      <c r="H4614" s="831">
        <v>270.47000000000003</v>
      </c>
      <c r="I4614" s="846"/>
      <c r="J4614" s="846"/>
      <c r="K4614" s="846"/>
      <c r="L4614" s="846"/>
      <c r="M4614" s="846"/>
      <c r="N4614" s="846"/>
      <c r="O4614" s="846"/>
      <c r="P4614" s="846"/>
      <c r="Q4614" s="846"/>
      <c r="R4614" s="846"/>
      <c r="S4614" s="846"/>
      <c r="T4614" s="846"/>
    </row>
    <row r="4615" spans="2:20" ht="38.25" hidden="1">
      <c r="B4615" s="828" t="s">
        <v>6547</v>
      </c>
      <c r="C4615" s="828">
        <v>97450</v>
      </c>
      <c r="D4615" s="630" t="s">
        <v>5115</v>
      </c>
      <c r="E4615" s="630" t="s">
        <v>646</v>
      </c>
      <c r="F4615" s="829">
        <v>288.66000000000003</v>
      </c>
      <c r="G4615" s="830">
        <v>41.96</v>
      </c>
      <c r="H4615" s="831">
        <v>330.62</v>
      </c>
      <c r="I4615" s="846"/>
      <c r="J4615" s="846"/>
      <c r="K4615" s="846"/>
      <c r="L4615" s="846"/>
      <c r="M4615" s="846"/>
      <c r="N4615" s="846"/>
      <c r="O4615" s="846"/>
      <c r="P4615" s="846"/>
      <c r="Q4615" s="846"/>
      <c r="R4615" s="846"/>
      <c r="S4615" s="846"/>
      <c r="T4615" s="846"/>
    </row>
    <row r="4616" spans="2:20" ht="25.5" hidden="1">
      <c r="B4616" s="828" t="s">
        <v>6547</v>
      </c>
      <c r="C4616" s="828">
        <v>97452</v>
      </c>
      <c r="D4616" s="630" t="s">
        <v>5116</v>
      </c>
      <c r="E4616" s="630" t="s">
        <v>646</v>
      </c>
      <c r="F4616" s="829">
        <v>152.72</v>
      </c>
      <c r="G4616" s="830">
        <v>51.84</v>
      </c>
      <c r="H4616" s="831">
        <v>204.56</v>
      </c>
      <c r="I4616" s="846"/>
      <c r="J4616" s="846"/>
      <c r="K4616" s="846"/>
      <c r="L4616" s="846"/>
      <c r="M4616" s="846"/>
      <c r="N4616" s="846"/>
      <c r="O4616" s="846"/>
      <c r="P4616" s="846"/>
      <c r="Q4616" s="846"/>
      <c r="R4616" s="846"/>
      <c r="S4616" s="846"/>
      <c r="T4616" s="846"/>
    </row>
    <row r="4617" spans="2:20" ht="25.5" hidden="1">
      <c r="B4617" s="828" t="s">
        <v>6547</v>
      </c>
      <c r="C4617" s="828">
        <v>97453</v>
      </c>
      <c r="D4617" s="630" t="s">
        <v>5117</v>
      </c>
      <c r="E4617" s="630" t="s">
        <v>646</v>
      </c>
      <c r="F4617" s="829">
        <v>165.34</v>
      </c>
      <c r="G4617" s="830">
        <v>51.83</v>
      </c>
      <c r="H4617" s="831">
        <v>217.17</v>
      </c>
      <c r="I4617" s="846"/>
      <c r="J4617" s="846"/>
      <c r="K4617" s="846"/>
      <c r="L4617" s="846"/>
      <c r="M4617" s="846"/>
      <c r="N4617" s="846"/>
      <c r="O4617" s="846"/>
      <c r="P4617" s="846"/>
      <c r="Q4617" s="846"/>
      <c r="R4617" s="846"/>
      <c r="S4617" s="846"/>
      <c r="T4617" s="846"/>
    </row>
    <row r="4618" spans="2:20" ht="25.5" hidden="1">
      <c r="B4618" s="828" t="s">
        <v>6547</v>
      </c>
      <c r="C4618" s="828">
        <v>97454</v>
      </c>
      <c r="D4618" s="630" t="s">
        <v>5118</v>
      </c>
      <c r="E4618" s="630" t="s">
        <v>646</v>
      </c>
      <c r="F4618" s="829">
        <v>291.25</v>
      </c>
      <c r="G4618" s="830">
        <v>57.39</v>
      </c>
      <c r="H4618" s="831">
        <v>348.64</v>
      </c>
      <c r="I4618" s="846"/>
      <c r="J4618" s="846"/>
      <c r="K4618" s="846"/>
      <c r="L4618" s="846"/>
      <c r="M4618" s="846"/>
      <c r="N4618" s="846"/>
      <c r="O4618" s="846"/>
      <c r="P4618" s="846"/>
      <c r="Q4618" s="846"/>
      <c r="R4618" s="846"/>
      <c r="S4618" s="846"/>
      <c r="T4618" s="846"/>
    </row>
    <row r="4619" spans="2:20" ht="25.5" hidden="1">
      <c r="B4619" s="828" t="s">
        <v>6547</v>
      </c>
      <c r="C4619" s="828">
        <v>97455</v>
      </c>
      <c r="D4619" s="630" t="s">
        <v>5119</v>
      </c>
      <c r="E4619" s="630" t="s">
        <v>646</v>
      </c>
      <c r="F4619" s="829">
        <v>311.42</v>
      </c>
      <c r="G4619" s="830">
        <v>57.39</v>
      </c>
      <c r="H4619" s="831">
        <v>368.81</v>
      </c>
      <c r="I4619" s="846"/>
      <c r="J4619" s="846"/>
      <c r="K4619" s="846"/>
      <c r="L4619" s="846"/>
      <c r="M4619" s="846"/>
      <c r="N4619" s="846"/>
      <c r="O4619" s="846"/>
      <c r="P4619" s="846"/>
      <c r="Q4619" s="846"/>
      <c r="R4619" s="846"/>
      <c r="S4619" s="846"/>
      <c r="T4619" s="846"/>
    </row>
    <row r="4620" spans="2:20" ht="25.5" hidden="1">
      <c r="B4620" s="828" t="s">
        <v>6547</v>
      </c>
      <c r="C4620" s="828">
        <v>97456</v>
      </c>
      <c r="D4620" s="630" t="s">
        <v>5120</v>
      </c>
      <c r="E4620" s="630" t="s">
        <v>646</v>
      </c>
      <c r="F4620" s="829">
        <v>727.24</v>
      </c>
      <c r="G4620" s="830">
        <v>62.92</v>
      </c>
      <c r="H4620" s="831">
        <v>790.16</v>
      </c>
      <c r="I4620" s="846"/>
      <c r="J4620" s="846"/>
      <c r="K4620" s="846"/>
      <c r="L4620" s="846"/>
      <c r="M4620" s="846"/>
      <c r="N4620" s="846"/>
      <c r="O4620" s="846"/>
      <c r="P4620" s="846"/>
      <c r="Q4620" s="846"/>
      <c r="R4620" s="846"/>
      <c r="S4620" s="846"/>
      <c r="T4620" s="846"/>
    </row>
    <row r="4621" spans="2:20" ht="25.5" hidden="1">
      <c r="B4621" s="828" t="s">
        <v>6547</v>
      </c>
      <c r="C4621" s="828">
        <v>97457</v>
      </c>
      <c r="D4621" s="630" t="s">
        <v>5121</v>
      </c>
      <c r="E4621" s="630" t="s">
        <v>646</v>
      </c>
      <c r="F4621" s="829">
        <v>636.78</v>
      </c>
      <c r="G4621" s="830">
        <v>62.92</v>
      </c>
      <c r="H4621" s="831">
        <v>699.7</v>
      </c>
      <c r="I4621" s="846"/>
      <c r="J4621" s="846"/>
      <c r="K4621" s="846"/>
      <c r="L4621" s="846"/>
      <c r="M4621" s="846"/>
      <c r="N4621" s="846"/>
      <c r="O4621" s="846"/>
      <c r="P4621" s="846"/>
      <c r="Q4621" s="846"/>
      <c r="R4621" s="846"/>
      <c r="S4621" s="846"/>
      <c r="T4621" s="846"/>
    </row>
    <row r="4622" spans="2:20" ht="25.5" hidden="1">
      <c r="B4622" s="828" t="s">
        <v>6547</v>
      </c>
      <c r="C4622" s="828">
        <v>97458</v>
      </c>
      <c r="D4622" s="630" t="s">
        <v>5122</v>
      </c>
      <c r="E4622" s="630" t="s">
        <v>646</v>
      </c>
      <c r="F4622" s="829">
        <v>254.3</v>
      </c>
      <c r="G4622" s="830">
        <v>69.16</v>
      </c>
      <c r="H4622" s="831">
        <v>323.45999999999998</v>
      </c>
      <c r="I4622" s="846"/>
      <c r="J4622" s="846"/>
      <c r="K4622" s="846"/>
      <c r="L4622" s="846"/>
      <c r="M4622" s="846"/>
      <c r="N4622" s="846"/>
      <c r="O4622" s="846"/>
      <c r="P4622" s="846"/>
      <c r="Q4622" s="846"/>
      <c r="R4622" s="846"/>
      <c r="S4622" s="846"/>
      <c r="T4622" s="846"/>
    </row>
    <row r="4623" spans="2:20" ht="25.5" hidden="1">
      <c r="B4623" s="828" t="s">
        <v>6547</v>
      </c>
      <c r="C4623" s="828">
        <v>97459</v>
      </c>
      <c r="D4623" s="630" t="s">
        <v>5123</v>
      </c>
      <c r="E4623" s="630" t="s">
        <v>646</v>
      </c>
      <c r="F4623" s="829">
        <v>478.97</v>
      </c>
      <c r="G4623" s="830">
        <v>76.540000000000006</v>
      </c>
      <c r="H4623" s="831">
        <v>555.51</v>
      </c>
      <c r="I4623" s="846"/>
      <c r="J4623" s="846"/>
      <c r="K4623" s="846"/>
      <c r="L4623" s="846"/>
      <c r="M4623" s="846"/>
      <c r="N4623" s="846"/>
      <c r="O4623" s="846"/>
      <c r="P4623" s="846"/>
      <c r="Q4623" s="846"/>
      <c r="R4623" s="846"/>
      <c r="S4623" s="846"/>
      <c r="T4623" s="846"/>
    </row>
    <row r="4624" spans="2:20" ht="25.5" hidden="1">
      <c r="B4624" s="828" t="s">
        <v>6547</v>
      </c>
      <c r="C4624" s="828">
        <v>97460</v>
      </c>
      <c r="D4624" s="630" t="s">
        <v>5124</v>
      </c>
      <c r="E4624" s="630" t="s">
        <v>646</v>
      </c>
      <c r="F4624" s="829">
        <v>770.19</v>
      </c>
      <c r="G4624" s="830">
        <v>83.92</v>
      </c>
      <c r="H4624" s="831">
        <v>854.11</v>
      </c>
      <c r="I4624" s="846"/>
      <c r="J4624" s="846"/>
      <c r="K4624" s="846"/>
      <c r="L4624" s="846"/>
      <c r="M4624" s="846"/>
      <c r="N4624" s="846"/>
      <c r="O4624" s="846"/>
      <c r="P4624" s="846"/>
      <c r="Q4624" s="846"/>
      <c r="R4624" s="846"/>
      <c r="S4624" s="846"/>
      <c r="T4624" s="846"/>
    </row>
    <row r="4625" spans="2:20" ht="38.25" hidden="1">
      <c r="B4625" s="828" t="s">
        <v>6547</v>
      </c>
      <c r="C4625" s="828">
        <v>97461</v>
      </c>
      <c r="D4625" s="630" t="s">
        <v>5125</v>
      </c>
      <c r="E4625" s="630" t="s">
        <v>646</v>
      </c>
      <c r="F4625" s="829">
        <v>29.13</v>
      </c>
      <c r="G4625" s="830">
        <v>10.15</v>
      </c>
      <c r="H4625" s="831">
        <v>39.28</v>
      </c>
      <c r="I4625" s="846"/>
      <c r="J4625" s="846"/>
      <c r="K4625" s="846"/>
      <c r="L4625" s="846"/>
      <c r="M4625" s="846"/>
      <c r="N4625" s="846"/>
      <c r="O4625" s="846"/>
      <c r="P4625" s="846"/>
      <c r="Q4625" s="846"/>
      <c r="R4625" s="846"/>
      <c r="S4625" s="846"/>
      <c r="T4625" s="846"/>
    </row>
    <row r="4626" spans="2:20" ht="38.25" hidden="1">
      <c r="B4626" s="828" t="s">
        <v>6547</v>
      </c>
      <c r="C4626" s="828">
        <v>97462</v>
      </c>
      <c r="D4626" s="630" t="s">
        <v>5126</v>
      </c>
      <c r="E4626" s="630" t="s">
        <v>646</v>
      </c>
      <c r="F4626" s="829">
        <v>22.65</v>
      </c>
      <c r="G4626" s="830">
        <v>10.16</v>
      </c>
      <c r="H4626" s="831">
        <v>32.81</v>
      </c>
      <c r="I4626" s="846"/>
      <c r="J4626" s="846"/>
      <c r="K4626" s="846"/>
      <c r="L4626" s="846"/>
      <c r="M4626" s="846"/>
      <c r="N4626" s="846"/>
      <c r="O4626" s="846"/>
      <c r="P4626" s="846"/>
      <c r="Q4626" s="846"/>
      <c r="R4626" s="846"/>
      <c r="S4626" s="846"/>
      <c r="T4626" s="846"/>
    </row>
    <row r="4627" spans="2:20" ht="38.25" hidden="1">
      <c r="B4627" s="828" t="s">
        <v>6547</v>
      </c>
      <c r="C4627" s="828">
        <v>97464</v>
      </c>
      <c r="D4627" s="630" t="s">
        <v>5127</v>
      </c>
      <c r="E4627" s="630" t="s">
        <v>646</v>
      </c>
      <c r="F4627" s="829">
        <v>43.58</v>
      </c>
      <c r="G4627" s="830">
        <v>12.98</v>
      </c>
      <c r="H4627" s="831">
        <v>56.56</v>
      </c>
      <c r="I4627" s="846"/>
      <c r="J4627" s="846"/>
      <c r="K4627" s="846"/>
      <c r="L4627" s="846"/>
      <c r="M4627" s="846"/>
      <c r="N4627" s="846"/>
      <c r="O4627" s="846"/>
      <c r="P4627" s="846"/>
      <c r="Q4627" s="846"/>
      <c r="R4627" s="846"/>
      <c r="S4627" s="846"/>
      <c r="T4627" s="846"/>
    </row>
    <row r="4628" spans="2:20" ht="38.25" hidden="1">
      <c r="B4628" s="828" t="s">
        <v>6547</v>
      </c>
      <c r="C4628" s="828">
        <v>97465</v>
      </c>
      <c r="D4628" s="630" t="s">
        <v>5128</v>
      </c>
      <c r="E4628" s="630" t="s">
        <v>646</v>
      </c>
      <c r="F4628" s="829">
        <v>54.5</v>
      </c>
      <c r="G4628" s="830">
        <v>12.97</v>
      </c>
      <c r="H4628" s="831">
        <v>67.47</v>
      </c>
      <c r="I4628" s="846"/>
      <c r="J4628" s="846"/>
      <c r="K4628" s="846"/>
      <c r="L4628" s="846"/>
      <c r="M4628" s="846"/>
      <c r="N4628" s="846"/>
      <c r="O4628" s="846"/>
      <c r="P4628" s="846"/>
      <c r="Q4628" s="846"/>
      <c r="R4628" s="846"/>
      <c r="S4628" s="846"/>
      <c r="T4628" s="846"/>
    </row>
    <row r="4629" spans="2:20" ht="38.25" hidden="1">
      <c r="B4629" s="828" t="s">
        <v>6547</v>
      </c>
      <c r="C4629" s="828">
        <v>97467</v>
      </c>
      <c r="D4629" s="630" t="s">
        <v>5129</v>
      </c>
      <c r="E4629" s="630" t="s">
        <v>646</v>
      </c>
      <c r="F4629" s="829">
        <v>55.53</v>
      </c>
      <c r="G4629" s="830">
        <v>16.239999999999998</v>
      </c>
      <c r="H4629" s="831">
        <v>71.77</v>
      </c>
      <c r="I4629" s="846"/>
      <c r="J4629" s="846"/>
      <c r="K4629" s="846"/>
      <c r="L4629" s="846"/>
      <c r="M4629" s="846"/>
      <c r="N4629" s="846"/>
      <c r="O4629" s="846"/>
      <c r="P4629" s="846"/>
      <c r="Q4629" s="846"/>
      <c r="R4629" s="846"/>
      <c r="S4629" s="846"/>
      <c r="T4629" s="846"/>
    </row>
    <row r="4630" spans="2:20" ht="38.25" hidden="1">
      <c r="B4630" s="828" t="s">
        <v>6547</v>
      </c>
      <c r="C4630" s="828">
        <v>97468</v>
      </c>
      <c r="D4630" s="630" t="s">
        <v>5130</v>
      </c>
      <c r="E4630" s="630" t="s">
        <v>646</v>
      </c>
      <c r="F4630" s="829">
        <v>69.5</v>
      </c>
      <c r="G4630" s="830">
        <v>16.239999999999998</v>
      </c>
      <c r="H4630" s="831">
        <v>85.74</v>
      </c>
      <c r="I4630" s="846"/>
      <c r="J4630" s="846"/>
      <c r="K4630" s="846"/>
      <c r="L4630" s="846"/>
      <c r="M4630" s="846"/>
      <c r="N4630" s="846"/>
      <c r="O4630" s="846"/>
      <c r="P4630" s="846"/>
      <c r="Q4630" s="846"/>
      <c r="R4630" s="846"/>
      <c r="S4630" s="846"/>
      <c r="T4630" s="846"/>
    </row>
    <row r="4631" spans="2:20" ht="38.25" hidden="1">
      <c r="B4631" s="828" t="s">
        <v>6547</v>
      </c>
      <c r="C4631" s="828">
        <v>97470</v>
      </c>
      <c r="D4631" s="630" t="s">
        <v>5131</v>
      </c>
      <c r="E4631" s="630" t="s">
        <v>646</v>
      </c>
      <c r="F4631" s="829">
        <v>85.71</v>
      </c>
      <c r="G4631" s="830">
        <v>20.29</v>
      </c>
      <c r="H4631" s="831">
        <v>106</v>
      </c>
      <c r="I4631" s="846"/>
      <c r="J4631" s="846"/>
      <c r="K4631" s="846"/>
      <c r="L4631" s="846"/>
      <c r="M4631" s="846"/>
      <c r="N4631" s="846"/>
      <c r="O4631" s="846"/>
      <c r="P4631" s="846"/>
      <c r="Q4631" s="846"/>
      <c r="R4631" s="846"/>
      <c r="S4631" s="846"/>
      <c r="T4631" s="846"/>
    </row>
    <row r="4632" spans="2:20" ht="38.25" hidden="1">
      <c r="B4632" s="828" t="s">
        <v>6547</v>
      </c>
      <c r="C4632" s="828">
        <v>97471</v>
      </c>
      <c r="D4632" s="630" t="s">
        <v>5132</v>
      </c>
      <c r="E4632" s="630" t="s">
        <v>646</v>
      </c>
      <c r="F4632" s="829">
        <v>107.79</v>
      </c>
      <c r="G4632" s="830">
        <v>20.29</v>
      </c>
      <c r="H4632" s="831">
        <v>128.08000000000001</v>
      </c>
      <c r="I4632" s="846"/>
      <c r="J4632" s="846"/>
      <c r="K4632" s="846"/>
      <c r="L4632" s="846"/>
      <c r="M4632" s="846"/>
      <c r="N4632" s="846"/>
      <c r="O4632" s="846"/>
      <c r="P4632" s="846"/>
      <c r="Q4632" s="846"/>
      <c r="R4632" s="846"/>
      <c r="S4632" s="846"/>
      <c r="T4632" s="846"/>
    </row>
    <row r="4633" spans="2:20" ht="38.25" hidden="1">
      <c r="B4633" s="828" t="s">
        <v>6547</v>
      </c>
      <c r="C4633" s="828">
        <v>97474</v>
      </c>
      <c r="D4633" s="630" t="s">
        <v>5133</v>
      </c>
      <c r="E4633" s="630" t="s">
        <v>646</v>
      </c>
      <c r="F4633" s="829">
        <v>167.54</v>
      </c>
      <c r="G4633" s="830">
        <v>26.38</v>
      </c>
      <c r="H4633" s="831">
        <v>193.92</v>
      </c>
      <c r="I4633" s="846"/>
      <c r="J4633" s="846"/>
      <c r="K4633" s="846"/>
      <c r="L4633" s="846"/>
      <c r="M4633" s="846"/>
      <c r="N4633" s="846"/>
      <c r="O4633" s="846"/>
      <c r="P4633" s="846"/>
      <c r="Q4633" s="846"/>
      <c r="R4633" s="846"/>
      <c r="S4633" s="846"/>
      <c r="T4633" s="846"/>
    </row>
    <row r="4634" spans="2:20" ht="38.25" hidden="1">
      <c r="B4634" s="828" t="s">
        <v>6547</v>
      </c>
      <c r="C4634" s="828">
        <v>97475</v>
      </c>
      <c r="D4634" s="630" t="s">
        <v>5134</v>
      </c>
      <c r="E4634" s="630" t="s">
        <v>646</v>
      </c>
      <c r="F4634" s="829">
        <v>212.19</v>
      </c>
      <c r="G4634" s="830">
        <v>26.38</v>
      </c>
      <c r="H4634" s="831">
        <v>238.57</v>
      </c>
      <c r="I4634" s="846"/>
      <c r="J4634" s="846"/>
      <c r="K4634" s="846"/>
      <c r="L4634" s="846"/>
      <c r="M4634" s="846"/>
      <c r="N4634" s="846"/>
      <c r="O4634" s="846"/>
      <c r="P4634" s="846"/>
      <c r="Q4634" s="846"/>
      <c r="R4634" s="846"/>
      <c r="S4634" s="846"/>
      <c r="T4634" s="846"/>
    </row>
    <row r="4635" spans="2:20" ht="38.25" hidden="1">
      <c r="B4635" s="828" t="s">
        <v>6547</v>
      </c>
      <c r="C4635" s="828">
        <v>97477</v>
      </c>
      <c r="D4635" s="630" t="s">
        <v>5135</v>
      </c>
      <c r="E4635" s="630" t="s">
        <v>646</v>
      </c>
      <c r="F4635" s="829">
        <v>225.79</v>
      </c>
      <c r="G4635" s="830">
        <v>32.549999999999997</v>
      </c>
      <c r="H4635" s="831">
        <v>258.33999999999997</v>
      </c>
      <c r="I4635" s="846"/>
      <c r="J4635" s="846"/>
      <c r="K4635" s="846"/>
      <c r="L4635" s="846"/>
      <c r="M4635" s="846"/>
      <c r="N4635" s="846"/>
      <c r="O4635" s="846"/>
      <c r="P4635" s="846"/>
      <c r="Q4635" s="846"/>
      <c r="R4635" s="846"/>
      <c r="S4635" s="846"/>
      <c r="T4635" s="846"/>
    </row>
    <row r="4636" spans="2:20" ht="38.25" hidden="1">
      <c r="B4636" s="828" t="s">
        <v>6547</v>
      </c>
      <c r="C4636" s="828">
        <v>97478</v>
      </c>
      <c r="D4636" s="630" t="s">
        <v>5136</v>
      </c>
      <c r="E4636" s="630" t="s">
        <v>646</v>
      </c>
      <c r="F4636" s="829">
        <v>285.94</v>
      </c>
      <c r="G4636" s="830">
        <v>32.549999999999997</v>
      </c>
      <c r="H4636" s="831">
        <v>318.49</v>
      </c>
      <c r="I4636" s="846"/>
      <c r="J4636" s="846"/>
      <c r="K4636" s="846"/>
      <c r="L4636" s="846"/>
      <c r="M4636" s="846"/>
      <c r="N4636" s="846"/>
      <c r="O4636" s="846"/>
      <c r="P4636" s="846"/>
      <c r="Q4636" s="846"/>
      <c r="R4636" s="846"/>
      <c r="S4636" s="846"/>
      <c r="T4636" s="846"/>
    </row>
    <row r="4637" spans="2:20" ht="38.25" hidden="1">
      <c r="B4637" s="828" t="s">
        <v>6547</v>
      </c>
      <c r="C4637" s="828">
        <v>97479</v>
      </c>
      <c r="D4637" s="630" t="s">
        <v>5137</v>
      </c>
      <c r="E4637" s="630" t="s">
        <v>646</v>
      </c>
      <c r="F4637" s="829">
        <v>48.03</v>
      </c>
      <c r="G4637" s="830">
        <v>15.22</v>
      </c>
      <c r="H4637" s="831">
        <v>63.25</v>
      </c>
      <c r="I4637" s="846"/>
      <c r="J4637" s="846"/>
      <c r="K4637" s="846"/>
      <c r="L4637" s="846"/>
      <c r="M4637" s="846"/>
      <c r="N4637" s="846"/>
      <c r="O4637" s="846"/>
      <c r="P4637" s="846"/>
      <c r="Q4637" s="846"/>
      <c r="R4637" s="846"/>
      <c r="S4637" s="846"/>
      <c r="T4637" s="846"/>
    </row>
    <row r="4638" spans="2:20" ht="38.25" hidden="1">
      <c r="B4638" s="828" t="s">
        <v>6547</v>
      </c>
      <c r="C4638" s="828">
        <v>97480</v>
      </c>
      <c r="D4638" s="630" t="s">
        <v>5138</v>
      </c>
      <c r="E4638" s="630" t="s">
        <v>646</v>
      </c>
      <c r="F4638" s="829">
        <v>48.03</v>
      </c>
      <c r="G4638" s="830">
        <v>15.22</v>
      </c>
      <c r="H4638" s="831">
        <v>63.25</v>
      </c>
      <c r="I4638" s="846"/>
      <c r="J4638" s="846"/>
      <c r="K4638" s="846"/>
      <c r="L4638" s="846"/>
      <c r="M4638" s="846"/>
      <c r="N4638" s="846"/>
      <c r="O4638" s="846"/>
      <c r="P4638" s="846"/>
      <c r="Q4638" s="846"/>
      <c r="R4638" s="846"/>
      <c r="S4638" s="846"/>
      <c r="T4638" s="846"/>
    </row>
    <row r="4639" spans="2:20" ht="38.25" hidden="1">
      <c r="B4639" s="828" t="s">
        <v>6547</v>
      </c>
      <c r="C4639" s="828">
        <v>97481</v>
      </c>
      <c r="D4639" s="630" t="s">
        <v>5139</v>
      </c>
      <c r="E4639" s="630" t="s">
        <v>646</v>
      </c>
      <c r="F4639" s="829">
        <v>72.19</v>
      </c>
      <c r="G4639" s="830">
        <v>19.47</v>
      </c>
      <c r="H4639" s="831">
        <v>91.66</v>
      </c>
      <c r="I4639" s="846"/>
      <c r="J4639" s="846"/>
      <c r="K4639" s="846"/>
      <c r="L4639" s="846"/>
      <c r="M4639" s="846"/>
      <c r="N4639" s="846"/>
      <c r="O4639" s="846"/>
      <c r="P4639" s="846"/>
      <c r="Q4639" s="846"/>
      <c r="R4639" s="846"/>
      <c r="S4639" s="846"/>
      <c r="T4639" s="846"/>
    </row>
    <row r="4640" spans="2:20" ht="38.25" hidden="1">
      <c r="B4640" s="828" t="s">
        <v>6547</v>
      </c>
      <c r="C4640" s="828">
        <v>97482</v>
      </c>
      <c r="D4640" s="630" t="s">
        <v>5140</v>
      </c>
      <c r="E4640" s="630" t="s">
        <v>646</v>
      </c>
      <c r="F4640" s="829">
        <v>72.19</v>
      </c>
      <c r="G4640" s="830">
        <v>19.47</v>
      </c>
      <c r="H4640" s="831">
        <v>91.66</v>
      </c>
      <c r="I4640" s="846"/>
      <c r="J4640" s="846"/>
      <c r="K4640" s="846"/>
      <c r="L4640" s="846"/>
      <c r="M4640" s="846"/>
      <c r="N4640" s="846"/>
      <c r="O4640" s="846"/>
      <c r="P4640" s="846"/>
      <c r="Q4640" s="846"/>
      <c r="R4640" s="846"/>
      <c r="S4640" s="846"/>
      <c r="T4640" s="846"/>
    </row>
    <row r="4641" spans="2:20" ht="38.25" hidden="1">
      <c r="B4641" s="828" t="s">
        <v>6547</v>
      </c>
      <c r="C4641" s="828">
        <v>97483</v>
      </c>
      <c r="D4641" s="630" t="s">
        <v>5141</v>
      </c>
      <c r="E4641" s="630" t="s">
        <v>646</v>
      </c>
      <c r="F4641" s="829">
        <v>103.99</v>
      </c>
      <c r="G4641" s="830">
        <v>24.35</v>
      </c>
      <c r="H4641" s="831">
        <v>128.34</v>
      </c>
      <c r="I4641" s="846"/>
      <c r="J4641" s="846"/>
      <c r="K4641" s="846"/>
      <c r="L4641" s="846"/>
      <c r="M4641" s="846"/>
      <c r="N4641" s="846"/>
      <c r="O4641" s="846"/>
      <c r="P4641" s="846"/>
      <c r="Q4641" s="846"/>
      <c r="R4641" s="846"/>
      <c r="S4641" s="846"/>
      <c r="T4641" s="846"/>
    </row>
    <row r="4642" spans="2:20" ht="38.25" hidden="1">
      <c r="B4642" s="828" t="s">
        <v>6547</v>
      </c>
      <c r="C4642" s="828">
        <v>97484</v>
      </c>
      <c r="D4642" s="630" t="s">
        <v>5142</v>
      </c>
      <c r="E4642" s="630" t="s">
        <v>646</v>
      </c>
      <c r="F4642" s="829">
        <v>103.99</v>
      </c>
      <c r="G4642" s="830">
        <v>24.35</v>
      </c>
      <c r="H4642" s="831">
        <v>128.34</v>
      </c>
      <c r="I4642" s="846"/>
      <c r="J4642" s="846"/>
      <c r="K4642" s="846"/>
      <c r="L4642" s="846"/>
      <c r="M4642" s="846"/>
      <c r="N4642" s="846"/>
      <c r="O4642" s="846"/>
      <c r="P4642" s="846"/>
      <c r="Q4642" s="846"/>
      <c r="R4642" s="846"/>
      <c r="S4642" s="846"/>
      <c r="T4642" s="846"/>
    </row>
    <row r="4643" spans="2:20" ht="38.25" hidden="1">
      <c r="B4643" s="828" t="s">
        <v>6547</v>
      </c>
      <c r="C4643" s="828">
        <v>97485</v>
      </c>
      <c r="D4643" s="630" t="s">
        <v>5143</v>
      </c>
      <c r="E4643" s="630" t="s">
        <v>646</v>
      </c>
      <c r="F4643" s="829">
        <v>146.53</v>
      </c>
      <c r="G4643" s="830">
        <v>30.45</v>
      </c>
      <c r="H4643" s="831">
        <v>176.98</v>
      </c>
      <c r="I4643" s="846"/>
      <c r="J4643" s="846"/>
      <c r="K4643" s="846"/>
      <c r="L4643" s="846"/>
      <c r="M4643" s="846"/>
      <c r="N4643" s="846"/>
      <c r="O4643" s="846"/>
      <c r="P4643" s="846"/>
      <c r="Q4643" s="846"/>
      <c r="R4643" s="846"/>
      <c r="S4643" s="846"/>
      <c r="T4643" s="846"/>
    </row>
    <row r="4644" spans="2:20" ht="38.25" hidden="1">
      <c r="B4644" s="828" t="s">
        <v>6547</v>
      </c>
      <c r="C4644" s="828">
        <v>97486</v>
      </c>
      <c r="D4644" s="630" t="s">
        <v>5144</v>
      </c>
      <c r="E4644" s="630" t="s">
        <v>646</v>
      </c>
      <c r="F4644" s="829">
        <v>159.13999999999999</v>
      </c>
      <c r="G4644" s="830">
        <v>30.45</v>
      </c>
      <c r="H4644" s="831">
        <v>189.59</v>
      </c>
      <c r="I4644" s="846"/>
      <c r="J4644" s="846"/>
      <c r="K4644" s="846"/>
      <c r="L4644" s="846"/>
      <c r="M4644" s="846"/>
      <c r="N4644" s="846"/>
      <c r="O4644" s="846"/>
      <c r="P4644" s="846"/>
      <c r="Q4644" s="846"/>
      <c r="R4644" s="846"/>
      <c r="S4644" s="846"/>
      <c r="T4644" s="846"/>
    </row>
    <row r="4645" spans="2:20" ht="38.25" hidden="1">
      <c r="B4645" s="828" t="s">
        <v>6547</v>
      </c>
      <c r="C4645" s="828">
        <v>97487</v>
      </c>
      <c r="D4645" s="630" t="s">
        <v>5145</v>
      </c>
      <c r="E4645" s="630" t="s">
        <v>646</v>
      </c>
      <c r="F4645" s="829">
        <v>286.13</v>
      </c>
      <c r="G4645" s="830">
        <v>39.64</v>
      </c>
      <c r="H4645" s="831">
        <v>325.77</v>
      </c>
      <c r="I4645" s="846"/>
      <c r="J4645" s="846"/>
      <c r="K4645" s="846"/>
      <c r="L4645" s="846"/>
      <c r="M4645" s="846"/>
      <c r="N4645" s="846"/>
      <c r="O4645" s="846"/>
      <c r="P4645" s="846"/>
      <c r="Q4645" s="846"/>
      <c r="R4645" s="846"/>
      <c r="S4645" s="846"/>
      <c r="T4645" s="846"/>
    </row>
    <row r="4646" spans="2:20" ht="38.25" hidden="1">
      <c r="B4646" s="828" t="s">
        <v>6547</v>
      </c>
      <c r="C4646" s="828">
        <v>97488</v>
      </c>
      <c r="D4646" s="630" t="s">
        <v>5146</v>
      </c>
      <c r="E4646" s="630" t="s">
        <v>646</v>
      </c>
      <c r="F4646" s="829">
        <v>306.3</v>
      </c>
      <c r="G4646" s="830">
        <v>39.64</v>
      </c>
      <c r="H4646" s="831">
        <v>345.94</v>
      </c>
      <c r="I4646" s="846"/>
      <c r="J4646" s="846"/>
      <c r="K4646" s="846"/>
      <c r="L4646" s="846"/>
      <c r="M4646" s="846"/>
      <c r="N4646" s="846"/>
      <c r="O4646" s="846"/>
      <c r="P4646" s="846"/>
      <c r="Q4646" s="846"/>
      <c r="R4646" s="846"/>
      <c r="S4646" s="846"/>
      <c r="T4646" s="846"/>
    </row>
    <row r="4647" spans="2:20" ht="38.25" hidden="1">
      <c r="B4647" s="828" t="s">
        <v>6547</v>
      </c>
      <c r="C4647" s="828">
        <v>97489</v>
      </c>
      <c r="D4647" s="630" t="s">
        <v>5147</v>
      </c>
      <c r="E4647" s="630" t="s">
        <v>646</v>
      </c>
      <c r="F4647" s="829">
        <v>723.16</v>
      </c>
      <c r="G4647" s="830">
        <v>48.77</v>
      </c>
      <c r="H4647" s="831">
        <v>771.93</v>
      </c>
      <c r="I4647" s="846"/>
      <c r="J4647" s="846"/>
      <c r="K4647" s="846"/>
      <c r="L4647" s="846"/>
      <c r="M4647" s="846"/>
      <c r="N4647" s="846"/>
      <c r="O4647" s="846"/>
      <c r="P4647" s="846"/>
      <c r="Q4647" s="846"/>
      <c r="R4647" s="846"/>
      <c r="S4647" s="846"/>
      <c r="T4647" s="846"/>
    </row>
    <row r="4648" spans="2:20" ht="38.25" hidden="1">
      <c r="B4648" s="828" t="s">
        <v>6547</v>
      </c>
      <c r="C4648" s="828">
        <v>97490</v>
      </c>
      <c r="D4648" s="630" t="s">
        <v>5148</v>
      </c>
      <c r="E4648" s="630" t="s">
        <v>646</v>
      </c>
      <c r="F4648" s="829">
        <v>632.70000000000005</v>
      </c>
      <c r="G4648" s="830">
        <v>48.77</v>
      </c>
      <c r="H4648" s="831">
        <v>681.47</v>
      </c>
      <c r="I4648" s="846"/>
      <c r="J4648" s="846"/>
      <c r="K4648" s="846"/>
      <c r="L4648" s="846"/>
      <c r="M4648" s="846"/>
      <c r="N4648" s="846"/>
      <c r="O4648" s="846"/>
      <c r="P4648" s="846"/>
      <c r="Q4648" s="846"/>
      <c r="R4648" s="846"/>
      <c r="S4648" s="846"/>
      <c r="T4648" s="846"/>
    </row>
    <row r="4649" spans="2:20" ht="38.25" hidden="1">
      <c r="B4649" s="828" t="s">
        <v>6547</v>
      </c>
      <c r="C4649" s="828">
        <v>97491</v>
      </c>
      <c r="D4649" s="630" t="s">
        <v>5149</v>
      </c>
      <c r="E4649" s="630" t="s">
        <v>646</v>
      </c>
      <c r="F4649" s="829">
        <v>77.52</v>
      </c>
      <c r="G4649" s="830">
        <v>20.22</v>
      </c>
      <c r="H4649" s="831">
        <v>97.74</v>
      </c>
      <c r="I4649" s="846"/>
      <c r="J4649" s="846"/>
      <c r="K4649" s="846"/>
      <c r="L4649" s="846"/>
      <c r="M4649" s="846"/>
      <c r="N4649" s="846"/>
      <c r="O4649" s="846"/>
      <c r="P4649" s="846"/>
      <c r="Q4649" s="846"/>
      <c r="R4649" s="846"/>
      <c r="S4649" s="846"/>
      <c r="T4649" s="846"/>
    </row>
    <row r="4650" spans="2:20" ht="38.25" hidden="1">
      <c r="B4650" s="828" t="s">
        <v>6547</v>
      </c>
      <c r="C4650" s="828">
        <v>97492</v>
      </c>
      <c r="D4650" s="630" t="s">
        <v>5150</v>
      </c>
      <c r="E4650" s="630" t="s">
        <v>646</v>
      </c>
      <c r="F4650" s="829">
        <v>117.38</v>
      </c>
      <c r="G4650" s="830">
        <v>25.97</v>
      </c>
      <c r="H4650" s="831">
        <v>143.35</v>
      </c>
      <c r="I4650" s="846"/>
      <c r="J4650" s="846"/>
      <c r="K4650" s="846"/>
      <c r="L4650" s="846"/>
      <c r="M4650" s="846"/>
      <c r="N4650" s="846"/>
      <c r="O4650" s="846"/>
      <c r="P4650" s="846"/>
      <c r="Q4650" s="846"/>
      <c r="R4650" s="846"/>
      <c r="S4650" s="846"/>
      <c r="T4650" s="846"/>
    </row>
    <row r="4651" spans="2:20" ht="38.25" hidden="1">
      <c r="B4651" s="828" t="s">
        <v>6547</v>
      </c>
      <c r="C4651" s="828">
        <v>97493</v>
      </c>
      <c r="D4651" s="630" t="s">
        <v>5151</v>
      </c>
      <c r="E4651" s="630" t="s">
        <v>646</v>
      </c>
      <c r="F4651" s="829">
        <v>152.34</v>
      </c>
      <c r="G4651" s="830">
        <v>32.479999999999997</v>
      </c>
      <c r="H4651" s="831">
        <v>184.82</v>
      </c>
      <c r="I4651" s="846"/>
      <c r="J4651" s="846"/>
      <c r="K4651" s="846"/>
      <c r="L4651" s="846"/>
      <c r="M4651" s="846"/>
      <c r="N4651" s="846"/>
      <c r="O4651" s="846"/>
      <c r="P4651" s="846"/>
      <c r="Q4651" s="846"/>
      <c r="R4651" s="846"/>
      <c r="S4651" s="846"/>
      <c r="T4651" s="846"/>
    </row>
    <row r="4652" spans="2:20" ht="38.25" hidden="1">
      <c r="B4652" s="828" t="s">
        <v>6547</v>
      </c>
      <c r="C4652" s="828">
        <v>97494</v>
      </c>
      <c r="D4652" s="630" t="s">
        <v>5152</v>
      </c>
      <c r="E4652" s="630" t="s">
        <v>646</v>
      </c>
      <c r="F4652" s="829">
        <v>246.03</v>
      </c>
      <c r="G4652" s="830">
        <v>40.6</v>
      </c>
      <c r="H4652" s="831">
        <v>286.63</v>
      </c>
      <c r="I4652" s="846"/>
      <c r="J4652" s="846"/>
      <c r="K4652" s="846"/>
      <c r="L4652" s="846"/>
      <c r="M4652" s="846"/>
      <c r="N4652" s="846"/>
      <c r="O4652" s="846"/>
      <c r="P4652" s="846"/>
      <c r="Q4652" s="846"/>
      <c r="R4652" s="846"/>
      <c r="S4652" s="846"/>
      <c r="T4652" s="846"/>
    </row>
    <row r="4653" spans="2:20" ht="38.25" hidden="1">
      <c r="B4653" s="828" t="s">
        <v>6547</v>
      </c>
      <c r="C4653" s="828">
        <v>97495</v>
      </c>
      <c r="D4653" s="630" t="s">
        <v>5153</v>
      </c>
      <c r="E4653" s="630" t="s">
        <v>646</v>
      </c>
      <c r="F4653" s="829">
        <v>472.13</v>
      </c>
      <c r="G4653" s="830">
        <v>52.84</v>
      </c>
      <c r="H4653" s="831">
        <v>524.97</v>
      </c>
      <c r="I4653" s="846"/>
      <c r="J4653" s="846"/>
      <c r="K4653" s="846"/>
      <c r="L4653" s="846"/>
      <c r="M4653" s="846"/>
      <c r="N4653" s="846"/>
      <c r="O4653" s="846"/>
      <c r="P4653" s="846"/>
      <c r="Q4653" s="846"/>
      <c r="R4653" s="846"/>
      <c r="S4653" s="846"/>
      <c r="T4653" s="846"/>
    </row>
    <row r="4654" spans="2:20" ht="38.25" hidden="1">
      <c r="B4654" s="828" t="s">
        <v>6547</v>
      </c>
      <c r="C4654" s="828">
        <v>97496</v>
      </c>
      <c r="D4654" s="630" t="s">
        <v>5154</v>
      </c>
      <c r="E4654" s="630" t="s">
        <v>646</v>
      </c>
      <c r="F4654" s="829">
        <v>764.74</v>
      </c>
      <c r="G4654" s="830">
        <v>65.11</v>
      </c>
      <c r="H4654" s="831">
        <v>829.85</v>
      </c>
      <c r="I4654" s="846"/>
      <c r="J4654" s="846"/>
      <c r="K4654" s="846"/>
      <c r="L4654" s="846"/>
      <c r="M4654" s="846"/>
      <c r="N4654" s="846"/>
      <c r="O4654" s="846"/>
      <c r="P4654" s="846"/>
      <c r="Q4654" s="846"/>
      <c r="R4654" s="846"/>
      <c r="S4654" s="846"/>
      <c r="T4654" s="846"/>
    </row>
    <row r="4655" spans="2:20" ht="38.25" hidden="1">
      <c r="B4655" s="828" t="s">
        <v>6547</v>
      </c>
      <c r="C4655" s="828">
        <v>97499</v>
      </c>
      <c r="D4655" s="630" t="s">
        <v>5156</v>
      </c>
      <c r="E4655" s="630" t="s">
        <v>646</v>
      </c>
      <c r="F4655" s="829">
        <v>28.47</v>
      </c>
      <c r="G4655" s="830">
        <v>7.84</v>
      </c>
      <c r="H4655" s="831">
        <v>36.31</v>
      </c>
      <c r="I4655" s="846"/>
      <c r="J4655" s="846"/>
      <c r="K4655" s="846"/>
      <c r="L4655" s="846"/>
      <c r="M4655" s="846"/>
      <c r="N4655" s="846"/>
      <c r="O4655" s="846"/>
      <c r="P4655" s="846"/>
      <c r="Q4655" s="846"/>
      <c r="R4655" s="846"/>
      <c r="S4655" s="846"/>
      <c r="T4655" s="846"/>
    </row>
    <row r="4656" spans="2:20" ht="38.25" hidden="1">
      <c r="B4656" s="828" t="s">
        <v>6547</v>
      </c>
      <c r="C4656" s="828">
        <v>97500</v>
      </c>
      <c r="D4656" s="630" t="s">
        <v>5157</v>
      </c>
      <c r="E4656" s="630" t="s">
        <v>646</v>
      </c>
      <c r="F4656" s="829">
        <v>22</v>
      </c>
      <c r="G4656" s="830">
        <v>7.84</v>
      </c>
      <c r="H4656" s="831">
        <v>29.84</v>
      </c>
      <c r="I4656" s="846"/>
      <c r="J4656" s="846"/>
      <c r="K4656" s="846"/>
      <c r="L4656" s="846"/>
      <c r="M4656" s="846"/>
      <c r="N4656" s="846"/>
      <c r="O4656" s="846"/>
      <c r="P4656" s="846"/>
      <c r="Q4656" s="846"/>
      <c r="R4656" s="846"/>
      <c r="S4656" s="846"/>
      <c r="T4656" s="846"/>
    </row>
    <row r="4657" spans="2:20" ht="38.25" hidden="1">
      <c r="B4657" s="828" t="s">
        <v>6547</v>
      </c>
      <c r="C4657" s="828">
        <v>97502</v>
      </c>
      <c r="D4657" s="630" t="s">
        <v>5158</v>
      </c>
      <c r="E4657" s="630" t="s">
        <v>646</v>
      </c>
      <c r="F4657" s="829">
        <v>42.35</v>
      </c>
      <c r="G4657" s="830">
        <v>8.7100000000000009</v>
      </c>
      <c r="H4657" s="831">
        <v>51.06</v>
      </c>
      <c r="I4657" s="846"/>
      <c r="J4657" s="846"/>
      <c r="K4657" s="846"/>
      <c r="L4657" s="846"/>
      <c r="M4657" s="846"/>
      <c r="N4657" s="846"/>
      <c r="O4657" s="846"/>
      <c r="P4657" s="846"/>
      <c r="Q4657" s="846"/>
      <c r="R4657" s="846"/>
      <c r="S4657" s="846"/>
      <c r="T4657" s="846"/>
    </row>
    <row r="4658" spans="2:20" ht="38.25" hidden="1">
      <c r="B4658" s="828" t="s">
        <v>6547</v>
      </c>
      <c r="C4658" s="828">
        <v>97503</v>
      </c>
      <c r="D4658" s="630" t="s">
        <v>5159</v>
      </c>
      <c r="E4658" s="630" t="s">
        <v>646</v>
      </c>
      <c r="F4658" s="829">
        <v>53.32</v>
      </c>
      <c r="G4658" s="830">
        <v>8.92</v>
      </c>
      <c r="H4658" s="831">
        <v>62.24</v>
      </c>
      <c r="I4658" s="846"/>
      <c r="J4658" s="846"/>
      <c r="K4658" s="846"/>
      <c r="L4658" s="846"/>
      <c r="M4658" s="846"/>
      <c r="N4658" s="846"/>
      <c r="O4658" s="846"/>
      <c r="P4658" s="846"/>
      <c r="Q4658" s="846"/>
      <c r="R4658" s="846"/>
      <c r="S4658" s="846"/>
      <c r="T4658" s="846"/>
    </row>
    <row r="4659" spans="2:20" ht="38.25" hidden="1">
      <c r="B4659" s="828" t="s">
        <v>6547</v>
      </c>
      <c r="C4659" s="828">
        <v>97505</v>
      </c>
      <c r="D4659" s="630" t="s">
        <v>5160</v>
      </c>
      <c r="E4659" s="630" t="s">
        <v>646</v>
      </c>
      <c r="F4659" s="829">
        <v>53.8</v>
      </c>
      <c r="G4659" s="830">
        <v>10.210000000000001</v>
      </c>
      <c r="H4659" s="831">
        <v>64.010000000000005</v>
      </c>
      <c r="I4659" s="846"/>
      <c r="J4659" s="846"/>
      <c r="K4659" s="846"/>
      <c r="L4659" s="846"/>
      <c r="M4659" s="846"/>
      <c r="N4659" s="846"/>
      <c r="O4659" s="846"/>
      <c r="P4659" s="846"/>
      <c r="Q4659" s="846"/>
      <c r="R4659" s="846"/>
      <c r="S4659" s="846"/>
      <c r="T4659" s="846"/>
    </row>
    <row r="4660" spans="2:20" ht="38.25" hidden="1">
      <c r="B4660" s="828" t="s">
        <v>6547</v>
      </c>
      <c r="C4660" s="828">
        <v>97506</v>
      </c>
      <c r="D4660" s="630" t="s">
        <v>5161</v>
      </c>
      <c r="E4660" s="630" t="s">
        <v>646</v>
      </c>
      <c r="F4660" s="829">
        <v>67.78</v>
      </c>
      <c r="G4660" s="830">
        <v>10.199999999999999</v>
      </c>
      <c r="H4660" s="831">
        <v>77.98</v>
      </c>
      <c r="I4660" s="846"/>
      <c r="J4660" s="846"/>
      <c r="K4660" s="846"/>
      <c r="L4660" s="846"/>
      <c r="M4660" s="846"/>
      <c r="N4660" s="846"/>
      <c r="O4660" s="846"/>
      <c r="P4660" s="846"/>
      <c r="Q4660" s="846"/>
      <c r="R4660" s="846"/>
      <c r="S4660" s="846"/>
      <c r="T4660" s="846"/>
    </row>
    <row r="4661" spans="2:20" ht="38.25" hidden="1">
      <c r="B4661" s="828" t="s">
        <v>6547</v>
      </c>
      <c r="C4661" s="828">
        <v>97508</v>
      </c>
      <c r="D4661" s="630" t="s">
        <v>5162</v>
      </c>
      <c r="E4661" s="630" t="s">
        <v>646</v>
      </c>
      <c r="F4661" s="829">
        <v>83.25</v>
      </c>
      <c r="G4661" s="830">
        <v>11.75</v>
      </c>
      <c r="H4661" s="831">
        <v>95</v>
      </c>
      <c r="I4661" s="846"/>
      <c r="J4661" s="846"/>
      <c r="K4661" s="846"/>
      <c r="L4661" s="846"/>
      <c r="M4661" s="846"/>
      <c r="N4661" s="846"/>
      <c r="O4661" s="846"/>
      <c r="P4661" s="846"/>
      <c r="Q4661" s="846"/>
      <c r="R4661" s="846"/>
      <c r="S4661" s="846"/>
      <c r="T4661" s="846"/>
    </row>
    <row r="4662" spans="2:20" ht="38.25" hidden="1">
      <c r="B4662" s="828" t="s">
        <v>6547</v>
      </c>
      <c r="C4662" s="828">
        <v>97509</v>
      </c>
      <c r="D4662" s="630" t="s">
        <v>5163</v>
      </c>
      <c r="E4662" s="630" t="s">
        <v>646</v>
      </c>
      <c r="F4662" s="829">
        <v>105.33</v>
      </c>
      <c r="G4662" s="830">
        <v>11.75</v>
      </c>
      <c r="H4662" s="831">
        <v>117.08</v>
      </c>
      <c r="I4662" s="846"/>
      <c r="J4662" s="846"/>
      <c r="K4662" s="846"/>
      <c r="L4662" s="846"/>
      <c r="M4662" s="846"/>
      <c r="N4662" s="846"/>
      <c r="O4662" s="846"/>
      <c r="P4662" s="846"/>
      <c r="Q4662" s="846"/>
      <c r="R4662" s="846"/>
      <c r="S4662" s="846"/>
      <c r="T4662" s="846"/>
    </row>
    <row r="4663" spans="2:20" ht="38.25" hidden="1">
      <c r="B4663" s="828" t="s">
        <v>6547</v>
      </c>
      <c r="C4663" s="828">
        <v>97511</v>
      </c>
      <c r="D4663" s="630" t="s">
        <v>5164</v>
      </c>
      <c r="E4663" s="630" t="s">
        <v>646</v>
      </c>
      <c r="F4663" s="829">
        <v>164</v>
      </c>
      <c r="G4663" s="830">
        <v>14.12</v>
      </c>
      <c r="H4663" s="831">
        <v>178.12</v>
      </c>
      <c r="I4663" s="846"/>
      <c r="J4663" s="846"/>
      <c r="K4663" s="846"/>
      <c r="L4663" s="846"/>
      <c r="M4663" s="846"/>
      <c r="N4663" s="846"/>
      <c r="O4663" s="846"/>
      <c r="P4663" s="846"/>
      <c r="Q4663" s="846"/>
      <c r="R4663" s="846"/>
      <c r="S4663" s="846"/>
      <c r="T4663" s="846"/>
    </row>
    <row r="4664" spans="2:20" ht="38.25" hidden="1">
      <c r="B4664" s="828" t="s">
        <v>6547</v>
      </c>
      <c r="C4664" s="828">
        <v>97512</v>
      </c>
      <c r="D4664" s="630" t="s">
        <v>5165</v>
      </c>
      <c r="E4664" s="630" t="s">
        <v>646</v>
      </c>
      <c r="F4664" s="829">
        <v>208.65</v>
      </c>
      <c r="G4664" s="830">
        <v>14.12</v>
      </c>
      <c r="H4664" s="831">
        <v>222.77</v>
      </c>
      <c r="I4664" s="846"/>
      <c r="J4664" s="846"/>
      <c r="K4664" s="846"/>
      <c r="L4664" s="846"/>
      <c r="M4664" s="846"/>
      <c r="N4664" s="846"/>
      <c r="O4664" s="846"/>
      <c r="P4664" s="846"/>
      <c r="Q4664" s="846"/>
      <c r="R4664" s="846"/>
      <c r="S4664" s="846"/>
      <c r="T4664" s="846"/>
    </row>
    <row r="4665" spans="2:20" ht="38.25" hidden="1">
      <c r="B4665" s="828" t="s">
        <v>6547</v>
      </c>
      <c r="C4665" s="828">
        <v>97514</v>
      </c>
      <c r="D4665" s="630" t="s">
        <v>5166</v>
      </c>
      <c r="E4665" s="630" t="s">
        <v>646</v>
      </c>
      <c r="F4665" s="829">
        <v>221.14</v>
      </c>
      <c r="G4665" s="830">
        <v>16.420000000000002</v>
      </c>
      <c r="H4665" s="831">
        <v>237.56</v>
      </c>
      <c r="I4665" s="846"/>
      <c r="J4665" s="846"/>
      <c r="K4665" s="846"/>
      <c r="L4665" s="846"/>
      <c r="M4665" s="846"/>
      <c r="N4665" s="846"/>
      <c r="O4665" s="846"/>
      <c r="P4665" s="846"/>
      <c r="Q4665" s="846"/>
      <c r="R4665" s="846"/>
      <c r="S4665" s="846"/>
      <c r="T4665" s="846"/>
    </row>
    <row r="4666" spans="2:20" ht="38.25" hidden="1">
      <c r="B4666" s="828" t="s">
        <v>6547</v>
      </c>
      <c r="C4666" s="828">
        <v>97515</v>
      </c>
      <c r="D4666" s="630" t="s">
        <v>5167</v>
      </c>
      <c r="E4666" s="630" t="s">
        <v>646</v>
      </c>
      <c r="F4666" s="829">
        <v>281.29000000000002</v>
      </c>
      <c r="G4666" s="830">
        <v>16.420000000000002</v>
      </c>
      <c r="H4666" s="831">
        <v>297.70999999999998</v>
      </c>
      <c r="I4666" s="846"/>
      <c r="J4666" s="846"/>
      <c r="K4666" s="846"/>
      <c r="L4666" s="846"/>
      <c r="M4666" s="846"/>
      <c r="N4666" s="846"/>
      <c r="O4666" s="846"/>
      <c r="P4666" s="846"/>
      <c r="Q4666" s="846"/>
      <c r="R4666" s="846"/>
      <c r="S4666" s="846"/>
      <c r="T4666" s="846"/>
    </row>
    <row r="4667" spans="2:20" ht="38.25" hidden="1">
      <c r="B4667" s="828" t="s">
        <v>6547</v>
      </c>
      <c r="C4667" s="828">
        <v>97517</v>
      </c>
      <c r="D4667" s="630" t="s">
        <v>5168</v>
      </c>
      <c r="E4667" s="630" t="s">
        <v>646</v>
      </c>
      <c r="F4667" s="829">
        <v>47.04</v>
      </c>
      <c r="G4667" s="830">
        <v>11.76</v>
      </c>
      <c r="H4667" s="831">
        <v>58.8</v>
      </c>
      <c r="I4667" s="846"/>
      <c r="J4667" s="846"/>
      <c r="K4667" s="846"/>
      <c r="L4667" s="846"/>
      <c r="M4667" s="846"/>
      <c r="N4667" s="846"/>
      <c r="O4667" s="846"/>
      <c r="P4667" s="846"/>
      <c r="Q4667" s="846"/>
      <c r="R4667" s="846"/>
      <c r="S4667" s="846"/>
      <c r="T4667" s="846"/>
    </row>
    <row r="4668" spans="2:20" ht="38.25" hidden="1">
      <c r="B4668" s="828" t="s">
        <v>6547</v>
      </c>
      <c r="C4668" s="828">
        <v>97518</v>
      </c>
      <c r="D4668" s="630" t="s">
        <v>5169</v>
      </c>
      <c r="E4668" s="630" t="s">
        <v>646</v>
      </c>
      <c r="F4668" s="829">
        <v>47.04</v>
      </c>
      <c r="G4668" s="830">
        <v>11.76</v>
      </c>
      <c r="H4668" s="831">
        <v>58.8</v>
      </c>
      <c r="I4668" s="846"/>
      <c r="J4668" s="846"/>
      <c r="K4668" s="846"/>
      <c r="L4668" s="846"/>
      <c r="M4668" s="846"/>
      <c r="N4668" s="846"/>
      <c r="O4668" s="846"/>
      <c r="P4668" s="846"/>
      <c r="Q4668" s="846"/>
      <c r="R4668" s="846"/>
      <c r="S4668" s="846"/>
      <c r="T4668" s="846"/>
    </row>
    <row r="4669" spans="2:20" ht="38.25" hidden="1">
      <c r="B4669" s="828" t="s">
        <v>6547</v>
      </c>
      <c r="C4669" s="828">
        <v>97519</v>
      </c>
      <c r="D4669" s="630" t="s">
        <v>5170</v>
      </c>
      <c r="E4669" s="630" t="s">
        <v>646</v>
      </c>
      <c r="F4669" s="829">
        <v>70.42</v>
      </c>
      <c r="G4669" s="830">
        <v>13.39</v>
      </c>
      <c r="H4669" s="831">
        <v>83.81</v>
      </c>
      <c r="I4669" s="846"/>
      <c r="J4669" s="846"/>
      <c r="K4669" s="846"/>
      <c r="L4669" s="846"/>
      <c r="M4669" s="846"/>
      <c r="N4669" s="846"/>
      <c r="O4669" s="846"/>
      <c r="P4669" s="846"/>
      <c r="Q4669" s="846"/>
      <c r="R4669" s="846"/>
      <c r="S4669" s="846"/>
      <c r="T4669" s="846"/>
    </row>
    <row r="4670" spans="2:20" ht="38.25" hidden="1">
      <c r="B4670" s="828" t="s">
        <v>6547</v>
      </c>
      <c r="C4670" s="828">
        <v>97520</v>
      </c>
      <c r="D4670" s="630" t="s">
        <v>5171</v>
      </c>
      <c r="E4670" s="630" t="s">
        <v>646</v>
      </c>
      <c r="F4670" s="829">
        <v>70.42</v>
      </c>
      <c r="G4670" s="830">
        <v>13.39</v>
      </c>
      <c r="H4670" s="831">
        <v>83.81</v>
      </c>
      <c r="I4670" s="846"/>
      <c r="J4670" s="846"/>
      <c r="K4670" s="846"/>
      <c r="L4670" s="846"/>
      <c r="M4670" s="846"/>
      <c r="N4670" s="846"/>
      <c r="O4670" s="846"/>
      <c r="P4670" s="846"/>
      <c r="Q4670" s="846"/>
      <c r="R4670" s="846"/>
      <c r="S4670" s="846"/>
      <c r="T4670" s="846"/>
    </row>
    <row r="4671" spans="2:20" ht="38.25" hidden="1">
      <c r="B4671" s="828" t="s">
        <v>6547</v>
      </c>
      <c r="C4671" s="828">
        <v>97521</v>
      </c>
      <c r="D4671" s="630" t="s">
        <v>5172</v>
      </c>
      <c r="E4671" s="630" t="s">
        <v>646</v>
      </c>
      <c r="F4671" s="829">
        <v>101.36</v>
      </c>
      <c r="G4671" s="830">
        <v>15.28</v>
      </c>
      <c r="H4671" s="831">
        <v>116.64</v>
      </c>
      <c r="I4671" s="846"/>
      <c r="J4671" s="846"/>
      <c r="K4671" s="846"/>
      <c r="L4671" s="846"/>
      <c r="M4671" s="846"/>
      <c r="N4671" s="846"/>
      <c r="O4671" s="846"/>
      <c r="P4671" s="846"/>
      <c r="Q4671" s="846"/>
      <c r="R4671" s="846"/>
      <c r="S4671" s="846"/>
      <c r="T4671" s="846"/>
    </row>
    <row r="4672" spans="2:20" ht="38.25" hidden="1">
      <c r="B4672" s="828" t="s">
        <v>6547</v>
      </c>
      <c r="C4672" s="828">
        <v>97522</v>
      </c>
      <c r="D4672" s="630" t="s">
        <v>5173</v>
      </c>
      <c r="E4672" s="630" t="s">
        <v>646</v>
      </c>
      <c r="F4672" s="829">
        <v>101.36</v>
      </c>
      <c r="G4672" s="830">
        <v>15.28</v>
      </c>
      <c r="H4672" s="831">
        <v>116.64</v>
      </c>
      <c r="I4672" s="846"/>
      <c r="J4672" s="846"/>
      <c r="K4672" s="846"/>
      <c r="L4672" s="846"/>
      <c r="M4672" s="846"/>
      <c r="N4672" s="846"/>
      <c r="O4672" s="846"/>
      <c r="P4672" s="846"/>
      <c r="Q4672" s="846"/>
      <c r="R4672" s="846"/>
      <c r="S4672" s="846"/>
      <c r="T4672" s="846"/>
    </row>
    <row r="4673" spans="2:20" ht="38.25" hidden="1">
      <c r="B4673" s="828" t="s">
        <v>6547</v>
      </c>
      <c r="C4673" s="828">
        <v>97523</v>
      </c>
      <c r="D4673" s="630" t="s">
        <v>5174</v>
      </c>
      <c r="E4673" s="630" t="s">
        <v>646</v>
      </c>
      <c r="F4673" s="829">
        <v>142.84</v>
      </c>
      <c r="G4673" s="830">
        <v>17.64</v>
      </c>
      <c r="H4673" s="831">
        <v>160.47999999999999</v>
      </c>
      <c r="I4673" s="846"/>
      <c r="J4673" s="846"/>
      <c r="K4673" s="846"/>
      <c r="L4673" s="846"/>
      <c r="M4673" s="846"/>
      <c r="N4673" s="846"/>
      <c r="O4673" s="846"/>
      <c r="P4673" s="846"/>
      <c r="Q4673" s="846"/>
      <c r="R4673" s="846"/>
      <c r="S4673" s="846"/>
      <c r="T4673" s="846"/>
    </row>
    <row r="4674" spans="2:20" ht="38.25" hidden="1">
      <c r="B4674" s="828" t="s">
        <v>6547</v>
      </c>
      <c r="C4674" s="828">
        <v>97524</v>
      </c>
      <c r="D4674" s="630" t="s">
        <v>5175</v>
      </c>
      <c r="E4674" s="630" t="s">
        <v>646</v>
      </c>
      <c r="F4674" s="829">
        <v>155.44999999999999</v>
      </c>
      <c r="G4674" s="830">
        <v>17.64</v>
      </c>
      <c r="H4674" s="831">
        <v>173.09</v>
      </c>
      <c r="I4674" s="846"/>
      <c r="J4674" s="846"/>
      <c r="K4674" s="846"/>
      <c r="L4674" s="846"/>
      <c r="M4674" s="846"/>
      <c r="N4674" s="846"/>
      <c r="O4674" s="846"/>
      <c r="P4674" s="846"/>
      <c r="Q4674" s="846"/>
      <c r="R4674" s="846"/>
      <c r="S4674" s="846"/>
      <c r="T4674" s="846"/>
    </row>
    <row r="4675" spans="2:20" ht="38.25" hidden="1">
      <c r="B4675" s="828" t="s">
        <v>6547</v>
      </c>
      <c r="C4675" s="828">
        <v>97525</v>
      </c>
      <c r="D4675" s="630" t="s">
        <v>5176</v>
      </c>
      <c r="E4675" s="630" t="s">
        <v>646</v>
      </c>
      <c r="F4675" s="829">
        <v>280.77</v>
      </c>
      <c r="G4675" s="830">
        <v>21.16</v>
      </c>
      <c r="H4675" s="831">
        <v>301.93</v>
      </c>
      <c r="I4675" s="846"/>
      <c r="J4675" s="846"/>
      <c r="K4675" s="846"/>
      <c r="L4675" s="846"/>
      <c r="M4675" s="846"/>
      <c r="N4675" s="846"/>
      <c r="O4675" s="846"/>
      <c r="P4675" s="846"/>
      <c r="Q4675" s="846"/>
      <c r="R4675" s="846"/>
      <c r="S4675" s="846"/>
      <c r="T4675" s="846"/>
    </row>
    <row r="4676" spans="2:20" ht="38.25" hidden="1">
      <c r="B4676" s="828" t="s">
        <v>6547</v>
      </c>
      <c r="C4676" s="828">
        <v>97526</v>
      </c>
      <c r="D4676" s="630" t="s">
        <v>5177</v>
      </c>
      <c r="E4676" s="630" t="s">
        <v>646</v>
      </c>
      <c r="F4676" s="829">
        <v>300.94</v>
      </c>
      <c r="G4676" s="830">
        <v>21.16</v>
      </c>
      <c r="H4676" s="831">
        <v>322.10000000000002</v>
      </c>
      <c r="I4676" s="846"/>
      <c r="J4676" s="846"/>
      <c r="K4676" s="846"/>
      <c r="L4676" s="846"/>
      <c r="M4676" s="846"/>
      <c r="N4676" s="846"/>
      <c r="O4676" s="846"/>
      <c r="P4676" s="846"/>
      <c r="Q4676" s="846"/>
      <c r="R4676" s="846"/>
      <c r="S4676" s="846"/>
      <c r="T4676" s="846"/>
    </row>
    <row r="4677" spans="2:20" ht="38.25" hidden="1">
      <c r="B4677" s="828" t="s">
        <v>6547</v>
      </c>
      <c r="C4677" s="828">
        <v>97527</v>
      </c>
      <c r="D4677" s="630" t="s">
        <v>5178</v>
      </c>
      <c r="E4677" s="630" t="s">
        <v>646</v>
      </c>
      <c r="F4677" s="829">
        <v>716.17</v>
      </c>
      <c r="G4677" s="830">
        <v>24.67</v>
      </c>
      <c r="H4677" s="831">
        <v>740.84</v>
      </c>
      <c r="I4677" s="846"/>
      <c r="J4677" s="846"/>
      <c r="K4677" s="846"/>
      <c r="L4677" s="846"/>
      <c r="M4677" s="846"/>
      <c r="N4677" s="846"/>
      <c r="O4677" s="846"/>
      <c r="P4677" s="846"/>
      <c r="Q4677" s="846"/>
      <c r="R4677" s="846"/>
      <c r="S4677" s="846"/>
      <c r="T4677" s="846"/>
    </row>
    <row r="4678" spans="2:20" ht="38.25" hidden="1">
      <c r="B4678" s="828" t="s">
        <v>6547</v>
      </c>
      <c r="C4678" s="828">
        <v>97528</v>
      </c>
      <c r="D4678" s="630" t="s">
        <v>5179</v>
      </c>
      <c r="E4678" s="630" t="s">
        <v>646</v>
      </c>
      <c r="F4678" s="829">
        <v>625.71</v>
      </c>
      <c r="G4678" s="830">
        <v>24.67</v>
      </c>
      <c r="H4678" s="831">
        <v>650.38</v>
      </c>
      <c r="I4678" s="846"/>
      <c r="J4678" s="846"/>
      <c r="K4678" s="846"/>
      <c r="L4678" s="846"/>
      <c r="M4678" s="846"/>
      <c r="N4678" s="846"/>
      <c r="O4678" s="846"/>
      <c r="P4678" s="846"/>
      <c r="Q4678" s="846"/>
      <c r="R4678" s="846"/>
      <c r="S4678" s="846"/>
      <c r="T4678" s="846"/>
    </row>
    <row r="4679" spans="2:20" ht="38.25" hidden="1">
      <c r="B4679" s="828" t="s">
        <v>6547</v>
      </c>
      <c r="C4679" s="828">
        <v>97529</v>
      </c>
      <c r="D4679" s="630" t="s">
        <v>5180</v>
      </c>
      <c r="E4679" s="630" t="s">
        <v>646</v>
      </c>
      <c r="F4679" s="829">
        <v>76.2</v>
      </c>
      <c r="G4679" s="830">
        <v>15.69</v>
      </c>
      <c r="H4679" s="831">
        <v>91.89</v>
      </c>
      <c r="I4679" s="846"/>
      <c r="J4679" s="846"/>
      <c r="K4679" s="846"/>
      <c r="L4679" s="846"/>
      <c r="M4679" s="846"/>
      <c r="N4679" s="846"/>
      <c r="O4679" s="846"/>
      <c r="P4679" s="846"/>
      <c r="Q4679" s="846"/>
      <c r="R4679" s="846"/>
      <c r="S4679" s="846"/>
      <c r="T4679" s="846"/>
    </row>
    <row r="4680" spans="2:20" ht="38.25" hidden="1">
      <c r="B4680" s="828" t="s">
        <v>6547</v>
      </c>
      <c r="C4680" s="828">
        <v>97530</v>
      </c>
      <c r="D4680" s="630" t="s">
        <v>5181</v>
      </c>
      <c r="E4680" s="630" t="s">
        <v>646</v>
      </c>
      <c r="F4680" s="829">
        <v>115.03</v>
      </c>
      <c r="G4680" s="830">
        <v>17.850000000000001</v>
      </c>
      <c r="H4680" s="831">
        <v>132.88</v>
      </c>
      <c r="I4680" s="846"/>
      <c r="J4680" s="846"/>
      <c r="K4680" s="846"/>
      <c r="L4680" s="846"/>
      <c r="M4680" s="846"/>
      <c r="N4680" s="846"/>
      <c r="O4680" s="846"/>
      <c r="P4680" s="846"/>
      <c r="Q4680" s="846"/>
      <c r="R4680" s="846"/>
      <c r="S4680" s="846"/>
      <c r="T4680" s="846"/>
    </row>
    <row r="4681" spans="2:20" ht="38.25" hidden="1">
      <c r="B4681" s="828" t="s">
        <v>6547</v>
      </c>
      <c r="C4681" s="828">
        <v>97531</v>
      </c>
      <c r="D4681" s="630" t="s">
        <v>5182</v>
      </c>
      <c r="E4681" s="630" t="s">
        <v>646</v>
      </c>
      <c r="F4681" s="829">
        <v>148.84</v>
      </c>
      <c r="G4681" s="830">
        <v>20.350000000000001</v>
      </c>
      <c r="H4681" s="831">
        <v>169.19</v>
      </c>
      <c r="I4681" s="846"/>
      <c r="J4681" s="846"/>
      <c r="K4681" s="846"/>
      <c r="L4681" s="846"/>
      <c r="M4681" s="846"/>
      <c r="N4681" s="846"/>
      <c r="O4681" s="846"/>
      <c r="P4681" s="846"/>
      <c r="Q4681" s="846"/>
      <c r="R4681" s="846"/>
      <c r="S4681" s="846"/>
      <c r="T4681" s="846"/>
    </row>
    <row r="4682" spans="2:20" ht="38.25" hidden="1">
      <c r="B4682" s="828" t="s">
        <v>6547</v>
      </c>
      <c r="C4682" s="828">
        <v>97532</v>
      </c>
      <c r="D4682" s="630" t="s">
        <v>5183</v>
      </c>
      <c r="E4682" s="630" t="s">
        <v>646</v>
      </c>
      <c r="F4682" s="829">
        <v>241.08</v>
      </c>
      <c r="G4682" s="830">
        <v>23.54</v>
      </c>
      <c r="H4682" s="831">
        <v>264.62</v>
      </c>
      <c r="I4682" s="846"/>
      <c r="J4682" s="846"/>
      <c r="K4682" s="846"/>
      <c r="L4682" s="846"/>
      <c r="M4682" s="846"/>
      <c r="N4682" s="846"/>
      <c r="O4682" s="846"/>
      <c r="P4682" s="846"/>
      <c r="Q4682" s="846"/>
      <c r="R4682" s="846"/>
      <c r="S4682" s="846"/>
      <c r="T4682" s="846"/>
    </row>
    <row r="4683" spans="2:20" ht="38.25" hidden="1">
      <c r="B4683" s="828" t="s">
        <v>6547</v>
      </c>
      <c r="C4683" s="828">
        <v>97533</v>
      </c>
      <c r="D4683" s="630" t="s">
        <v>5184</v>
      </c>
      <c r="E4683" s="630" t="s">
        <v>646</v>
      </c>
      <c r="F4683" s="829">
        <v>466.06</v>
      </c>
      <c r="G4683" s="830">
        <v>31.85</v>
      </c>
      <c r="H4683" s="831">
        <v>497.91</v>
      </c>
      <c r="I4683" s="846"/>
      <c r="J4683" s="846"/>
      <c r="K4683" s="846"/>
      <c r="L4683" s="846"/>
      <c r="M4683" s="846"/>
      <c r="N4683" s="846"/>
      <c r="O4683" s="846"/>
      <c r="P4683" s="846"/>
      <c r="Q4683" s="846"/>
      <c r="R4683" s="846"/>
      <c r="S4683" s="846"/>
      <c r="T4683" s="846"/>
    </row>
    <row r="4684" spans="2:20" ht="38.25" hidden="1">
      <c r="B4684" s="828" t="s">
        <v>6547</v>
      </c>
      <c r="C4684" s="828">
        <v>97534</v>
      </c>
      <c r="D4684" s="630" t="s">
        <v>5185</v>
      </c>
      <c r="E4684" s="630" t="s">
        <v>646</v>
      </c>
      <c r="F4684" s="829">
        <v>755.45</v>
      </c>
      <c r="G4684" s="830">
        <v>32.94</v>
      </c>
      <c r="H4684" s="831">
        <v>788.39</v>
      </c>
      <c r="I4684" s="846"/>
      <c r="J4684" s="846"/>
      <c r="K4684" s="846"/>
      <c r="L4684" s="846"/>
      <c r="M4684" s="846"/>
      <c r="N4684" s="846"/>
      <c r="O4684" s="846"/>
      <c r="P4684" s="846"/>
      <c r="Q4684" s="846"/>
      <c r="R4684" s="846"/>
      <c r="S4684" s="846"/>
      <c r="T4684" s="846"/>
    </row>
    <row r="4685" spans="2:20" ht="25.5" hidden="1">
      <c r="B4685" s="828" t="s">
        <v>6547</v>
      </c>
      <c r="C4685" s="828">
        <v>97537</v>
      </c>
      <c r="D4685" s="630" t="s">
        <v>5188</v>
      </c>
      <c r="E4685" s="630" t="s">
        <v>646</v>
      </c>
      <c r="F4685" s="829">
        <v>19.510000000000002</v>
      </c>
      <c r="G4685" s="830">
        <v>7.7</v>
      </c>
      <c r="H4685" s="831">
        <v>27.21</v>
      </c>
      <c r="I4685" s="846"/>
      <c r="J4685" s="846"/>
      <c r="K4685" s="846"/>
      <c r="L4685" s="846"/>
      <c r="M4685" s="846"/>
      <c r="N4685" s="846"/>
      <c r="O4685" s="846"/>
      <c r="P4685" s="846"/>
      <c r="Q4685" s="846"/>
      <c r="R4685" s="846"/>
      <c r="S4685" s="846"/>
      <c r="T4685" s="846"/>
    </row>
    <row r="4686" spans="2:20" ht="25.5" hidden="1">
      <c r="B4686" s="828" t="s">
        <v>6547</v>
      </c>
      <c r="C4686" s="828">
        <v>97540</v>
      </c>
      <c r="D4686" s="630" t="s">
        <v>5189</v>
      </c>
      <c r="E4686" s="630" t="s">
        <v>646</v>
      </c>
      <c r="F4686" s="829">
        <v>23.27</v>
      </c>
      <c r="G4686" s="830">
        <v>13.28</v>
      </c>
      <c r="H4686" s="831">
        <v>36.549999999999997</v>
      </c>
      <c r="I4686" s="846"/>
      <c r="J4686" s="846"/>
      <c r="K4686" s="846"/>
      <c r="L4686" s="846"/>
      <c r="M4686" s="846"/>
      <c r="N4686" s="846"/>
      <c r="O4686" s="846"/>
      <c r="P4686" s="846"/>
      <c r="Q4686" s="846"/>
      <c r="R4686" s="846"/>
      <c r="S4686" s="846"/>
      <c r="T4686" s="846"/>
    </row>
    <row r="4687" spans="2:20" ht="38.25" hidden="1">
      <c r="B4687" s="828" t="s">
        <v>6547</v>
      </c>
      <c r="C4687" s="828">
        <v>97541</v>
      </c>
      <c r="D4687" s="630" t="s">
        <v>5190</v>
      </c>
      <c r="E4687" s="630" t="s">
        <v>646</v>
      </c>
      <c r="F4687" s="829">
        <v>17.89</v>
      </c>
      <c r="G4687" s="830">
        <v>13.29</v>
      </c>
      <c r="H4687" s="831">
        <v>31.18</v>
      </c>
      <c r="I4687" s="846"/>
      <c r="J4687" s="846"/>
      <c r="K4687" s="846"/>
      <c r="L4687" s="846"/>
      <c r="M4687" s="846"/>
      <c r="N4687" s="846"/>
      <c r="O4687" s="846"/>
      <c r="P4687" s="846"/>
      <c r="Q4687" s="846"/>
      <c r="R4687" s="846"/>
      <c r="S4687" s="846"/>
      <c r="T4687" s="846"/>
    </row>
    <row r="4688" spans="2:20" ht="25.5" hidden="1">
      <c r="B4688" s="828" t="s">
        <v>6547</v>
      </c>
      <c r="C4688" s="828">
        <v>97543</v>
      </c>
      <c r="D4688" s="630" t="s">
        <v>5191</v>
      </c>
      <c r="E4688" s="630" t="s">
        <v>646</v>
      </c>
      <c r="F4688" s="829">
        <v>33.65</v>
      </c>
      <c r="G4688" s="830">
        <v>25.8</v>
      </c>
      <c r="H4688" s="831">
        <v>59.45</v>
      </c>
      <c r="I4688" s="846"/>
      <c r="J4688" s="846"/>
      <c r="K4688" s="846"/>
      <c r="L4688" s="846"/>
      <c r="M4688" s="846"/>
      <c r="N4688" s="846"/>
      <c r="O4688" s="846"/>
      <c r="P4688" s="846"/>
      <c r="Q4688" s="846"/>
      <c r="R4688" s="846"/>
      <c r="S4688" s="846"/>
      <c r="T4688" s="846"/>
    </row>
    <row r="4689" spans="2:20" ht="38.25" hidden="1">
      <c r="B4689" s="828" t="s">
        <v>6547</v>
      </c>
      <c r="C4689" s="828">
        <v>97544</v>
      </c>
      <c r="D4689" s="630" t="s">
        <v>5192</v>
      </c>
      <c r="E4689" s="630" t="s">
        <v>646</v>
      </c>
      <c r="F4689" s="829">
        <v>27.17</v>
      </c>
      <c r="G4689" s="830">
        <v>25.81</v>
      </c>
      <c r="H4689" s="831">
        <v>52.98</v>
      </c>
      <c r="I4689" s="846"/>
      <c r="J4689" s="846"/>
      <c r="K4689" s="846"/>
      <c r="L4689" s="846"/>
      <c r="M4689" s="846"/>
      <c r="N4689" s="846"/>
      <c r="O4689" s="846"/>
      <c r="P4689" s="846"/>
      <c r="Q4689" s="846"/>
      <c r="R4689" s="846"/>
      <c r="S4689" s="846"/>
      <c r="T4689" s="846"/>
    </row>
    <row r="4690" spans="2:20" ht="38.25" hidden="1">
      <c r="B4690" s="828" t="s">
        <v>6547</v>
      </c>
      <c r="C4690" s="828">
        <v>97546</v>
      </c>
      <c r="D4690" s="630" t="s">
        <v>5193</v>
      </c>
      <c r="E4690" s="630" t="s">
        <v>646</v>
      </c>
      <c r="F4690" s="829">
        <v>26.4</v>
      </c>
      <c r="G4690" s="830">
        <v>11.63</v>
      </c>
      <c r="H4690" s="831">
        <v>38.03</v>
      </c>
      <c r="I4690" s="846"/>
      <c r="J4690" s="846"/>
      <c r="K4690" s="846"/>
      <c r="L4690" s="846"/>
      <c r="M4690" s="846"/>
      <c r="N4690" s="846"/>
      <c r="O4690" s="846"/>
      <c r="P4690" s="846"/>
      <c r="Q4690" s="846"/>
      <c r="R4690" s="846"/>
      <c r="S4690" s="846"/>
      <c r="T4690" s="846"/>
    </row>
    <row r="4691" spans="2:20" ht="38.25" hidden="1">
      <c r="B4691" s="828" t="s">
        <v>6547</v>
      </c>
      <c r="C4691" s="828">
        <v>97547</v>
      </c>
      <c r="D4691" s="630" t="s">
        <v>5194</v>
      </c>
      <c r="E4691" s="630" t="s">
        <v>646</v>
      </c>
      <c r="F4691" s="829">
        <v>26.4</v>
      </c>
      <c r="G4691" s="830">
        <v>11.63</v>
      </c>
      <c r="H4691" s="831">
        <v>38.03</v>
      </c>
      <c r="I4691" s="846"/>
      <c r="J4691" s="846"/>
      <c r="K4691" s="846"/>
      <c r="L4691" s="846"/>
      <c r="M4691" s="846"/>
      <c r="N4691" s="846"/>
      <c r="O4691" s="846"/>
      <c r="P4691" s="846"/>
      <c r="Q4691" s="846"/>
      <c r="R4691" s="846"/>
      <c r="S4691" s="846"/>
      <c r="T4691" s="846"/>
    </row>
    <row r="4692" spans="2:20" ht="38.25" hidden="1">
      <c r="B4692" s="828" t="s">
        <v>6547</v>
      </c>
      <c r="C4692" s="828">
        <v>97548</v>
      </c>
      <c r="D4692" s="630" t="s">
        <v>5195</v>
      </c>
      <c r="E4692" s="630" t="s">
        <v>646</v>
      </c>
      <c r="F4692" s="829">
        <v>36.46</v>
      </c>
      <c r="G4692" s="830">
        <v>19.899999999999999</v>
      </c>
      <c r="H4692" s="831">
        <v>56.36</v>
      </c>
      <c r="I4692" s="846"/>
      <c r="J4692" s="846"/>
      <c r="K4692" s="846"/>
      <c r="L4692" s="846"/>
      <c r="M4692" s="846"/>
      <c r="N4692" s="846"/>
      <c r="O4692" s="846"/>
      <c r="P4692" s="846"/>
      <c r="Q4692" s="846"/>
      <c r="R4692" s="846"/>
      <c r="S4692" s="846"/>
      <c r="T4692" s="846"/>
    </row>
    <row r="4693" spans="2:20" ht="38.25" hidden="1">
      <c r="B4693" s="828" t="s">
        <v>6547</v>
      </c>
      <c r="C4693" s="828">
        <v>97549</v>
      </c>
      <c r="D4693" s="630" t="s">
        <v>5196</v>
      </c>
      <c r="E4693" s="630" t="s">
        <v>646</v>
      </c>
      <c r="F4693" s="829">
        <v>36.46</v>
      </c>
      <c r="G4693" s="830">
        <v>19.899999999999999</v>
      </c>
      <c r="H4693" s="831">
        <v>56.36</v>
      </c>
      <c r="I4693" s="846"/>
      <c r="J4693" s="846"/>
      <c r="K4693" s="846"/>
      <c r="L4693" s="846"/>
      <c r="M4693" s="846"/>
      <c r="N4693" s="846"/>
      <c r="O4693" s="846"/>
      <c r="P4693" s="846"/>
      <c r="Q4693" s="846"/>
      <c r="R4693" s="846"/>
      <c r="S4693" s="846"/>
      <c r="T4693" s="846"/>
    </row>
    <row r="4694" spans="2:20" ht="25.5" hidden="1">
      <c r="B4694" s="828" t="s">
        <v>6547</v>
      </c>
      <c r="C4694" s="828">
        <v>97550</v>
      </c>
      <c r="D4694" s="630" t="s">
        <v>5197</v>
      </c>
      <c r="E4694" s="630" t="s">
        <v>646</v>
      </c>
      <c r="F4694" s="829">
        <v>54.81</v>
      </c>
      <c r="G4694" s="830">
        <v>38.729999999999997</v>
      </c>
      <c r="H4694" s="831">
        <v>93.54</v>
      </c>
      <c r="I4694" s="846"/>
      <c r="J4694" s="846"/>
      <c r="K4694" s="846"/>
      <c r="L4694" s="846"/>
      <c r="M4694" s="846"/>
      <c r="N4694" s="846"/>
      <c r="O4694" s="846"/>
      <c r="P4694" s="846"/>
      <c r="Q4694" s="846"/>
      <c r="R4694" s="846"/>
      <c r="S4694" s="846"/>
      <c r="T4694" s="846"/>
    </row>
    <row r="4695" spans="2:20" ht="25.5" hidden="1">
      <c r="B4695" s="828" t="s">
        <v>6547</v>
      </c>
      <c r="C4695" s="828">
        <v>97551</v>
      </c>
      <c r="D4695" s="630" t="s">
        <v>5198</v>
      </c>
      <c r="E4695" s="630" t="s">
        <v>646</v>
      </c>
      <c r="F4695" s="829">
        <v>54.81</v>
      </c>
      <c r="G4695" s="830">
        <v>38.729999999999997</v>
      </c>
      <c r="H4695" s="831">
        <v>93.54</v>
      </c>
      <c r="I4695" s="846"/>
      <c r="J4695" s="846"/>
      <c r="K4695" s="846"/>
      <c r="L4695" s="846"/>
      <c r="M4695" s="846"/>
      <c r="N4695" s="846"/>
      <c r="O4695" s="846"/>
      <c r="P4695" s="846"/>
      <c r="Q4695" s="846"/>
      <c r="R4695" s="846"/>
      <c r="S4695" s="846"/>
      <c r="T4695" s="846"/>
    </row>
    <row r="4696" spans="2:20" ht="25.5" hidden="1">
      <c r="B4696" s="828" t="s">
        <v>6547</v>
      </c>
      <c r="C4696" s="828">
        <v>97552</v>
      </c>
      <c r="D4696" s="630" t="s">
        <v>5199</v>
      </c>
      <c r="E4696" s="630" t="s">
        <v>646</v>
      </c>
      <c r="F4696" s="829">
        <v>39.92</v>
      </c>
      <c r="G4696" s="830">
        <v>15.49</v>
      </c>
      <c r="H4696" s="831">
        <v>55.41</v>
      </c>
      <c r="I4696" s="846"/>
      <c r="J4696" s="846"/>
      <c r="K4696" s="846"/>
      <c r="L4696" s="846"/>
      <c r="M4696" s="846"/>
      <c r="N4696" s="846"/>
      <c r="O4696" s="846"/>
      <c r="P4696" s="846"/>
      <c r="Q4696" s="846"/>
      <c r="R4696" s="846"/>
      <c r="S4696" s="846"/>
      <c r="T4696" s="846"/>
    </row>
    <row r="4697" spans="2:20" ht="25.5" hidden="1">
      <c r="B4697" s="828" t="s">
        <v>6547</v>
      </c>
      <c r="C4697" s="828">
        <v>97553</v>
      </c>
      <c r="D4697" s="630" t="s">
        <v>5200</v>
      </c>
      <c r="E4697" s="630" t="s">
        <v>646</v>
      </c>
      <c r="F4697" s="829">
        <v>53.29</v>
      </c>
      <c r="G4697" s="830">
        <v>26.55</v>
      </c>
      <c r="H4697" s="831">
        <v>79.84</v>
      </c>
      <c r="I4697" s="846"/>
      <c r="J4697" s="846"/>
      <c r="K4697" s="846"/>
      <c r="L4697" s="846"/>
      <c r="M4697" s="846"/>
      <c r="N4697" s="846"/>
      <c r="O4697" s="846"/>
      <c r="P4697" s="846"/>
      <c r="Q4697" s="846"/>
      <c r="R4697" s="846"/>
      <c r="S4697" s="846"/>
      <c r="T4697" s="846"/>
    </row>
    <row r="4698" spans="2:20" ht="25.5" hidden="1">
      <c r="B4698" s="828" t="s">
        <v>6547</v>
      </c>
      <c r="C4698" s="828">
        <v>97554</v>
      </c>
      <c r="D4698" s="630" t="s">
        <v>5201</v>
      </c>
      <c r="E4698" s="630" t="s">
        <v>646</v>
      </c>
      <c r="F4698" s="829">
        <v>86.59</v>
      </c>
      <c r="G4698" s="830">
        <v>51.64</v>
      </c>
      <c r="H4698" s="831">
        <v>138.22999999999999</v>
      </c>
      <c r="I4698" s="846"/>
      <c r="J4698" s="846"/>
      <c r="K4698" s="846"/>
      <c r="L4698" s="846"/>
      <c r="M4698" s="846"/>
      <c r="N4698" s="846"/>
      <c r="O4698" s="846"/>
      <c r="P4698" s="846"/>
      <c r="Q4698" s="846"/>
      <c r="R4698" s="846"/>
      <c r="S4698" s="846"/>
      <c r="T4698" s="846"/>
    </row>
    <row r="4699" spans="2:20" ht="38.25" hidden="1">
      <c r="B4699" s="828" t="s">
        <v>6547</v>
      </c>
      <c r="C4699" s="828">
        <v>98602</v>
      </c>
      <c r="D4699" s="630" t="s">
        <v>7352</v>
      </c>
      <c r="E4699" s="630" t="s">
        <v>646</v>
      </c>
      <c r="F4699" s="829">
        <v>16.73</v>
      </c>
      <c r="G4699" s="830">
        <v>2.8</v>
      </c>
      <c r="H4699" s="831">
        <v>19.53</v>
      </c>
      <c r="I4699" s="846"/>
      <c r="J4699" s="846"/>
      <c r="K4699" s="846"/>
      <c r="L4699" s="846"/>
      <c r="M4699" s="846"/>
      <c r="N4699" s="846"/>
      <c r="O4699" s="846"/>
      <c r="P4699" s="846"/>
      <c r="Q4699" s="846"/>
      <c r="R4699" s="846"/>
      <c r="S4699" s="846"/>
      <c r="T4699" s="846"/>
    </row>
    <row r="4700" spans="2:20" ht="38.25" hidden="1">
      <c r="B4700" s="828" t="s">
        <v>6547</v>
      </c>
      <c r="C4700" s="828">
        <v>103805</v>
      </c>
      <c r="D4700" s="630" t="s">
        <v>7353</v>
      </c>
      <c r="E4700" s="630" t="s">
        <v>646</v>
      </c>
      <c r="F4700" s="829">
        <v>9.48</v>
      </c>
      <c r="G4700" s="830">
        <v>10.43</v>
      </c>
      <c r="H4700" s="831">
        <v>19.91</v>
      </c>
      <c r="I4700" s="846"/>
      <c r="J4700" s="846"/>
      <c r="K4700" s="846"/>
      <c r="L4700" s="846"/>
      <c r="M4700" s="846"/>
      <c r="N4700" s="846"/>
      <c r="O4700" s="846"/>
      <c r="P4700" s="846"/>
      <c r="Q4700" s="846"/>
      <c r="R4700" s="846"/>
      <c r="S4700" s="846"/>
      <c r="T4700" s="846"/>
    </row>
    <row r="4701" spans="2:20" ht="38.25" hidden="1">
      <c r="B4701" s="828" t="s">
        <v>6547</v>
      </c>
      <c r="C4701" s="828">
        <v>103806</v>
      </c>
      <c r="D4701" s="630" t="s">
        <v>7354</v>
      </c>
      <c r="E4701" s="630" t="s">
        <v>646</v>
      </c>
      <c r="F4701" s="829">
        <v>9.4499999999999993</v>
      </c>
      <c r="G4701" s="830">
        <v>10.43</v>
      </c>
      <c r="H4701" s="831">
        <v>19.88</v>
      </c>
      <c r="I4701" s="846"/>
      <c r="J4701" s="846"/>
      <c r="K4701" s="846"/>
      <c r="L4701" s="846"/>
      <c r="M4701" s="846"/>
      <c r="N4701" s="846"/>
      <c r="O4701" s="846"/>
      <c r="P4701" s="846"/>
      <c r="Q4701" s="846"/>
      <c r="R4701" s="846"/>
      <c r="S4701" s="846"/>
      <c r="T4701" s="846"/>
    </row>
    <row r="4702" spans="2:20" ht="38.25" hidden="1">
      <c r="B4702" s="828" t="s">
        <v>6547</v>
      </c>
      <c r="C4702" s="828">
        <v>103807</v>
      </c>
      <c r="D4702" s="630" t="s">
        <v>7355</v>
      </c>
      <c r="E4702" s="630" t="s">
        <v>646</v>
      </c>
      <c r="F4702" s="829">
        <v>17.23</v>
      </c>
      <c r="G4702" s="830">
        <v>6.74</v>
      </c>
      <c r="H4702" s="831">
        <v>23.97</v>
      </c>
      <c r="I4702" s="846"/>
      <c r="J4702" s="846"/>
      <c r="K4702" s="846"/>
      <c r="L4702" s="846"/>
      <c r="M4702" s="846"/>
      <c r="N4702" s="846"/>
      <c r="O4702" s="846"/>
      <c r="P4702" s="846"/>
      <c r="Q4702" s="846"/>
      <c r="R4702" s="846"/>
      <c r="S4702" s="846"/>
      <c r="T4702" s="846"/>
    </row>
    <row r="4703" spans="2:20" ht="38.25" hidden="1">
      <c r="B4703" s="828" t="s">
        <v>6547</v>
      </c>
      <c r="C4703" s="828">
        <v>103808</v>
      </c>
      <c r="D4703" s="630" t="s">
        <v>7356</v>
      </c>
      <c r="E4703" s="630" t="s">
        <v>646</v>
      </c>
      <c r="F4703" s="829">
        <v>19.32</v>
      </c>
      <c r="G4703" s="830">
        <v>17.850000000000001</v>
      </c>
      <c r="H4703" s="831">
        <v>37.17</v>
      </c>
      <c r="I4703" s="846"/>
      <c r="J4703" s="846"/>
      <c r="K4703" s="846"/>
      <c r="L4703" s="846"/>
      <c r="M4703" s="846"/>
      <c r="N4703" s="846"/>
      <c r="O4703" s="846"/>
      <c r="P4703" s="846"/>
      <c r="Q4703" s="846"/>
      <c r="R4703" s="846"/>
      <c r="S4703" s="846"/>
      <c r="T4703" s="846"/>
    </row>
    <row r="4704" spans="2:20" ht="38.25" hidden="1">
      <c r="B4704" s="828" t="s">
        <v>6547</v>
      </c>
      <c r="C4704" s="828">
        <v>103809</v>
      </c>
      <c r="D4704" s="630" t="s">
        <v>7357</v>
      </c>
      <c r="E4704" s="630" t="s">
        <v>646</v>
      </c>
      <c r="F4704" s="829">
        <v>19.010000000000002</v>
      </c>
      <c r="G4704" s="830">
        <v>17.850000000000001</v>
      </c>
      <c r="H4704" s="831">
        <v>36.86</v>
      </c>
      <c r="I4704" s="846"/>
      <c r="J4704" s="846"/>
      <c r="K4704" s="846"/>
      <c r="L4704" s="846"/>
      <c r="M4704" s="846"/>
      <c r="N4704" s="846"/>
      <c r="O4704" s="846"/>
      <c r="P4704" s="846"/>
      <c r="Q4704" s="846"/>
      <c r="R4704" s="846"/>
      <c r="S4704" s="846"/>
      <c r="T4704" s="846"/>
    </row>
    <row r="4705" spans="2:20" ht="38.25" hidden="1">
      <c r="B4705" s="828" t="s">
        <v>6547</v>
      </c>
      <c r="C4705" s="828">
        <v>103810</v>
      </c>
      <c r="D4705" s="630" t="s">
        <v>7358</v>
      </c>
      <c r="E4705" s="630" t="s">
        <v>646</v>
      </c>
      <c r="F4705" s="829">
        <v>26.48</v>
      </c>
      <c r="G4705" s="830">
        <v>10.46</v>
      </c>
      <c r="H4705" s="831">
        <v>36.94</v>
      </c>
      <c r="I4705" s="846"/>
      <c r="J4705" s="846"/>
      <c r="K4705" s="846"/>
      <c r="L4705" s="846"/>
      <c r="M4705" s="846"/>
      <c r="N4705" s="846"/>
      <c r="O4705" s="846"/>
      <c r="P4705" s="846"/>
      <c r="Q4705" s="846"/>
      <c r="R4705" s="846"/>
      <c r="S4705" s="846"/>
      <c r="T4705" s="846"/>
    </row>
    <row r="4706" spans="2:20" ht="38.25" hidden="1">
      <c r="B4706" s="828" t="s">
        <v>6547</v>
      </c>
      <c r="C4706" s="828">
        <v>103811</v>
      </c>
      <c r="D4706" s="630" t="s">
        <v>7359</v>
      </c>
      <c r="E4706" s="630" t="s">
        <v>646</v>
      </c>
      <c r="F4706" s="829">
        <v>29.47</v>
      </c>
      <c r="G4706" s="830">
        <v>11.28</v>
      </c>
      <c r="H4706" s="831">
        <v>40.75</v>
      </c>
      <c r="I4706" s="846"/>
      <c r="J4706" s="846"/>
      <c r="K4706" s="846"/>
      <c r="L4706" s="846"/>
      <c r="M4706" s="846"/>
      <c r="N4706" s="846"/>
      <c r="O4706" s="846"/>
      <c r="P4706" s="846"/>
      <c r="Q4706" s="846"/>
      <c r="R4706" s="846"/>
      <c r="S4706" s="846"/>
      <c r="T4706" s="846"/>
    </row>
    <row r="4707" spans="2:20" ht="38.25" hidden="1">
      <c r="B4707" s="828" t="s">
        <v>6547</v>
      </c>
      <c r="C4707" s="828">
        <v>103812</v>
      </c>
      <c r="D4707" s="630" t="s">
        <v>7360</v>
      </c>
      <c r="E4707" s="630" t="s">
        <v>646</v>
      </c>
      <c r="F4707" s="829">
        <v>30.71</v>
      </c>
      <c r="G4707" s="830">
        <v>24.21</v>
      </c>
      <c r="H4707" s="831">
        <v>54.92</v>
      </c>
      <c r="I4707" s="846"/>
      <c r="J4707" s="846"/>
      <c r="K4707" s="846"/>
      <c r="L4707" s="846"/>
      <c r="M4707" s="846"/>
      <c r="N4707" s="846"/>
      <c r="O4707" s="846"/>
      <c r="P4707" s="846"/>
      <c r="Q4707" s="846"/>
      <c r="R4707" s="846"/>
      <c r="S4707" s="846"/>
      <c r="T4707" s="846"/>
    </row>
    <row r="4708" spans="2:20" ht="38.25" hidden="1">
      <c r="B4708" s="828" t="s">
        <v>6547</v>
      </c>
      <c r="C4708" s="828">
        <v>103813</v>
      </c>
      <c r="D4708" s="630" t="s">
        <v>7361</v>
      </c>
      <c r="E4708" s="630" t="s">
        <v>646</v>
      </c>
      <c r="F4708" s="829">
        <v>28.81</v>
      </c>
      <c r="G4708" s="830">
        <v>24.21</v>
      </c>
      <c r="H4708" s="831">
        <v>53.02</v>
      </c>
      <c r="I4708" s="846"/>
      <c r="J4708" s="846"/>
      <c r="K4708" s="846"/>
      <c r="L4708" s="846"/>
      <c r="M4708" s="846"/>
      <c r="N4708" s="846"/>
      <c r="O4708" s="846"/>
      <c r="P4708" s="846"/>
      <c r="Q4708" s="846"/>
      <c r="R4708" s="846"/>
      <c r="S4708" s="846"/>
      <c r="T4708" s="846"/>
    </row>
    <row r="4709" spans="2:20" ht="38.25" hidden="1">
      <c r="B4709" s="828" t="s">
        <v>6547</v>
      </c>
      <c r="C4709" s="828">
        <v>103814</v>
      </c>
      <c r="D4709" s="630" t="s">
        <v>7362</v>
      </c>
      <c r="E4709" s="630" t="s">
        <v>646</v>
      </c>
      <c r="F4709" s="829">
        <v>6.06</v>
      </c>
      <c r="G4709" s="830">
        <v>6.96</v>
      </c>
      <c r="H4709" s="831">
        <v>13.02</v>
      </c>
      <c r="I4709" s="846"/>
      <c r="J4709" s="846"/>
      <c r="K4709" s="846"/>
      <c r="L4709" s="846"/>
      <c r="M4709" s="846"/>
      <c r="N4709" s="846"/>
      <c r="O4709" s="846"/>
      <c r="P4709" s="846"/>
      <c r="Q4709" s="846"/>
      <c r="R4709" s="846"/>
      <c r="S4709" s="846"/>
      <c r="T4709" s="846"/>
    </row>
    <row r="4710" spans="2:20" ht="38.25" hidden="1">
      <c r="B4710" s="828" t="s">
        <v>6547</v>
      </c>
      <c r="C4710" s="828">
        <v>103815</v>
      </c>
      <c r="D4710" s="630" t="s">
        <v>7363</v>
      </c>
      <c r="E4710" s="630" t="s">
        <v>646</v>
      </c>
      <c r="F4710" s="829">
        <v>6.1</v>
      </c>
      <c r="G4710" s="830">
        <v>6.96</v>
      </c>
      <c r="H4710" s="831">
        <v>13.06</v>
      </c>
      <c r="I4710" s="846"/>
      <c r="J4710" s="846"/>
      <c r="K4710" s="846"/>
      <c r="L4710" s="846"/>
      <c r="M4710" s="846"/>
      <c r="N4710" s="846"/>
      <c r="O4710" s="846"/>
      <c r="P4710" s="846"/>
      <c r="Q4710" s="846"/>
      <c r="R4710" s="846"/>
      <c r="S4710" s="846"/>
      <c r="T4710" s="846"/>
    </row>
    <row r="4711" spans="2:20" ht="38.25" hidden="1">
      <c r="B4711" s="828" t="s">
        <v>6547</v>
      </c>
      <c r="C4711" s="828">
        <v>103816</v>
      </c>
      <c r="D4711" s="630" t="s">
        <v>7364</v>
      </c>
      <c r="E4711" s="630" t="s">
        <v>646</v>
      </c>
      <c r="F4711" s="829">
        <v>22.56</v>
      </c>
      <c r="G4711" s="830">
        <v>6.93</v>
      </c>
      <c r="H4711" s="831">
        <v>29.49</v>
      </c>
      <c r="I4711" s="846"/>
      <c r="J4711" s="846"/>
      <c r="K4711" s="846"/>
      <c r="L4711" s="846"/>
      <c r="M4711" s="846"/>
      <c r="N4711" s="846"/>
      <c r="O4711" s="846"/>
      <c r="P4711" s="846"/>
      <c r="Q4711" s="846"/>
      <c r="R4711" s="846"/>
      <c r="S4711" s="846"/>
      <c r="T4711" s="846"/>
    </row>
    <row r="4712" spans="2:20" ht="38.25" hidden="1">
      <c r="B4712" s="828" t="s">
        <v>6547</v>
      </c>
      <c r="C4712" s="828">
        <v>103817</v>
      </c>
      <c r="D4712" s="630" t="s">
        <v>7365</v>
      </c>
      <c r="E4712" s="630" t="s">
        <v>646</v>
      </c>
      <c r="F4712" s="829">
        <v>479.52</v>
      </c>
      <c r="G4712" s="830">
        <v>6.92</v>
      </c>
      <c r="H4712" s="831">
        <v>486.44</v>
      </c>
      <c r="I4712" s="846"/>
      <c r="J4712" s="846"/>
      <c r="K4712" s="846"/>
      <c r="L4712" s="846"/>
      <c r="M4712" s="846"/>
      <c r="N4712" s="846"/>
      <c r="O4712" s="846"/>
      <c r="P4712" s="846"/>
      <c r="Q4712" s="846"/>
      <c r="R4712" s="846"/>
      <c r="S4712" s="846"/>
      <c r="T4712" s="846"/>
    </row>
    <row r="4713" spans="2:20" ht="38.25" hidden="1">
      <c r="B4713" s="828" t="s">
        <v>6547</v>
      </c>
      <c r="C4713" s="828">
        <v>103818</v>
      </c>
      <c r="D4713" s="630" t="s">
        <v>7366</v>
      </c>
      <c r="E4713" s="630" t="s">
        <v>646</v>
      </c>
      <c r="F4713" s="829">
        <v>16.850000000000001</v>
      </c>
      <c r="G4713" s="830">
        <v>5.01</v>
      </c>
      <c r="H4713" s="831">
        <v>21.86</v>
      </c>
      <c r="I4713" s="846"/>
      <c r="J4713" s="846"/>
      <c r="K4713" s="846"/>
      <c r="L4713" s="846"/>
      <c r="M4713" s="846"/>
      <c r="N4713" s="846"/>
      <c r="O4713" s="846"/>
      <c r="P4713" s="846"/>
      <c r="Q4713" s="846"/>
      <c r="R4713" s="846"/>
      <c r="S4713" s="846"/>
      <c r="T4713" s="846"/>
    </row>
    <row r="4714" spans="2:20" ht="38.25" hidden="1">
      <c r="B4714" s="828" t="s">
        <v>6547</v>
      </c>
      <c r="C4714" s="828">
        <v>103819</v>
      </c>
      <c r="D4714" s="630" t="s">
        <v>7367</v>
      </c>
      <c r="E4714" s="630" t="s">
        <v>646</v>
      </c>
      <c r="F4714" s="829">
        <v>11.06</v>
      </c>
      <c r="G4714" s="830">
        <v>11.92</v>
      </c>
      <c r="H4714" s="831">
        <v>22.98</v>
      </c>
      <c r="I4714" s="846"/>
      <c r="J4714" s="846"/>
      <c r="K4714" s="846"/>
      <c r="L4714" s="846"/>
      <c r="M4714" s="846"/>
      <c r="N4714" s="846"/>
      <c r="O4714" s="846"/>
      <c r="P4714" s="846"/>
      <c r="Q4714" s="846"/>
      <c r="R4714" s="846"/>
      <c r="S4714" s="846"/>
      <c r="T4714" s="846"/>
    </row>
    <row r="4715" spans="2:20" ht="38.25" hidden="1">
      <c r="B4715" s="828" t="s">
        <v>6547</v>
      </c>
      <c r="C4715" s="828">
        <v>103820</v>
      </c>
      <c r="D4715" s="630" t="s">
        <v>7368</v>
      </c>
      <c r="E4715" s="630" t="s">
        <v>646</v>
      </c>
      <c r="F4715" s="829">
        <v>12.49</v>
      </c>
      <c r="G4715" s="830">
        <v>11.9</v>
      </c>
      <c r="H4715" s="831">
        <v>24.39</v>
      </c>
      <c r="I4715" s="846"/>
      <c r="J4715" s="846"/>
      <c r="K4715" s="846"/>
      <c r="L4715" s="846"/>
      <c r="M4715" s="846"/>
      <c r="N4715" s="846"/>
      <c r="O4715" s="846"/>
      <c r="P4715" s="846"/>
      <c r="Q4715" s="846"/>
      <c r="R4715" s="846"/>
      <c r="S4715" s="846"/>
      <c r="T4715" s="846"/>
    </row>
    <row r="4716" spans="2:20" ht="38.25" hidden="1">
      <c r="B4716" s="828" t="s">
        <v>6547</v>
      </c>
      <c r="C4716" s="828">
        <v>103821</v>
      </c>
      <c r="D4716" s="630" t="s">
        <v>7369</v>
      </c>
      <c r="E4716" s="630" t="s">
        <v>646</v>
      </c>
      <c r="F4716" s="829">
        <v>557.89</v>
      </c>
      <c r="G4716" s="830">
        <v>11.88</v>
      </c>
      <c r="H4716" s="831">
        <v>569.77</v>
      </c>
      <c r="I4716" s="846"/>
      <c r="J4716" s="846"/>
      <c r="K4716" s="846"/>
      <c r="L4716" s="846"/>
      <c r="M4716" s="846"/>
      <c r="N4716" s="846"/>
      <c r="O4716" s="846"/>
      <c r="P4716" s="846"/>
      <c r="Q4716" s="846"/>
      <c r="R4716" s="846"/>
      <c r="S4716" s="846"/>
      <c r="T4716" s="846"/>
    </row>
    <row r="4717" spans="2:20" ht="38.25" hidden="1">
      <c r="B4717" s="828" t="s">
        <v>6547</v>
      </c>
      <c r="C4717" s="828">
        <v>103822</v>
      </c>
      <c r="D4717" s="630" t="s">
        <v>7370</v>
      </c>
      <c r="E4717" s="630" t="s">
        <v>646</v>
      </c>
      <c r="F4717" s="829">
        <v>48.62</v>
      </c>
      <c r="G4717" s="830">
        <v>11.89</v>
      </c>
      <c r="H4717" s="831">
        <v>60.51</v>
      </c>
      <c r="I4717" s="846"/>
      <c r="J4717" s="846"/>
      <c r="K4717" s="846"/>
      <c r="L4717" s="846"/>
      <c r="M4717" s="846"/>
      <c r="N4717" s="846"/>
      <c r="O4717" s="846"/>
      <c r="P4717" s="846"/>
      <c r="Q4717" s="846"/>
      <c r="R4717" s="846"/>
      <c r="S4717" s="846"/>
      <c r="T4717" s="846"/>
    </row>
    <row r="4718" spans="2:20" ht="38.25" hidden="1">
      <c r="B4718" s="828" t="s">
        <v>6547</v>
      </c>
      <c r="C4718" s="828">
        <v>103823</v>
      </c>
      <c r="D4718" s="630" t="s">
        <v>7371</v>
      </c>
      <c r="E4718" s="630" t="s">
        <v>646</v>
      </c>
      <c r="F4718" s="829">
        <v>10.45</v>
      </c>
      <c r="G4718" s="830">
        <v>9.41</v>
      </c>
      <c r="H4718" s="831">
        <v>19.86</v>
      </c>
      <c r="I4718" s="846"/>
      <c r="J4718" s="846"/>
      <c r="K4718" s="846"/>
      <c r="L4718" s="846"/>
      <c r="M4718" s="846"/>
      <c r="N4718" s="846"/>
      <c r="O4718" s="846"/>
      <c r="P4718" s="846"/>
      <c r="Q4718" s="846"/>
      <c r="R4718" s="846"/>
      <c r="S4718" s="846"/>
      <c r="T4718" s="846"/>
    </row>
    <row r="4719" spans="2:20" ht="38.25" hidden="1">
      <c r="B4719" s="828" t="s">
        <v>6547</v>
      </c>
      <c r="C4719" s="828">
        <v>103824</v>
      </c>
      <c r="D4719" s="630" t="s">
        <v>7372</v>
      </c>
      <c r="E4719" s="630" t="s">
        <v>646</v>
      </c>
      <c r="F4719" s="829">
        <v>18.149999999999999</v>
      </c>
      <c r="G4719" s="830">
        <v>7.48</v>
      </c>
      <c r="H4719" s="831">
        <v>25.63</v>
      </c>
      <c r="I4719" s="846"/>
      <c r="J4719" s="846"/>
      <c r="K4719" s="846"/>
      <c r="L4719" s="846"/>
      <c r="M4719" s="846"/>
      <c r="N4719" s="846"/>
      <c r="O4719" s="846"/>
      <c r="P4719" s="846"/>
      <c r="Q4719" s="846"/>
      <c r="R4719" s="846"/>
      <c r="S4719" s="846"/>
      <c r="T4719" s="846"/>
    </row>
    <row r="4720" spans="2:20" ht="38.25" hidden="1">
      <c r="B4720" s="828" t="s">
        <v>6547</v>
      </c>
      <c r="C4720" s="828">
        <v>103825</v>
      </c>
      <c r="D4720" s="630" t="s">
        <v>7373</v>
      </c>
      <c r="E4720" s="630" t="s">
        <v>646</v>
      </c>
      <c r="F4720" s="829">
        <v>22.01</v>
      </c>
      <c r="G4720" s="830">
        <v>8.31</v>
      </c>
      <c r="H4720" s="831">
        <v>30.32</v>
      </c>
      <c r="I4720" s="846"/>
      <c r="J4720" s="846"/>
      <c r="K4720" s="846"/>
      <c r="L4720" s="846"/>
      <c r="M4720" s="846"/>
      <c r="N4720" s="846"/>
      <c r="O4720" s="846"/>
      <c r="P4720" s="846"/>
      <c r="Q4720" s="846"/>
      <c r="R4720" s="846"/>
      <c r="S4720" s="846"/>
      <c r="T4720" s="846"/>
    </row>
    <row r="4721" spans="2:20" ht="38.25" hidden="1">
      <c r="B4721" s="828" t="s">
        <v>6547</v>
      </c>
      <c r="C4721" s="828">
        <v>103826</v>
      </c>
      <c r="D4721" s="630" t="s">
        <v>7374</v>
      </c>
      <c r="E4721" s="630" t="s">
        <v>646</v>
      </c>
      <c r="F4721" s="829">
        <v>18.32</v>
      </c>
      <c r="G4721" s="830">
        <v>16.14</v>
      </c>
      <c r="H4721" s="831">
        <v>34.46</v>
      </c>
      <c r="I4721" s="846"/>
      <c r="J4721" s="846"/>
      <c r="K4721" s="846"/>
      <c r="L4721" s="846"/>
      <c r="M4721" s="846"/>
      <c r="N4721" s="846"/>
      <c r="O4721" s="846"/>
      <c r="P4721" s="846"/>
      <c r="Q4721" s="846"/>
      <c r="R4721" s="846"/>
      <c r="S4721" s="846"/>
      <c r="T4721" s="846"/>
    </row>
    <row r="4722" spans="2:20" ht="38.25" hidden="1">
      <c r="B4722" s="828" t="s">
        <v>6547</v>
      </c>
      <c r="C4722" s="828">
        <v>103827</v>
      </c>
      <c r="D4722" s="630" t="s">
        <v>7375</v>
      </c>
      <c r="E4722" s="630" t="s">
        <v>646</v>
      </c>
      <c r="F4722" s="829">
        <v>18.32</v>
      </c>
      <c r="G4722" s="830">
        <v>16.14</v>
      </c>
      <c r="H4722" s="831">
        <v>34.46</v>
      </c>
      <c r="I4722" s="846"/>
      <c r="J4722" s="846"/>
      <c r="K4722" s="846"/>
      <c r="L4722" s="846"/>
      <c r="M4722" s="846"/>
      <c r="N4722" s="846"/>
      <c r="O4722" s="846"/>
      <c r="P4722" s="846"/>
      <c r="Q4722" s="846"/>
      <c r="R4722" s="846"/>
      <c r="S4722" s="846"/>
      <c r="T4722" s="846"/>
    </row>
    <row r="4723" spans="2:20" ht="38.25" hidden="1">
      <c r="B4723" s="828" t="s">
        <v>6547</v>
      </c>
      <c r="C4723" s="828">
        <v>103828</v>
      </c>
      <c r="D4723" s="630" t="s">
        <v>7376</v>
      </c>
      <c r="E4723" s="630" t="s">
        <v>646</v>
      </c>
      <c r="F4723" s="829">
        <v>84.75</v>
      </c>
      <c r="G4723" s="830">
        <v>16.12</v>
      </c>
      <c r="H4723" s="831">
        <v>100.87</v>
      </c>
      <c r="I4723" s="846"/>
      <c r="J4723" s="846"/>
      <c r="K4723" s="846"/>
      <c r="L4723" s="846"/>
      <c r="M4723" s="846"/>
      <c r="N4723" s="846"/>
      <c r="O4723" s="846"/>
      <c r="P4723" s="846"/>
      <c r="Q4723" s="846"/>
      <c r="R4723" s="846"/>
      <c r="S4723" s="846"/>
      <c r="T4723" s="846"/>
    </row>
    <row r="4724" spans="2:20" ht="38.25" hidden="1">
      <c r="B4724" s="828" t="s">
        <v>6547</v>
      </c>
      <c r="C4724" s="828">
        <v>103829</v>
      </c>
      <c r="D4724" s="630" t="s">
        <v>7377</v>
      </c>
      <c r="E4724" s="630" t="s">
        <v>646</v>
      </c>
      <c r="F4724" s="829">
        <v>613.57000000000005</v>
      </c>
      <c r="G4724" s="830">
        <v>16.11</v>
      </c>
      <c r="H4724" s="831">
        <v>629.67999999999995</v>
      </c>
      <c r="I4724" s="846"/>
      <c r="J4724" s="846"/>
      <c r="K4724" s="846"/>
      <c r="L4724" s="846"/>
      <c r="M4724" s="846"/>
      <c r="N4724" s="846"/>
      <c r="O4724" s="846"/>
      <c r="P4724" s="846"/>
      <c r="Q4724" s="846"/>
      <c r="R4724" s="846"/>
      <c r="S4724" s="846"/>
      <c r="T4724" s="846"/>
    </row>
    <row r="4725" spans="2:20" ht="38.25" hidden="1">
      <c r="B4725" s="828" t="s">
        <v>6547</v>
      </c>
      <c r="C4725" s="828">
        <v>103830</v>
      </c>
      <c r="D4725" s="630" t="s">
        <v>7378</v>
      </c>
      <c r="E4725" s="630" t="s">
        <v>646</v>
      </c>
      <c r="F4725" s="829">
        <v>30.1</v>
      </c>
      <c r="G4725" s="830">
        <v>9.59</v>
      </c>
      <c r="H4725" s="831">
        <v>39.69</v>
      </c>
      <c r="I4725" s="846"/>
      <c r="J4725" s="846"/>
      <c r="K4725" s="846"/>
      <c r="L4725" s="846"/>
      <c r="M4725" s="846"/>
      <c r="N4725" s="846"/>
      <c r="O4725" s="846"/>
      <c r="P4725" s="846"/>
      <c r="Q4725" s="846"/>
      <c r="R4725" s="846"/>
      <c r="S4725" s="846"/>
      <c r="T4725" s="846"/>
    </row>
    <row r="4726" spans="2:20" ht="38.25" hidden="1">
      <c r="B4726" s="828" t="s">
        <v>6547</v>
      </c>
      <c r="C4726" s="828">
        <v>103831</v>
      </c>
      <c r="D4726" s="630" t="s">
        <v>7379</v>
      </c>
      <c r="E4726" s="630" t="s">
        <v>646</v>
      </c>
      <c r="F4726" s="829">
        <v>15.6</v>
      </c>
      <c r="G4726" s="830">
        <v>14.03</v>
      </c>
      <c r="H4726" s="831">
        <v>29.63</v>
      </c>
      <c r="I4726" s="846"/>
      <c r="J4726" s="846"/>
      <c r="K4726" s="846"/>
      <c r="L4726" s="846"/>
      <c r="M4726" s="846"/>
      <c r="N4726" s="846"/>
      <c r="O4726" s="846"/>
      <c r="P4726" s="846"/>
      <c r="Q4726" s="846"/>
      <c r="R4726" s="846"/>
      <c r="S4726" s="846"/>
      <c r="T4726" s="846"/>
    </row>
    <row r="4727" spans="2:20" ht="25.5" hidden="1">
      <c r="B4727" s="828" t="s">
        <v>6547</v>
      </c>
      <c r="C4727" s="828">
        <v>103832</v>
      </c>
      <c r="D4727" s="630" t="s">
        <v>7380</v>
      </c>
      <c r="E4727" s="630" t="s">
        <v>646</v>
      </c>
      <c r="F4727" s="829">
        <v>13</v>
      </c>
      <c r="G4727" s="830">
        <v>13.9</v>
      </c>
      <c r="H4727" s="831">
        <v>26.9</v>
      </c>
      <c r="I4727" s="846"/>
      <c r="J4727" s="846"/>
      <c r="K4727" s="846"/>
      <c r="L4727" s="846"/>
      <c r="M4727" s="846"/>
      <c r="N4727" s="846"/>
      <c r="O4727" s="846"/>
      <c r="P4727" s="846"/>
      <c r="Q4727" s="846"/>
      <c r="R4727" s="846"/>
      <c r="S4727" s="846"/>
      <c r="T4727" s="846"/>
    </row>
    <row r="4728" spans="2:20" ht="25.5" hidden="1">
      <c r="B4728" s="828" t="s">
        <v>6547</v>
      </c>
      <c r="C4728" s="828">
        <v>103833</v>
      </c>
      <c r="D4728" s="630" t="s">
        <v>7381</v>
      </c>
      <c r="E4728" s="630" t="s">
        <v>646</v>
      </c>
      <c r="F4728" s="829">
        <v>25.47</v>
      </c>
      <c r="G4728" s="830">
        <v>23.79</v>
      </c>
      <c r="H4728" s="831">
        <v>49.26</v>
      </c>
      <c r="I4728" s="846"/>
      <c r="J4728" s="846"/>
      <c r="K4728" s="846"/>
      <c r="L4728" s="846"/>
      <c r="M4728" s="846"/>
      <c r="N4728" s="846"/>
      <c r="O4728" s="846"/>
      <c r="P4728" s="846"/>
      <c r="Q4728" s="846"/>
      <c r="R4728" s="846"/>
      <c r="S4728" s="846"/>
      <c r="T4728" s="846"/>
    </row>
    <row r="4729" spans="2:20" ht="25.5" hidden="1">
      <c r="B4729" s="828" t="s">
        <v>6547</v>
      </c>
      <c r="C4729" s="828">
        <v>103834</v>
      </c>
      <c r="D4729" s="630" t="s">
        <v>7382</v>
      </c>
      <c r="E4729" s="630" t="s">
        <v>646</v>
      </c>
      <c r="F4729" s="829">
        <v>39.130000000000003</v>
      </c>
      <c r="G4729" s="830">
        <v>32.28</v>
      </c>
      <c r="H4729" s="831">
        <v>71.41</v>
      </c>
      <c r="I4729" s="846"/>
      <c r="J4729" s="846"/>
      <c r="K4729" s="846"/>
      <c r="L4729" s="846"/>
      <c r="M4729" s="846"/>
      <c r="N4729" s="846"/>
      <c r="O4729" s="846"/>
      <c r="P4729" s="846"/>
      <c r="Q4729" s="846"/>
      <c r="R4729" s="846"/>
      <c r="S4729" s="846"/>
      <c r="T4729" s="846"/>
    </row>
    <row r="4730" spans="2:20" ht="38.25" hidden="1">
      <c r="B4730" s="828" t="s">
        <v>6547</v>
      </c>
      <c r="C4730" s="828">
        <v>103838</v>
      </c>
      <c r="D4730" s="630" t="s">
        <v>7383</v>
      </c>
      <c r="E4730" s="630" t="s">
        <v>646</v>
      </c>
      <c r="F4730" s="829">
        <v>9.31</v>
      </c>
      <c r="G4730" s="830">
        <v>9.81</v>
      </c>
      <c r="H4730" s="831">
        <v>19.12</v>
      </c>
      <c r="I4730" s="846"/>
      <c r="J4730" s="846"/>
      <c r="K4730" s="846"/>
      <c r="L4730" s="846"/>
      <c r="M4730" s="846"/>
      <c r="N4730" s="846"/>
      <c r="O4730" s="846"/>
      <c r="P4730" s="846"/>
      <c r="Q4730" s="846"/>
      <c r="R4730" s="846"/>
      <c r="S4730" s="846"/>
      <c r="T4730" s="846"/>
    </row>
    <row r="4731" spans="2:20" ht="38.25" hidden="1">
      <c r="B4731" s="828" t="s">
        <v>6547</v>
      </c>
      <c r="C4731" s="828">
        <v>103839</v>
      </c>
      <c r="D4731" s="630" t="s">
        <v>7384</v>
      </c>
      <c r="E4731" s="630" t="s">
        <v>646</v>
      </c>
      <c r="F4731" s="829">
        <v>9.2799999999999994</v>
      </c>
      <c r="G4731" s="830">
        <v>9.81</v>
      </c>
      <c r="H4731" s="831">
        <v>19.09</v>
      </c>
      <c r="I4731" s="846"/>
      <c r="J4731" s="846"/>
      <c r="K4731" s="846"/>
      <c r="L4731" s="846"/>
      <c r="M4731" s="846"/>
      <c r="N4731" s="846"/>
      <c r="O4731" s="846"/>
      <c r="P4731" s="846"/>
      <c r="Q4731" s="846"/>
      <c r="R4731" s="846"/>
      <c r="S4731" s="846"/>
      <c r="T4731" s="846"/>
    </row>
    <row r="4732" spans="2:20" ht="38.25" hidden="1">
      <c r="B4732" s="828" t="s">
        <v>6547</v>
      </c>
      <c r="C4732" s="828">
        <v>103840</v>
      </c>
      <c r="D4732" s="630" t="s">
        <v>7385</v>
      </c>
      <c r="E4732" s="630" t="s">
        <v>646</v>
      </c>
      <c r="F4732" s="829">
        <v>17.149999999999999</v>
      </c>
      <c r="G4732" s="830">
        <v>6.44</v>
      </c>
      <c r="H4732" s="831">
        <v>23.59</v>
      </c>
      <c r="I4732" s="846"/>
      <c r="J4732" s="846"/>
      <c r="K4732" s="846"/>
      <c r="L4732" s="846"/>
      <c r="M4732" s="846"/>
      <c r="N4732" s="846"/>
      <c r="O4732" s="846"/>
      <c r="P4732" s="846"/>
      <c r="Q4732" s="846"/>
      <c r="R4732" s="846"/>
      <c r="S4732" s="846"/>
      <c r="T4732" s="846"/>
    </row>
    <row r="4733" spans="2:20" ht="38.25" hidden="1">
      <c r="B4733" s="828" t="s">
        <v>6547</v>
      </c>
      <c r="C4733" s="828">
        <v>103841</v>
      </c>
      <c r="D4733" s="630" t="s">
        <v>7386</v>
      </c>
      <c r="E4733" s="630" t="s">
        <v>646</v>
      </c>
      <c r="F4733" s="829">
        <v>17.88</v>
      </c>
      <c r="G4733" s="830">
        <v>13.07</v>
      </c>
      <c r="H4733" s="831">
        <v>30.95</v>
      </c>
      <c r="I4733" s="846"/>
      <c r="J4733" s="846"/>
      <c r="K4733" s="846"/>
      <c r="L4733" s="846"/>
      <c r="M4733" s="846"/>
      <c r="N4733" s="846"/>
      <c r="O4733" s="846"/>
      <c r="P4733" s="846"/>
      <c r="Q4733" s="846"/>
      <c r="R4733" s="846"/>
      <c r="S4733" s="846"/>
      <c r="T4733" s="846"/>
    </row>
    <row r="4734" spans="2:20" ht="38.25" hidden="1">
      <c r="B4734" s="828" t="s">
        <v>6547</v>
      </c>
      <c r="C4734" s="828">
        <v>103842</v>
      </c>
      <c r="D4734" s="630" t="s">
        <v>7387</v>
      </c>
      <c r="E4734" s="630" t="s">
        <v>646</v>
      </c>
      <c r="F4734" s="829">
        <v>17.57</v>
      </c>
      <c r="G4734" s="830">
        <v>13.07</v>
      </c>
      <c r="H4734" s="831">
        <v>30.64</v>
      </c>
      <c r="I4734" s="846"/>
      <c r="J4734" s="846"/>
      <c r="K4734" s="846"/>
      <c r="L4734" s="846"/>
      <c r="M4734" s="846"/>
      <c r="N4734" s="846"/>
      <c r="O4734" s="846"/>
      <c r="P4734" s="846"/>
      <c r="Q4734" s="846"/>
      <c r="R4734" s="846"/>
      <c r="S4734" s="846"/>
      <c r="T4734" s="846"/>
    </row>
    <row r="4735" spans="2:20" ht="38.25" hidden="1">
      <c r="B4735" s="828" t="s">
        <v>6547</v>
      </c>
      <c r="C4735" s="828">
        <v>103843</v>
      </c>
      <c r="D4735" s="630" t="s">
        <v>7388</v>
      </c>
      <c r="E4735" s="630" t="s">
        <v>646</v>
      </c>
      <c r="F4735" s="829">
        <v>25.79</v>
      </c>
      <c r="G4735" s="830">
        <v>8.0500000000000007</v>
      </c>
      <c r="H4735" s="831">
        <v>33.840000000000003</v>
      </c>
      <c r="I4735" s="846"/>
      <c r="J4735" s="846"/>
      <c r="K4735" s="846"/>
      <c r="L4735" s="846"/>
      <c r="M4735" s="846"/>
      <c r="N4735" s="846"/>
      <c r="O4735" s="846"/>
      <c r="P4735" s="846"/>
      <c r="Q4735" s="846"/>
      <c r="R4735" s="846"/>
      <c r="S4735" s="846"/>
      <c r="T4735" s="846"/>
    </row>
    <row r="4736" spans="2:20" ht="38.25" hidden="1">
      <c r="B4736" s="828" t="s">
        <v>6547</v>
      </c>
      <c r="C4736" s="828">
        <v>103844</v>
      </c>
      <c r="D4736" s="630" t="s">
        <v>7389</v>
      </c>
      <c r="E4736" s="630" t="s">
        <v>646</v>
      </c>
      <c r="F4736" s="829">
        <v>28.75</v>
      </c>
      <c r="G4736" s="830">
        <v>8.8800000000000008</v>
      </c>
      <c r="H4736" s="831">
        <v>37.630000000000003</v>
      </c>
      <c r="I4736" s="846"/>
      <c r="J4736" s="846"/>
      <c r="K4736" s="846"/>
      <c r="L4736" s="846"/>
      <c r="M4736" s="846"/>
      <c r="N4736" s="846"/>
      <c r="O4736" s="846"/>
      <c r="P4736" s="846"/>
      <c r="Q4736" s="846"/>
      <c r="R4736" s="846"/>
      <c r="S4736" s="846"/>
      <c r="T4736" s="846"/>
    </row>
    <row r="4737" spans="2:20" ht="38.25" hidden="1">
      <c r="B4737" s="828" t="s">
        <v>6547</v>
      </c>
      <c r="C4737" s="828">
        <v>103845</v>
      </c>
      <c r="D4737" s="630" t="s">
        <v>7390</v>
      </c>
      <c r="E4737" s="630" t="s">
        <v>646</v>
      </c>
      <c r="F4737" s="829">
        <v>28.21</v>
      </c>
      <c r="G4737" s="830">
        <v>15.85</v>
      </c>
      <c r="H4737" s="831">
        <v>44.06</v>
      </c>
      <c r="I4737" s="846"/>
      <c r="J4737" s="846"/>
      <c r="K4737" s="846"/>
      <c r="L4737" s="846"/>
      <c r="M4737" s="846"/>
      <c r="N4737" s="846"/>
      <c r="O4737" s="846"/>
      <c r="P4737" s="846"/>
      <c r="Q4737" s="846"/>
      <c r="R4737" s="846"/>
      <c r="S4737" s="846"/>
      <c r="T4737" s="846"/>
    </row>
    <row r="4738" spans="2:20" ht="38.25" hidden="1">
      <c r="B4738" s="828" t="s">
        <v>6547</v>
      </c>
      <c r="C4738" s="828">
        <v>103846</v>
      </c>
      <c r="D4738" s="630" t="s">
        <v>7391</v>
      </c>
      <c r="E4738" s="630" t="s">
        <v>646</v>
      </c>
      <c r="F4738" s="829">
        <v>26.3</v>
      </c>
      <c r="G4738" s="830">
        <v>15.86</v>
      </c>
      <c r="H4738" s="831">
        <v>42.16</v>
      </c>
      <c r="I4738" s="846"/>
      <c r="J4738" s="846"/>
      <c r="K4738" s="846"/>
      <c r="L4738" s="846"/>
      <c r="M4738" s="846"/>
      <c r="N4738" s="846"/>
      <c r="O4738" s="846"/>
      <c r="P4738" s="846"/>
      <c r="Q4738" s="846"/>
      <c r="R4738" s="846"/>
      <c r="S4738" s="846"/>
      <c r="T4738" s="846"/>
    </row>
    <row r="4739" spans="2:20" ht="38.25" hidden="1">
      <c r="B4739" s="828" t="s">
        <v>6547</v>
      </c>
      <c r="C4739" s="828">
        <v>103847</v>
      </c>
      <c r="D4739" s="630" t="s">
        <v>7392</v>
      </c>
      <c r="E4739" s="630" t="s">
        <v>646</v>
      </c>
      <c r="F4739" s="829">
        <v>5.92</v>
      </c>
      <c r="G4739" s="830">
        <v>6.56</v>
      </c>
      <c r="H4739" s="831">
        <v>12.48</v>
      </c>
      <c r="I4739" s="846"/>
      <c r="J4739" s="846"/>
      <c r="K4739" s="846"/>
      <c r="L4739" s="846"/>
      <c r="M4739" s="846"/>
      <c r="N4739" s="846"/>
      <c r="O4739" s="846"/>
      <c r="P4739" s="846"/>
      <c r="Q4739" s="846"/>
      <c r="R4739" s="846"/>
      <c r="S4739" s="846"/>
      <c r="T4739" s="846"/>
    </row>
    <row r="4740" spans="2:20" ht="38.25" hidden="1">
      <c r="B4740" s="828" t="s">
        <v>6547</v>
      </c>
      <c r="C4740" s="828">
        <v>103848</v>
      </c>
      <c r="D4740" s="630" t="s">
        <v>7393</v>
      </c>
      <c r="E4740" s="630" t="s">
        <v>646</v>
      </c>
      <c r="F4740" s="829">
        <v>5.96</v>
      </c>
      <c r="G4740" s="830">
        <v>6.56</v>
      </c>
      <c r="H4740" s="831">
        <v>12.52</v>
      </c>
      <c r="I4740" s="846"/>
      <c r="J4740" s="846"/>
      <c r="K4740" s="846"/>
      <c r="L4740" s="846"/>
      <c r="M4740" s="846"/>
      <c r="N4740" s="846"/>
      <c r="O4740" s="846"/>
      <c r="P4740" s="846"/>
      <c r="Q4740" s="846"/>
      <c r="R4740" s="846"/>
      <c r="S4740" s="846"/>
      <c r="T4740" s="846"/>
    </row>
    <row r="4741" spans="2:20" ht="38.25" hidden="1">
      <c r="B4741" s="828" t="s">
        <v>6547</v>
      </c>
      <c r="C4741" s="828">
        <v>103849</v>
      </c>
      <c r="D4741" s="630" t="s">
        <v>7394</v>
      </c>
      <c r="E4741" s="630" t="s">
        <v>646</v>
      </c>
      <c r="F4741" s="829">
        <v>22.43</v>
      </c>
      <c r="G4741" s="830">
        <v>6.52</v>
      </c>
      <c r="H4741" s="831">
        <v>28.95</v>
      </c>
      <c r="I4741" s="846"/>
      <c r="J4741" s="846"/>
      <c r="K4741" s="846"/>
      <c r="L4741" s="846"/>
      <c r="M4741" s="846"/>
      <c r="N4741" s="846"/>
      <c r="O4741" s="846"/>
      <c r="P4741" s="846"/>
      <c r="Q4741" s="846"/>
      <c r="R4741" s="846"/>
      <c r="S4741" s="846"/>
      <c r="T4741" s="846"/>
    </row>
    <row r="4742" spans="2:20" ht="38.25" hidden="1">
      <c r="B4742" s="828" t="s">
        <v>6547</v>
      </c>
      <c r="C4742" s="828">
        <v>103850</v>
      </c>
      <c r="D4742" s="630" t="s">
        <v>7395</v>
      </c>
      <c r="E4742" s="630" t="s">
        <v>646</v>
      </c>
      <c r="F4742" s="829">
        <v>479.39</v>
      </c>
      <c r="G4742" s="830">
        <v>6.51</v>
      </c>
      <c r="H4742" s="831">
        <v>485.9</v>
      </c>
      <c r="I4742" s="846"/>
      <c r="J4742" s="846"/>
      <c r="K4742" s="846"/>
      <c r="L4742" s="846"/>
      <c r="M4742" s="846"/>
      <c r="N4742" s="846"/>
      <c r="O4742" s="846"/>
      <c r="P4742" s="846"/>
      <c r="Q4742" s="846"/>
      <c r="R4742" s="846"/>
      <c r="S4742" s="846"/>
      <c r="T4742" s="846"/>
    </row>
    <row r="4743" spans="2:20" ht="38.25" hidden="1">
      <c r="B4743" s="828" t="s">
        <v>6547</v>
      </c>
      <c r="C4743" s="828">
        <v>103851</v>
      </c>
      <c r="D4743" s="630" t="s">
        <v>7396</v>
      </c>
      <c r="E4743" s="630" t="s">
        <v>646</v>
      </c>
      <c r="F4743" s="829">
        <v>16.809999999999999</v>
      </c>
      <c r="G4743" s="830">
        <v>4.79</v>
      </c>
      <c r="H4743" s="831">
        <v>21.6</v>
      </c>
      <c r="I4743" s="846"/>
      <c r="J4743" s="846"/>
      <c r="K4743" s="846"/>
      <c r="L4743" s="846"/>
      <c r="M4743" s="846"/>
      <c r="N4743" s="846"/>
      <c r="O4743" s="846"/>
      <c r="P4743" s="846"/>
      <c r="Q4743" s="846"/>
      <c r="R4743" s="846"/>
      <c r="S4743" s="846"/>
      <c r="T4743" s="846"/>
    </row>
    <row r="4744" spans="2:20" ht="38.25" hidden="1">
      <c r="B4744" s="828" t="s">
        <v>6547</v>
      </c>
      <c r="C4744" s="828">
        <v>103852</v>
      </c>
      <c r="D4744" s="630" t="s">
        <v>7397</v>
      </c>
      <c r="E4744" s="630" t="s">
        <v>646</v>
      </c>
      <c r="F4744" s="829">
        <v>10.1</v>
      </c>
      <c r="G4744" s="830">
        <v>8.7100000000000009</v>
      </c>
      <c r="H4744" s="831">
        <v>18.809999999999999</v>
      </c>
      <c r="I4744" s="846"/>
      <c r="J4744" s="846"/>
      <c r="K4744" s="846"/>
      <c r="L4744" s="846"/>
      <c r="M4744" s="846"/>
      <c r="N4744" s="846"/>
      <c r="O4744" s="846"/>
      <c r="P4744" s="846"/>
      <c r="Q4744" s="846"/>
      <c r="R4744" s="846"/>
      <c r="S4744" s="846"/>
      <c r="T4744" s="846"/>
    </row>
    <row r="4745" spans="2:20" ht="38.25" hidden="1">
      <c r="B4745" s="828" t="s">
        <v>6547</v>
      </c>
      <c r="C4745" s="828">
        <v>103853</v>
      </c>
      <c r="D4745" s="630" t="s">
        <v>7398</v>
      </c>
      <c r="E4745" s="630" t="s">
        <v>646</v>
      </c>
      <c r="F4745" s="829">
        <v>11.51</v>
      </c>
      <c r="G4745" s="830">
        <v>8.7100000000000009</v>
      </c>
      <c r="H4745" s="831">
        <v>20.22</v>
      </c>
      <c r="I4745" s="846"/>
      <c r="J4745" s="846"/>
      <c r="K4745" s="846"/>
      <c r="L4745" s="846"/>
      <c r="M4745" s="846"/>
      <c r="N4745" s="846"/>
      <c r="O4745" s="846"/>
      <c r="P4745" s="846"/>
      <c r="Q4745" s="846"/>
      <c r="R4745" s="846"/>
      <c r="S4745" s="846"/>
      <c r="T4745" s="846"/>
    </row>
    <row r="4746" spans="2:20" ht="38.25" hidden="1">
      <c r="B4746" s="828" t="s">
        <v>6547</v>
      </c>
      <c r="C4746" s="828">
        <v>103854</v>
      </c>
      <c r="D4746" s="630" t="s">
        <v>7399</v>
      </c>
      <c r="E4746" s="630" t="s">
        <v>646</v>
      </c>
      <c r="F4746" s="829">
        <v>556.91</v>
      </c>
      <c r="G4746" s="830">
        <v>8.69</v>
      </c>
      <c r="H4746" s="831">
        <v>565.6</v>
      </c>
      <c r="I4746" s="846"/>
      <c r="J4746" s="846"/>
      <c r="K4746" s="846"/>
      <c r="L4746" s="846"/>
      <c r="M4746" s="846"/>
      <c r="N4746" s="846"/>
      <c r="O4746" s="846"/>
      <c r="P4746" s="846"/>
      <c r="Q4746" s="846"/>
      <c r="R4746" s="846"/>
      <c r="S4746" s="846"/>
      <c r="T4746" s="846"/>
    </row>
    <row r="4747" spans="2:20" ht="38.25" hidden="1">
      <c r="B4747" s="828" t="s">
        <v>6547</v>
      </c>
      <c r="C4747" s="828">
        <v>103855</v>
      </c>
      <c r="D4747" s="630" t="s">
        <v>7400</v>
      </c>
      <c r="E4747" s="630" t="s">
        <v>646</v>
      </c>
      <c r="F4747" s="829">
        <v>47.65</v>
      </c>
      <c r="G4747" s="830">
        <v>8.69</v>
      </c>
      <c r="H4747" s="831">
        <v>56.34</v>
      </c>
      <c r="I4747" s="846"/>
      <c r="J4747" s="846"/>
      <c r="K4747" s="846"/>
      <c r="L4747" s="846"/>
      <c r="M4747" s="846"/>
      <c r="N4747" s="846"/>
      <c r="O4747" s="846"/>
      <c r="P4747" s="846"/>
      <c r="Q4747" s="846"/>
      <c r="R4747" s="846"/>
      <c r="S4747" s="846"/>
      <c r="T4747" s="846"/>
    </row>
    <row r="4748" spans="2:20" ht="38.25" hidden="1">
      <c r="B4748" s="828" t="s">
        <v>6547</v>
      </c>
      <c r="C4748" s="828">
        <v>103856</v>
      </c>
      <c r="D4748" s="630" t="s">
        <v>7401</v>
      </c>
      <c r="E4748" s="630" t="s">
        <v>646</v>
      </c>
      <c r="F4748" s="829">
        <v>9.9700000000000006</v>
      </c>
      <c r="G4748" s="830">
        <v>7.63</v>
      </c>
      <c r="H4748" s="831">
        <v>17.600000000000001</v>
      </c>
      <c r="I4748" s="846"/>
      <c r="J4748" s="846"/>
      <c r="K4748" s="846"/>
      <c r="L4748" s="846"/>
      <c r="M4748" s="846"/>
      <c r="N4748" s="846"/>
      <c r="O4748" s="846"/>
      <c r="P4748" s="846"/>
      <c r="Q4748" s="846"/>
      <c r="R4748" s="846"/>
      <c r="S4748" s="846"/>
      <c r="T4748" s="846"/>
    </row>
    <row r="4749" spans="2:20" ht="38.25" hidden="1">
      <c r="B4749" s="828" t="s">
        <v>6547</v>
      </c>
      <c r="C4749" s="828">
        <v>103857</v>
      </c>
      <c r="D4749" s="630" t="s">
        <v>7402</v>
      </c>
      <c r="E4749" s="630" t="s">
        <v>646</v>
      </c>
      <c r="F4749" s="829">
        <v>17.66</v>
      </c>
      <c r="G4749" s="830">
        <v>5.88</v>
      </c>
      <c r="H4749" s="831">
        <v>23.54</v>
      </c>
      <c r="I4749" s="846"/>
      <c r="J4749" s="846"/>
      <c r="K4749" s="846"/>
      <c r="L4749" s="846"/>
      <c r="M4749" s="846"/>
      <c r="N4749" s="846"/>
      <c r="O4749" s="846"/>
      <c r="P4749" s="846"/>
      <c r="Q4749" s="846"/>
      <c r="R4749" s="846"/>
      <c r="S4749" s="846"/>
      <c r="T4749" s="846"/>
    </row>
    <row r="4750" spans="2:20" ht="38.25" hidden="1">
      <c r="B4750" s="828" t="s">
        <v>6547</v>
      </c>
      <c r="C4750" s="828">
        <v>103858</v>
      </c>
      <c r="D4750" s="630" t="s">
        <v>7403</v>
      </c>
      <c r="E4750" s="630" t="s">
        <v>646</v>
      </c>
      <c r="F4750" s="829">
        <v>21.52</v>
      </c>
      <c r="G4750" s="830">
        <v>6.72</v>
      </c>
      <c r="H4750" s="831">
        <v>28.24</v>
      </c>
      <c r="I4750" s="846"/>
      <c r="J4750" s="846"/>
      <c r="K4750" s="846"/>
      <c r="L4750" s="846"/>
      <c r="M4750" s="846"/>
      <c r="N4750" s="846"/>
      <c r="O4750" s="846"/>
      <c r="P4750" s="846"/>
      <c r="Q4750" s="846"/>
      <c r="R4750" s="846"/>
      <c r="S4750" s="846"/>
      <c r="T4750" s="846"/>
    </row>
    <row r="4751" spans="2:20" ht="38.25" hidden="1">
      <c r="B4751" s="828" t="s">
        <v>6547</v>
      </c>
      <c r="C4751" s="828">
        <v>103859</v>
      </c>
      <c r="D4751" s="630" t="s">
        <v>7404</v>
      </c>
      <c r="E4751" s="630" t="s">
        <v>646</v>
      </c>
      <c r="F4751" s="829">
        <v>17.13</v>
      </c>
      <c r="G4751" s="830">
        <v>10.58</v>
      </c>
      <c r="H4751" s="831">
        <v>27.71</v>
      </c>
      <c r="I4751" s="846"/>
      <c r="J4751" s="846"/>
      <c r="K4751" s="846"/>
      <c r="L4751" s="846"/>
      <c r="M4751" s="846"/>
      <c r="N4751" s="846"/>
      <c r="O4751" s="846"/>
      <c r="P4751" s="846"/>
      <c r="Q4751" s="846"/>
      <c r="R4751" s="846"/>
      <c r="S4751" s="846"/>
      <c r="T4751" s="846"/>
    </row>
    <row r="4752" spans="2:20" ht="38.25" hidden="1">
      <c r="B4752" s="828" t="s">
        <v>6547</v>
      </c>
      <c r="C4752" s="828">
        <v>103860</v>
      </c>
      <c r="D4752" s="630" t="s">
        <v>7405</v>
      </c>
      <c r="E4752" s="630" t="s">
        <v>646</v>
      </c>
      <c r="F4752" s="829">
        <v>17.13</v>
      </c>
      <c r="G4752" s="830">
        <v>10.58</v>
      </c>
      <c r="H4752" s="831">
        <v>27.71</v>
      </c>
      <c r="I4752" s="846"/>
      <c r="J4752" s="846"/>
      <c r="K4752" s="846"/>
      <c r="L4752" s="846"/>
      <c r="M4752" s="846"/>
      <c r="N4752" s="846"/>
      <c r="O4752" s="846"/>
      <c r="P4752" s="846"/>
      <c r="Q4752" s="846"/>
      <c r="R4752" s="846"/>
      <c r="S4752" s="846"/>
      <c r="T4752" s="846"/>
    </row>
    <row r="4753" spans="2:20" ht="38.25" hidden="1">
      <c r="B4753" s="828" t="s">
        <v>6547</v>
      </c>
      <c r="C4753" s="828">
        <v>103861</v>
      </c>
      <c r="D4753" s="630" t="s">
        <v>7406</v>
      </c>
      <c r="E4753" s="630" t="s">
        <v>646</v>
      </c>
      <c r="F4753" s="829">
        <v>83.57</v>
      </c>
      <c r="G4753" s="830">
        <v>10.55</v>
      </c>
      <c r="H4753" s="831">
        <v>94.12</v>
      </c>
      <c r="I4753" s="846"/>
      <c r="J4753" s="846"/>
      <c r="K4753" s="846"/>
      <c r="L4753" s="846"/>
      <c r="M4753" s="846"/>
      <c r="N4753" s="846"/>
      <c r="O4753" s="846"/>
      <c r="P4753" s="846"/>
      <c r="Q4753" s="846"/>
      <c r="R4753" s="846"/>
      <c r="S4753" s="846"/>
      <c r="T4753" s="846"/>
    </row>
    <row r="4754" spans="2:20" ht="38.25" hidden="1">
      <c r="B4754" s="828" t="s">
        <v>6547</v>
      </c>
      <c r="C4754" s="828">
        <v>103862</v>
      </c>
      <c r="D4754" s="630" t="s">
        <v>7407</v>
      </c>
      <c r="E4754" s="630" t="s">
        <v>646</v>
      </c>
      <c r="F4754" s="829">
        <v>612.38</v>
      </c>
      <c r="G4754" s="830">
        <v>10.55</v>
      </c>
      <c r="H4754" s="831">
        <v>622.92999999999995</v>
      </c>
      <c r="I4754" s="846"/>
      <c r="J4754" s="846"/>
      <c r="K4754" s="846"/>
      <c r="L4754" s="846"/>
      <c r="M4754" s="846"/>
      <c r="N4754" s="846"/>
      <c r="O4754" s="846"/>
      <c r="P4754" s="846"/>
      <c r="Q4754" s="846"/>
      <c r="R4754" s="846"/>
      <c r="S4754" s="846"/>
      <c r="T4754" s="846"/>
    </row>
    <row r="4755" spans="2:20" ht="38.25" hidden="1">
      <c r="B4755" s="828" t="s">
        <v>6547</v>
      </c>
      <c r="C4755" s="828">
        <v>103863</v>
      </c>
      <c r="D4755" s="630" t="s">
        <v>7408</v>
      </c>
      <c r="E4755" s="630" t="s">
        <v>646</v>
      </c>
      <c r="F4755" s="829">
        <v>29.49</v>
      </c>
      <c r="G4755" s="830">
        <v>6.82</v>
      </c>
      <c r="H4755" s="831">
        <v>36.31</v>
      </c>
      <c r="I4755" s="846"/>
      <c r="J4755" s="846"/>
      <c r="K4755" s="846"/>
      <c r="L4755" s="846"/>
      <c r="M4755" s="846"/>
      <c r="N4755" s="846"/>
      <c r="O4755" s="846"/>
      <c r="P4755" s="846"/>
      <c r="Q4755" s="846"/>
      <c r="R4755" s="846"/>
      <c r="S4755" s="846"/>
      <c r="T4755" s="846"/>
    </row>
    <row r="4756" spans="2:20" ht="38.25" hidden="1">
      <c r="B4756" s="828" t="s">
        <v>6547</v>
      </c>
      <c r="C4756" s="828">
        <v>103864</v>
      </c>
      <c r="D4756" s="630" t="s">
        <v>7409</v>
      </c>
      <c r="E4756" s="630" t="s">
        <v>646</v>
      </c>
      <c r="F4756" s="829">
        <v>14.39</v>
      </c>
      <c r="G4756" s="830">
        <v>9.6300000000000008</v>
      </c>
      <c r="H4756" s="831">
        <v>24.02</v>
      </c>
      <c r="I4756" s="846"/>
      <c r="J4756" s="846"/>
      <c r="K4756" s="846"/>
      <c r="L4756" s="846"/>
      <c r="M4756" s="846"/>
      <c r="N4756" s="846"/>
      <c r="O4756" s="846"/>
      <c r="P4756" s="846"/>
      <c r="Q4756" s="846"/>
      <c r="R4756" s="846"/>
      <c r="S4756" s="846"/>
      <c r="T4756" s="846"/>
    </row>
    <row r="4757" spans="2:20" ht="25.5" hidden="1">
      <c r="B4757" s="828" t="s">
        <v>6547</v>
      </c>
      <c r="C4757" s="828">
        <v>103865</v>
      </c>
      <c r="D4757" s="630" t="s">
        <v>7410</v>
      </c>
      <c r="E4757" s="630" t="s">
        <v>646</v>
      </c>
      <c r="F4757" s="829">
        <v>12.75</v>
      </c>
      <c r="G4757" s="830">
        <v>13.09</v>
      </c>
      <c r="H4757" s="831">
        <v>25.84</v>
      </c>
      <c r="I4757" s="846"/>
      <c r="J4757" s="846"/>
      <c r="K4757" s="846"/>
      <c r="L4757" s="846"/>
      <c r="M4757" s="846"/>
      <c r="N4757" s="846"/>
      <c r="O4757" s="846"/>
      <c r="P4757" s="846"/>
      <c r="Q4757" s="846"/>
      <c r="R4757" s="846"/>
      <c r="S4757" s="846"/>
      <c r="T4757" s="846"/>
    </row>
    <row r="4758" spans="2:20" ht="25.5" hidden="1">
      <c r="B4758" s="828" t="s">
        <v>6547</v>
      </c>
      <c r="C4758" s="828">
        <v>103866</v>
      </c>
      <c r="D4758" s="630" t="s">
        <v>7411</v>
      </c>
      <c r="E4758" s="630" t="s">
        <v>646</v>
      </c>
      <c r="F4758" s="829">
        <v>23.55</v>
      </c>
      <c r="G4758" s="830">
        <v>17.41</v>
      </c>
      <c r="H4758" s="831">
        <v>40.96</v>
      </c>
      <c r="I4758" s="846"/>
      <c r="J4758" s="846"/>
      <c r="K4758" s="846"/>
      <c r="L4758" s="846"/>
      <c r="M4758" s="846"/>
      <c r="N4758" s="846"/>
      <c r="O4758" s="846"/>
      <c r="P4758" s="846"/>
      <c r="Q4758" s="846"/>
      <c r="R4758" s="846"/>
      <c r="S4758" s="846"/>
      <c r="T4758" s="846"/>
    </row>
    <row r="4759" spans="2:20" ht="25.5" hidden="1">
      <c r="B4759" s="828" t="s">
        <v>6547</v>
      </c>
      <c r="C4759" s="828">
        <v>103867</v>
      </c>
      <c r="D4759" s="630" t="s">
        <v>7412</v>
      </c>
      <c r="E4759" s="630" t="s">
        <v>646</v>
      </c>
      <c r="F4759" s="829">
        <v>35.78</v>
      </c>
      <c r="G4759" s="830">
        <v>21.14</v>
      </c>
      <c r="H4759" s="832">
        <v>56.92</v>
      </c>
      <c r="I4759" s="846"/>
      <c r="J4759" s="846"/>
      <c r="K4759" s="846"/>
      <c r="L4759" s="846"/>
      <c r="M4759" s="846"/>
      <c r="N4759" s="846"/>
      <c r="O4759" s="846"/>
      <c r="P4759" s="846"/>
      <c r="Q4759" s="846"/>
      <c r="R4759" s="846"/>
      <c r="S4759" s="846"/>
      <c r="T4759" s="846"/>
    </row>
    <row r="4760" spans="2:20" ht="38.25" hidden="1">
      <c r="B4760" s="828" t="s">
        <v>6547</v>
      </c>
      <c r="C4760" s="828">
        <v>103874</v>
      </c>
      <c r="D4760" s="630" t="s">
        <v>7413</v>
      </c>
      <c r="E4760" s="630" t="s">
        <v>646</v>
      </c>
      <c r="F4760" s="829">
        <v>9.4600000000000009</v>
      </c>
      <c r="G4760" s="830">
        <v>10.54</v>
      </c>
      <c r="H4760" s="831">
        <v>20</v>
      </c>
      <c r="I4760" s="846"/>
      <c r="J4760" s="846"/>
      <c r="K4760" s="846"/>
      <c r="L4760" s="846"/>
      <c r="M4760" s="846"/>
      <c r="N4760" s="846"/>
      <c r="O4760" s="846"/>
      <c r="P4760" s="846"/>
      <c r="Q4760" s="846"/>
      <c r="R4760" s="846"/>
      <c r="S4760" s="846"/>
      <c r="T4760" s="846"/>
    </row>
    <row r="4761" spans="2:20" ht="38.25" hidden="1">
      <c r="B4761" s="828" t="s">
        <v>6547</v>
      </c>
      <c r="C4761" s="828">
        <v>103875</v>
      </c>
      <c r="D4761" s="630" t="s">
        <v>7414</v>
      </c>
      <c r="E4761" s="630" t="s">
        <v>646</v>
      </c>
      <c r="F4761" s="829">
        <v>9.43</v>
      </c>
      <c r="G4761" s="830">
        <v>10.54</v>
      </c>
      <c r="H4761" s="831">
        <v>19.97</v>
      </c>
      <c r="I4761" s="846"/>
      <c r="J4761" s="846"/>
      <c r="K4761" s="846"/>
      <c r="L4761" s="846"/>
      <c r="M4761" s="846"/>
      <c r="N4761" s="846"/>
      <c r="O4761" s="846"/>
      <c r="P4761" s="846"/>
      <c r="Q4761" s="846"/>
      <c r="R4761" s="846"/>
      <c r="S4761" s="846"/>
      <c r="T4761" s="846"/>
    </row>
    <row r="4762" spans="2:20" ht="38.25" hidden="1">
      <c r="B4762" s="828" t="s">
        <v>6547</v>
      </c>
      <c r="C4762" s="828">
        <v>103876</v>
      </c>
      <c r="D4762" s="630" t="s">
        <v>7415</v>
      </c>
      <c r="E4762" s="630" t="s">
        <v>646</v>
      </c>
      <c r="F4762" s="829">
        <v>17.23</v>
      </c>
      <c r="G4762" s="830">
        <v>6.79</v>
      </c>
      <c r="H4762" s="831">
        <v>24.02</v>
      </c>
      <c r="I4762" s="846"/>
      <c r="J4762" s="846"/>
      <c r="K4762" s="846"/>
      <c r="L4762" s="846"/>
      <c r="M4762" s="846"/>
      <c r="N4762" s="846"/>
      <c r="O4762" s="846"/>
      <c r="P4762" s="846"/>
      <c r="Q4762" s="846"/>
      <c r="R4762" s="846"/>
      <c r="S4762" s="846"/>
      <c r="T4762" s="846"/>
    </row>
    <row r="4763" spans="2:20" ht="38.25" hidden="1">
      <c r="B4763" s="828" t="s">
        <v>6547</v>
      </c>
      <c r="C4763" s="828">
        <v>103877</v>
      </c>
      <c r="D4763" s="630" t="s">
        <v>7416</v>
      </c>
      <c r="E4763" s="630" t="s">
        <v>646</v>
      </c>
      <c r="F4763" s="829">
        <v>17.64</v>
      </c>
      <c r="G4763" s="830">
        <v>12.41</v>
      </c>
      <c r="H4763" s="831">
        <v>30.05</v>
      </c>
      <c r="I4763" s="846"/>
      <c r="J4763" s="846"/>
      <c r="K4763" s="846"/>
      <c r="L4763" s="846"/>
      <c r="M4763" s="846"/>
      <c r="N4763" s="846"/>
      <c r="O4763" s="846"/>
      <c r="P4763" s="846"/>
      <c r="Q4763" s="846"/>
      <c r="R4763" s="846"/>
      <c r="S4763" s="846"/>
      <c r="T4763" s="846"/>
    </row>
    <row r="4764" spans="2:20" ht="38.25" hidden="1">
      <c r="B4764" s="828" t="s">
        <v>6547</v>
      </c>
      <c r="C4764" s="828">
        <v>103878</v>
      </c>
      <c r="D4764" s="630" t="s">
        <v>7417</v>
      </c>
      <c r="E4764" s="630" t="s">
        <v>646</v>
      </c>
      <c r="F4764" s="829">
        <v>17.329999999999998</v>
      </c>
      <c r="G4764" s="830">
        <v>12.41</v>
      </c>
      <c r="H4764" s="831">
        <v>29.74</v>
      </c>
      <c r="I4764" s="846"/>
      <c r="J4764" s="846"/>
      <c r="K4764" s="846"/>
      <c r="L4764" s="846"/>
      <c r="M4764" s="846"/>
      <c r="N4764" s="846"/>
      <c r="O4764" s="846"/>
      <c r="P4764" s="846"/>
      <c r="Q4764" s="846"/>
      <c r="R4764" s="846"/>
      <c r="S4764" s="846"/>
      <c r="T4764" s="846"/>
    </row>
    <row r="4765" spans="2:20" ht="38.25" hidden="1">
      <c r="B4765" s="828" t="s">
        <v>6547</v>
      </c>
      <c r="C4765" s="828">
        <v>103879</v>
      </c>
      <c r="D4765" s="630" t="s">
        <v>7418</v>
      </c>
      <c r="E4765" s="630" t="s">
        <v>646</v>
      </c>
      <c r="F4765" s="829">
        <v>25.65</v>
      </c>
      <c r="G4765" s="830">
        <v>7.74</v>
      </c>
      <c r="H4765" s="831">
        <v>33.39</v>
      </c>
      <c r="I4765" s="846"/>
      <c r="J4765" s="846"/>
      <c r="K4765" s="846"/>
      <c r="L4765" s="846"/>
      <c r="M4765" s="846"/>
      <c r="N4765" s="846"/>
      <c r="O4765" s="846"/>
      <c r="P4765" s="846"/>
      <c r="Q4765" s="846"/>
      <c r="R4765" s="846"/>
      <c r="S4765" s="846"/>
      <c r="T4765" s="846"/>
    </row>
    <row r="4766" spans="2:20" ht="38.25" hidden="1">
      <c r="B4766" s="828" t="s">
        <v>6547</v>
      </c>
      <c r="C4766" s="828">
        <v>103880</v>
      </c>
      <c r="D4766" s="630" t="s">
        <v>7419</v>
      </c>
      <c r="E4766" s="630" t="s">
        <v>646</v>
      </c>
      <c r="F4766" s="829">
        <v>28.62</v>
      </c>
      <c r="G4766" s="830">
        <v>8.56</v>
      </c>
      <c r="H4766" s="831">
        <v>37.18</v>
      </c>
      <c r="I4766" s="846"/>
      <c r="J4766" s="846"/>
      <c r="K4766" s="846"/>
      <c r="L4766" s="846"/>
      <c r="M4766" s="846"/>
      <c r="N4766" s="846"/>
      <c r="O4766" s="846"/>
      <c r="P4766" s="846"/>
      <c r="Q4766" s="846"/>
      <c r="R4766" s="846"/>
      <c r="S4766" s="846"/>
      <c r="T4766" s="846"/>
    </row>
    <row r="4767" spans="2:20" ht="38.25" hidden="1">
      <c r="B4767" s="828" t="s">
        <v>6547</v>
      </c>
      <c r="C4767" s="828">
        <v>103881</v>
      </c>
      <c r="D4767" s="630" t="s">
        <v>7420</v>
      </c>
      <c r="E4767" s="630" t="s">
        <v>646</v>
      </c>
      <c r="F4767" s="829">
        <v>27.6</v>
      </c>
      <c r="G4767" s="830">
        <v>14.05</v>
      </c>
      <c r="H4767" s="832">
        <v>41.65</v>
      </c>
      <c r="I4767" s="846"/>
      <c r="J4767" s="846"/>
      <c r="K4767" s="846"/>
      <c r="L4767" s="846"/>
      <c r="M4767" s="846"/>
      <c r="N4767" s="846"/>
      <c r="O4767" s="846"/>
      <c r="P4767" s="846"/>
      <c r="Q4767" s="846"/>
      <c r="R4767" s="846"/>
      <c r="S4767" s="846"/>
      <c r="T4767" s="846"/>
    </row>
    <row r="4768" spans="2:20" ht="38.25" hidden="1">
      <c r="B4768" s="828" t="s">
        <v>6547</v>
      </c>
      <c r="C4768" s="828">
        <v>103882</v>
      </c>
      <c r="D4768" s="630" t="s">
        <v>7421</v>
      </c>
      <c r="E4768" s="630" t="s">
        <v>646</v>
      </c>
      <c r="F4768" s="829">
        <v>25.7</v>
      </c>
      <c r="G4768" s="830">
        <v>14.05</v>
      </c>
      <c r="H4768" s="831">
        <v>39.75</v>
      </c>
      <c r="I4768" s="846"/>
      <c r="J4768" s="846"/>
      <c r="K4768" s="846"/>
      <c r="L4768" s="846"/>
      <c r="M4768" s="846"/>
      <c r="N4768" s="846"/>
      <c r="O4768" s="846"/>
      <c r="P4768" s="846"/>
      <c r="Q4768" s="846"/>
      <c r="R4768" s="846"/>
      <c r="S4768" s="846"/>
      <c r="T4768" s="846"/>
    </row>
    <row r="4769" spans="2:20" ht="38.25" hidden="1">
      <c r="B4769" s="828" t="s">
        <v>6547</v>
      </c>
      <c r="C4769" s="828">
        <v>103883</v>
      </c>
      <c r="D4769" s="630" t="s">
        <v>7422</v>
      </c>
      <c r="E4769" s="630" t="s">
        <v>646</v>
      </c>
      <c r="F4769" s="829">
        <v>6.02</v>
      </c>
      <c r="G4769" s="830">
        <v>7.04</v>
      </c>
      <c r="H4769" s="831">
        <v>13.06</v>
      </c>
      <c r="I4769" s="846"/>
      <c r="J4769" s="846"/>
      <c r="K4769" s="846"/>
      <c r="L4769" s="846"/>
      <c r="M4769" s="846"/>
      <c r="N4769" s="846"/>
      <c r="O4769" s="846"/>
      <c r="P4769" s="846"/>
      <c r="Q4769" s="846"/>
      <c r="R4769" s="846"/>
      <c r="S4769" s="846"/>
      <c r="T4769" s="846"/>
    </row>
    <row r="4770" spans="2:20" ht="38.25" hidden="1">
      <c r="B4770" s="828" t="s">
        <v>6547</v>
      </c>
      <c r="C4770" s="828">
        <v>103884</v>
      </c>
      <c r="D4770" s="630" t="s">
        <v>7423</v>
      </c>
      <c r="E4770" s="630" t="s">
        <v>646</v>
      </c>
      <c r="F4770" s="829">
        <v>6.06</v>
      </c>
      <c r="G4770" s="830">
        <v>7.04</v>
      </c>
      <c r="H4770" s="831">
        <v>13.1</v>
      </c>
      <c r="I4770" s="846"/>
      <c r="J4770" s="846"/>
      <c r="K4770" s="846"/>
      <c r="L4770" s="846"/>
      <c r="M4770" s="846"/>
      <c r="N4770" s="846"/>
      <c r="O4770" s="846"/>
      <c r="P4770" s="846"/>
      <c r="Q4770" s="846"/>
      <c r="R4770" s="846"/>
      <c r="S4770" s="846"/>
      <c r="T4770" s="846"/>
    </row>
    <row r="4771" spans="2:20" ht="38.25" hidden="1">
      <c r="B4771" s="828" t="s">
        <v>6547</v>
      </c>
      <c r="C4771" s="828">
        <v>103885</v>
      </c>
      <c r="D4771" s="630" t="s">
        <v>7424</v>
      </c>
      <c r="E4771" s="630" t="s">
        <v>646</v>
      </c>
      <c r="F4771" s="829">
        <v>22.53</v>
      </c>
      <c r="G4771" s="830">
        <v>7</v>
      </c>
      <c r="H4771" s="831">
        <v>29.53</v>
      </c>
      <c r="I4771" s="846"/>
      <c r="J4771" s="846"/>
      <c r="K4771" s="846"/>
      <c r="L4771" s="846"/>
      <c r="M4771" s="846"/>
      <c r="N4771" s="846"/>
      <c r="O4771" s="846"/>
      <c r="P4771" s="846"/>
      <c r="Q4771" s="846"/>
      <c r="R4771" s="846"/>
      <c r="S4771" s="846"/>
      <c r="T4771" s="846"/>
    </row>
    <row r="4772" spans="2:20" ht="38.25" hidden="1">
      <c r="B4772" s="828" t="s">
        <v>6547</v>
      </c>
      <c r="C4772" s="828">
        <v>103886</v>
      </c>
      <c r="D4772" s="630" t="s">
        <v>7425</v>
      </c>
      <c r="E4772" s="630" t="s">
        <v>646</v>
      </c>
      <c r="F4772" s="829">
        <v>479.49</v>
      </c>
      <c r="G4772" s="830">
        <v>6.99</v>
      </c>
      <c r="H4772" s="831">
        <v>486.48</v>
      </c>
      <c r="I4772" s="846"/>
      <c r="J4772" s="846"/>
      <c r="K4772" s="846"/>
      <c r="L4772" s="846"/>
      <c r="M4772" s="846"/>
      <c r="N4772" s="846"/>
      <c r="O4772" s="846"/>
      <c r="P4772" s="846"/>
      <c r="Q4772" s="846"/>
      <c r="R4772" s="846"/>
      <c r="S4772" s="846"/>
      <c r="T4772" s="846"/>
    </row>
    <row r="4773" spans="2:20" ht="38.25" hidden="1">
      <c r="B4773" s="828" t="s">
        <v>6547</v>
      </c>
      <c r="C4773" s="828">
        <v>103887</v>
      </c>
      <c r="D4773" s="630" t="s">
        <v>7426</v>
      </c>
      <c r="E4773" s="630" t="s">
        <v>646</v>
      </c>
      <c r="F4773" s="829">
        <v>16.850000000000001</v>
      </c>
      <c r="G4773" s="830">
        <v>5.04</v>
      </c>
      <c r="H4773" s="831">
        <v>21.89</v>
      </c>
      <c r="I4773" s="846"/>
      <c r="J4773" s="846"/>
      <c r="K4773" s="846"/>
      <c r="L4773" s="846"/>
      <c r="M4773" s="846"/>
      <c r="N4773" s="846"/>
      <c r="O4773" s="846"/>
      <c r="P4773" s="846"/>
      <c r="Q4773" s="846"/>
      <c r="R4773" s="846"/>
      <c r="S4773" s="846"/>
      <c r="T4773" s="846"/>
    </row>
    <row r="4774" spans="2:20" ht="38.25" hidden="1">
      <c r="B4774" s="828" t="s">
        <v>6547</v>
      </c>
      <c r="C4774" s="828">
        <v>103888</v>
      </c>
      <c r="D4774" s="630" t="s">
        <v>7427</v>
      </c>
      <c r="E4774" s="630" t="s">
        <v>646</v>
      </c>
      <c r="F4774" s="829">
        <v>9.91</v>
      </c>
      <c r="G4774" s="830">
        <v>8.2799999999999994</v>
      </c>
      <c r="H4774" s="831">
        <v>18.190000000000001</v>
      </c>
      <c r="I4774" s="846"/>
      <c r="J4774" s="846"/>
      <c r="K4774" s="846"/>
      <c r="L4774" s="846"/>
      <c r="M4774" s="846"/>
      <c r="N4774" s="846"/>
      <c r="O4774" s="846"/>
      <c r="P4774" s="846"/>
      <c r="Q4774" s="846"/>
      <c r="R4774" s="846"/>
      <c r="S4774" s="846"/>
      <c r="T4774" s="846"/>
    </row>
    <row r="4775" spans="2:20" ht="38.25" hidden="1">
      <c r="B4775" s="828" t="s">
        <v>6547</v>
      </c>
      <c r="C4775" s="828">
        <v>103889</v>
      </c>
      <c r="D4775" s="630" t="s">
        <v>7428</v>
      </c>
      <c r="E4775" s="630" t="s">
        <v>646</v>
      </c>
      <c r="F4775" s="829">
        <v>11.32</v>
      </c>
      <c r="G4775" s="830">
        <v>8.2799999999999994</v>
      </c>
      <c r="H4775" s="831">
        <v>19.600000000000001</v>
      </c>
      <c r="I4775" s="846"/>
      <c r="J4775" s="846"/>
      <c r="K4775" s="846"/>
      <c r="L4775" s="846"/>
      <c r="M4775" s="846"/>
      <c r="N4775" s="846"/>
      <c r="O4775" s="846"/>
      <c r="P4775" s="846"/>
      <c r="Q4775" s="846"/>
      <c r="R4775" s="846"/>
      <c r="S4775" s="846"/>
      <c r="T4775" s="846"/>
    </row>
    <row r="4776" spans="2:20" ht="38.25" hidden="1">
      <c r="B4776" s="828" t="s">
        <v>6547</v>
      </c>
      <c r="C4776" s="828">
        <v>103890</v>
      </c>
      <c r="D4776" s="630" t="s">
        <v>7429</v>
      </c>
      <c r="E4776" s="630" t="s">
        <v>646</v>
      </c>
      <c r="F4776" s="829">
        <v>556.72</v>
      </c>
      <c r="G4776" s="830">
        <v>8.26</v>
      </c>
      <c r="H4776" s="831">
        <v>564.98</v>
      </c>
      <c r="I4776" s="846"/>
      <c r="J4776" s="846"/>
      <c r="K4776" s="846"/>
      <c r="L4776" s="846"/>
      <c r="M4776" s="846"/>
      <c r="N4776" s="846"/>
      <c r="O4776" s="846"/>
      <c r="P4776" s="846"/>
      <c r="Q4776" s="846"/>
      <c r="R4776" s="846"/>
      <c r="S4776" s="846"/>
      <c r="T4776" s="846"/>
    </row>
    <row r="4777" spans="2:20" ht="38.25" hidden="1">
      <c r="B4777" s="828" t="s">
        <v>6547</v>
      </c>
      <c r="C4777" s="828">
        <v>103891</v>
      </c>
      <c r="D4777" s="630" t="s">
        <v>7430</v>
      </c>
      <c r="E4777" s="630" t="s">
        <v>646</v>
      </c>
      <c r="F4777" s="829">
        <v>47.46</v>
      </c>
      <c r="G4777" s="830">
        <v>8.26</v>
      </c>
      <c r="H4777" s="831">
        <v>55.72</v>
      </c>
      <c r="I4777" s="846"/>
      <c r="J4777" s="846"/>
      <c r="K4777" s="846"/>
      <c r="L4777" s="846"/>
      <c r="M4777" s="846"/>
      <c r="N4777" s="846"/>
      <c r="O4777" s="846"/>
      <c r="P4777" s="846"/>
      <c r="Q4777" s="846"/>
      <c r="R4777" s="846"/>
      <c r="S4777" s="846"/>
      <c r="T4777" s="846"/>
    </row>
    <row r="4778" spans="2:20" ht="38.25" hidden="1">
      <c r="B4778" s="828" t="s">
        <v>6547</v>
      </c>
      <c r="C4778" s="828">
        <v>103892</v>
      </c>
      <c r="D4778" s="630" t="s">
        <v>7431</v>
      </c>
      <c r="E4778" s="630" t="s">
        <v>646</v>
      </c>
      <c r="F4778" s="829">
        <v>10</v>
      </c>
      <c r="G4778" s="830">
        <v>7.65</v>
      </c>
      <c r="H4778" s="831">
        <v>17.649999999999999</v>
      </c>
      <c r="I4778" s="846"/>
      <c r="J4778" s="846"/>
      <c r="K4778" s="846"/>
      <c r="L4778" s="846"/>
      <c r="M4778" s="846"/>
      <c r="N4778" s="846"/>
      <c r="O4778" s="846"/>
      <c r="P4778" s="846"/>
      <c r="Q4778" s="846"/>
      <c r="R4778" s="846"/>
      <c r="S4778" s="846"/>
      <c r="T4778" s="846"/>
    </row>
    <row r="4779" spans="2:20" ht="38.25" hidden="1">
      <c r="B4779" s="828" t="s">
        <v>6547</v>
      </c>
      <c r="C4779" s="828">
        <v>103893</v>
      </c>
      <c r="D4779" s="630" t="s">
        <v>7432</v>
      </c>
      <c r="E4779" s="630" t="s">
        <v>646</v>
      </c>
      <c r="F4779" s="829">
        <v>17.57</v>
      </c>
      <c r="G4779" s="830">
        <v>5.67</v>
      </c>
      <c r="H4779" s="831">
        <v>23.24</v>
      </c>
      <c r="I4779" s="846"/>
      <c r="J4779" s="846"/>
      <c r="K4779" s="846"/>
      <c r="L4779" s="846"/>
      <c r="M4779" s="846"/>
      <c r="N4779" s="846"/>
      <c r="O4779" s="846"/>
      <c r="P4779" s="846"/>
      <c r="Q4779" s="846"/>
      <c r="R4779" s="846"/>
      <c r="S4779" s="846"/>
      <c r="T4779" s="846"/>
    </row>
    <row r="4780" spans="2:20" ht="38.25" hidden="1">
      <c r="B4780" s="828" t="s">
        <v>6547</v>
      </c>
      <c r="C4780" s="828">
        <v>103894</v>
      </c>
      <c r="D4780" s="630" t="s">
        <v>7433</v>
      </c>
      <c r="E4780" s="630" t="s">
        <v>646</v>
      </c>
      <c r="F4780" s="829">
        <v>21.44</v>
      </c>
      <c r="G4780" s="830">
        <v>6.49</v>
      </c>
      <c r="H4780" s="831">
        <v>27.93</v>
      </c>
      <c r="I4780" s="846"/>
      <c r="J4780" s="846"/>
      <c r="K4780" s="846"/>
      <c r="L4780" s="846"/>
      <c r="M4780" s="846"/>
      <c r="N4780" s="846"/>
      <c r="O4780" s="846"/>
      <c r="P4780" s="846"/>
      <c r="Q4780" s="846"/>
      <c r="R4780" s="846"/>
      <c r="S4780" s="846"/>
      <c r="T4780" s="846"/>
    </row>
    <row r="4781" spans="2:20" ht="38.25" hidden="1">
      <c r="B4781" s="828" t="s">
        <v>6547</v>
      </c>
      <c r="C4781" s="828">
        <v>103895</v>
      </c>
      <c r="D4781" s="630" t="s">
        <v>7434</v>
      </c>
      <c r="E4781" s="630" t="s">
        <v>646</v>
      </c>
      <c r="F4781" s="829">
        <v>16.71</v>
      </c>
      <c r="G4781" s="830">
        <v>9.36</v>
      </c>
      <c r="H4781" s="831">
        <v>26.07</v>
      </c>
      <c r="I4781" s="846"/>
      <c r="J4781" s="846"/>
      <c r="K4781" s="846"/>
      <c r="L4781" s="846"/>
      <c r="M4781" s="846"/>
      <c r="N4781" s="846"/>
      <c r="O4781" s="846"/>
      <c r="P4781" s="846"/>
      <c r="Q4781" s="846"/>
      <c r="R4781" s="846"/>
      <c r="S4781" s="846"/>
      <c r="T4781" s="846"/>
    </row>
    <row r="4782" spans="2:20" ht="38.25" hidden="1">
      <c r="B4782" s="828" t="s">
        <v>6547</v>
      </c>
      <c r="C4782" s="828">
        <v>103896</v>
      </c>
      <c r="D4782" s="630" t="s">
        <v>7435</v>
      </c>
      <c r="E4782" s="630" t="s">
        <v>646</v>
      </c>
      <c r="F4782" s="829">
        <v>16.71</v>
      </c>
      <c r="G4782" s="830">
        <v>9.36</v>
      </c>
      <c r="H4782" s="831">
        <v>26.07</v>
      </c>
      <c r="I4782" s="846"/>
      <c r="J4782" s="846"/>
      <c r="K4782" s="846"/>
      <c r="L4782" s="846"/>
      <c r="M4782" s="846"/>
      <c r="N4782" s="846"/>
      <c r="O4782" s="846"/>
      <c r="P4782" s="846"/>
      <c r="Q4782" s="846"/>
      <c r="R4782" s="846"/>
      <c r="S4782" s="846"/>
      <c r="T4782" s="846"/>
    </row>
    <row r="4783" spans="2:20" ht="38.25" hidden="1">
      <c r="B4783" s="828" t="s">
        <v>6547</v>
      </c>
      <c r="C4783" s="828">
        <v>103897</v>
      </c>
      <c r="D4783" s="630" t="s">
        <v>7436</v>
      </c>
      <c r="E4783" s="630" t="s">
        <v>646</v>
      </c>
      <c r="F4783" s="829">
        <v>83.14</v>
      </c>
      <c r="G4783" s="830">
        <v>9.34</v>
      </c>
      <c r="H4783" s="831">
        <v>92.48</v>
      </c>
      <c r="I4783" s="846"/>
      <c r="J4783" s="846"/>
      <c r="K4783" s="846"/>
      <c r="L4783" s="846"/>
      <c r="M4783" s="846"/>
      <c r="N4783" s="846"/>
      <c r="O4783" s="846"/>
      <c r="P4783" s="846"/>
      <c r="Q4783" s="846"/>
      <c r="R4783" s="846"/>
      <c r="S4783" s="846"/>
      <c r="T4783" s="846"/>
    </row>
    <row r="4784" spans="2:20" ht="38.25" hidden="1">
      <c r="B4784" s="828" t="s">
        <v>6547</v>
      </c>
      <c r="C4784" s="828">
        <v>103898</v>
      </c>
      <c r="D4784" s="630" t="s">
        <v>7437</v>
      </c>
      <c r="E4784" s="630" t="s">
        <v>646</v>
      </c>
      <c r="F4784" s="829">
        <v>611.95000000000005</v>
      </c>
      <c r="G4784" s="830">
        <v>9.34</v>
      </c>
      <c r="H4784" s="831">
        <v>621.29</v>
      </c>
      <c r="I4784" s="846"/>
      <c r="J4784" s="846"/>
      <c r="K4784" s="846"/>
      <c r="L4784" s="846"/>
      <c r="M4784" s="846"/>
      <c r="N4784" s="846"/>
      <c r="O4784" s="846"/>
      <c r="P4784" s="846"/>
      <c r="Q4784" s="846"/>
      <c r="R4784" s="846"/>
      <c r="S4784" s="846"/>
      <c r="T4784" s="846"/>
    </row>
    <row r="4785" spans="2:20" ht="38.25" hidden="1">
      <c r="B4785" s="828" t="s">
        <v>6547</v>
      </c>
      <c r="C4785" s="828">
        <v>103899</v>
      </c>
      <c r="D4785" s="630" t="s">
        <v>7438</v>
      </c>
      <c r="E4785" s="630" t="s">
        <v>646</v>
      </c>
      <c r="F4785" s="829">
        <v>29.28</v>
      </c>
      <c r="G4785" s="830">
        <v>6.21</v>
      </c>
      <c r="H4785" s="831">
        <v>35.49</v>
      </c>
      <c r="I4785" s="846"/>
      <c r="J4785" s="846"/>
      <c r="K4785" s="846"/>
      <c r="L4785" s="846"/>
      <c r="M4785" s="846"/>
      <c r="N4785" s="846"/>
      <c r="O4785" s="846"/>
      <c r="P4785" s="846"/>
      <c r="Q4785" s="846"/>
      <c r="R4785" s="846"/>
      <c r="S4785" s="846"/>
      <c r="T4785" s="846"/>
    </row>
    <row r="4786" spans="2:20" ht="38.25" hidden="1">
      <c r="B4786" s="828" t="s">
        <v>6547</v>
      </c>
      <c r="C4786" s="828">
        <v>103900</v>
      </c>
      <c r="D4786" s="630" t="s">
        <v>7439</v>
      </c>
      <c r="E4786" s="630" t="s">
        <v>646</v>
      </c>
      <c r="F4786" s="829">
        <v>13.96</v>
      </c>
      <c r="G4786" s="830">
        <v>8.82</v>
      </c>
      <c r="H4786" s="831">
        <v>22.78</v>
      </c>
      <c r="I4786" s="846"/>
      <c r="J4786" s="846"/>
      <c r="K4786" s="846"/>
      <c r="L4786" s="846"/>
      <c r="M4786" s="846"/>
      <c r="N4786" s="846"/>
      <c r="O4786" s="846"/>
      <c r="P4786" s="846"/>
      <c r="Q4786" s="846"/>
      <c r="R4786" s="846"/>
      <c r="S4786" s="846"/>
      <c r="T4786" s="846"/>
    </row>
    <row r="4787" spans="2:20" ht="38.25" hidden="1">
      <c r="B4787" s="828" t="s">
        <v>6547</v>
      </c>
      <c r="C4787" s="828">
        <v>103901</v>
      </c>
      <c r="D4787" s="630" t="s">
        <v>7440</v>
      </c>
      <c r="E4787" s="630" t="s">
        <v>646</v>
      </c>
      <c r="F4787" s="829">
        <v>12.95</v>
      </c>
      <c r="G4787" s="830">
        <v>14.04</v>
      </c>
      <c r="H4787" s="831">
        <v>26.99</v>
      </c>
      <c r="I4787" s="846"/>
      <c r="J4787" s="846"/>
      <c r="K4787" s="846"/>
      <c r="L4787" s="846"/>
      <c r="M4787" s="846"/>
      <c r="N4787" s="846"/>
      <c r="O4787" s="846"/>
      <c r="P4787" s="846"/>
      <c r="Q4787" s="846"/>
      <c r="R4787" s="846"/>
      <c r="S4787" s="846"/>
      <c r="T4787" s="846"/>
    </row>
    <row r="4788" spans="2:20" ht="38.25" hidden="1">
      <c r="B4788" s="828" t="s">
        <v>6547</v>
      </c>
      <c r="C4788" s="828">
        <v>103902</v>
      </c>
      <c r="D4788" s="630" t="s">
        <v>7441</v>
      </c>
      <c r="E4788" s="630" t="s">
        <v>646</v>
      </c>
      <c r="F4788" s="829">
        <v>23.19</v>
      </c>
      <c r="G4788" s="830">
        <v>16.55</v>
      </c>
      <c r="H4788" s="831">
        <v>39.74</v>
      </c>
      <c r="I4788" s="846"/>
      <c r="J4788" s="846"/>
      <c r="K4788" s="846"/>
      <c r="L4788" s="846"/>
      <c r="M4788" s="846"/>
      <c r="N4788" s="846"/>
      <c r="O4788" s="846"/>
      <c r="P4788" s="846"/>
      <c r="Q4788" s="846"/>
      <c r="R4788" s="846"/>
      <c r="S4788" s="846"/>
      <c r="T4788" s="846"/>
    </row>
    <row r="4789" spans="2:20" ht="38.25" hidden="1">
      <c r="B4789" s="828" t="s">
        <v>6547</v>
      </c>
      <c r="C4789" s="828">
        <v>103903</v>
      </c>
      <c r="D4789" s="630" t="s">
        <v>7442</v>
      </c>
      <c r="E4789" s="630" t="s">
        <v>646</v>
      </c>
      <c r="F4789" s="829">
        <v>34.96</v>
      </c>
      <c r="G4789" s="830">
        <v>18.72</v>
      </c>
      <c r="H4789" s="831">
        <v>53.68</v>
      </c>
      <c r="I4789" s="846"/>
      <c r="J4789" s="846"/>
      <c r="K4789" s="846"/>
      <c r="L4789" s="846"/>
      <c r="M4789" s="846"/>
      <c r="N4789" s="846"/>
      <c r="O4789" s="846"/>
      <c r="P4789" s="846"/>
      <c r="Q4789" s="846"/>
      <c r="R4789" s="846"/>
      <c r="S4789" s="846"/>
      <c r="T4789" s="846"/>
    </row>
    <row r="4790" spans="2:20" ht="38.25" hidden="1">
      <c r="B4790" s="828" t="s">
        <v>6547</v>
      </c>
      <c r="C4790" s="828">
        <v>103947</v>
      </c>
      <c r="D4790" s="630" t="s">
        <v>8198</v>
      </c>
      <c r="E4790" s="630" t="s">
        <v>646</v>
      </c>
      <c r="F4790" s="829">
        <v>2.71</v>
      </c>
      <c r="G4790" s="830">
        <v>4.07</v>
      </c>
      <c r="H4790" s="831">
        <v>6.78</v>
      </c>
      <c r="I4790" s="846"/>
      <c r="J4790" s="846"/>
      <c r="K4790" s="846"/>
      <c r="L4790" s="846"/>
      <c r="M4790" s="846"/>
      <c r="N4790" s="846"/>
      <c r="O4790" s="846"/>
      <c r="P4790" s="846"/>
      <c r="Q4790" s="846"/>
      <c r="R4790" s="846"/>
      <c r="S4790" s="846"/>
      <c r="T4790" s="846"/>
    </row>
    <row r="4791" spans="2:20" ht="38.25" hidden="1">
      <c r="B4791" s="828" t="s">
        <v>6547</v>
      </c>
      <c r="C4791" s="828">
        <v>103948</v>
      </c>
      <c r="D4791" s="630" t="s">
        <v>8199</v>
      </c>
      <c r="E4791" s="630" t="s">
        <v>646</v>
      </c>
      <c r="F4791" s="829">
        <v>3.92</v>
      </c>
      <c r="G4791" s="830">
        <v>4.78</v>
      </c>
      <c r="H4791" s="831">
        <v>8.6999999999999993</v>
      </c>
      <c r="I4791" s="846"/>
      <c r="J4791" s="846"/>
      <c r="K4791" s="846"/>
      <c r="L4791" s="846"/>
      <c r="M4791" s="846"/>
      <c r="N4791" s="846"/>
      <c r="O4791" s="846"/>
      <c r="P4791" s="846"/>
      <c r="Q4791" s="846"/>
      <c r="R4791" s="846"/>
      <c r="S4791" s="846"/>
      <c r="T4791" s="846"/>
    </row>
    <row r="4792" spans="2:20" ht="38.25" hidden="1">
      <c r="B4792" s="828" t="s">
        <v>6547</v>
      </c>
      <c r="C4792" s="828">
        <v>103949</v>
      </c>
      <c r="D4792" s="630" t="s">
        <v>8200</v>
      </c>
      <c r="E4792" s="630" t="s">
        <v>646</v>
      </c>
      <c r="F4792" s="829">
        <v>5.65</v>
      </c>
      <c r="G4792" s="830">
        <v>4.47</v>
      </c>
      <c r="H4792" s="831">
        <v>10.119999999999999</v>
      </c>
      <c r="I4792" s="846"/>
      <c r="J4792" s="846"/>
      <c r="K4792" s="846"/>
      <c r="L4792" s="846"/>
      <c r="M4792" s="846"/>
      <c r="N4792" s="846"/>
      <c r="O4792" s="846"/>
      <c r="P4792" s="846"/>
      <c r="Q4792" s="846"/>
      <c r="R4792" s="846"/>
      <c r="S4792" s="846"/>
      <c r="T4792" s="846"/>
    </row>
    <row r="4793" spans="2:20" ht="38.25" hidden="1">
      <c r="B4793" s="828" t="s">
        <v>6547</v>
      </c>
      <c r="C4793" s="828">
        <v>103950</v>
      </c>
      <c r="D4793" s="630" t="s">
        <v>8201</v>
      </c>
      <c r="E4793" s="630" t="s">
        <v>646</v>
      </c>
      <c r="F4793" s="829">
        <v>5.67</v>
      </c>
      <c r="G4793" s="830">
        <v>6.09</v>
      </c>
      <c r="H4793" s="831">
        <v>11.76</v>
      </c>
      <c r="I4793" s="846"/>
      <c r="J4793" s="846"/>
      <c r="K4793" s="846"/>
      <c r="L4793" s="846"/>
      <c r="M4793" s="846"/>
      <c r="N4793" s="846"/>
      <c r="O4793" s="846"/>
      <c r="P4793" s="846"/>
      <c r="Q4793" s="846"/>
      <c r="R4793" s="846"/>
      <c r="S4793" s="846"/>
      <c r="T4793" s="846"/>
    </row>
    <row r="4794" spans="2:20" ht="38.25" hidden="1">
      <c r="B4794" s="828" t="s">
        <v>6547</v>
      </c>
      <c r="C4794" s="828">
        <v>103951</v>
      </c>
      <c r="D4794" s="630" t="s">
        <v>8202</v>
      </c>
      <c r="E4794" s="630" t="s">
        <v>646</v>
      </c>
      <c r="F4794" s="829">
        <v>8.49</v>
      </c>
      <c r="G4794" s="830">
        <v>7.16</v>
      </c>
      <c r="H4794" s="831">
        <v>15.65</v>
      </c>
      <c r="I4794" s="846"/>
      <c r="J4794" s="846"/>
      <c r="K4794" s="846"/>
      <c r="L4794" s="846"/>
      <c r="M4794" s="846"/>
      <c r="N4794" s="846"/>
      <c r="O4794" s="846"/>
      <c r="P4794" s="846"/>
      <c r="Q4794" s="846"/>
      <c r="R4794" s="846"/>
      <c r="S4794" s="846"/>
      <c r="T4794" s="846"/>
    </row>
    <row r="4795" spans="2:20" ht="38.25" hidden="1">
      <c r="B4795" s="828" t="s">
        <v>6547</v>
      </c>
      <c r="C4795" s="828">
        <v>103952</v>
      </c>
      <c r="D4795" s="630" t="s">
        <v>8203</v>
      </c>
      <c r="E4795" s="630" t="s">
        <v>646</v>
      </c>
      <c r="F4795" s="829">
        <v>2.57</v>
      </c>
      <c r="G4795" s="830">
        <v>3.66</v>
      </c>
      <c r="H4795" s="831">
        <v>6.23</v>
      </c>
      <c r="I4795" s="846"/>
      <c r="J4795" s="846"/>
      <c r="K4795" s="846"/>
      <c r="L4795" s="846"/>
      <c r="M4795" s="846"/>
      <c r="N4795" s="846"/>
      <c r="O4795" s="846"/>
      <c r="P4795" s="846"/>
      <c r="Q4795" s="846"/>
      <c r="R4795" s="846"/>
      <c r="S4795" s="846"/>
      <c r="T4795" s="846"/>
    </row>
    <row r="4796" spans="2:20" ht="38.25" hidden="1">
      <c r="B4796" s="828" t="s">
        <v>6547</v>
      </c>
      <c r="C4796" s="828">
        <v>103953</v>
      </c>
      <c r="D4796" s="630" t="s">
        <v>8204</v>
      </c>
      <c r="E4796" s="630" t="s">
        <v>646</v>
      </c>
      <c r="F4796" s="829">
        <v>3.77</v>
      </c>
      <c r="G4796" s="830">
        <v>4.28</v>
      </c>
      <c r="H4796" s="831">
        <v>8.0500000000000007</v>
      </c>
      <c r="I4796" s="846"/>
      <c r="J4796" s="846"/>
      <c r="K4796" s="846"/>
      <c r="L4796" s="846"/>
      <c r="M4796" s="846"/>
      <c r="N4796" s="846"/>
      <c r="O4796" s="846"/>
      <c r="P4796" s="846"/>
      <c r="Q4796" s="846"/>
      <c r="R4796" s="846"/>
      <c r="S4796" s="846"/>
      <c r="T4796" s="846"/>
    </row>
    <row r="4797" spans="2:20" ht="38.25" hidden="1">
      <c r="B4797" s="828" t="s">
        <v>6547</v>
      </c>
      <c r="C4797" s="828">
        <v>103954</v>
      </c>
      <c r="D4797" s="630" t="s">
        <v>8205</v>
      </c>
      <c r="E4797" s="630" t="s">
        <v>646</v>
      </c>
      <c r="F4797" s="829">
        <v>5.51</v>
      </c>
      <c r="G4797" s="830">
        <v>4</v>
      </c>
      <c r="H4797" s="831">
        <v>9.51</v>
      </c>
      <c r="I4797" s="846"/>
      <c r="J4797" s="846"/>
      <c r="K4797" s="846"/>
      <c r="L4797" s="846"/>
      <c r="M4797" s="846"/>
      <c r="N4797" s="846"/>
      <c r="O4797" s="846"/>
      <c r="P4797" s="846"/>
      <c r="Q4797" s="846"/>
      <c r="R4797" s="846"/>
      <c r="S4797" s="846"/>
      <c r="T4797" s="846"/>
    </row>
    <row r="4798" spans="2:20" ht="38.25" hidden="1">
      <c r="B4798" s="828" t="s">
        <v>6547</v>
      </c>
      <c r="C4798" s="828">
        <v>103955</v>
      </c>
      <c r="D4798" s="630" t="s">
        <v>8206</v>
      </c>
      <c r="E4798" s="630" t="s">
        <v>646</v>
      </c>
      <c r="F4798" s="829">
        <v>5.49</v>
      </c>
      <c r="G4798" s="830">
        <v>5.44</v>
      </c>
      <c r="H4798" s="831">
        <v>10.93</v>
      </c>
      <c r="I4798" s="846"/>
      <c r="J4798" s="846"/>
      <c r="K4798" s="846"/>
      <c r="L4798" s="846"/>
      <c r="M4798" s="846"/>
      <c r="N4798" s="846"/>
      <c r="O4798" s="846"/>
      <c r="P4798" s="846"/>
      <c r="Q4798" s="846"/>
      <c r="R4798" s="846"/>
      <c r="S4798" s="846"/>
      <c r="T4798" s="846"/>
    </row>
    <row r="4799" spans="2:20" ht="38.25" hidden="1">
      <c r="B4799" s="828" t="s">
        <v>6547</v>
      </c>
      <c r="C4799" s="828">
        <v>103956</v>
      </c>
      <c r="D4799" s="630" t="s">
        <v>8207</v>
      </c>
      <c r="E4799" s="630" t="s">
        <v>646</v>
      </c>
      <c r="F4799" s="829">
        <v>8.2899999999999991</v>
      </c>
      <c r="G4799" s="830">
        <v>6.39</v>
      </c>
      <c r="H4799" s="831">
        <v>14.68</v>
      </c>
      <c r="I4799" s="846"/>
      <c r="J4799" s="846"/>
      <c r="K4799" s="846"/>
      <c r="L4799" s="846"/>
      <c r="M4799" s="846"/>
      <c r="N4799" s="846"/>
      <c r="O4799" s="846"/>
      <c r="P4799" s="846"/>
      <c r="Q4799" s="846"/>
      <c r="R4799" s="846"/>
      <c r="S4799" s="846"/>
      <c r="T4799" s="846"/>
    </row>
    <row r="4800" spans="2:20" ht="25.5" hidden="1">
      <c r="B4800" s="828" t="s">
        <v>6547</v>
      </c>
      <c r="C4800" s="828">
        <v>103957</v>
      </c>
      <c r="D4800" s="630" t="s">
        <v>8208</v>
      </c>
      <c r="E4800" s="630" t="s">
        <v>646</v>
      </c>
      <c r="F4800" s="829">
        <v>3.18</v>
      </c>
      <c r="G4800" s="830">
        <v>2.25</v>
      </c>
      <c r="H4800" s="831">
        <v>5.43</v>
      </c>
      <c r="I4800" s="846"/>
      <c r="J4800" s="846"/>
      <c r="K4800" s="846"/>
      <c r="L4800" s="846"/>
      <c r="M4800" s="846"/>
      <c r="N4800" s="846"/>
      <c r="O4800" s="846"/>
      <c r="P4800" s="846"/>
      <c r="Q4800" s="846"/>
      <c r="R4800" s="846"/>
      <c r="S4800" s="846"/>
      <c r="T4800" s="846"/>
    </row>
    <row r="4801" spans="2:20" ht="25.5" hidden="1">
      <c r="B4801" s="828" t="s">
        <v>6547</v>
      </c>
      <c r="C4801" s="828">
        <v>103958</v>
      </c>
      <c r="D4801" s="630" t="s">
        <v>8209</v>
      </c>
      <c r="E4801" s="630" t="s">
        <v>646</v>
      </c>
      <c r="F4801" s="829">
        <v>7.6</v>
      </c>
      <c r="G4801" s="830">
        <v>3.3</v>
      </c>
      <c r="H4801" s="832">
        <v>10.9</v>
      </c>
      <c r="I4801" s="846"/>
      <c r="J4801" s="846"/>
      <c r="K4801" s="846"/>
      <c r="L4801" s="846"/>
      <c r="M4801" s="846"/>
      <c r="N4801" s="846"/>
      <c r="O4801" s="846"/>
      <c r="P4801" s="846"/>
      <c r="Q4801" s="846"/>
      <c r="R4801" s="846"/>
      <c r="S4801" s="846"/>
      <c r="T4801" s="846"/>
    </row>
    <row r="4802" spans="2:20" ht="25.5" hidden="1">
      <c r="B4802" s="828" t="s">
        <v>6547</v>
      </c>
      <c r="C4802" s="828">
        <v>103959</v>
      </c>
      <c r="D4802" s="630" t="s">
        <v>8210</v>
      </c>
      <c r="E4802" s="630" t="s">
        <v>646</v>
      </c>
      <c r="F4802" s="829">
        <v>11.6</v>
      </c>
      <c r="G4802" s="830">
        <v>3.96</v>
      </c>
      <c r="H4802" s="831">
        <v>15.56</v>
      </c>
      <c r="I4802" s="846"/>
      <c r="J4802" s="846"/>
      <c r="K4802" s="846"/>
      <c r="L4802" s="846"/>
      <c r="M4802" s="846"/>
      <c r="N4802" s="846"/>
      <c r="O4802" s="846"/>
      <c r="P4802" s="846"/>
      <c r="Q4802" s="846"/>
      <c r="R4802" s="846"/>
      <c r="S4802" s="846"/>
      <c r="T4802" s="846"/>
    </row>
    <row r="4803" spans="2:20" ht="25.5" hidden="1">
      <c r="B4803" s="828" t="s">
        <v>6547</v>
      </c>
      <c r="C4803" s="828">
        <v>103960</v>
      </c>
      <c r="D4803" s="630" t="s">
        <v>8211</v>
      </c>
      <c r="E4803" s="630" t="s">
        <v>646</v>
      </c>
      <c r="F4803" s="829">
        <v>27.39</v>
      </c>
      <c r="G4803" s="830">
        <v>4.75</v>
      </c>
      <c r="H4803" s="831">
        <v>32.14</v>
      </c>
      <c r="I4803" s="846"/>
      <c r="J4803" s="846"/>
      <c r="K4803" s="846"/>
      <c r="L4803" s="846"/>
      <c r="M4803" s="846"/>
      <c r="N4803" s="846"/>
      <c r="O4803" s="846"/>
      <c r="P4803" s="846"/>
      <c r="Q4803" s="846"/>
      <c r="R4803" s="846"/>
      <c r="S4803" s="846"/>
      <c r="T4803" s="846"/>
    </row>
    <row r="4804" spans="2:20" ht="25.5" hidden="1">
      <c r="B4804" s="828" t="s">
        <v>6547</v>
      </c>
      <c r="C4804" s="828">
        <v>103961</v>
      </c>
      <c r="D4804" s="630" t="s">
        <v>8212</v>
      </c>
      <c r="E4804" s="630" t="s">
        <v>646</v>
      </c>
      <c r="F4804" s="829">
        <v>25.67</v>
      </c>
      <c r="G4804" s="830">
        <v>5.57</v>
      </c>
      <c r="H4804" s="831">
        <v>31.24</v>
      </c>
      <c r="I4804" s="846"/>
      <c r="J4804" s="846"/>
      <c r="K4804" s="846"/>
      <c r="L4804" s="846"/>
      <c r="M4804" s="846"/>
      <c r="N4804" s="846"/>
      <c r="O4804" s="846"/>
      <c r="P4804" s="846"/>
      <c r="Q4804" s="846"/>
      <c r="R4804" s="846"/>
      <c r="S4804" s="846"/>
      <c r="T4804" s="846"/>
    </row>
    <row r="4805" spans="2:20" ht="25.5" hidden="1">
      <c r="B4805" s="828" t="s">
        <v>6547</v>
      </c>
      <c r="C4805" s="828">
        <v>103962</v>
      </c>
      <c r="D4805" s="630" t="s">
        <v>8213</v>
      </c>
      <c r="E4805" s="630" t="s">
        <v>646</v>
      </c>
      <c r="F4805" s="829">
        <v>4.9400000000000004</v>
      </c>
      <c r="G4805" s="830">
        <v>2.04</v>
      </c>
      <c r="H4805" s="831">
        <v>6.98</v>
      </c>
      <c r="I4805" s="846"/>
      <c r="J4805" s="846"/>
      <c r="K4805" s="846"/>
      <c r="L4805" s="846"/>
      <c r="M4805" s="846"/>
      <c r="N4805" s="846"/>
      <c r="O4805" s="846"/>
      <c r="P4805" s="846"/>
      <c r="Q4805" s="846"/>
      <c r="R4805" s="846"/>
      <c r="S4805" s="846"/>
      <c r="T4805" s="846"/>
    </row>
    <row r="4806" spans="2:20" ht="25.5" hidden="1">
      <c r="B4806" s="828" t="s">
        <v>6547</v>
      </c>
      <c r="C4806" s="828">
        <v>103963</v>
      </c>
      <c r="D4806" s="630" t="s">
        <v>8214</v>
      </c>
      <c r="E4806" s="630" t="s">
        <v>646</v>
      </c>
      <c r="F4806" s="829">
        <v>6.55</v>
      </c>
      <c r="G4806" s="830">
        <v>2.27</v>
      </c>
      <c r="H4806" s="832">
        <v>8.82</v>
      </c>
      <c r="I4806" s="846"/>
      <c r="J4806" s="846"/>
      <c r="K4806" s="846"/>
      <c r="L4806" s="846"/>
      <c r="M4806" s="846"/>
      <c r="N4806" s="846"/>
      <c r="O4806" s="846"/>
      <c r="P4806" s="846"/>
      <c r="Q4806" s="846"/>
      <c r="R4806" s="846"/>
      <c r="S4806" s="846"/>
      <c r="T4806" s="846"/>
    </row>
    <row r="4807" spans="2:20" ht="25.5" hidden="1">
      <c r="B4807" s="828" t="s">
        <v>6547</v>
      </c>
      <c r="C4807" s="828">
        <v>103964</v>
      </c>
      <c r="D4807" s="630" t="s">
        <v>8215</v>
      </c>
      <c r="E4807" s="630" t="s">
        <v>646</v>
      </c>
      <c r="F4807" s="829">
        <v>7.2</v>
      </c>
      <c r="G4807" s="830">
        <v>2.4900000000000002</v>
      </c>
      <c r="H4807" s="832">
        <v>9.69</v>
      </c>
      <c r="I4807" s="846"/>
      <c r="J4807" s="846"/>
      <c r="K4807" s="846"/>
      <c r="L4807" s="846"/>
      <c r="M4807" s="846"/>
      <c r="N4807" s="846"/>
      <c r="O4807" s="846"/>
      <c r="P4807" s="846"/>
      <c r="Q4807" s="846"/>
      <c r="R4807" s="846"/>
      <c r="S4807" s="846"/>
      <c r="T4807" s="846"/>
    </row>
    <row r="4808" spans="2:20" ht="25.5" hidden="1">
      <c r="B4808" s="828" t="s">
        <v>6547</v>
      </c>
      <c r="C4808" s="828">
        <v>103965</v>
      </c>
      <c r="D4808" s="630" t="s">
        <v>8216</v>
      </c>
      <c r="E4808" s="630" t="s">
        <v>646</v>
      </c>
      <c r="F4808" s="829">
        <v>8.1300000000000008</v>
      </c>
      <c r="G4808" s="830">
        <v>2.61</v>
      </c>
      <c r="H4808" s="831">
        <v>10.74</v>
      </c>
      <c r="I4808" s="846"/>
      <c r="J4808" s="846"/>
      <c r="K4808" s="846"/>
      <c r="L4808" s="846"/>
      <c r="M4808" s="846"/>
      <c r="N4808" s="846"/>
      <c r="O4808" s="846"/>
      <c r="P4808" s="846"/>
      <c r="Q4808" s="846"/>
      <c r="R4808" s="846"/>
      <c r="S4808" s="846"/>
      <c r="T4808" s="846"/>
    </row>
    <row r="4809" spans="2:20" ht="25.5" hidden="1">
      <c r="B4809" s="828" t="s">
        <v>6547</v>
      </c>
      <c r="C4809" s="828">
        <v>103966</v>
      </c>
      <c r="D4809" s="630" t="s">
        <v>8217</v>
      </c>
      <c r="E4809" s="630" t="s">
        <v>646</v>
      </c>
      <c r="F4809" s="829">
        <v>8.2799999999999994</v>
      </c>
      <c r="G4809" s="830">
        <v>2.81</v>
      </c>
      <c r="H4809" s="831">
        <v>11.09</v>
      </c>
      <c r="I4809" s="846"/>
      <c r="J4809" s="846"/>
      <c r="K4809" s="846"/>
      <c r="L4809" s="846"/>
      <c r="M4809" s="846"/>
      <c r="N4809" s="846"/>
      <c r="O4809" s="846"/>
      <c r="P4809" s="846"/>
      <c r="Q4809" s="846"/>
      <c r="R4809" s="846"/>
      <c r="S4809" s="846"/>
      <c r="T4809" s="846"/>
    </row>
    <row r="4810" spans="2:20" ht="25.5" hidden="1">
      <c r="B4810" s="828" t="s">
        <v>6547</v>
      </c>
      <c r="C4810" s="828">
        <v>103967</v>
      </c>
      <c r="D4810" s="630" t="s">
        <v>8218</v>
      </c>
      <c r="E4810" s="630" t="s">
        <v>646</v>
      </c>
      <c r="F4810" s="829">
        <v>9.99</v>
      </c>
      <c r="G4810" s="830">
        <v>3.04</v>
      </c>
      <c r="H4810" s="831">
        <v>13.03</v>
      </c>
      <c r="I4810" s="846"/>
      <c r="J4810" s="846"/>
      <c r="K4810" s="846"/>
      <c r="L4810" s="846"/>
      <c r="M4810" s="846"/>
      <c r="N4810" s="846"/>
      <c r="O4810" s="846"/>
      <c r="P4810" s="846"/>
      <c r="Q4810" s="846"/>
      <c r="R4810" s="846"/>
      <c r="S4810" s="846"/>
      <c r="T4810" s="846"/>
    </row>
    <row r="4811" spans="2:20" ht="25.5" hidden="1">
      <c r="B4811" s="828" t="s">
        <v>6547</v>
      </c>
      <c r="C4811" s="828">
        <v>103968</v>
      </c>
      <c r="D4811" s="630" t="s">
        <v>8219</v>
      </c>
      <c r="E4811" s="630" t="s">
        <v>646</v>
      </c>
      <c r="F4811" s="829">
        <v>15.12</v>
      </c>
      <c r="G4811" s="830">
        <v>3.13</v>
      </c>
      <c r="H4811" s="831">
        <v>18.25</v>
      </c>
      <c r="I4811" s="846"/>
      <c r="J4811" s="846"/>
      <c r="K4811" s="846"/>
      <c r="L4811" s="846"/>
      <c r="M4811" s="846"/>
      <c r="N4811" s="846"/>
      <c r="O4811" s="846"/>
      <c r="P4811" s="846"/>
      <c r="Q4811" s="846"/>
      <c r="R4811" s="846"/>
      <c r="S4811" s="846"/>
      <c r="T4811" s="846"/>
    </row>
    <row r="4812" spans="2:20" ht="25.5" hidden="1">
      <c r="B4812" s="828" t="s">
        <v>6547</v>
      </c>
      <c r="C4812" s="828">
        <v>103969</v>
      </c>
      <c r="D4812" s="630" t="s">
        <v>8220</v>
      </c>
      <c r="E4812" s="630" t="s">
        <v>646</v>
      </c>
      <c r="F4812" s="829">
        <v>17.79</v>
      </c>
      <c r="G4812" s="830">
        <v>3.37</v>
      </c>
      <c r="H4812" s="831">
        <v>21.16</v>
      </c>
      <c r="I4812" s="846"/>
      <c r="J4812" s="846"/>
      <c r="K4812" s="846"/>
      <c r="L4812" s="846"/>
      <c r="M4812" s="846"/>
      <c r="N4812" s="846"/>
      <c r="O4812" s="846"/>
      <c r="P4812" s="846"/>
      <c r="Q4812" s="846"/>
      <c r="R4812" s="846"/>
      <c r="S4812" s="846"/>
      <c r="T4812" s="846"/>
    </row>
    <row r="4813" spans="2:20" ht="25.5" hidden="1">
      <c r="B4813" s="828" t="s">
        <v>6547</v>
      </c>
      <c r="C4813" s="828">
        <v>103970</v>
      </c>
      <c r="D4813" s="630" t="s">
        <v>8221</v>
      </c>
      <c r="E4813" s="630" t="s">
        <v>646</v>
      </c>
      <c r="F4813" s="829">
        <v>19.190000000000001</v>
      </c>
      <c r="G4813" s="830">
        <v>3.62</v>
      </c>
      <c r="H4813" s="831">
        <v>22.81</v>
      </c>
      <c r="I4813" s="846"/>
      <c r="J4813" s="846"/>
      <c r="K4813" s="846"/>
      <c r="L4813" s="846"/>
      <c r="M4813" s="846"/>
      <c r="N4813" s="846"/>
      <c r="O4813" s="846"/>
      <c r="P4813" s="846"/>
      <c r="Q4813" s="846"/>
      <c r="R4813" s="846"/>
      <c r="S4813" s="846"/>
      <c r="T4813" s="846"/>
    </row>
    <row r="4814" spans="2:20" ht="25.5" hidden="1">
      <c r="B4814" s="828" t="s">
        <v>6547</v>
      </c>
      <c r="C4814" s="828">
        <v>103971</v>
      </c>
      <c r="D4814" s="630" t="s">
        <v>8222</v>
      </c>
      <c r="E4814" s="630" t="s">
        <v>646</v>
      </c>
      <c r="F4814" s="829">
        <v>23.08</v>
      </c>
      <c r="G4814" s="830">
        <v>3.95</v>
      </c>
      <c r="H4814" s="831">
        <v>27.03</v>
      </c>
      <c r="I4814" s="846"/>
      <c r="J4814" s="846"/>
      <c r="K4814" s="846"/>
      <c r="L4814" s="846"/>
      <c r="M4814" s="846"/>
      <c r="N4814" s="846"/>
      <c r="O4814" s="846"/>
      <c r="P4814" s="846"/>
      <c r="Q4814" s="846"/>
      <c r="R4814" s="846"/>
      <c r="S4814" s="846"/>
      <c r="T4814" s="846"/>
    </row>
    <row r="4815" spans="2:20" ht="25.5" hidden="1">
      <c r="B4815" s="828" t="s">
        <v>6547</v>
      </c>
      <c r="C4815" s="828">
        <v>103972</v>
      </c>
      <c r="D4815" s="630" t="s">
        <v>8223</v>
      </c>
      <c r="E4815" s="630" t="s">
        <v>646</v>
      </c>
      <c r="F4815" s="829">
        <v>27.35</v>
      </c>
      <c r="G4815" s="830">
        <v>4.42</v>
      </c>
      <c r="H4815" s="831">
        <v>31.77</v>
      </c>
      <c r="I4815" s="846"/>
      <c r="J4815" s="846"/>
      <c r="K4815" s="846"/>
      <c r="L4815" s="846"/>
      <c r="M4815" s="846"/>
      <c r="N4815" s="846"/>
      <c r="O4815" s="846"/>
      <c r="P4815" s="846"/>
      <c r="Q4815" s="846"/>
      <c r="R4815" s="846"/>
      <c r="S4815" s="846"/>
      <c r="T4815" s="846"/>
    </row>
    <row r="4816" spans="2:20" ht="25.5" hidden="1">
      <c r="B4816" s="828" t="s">
        <v>6547</v>
      </c>
      <c r="C4816" s="828">
        <v>103973</v>
      </c>
      <c r="D4816" s="630" t="s">
        <v>8224</v>
      </c>
      <c r="E4816" s="630" t="s">
        <v>646</v>
      </c>
      <c r="F4816" s="829">
        <v>32.840000000000003</v>
      </c>
      <c r="G4816" s="830">
        <v>5.09</v>
      </c>
      <c r="H4816" s="831">
        <v>37.93</v>
      </c>
      <c r="I4816" s="846"/>
      <c r="J4816" s="846"/>
      <c r="K4816" s="846"/>
      <c r="L4816" s="846"/>
      <c r="M4816" s="846"/>
      <c r="N4816" s="846"/>
      <c r="O4816" s="846"/>
      <c r="P4816" s="846"/>
      <c r="Q4816" s="846"/>
      <c r="R4816" s="846"/>
      <c r="S4816" s="846"/>
      <c r="T4816" s="846"/>
    </row>
    <row r="4817" spans="2:20" ht="38.25" hidden="1">
      <c r="B4817" s="828" t="s">
        <v>6547</v>
      </c>
      <c r="C4817" s="828">
        <v>103974</v>
      </c>
      <c r="D4817" s="630" t="s">
        <v>8225</v>
      </c>
      <c r="E4817" s="630" t="s">
        <v>646</v>
      </c>
      <c r="F4817" s="829">
        <v>7.39</v>
      </c>
      <c r="G4817" s="830">
        <v>3.35</v>
      </c>
      <c r="H4817" s="831">
        <v>10.74</v>
      </c>
      <c r="I4817" s="846"/>
      <c r="J4817" s="846"/>
      <c r="K4817" s="846"/>
      <c r="L4817" s="846"/>
      <c r="M4817" s="846"/>
      <c r="N4817" s="846"/>
      <c r="O4817" s="846"/>
      <c r="P4817" s="846"/>
      <c r="Q4817" s="846"/>
      <c r="R4817" s="846"/>
      <c r="S4817" s="846"/>
      <c r="T4817" s="846"/>
    </row>
    <row r="4818" spans="2:20" ht="38.25" hidden="1">
      <c r="B4818" s="828" t="s">
        <v>6547</v>
      </c>
      <c r="C4818" s="828">
        <v>103975</v>
      </c>
      <c r="D4818" s="630" t="s">
        <v>8226</v>
      </c>
      <c r="E4818" s="630" t="s">
        <v>646</v>
      </c>
      <c r="F4818" s="829">
        <v>18.22</v>
      </c>
      <c r="G4818" s="830">
        <v>5.23</v>
      </c>
      <c r="H4818" s="831">
        <v>23.45</v>
      </c>
      <c r="I4818" s="846"/>
      <c r="J4818" s="846"/>
      <c r="K4818" s="846"/>
      <c r="L4818" s="846"/>
      <c r="M4818" s="846"/>
      <c r="N4818" s="846"/>
      <c r="O4818" s="846"/>
      <c r="P4818" s="846"/>
      <c r="Q4818" s="846"/>
      <c r="R4818" s="846"/>
      <c r="S4818" s="846"/>
      <c r="T4818" s="846"/>
    </row>
    <row r="4819" spans="2:20" ht="38.25" hidden="1">
      <c r="B4819" s="828" t="s">
        <v>6547</v>
      </c>
      <c r="C4819" s="828">
        <v>103976</v>
      </c>
      <c r="D4819" s="630" t="s">
        <v>8227</v>
      </c>
      <c r="E4819" s="630" t="s">
        <v>646</v>
      </c>
      <c r="F4819" s="829">
        <v>23.97</v>
      </c>
      <c r="G4819" s="830">
        <v>6.09</v>
      </c>
      <c r="H4819" s="831">
        <v>30.06</v>
      </c>
      <c r="I4819" s="846"/>
      <c r="J4819" s="846"/>
      <c r="K4819" s="846"/>
      <c r="L4819" s="846"/>
      <c r="M4819" s="846"/>
      <c r="N4819" s="846"/>
      <c r="O4819" s="846"/>
      <c r="P4819" s="846"/>
      <c r="Q4819" s="846"/>
      <c r="R4819" s="846"/>
      <c r="S4819" s="846"/>
      <c r="T4819" s="846"/>
    </row>
    <row r="4820" spans="2:20" ht="25.5" hidden="1">
      <c r="B4820" s="828" t="s">
        <v>6547</v>
      </c>
      <c r="C4820" s="828">
        <v>103977</v>
      </c>
      <c r="D4820" s="630" t="s">
        <v>8228</v>
      </c>
      <c r="E4820" s="630" t="s">
        <v>646</v>
      </c>
      <c r="F4820" s="829">
        <v>5.08</v>
      </c>
      <c r="G4820" s="830">
        <v>2.72</v>
      </c>
      <c r="H4820" s="831">
        <v>7.8</v>
      </c>
      <c r="I4820" s="846"/>
      <c r="J4820" s="846"/>
      <c r="K4820" s="846"/>
      <c r="L4820" s="846"/>
      <c r="M4820" s="846"/>
      <c r="N4820" s="846"/>
      <c r="O4820" s="846"/>
      <c r="P4820" s="846"/>
      <c r="Q4820" s="846"/>
      <c r="R4820" s="846"/>
      <c r="S4820" s="846"/>
      <c r="T4820" s="846"/>
    </row>
    <row r="4821" spans="2:20" ht="25.5" hidden="1">
      <c r="B4821" s="828" t="s">
        <v>6547</v>
      </c>
      <c r="C4821" s="828">
        <v>103980</v>
      </c>
      <c r="D4821" s="630" t="s">
        <v>8229</v>
      </c>
      <c r="E4821" s="630" t="s">
        <v>646</v>
      </c>
      <c r="F4821" s="829">
        <v>11.08</v>
      </c>
      <c r="G4821" s="830">
        <v>8.2200000000000006</v>
      </c>
      <c r="H4821" s="831">
        <v>19.3</v>
      </c>
      <c r="I4821" s="846"/>
      <c r="J4821" s="846"/>
      <c r="K4821" s="846"/>
      <c r="L4821" s="846"/>
      <c r="M4821" s="846"/>
      <c r="N4821" s="846"/>
      <c r="O4821" s="846"/>
      <c r="P4821" s="846"/>
      <c r="Q4821" s="846"/>
      <c r="R4821" s="846"/>
      <c r="S4821" s="846"/>
      <c r="T4821" s="846"/>
    </row>
    <row r="4822" spans="2:20" ht="25.5" hidden="1">
      <c r="B4822" s="828" t="s">
        <v>6547</v>
      </c>
      <c r="C4822" s="828">
        <v>103981</v>
      </c>
      <c r="D4822" s="630" t="s">
        <v>8230</v>
      </c>
      <c r="E4822" s="630" t="s">
        <v>646</v>
      </c>
      <c r="F4822" s="829">
        <v>12.34</v>
      </c>
      <c r="G4822" s="830">
        <v>8.2200000000000006</v>
      </c>
      <c r="H4822" s="831">
        <v>20.56</v>
      </c>
      <c r="I4822" s="846"/>
      <c r="J4822" s="846"/>
      <c r="K4822" s="846"/>
      <c r="L4822" s="846"/>
      <c r="M4822" s="846"/>
      <c r="N4822" s="846"/>
      <c r="O4822" s="846"/>
      <c r="P4822" s="846"/>
      <c r="Q4822" s="846"/>
      <c r="R4822" s="846"/>
      <c r="S4822" s="846"/>
      <c r="T4822" s="846"/>
    </row>
    <row r="4823" spans="2:20" ht="25.5" hidden="1">
      <c r="B4823" s="828" t="s">
        <v>6547</v>
      </c>
      <c r="C4823" s="828">
        <v>103982</v>
      </c>
      <c r="D4823" s="630" t="s">
        <v>8231</v>
      </c>
      <c r="E4823" s="630" t="s">
        <v>646</v>
      </c>
      <c r="F4823" s="829">
        <v>20.38</v>
      </c>
      <c r="G4823" s="830">
        <v>8.2200000000000006</v>
      </c>
      <c r="H4823" s="831">
        <v>28.6</v>
      </c>
      <c r="I4823" s="846"/>
      <c r="J4823" s="846"/>
      <c r="K4823" s="846"/>
      <c r="L4823" s="846"/>
      <c r="M4823" s="846"/>
      <c r="N4823" s="846"/>
      <c r="O4823" s="846"/>
      <c r="P4823" s="846"/>
      <c r="Q4823" s="846"/>
      <c r="R4823" s="846"/>
      <c r="S4823" s="846"/>
      <c r="T4823" s="846"/>
    </row>
    <row r="4824" spans="2:20" ht="25.5" hidden="1">
      <c r="B4824" s="828" t="s">
        <v>6547</v>
      </c>
      <c r="C4824" s="828">
        <v>103983</v>
      </c>
      <c r="D4824" s="630" t="s">
        <v>8232</v>
      </c>
      <c r="E4824" s="630" t="s">
        <v>646</v>
      </c>
      <c r="F4824" s="829">
        <v>12.59</v>
      </c>
      <c r="G4824" s="830">
        <v>8.2200000000000006</v>
      </c>
      <c r="H4824" s="831">
        <v>20.81</v>
      </c>
      <c r="I4824" s="846"/>
      <c r="J4824" s="846"/>
      <c r="K4824" s="846"/>
      <c r="L4824" s="846"/>
      <c r="M4824" s="846"/>
      <c r="N4824" s="846"/>
      <c r="O4824" s="846"/>
      <c r="P4824" s="846"/>
      <c r="Q4824" s="846"/>
      <c r="R4824" s="846"/>
      <c r="S4824" s="846"/>
      <c r="T4824" s="846"/>
    </row>
    <row r="4825" spans="2:20" ht="25.5" hidden="1">
      <c r="B4825" s="828" t="s">
        <v>6547</v>
      </c>
      <c r="C4825" s="828">
        <v>103984</v>
      </c>
      <c r="D4825" s="630" t="s">
        <v>8233</v>
      </c>
      <c r="E4825" s="630" t="s">
        <v>646</v>
      </c>
      <c r="F4825" s="829">
        <v>13.08</v>
      </c>
      <c r="G4825" s="830">
        <v>9.83</v>
      </c>
      <c r="H4825" s="831">
        <v>22.91</v>
      </c>
      <c r="I4825" s="846"/>
      <c r="J4825" s="846"/>
      <c r="K4825" s="846"/>
      <c r="L4825" s="846"/>
      <c r="M4825" s="846"/>
      <c r="N4825" s="846"/>
      <c r="O4825" s="846"/>
      <c r="P4825" s="846"/>
      <c r="Q4825" s="846"/>
      <c r="R4825" s="846"/>
      <c r="S4825" s="846"/>
      <c r="T4825" s="846"/>
    </row>
    <row r="4826" spans="2:20" ht="25.5" hidden="1">
      <c r="B4826" s="828" t="s">
        <v>6547</v>
      </c>
      <c r="C4826" s="828">
        <v>103985</v>
      </c>
      <c r="D4826" s="630" t="s">
        <v>8234</v>
      </c>
      <c r="E4826" s="630" t="s">
        <v>646</v>
      </c>
      <c r="F4826" s="829">
        <v>15.36</v>
      </c>
      <c r="G4826" s="830">
        <v>9.83</v>
      </c>
      <c r="H4826" s="831">
        <v>25.19</v>
      </c>
      <c r="I4826" s="846"/>
      <c r="J4826" s="846"/>
      <c r="K4826" s="846"/>
      <c r="L4826" s="846"/>
      <c r="M4826" s="846"/>
      <c r="N4826" s="846"/>
      <c r="O4826" s="846"/>
      <c r="P4826" s="846"/>
      <c r="Q4826" s="846"/>
      <c r="R4826" s="846"/>
      <c r="S4826" s="846"/>
      <c r="T4826" s="846"/>
    </row>
    <row r="4827" spans="2:20" ht="25.5" hidden="1">
      <c r="B4827" s="828" t="s">
        <v>6547</v>
      </c>
      <c r="C4827" s="828">
        <v>103986</v>
      </c>
      <c r="D4827" s="630" t="s">
        <v>8235</v>
      </c>
      <c r="E4827" s="630" t="s">
        <v>646</v>
      </c>
      <c r="F4827" s="829">
        <v>25.34</v>
      </c>
      <c r="G4827" s="830">
        <v>9.82</v>
      </c>
      <c r="H4827" s="831">
        <v>35.159999999999997</v>
      </c>
      <c r="I4827" s="846"/>
      <c r="J4827" s="846"/>
      <c r="K4827" s="846"/>
      <c r="L4827" s="846"/>
      <c r="M4827" s="846"/>
      <c r="N4827" s="846"/>
      <c r="O4827" s="846"/>
      <c r="P4827" s="846"/>
      <c r="Q4827" s="846"/>
      <c r="R4827" s="846"/>
      <c r="S4827" s="846"/>
      <c r="T4827" s="846"/>
    </row>
    <row r="4828" spans="2:20" ht="25.5" hidden="1">
      <c r="B4828" s="828" t="s">
        <v>6547</v>
      </c>
      <c r="C4828" s="828">
        <v>103987</v>
      </c>
      <c r="D4828" s="630" t="s">
        <v>8236</v>
      </c>
      <c r="E4828" s="630" t="s">
        <v>646</v>
      </c>
      <c r="F4828" s="829">
        <v>21.73</v>
      </c>
      <c r="G4828" s="830">
        <v>9.82</v>
      </c>
      <c r="H4828" s="831">
        <v>31.55</v>
      </c>
      <c r="I4828" s="846"/>
      <c r="J4828" s="846"/>
      <c r="K4828" s="846"/>
      <c r="L4828" s="846"/>
      <c r="M4828" s="846"/>
      <c r="N4828" s="846"/>
      <c r="O4828" s="846"/>
      <c r="P4828" s="846"/>
      <c r="Q4828" s="846"/>
      <c r="R4828" s="846"/>
      <c r="S4828" s="846"/>
      <c r="T4828" s="846"/>
    </row>
    <row r="4829" spans="2:20" ht="25.5" hidden="1">
      <c r="B4829" s="828" t="s">
        <v>6547</v>
      </c>
      <c r="C4829" s="828">
        <v>103988</v>
      </c>
      <c r="D4829" s="630" t="s">
        <v>8237</v>
      </c>
      <c r="E4829" s="630" t="s">
        <v>646</v>
      </c>
      <c r="F4829" s="829">
        <v>8.66</v>
      </c>
      <c r="G4829" s="830">
        <v>5.49</v>
      </c>
      <c r="H4829" s="831">
        <v>14.15</v>
      </c>
      <c r="I4829" s="846"/>
      <c r="J4829" s="846"/>
      <c r="K4829" s="846"/>
      <c r="L4829" s="846"/>
      <c r="M4829" s="846"/>
      <c r="N4829" s="846"/>
      <c r="O4829" s="846"/>
      <c r="P4829" s="846"/>
      <c r="Q4829" s="846"/>
      <c r="R4829" s="846"/>
      <c r="S4829" s="846"/>
      <c r="T4829" s="846"/>
    </row>
    <row r="4830" spans="2:20" ht="25.5" hidden="1">
      <c r="B4830" s="828" t="s">
        <v>6547</v>
      </c>
      <c r="C4830" s="828">
        <v>103990</v>
      </c>
      <c r="D4830" s="630" t="s">
        <v>8238</v>
      </c>
      <c r="E4830" s="630" t="s">
        <v>646</v>
      </c>
      <c r="F4830" s="829">
        <v>40.29</v>
      </c>
      <c r="G4830" s="830">
        <v>5.47</v>
      </c>
      <c r="H4830" s="831">
        <v>45.76</v>
      </c>
      <c r="I4830" s="846"/>
      <c r="J4830" s="846"/>
      <c r="K4830" s="846"/>
      <c r="L4830" s="846"/>
      <c r="M4830" s="846"/>
      <c r="N4830" s="846"/>
      <c r="O4830" s="846"/>
      <c r="P4830" s="846"/>
      <c r="Q4830" s="846"/>
      <c r="R4830" s="846"/>
      <c r="S4830" s="846"/>
      <c r="T4830" s="846"/>
    </row>
    <row r="4831" spans="2:20" ht="38.25" hidden="1">
      <c r="B4831" s="828" t="s">
        <v>6547</v>
      </c>
      <c r="C4831" s="828">
        <v>103991</v>
      </c>
      <c r="D4831" s="630" t="s">
        <v>8239</v>
      </c>
      <c r="E4831" s="630" t="s">
        <v>646</v>
      </c>
      <c r="F4831" s="829">
        <v>18.489999999999998</v>
      </c>
      <c r="G4831" s="830">
        <v>5.0599999999999996</v>
      </c>
      <c r="H4831" s="831">
        <v>23.55</v>
      </c>
      <c r="I4831" s="846"/>
      <c r="J4831" s="846"/>
      <c r="K4831" s="846"/>
      <c r="L4831" s="846"/>
      <c r="M4831" s="846"/>
      <c r="N4831" s="846"/>
      <c r="O4831" s="846"/>
      <c r="P4831" s="846"/>
      <c r="Q4831" s="846"/>
      <c r="R4831" s="846"/>
      <c r="S4831" s="846"/>
      <c r="T4831" s="846"/>
    </row>
    <row r="4832" spans="2:20" ht="38.25" hidden="1">
      <c r="B4832" s="828" t="s">
        <v>6547</v>
      </c>
      <c r="C4832" s="828">
        <v>103992</v>
      </c>
      <c r="D4832" s="630" t="s">
        <v>8240</v>
      </c>
      <c r="E4832" s="630" t="s">
        <v>646</v>
      </c>
      <c r="F4832" s="829">
        <v>7.73</v>
      </c>
      <c r="G4832" s="830">
        <v>5.08</v>
      </c>
      <c r="H4832" s="831">
        <v>12.81</v>
      </c>
      <c r="I4832" s="846"/>
      <c r="J4832" s="846"/>
      <c r="K4832" s="846"/>
      <c r="L4832" s="846"/>
      <c r="M4832" s="846"/>
      <c r="N4832" s="846"/>
      <c r="O4832" s="846"/>
      <c r="P4832" s="846"/>
      <c r="Q4832" s="846"/>
      <c r="R4832" s="846"/>
      <c r="S4832" s="846"/>
      <c r="T4832" s="846"/>
    </row>
    <row r="4833" spans="2:20" ht="38.25" hidden="1">
      <c r="B4833" s="828" t="s">
        <v>6547</v>
      </c>
      <c r="C4833" s="828">
        <v>103993</v>
      </c>
      <c r="D4833" s="630" t="s">
        <v>8241</v>
      </c>
      <c r="E4833" s="630" t="s">
        <v>646</v>
      </c>
      <c r="F4833" s="829">
        <v>5.78</v>
      </c>
      <c r="G4833" s="830">
        <v>5.08</v>
      </c>
      <c r="H4833" s="831">
        <v>10.86</v>
      </c>
      <c r="I4833" s="846"/>
      <c r="J4833" s="846"/>
      <c r="K4833" s="846"/>
      <c r="L4833" s="846"/>
      <c r="M4833" s="846"/>
      <c r="N4833" s="846"/>
      <c r="O4833" s="846"/>
      <c r="P4833" s="846"/>
      <c r="Q4833" s="846"/>
      <c r="R4833" s="846"/>
      <c r="S4833" s="846"/>
      <c r="T4833" s="846"/>
    </row>
    <row r="4834" spans="2:20" ht="38.25" hidden="1">
      <c r="B4834" s="828" t="s">
        <v>6547</v>
      </c>
      <c r="C4834" s="828">
        <v>103994</v>
      </c>
      <c r="D4834" s="630" t="s">
        <v>8242</v>
      </c>
      <c r="E4834" s="630" t="s">
        <v>646</v>
      </c>
      <c r="F4834" s="829">
        <v>12.53</v>
      </c>
      <c r="G4834" s="830">
        <v>4.95</v>
      </c>
      <c r="H4834" s="831">
        <v>17.48</v>
      </c>
      <c r="I4834" s="846"/>
      <c r="J4834" s="846"/>
      <c r="K4834" s="846"/>
      <c r="L4834" s="846"/>
      <c r="M4834" s="846"/>
      <c r="N4834" s="846"/>
      <c r="O4834" s="846"/>
      <c r="P4834" s="846"/>
      <c r="Q4834" s="846"/>
      <c r="R4834" s="846"/>
      <c r="S4834" s="846"/>
      <c r="T4834" s="846"/>
    </row>
    <row r="4835" spans="2:20" ht="25.5" hidden="1">
      <c r="B4835" s="828" t="s">
        <v>6547</v>
      </c>
      <c r="C4835" s="828">
        <v>103995</v>
      </c>
      <c r="D4835" s="630" t="s">
        <v>8243</v>
      </c>
      <c r="E4835" s="630" t="s">
        <v>646</v>
      </c>
      <c r="F4835" s="829">
        <v>10.85</v>
      </c>
      <c r="G4835" s="830">
        <v>6.56</v>
      </c>
      <c r="H4835" s="831">
        <v>17.41</v>
      </c>
      <c r="I4835" s="846"/>
      <c r="J4835" s="846"/>
      <c r="K4835" s="846"/>
      <c r="L4835" s="846"/>
      <c r="M4835" s="846"/>
      <c r="N4835" s="846"/>
      <c r="O4835" s="846"/>
      <c r="P4835" s="846"/>
      <c r="Q4835" s="846"/>
      <c r="R4835" s="846"/>
      <c r="S4835" s="846"/>
      <c r="T4835" s="846"/>
    </row>
    <row r="4836" spans="2:20" ht="25.5" hidden="1">
      <c r="B4836" s="828" t="s">
        <v>6547</v>
      </c>
      <c r="C4836" s="828">
        <v>103996</v>
      </c>
      <c r="D4836" s="630" t="s">
        <v>8244</v>
      </c>
      <c r="E4836" s="630" t="s">
        <v>646</v>
      </c>
      <c r="F4836" s="829">
        <v>40.64</v>
      </c>
      <c r="G4836" s="830">
        <v>6.54</v>
      </c>
      <c r="H4836" s="831">
        <v>47.18</v>
      </c>
      <c r="I4836" s="846"/>
      <c r="J4836" s="846"/>
      <c r="K4836" s="846"/>
      <c r="L4836" s="846"/>
      <c r="M4836" s="846"/>
      <c r="N4836" s="846"/>
      <c r="O4836" s="846"/>
      <c r="P4836" s="846"/>
      <c r="Q4836" s="846"/>
      <c r="R4836" s="846"/>
      <c r="S4836" s="846"/>
      <c r="T4836" s="846"/>
    </row>
    <row r="4837" spans="2:20" ht="25.5" hidden="1">
      <c r="B4837" s="828" t="s">
        <v>6547</v>
      </c>
      <c r="C4837" s="828">
        <v>103997</v>
      </c>
      <c r="D4837" s="630" t="s">
        <v>8245</v>
      </c>
      <c r="E4837" s="630" t="s">
        <v>646</v>
      </c>
      <c r="F4837" s="829">
        <v>44.63</v>
      </c>
      <c r="G4837" s="830">
        <v>6.54</v>
      </c>
      <c r="H4837" s="831">
        <v>51.17</v>
      </c>
      <c r="I4837" s="846"/>
      <c r="J4837" s="846"/>
      <c r="K4837" s="846"/>
      <c r="L4837" s="846"/>
      <c r="M4837" s="846"/>
      <c r="N4837" s="846"/>
      <c r="O4837" s="846"/>
      <c r="P4837" s="846"/>
      <c r="Q4837" s="846"/>
      <c r="R4837" s="846"/>
      <c r="S4837" s="846"/>
      <c r="T4837" s="846"/>
    </row>
    <row r="4838" spans="2:20" ht="38.25" hidden="1">
      <c r="B4838" s="828" t="s">
        <v>6547</v>
      </c>
      <c r="C4838" s="828">
        <v>103998</v>
      </c>
      <c r="D4838" s="630" t="s">
        <v>8246</v>
      </c>
      <c r="E4838" s="630" t="s">
        <v>646</v>
      </c>
      <c r="F4838" s="829">
        <v>9.86</v>
      </c>
      <c r="G4838" s="830">
        <v>5.23</v>
      </c>
      <c r="H4838" s="831">
        <v>15.09</v>
      </c>
      <c r="I4838" s="846"/>
      <c r="J4838" s="846"/>
      <c r="K4838" s="846"/>
      <c r="L4838" s="846"/>
      <c r="M4838" s="846"/>
      <c r="N4838" s="846"/>
      <c r="O4838" s="846"/>
      <c r="P4838" s="846"/>
      <c r="Q4838" s="846"/>
      <c r="R4838" s="846"/>
      <c r="S4838" s="846"/>
      <c r="T4838" s="846"/>
    </row>
    <row r="4839" spans="2:20" ht="38.25" hidden="1">
      <c r="B4839" s="828" t="s">
        <v>6547</v>
      </c>
      <c r="C4839" s="828">
        <v>103999</v>
      </c>
      <c r="D4839" s="630" t="s">
        <v>8247</v>
      </c>
      <c r="E4839" s="630" t="s">
        <v>646</v>
      </c>
      <c r="F4839" s="829">
        <v>8.98</v>
      </c>
      <c r="G4839" s="830">
        <v>5.23</v>
      </c>
      <c r="H4839" s="831">
        <v>14.21</v>
      </c>
      <c r="I4839" s="846"/>
      <c r="J4839" s="846"/>
      <c r="K4839" s="846"/>
      <c r="L4839" s="846"/>
      <c r="M4839" s="846"/>
      <c r="N4839" s="846"/>
      <c r="O4839" s="846"/>
      <c r="P4839" s="846"/>
      <c r="Q4839" s="846"/>
      <c r="R4839" s="846"/>
      <c r="S4839" s="846"/>
      <c r="T4839" s="846"/>
    </row>
    <row r="4840" spans="2:20" ht="38.25" hidden="1">
      <c r="B4840" s="828" t="s">
        <v>6547</v>
      </c>
      <c r="C4840" s="828">
        <v>104000</v>
      </c>
      <c r="D4840" s="630" t="s">
        <v>8248</v>
      </c>
      <c r="E4840" s="630" t="s">
        <v>646</v>
      </c>
      <c r="F4840" s="829">
        <v>35.78</v>
      </c>
      <c r="G4840" s="830">
        <v>5.75</v>
      </c>
      <c r="H4840" s="831">
        <v>41.53</v>
      </c>
      <c r="I4840" s="846"/>
      <c r="J4840" s="846"/>
      <c r="K4840" s="846"/>
      <c r="L4840" s="846"/>
      <c r="M4840" s="846"/>
      <c r="N4840" s="846"/>
      <c r="O4840" s="846"/>
      <c r="P4840" s="846"/>
      <c r="Q4840" s="846"/>
      <c r="R4840" s="846"/>
      <c r="S4840" s="846"/>
      <c r="T4840" s="846"/>
    </row>
    <row r="4841" spans="2:20" ht="38.25" hidden="1">
      <c r="B4841" s="828" t="s">
        <v>6547</v>
      </c>
      <c r="C4841" s="828">
        <v>104001</v>
      </c>
      <c r="D4841" s="630" t="s">
        <v>8249</v>
      </c>
      <c r="E4841" s="630" t="s">
        <v>646</v>
      </c>
      <c r="F4841" s="829">
        <v>9.8800000000000008</v>
      </c>
      <c r="G4841" s="830">
        <v>5.76</v>
      </c>
      <c r="H4841" s="831">
        <v>15.64</v>
      </c>
      <c r="I4841" s="846"/>
      <c r="J4841" s="846"/>
      <c r="K4841" s="846"/>
      <c r="L4841" s="846"/>
      <c r="M4841" s="846"/>
      <c r="N4841" s="846"/>
      <c r="O4841" s="846"/>
      <c r="P4841" s="846"/>
      <c r="Q4841" s="846"/>
      <c r="R4841" s="846"/>
      <c r="S4841" s="846"/>
      <c r="T4841" s="846"/>
    </row>
    <row r="4842" spans="2:20" ht="38.25" hidden="1">
      <c r="B4842" s="828" t="s">
        <v>6547</v>
      </c>
      <c r="C4842" s="828">
        <v>104002</v>
      </c>
      <c r="D4842" s="630" t="s">
        <v>8250</v>
      </c>
      <c r="E4842" s="630" t="s">
        <v>646</v>
      </c>
      <c r="F4842" s="829">
        <v>14.39</v>
      </c>
      <c r="G4842" s="830">
        <v>5.59</v>
      </c>
      <c r="H4842" s="831">
        <v>19.98</v>
      </c>
      <c r="I4842" s="846"/>
      <c r="J4842" s="846"/>
      <c r="K4842" s="846"/>
      <c r="L4842" s="846"/>
      <c r="M4842" s="846"/>
      <c r="N4842" s="846"/>
      <c r="O4842" s="846"/>
      <c r="P4842" s="846"/>
      <c r="Q4842" s="846"/>
      <c r="R4842" s="846"/>
      <c r="S4842" s="846"/>
      <c r="T4842" s="846"/>
    </row>
    <row r="4843" spans="2:20" ht="38.25" hidden="1">
      <c r="B4843" s="828" t="s">
        <v>6547</v>
      </c>
      <c r="C4843" s="828">
        <v>104003</v>
      </c>
      <c r="D4843" s="630" t="s">
        <v>8251</v>
      </c>
      <c r="E4843" s="630" t="s">
        <v>646</v>
      </c>
      <c r="F4843" s="829">
        <v>10.74</v>
      </c>
      <c r="G4843" s="830">
        <v>5.6</v>
      </c>
      <c r="H4843" s="831">
        <v>16.34</v>
      </c>
      <c r="I4843" s="846"/>
      <c r="J4843" s="846"/>
      <c r="K4843" s="846"/>
      <c r="L4843" s="846"/>
      <c r="M4843" s="846"/>
      <c r="N4843" s="846"/>
      <c r="O4843" s="846"/>
      <c r="P4843" s="846"/>
      <c r="Q4843" s="846"/>
      <c r="R4843" s="846"/>
      <c r="S4843" s="846"/>
      <c r="T4843" s="846"/>
    </row>
    <row r="4844" spans="2:20" ht="25.5" hidden="1">
      <c r="B4844" s="828" t="s">
        <v>6547</v>
      </c>
      <c r="C4844" s="828">
        <v>104004</v>
      </c>
      <c r="D4844" s="630" t="s">
        <v>8252</v>
      </c>
      <c r="E4844" s="630" t="s">
        <v>646</v>
      </c>
      <c r="F4844" s="829">
        <v>21.34</v>
      </c>
      <c r="G4844" s="830">
        <v>13.12</v>
      </c>
      <c r="H4844" s="831">
        <v>34.46</v>
      </c>
      <c r="I4844" s="846"/>
      <c r="J4844" s="846"/>
      <c r="K4844" s="846"/>
      <c r="L4844" s="846"/>
      <c r="M4844" s="846"/>
      <c r="N4844" s="846"/>
      <c r="O4844" s="846"/>
      <c r="P4844" s="846"/>
      <c r="Q4844" s="846"/>
      <c r="R4844" s="846"/>
      <c r="S4844" s="846"/>
      <c r="T4844" s="846"/>
    </row>
    <row r="4845" spans="2:20" ht="25.5" hidden="1">
      <c r="B4845" s="828" t="s">
        <v>6547</v>
      </c>
      <c r="C4845" s="828">
        <v>104005</v>
      </c>
      <c r="D4845" s="630" t="s">
        <v>8253</v>
      </c>
      <c r="E4845" s="630" t="s">
        <v>646</v>
      </c>
      <c r="F4845" s="829">
        <v>30.28</v>
      </c>
      <c r="G4845" s="830">
        <v>12.04</v>
      </c>
      <c r="H4845" s="831">
        <v>42.32</v>
      </c>
      <c r="I4845" s="846"/>
      <c r="J4845" s="846"/>
      <c r="K4845" s="846"/>
      <c r="L4845" s="846"/>
      <c r="M4845" s="846"/>
      <c r="N4845" s="846"/>
      <c r="O4845" s="846"/>
      <c r="P4845" s="846"/>
      <c r="Q4845" s="846"/>
      <c r="R4845" s="846"/>
      <c r="S4845" s="846"/>
      <c r="T4845" s="846"/>
    </row>
    <row r="4846" spans="2:20" ht="25.5" hidden="1">
      <c r="B4846" s="828" t="s">
        <v>6547</v>
      </c>
      <c r="C4846" s="828">
        <v>104006</v>
      </c>
      <c r="D4846" s="630" t="s">
        <v>8254</v>
      </c>
      <c r="E4846" s="630" t="s">
        <v>646</v>
      </c>
      <c r="F4846" s="829">
        <v>17.52</v>
      </c>
      <c r="G4846" s="830">
        <v>9.91</v>
      </c>
      <c r="H4846" s="831">
        <v>27.43</v>
      </c>
      <c r="I4846" s="846"/>
      <c r="J4846" s="846"/>
      <c r="K4846" s="846"/>
      <c r="L4846" s="846"/>
      <c r="M4846" s="846"/>
      <c r="N4846" s="846"/>
      <c r="O4846" s="846"/>
      <c r="P4846" s="846"/>
      <c r="Q4846" s="846"/>
      <c r="R4846" s="846"/>
      <c r="S4846" s="846"/>
      <c r="T4846" s="846"/>
    </row>
    <row r="4847" spans="2:20" ht="38.25" hidden="1">
      <c r="B4847" s="828" t="s">
        <v>6547</v>
      </c>
      <c r="C4847" s="828">
        <v>104007</v>
      </c>
      <c r="D4847" s="630" t="s">
        <v>8255</v>
      </c>
      <c r="E4847" s="630" t="s">
        <v>646</v>
      </c>
      <c r="F4847" s="829">
        <v>19.32</v>
      </c>
      <c r="G4847" s="830">
        <v>8.75</v>
      </c>
      <c r="H4847" s="831">
        <v>28.07</v>
      </c>
      <c r="I4847" s="846"/>
      <c r="J4847" s="846"/>
      <c r="K4847" s="846"/>
      <c r="L4847" s="846"/>
      <c r="M4847" s="846"/>
      <c r="N4847" s="846"/>
      <c r="O4847" s="846"/>
      <c r="P4847" s="846"/>
      <c r="Q4847" s="846"/>
      <c r="R4847" s="846"/>
      <c r="S4847" s="846"/>
      <c r="T4847" s="846"/>
    </row>
    <row r="4848" spans="2:20" ht="38.25" hidden="1">
      <c r="B4848" s="828" t="s">
        <v>6547</v>
      </c>
      <c r="C4848" s="828">
        <v>104008</v>
      </c>
      <c r="D4848" s="630" t="s">
        <v>8256</v>
      </c>
      <c r="E4848" s="630" t="s">
        <v>646</v>
      </c>
      <c r="F4848" s="829">
        <v>25.49</v>
      </c>
      <c r="G4848" s="830">
        <v>11.18</v>
      </c>
      <c r="H4848" s="831">
        <v>36.67</v>
      </c>
      <c r="I4848" s="846"/>
      <c r="J4848" s="846"/>
      <c r="K4848" s="846"/>
      <c r="L4848" s="846"/>
      <c r="M4848" s="846"/>
      <c r="N4848" s="846"/>
      <c r="O4848" s="846"/>
      <c r="P4848" s="846"/>
      <c r="Q4848" s="846"/>
      <c r="R4848" s="846"/>
      <c r="S4848" s="846"/>
      <c r="T4848" s="846"/>
    </row>
    <row r="4849" spans="2:20" ht="38.25" hidden="1">
      <c r="B4849" s="828" t="s">
        <v>6547</v>
      </c>
      <c r="C4849" s="828">
        <v>104009</v>
      </c>
      <c r="D4849" s="630" t="s">
        <v>8257</v>
      </c>
      <c r="E4849" s="630" t="s">
        <v>646</v>
      </c>
      <c r="F4849" s="829">
        <v>8.43</v>
      </c>
      <c r="G4849" s="830">
        <v>6.02</v>
      </c>
      <c r="H4849" s="831">
        <v>14.45</v>
      </c>
      <c r="I4849" s="846"/>
      <c r="J4849" s="846"/>
      <c r="K4849" s="846"/>
      <c r="L4849" s="846"/>
      <c r="M4849" s="846"/>
      <c r="N4849" s="846"/>
      <c r="O4849" s="846"/>
      <c r="P4849" s="846"/>
      <c r="Q4849" s="846"/>
      <c r="R4849" s="846"/>
      <c r="S4849" s="846"/>
      <c r="T4849" s="846"/>
    </row>
    <row r="4850" spans="2:20" ht="38.25" hidden="1">
      <c r="B4850" s="828" t="s">
        <v>6547</v>
      </c>
      <c r="C4850" s="828">
        <v>104010</v>
      </c>
      <c r="D4850" s="630" t="s">
        <v>8258</v>
      </c>
      <c r="E4850" s="630" t="s">
        <v>646</v>
      </c>
      <c r="F4850" s="829">
        <v>8.82</v>
      </c>
      <c r="G4850" s="830">
        <v>4.96</v>
      </c>
      <c r="H4850" s="831">
        <v>13.78</v>
      </c>
      <c r="I4850" s="846"/>
      <c r="J4850" s="846"/>
      <c r="K4850" s="846"/>
      <c r="L4850" s="846"/>
      <c r="M4850" s="846"/>
      <c r="N4850" s="846"/>
      <c r="O4850" s="846"/>
      <c r="P4850" s="846"/>
      <c r="Q4850" s="846"/>
      <c r="R4850" s="846"/>
      <c r="S4850" s="846"/>
      <c r="T4850" s="846"/>
    </row>
    <row r="4851" spans="2:20" ht="25.5" hidden="1">
      <c r="B4851" s="828" t="s">
        <v>6547</v>
      </c>
      <c r="C4851" s="828">
        <v>104011</v>
      </c>
      <c r="D4851" s="630" t="s">
        <v>8259</v>
      </c>
      <c r="E4851" s="630" t="s">
        <v>646</v>
      </c>
      <c r="F4851" s="829">
        <v>17.84</v>
      </c>
      <c r="G4851" s="830">
        <v>10.97</v>
      </c>
      <c r="H4851" s="831">
        <v>28.81</v>
      </c>
      <c r="I4851" s="846"/>
      <c r="J4851" s="846"/>
      <c r="K4851" s="846"/>
      <c r="L4851" s="846"/>
      <c r="M4851" s="846"/>
      <c r="N4851" s="846"/>
      <c r="O4851" s="846"/>
      <c r="P4851" s="846"/>
      <c r="Q4851" s="846"/>
      <c r="R4851" s="846"/>
      <c r="S4851" s="846"/>
      <c r="T4851" s="846"/>
    </row>
    <row r="4852" spans="2:20" ht="25.5" hidden="1">
      <c r="B4852" s="828" t="s">
        <v>6547</v>
      </c>
      <c r="C4852" s="828">
        <v>104012</v>
      </c>
      <c r="D4852" s="630" t="s">
        <v>8260</v>
      </c>
      <c r="E4852" s="630" t="s">
        <v>646</v>
      </c>
      <c r="F4852" s="829">
        <v>18.579999999999998</v>
      </c>
      <c r="G4852" s="830">
        <v>10.119999999999999</v>
      </c>
      <c r="H4852" s="831">
        <v>28.7</v>
      </c>
      <c r="I4852" s="846"/>
      <c r="J4852" s="846"/>
      <c r="K4852" s="846"/>
      <c r="L4852" s="846"/>
      <c r="M4852" s="846"/>
      <c r="N4852" s="846"/>
      <c r="O4852" s="846"/>
      <c r="P4852" s="846"/>
      <c r="Q4852" s="846"/>
      <c r="R4852" s="846"/>
      <c r="S4852" s="846"/>
      <c r="T4852" s="846"/>
    </row>
    <row r="4853" spans="2:20" ht="38.25" hidden="1">
      <c r="B4853" s="828" t="s">
        <v>6547</v>
      </c>
      <c r="C4853" s="828">
        <v>104013</v>
      </c>
      <c r="D4853" s="630" t="s">
        <v>8261</v>
      </c>
      <c r="E4853" s="630" t="s">
        <v>646</v>
      </c>
      <c r="F4853" s="829">
        <v>7.17</v>
      </c>
      <c r="G4853" s="830">
        <v>4.42</v>
      </c>
      <c r="H4853" s="831">
        <v>11.59</v>
      </c>
      <c r="I4853" s="846"/>
      <c r="J4853" s="846"/>
      <c r="K4853" s="846"/>
      <c r="L4853" s="846"/>
      <c r="M4853" s="846"/>
      <c r="N4853" s="846"/>
      <c r="O4853" s="846"/>
      <c r="P4853" s="846"/>
      <c r="Q4853" s="846"/>
      <c r="R4853" s="846"/>
      <c r="S4853" s="846"/>
      <c r="T4853" s="846"/>
    </row>
    <row r="4854" spans="2:20" ht="38.25" hidden="1">
      <c r="B4854" s="828" t="s">
        <v>6547</v>
      </c>
      <c r="C4854" s="828">
        <v>104014</v>
      </c>
      <c r="D4854" s="630" t="s">
        <v>8262</v>
      </c>
      <c r="E4854" s="630" t="s">
        <v>646</v>
      </c>
      <c r="F4854" s="829">
        <v>7.87</v>
      </c>
      <c r="G4854" s="830">
        <v>4.68</v>
      </c>
      <c r="H4854" s="831">
        <v>12.55</v>
      </c>
      <c r="I4854" s="846"/>
      <c r="J4854" s="846"/>
      <c r="K4854" s="846"/>
      <c r="L4854" s="846"/>
      <c r="M4854" s="846"/>
      <c r="N4854" s="846"/>
      <c r="O4854" s="846"/>
      <c r="P4854" s="846"/>
      <c r="Q4854" s="846"/>
      <c r="R4854" s="846"/>
      <c r="S4854" s="846"/>
      <c r="T4854" s="846"/>
    </row>
    <row r="4855" spans="2:20" ht="25.5" hidden="1">
      <c r="B4855" s="828" t="s">
        <v>6547</v>
      </c>
      <c r="C4855" s="828">
        <v>104015</v>
      </c>
      <c r="D4855" s="630" t="s">
        <v>8263</v>
      </c>
      <c r="E4855" s="630" t="s">
        <v>646</v>
      </c>
      <c r="F4855" s="829">
        <v>16.64</v>
      </c>
      <c r="G4855" s="830">
        <v>7.14</v>
      </c>
      <c r="H4855" s="831">
        <v>23.78</v>
      </c>
      <c r="I4855" s="846"/>
      <c r="J4855" s="846"/>
      <c r="K4855" s="846"/>
      <c r="L4855" s="846"/>
      <c r="M4855" s="846"/>
      <c r="N4855" s="846"/>
      <c r="O4855" s="846"/>
      <c r="P4855" s="846"/>
      <c r="Q4855" s="846"/>
      <c r="R4855" s="846"/>
      <c r="S4855" s="846"/>
      <c r="T4855" s="846"/>
    </row>
    <row r="4856" spans="2:20" ht="25.5" hidden="1">
      <c r="B4856" s="828" t="s">
        <v>6547</v>
      </c>
      <c r="C4856" s="828">
        <v>104016</v>
      </c>
      <c r="D4856" s="630" t="s">
        <v>8264</v>
      </c>
      <c r="E4856" s="630" t="s">
        <v>646</v>
      </c>
      <c r="F4856" s="829">
        <v>24.17</v>
      </c>
      <c r="G4856" s="830">
        <v>8.68</v>
      </c>
      <c r="H4856" s="832">
        <v>32.85</v>
      </c>
      <c r="I4856" s="846"/>
      <c r="J4856" s="846"/>
      <c r="K4856" s="846"/>
      <c r="L4856" s="846"/>
      <c r="M4856" s="846"/>
      <c r="N4856" s="846"/>
      <c r="O4856" s="846"/>
      <c r="P4856" s="846"/>
      <c r="Q4856" s="846"/>
      <c r="R4856" s="846"/>
      <c r="S4856" s="846"/>
      <c r="T4856" s="846"/>
    </row>
    <row r="4857" spans="2:20" ht="25.5" hidden="1">
      <c r="B4857" s="828" t="s">
        <v>6547</v>
      </c>
      <c r="C4857" s="828">
        <v>104017</v>
      </c>
      <c r="D4857" s="630" t="s">
        <v>8265</v>
      </c>
      <c r="E4857" s="630" t="s">
        <v>646</v>
      </c>
      <c r="F4857" s="829">
        <v>52.11</v>
      </c>
      <c r="G4857" s="830">
        <v>10.220000000000001</v>
      </c>
      <c r="H4857" s="831">
        <v>62.33</v>
      </c>
      <c r="I4857" s="846"/>
      <c r="J4857" s="846"/>
      <c r="K4857" s="846"/>
      <c r="L4857" s="846"/>
      <c r="M4857" s="846"/>
      <c r="N4857" s="846"/>
      <c r="O4857" s="846"/>
      <c r="P4857" s="846"/>
      <c r="Q4857" s="846"/>
      <c r="R4857" s="846"/>
      <c r="S4857" s="846"/>
      <c r="T4857" s="846"/>
    </row>
    <row r="4858" spans="2:20" ht="25.5" hidden="1">
      <c r="B4858" s="828" t="s">
        <v>6547</v>
      </c>
      <c r="C4858" s="828">
        <v>104018</v>
      </c>
      <c r="D4858" s="630" t="s">
        <v>8265</v>
      </c>
      <c r="E4858" s="630" t="s">
        <v>646</v>
      </c>
      <c r="F4858" s="829">
        <v>23.91</v>
      </c>
      <c r="G4858" s="830">
        <v>7.75</v>
      </c>
      <c r="H4858" s="831">
        <v>31.66</v>
      </c>
      <c r="I4858" s="846"/>
      <c r="J4858" s="846"/>
      <c r="K4858" s="846"/>
      <c r="L4858" s="846"/>
      <c r="M4858" s="846"/>
      <c r="N4858" s="846"/>
      <c r="O4858" s="846"/>
      <c r="P4858" s="846"/>
      <c r="Q4858" s="846"/>
      <c r="R4858" s="846"/>
      <c r="S4858" s="846"/>
      <c r="T4858" s="846"/>
    </row>
    <row r="4859" spans="2:20" ht="25.5" hidden="1">
      <c r="B4859" s="828" t="s">
        <v>6547</v>
      </c>
      <c r="C4859" s="828">
        <v>104019</v>
      </c>
      <c r="D4859" s="630" t="s">
        <v>8266</v>
      </c>
      <c r="E4859" s="630" t="s">
        <v>646</v>
      </c>
      <c r="F4859" s="829">
        <v>51.81</v>
      </c>
      <c r="G4859" s="830">
        <v>9.14</v>
      </c>
      <c r="H4859" s="831">
        <v>60.95</v>
      </c>
      <c r="I4859" s="846"/>
      <c r="J4859" s="846"/>
      <c r="K4859" s="846"/>
      <c r="L4859" s="846"/>
      <c r="M4859" s="846"/>
      <c r="N4859" s="846"/>
      <c r="O4859" s="846"/>
      <c r="P4859" s="846"/>
      <c r="Q4859" s="846"/>
      <c r="R4859" s="846"/>
      <c r="S4859" s="846"/>
      <c r="T4859" s="846"/>
    </row>
    <row r="4860" spans="2:20" ht="25.5" hidden="1">
      <c r="B4860" s="828" t="s">
        <v>6547</v>
      </c>
      <c r="C4860" s="828">
        <v>104020</v>
      </c>
      <c r="D4860" s="630" t="s">
        <v>8267</v>
      </c>
      <c r="E4860" s="630" t="s">
        <v>646</v>
      </c>
      <c r="F4860" s="829">
        <v>74.25</v>
      </c>
      <c r="G4860" s="830">
        <v>5.77</v>
      </c>
      <c r="H4860" s="831">
        <v>80.02</v>
      </c>
      <c r="I4860" s="846"/>
      <c r="J4860" s="846"/>
      <c r="K4860" s="846"/>
      <c r="L4860" s="846"/>
      <c r="M4860" s="846"/>
      <c r="N4860" s="846"/>
      <c r="O4860" s="846"/>
      <c r="P4860" s="846"/>
      <c r="Q4860" s="846"/>
      <c r="R4860" s="846"/>
      <c r="S4860" s="846"/>
      <c r="T4860" s="846"/>
    </row>
    <row r="4861" spans="2:20" ht="25.5" hidden="1">
      <c r="B4861" s="828" t="s">
        <v>6547</v>
      </c>
      <c r="C4861" s="828">
        <v>104022</v>
      </c>
      <c r="D4861" s="630" t="s">
        <v>8268</v>
      </c>
      <c r="E4861" s="630" t="s">
        <v>646</v>
      </c>
      <c r="F4861" s="829">
        <v>78.040000000000006</v>
      </c>
      <c r="G4861" s="830">
        <v>11.38</v>
      </c>
      <c r="H4861" s="831">
        <v>89.42</v>
      </c>
      <c r="I4861" s="846"/>
      <c r="J4861" s="846"/>
      <c r="K4861" s="846"/>
      <c r="L4861" s="846"/>
      <c r="M4861" s="846"/>
      <c r="N4861" s="846"/>
      <c r="O4861" s="846"/>
      <c r="P4861" s="846"/>
      <c r="Q4861" s="846"/>
      <c r="R4861" s="846"/>
      <c r="S4861" s="846"/>
      <c r="T4861" s="846"/>
    </row>
    <row r="4862" spans="2:20" ht="25.5" hidden="1">
      <c r="B4862" s="828" t="s">
        <v>6547</v>
      </c>
      <c r="C4862" s="828">
        <v>104023</v>
      </c>
      <c r="D4862" s="630" t="s">
        <v>8269</v>
      </c>
      <c r="E4862" s="630" t="s">
        <v>646</v>
      </c>
      <c r="F4862" s="829">
        <v>48.69</v>
      </c>
      <c r="G4862" s="830">
        <v>8.5299999999999994</v>
      </c>
      <c r="H4862" s="831">
        <v>57.22</v>
      </c>
      <c r="I4862" s="846"/>
      <c r="J4862" s="846"/>
      <c r="K4862" s="846"/>
      <c r="L4862" s="846"/>
      <c r="M4862" s="846"/>
      <c r="N4862" s="846"/>
      <c r="O4862" s="846"/>
      <c r="P4862" s="846"/>
      <c r="Q4862" s="846"/>
      <c r="R4862" s="846"/>
      <c r="S4862" s="846"/>
      <c r="T4862" s="846"/>
    </row>
    <row r="4863" spans="2:20" ht="25.5" hidden="1">
      <c r="B4863" s="828" t="s">
        <v>6547</v>
      </c>
      <c r="C4863" s="828">
        <v>104024</v>
      </c>
      <c r="D4863" s="630" t="s">
        <v>8270</v>
      </c>
      <c r="E4863" s="630" t="s">
        <v>646</v>
      </c>
      <c r="F4863" s="829">
        <v>48.69</v>
      </c>
      <c r="G4863" s="830">
        <v>8.5299999999999994</v>
      </c>
      <c r="H4863" s="831">
        <v>57.22</v>
      </c>
      <c r="I4863" s="846"/>
      <c r="J4863" s="846"/>
      <c r="K4863" s="846"/>
      <c r="L4863" s="846"/>
      <c r="M4863" s="846"/>
      <c r="N4863" s="846"/>
      <c r="O4863" s="846"/>
      <c r="P4863" s="846"/>
      <c r="Q4863" s="846"/>
      <c r="R4863" s="846"/>
      <c r="S4863" s="846"/>
      <c r="T4863" s="846"/>
    </row>
    <row r="4864" spans="2:20" ht="25.5" hidden="1">
      <c r="B4864" s="828" t="s">
        <v>6547</v>
      </c>
      <c r="C4864" s="828">
        <v>104025</v>
      </c>
      <c r="D4864" s="630" t="s">
        <v>8271</v>
      </c>
      <c r="E4864" s="630" t="s">
        <v>646</v>
      </c>
      <c r="F4864" s="829">
        <v>29.49</v>
      </c>
      <c r="G4864" s="830">
        <v>5.69</v>
      </c>
      <c r="H4864" s="831">
        <v>35.18</v>
      </c>
      <c r="I4864" s="846"/>
      <c r="J4864" s="846"/>
      <c r="K4864" s="846"/>
      <c r="L4864" s="846"/>
      <c r="M4864" s="846"/>
      <c r="N4864" s="846"/>
      <c r="O4864" s="846"/>
      <c r="P4864" s="846"/>
      <c r="Q4864" s="846"/>
      <c r="R4864" s="846"/>
      <c r="S4864" s="846"/>
      <c r="T4864" s="846"/>
    </row>
    <row r="4865" spans="2:20" ht="25.5" hidden="1">
      <c r="B4865" s="828" t="s">
        <v>6547</v>
      </c>
      <c r="C4865" s="828">
        <v>104026</v>
      </c>
      <c r="D4865" s="630" t="s">
        <v>8272</v>
      </c>
      <c r="E4865" s="630" t="s">
        <v>646</v>
      </c>
      <c r="F4865" s="829">
        <v>52.57</v>
      </c>
      <c r="G4865" s="830">
        <v>5.68</v>
      </c>
      <c r="H4865" s="831">
        <v>58.25</v>
      </c>
      <c r="I4865" s="846"/>
      <c r="J4865" s="846"/>
      <c r="K4865" s="846"/>
      <c r="L4865" s="846"/>
      <c r="M4865" s="846"/>
      <c r="N4865" s="846"/>
      <c r="O4865" s="846"/>
      <c r="P4865" s="846"/>
      <c r="Q4865" s="846"/>
      <c r="R4865" s="846"/>
      <c r="S4865" s="846"/>
      <c r="T4865" s="846"/>
    </row>
    <row r="4866" spans="2:20" ht="25.5" hidden="1">
      <c r="B4866" s="828" t="s">
        <v>6547</v>
      </c>
      <c r="C4866" s="828">
        <v>104027</v>
      </c>
      <c r="D4866" s="630" t="s">
        <v>8273</v>
      </c>
      <c r="E4866" s="630" t="s">
        <v>646</v>
      </c>
      <c r="F4866" s="829">
        <v>81.03</v>
      </c>
      <c r="G4866" s="830">
        <v>5.68</v>
      </c>
      <c r="H4866" s="831">
        <v>86.71</v>
      </c>
      <c r="I4866" s="846"/>
      <c r="J4866" s="846"/>
      <c r="K4866" s="846"/>
      <c r="L4866" s="846"/>
      <c r="M4866" s="846"/>
      <c r="N4866" s="846"/>
      <c r="O4866" s="846"/>
      <c r="P4866" s="846"/>
      <c r="Q4866" s="846"/>
      <c r="R4866" s="846"/>
      <c r="S4866" s="846"/>
      <c r="T4866" s="846"/>
    </row>
    <row r="4867" spans="2:20" ht="38.25" hidden="1">
      <c r="B4867" s="828" t="s">
        <v>6547</v>
      </c>
      <c r="C4867" s="828">
        <v>104028</v>
      </c>
      <c r="D4867" s="630" t="s">
        <v>8274</v>
      </c>
      <c r="E4867" s="630" t="s">
        <v>646</v>
      </c>
      <c r="F4867" s="829">
        <v>231.55</v>
      </c>
      <c r="G4867" s="830">
        <v>5.31</v>
      </c>
      <c r="H4867" s="831">
        <v>236.86</v>
      </c>
      <c r="I4867" s="846"/>
      <c r="J4867" s="846"/>
      <c r="K4867" s="846"/>
      <c r="L4867" s="846"/>
      <c r="M4867" s="846"/>
      <c r="N4867" s="846"/>
      <c r="O4867" s="846"/>
      <c r="P4867" s="846"/>
      <c r="Q4867" s="846"/>
      <c r="R4867" s="846"/>
      <c r="S4867" s="846"/>
      <c r="T4867" s="846"/>
    </row>
    <row r="4868" spans="2:20" ht="25.5" hidden="1">
      <c r="B4868" s="828" t="s">
        <v>6547</v>
      </c>
      <c r="C4868" s="828">
        <v>104029</v>
      </c>
      <c r="D4868" s="630" t="s">
        <v>8275</v>
      </c>
      <c r="E4868" s="630" t="s">
        <v>646</v>
      </c>
      <c r="F4868" s="829">
        <v>277.33999999999997</v>
      </c>
      <c r="G4868" s="830">
        <v>5.31</v>
      </c>
      <c r="H4868" s="831">
        <v>282.64999999999998</v>
      </c>
      <c r="I4868" s="846"/>
      <c r="J4868" s="846"/>
      <c r="K4868" s="846"/>
      <c r="L4868" s="846"/>
      <c r="M4868" s="846"/>
      <c r="N4868" s="846"/>
      <c r="O4868" s="846"/>
      <c r="P4868" s="846"/>
      <c r="Q4868" s="846"/>
      <c r="R4868" s="846"/>
      <c r="S4868" s="846"/>
      <c r="T4868" s="846"/>
    </row>
    <row r="4869" spans="2:20" ht="25.5" hidden="1">
      <c r="B4869" s="828" t="s">
        <v>6547</v>
      </c>
      <c r="C4869" s="828">
        <v>104030</v>
      </c>
      <c r="D4869" s="630" t="s">
        <v>8276</v>
      </c>
      <c r="E4869" s="630" t="s">
        <v>646</v>
      </c>
      <c r="F4869" s="829">
        <v>75.61</v>
      </c>
      <c r="G4869" s="830">
        <v>10.64</v>
      </c>
      <c r="H4869" s="831">
        <v>86.25</v>
      </c>
      <c r="I4869" s="846"/>
      <c r="J4869" s="846"/>
      <c r="K4869" s="846"/>
      <c r="L4869" s="846"/>
      <c r="M4869" s="846"/>
      <c r="N4869" s="846"/>
      <c r="O4869" s="846"/>
      <c r="P4869" s="846"/>
      <c r="Q4869" s="846"/>
      <c r="R4869" s="846"/>
      <c r="S4869" s="846"/>
      <c r="T4869" s="846"/>
    </row>
    <row r="4870" spans="2:20" ht="25.5" hidden="1">
      <c r="B4870" s="828" t="s">
        <v>6547</v>
      </c>
      <c r="C4870" s="828">
        <v>104163</v>
      </c>
      <c r="D4870" s="630" t="s">
        <v>8277</v>
      </c>
      <c r="E4870" s="630" t="s">
        <v>646</v>
      </c>
      <c r="F4870" s="829">
        <v>42.94</v>
      </c>
      <c r="G4870" s="830">
        <v>2.59</v>
      </c>
      <c r="H4870" s="831">
        <v>45.53</v>
      </c>
      <c r="I4870" s="846"/>
      <c r="J4870" s="846"/>
      <c r="K4870" s="846"/>
      <c r="L4870" s="846"/>
      <c r="M4870" s="846"/>
      <c r="N4870" s="846"/>
      <c r="O4870" s="846"/>
      <c r="P4870" s="846"/>
      <c r="Q4870" s="846"/>
      <c r="R4870" s="846"/>
      <c r="S4870" s="846"/>
      <c r="T4870" s="846"/>
    </row>
    <row r="4871" spans="2:20" ht="25.5" hidden="1">
      <c r="B4871" s="828" t="s">
        <v>6547</v>
      </c>
      <c r="C4871" s="828">
        <v>104164</v>
      </c>
      <c r="D4871" s="630" t="s">
        <v>8278</v>
      </c>
      <c r="E4871" s="630" t="s">
        <v>646</v>
      </c>
      <c r="F4871" s="829">
        <v>61.91</v>
      </c>
      <c r="G4871" s="830">
        <v>4.0199999999999996</v>
      </c>
      <c r="H4871" s="831">
        <v>65.930000000000007</v>
      </c>
      <c r="I4871" s="846"/>
      <c r="J4871" s="846"/>
      <c r="K4871" s="846"/>
      <c r="L4871" s="846"/>
      <c r="M4871" s="846"/>
      <c r="N4871" s="846"/>
      <c r="O4871" s="846"/>
      <c r="P4871" s="846"/>
      <c r="Q4871" s="846"/>
      <c r="R4871" s="846"/>
      <c r="S4871" s="846"/>
      <c r="T4871" s="846"/>
    </row>
    <row r="4872" spans="2:20" ht="38.25" hidden="1">
      <c r="B4872" s="828" t="s">
        <v>6547</v>
      </c>
      <c r="C4872" s="828">
        <v>104165</v>
      </c>
      <c r="D4872" s="630" t="s">
        <v>8279</v>
      </c>
      <c r="E4872" s="630" t="s">
        <v>646</v>
      </c>
      <c r="F4872" s="829">
        <v>89.22</v>
      </c>
      <c r="G4872" s="830">
        <v>6.69</v>
      </c>
      <c r="H4872" s="831">
        <v>95.91</v>
      </c>
      <c r="I4872" s="846"/>
      <c r="J4872" s="846"/>
      <c r="K4872" s="846"/>
      <c r="L4872" s="846"/>
      <c r="M4872" s="846"/>
      <c r="N4872" s="846"/>
      <c r="O4872" s="846"/>
      <c r="P4872" s="846"/>
      <c r="Q4872" s="846"/>
      <c r="R4872" s="846"/>
      <c r="S4872" s="846"/>
      <c r="T4872" s="846"/>
    </row>
    <row r="4873" spans="2:20" ht="38.25" hidden="1">
      <c r="B4873" s="828" t="s">
        <v>6547</v>
      </c>
      <c r="C4873" s="828">
        <v>104167</v>
      </c>
      <c r="D4873" s="630" t="s">
        <v>8280</v>
      </c>
      <c r="E4873" s="630" t="s">
        <v>646</v>
      </c>
      <c r="F4873" s="829">
        <v>170.4</v>
      </c>
      <c r="G4873" s="830">
        <v>11.12</v>
      </c>
      <c r="H4873" s="831">
        <v>181.52</v>
      </c>
      <c r="I4873" s="846"/>
      <c r="J4873" s="846"/>
      <c r="K4873" s="846"/>
      <c r="L4873" s="846"/>
      <c r="M4873" s="846"/>
      <c r="N4873" s="846"/>
      <c r="O4873" s="846"/>
      <c r="P4873" s="846"/>
      <c r="Q4873" s="846"/>
      <c r="R4873" s="846"/>
      <c r="S4873" s="846"/>
      <c r="T4873" s="846"/>
    </row>
    <row r="4874" spans="2:20" ht="38.25" hidden="1">
      <c r="B4874" s="828" t="s">
        <v>6547</v>
      </c>
      <c r="C4874" s="828">
        <v>104168</v>
      </c>
      <c r="D4874" s="630" t="s">
        <v>8281</v>
      </c>
      <c r="E4874" s="630" t="s">
        <v>646</v>
      </c>
      <c r="F4874" s="829">
        <v>139.06</v>
      </c>
      <c r="G4874" s="830">
        <v>11.12</v>
      </c>
      <c r="H4874" s="832">
        <v>150.18</v>
      </c>
      <c r="I4874" s="846"/>
      <c r="J4874" s="846"/>
      <c r="K4874" s="846"/>
      <c r="L4874" s="846"/>
      <c r="M4874" s="846"/>
      <c r="N4874" s="846"/>
      <c r="O4874" s="846"/>
      <c r="P4874" s="846"/>
      <c r="Q4874" s="846"/>
      <c r="R4874" s="846"/>
      <c r="S4874" s="846"/>
      <c r="T4874" s="846"/>
    </row>
    <row r="4875" spans="2:20" ht="38.25" hidden="1">
      <c r="B4875" s="828" t="s">
        <v>6547</v>
      </c>
      <c r="C4875" s="828">
        <v>104169</v>
      </c>
      <c r="D4875" s="630" t="s">
        <v>8282</v>
      </c>
      <c r="E4875" s="630" t="s">
        <v>646</v>
      </c>
      <c r="F4875" s="829">
        <v>230.18</v>
      </c>
      <c r="G4875" s="830">
        <v>11.12</v>
      </c>
      <c r="H4875" s="832">
        <v>241.3</v>
      </c>
      <c r="I4875" s="846"/>
      <c r="J4875" s="846"/>
      <c r="K4875" s="846"/>
      <c r="L4875" s="846"/>
      <c r="M4875" s="846"/>
      <c r="N4875" s="846"/>
      <c r="O4875" s="846"/>
      <c r="P4875" s="846"/>
      <c r="Q4875" s="846"/>
      <c r="R4875" s="846"/>
      <c r="S4875" s="846"/>
      <c r="T4875" s="846"/>
    </row>
    <row r="4876" spans="2:20" ht="25.5" hidden="1">
      <c r="B4876" s="828" t="s">
        <v>6547</v>
      </c>
      <c r="C4876" s="828">
        <v>104170</v>
      </c>
      <c r="D4876" s="630" t="s">
        <v>8283</v>
      </c>
      <c r="E4876" s="630" t="s">
        <v>646</v>
      </c>
      <c r="F4876" s="829">
        <v>80.430000000000007</v>
      </c>
      <c r="G4876" s="830">
        <v>7.41</v>
      </c>
      <c r="H4876" s="831">
        <v>87.84</v>
      </c>
      <c r="I4876" s="846"/>
      <c r="J4876" s="846"/>
      <c r="K4876" s="846"/>
      <c r="L4876" s="846"/>
      <c r="M4876" s="846"/>
      <c r="N4876" s="846"/>
      <c r="O4876" s="846"/>
      <c r="P4876" s="846"/>
      <c r="Q4876" s="846"/>
      <c r="R4876" s="846"/>
      <c r="S4876" s="846"/>
      <c r="T4876" s="846"/>
    </row>
    <row r="4877" spans="2:20" ht="25.5" hidden="1">
      <c r="B4877" s="828" t="s">
        <v>6547</v>
      </c>
      <c r="C4877" s="828">
        <v>104171</v>
      </c>
      <c r="D4877" s="630" t="s">
        <v>8284</v>
      </c>
      <c r="E4877" s="630" t="s">
        <v>646</v>
      </c>
      <c r="F4877" s="829">
        <v>124.79</v>
      </c>
      <c r="G4877" s="830">
        <v>7.41</v>
      </c>
      <c r="H4877" s="831">
        <v>132.19999999999999</v>
      </c>
      <c r="I4877" s="846"/>
      <c r="J4877" s="846"/>
      <c r="K4877" s="846"/>
      <c r="L4877" s="846"/>
      <c r="M4877" s="846"/>
      <c r="N4877" s="846"/>
      <c r="O4877" s="846"/>
      <c r="P4877" s="846"/>
      <c r="Q4877" s="846"/>
      <c r="R4877" s="846"/>
      <c r="S4877" s="846"/>
      <c r="T4877" s="846"/>
    </row>
    <row r="4878" spans="2:20" ht="25.5" hidden="1">
      <c r="B4878" s="828" t="s">
        <v>6547</v>
      </c>
      <c r="C4878" s="828">
        <v>104172</v>
      </c>
      <c r="D4878" s="630" t="s">
        <v>8285</v>
      </c>
      <c r="E4878" s="630" t="s">
        <v>646</v>
      </c>
      <c r="F4878" s="829">
        <v>364.35</v>
      </c>
      <c r="G4878" s="830">
        <v>7.41</v>
      </c>
      <c r="H4878" s="832">
        <v>371.76</v>
      </c>
      <c r="I4878" s="846"/>
      <c r="J4878" s="846"/>
      <c r="K4878" s="846"/>
      <c r="L4878" s="846"/>
      <c r="M4878" s="846"/>
      <c r="N4878" s="846"/>
      <c r="O4878" s="846"/>
      <c r="P4878" s="846"/>
      <c r="Q4878" s="846"/>
      <c r="R4878" s="846"/>
      <c r="S4878" s="846"/>
      <c r="T4878" s="846"/>
    </row>
    <row r="4879" spans="2:20" ht="38.25" hidden="1">
      <c r="B4879" s="828" t="s">
        <v>6547</v>
      </c>
      <c r="C4879" s="828">
        <v>104173</v>
      </c>
      <c r="D4879" s="630" t="s">
        <v>8286</v>
      </c>
      <c r="E4879" s="630" t="s">
        <v>646</v>
      </c>
      <c r="F4879" s="829">
        <v>88.37</v>
      </c>
      <c r="G4879" s="830">
        <v>6.49</v>
      </c>
      <c r="H4879" s="831">
        <v>94.86</v>
      </c>
      <c r="I4879" s="846"/>
      <c r="J4879" s="846"/>
      <c r="K4879" s="846"/>
      <c r="L4879" s="846"/>
      <c r="M4879" s="846"/>
      <c r="N4879" s="846"/>
      <c r="O4879" s="846"/>
      <c r="P4879" s="846"/>
      <c r="Q4879" s="846"/>
      <c r="R4879" s="846"/>
      <c r="S4879" s="846"/>
      <c r="T4879" s="846"/>
    </row>
    <row r="4880" spans="2:20" ht="38.25" hidden="1">
      <c r="B4880" s="828" t="s">
        <v>6547</v>
      </c>
      <c r="C4880" s="828">
        <v>104174</v>
      </c>
      <c r="D4880" s="630" t="s">
        <v>8287</v>
      </c>
      <c r="E4880" s="630" t="s">
        <v>646</v>
      </c>
      <c r="F4880" s="829">
        <v>246.45</v>
      </c>
      <c r="G4880" s="830">
        <v>13.61</v>
      </c>
      <c r="H4880" s="832">
        <v>260.06</v>
      </c>
      <c r="I4880" s="846"/>
      <c r="J4880" s="846"/>
      <c r="K4880" s="846"/>
      <c r="L4880" s="846"/>
      <c r="M4880" s="846"/>
      <c r="N4880" s="846"/>
      <c r="O4880" s="846"/>
      <c r="P4880" s="846"/>
      <c r="Q4880" s="846"/>
      <c r="R4880" s="846"/>
      <c r="S4880" s="846"/>
      <c r="T4880" s="846"/>
    </row>
    <row r="4881" spans="2:20" ht="25.5" hidden="1">
      <c r="B4881" s="828" t="s">
        <v>6547</v>
      </c>
      <c r="C4881" s="828">
        <v>104175</v>
      </c>
      <c r="D4881" s="630" t="s">
        <v>8288</v>
      </c>
      <c r="E4881" s="630" t="s">
        <v>646</v>
      </c>
      <c r="F4881" s="829">
        <v>151.13999999999999</v>
      </c>
      <c r="G4881" s="830">
        <v>13.61</v>
      </c>
      <c r="H4881" s="832">
        <v>164.75</v>
      </c>
      <c r="I4881" s="846"/>
      <c r="J4881" s="846"/>
      <c r="K4881" s="846"/>
      <c r="L4881" s="846"/>
      <c r="M4881" s="846"/>
      <c r="N4881" s="846"/>
      <c r="O4881" s="846"/>
      <c r="P4881" s="846"/>
      <c r="Q4881" s="846"/>
      <c r="R4881" s="846"/>
      <c r="S4881" s="846"/>
      <c r="T4881" s="846"/>
    </row>
    <row r="4882" spans="2:20" ht="38.25" hidden="1">
      <c r="B4882" s="828" t="s">
        <v>6547</v>
      </c>
      <c r="C4882" s="828">
        <v>104176</v>
      </c>
      <c r="D4882" s="630" t="s">
        <v>8289</v>
      </c>
      <c r="E4882" s="630" t="s">
        <v>646</v>
      </c>
      <c r="F4882" s="829">
        <v>282.35000000000002</v>
      </c>
      <c r="G4882" s="830">
        <v>14.85</v>
      </c>
      <c r="H4882" s="831">
        <v>297.2</v>
      </c>
      <c r="I4882" s="846"/>
      <c r="J4882" s="846"/>
      <c r="K4882" s="846"/>
      <c r="L4882" s="846"/>
      <c r="M4882" s="846"/>
      <c r="N4882" s="846"/>
      <c r="O4882" s="846"/>
      <c r="P4882" s="846"/>
      <c r="Q4882" s="846"/>
      <c r="R4882" s="846"/>
      <c r="S4882" s="846"/>
      <c r="T4882" s="846"/>
    </row>
    <row r="4883" spans="2:20" ht="25.5" hidden="1">
      <c r="B4883" s="828" t="s">
        <v>6547</v>
      </c>
      <c r="C4883" s="828">
        <v>104177</v>
      </c>
      <c r="D4883" s="630" t="s">
        <v>8290</v>
      </c>
      <c r="E4883" s="630" t="s">
        <v>646</v>
      </c>
      <c r="F4883" s="829">
        <v>215.88</v>
      </c>
      <c r="G4883" s="830">
        <v>14.85</v>
      </c>
      <c r="H4883" s="831">
        <v>230.73</v>
      </c>
      <c r="I4883" s="846"/>
      <c r="J4883" s="846"/>
      <c r="K4883" s="846"/>
      <c r="L4883" s="846"/>
      <c r="M4883" s="846"/>
      <c r="N4883" s="846"/>
      <c r="O4883" s="846"/>
      <c r="P4883" s="846"/>
      <c r="Q4883" s="846"/>
      <c r="R4883" s="846"/>
      <c r="S4883" s="846"/>
      <c r="T4883" s="846"/>
    </row>
    <row r="4884" spans="2:20" ht="25.5" hidden="1">
      <c r="B4884" s="828" t="s">
        <v>6547</v>
      </c>
      <c r="C4884" s="828">
        <v>104178</v>
      </c>
      <c r="D4884" s="630" t="s">
        <v>8291</v>
      </c>
      <c r="E4884" s="630" t="s">
        <v>646</v>
      </c>
      <c r="F4884" s="829">
        <v>26.63</v>
      </c>
      <c r="G4884" s="830">
        <v>2.77</v>
      </c>
      <c r="H4884" s="831">
        <v>29.4</v>
      </c>
      <c r="I4884" s="846"/>
      <c r="J4884" s="846"/>
      <c r="K4884" s="846"/>
      <c r="L4884" s="846"/>
      <c r="M4884" s="846"/>
      <c r="N4884" s="846"/>
      <c r="O4884" s="846"/>
      <c r="P4884" s="846"/>
      <c r="Q4884" s="846"/>
      <c r="R4884" s="846"/>
      <c r="S4884" s="846"/>
      <c r="T4884" s="846"/>
    </row>
    <row r="4885" spans="2:20" ht="25.5" hidden="1">
      <c r="B4885" s="828" t="s">
        <v>6547</v>
      </c>
      <c r="C4885" s="828">
        <v>104179</v>
      </c>
      <c r="D4885" s="630" t="s">
        <v>8292</v>
      </c>
      <c r="E4885" s="630" t="s">
        <v>646</v>
      </c>
      <c r="F4885" s="829">
        <v>105.76</v>
      </c>
      <c r="G4885" s="830">
        <v>3.69</v>
      </c>
      <c r="H4885" s="831">
        <v>109.45</v>
      </c>
      <c r="I4885" s="846"/>
      <c r="J4885" s="846"/>
      <c r="K4885" s="846"/>
      <c r="L4885" s="846"/>
      <c r="M4885" s="846"/>
      <c r="N4885" s="846"/>
      <c r="O4885" s="846"/>
      <c r="P4885" s="846"/>
      <c r="Q4885" s="846"/>
      <c r="R4885" s="846"/>
      <c r="S4885" s="846"/>
      <c r="T4885" s="846"/>
    </row>
    <row r="4886" spans="2:20" ht="25.5" hidden="1">
      <c r="B4886" s="828" t="s">
        <v>6613</v>
      </c>
      <c r="C4886" s="828">
        <v>97895</v>
      </c>
      <c r="D4886" s="630" t="s">
        <v>5615</v>
      </c>
      <c r="E4886" s="630" t="s">
        <v>646</v>
      </c>
      <c r="F4886" s="829">
        <v>117.61</v>
      </c>
      <c r="G4886" s="830">
        <v>2.83</v>
      </c>
      <c r="H4886" s="831">
        <v>120.44</v>
      </c>
      <c r="I4886" s="846"/>
      <c r="J4886" s="846"/>
      <c r="K4886" s="846"/>
      <c r="L4886" s="846"/>
      <c r="M4886" s="846"/>
      <c r="N4886" s="846"/>
      <c r="O4886" s="846"/>
      <c r="P4886" s="846"/>
      <c r="Q4886" s="846"/>
      <c r="R4886" s="846"/>
      <c r="S4886" s="846"/>
      <c r="T4886" s="846"/>
    </row>
    <row r="4887" spans="2:20" ht="25.5" hidden="1">
      <c r="B4887" s="828" t="s">
        <v>6613</v>
      </c>
      <c r="C4887" s="828">
        <v>97896</v>
      </c>
      <c r="D4887" s="630" t="s">
        <v>5616</v>
      </c>
      <c r="E4887" s="630" t="s">
        <v>646</v>
      </c>
      <c r="F4887" s="829">
        <v>218.86</v>
      </c>
      <c r="G4887" s="830">
        <v>5.74</v>
      </c>
      <c r="H4887" s="831">
        <v>224.6</v>
      </c>
      <c r="I4887" s="846"/>
      <c r="J4887" s="846"/>
      <c r="K4887" s="846"/>
      <c r="L4887" s="846"/>
      <c r="M4887" s="846"/>
      <c r="N4887" s="846"/>
      <c r="O4887" s="846"/>
      <c r="P4887" s="846"/>
      <c r="Q4887" s="846"/>
      <c r="R4887" s="846"/>
      <c r="S4887" s="846"/>
      <c r="T4887" s="846"/>
    </row>
    <row r="4888" spans="2:20" ht="25.5" hidden="1">
      <c r="B4888" s="828" t="s">
        <v>6613</v>
      </c>
      <c r="C4888" s="828">
        <v>97897</v>
      </c>
      <c r="D4888" s="630" t="s">
        <v>5617</v>
      </c>
      <c r="E4888" s="630" t="s">
        <v>646</v>
      </c>
      <c r="F4888" s="829">
        <v>283.90999999999997</v>
      </c>
      <c r="G4888" s="830">
        <v>10.67</v>
      </c>
      <c r="H4888" s="831">
        <v>294.58</v>
      </c>
      <c r="I4888" s="846"/>
      <c r="J4888" s="846"/>
      <c r="K4888" s="846"/>
      <c r="L4888" s="846"/>
      <c r="M4888" s="846"/>
      <c r="N4888" s="846"/>
      <c r="O4888" s="846"/>
      <c r="P4888" s="846"/>
      <c r="Q4888" s="846"/>
      <c r="R4888" s="846"/>
      <c r="S4888" s="846"/>
      <c r="T4888" s="846"/>
    </row>
    <row r="4889" spans="2:20" ht="25.5" hidden="1">
      <c r="B4889" s="828" t="s">
        <v>6613</v>
      </c>
      <c r="C4889" s="828">
        <v>97898</v>
      </c>
      <c r="D4889" s="630" t="s">
        <v>5618</v>
      </c>
      <c r="E4889" s="630" t="s">
        <v>646</v>
      </c>
      <c r="F4889" s="829">
        <v>528.94000000000005</v>
      </c>
      <c r="G4889" s="830">
        <v>90.28</v>
      </c>
      <c r="H4889" s="831">
        <v>619.22</v>
      </c>
      <c r="I4889" s="846"/>
      <c r="J4889" s="846"/>
      <c r="K4889" s="846"/>
      <c r="L4889" s="846"/>
      <c r="M4889" s="846"/>
      <c r="N4889" s="846"/>
      <c r="O4889" s="846"/>
      <c r="P4889" s="846"/>
      <c r="Q4889" s="846"/>
      <c r="R4889" s="846"/>
      <c r="S4889" s="846"/>
      <c r="T4889" s="846"/>
    </row>
    <row r="4890" spans="2:20" ht="38.25" hidden="1">
      <c r="B4890" s="828" t="s">
        <v>6613</v>
      </c>
      <c r="C4890" s="828">
        <v>97900</v>
      </c>
      <c r="D4890" s="630" t="s">
        <v>5619</v>
      </c>
      <c r="E4890" s="630" t="s">
        <v>646</v>
      </c>
      <c r="F4890" s="829">
        <v>102.35000000000001</v>
      </c>
      <c r="G4890" s="830">
        <v>90.09</v>
      </c>
      <c r="H4890" s="831">
        <v>192.44</v>
      </c>
      <c r="I4890" s="846"/>
      <c r="J4890" s="846"/>
      <c r="K4890" s="846"/>
      <c r="L4890" s="846"/>
      <c r="M4890" s="846"/>
      <c r="N4890" s="846"/>
      <c r="O4890" s="846"/>
      <c r="P4890" s="846"/>
      <c r="Q4890" s="846"/>
      <c r="R4890" s="846"/>
      <c r="S4890" s="846"/>
      <c r="T4890" s="846"/>
    </row>
    <row r="4891" spans="2:20" ht="38.25" hidden="1">
      <c r="B4891" s="828" t="s">
        <v>6613</v>
      </c>
      <c r="C4891" s="828">
        <v>97901</v>
      </c>
      <c r="D4891" s="630" t="s">
        <v>5620</v>
      </c>
      <c r="E4891" s="630" t="s">
        <v>646</v>
      </c>
      <c r="F4891" s="829">
        <v>159.89000000000001</v>
      </c>
      <c r="G4891" s="830">
        <v>142.06</v>
      </c>
      <c r="H4891" s="831">
        <v>301.95</v>
      </c>
      <c r="I4891" s="846"/>
      <c r="J4891" s="846"/>
      <c r="K4891" s="846"/>
      <c r="L4891" s="846"/>
      <c r="M4891" s="846"/>
      <c r="N4891" s="846"/>
      <c r="O4891" s="846"/>
      <c r="P4891" s="846"/>
      <c r="Q4891" s="846"/>
      <c r="R4891" s="846"/>
      <c r="S4891" s="846"/>
      <c r="T4891" s="846"/>
    </row>
    <row r="4892" spans="2:20" ht="38.25" hidden="1">
      <c r="B4892" s="828" t="s">
        <v>6613</v>
      </c>
      <c r="C4892" s="828">
        <v>97902</v>
      </c>
      <c r="D4892" s="630" t="s">
        <v>5621</v>
      </c>
      <c r="E4892" s="630" t="s">
        <v>646</v>
      </c>
      <c r="F4892" s="829">
        <v>316.08999999999997</v>
      </c>
      <c r="G4892" s="830">
        <v>268.86</v>
      </c>
      <c r="H4892" s="831">
        <v>584.95000000000005</v>
      </c>
      <c r="I4892" s="846"/>
      <c r="J4892" s="846"/>
      <c r="K4892" s="846"/>
      <c r="L4892" s="846"/>
      <c r="M4892" s="846"/>
      <c r="N4892" s="846"/>
      <c r="O4892" s="846"/>
      <c r="P4892" s="846"/>
      <c r="Q4892" s="846"/>
      <c r="R4892" s="846"/>
      <c r="S4892" s="846"/>
      <c r="T4892" s="846"/>
    </row>
    <row r="4893" spans="2:20" ht="38.25" hidden="1">
      <c r="B4893" s="828" t="s">
        <v>6613</v>
      </c>
      <c r="C4893" s="828">
        <v>97903</v>
      </c>
      <c r="D4893" s="630" t="s">
        <v>5622</v>
      </c>
      <c r="E4893" s="630" t="s">
        <v>646</v>
      </c>
      <c r="F4893" s="829">
        <v>437.17999999999995</v>
      </c>
      <c r="G4893" s="830">
        <v>374.54</v>
      </c>
      <c r="H4893" s="831">
        <v>811.72</v>
      </c>
      <c r="I4893" s="846"/>
      <c r="J4893" s="846"/>
      <c r="K4893" s="846"/>
      <c r="L4893" s="846"/>
      <c r="M4893" s="846"/>
      <c r="N4893" s="846"/>
      <c r="O4893" s="846"/>
      <c r="P4893" s="846"/>
      <c r="Q4893" s="846"/>
      <c r="R4893" s="846"/>
      <c r="S4893" s="846"/>
      <c r="T4893" s="846"/>
    </row>
    <row r="4894" spans="2:20" ht="38.25" hidden="1">
      <c r="B4894" s="828" t="s">
        <v>6613</v>
      </c>
      <c r="C4894" s="828">
        <v>97904</v>
      </c>
      <c r="D4894" s="630" t="s">
        <v>5623</v>
      </c>
      <c r="E4894" s="630" t="s">
        <v>646</v>
      </c>
      <c r="F4894" s="829">
        <v>541.96</v>
      </c>
      <c r="G4894" s="830">
        <v>405.43</v>
      </c>
      <c r="H4894" s="831">
        <v>947.39</v>
      </c>
      <c r="I4894" s="846"/>
      <c r="J4894" s="846"/>
      <c r="K4894" s="846"/>
      <c r="L4894" s="846"/>
      <c r="M4894" s="846"/>
      <c r="N4894" s="846"/>
      <c r="O4894" s="846"/>
      <c r="P4894" s="846"/>
      <c r="Q4894" s="846"/>
      <c r="R4894" s="846"/>
      <c r="S4894" s="846"/>
      <c r="T4894" s="846"/>
    </row>
    <row r="4895" spans="2:20" ht="38.25" hidden="1">
      <c r="B4895" s="828" t="s">
        <v>6613</v>
      </c>
      <c r="C4895" s="828">
        <v>97905</v>
      </c>
      <c r="D4895" s="630" t="s">
        <v>5624</v>
      </c>
      <c r="E4895" s="630" t="s">
        <v>646</v>
      </c>
      <c r="F4895" s="829">
        <v>123.19999999999999</v>
      </c>
      <c r="G4895" s="830">
        <v>115.97</v>
      </c>
      <c r="H4895" s="831">
        <v>239.17</v>
      </c>
      <c r="I4895" s="846"/>
      <c r="J4895" s="846"/>
      <c r="K4895" s="846"/>
      <c r="L4895" s="846"/>
      <c r="M4895" s="846"/>
      <c r="N4895" s="846"/>
      <c r="O4895" s="846"/>
      <c r="P4895" s="846"/>
      <c r="Q4895" s="846"/>
      <c r="R4895" s="846"/>
      <c r="S4895" s="846"/>
      <c r="T4895" s="846"/>
    </row>
    <row r="4896" spans="2:20" ht="38.25" hidden="1">
      <c r="B4896" s="828" t="s">
        <v>6613</v>
      </c>
      <c r="C4896" s="828">
        <v>97906</v>
      </c>
      <c r="D4896" s="630" t="s">
        <v>5625</v>
      </c>
      <c r="E4896" s="630" t="s">
        <v>646</v>
      </c>
      <c r="F4896" s="829">
        <v>232.68</v>
      </c>
      <c r="G4896" s="830">
        <v>208.29</v>
      </c>
      <c r="H4896" s="831">
        <v>440.97</v>
      </c>
      <c r="I4896" s="846"/>
      <c r="J4896" s="846"/>
      <c r="K4896" s="846"/>
      <c r="L4896" s="846"/>
      <c r="M4896" s="846"/>
      <c r="N4896" s="846"/>
      <c r="O4896" s="846"/>
      <c r="P4896" s="846"/>
      <c r="Q4896" s="846"/>
      <c r="R4896" s="846"/>
      <c r="S4896" s="846"/>
      <c r="T4896" s="846"/>
    </row>
    <row r="4897" spans="2:20" ht="38.25" hidden="1">
      <c r="B4897" s="828" t="s">
        <v>6613</v>
      </c>
      <c r="C4897" s="828">
        <v>97907</v>
      </c>
      <c r="D4897" s="630" t="s">
        <v>5626</v>
      </c>
      <c r="E4897" s="630" t="s">
        <v>646</v>
      </c>
      <c r="F4897" s="829">
        <v>330.75000000000006</v>
      </c>
      <c r="G4897" s="830">
        <v>297.24</v>
      </c>
      <c r="H4897" s="832">
        <v>627.99</v>
      </c>
      <c r="I4897" s="846"/>
      <c r="J4897" s="846"/>
      <c r="K4897" s="846"/>
      <c r="L4897" s="846"/>
      <c r="M4897" s="846"/>
      <c r="N4897" s="846"/>
      <c r="O4897" s="846"/>
      <c r="P4897" s="846"/>
      <c r="Q4897" s="846"/>
      <c r="R4897" s="846"/>
      <c r="S4897" s="846"/>
      <c r="T4897" s="846"/>
    </row>
    <row r="4898" spans="2:20" ht="38.25" hidden="1">
      <c r="B4898" s="828" t="s">
        <v>6613</v>
      </c>
      <c r="C4898" s="828">
        <v>97908</v>
      </c>
      <c r="D4898" s="630" t="s">
        <v>5627</v>
      </c>
      <c r="E4898" s="630" t="s">
        <v>646</v>
      </c>
      <c r="F4898" s="829">
        <v>416.06</v>
      </c>
      <c r="G4898" s="830">
        <v>313.93</v>
      </c>
      <c r="H4898" s="831">
        <v>729.99</v>
      </c>
      <c r="I4898" s="846"/>
      <c r="J4898" s="846"/>
      <c r="K4898" s="846"/>
      <c r="L4898" s="846"/>
      <c r="M4898" s="846"/>
      <c r="N4898" s="846"/>
      <c r="O4898" s="846"/>
      <c r="P4898" s="846"/>
      <c r="Q4898" s="846"/>
      <c r="R4898" s="846"/>
      <c r="S4898" s="846"/>
      <c r="T4898" s="846"/>
    </row>
    <row r="4899" spans="2:20" ht="25.5" hidden="1">
      <c r="B4899" s="828" t="s">
        <v>6613</v>
      </c>
      <c r="C4899" s="828">
        <v>98102</v>
      </c>
      <c r="D4899" s="630" t="s">
        <v>5696</v>
      </c>
      <c r="E4899" s="630" t="s">
        <v>646</v>
      </c>
      <c r="F4899" s="829">
        <v>111.89</v>
      </c>
      <c r="G4899" s="830">
        <v>4.67</v>
      </c>
      <c r="H4899" s="831">
        <v>116.56</v>
      </c>
      <c r="I4899" s="846"/>
      <c r="J4899" s="846"/>
      <c r="K4899" s="846"/>
      <c r="L4899" s="846"/>
      <c r="M4899" s="846"/>
      <c r="N4899" s="846"/>
      <c r="O4899" s="846"/>
      <c r="P4899" s="846"/>
      <c r="Q4899" s="846"/>
      <c r="R4899" s="846"/>
      <c r="S4899" s="846"/>
      <c r="T4899" s="846"/>
    </row>
    <row r="4900" spans="2:20" ht="38.25" hidden="1">
      <c r="B4900" s="828" t="s">
        <v>6613</v>
      </c>
      <c r="C4900" s="828">
        <v>98104</v>
      </c>
      <c r="D4900" s="630" t="s">
        <v>5697</v>
      </c>
      <c r="E4900" s="630" t="s">
        <v>646</v>
      </c>
      <c r="F4900" s="829">
        <v>202.43999999999997</v>
      </c>
      <c r="G4900" s="830">
        <v>179.55</v>
      </c>
      <c r="H4900" s="831">
        <v>381.99</v>
      </c>
      <c r="I4900" s="846"/>
      <c r="J4900" s="846"/>
      <c r="K4900" s="846"/>
      <c r="L4900" s="846"/>
      <c r="M4900" s="846"/>
      <c r="N4900" s="846"/>
      <c r="O4900" s="846"/>
      <c r="P4900" s="846"/>
      <c r="Q4900" s="846"/>
      <c r="R4900" s="846"/>
      <c r="S4900" s="846"/>
      <c r="T4900" s="846"/>
    </row>
    <row r="4901" spans="2:20" ht="38.25" hidden="1">
      <c r="B4901" s="828" t="s">
        <v>6613</v>
      </c>
      <c r="C4901" s="828">
        <v>98105</v>
      </c>
      <c r="D4901" s="630" t="s">
        <v>5698</v>
      </c>
      <c r="E4901" s="630" t="s">
        <v>646</v>
      </c>
      <c r="F4901" s="829">
        <v>347.51</v>
      </c>
      <c r="G4901" s="830">
        <v>316.42</v>
      </c>
      <c r="H4901" s="831">
        <v>663.93</v>
      </c>
      <c r="I4901" s="846"/>
      <c r="J4901" s="846"/>
      <c r="K4901" s="846"/>
      <c r="L4901" s="846"/>
      <c r="M4901" s="846"/>
      <c r="N4901" s="846"/>
      <c r="O4901" s="846"/>
      <c r="P4901" s="846"/>
      <c r="Q4901" s="846"/>
      <c r="R4901" s="846"/>
      <c r="S4901" s="846"/>
      <c r="T4901" s="846"/>
    </row>
    <row r="4902" spans="2:20" ht="51" hidden="1">
      <c r="B4902" s="828" t="s">
        <v>6613</v>
      </c>
      <c r="C4902" s="828">
        <v>98106</v>
      </c>
      <c r="D4902" s="630" t="s">
        <v>5699</v>
      </c>
      <c r="E4902" s="630" t="s">
        <v>646</v>
      </c>
      <c r="F4902" s="829">
        <v>575.9899999999999</v>
      </c>
      <c r="G4902" s="830">
        <v>518.91</v>
      </c>
      <c r="H4902" s="832">
        <v>1094.9000000000001</v>
      </c>
      <c r="I4902" s="846"/>
      <c r="J4902" s="846"/>
      <c r="K4902" s="846"/>
      <c r="L4902" s="846"/>
      <c r="M4902" s="846"/>
      <c r="N4902" s="846"/>
      <c r="O4902" s="846"/>
      <c r="P4902" s="846"/>
      <c r="Q4902" s="846"/>
      <c r="R4902" s="846"/>
      <c r="S4902" s="846"/>
      <c r="T4902" s="846"/>
    </row>
    <row r="4903" spans="2:20" ht="38.25" hidden="1">
      <c r="B4903" s="828" t="s">
        <v>6613</v>
      </c>
      <c r="C4903" s="828">
        <v>98107</v>
      </c>
      <c r="D4903" s="630" t="s">
        <v>5700</v>
      </c>
      <c r="E4903" s="630" t="s">
        <v>646</v>
      </c>
      <c r="F4903" s="829">
        <v>138</v>
      </c>
      <c r="G4903" s="830">
        <v>132.44999999999999</v>
      </c>
      <c r="H4903" s="831">
        <v>270.45</v>
      </c>
      <c r="I4903" s="846"/>
      <c r="J4903" s="846"/>
      <c r="K4903" s="846"/>
      <c r="L4903" s="846"/>
      <c r="M4903" s="846"/>
      <c r="N4903" s="846"/>
      <c r="O4903" s="846"/>
      <c r="P4903" s="846"/>
      <c r="Q4903" s="846"/>
      <c r="R4903" s="846"/>
      <c r="S4903" s="846"/>
      <c r="T4903" s="846"/>
    </row>
    <row r="4904" spans="2:20" ht="38.25" hidden="1">
      <c r="B4904" s="828" t="s">
        <v>6613</v>
      </c>
      <c r="C4904" s="828">
        <v>98108</v>
      </c>
      <c r="D4904" s="630" t="s">
        <v>5701</v>
      </c>
      <c r="E4904" s="630" t="s">
        <v>646</v>
      </c>
      <c r="F4904" s="829">
        <v>243.37</v>
      </c>
      <c r="G4904" s="830">
        <v>240.5</v>
      </c>
      <c r="H4904" s="831">
        <v>483.87</v>
      </c>
      <c r="I4904" s="846"/>
      <c r="J4904" s="846"/>
      <c r="K4904" s="846"/>
      <c r="L4904" s="846"/>
      <c r="M4904" s="846"/>
      <c r="N4904" s="846"/>
      <c r="O4904" s="846"/>
      <c r="P4904" s="846"/>
      <c r="Q4904" s="846"/>
      <c r="R4904" s="846"/>
      <c r="S4904" s="846"/>
      <c r="T4904" s="846"/>
    </row>
    <row r="4905" spans="2:20" ht="38.25" hidden="1">
      <c r="B4905" s="828" t="s">
        <v>6613</v>
      </c>
      <c r="C4905" s="828">
        <v>99250</v>
      </c>
      <c r="D4905" s="630" t="s">
        <v>5717</v>
      </c>
      <c r="E4905" s="630" t="s">
        <v>646</v>
      </c>
      <c r="F4905" s="829">
        <v>98.23</v>
      </c>
      <c r="G4905" s="830">
        <v>89.92</v>
      </c>
      <c r="H4905" s="831">
        <v>188.15</v>
      </c>
      <c r="I4905" s="846"/>
      <c r="J4905" s="846"/>
      <c r="K4905" s="846"/>
      <c r="L4905" s="846"/>
      <c r="M4905" s="846"/>
      <c r="N4905" s="846"/>
      <c r="O4905" s="846"/>
      <c r="P4905" s="846"/>
      <c r="Q4905" s="846"/>
      <c r="R4905" s="846"/>
      <c r="S4905" s="846"/>
      <c r="T4905" s="846"/>
    </row>
    <row r="4906" spans="2:20" ht="38.25" hidden="1">
      <c r="B4906" s="828" t="s">
        <v>6613</v>
      </c>
      <c r="C4906" s="828">
        <v>99251</v>
      </c>
      <c r="D4906" s="630" t="s">
        <v>5718</v>
      </c>
      <c r="E4906" s="630" t="s">
        <v>646</v>
      </c>
      <c r="F4906" s="829">
        <v>152.83000000000001</v>
      </c>
      <c r="G4906" s="830">
        <v>141.76</v>
      </c>
      <c r="H4906" s="831">
        <v>294.58999999999997</v>
      </c>
      <c r="I4906" s="846"/>
      <c r="J4906" s="846"/>
      <c r="K4906" s="846"/>
      <c r="L4906" s="846"/>
      <c r="M4906" s="846"/>
      <c r="N4906" s="846"/>
      <c r="O4906" s="846"/>
      <c r="P4906" s="846"/>
      <c r="Q4906" s="846"/>
      <c r="R4906" s="846"/>
      <c r="S4906" s="846"/>
      <c r="T4906" s="846"/>
    </row>
    <row r="4907" spans="2:20" ht="38.25" hidden="1">
      <c r="B4907" s="828" t="s">
        <v>6613</v>
      </c>
      <c r="C4907" s="828">
        <v>99253</v>
      </c>
      <c r="D4907" s="630" t="s">
        <v>5719</v>
      </c>
      <c r="E4907" s="630" t="s">
        <v>646</v>
      </c>
      <c r="F4907" s="829">
        <v>300.22000000000003</v>
      </c>
      <c r="G4907" s="830">
        <v>268.2</v>
      </c>
      <c r="H4907" s="831">
        <v>568.41999999999996</v>
      </c>
      <c r="I4907" s="846"/>
      <c r="J4907" s="846"/>
      <c r="K4907" s="846"/>
      <c r="L4907" s="846"/>
      <c r="M4907" s="846"/>
      <c r="N4907" s="846"/>
      <c r="O4907" s="846"/>
      <c r="P4907" s="846"/>
      <c r="Q4907" s="846"/>
      <c r="R4907" s="846"/>
      <c r="S4907" s="846"/>
      <c r="T4907" s="846"/>
    </row>
    <row r="4908" spans="2:20" ht="38.25" hidden="1">
      <c r="B4908" s="828" t="s">
        <v>6613</v>
      </c>
      <c r="C4908" s="828">
        <v>99255</v>
      </c>
      <c r="D4908" s="630" t="s">
        <v>5721</v>
      </c>
      <c r="E4908" s="630" t="s">
        <v>646</v>
      </c>
      <c r="F4908" s="829">
        <v>415.41999999999996</v>
      </c>
      <c r="G4908" s="830">
        <v>373.64</v>
      </c>
      <c r="H4908" s="831">
        <v>789.06</v>
      </c>
      <c r="I4908" s="846"/>
      <c r="J4908" s="846"/>
      <c r="K4908" s="846"/>
      <c r="L4908" s="846"/>
      <c r="M4908" s="846"/>
      <c r="N4908" s="846"/>
      <c r="O4908" s="846"/>
      <c r="P4908" s="846"/>
      <c r="Q4908" s="846"/>
      <c r="R4908" s="846"/>
      <c r="S4908" s="846"/>
      <c r="T4908" s="846"/>
    </row>
    <row r="4909" spans="2:20" ht="38.25" hidden="1">
      <c r="B4909" s="828" t="s">
        <v>6613</v>
      </c>
      <c r="C4909" s="828">
        <v>99257</v>
      </c>
      <c r="D4909" s="630" t="s">
        <v>5722</v>
      </c>
      <c r="E4909" s="630" t="s">
        <v>646</v>
      </c>
      <c r="F4909" s="829">
        <v>513.82000000000005</v>
      </c>
      <c r="G4909" s="830">
        <v>404.25</v>
      </c>
      <c r="H4909" s="831">
        <v>918.07</v>
      </c>
      <c r="I4909" s="846"/>
      <c r="J4909" s="846"/>
      <c r="K4909" s="846"/>
      <c r="L4909" s="846"/>
      <c r="M4909" s="846"/>
      <c r="N4909" s="846"/>
      <c r="O4909" s="846"/>
      <c r="P4909" s="846"/>
      <c r="Q4909" s="846"/>
      <c r="R4909" s="846"/>
      <c r="S4909" s="846"/>
      <c r="T4909" s="846"/>
    </row>
    <row r="4910" spans="2:20" ht="38.25" hidden="1">
      <c r="B4910" s="828" t="s">
        <v>6613</v>
      </c>
      <c r="C4910" s="828">
        <v>99258</v>
      </c>
      <c r="D4910" s="630" t="s">
        <v>5723</v>
      </c>
      <c r="E4910" s="630" t="s">
        <v>646</v>
      </c>
      <c r="F4910" s="829">
        <v>118.71</v>
      </c>
      <c r="G4910" s="830">
        <v>115.78</v>
      </c>
      <c r="H4910" s="831">
        <v>234.49</v>
      </c>
      <c r="I4910" s="846"/>
      <c r="J4910" s="846"/>
      <c r="K4910" s="846"/>
      <c r="L4910" s="846"/>
      <c r="M4910" s="846"/>
      <c r="N4910" s="846"/>
      <c r="O4910" s="846"/>
      <c r="P4910" s="846"/>
      <c r="Q4910" s="846"/>
      <c r="R4910" s="846"/>
      <c r="S4910" s="846"/>
      <c r="T4910" s="846"/>
    </row>
    <row r="4911" spans="2:20" ht="38.25" hidden="1">
      <c r="B4911" s="828" t="s">
        <v>6613</v>
      </c>
      <c r="C4911" s="828">
        <v>99260</v>
      </c>
      <c r="D4911" s="630" t="s">
        <v>5724</v>
      </c>
      <c r="E4911" s="630" t="s">
        <v>646</v>
      </c>
      <c r="F4911" s="829">
        <v>222.68</v>
      </c>
      <c r="G4911" s="830">
        <v>207.88</v>
      </c>
      <c r="H4911" s="831">
        <v>430.56</v>
      </c>
      <c r="I4911" s="846"/>
      <c r="J4911" s="846"/>
      <c r="K4911" s="846"/>
      <c r="L4911" s="846"/>
      <c r="M4911" s="846"/>
      <c r="N4911" s="846"/>
      <c r="O4911" s="846"/>
      <c r="P4911" s="846"/>
      <c r="Q4911" s="846"/>
      <c r="R4911" s="846"/>
      <c r="S4911" s="846"/>
      <c r="T4911" s="846"/>
    </row>
    <row r="4912" spans="2:20" ht="38.25" hidden="1">
      <c r="B4912" s="828" t="s">
        <v>6613</v>
      </c>
      <c r="C4912" s="828">
        <v>99262</v>
      </c>
      <c r="D4912" s="630" t="s">
        <v>5726</v>
      </c>
      <c r="E4912" s="630" t="s">
        <v>646</v>
      </c>
      <c r="F4912" s="829">
        <v>316.49</v>
      </c>
      <c r="G4912" s="830">
        <v>296.64</v>
      </c>
      <c r="H4912" s="831">
        <v>613.13</v>
      </c>
      <c r="I4912" s="846"/>
      <c r="J4912" s="846"/>
      <c r="K4912" s="846"/>
      <c r="L4912" s="846"/>
      <c r="M4912" s="846"/>
      <c r="N4912" s="846"/>
      <c r="O4912" s="846"/>
      <c r="P4912" s="846"/>
      <c r="Q4912" s="846"/>
      <c r="R4912" s="846"/>
      <c r="S4912" s="846"/>
      <c r="T4912" s="846"/>
    </row>
    <row r="4913" spans="2:20" ht="38.25" hidden="1">
      <c r="B4913" s="828" t="s">
        <v>6613</v>
      </c>
      <c r="C4913" s="828">
        <v>99264</v>
      </c>
      <c r="D4913" s="630" t="s">
        <v>5728</v>
      </c>
      <c r="E4913" s="630" t="s">
        <v>646</v>
      </c>
      <c r="F4913" s="829">
        <v>396.77000000000004</v>
      </c>
      <c r="G4913" s="830">
        <v>313.14999999999998</v>
      </c>
      <c r="H4913" s="831">
        <v>709.92</v>
      </c>
      <c r="I4913" s="846"/>
      <c r="J4913" s="846"/>
      <c r="K4913" s="846"/>
      <c r="L4913" s="846"/>
      <c r="M4913" s="846"/>
      <c r="N4913" s="846"/>
      <c r="O4913" s="846"/>
      <c r="P4913" s="846"/>
      <c r="Q4913" s="846"/>
      <c r="R4913" s="846"/>
      <c r="S4913" s="846"/>
      <c r="T4913" s="846"/>
    </row>
    <row r="4914" spans="2:20" ht="25.5" hidden="1">
      <c r="B4914" s="828" t="s">
        <v>6613</v>
      </c>
      <c r="C4914" s="828">
        <v>102587</v>
      </c>
      <c r="D4914" s="630" t="s">
        <v>6215</v>
      </c>
      <c r="E4914" s="630" t="s">
        <v>646</v>
      </c>
      <c r="F4914" s="829">
        <v>0.79</v>
      </c>
      <c r="G4914" s="830">
        <v>3.05</v>
      </c>
      <c r="H4914" s="831">
        <v>3.84</v>
      </c>
      <c r="I4914" s="846"/>
      <c r="J4914" s="846"/>
      <c r="K4914" s="846"/>
      <c r="L4914" s="846"/>
      <c r="M4914" s="846"/>
      <c r="N4914" s="846"/>
      <c r="O4914" s="846"/>
      <c r="P4914" s="846"/>
      <c r="Q4914" s="846"/>
      <c r="R4914" s="846"/>
      <c r="S4914" s="846"/>
      <c r="T4914" s="846"/>
    </row>
    <row r="4915" spans="2:20" ht="25.5" hidden="1">
      <c r="B4915" s="828" t="s">
        <v>6613</v>
      </c>
      <c r="C4915" s="828">
        <v>102588</v>
      </c>
      <c r="D4915" s="630" t="s">
        <v>6216</v>
      </c>
      <c r="E4915" s="630" t="s">
        <v>646</v>
      </c>
      <c r="F4915" s="829">
        <v>1.19</v>
      </c>
      <c r="G4915" s="830">
        <v>4.37</v>
      </c>
      <c r="H4915" s="831">
        <v>5.56</v>
      </c>
      <c r="I4915" s="846"/>
      <c r="J4915" s="846"/>
      <c r="K4915" s="846"/>
      <c r="L4915" s="846"/>
      <c r="M4915" s="846"/>
      <c r="N4915" s="846"/>
      <c r="O4915" s="846"/>
      <c r="P4915" s="846"/>
      <c r="Q4915" s="846"/>
      <c r="R4915" s="846"/>
      <c r="S4915" s="846"/>
      <c r="T4915" s="846"/>
    </row>
    <row r="4916" spans="2:20" ht="25.5" hidden="1">
      <c r="B4916" s="828" t="s">
        <v>6613</v>
      </c>
      <c r="C4916" s="828">
        <v>102589</v>
      </c>
      <c r="D4916" s="630" t="s">
        <v>6217</v>
      </c>
      <c r="E4916" s="630" t="s">
        <v>646</v>
      </c>
      <c r="F4916" s="829">
        <v>0.91</v>
      </c>
      <c r="G4916" s="830">
        <v>3.36</v>
      </c>
      <c r="H4916" s="831">
        <v>4.2699999999999996</v>
      </c>
      <c r="I4916" s="846"/>
      <c r="J4916" s="846"/>
      <c r="K4916" s="846"/>
      <c r="L4916" s="846"/>
      <c r="M4916" s="846"/>
      <c r="N4916" s="846"/>
      <c r="O4916" s="846"/>
      <c r="P4916" s="846"/>
      <c r="Q4916" s="846"/>
      <c r="R4916" s="846"/>
      <c r="S4916" s="846"/>
      <c r="T4916" s="846"/>
    </row>
    <row r="4917" spans="2:20" ht="25.5" hidden="1">
      <c r="B4917" s="828" t="s">
        <v>6613</v>
      </c>
      <c r="C4917" s="828">
        <v>102590</v>
      </c>
      <c r="D4917" s="630" t="s">
        <v>6218</v>
      </c>
      <c r="E4917" s="630" t="s">
        <v>646</v>
      </c>
      <c r="F4917" s="829">
        <v>1.27</v>
      </c>
      <c r="G4917" s="830">
        <v>4.72</v>
      </c>
      <c r="H4917" s="831">
        <v>5.99</v>
      </c>
      <c r="I4917" s="846"/>
      <c r="J4917" s="846"/>
      <c r="K4917" s="846"/>
      <c r="L4917" s="846"/>
      <c r="M4917" s="846"/>
      <c r="N4917" s="846"/>
      <c r="O4917" s="846"/>
      <c r="P4917" s="846"/>
      <c r="Q4917" s="846"/>
      <c r="R4917" s="846"/>
      <c r="S4917" s="846"/>
      <c r="T4917" s="846"/>
    </row>
    <row r="4918" spans="2:20" ht="25.5" hidden="1">
      <c r="B4918" s="828" t="s">
        <v>6613</v>
      </c>
      <c r="C4918" s="828">
        <v>102591</v>
      </c>
      <c r="D4918" s="630" t="s">
        <v>6219</v>
      </c>
      <c r="E4918" s="630" t="s">
        <v>646</v>
      </c>
      <c r="F4918" s="829">
        <v>0.99</v>
      </c>
      <c r="G4918" s="830">
        <v>3.72</v>
      </c>
      <c r="H4918" s="832">
        <v>4.71</v>
      </c>
      <c r="I4918" s="846"/>
      <c r="J4918" s="846"/>
      <c r="K4918" s="846"/>
      <c r="L4918" s="846"/>
      <c r="M4918" s="846"/>
      <c r="N4918" s="846"/>
      <c r="O4918" s="846"/>
      <c r="P4918" s="846"/>
      <c r="Q4918" s="846"/>
      <c r="R4918" s="846"/>
      <c r="S4918" s="846"/>
      <c r="T4918" s="846"/>
    </row>
    <row r="4919" spans="2:20" ht="25.5" hidden="1">
      <c r="B4919" s="828" t="s">
        <v>6613</v>
      </c>
      <c r="C4919" s="828">
        <v>102592</v>
      </c>
      <c r="D4919" s="630" t="s">
        <v>6220</v>
      </c>
      <c r="E4919" s="630" t="s">
        <v>646</v>
      </c>
      <c r="F4919" s="829">
        <v>1.35</v>
      </c>
      <c r="G4919" s="830">
        <v>5.07</v>
      </c>
      <c r="H4919" s="831">
        <v>6.42</v>
      </c>
      <c r="I4919" s="846"/>
      <c r="J4919" s="846"/>
      <c r="K4919" s="846"/>
      <c r="L4919" s="846"/>
      <c r="M4919" s="846"/>
      <c r="N4919" s="846"/>
      <c r="O4919" s="846"/>
      <c r="P4919" s="846"/>
      <c r="Q4919" s="846"/>
      <c r="R4919" s="846"/>
      <c r="S4919" s="846"/>
      <c r="T4919" s="846"/>
    </row>
    <row r="4920" spans="2:20" ht="25.5" hidden="1">
      <c r="B4920" s="828" t="s">
        <v>6613</v>
      </c>
      <c r="C4920" s="828">
        <v>102593</v>
      </c>
      <c r="D4920" s="630" t="s">
        <v>6221</v>
      </c>
      <c r="E4920" s="630" t="s">
        <v>646</v>
      </c>
      <c r="F4920" s="829">
        <v>1.1299999999999999</v>
      </c>
      <c r="G4920" s="830">
        <v>4.18</v>
      </c>
      <c r="H4920" s="832">
        <v>5.31</v>
      </c>
      <c r="I4920" s="846"/>
      <c r="J4920" s="846"/>
      <c r="K4920" s="846"/>
      <c r="L4920" s="846"/>
      <c r="M4920" s="846"/>
      <c r="N4920" s="846"/>
      <c r="O4920" s="846"/>
      <c r="P4920" s="846"/>
      <c r="Q4920" s="846"/>
      <c r="R4920" s="846"/>
      <c r="S4920" s="846"/>
      <c r="T4920" s="846"/>
    </row>
    <row r="4921" spans="2:20" ht="25.5" hidden="1">
      <c r="B4921" s="828" t="s">
        <v>6613</v>
      </c>
      <c r="C4921" s="828">
        <v>102594</v>
      </c>
      <c r="D4921" s="630" t="s">
        <v>6222</v>
      </c>
      <c r="E4921" s="630" t="s">
        <v>646</v>
      </c>
      <c r="F4921" s="829">
        <v>1.51</v>
      </c>
      <c r="G4921" s="830">
        <v>5.52</v>
      </c>
      <c r="H4921" s="832">
        <v>7.03</v>
      </c>
      <c r="I4921" s="846"/>
      <c r="J4921" s="846"/>
      <c r="K4921" s="846"/>
      <c r="L4921" s="846"/>
      <c r="M4921" s="846"/>
      <c r="N4921" s="846"/>
      <c r="O4921" s="846"/>
      <c r="P4921" s="846"/>
      <c r="Q4921" s="846"/>
      <c r="R4921" s="846"/>
      <c r="S4921" s="846"/>
      <c r="T4921" s="846"/>
    </row>
    <row r="4922" spans="2:20" ht="25.5" hidden="1">
      <c r="B4922" s="828" t="s">
        <v>6613</v>
      </c>
      <c r="C4922" s="828">
        <v>102595</v>
      </c>
      <c r="D4922" s="630" t="s">
        <v>6223</v>
      </c>
      <c r="E4922" s="630" t="s">
        <v>646</v>
      </c>
      <c r="F4922" s="829">
        <v>1.27</v>
      </c>
      <c r="G4922" s="830">
        <v>4.7300000000000004</v>
      </c>
      <c r="H4922" s="832">
        <v>6</v>
      </c>
      <c r="I4922" s="846"/>
      <c r="J4922" s="846"/>
      <c r="K4922" s="846"/>
      <c r="L4922" s="846"/>
      <c r="M4922" s="846"/>
      <c r="N4922" s="846"/>
      <c r="O4922" s="846"/>
      <c r="P4922" s="846"/>
      <c r="Q4922" s="846"/>
      <c r="R4922" s="846"/>
      <c r="S4922" s="846"/>
      <c r="T4922" s="846"/>
    </row>
    <row r="4923" spans="2:20" ht="25.5" hidden="1">
      <c r="B4923" s="828" t="s">
        <v>6613</v>
      </c>
      <c r="C4923" s="828">
        <v>102596</v>
      </c>
      <c r="D4923" s="630" t="s">
        <v>6224</v>
      </c>
      <c r="E4923" s="630" t="s">
        <v>646</v>
      </c>
      <c r="F4923" s="829">
        <v>1.67</v>
      </c>
      <c r="G4923" s="830">
        <v>6.05</v>
      </c>
      <c r="H4923" s="832">
        <v>7.72</v>
      </c>
      <c r="I4923" s="846"/>
      <c r="J4923" s="846"/>
      <c r="K4923" s="846"/>
      <c r="L4923" s="846"/>
      <c r="M4923" s="846"/>
      <c r="N4923" s="846"/>
      <c r="O4923" s="846"/>
      <c r="P4923" s="846"/>
      <c r="Q4923" s="846"/>
      <c r="R4923" s="846"/>
      <c r="S4923" s="846"/>
      <c r="T4923" s="846"/>
    </row>
    <row r="4924" spans="2:20" ht="25.5" hidden="1">
      <c r="B4924" s="828" t="s">
        <v>6613</v>
      </c>
      <c r="C4924" s="828">
        <v>102597</v>
      </c>
      <c r="D4924" s="630" t="s">
        <v>6225</v>
      </c>
      <c r="E4924" s="630" t="s">
        <v>646</v>
      </c>
      <c r="F4924" s="829">
        <v>1.48</v>
      </c>
      <c r="G4924" s="830">
        <v>5.39</v>
      </c>
      <c r="H4924" s="832">
        <v>6.87</v>
      </c>
      <c r="I4924" s="846"/>
      <c r="J4924" s="846"/>
      <c r="K4924" s="846"/>
      <c r="L4924" s="846"/>
      <c r="M4924" s="846"/>
      <c r="N4924" s="846"/>
      <c r="O4924" s="846"/>
      <c r="P4924" s="846"/>
      <c r="Q4924" s="846"/>
      <c r="R4924" s="846"/>
      <c r="S4924" s="846"/>
      <c r="T4924" s="846"/>
    </row>
    <row r="4925" spans="2:20" ht="25.5" hidden="1">
      <c r="B4925" s="828" t="s">
        <v>6613</v>
      </c>
      <c r="C4925" s="828">
        <v>102598</v>
      </c>
      <c r="D4925" s="630" t="s">
        <v>6226</v>
      </c>
      <c r="E4925" s="630" t="s">
        <v>646</v>
      </c>
      <c r="F4925" s="829">
        <v>1.85</v>
      </c>
      <c r="G4925" s="830">
        <v>6.74</v>
      </c>
      <c r="H4925" s="832">
        <v>8.59</v>
      </c>
      <c r="I4925" s="846"/>
      <c r="J4925" s="846"/>
      <c r="K4925" s="846"/>
      <c r="L4925" s="846"/>
      <c r="M4925" s="846"/>
      <c r="N4925" s="846"/>
      <c r="O4925" s="846"/>
      <c r="P4925" s="846"/>
      <c r="Q4925" s="846"/>
      <c r="R4925" s="846"/>
      <c r="S4925" s="846"/>
      <c r="T4925" s="846"/>
    </row>
    <row r="4926" spans="2:20" ht="25.5" hidden="1">
      <c r="B4926" s="828" t="s">
        <v>6613</v>
      </c>
      <c r="C4926" s="828">
        <v>102599</v>
      </c>
      <c r="D4926" s="630" t="s">
        <v>6227</v>
      </c>
      <c r="E4926" s="630" t="s">
        <v>646</v>
      </c>
      <c r="F4926" s="829">
        <v>1.67</v>
      </c>
      <c r="G4926" s="830">
        <v>6.07</v>
      </c>
      <c r="H4926" s="832">
        <v>7.74</v>
      </c>
      <c r="I4926" s="846"/>
      <c r="J4926" s="846"/>
      <c r="K4926" s="846"/>
      <c r="L4926" s="846"/>
      <c r="M4926" s="846"/>
      <c r="N4926" s="846"/>
      <c r="O4926" s="846"/>
      <c r="P4926" s="846"/>
      <c r="Q4926" s="846"/>
      <c r="R4926" s="846"/>
      <c r="S4926" s="846"/>
      <c r="T4926" s="846"/>
    </row>
    <row r="4927" spans="2:20" ht="25.5" hidden="1">
      <c r="B4927" s="828" t="s">
        <v>6613</v>
      </c>
      <c r="C4927" s="828">
        <v>102600</v>
      </c>
      <c r="D4927" s="630" t="s">
        <v>6228</v>
      </c>
      <c r="E4927" s="630" t="s">
        <v>646</v>
      </c>
      <c r="F4927" s="829">
        <v>2.0499999999999998</v>
      </c>
      <c r="G4927" s="830">
        <v>7.41</v>
      </c>
      <c r="H4927" s="832">
        <v>9.4600000000000009</v>
      </c>
      <c r="I4927" s="846"/>
      <c r="J4927" s="846"/>
      <c r="K4927" s="846"/>
      <c r="L4927" s="846"/>
      <c r="M4927" s="846"/>
      <c r="N4927" s="846"/>
      <c r="O4927" s="846"/>
      <c r="P4927" s="846"/>
      <c r="Q4927" s="846"/>
      <c r="R4927" s="846"/>
      <c r="S4927" s="846"/>
      <c r="T4927" s="846"/>
    </row>
    <row r="4928" spans="2:20" ht="25.5" hidden="1">
      <c r="B4928" s="828" t="s">
        <v>6613</v>
      </c>
      <c r="C4928" s="828">
        <v>102601</v>
      </c>
      <c r="D4928" s="630" t="s">
        <v>6229</v>
      </c>
      <c r="E4928" s="630" t="s">
        <v>646</v>
      </c>
      <c r="F4928" s="829">
        <v>1.93</v>
      </c>
      <c r="G4928" s="830">
        <v>7.11</v>
      </c>
      <c r="H4928" s="832">
        <v>9.0399999999999991</v>
      </c>
      <c r="I4928" s="846"/>
      <c r="J4928" s="846"/>
      <c r="K4928" s="846"/>
      <c r="L4928" s="846"/>
      <c r="M4928" s="846"/>
      <c r="N4928" s="846"/>
      <c r="O4928" s="846"/>
      <c r="P4928" s="846"/>
      <c r="Q4928" s="846"/>
      <c r="R4928" s="846"/>
      <c r="S4928" s="846"/>
      <c r="T4928" s="846"/>
    </row>
    <row r="4929" spans="2:20" ht="25.5" hidden="1">
      <c r="B4929" s="828" t="s">
        <v>6613</v>
      </c>
      <c r="C4929" s="828">
        <v>102602</v>
      </c>
      <c r="D4929" s="630" t="s">
        <v>6230</v>
      </c>
      <c r="E4929" s="630" t="s">
        <v>646</v>
      </c>
      <c r="F4929" s="829">
        <v>2.33</v>
      </c>
      <c r="G4929" s="830">
        <v>8.42</v>
      </c>
      <c r="H4929" s="832">
        <v>10.75</v>
      </c>
      <c r="I4929" s="846"/>
      <c r="J4929" s="846"/>
      <c r="K4929" s="846"/>
      <c r="L4929" s="846"/>
      <c r="M4929" s="846"/>
      <c r="N4929" s="846"/>
      <c r="O4929" s="846"/>
      <c r="P4929" s="846"/>
      <c r="Q4929" s="846"/>
      <c r="R4929" s="846"/>
      <c r="S4929" s="846"/>
      <c r="T4929" s="846"/>
    </row>
    <row r="4930" spans="2:20" ht="25.5" hidden="1">
      <c r="B4930" s="828" t="s">
        <v>6613</v>
      </c>
      <c r="C4930" s="828">
        <v>102603</v>
      </c>
      <c r="D4930" s="630" t="s">
        <v>6231</v>
      </c>
      <c r="E4930" s="630" t="s">
        <v>646</v>
      </c>
      <c r="F4930" s="829">
        <v>2.4300000000000002</v>
      </c>
      <c r="G4930" s="830">
        <v>8.77</v>
      </c>
      <c r="H4930" s="832">
        <v>11.2</v>
      </c>
      <c r="I4930" s="846"/>
      <c r="J4930" s="846"/>
      <c r="K4930" s="846"/>
      <c r="L4930" s="846"/>
      <c r="M4930" s="846"/>
      <c r="N4930" s="846"/>
      <c r="O4930" s="846"/>
      <c r="P4930" s="846"/>
      <c r="Q4930" s="846"/>
      <c r="R4930" s="846"/>
      <c r="S4930" s="846"/>
      <c r="T4930" s="846"/>
    </row>
    <row r="4931" spans="2:20" ht="25.5" hidden="1">
      <c r="B4931" s="828" t="s">
        <v>6613</v>
      </c>
      <c r="C4931" s="828">
        <v>102604</v>
      </c>
      <c r="D4931" s="630" t="s">
        <v>6232</v>
      </c>
      <c r="E4931" s="630" t="s">
        <v>646</v>
      </c>
      <c r="F4931" s="829">
        <v>2.83</v>
      </c>
      <c r="G4931" s="830">
        <v>10.09</v>
      </c>
      <c r="H4931" s="832">
        <v>12.92</v>
      </c>
      <c r="I4931" s="846"/>
      <c r="J4931" s="846"/>
      <c r="K4931" s="846"/>
      <c r="L4931" s="846"/>
      <c r="M4931" s="846"/>
      <c r="N4931" s="846"/>
      <c r="O4931" s="846"/>
      <c r="P4931" s="846"/>
      <c r="Q4931" s="846"/>
      <c r="R4931" s="846"/>
      <c r="S4931" s="846"/>
      <c r="T4931" s="846"/>
    </row>
    <row r="4932" spans="2:20" ht="25.5" hidden="1">
      <c r="B4932" s="828" t="s">
        <v>6613</v>
      </c>
      <c r="C4932" s="828">
        <v>102605</v>
      </c>
      <c r="D4932" s="630" t="s">
        <v>6233</v>
      </c>
      <c r="E4932" s="630" t="s">
        <v>646</v>
      </c>
      <c r="F4932" s="829">
        <v>276.16000000000003</v>
      </c>
      <c r="G4932" s="830">
        <v>4.4800000000000004</v>
      </c>
      <c r="H4932" s="832">
        <v>280.64</v>
      </c>
      <c r="I4932" s="846"/>
      <c r="J4932" s="846"/>
      <c r="K4932" s="846"/>
      <c r="L4932" s="846"/>
      <c r="M4932" s="846"/>
      <c r="N4932" s="846"/>
      <c r="O4932" s="846"/>
      <c r="P4932" s="846"/>
      <c r="Q4932" s="846"/>
      <c r="R4932" s="846"/>
      <c r="S4932" s="846"/>
      <c r="T4932" s="846"/>
    </row>
    <row r="4933" spans="2:20" ht="25.5" hidden="1">
      <c r="B4933" s="828" t="s">
        <v>6613</v>
      </c>
      <c r="C4933" s="828">
        <v>102606</v>
      </c>
      <c r="D4933" s="630" t="s">
        <v>6234</v>
      </c>
      <c r="E4933" s="630" t="s">
        <v>646</v>
      </c>
      <c r="F4933" s="829">
        <v>472.93</v>
      </c>
      <c r="G4933" s="830">
        <v>5.54</v>
      </c>
      <c r="H4933" s="832">
        <v>478.47</v>
      </c>
      <c r="I4933" s="846"/>
      <c r="J4933" s="846"/>
      <c r="K4933" s="846"/>
      <c r="L4933" s="846"/>
      <c r="M4933" s="846"/>
      <c r="N4933" s="846"/>
      <c r="O4933" s="846"/>
      <c r="P4933" s="846"/>
      <c r="Q4933" s="846"/>
      <c r="R4933" s="846"/>
      <c r="S4933" s="846"/>
      <c r="T4933" s="846"/>
    </row>
    <row r="4934" spans="2:20" ht="25.5" hidden="1">
      <c r="B4934" s="828" t="s">
        <v>6613</v>
      </c>
      <c r="C4934" s="828">
        <v>102607</v>
      </c>
      <c r="D4934" s="630" t="s">
        <v>6235</v>
      </c>
      <c r="E4934" s="630" t="s">
        <v>646</v>
      </c>
      <c r="F4934" s="829">
        <v>480.58</v>
      </c>
      <c r="G4934" s="843">
        <v>6.45</v>
      </c>
      <c r="H4934" s="832">
        <v>487.03</v>
      </c>
      <c r="I4934" s="846"/>
      <c r="J4934" s="846"/>
      <c r="K4934" s="846"/>
      <c r="L4934" s="846"/>
      <c r="M4934" s="846"/>
      <c r="N4934" s="846"/>
      <c r="O4934" s="846"/>
      <c r="P4934" s="846"/>
      <c r="Q4934" s="846"/>
      <c r="R4934" s="846"/>
      <c r="S4934" s="846"/>
      <c r="T4934" s="846"/>
    </row>
    <row r="4935" spans="2:20" ht="25.5" hidden="1">
      <c r="B4935" s="828" t="s">
        <v>6613</v>
      </c>
      <c r="C4935" s="828">
        <v>102608</v>
      </c>
      <c r="D4935" s="630" t="s">
        <v>6236</v>
      </c>
      <c r="E4935" s="630" t="s">
        <v>646</v>
      </c>
      <c r="F4935" s="829">
        <v>974.75</v>
      </c>
      <c r="G4935" s="843">
        <v>8.58</v>
      </c>
      <c r="H4935" s="832">
        <v>983.33</v>
      </c>
      <c r="I4935" s="846"/>
      <c r="J4935" s="846"/>
      <c r="K4935" s="846"/>
      <c r="L4935" s="846"/>
      <c r="M4935" s="846"/>
      <c r="N4935" s="846"/>
      <c r="O4935" s="846"/>
      <c r="P4935" s="846"/>
      <c r="Q4935" s="846"/>
      <c r="R4935" s="846"/>
      <c r="S4935" s="846"/>
      <c r="T4935" s="846"/>
    </row>
    <row r="4936" spans="2:20" ht="25.5" hidden="1">
      <c r="B4936" s="828" t="s">
        <v>6613</v>
      </c>
      <c r="C4936" s="828">
        <v>102609</v>
      </c>
      <c r="D4936" s="630" t="s">
        <v>6237</v>
      </c>
      <c r="E4936" s="630" t="s">
        <v>646</v>
      </c>
      <c r="F4936" s="829">
        <v>1095.4100000000001</v>
      </c>
      <c r="G4936" s="843">
        <v>11.5</v>
      </c>
      <c r="H4936" s="832">
        <v>1106.9100000000001</v>
      </c>
      <c r="I4936" s="846"/>
      <c r="J4936" s="846"/>
      <c r="K4936" s="846"/>
      <c r="L4936" s="846"/>
      <c r="M4936" s="846"/>
      <c r="N4936" s="846"/>
      <c r="O4936" s="846"/>
      <c r="P4936" s="846"/>
      <c r="Q4936" s="846"/>
      <c r="R4936" s="846"/>
      <c r="S4936" s="846"/>
      <c r="T4936" s="846"/>
    </row>
    <row r="4937" spans="2:20" ht="25.5" hidden="1">
      <c r="B4937" s="828" t="s">
        <v>6613</v>
      </c>
      <c r="C4937" s="828">
        <v>102611</v>
      </c>
      <c r="D4937" s="630" t="s">
        <v>6238</v>
      </c>
      <c r="E4937" s="630" t="s">
        <v>646</v>
      </c>
      <c r="F4937" s="829">
        <v>371.22</v>
      </c>
      <c r="G4937" s="843">
        <v>4.9000000000000004</v>
      </c>
      <c r="H4937" s="832">
        <v>376.12</v>
      </c>
      <c r="I4937" s="846"/>
      <c r="J4937" s="846"/>
      <c r="K4937" s="846"/>
      <c r="L4937" s="846"/>
      <c r="M4937" s="846"/>
      <c r="N4937" s="846"/>
      <c r="O4937" s="846"/>
      <c r="P4937" s="846"/>
      <c r="Q4937" s="846"/>
      <c r="R4937" s="846"/>
      <c r="S4937" s="846"/>
      <c r="T4937" s="846"/>
    </row>
    <row r="4938" spans="2:20" ht="25.5" hidden="1">
      <c r="B4938" s="828" t="s">
        <v>6613</v>
      </c>
      <c r="C4938" s="828">
        <v>102613</v>
      </c>
      <c r="D4938" s="630" t="s">
        <v>6239</v>
      </c>
      <c r="E4938" s="630" t="s">
        <v>646</v>
      </c>
      <c r="F4938" s="829">
        <v>510.12</v>
      </c>
      <c r="G4938" s="843">
        <v>6.56</v>
      </c>
      <c r="H4938" s="832">
        <v>516.67999999999995</v>
      </c>
      <c r="I4938" s="846"/>
      <c r="J4938" s="846"/>
      <c r="K4938" s="846"/>
      <c r="L4938" s="846"/>
      <c r="M4938" s="846"/>
      <c r="N4938" s="846"/>
      <c r="O4938" s="846"/>
      <c r="P4938" s="846"/>
      <c r="Q4938" s="846"/>
      <c r="R4938" s="846"/>
      <c r="S4938" s="846"/>
      <c r="T4938" s="846"/>
    </row>
    <row r="4939" spans="2:20" ht="25.5" hidden="1">
      <c r="B4939" s="828" t="s">
        <v>6613</v>
      </c>
      <c r="C4939" s="828">
        <v>102614</v>
      </c>
      <c r="D4939" s="630" t="s">
        <v>6240</v>
      </c>
      <c r="E4939" s="630" t="s">
        <v>646</v>
      </c>
      <c r="F4939" s="829">
        <v>827.02</v>
      </c>
      <c r="G4939" s="843">
        <v>8.44</v>
      </c>
      <c r="H4939" s="832">
        <v>835.46</v>
      </c>
      <c r="I4939" s="846"/>
      <c r="J4939" s="846"/>
      <c r="K4939" s="846"/>
      <c r="L4939" s="846"/>
      <c r="M4939" s="846"/>
      <c r="N4939" s="846"/>
      <c r="O4939" s="846"/>
      <c r="P4939" s="846"/>
      <c r="Q4939" s="846"/>
      <c r="R4939" s="846"/>
      <c r="S4939" s="846"/>
      <c r="T4939" s="846"/>
    </row>
    <row r="4940" spans="2:20" ht="25.5" hidden="1">
      <c r="B4940" s="828" t="s">
        <v>6613</v>
      </c>
      <c r="C4940" s="828">
        <v>102615</v>
      </c>
      <c r="D4940" s="630" t="s">
        <v>6241</v>
      </c>
      <c r="E4940" s="630" t="s">
        <v>646</v>
      </c>
      <c r="F4940" s="829">
        <v>1065.97</v>
      </c>
      <c r="G4940" s="843">
        <v>10.59</v>
      </c>
      <c r="H4940" s="832">
        <v>1076.56</v>
      </c>
      <c r="I4940" s="846"/>
      <c r="J4940" s="846"/>
      <c r="K4940" s="846"/>
      <c r="L4940" s="846"/>
      <c r="M4940" s="846"/>
      <c r="N4940" s="846"/>
      <c r="O4940" s="846"/>
      <c r="P4940" s="846"/>
      <c r="Q4940" s="846"/>
      <c r="R4940" s="846"/>
      <c r="S4940" s="846"/>
      <c r="T4940" s="846"/>
    </row>
    <row r="4941" spans="2:20" ht="25.5" hidden="1">
      <c r="B4941" s="828" t="s">
        <v>6613</v>
      </c>
      <c r="C4941" s="828">
        <v>102617</v>
      </c>
      <c r="D4941" s="630" t="s">
        <v>6242</v>
      </c>
      <c r="E4941" s="630" t="s">
        <v>646</v>
      </c>
      <c r="F4941" s="829">
        <v>2771.89</v>
      </c>
      <c r="G4941" s="843">
        <v>210.45</v>
      </c>
      <c r="H4941" s="832">
        <v>2982.34</v>
      </c>
      <c r="I4941" s="846"/>
      <c r="J4941" s="846"/>
      <c r="K4941" s="846"/>
      <c r="L4941" s="846"/>
      <c r="M4941" s="846"/>
      <c r="N4941" s="846"/>
      <c r="O4941" s="846"/>
      <c r="P4941" s="846"/>
      <c r="Q4941" s="846"/>
      <c r="R4941" s="846"/>
      <c r="S4941" s="846"/>
      <c r="T4941" s="846"/>
    </row>
    <row r="4942" spans="2:20" ht="25.5" hidden="1">
      <c r="B4942" s="828" t="s">
        <v>6613</v>
      </c>
      <c r="C4942" s="828">
        <v>102619</v>
      </c>
      <c r="D4942" s="630" t="s">
        <v>6243</v>
      </c>
      <c r="E4942" s="630" t="s">
        <v>646</v>
      </c>
      <c r="F4942" s="829">
        <v>5313.5099999999993</v>
      </c>
      <c r="G4942" s="843">
        <v>210.44</v>
      </c>
      <c r="H4942" s="832">
        <v>5523.95</v>
      </c>
      <c r="I4942" s="846"/>
      <c r="J4942" s="846"/>
      <c r="K4942" s="846"/>
      <c r="L4942" s="846"/>
      <c r="M4942" s="846"/>
      <c r="N4942" s="846"/>
      <c r="O4942" s="846"/>
      <c r="P4942" s="846"/>
      <c r="Q4942" s="846"/>
      <c r="R4942" s="846"/>
      <c r="S4942" s="846"/>
      <c r="T4942" s="846"/>
    </row>
    <row r="4943" spans="2:20" ht="25.5" hidden="1">
      <c r="B4943" s="828" t="s">
        <v>6613</v>
      </c>
      <c r="C4943" s="828">
        <v>102622</v>
      </c>
      <c r="D4943" s="630" t="s">
        <v>6244</v>
      </c>
      <c r="E4943" s="630" t="s">
        <v>646</v>
      </c>
      <c r="F4943" s="829">
        <v>551.66</v>
      </c>
      <c r="G4943" s="843">
        <v>103.11</v>
      </c>
      <c r="H4943" s="832">
        <v>654.77</v>
      </c>
      <c r="I4943" s="846"/>
      <c r="J4943" s="846"/>
      <c r="K4943" s="846"/>
      <c r="L4943" s="846"/>
      <c r="M4943" s="846"/>
      <c r="N4943" s="846"/>
      <c r="O4943" s="846"/>
      <c r="P4943" s="846"/>
      <c r="Q4943" s="846"/>
      <c r="R4943" s="846"/>
      <c r="S4943" s="846"/>
      <c r="T4943" s="846"/>
    </row>
    <row r="4944" spans="2:20" ht="25.5" hidden="1">
      <c r="B4944" s="828" t="s">
        <v>6613</v>
      </c>
      <c r="C4944" s="828">
        <v>102623</v>
      </c>
      <c r="D4944" s="630" t="s">
        <v>6245</v>
      </c>
      <c r="E4944" s="630" t="s">
        <v>646</v>
      </c>
      <c r="F4944" s="829">
        <v>803.44</v>
      </c>
      <c r="G4944" s="843">
        <v>117.2</v>
      </c>
      <c r="H4944" s="832">
        <v>920.64</v>
      </c>
      <c r="I4944" s="846"/>
      <c r="J4944" s="846"/>
      <c r="K4944" s="846"/>
      <c r="L4944" s="846"/>
      <c r="M4944" s="846"/>
      <c r="N4944" s="846"/>
      <c r="O4944" s="846"/>
      <c r="P4944" s="846"/>
      <c r="Q4944" s="846"/>
      <c r="R4944" s="846"/>
      <c r="S4944" s="846"/>
      <c r="T4944" s="846"/>
    </row>
    <row r="4945" spans="2:20" ht="25.5" hidden="1">
      <c r="B4945" s="828" t="s">
        <v>6549</v>
      </c>
      <c r="C4945" s="828">
        <v>89482</v>
      </c>
      <c r="D4945" s="630" t="s">
        <v>8293</v>
      </c>
      <c r="E4945" s="630" t="s">
        <v>646</v>
      </c>
      <c r="F4945" s="829">
        <v>32.29</v>
      </c>
      <c r="G4945" s="843">
        <v>9.31</v>
      </c>
      <c r="H4945" s="832">
        <v>41.6</v>
      </c>
      <c r="I4945" s="846"/>
      <c r="J4945" s="846"/>
      <c r="K4945" s="846"/>
      <c r="L4945" s="846"/>
      <c r="M4945" s="846"/>
      <c r="N4945" s="846"/>
      <c r="O4945" s="846"/>
      <c r="P4945" s="846"/>
      <c r="Q4945" s="846"/>
      <c r="R4945" s="846"/>
      <c r="S4945" s="846"/>
      <c r="T4945" s="846"/>
    </row>
    <row r="4946" spans="2:20" ht="25.5" hidden="1">
      <c r="B4946" s="828" t="s">
        <v>6549</v>
      </c>
      <c r="C4946" s="828">
        <v>89491</v>
      </c>
      <c r="D4946" s="630" t="s">
        <v>8294</v>
      </c>
      <c r="E4946" s="630" t="s">
        <v>646</v>
      </c>
      <c r="F4946" s="829">
        <v>81.92</v>
      </c>
      <c r="G4946" s="843">
        <v>14.42</v>
      </c>
      <c r="H4946" s="832">
        <v>96.34</v>
      </c>
      <c r="I4946" s="846"/>
      <c r="J4946" s="846"/>
      <c r="K4946" s="846"/>
      <c r="L4946" s="846"/>
      <c r="M4946" s="846"/>
      <c r="N4946" s="846"/>
      <c r="O4946" s="846"/>
      <c r="P4946" s="846"/>
      <c r="Q4946" s="846"/>
      <c r="R4946" s="846"/>
      <c r="S4946" s="846"/>
      <c r="T4946" s="846"/>
    </row>
    <row r="4947" spans="2:20" ht="38.25" hidden="1">
      <c r="B4947" s="828" t="s">
        <v>6549</v>
      </c>
      <c r="C4947" s="828">
        <v>89495</v>
      </c>
      <c r="D4947" s="630" t="s">
        <v>8295</v>
      </c>
      <c r="E4947" s="630" t="s">
        <v>646</v>
      </c>
      <c r="F4947" s="829">
        <v>13.03</v>
      </c>
      <c r="G4947" s="843">
        <v>4.78</v>
      </c>
      <c r="H4947" s="832">
        <v>17.809999999999999</v>
      </c>
      <c r="I4947" s="846"/>
      <c r="J4947" s="846"/>
      <c r="K4947" s="846"/>
      <c r="L4947" s="846"/>
      <c r="M4947" s="846"/>
      <c r="N4947" s="846"/>
      <c r="O4947" s="846"/>
      <c r="P4947" s="846"/>
      <c r="Q4947" s="846"/>
      <c r="R4947" s="846"/>
      <c r="S4947" s="846"/>
      <c r="T4947" s="846"/>
    </row>
    <row r="4948" spans="2:20" ht="38.25" hidden="1">
      <c r="B4948" s="828" t="s">
        <v>6549</v>
      </c>
      <c r="C4948" s="828">
        <v>89707</v>
      </c>
      <c r="D4948" s="630" t="s">
        <v>1533</v>
      </c>
      <c r="E4948" s="630" t="s">
        <v>646</v>
      </c>
      <c r="F4948" s="829">
        <v>29.49</v>
      </c>
      <c r="G4948" s="843">
        <v>10.71</v>
      </c>
      <c r="H4948" s="832">
        <v>40.200000000000003</v>
      </c>
      <c r="I4948" s="846"/>
      <c r="J4948" s="846"/>
      <c r="K4948" s="846"/>
      <c r="L4948" s="846"/>
      <c r="M4948" s="846"/>
      <c r="N4948" s="846"/>
      <c r="O4948" s="846"/>
      <c r="P4948" s="846"/>
      <c r="Q4948" s="846"/>
      <c r="R4948" s="846"/>
      <c r="S4948" s="846"/>
      <c r="T4948" s="846"/>
    </row>
    <row r="4949" spans="2:20" ht="38.25" hidden="1">
      <c r="B4949" s="828" t="s">
        <v>6549</v>
      </c>
      <c r="C4949" s="828">
        <v>89708</v>
      </c>
      <c r="D4949" s="630" t="s">
        <v>1534</v>
      </c>
      <c r="E4949" s="630" t="s">
        <v>646</v>
      </c>
      <c r="F4949" s="829">
        <v>71.87</v>
      </c>
      <c r="G4949" s="843">
        <v>16.27</v>
      </c>
      <c r="H4949" s="832">
        <v>88.14</v>
      </c>
      <c r="I4949" s="846"/>
      <c r="J4949" s="846"/>
      <c r="K4949" s="846"/>
      <c r="L4949" s="846"/>
      <c r="M4949" s="846"/>
      <c r="N4949" s="846"/>
      <c r="O4949" s="846"/>
      <c r="P4949" s="846"/>
      <c r="Q4949" s="846"/>
      <c r="R4949" s="846"/>
      <c r="S4949" s="846"/>
      <c r="T4949" s="846"/>
    </row>
    <row r="4950" spans="2:20" ht="38.25" hidden="1">
      <c r="B4950" s="828" t="s">
        <v>6549</v>
      </c>
      <c r="C4950" s="828">
        <v>89709</v>
      </c>
      <c r="D4950" s="630" t="s">
        <v>1535</v>
      </c>
      <c r="E4950" s="630" t="s">
        <v>646</v>
      </c>
      <c r="F4950" s="829">
        <v>12.53</v>
      </c>
      <c r="G4950" s="843">
        <v>2.99</v>
      </c>
      <c r="H4950" s="832">
        <v>15.52</v>
      </c>
      <c r="I4950" s="846"/>
      <c r="J4950" s="846"/>
      <c r="K4950" s="846"/>
      <c r="L4950" s="846"/>
      <c r="M4950" s="846"/>
      <c r="N4950" s="846"/>
      <c r="O4950" s="846"/>
      <c r="P4950" s="846"/>
      <c r="Q4950" s="846"/>
      <c r="R4950" s="846"/>
      <c r="S4950" s="846"/>
      <c r="T4950" s="846"/>
    </row>
    <row r="4951" spans="2:20" ht="38.25" hidden="1">
      <c r="B4951" s="828" t="s">
        <v>6549</v>
      </c>
      <c r="C4951" s="828">
        <v>89710</v>
      </c>
      <c r="D4951" s="630" t="s">
        <v>1432</v>
      </c>
      <c r="E4951" s="630" t="s">
        <v>646</v>
      </c>
      <c r="F4951" s="829">
        <v>10.24</v>
      </c>
      <c r="G4951" s="843">
        <v>2.99</v>
      </c>
      <c r="H4951" s="832">
        <v>13.23</v>
      </c>
      <c r="I4951" s="846"/>
      <c r="J4951" s="846"/>
      <c r="K4951" s="846"/>
      <c r="L4951" s="846"/>
      <c r="M4951" s="846"/>
      <c r="N4951" s="846"/>
      <c r="O4951" s="846"/>
      <c r="P4951" s="846"/>
      <c r="Q4951" s="846"/>
      <c r="R4951" s="846"/>
      <c r="S4951" s="846"/>
      <c r="T4951" s="846"/>
    </row>
    <row r="4952" spans="2:20" ht="25.5" hidden="1">
      <c r="B4952" s="828" t="s">
        <v>6532</v>
      </c>
      <c r="C4952" s="828">
        <v>86872</v>
      </c>
      <c r="D4952" s="630" t="s">
        <v>4234</v>
      </c>
      <c r="E4952" s="630" t="s">
        <v>646</v>
      </c>
      <c r="F4952" s="829">
        <v>596.67999999999995</v>
      </c>
      <c r="G4952" s="843">
        <v>55.15</v>
      </c>
      <c r="H4952" s="832">
        <v>651.83000000000004</v>
      </c>
      <c r="I4952" s="846"/>
      <c r="J4952" s="846"/>
      <c r="K4952" s="846"/>
      <c r="L4952" s="846"/>
      <c r="M4952" s="846"/>
      <c r="N4952" s="846"/>
      <c r="O4952" s="846"/>
      <c r="P4952" s="846"/>
      <c r="Q4952" s="846"/>
      <c r="R4952" s="846"/>
      <c r="S4952" s="846"/>
      <c r="T4952" s="846"/>
    </row>
    <row r="4953" spans="2:20" ht="25.5" hidden="1">
      <c r="B4953" s="828" t="s">
        <v>6532</v>
      </c>
      <c r="C4953" s="828">
        <v>86874</v>
      </c>
      <c r="D4953" s="630" t="s">
        <v>4235</v>
      </c>
      <c r="E4953" s="630" t="s">
        <v>646</v>
      </c>
      <c r="F4953" s="829">
        <v>427.04</v>
      </c>
      <c r="G4953" s="843">
        <v>25.87</v>
      </c>
      <c r="H4953" s="832">
        <v>452.91</v>
      </c>
      <c r="I4953" s="846"/>
      <c r="J4953" s="846"/>
      <c r="K4953" s="846"/>
      <c r="L4953" s="846"/>
      <c r="M4953" s="846"/>
      <c r="N4953" s="846"/>
      <c r="O4953" s="846"/>
      <c r="P4953" s="846"/>
      <c r="Q4953" s="846"/>
      <c r="R4953" s="846"/>
      <c r="S4953" s="846"/>
      <c r="T4953" s="846"/>
    </row>
    <row r="4954" spans="2:20" ht="25.5" hidden="1">
      <c r="B4954" s="828" t="s">
        <v>6532</v>
      </c>
      <c r="C4954" s="828">
        <v>86875</v>
      </c>
      <c r="D4954" s="630" t="s">
        <v>4236</v>
      </c>
      <c r="E4954" s="630" t="s">
        <v>646</v>
      </c>
      <c r="F4954" s="829">
        <v>470.24</v>
      </c>
      <c r="G4954" s="843">
        <v>31.31</v>
      </c>
      <c r="H4954" s="832">
        <v>501.55</v>
      </c>
      <c r="I4954" s="846"/>
      <c r="J4954" s="846"/>
      <c r="K4954" s="846"/>
      <c r="L4954" s="846"/>
      <c r="M4954" s="846"/>
      <c r="N4954" s="846"/>
      <c r="O4954" s="846"/>
      <c r="P4954" s="846"/>
      <c r="Q4954" s="846"/>
      <c r="R4954" s="846"/>
      <c r="S4954" s="846"/>
      <c r="T4954" s="846"/>
    </row>
    <row r="4955" spans="2:20" ht="25.5" hidden="1">
      <c r="B4955" s="828" t="s">
        <v>6532</v>
      </c>
      <c r="C4955" s="828">
        <v>86876</v>
      </c>
      <c r="D4955" s="630" t="s">
        <v>4237</v>
      </c>
      <c r="E4955" s="630" t="s">
        <v>646</v>
      </c>
      <c r="F4955" s="829">
        <v>263.97000000000003</v>
      </c>
      <c r="G4955" s="843">
        <v>22.67</v>
      </c>
      <c r="H4955" s="832">
        <v>286.64</v>
      </c>
      <c r="I4955" s="846"/>
      <c r="J4955" s="846"/>
      <c r="K4955" s="846"/>
      <c r="L4955" s="846"/>
      <c r="M4955" s="846"/>
      <c r="N4955" s="846"/>
      <c r="O4955" s="846"/>
      <c r="P4955" s="846"/>
      <c r="Q4955" s="846"/>
      <c r="R4955" s="846"/>
      <c r="S4955" s="846"/>
      <c r="T4955" s="846"/>
    </row>
    <row r="4956" spans="2:20" ht="25.5" hidden="1">
      <c r="B4956" s="828" t="s">
        <v>6532</v>
      </c>
      <c r="C4956" s="828">
        <v>86877</v>
      </c>
      <c r="D4956" s="630" t="s">
        <v>4238</v>
      </c>
      <c r="E4956" s="630" t="s">
        <v>646</v>
      </c>
      <c r="F4956" s="829">
        <v>116.34</v>
      </c>
      <c r="G4956" s="843">
        <v>5.14</v>
      </c>
      <c r="H4956" s="832">
        <v>121.48</v>
      </c>
      <c r="I4956" s="846"/>
      <c r="J4956" s="846"/>
      <c r="K4956" s="846"/>
      <c r="L4956" s="846"/>
      <c r="M4956" s="846"/>
      <c r="N4956" s="846"/>
      <c r="O4956" s="846"/>
      <c r="P4956" s="846"/>
      <c r="Q4956" s="846"/>
      <c r="R4956" s="846"/>
      <c r="S4956" s="846"/>
      <c r="T4956" s="846"/>
    </row>
    <row r="4957" spans="2:20" ht="25.5" hidden="1">
      <c r="B4957" s="828" t="s">
        <v>6532</v>
      </c>
      <c r="C4957" s="828">
        <v>86878</v>
      </c>
      <c r="D4957" s="630" t="s">
        <v>4239</v>
      </c>
      <c r="E4957" s="630" t="s">
        <v>646</v>
      </c>
      <c r="F4957" s="829">
        <v>126.15</v>
      </c>
      <c r="G4957" s="843">
        <v>5.14</v>
      </c>
      <c r="H4957" s="832">
        <v>131.29</v>
      </c>
      <c r="I4957" s="846"/>
      <c r="J4957" s="846"/>
      <c r="K4957" s="846"/>
      <c r="L4957" s="846"/>
      <c r="M4957" s="846"/>
      <c r="N4957" s="846"/>
      <c r="O4957" s="846"/>
      <c r="P4957" s="846"/>
      <c r="Q4957" s="846"/>
      <c r="R4957" s="846"/>
      <c r="S4957" s="846"/>
      <c r="T4957" s="846"/>
    </row>
    <row r="4958" spans="2:20" ht="25.5" hidden="1">
      <c r="B4958" s="828" t="s">
        <v>6532</v>
      </c>
      <c r="C4958" s="828">
        <v>86879</v>
      </c>
      <c r="D4958" s="630" t="s">
        <v>4240</v>
      </c>
      <c r="E4958" s="630" t="s">
        <v>646</v>
      </c>
      <c r="F4958" s="829">
        <v>4.2</v>
      </c>
      <c r="G4958" s="843">
        <v>3.66</v>
      </c>
      <c r="H4958" s="832">
        <v>7.86</v>
      </c>
      <c r="I4958" s="846"/>
      <c r="J4958" s="846"/>
      <c r="K4958" s="846"/>
      <c r="L4958" s="846"/>
      <c r="M4958" s="846"/>
      <c r="N4958" s="846"/>
      <c r="O4958" s="846"/>
      <c r="P4958" s="846"/>
      <c r="Q4958" s="846"/>
      <c r="R4958" s="846"/>
      <c r="S4958" s="846"/>
      <c r="T4958" s="846"/>
    </row>
    <row r="4959" spans="2:20" ht="25.5" hidden="1">
      <c r="B4959" s="828" t="s">
        <v>6532</v>
      </c>
      <c r="C4959" s="828">
        <v>86880</v>
      </c>
      <c r="D4959" s="630" t="s">
        <v>4241</v>
      </c>
      <c r="E4959" s="630" t="s">
        <v>646</v>
      </c>
      <c r="F4959" s="829">
        <v>16.329999999999998</v>
      </c>
      <c r="G4959" s="843">
        <v>3.65</v>
      </c>
      <c r="H4959" s="832">
        <v>19.98</v>
      </c>
      <c r="I4959" s="846"/>
      <c r="J4959" s="846"/>
      <c r="K4959" s="846"/>
      <c r="L4959" s="846"/>
      <c r="M4959" s="846"/>
      <c r="N4959" s="846"/>
      <c r="O4959" s="846"/>
      <c r="P4959" s="846"/>
      <c r="Q4959" s="846"/>
      <c r="R4959" s="846"/>
      <c r="S4959" s="846"/>
      <c r="T4959" s="846"/>
    </row>
    <row r="4960" spans="2:20" ht="25.5" hidden="1">
      <c r="B4960" s="828" t="s">
        <v>6532</v>
      </c>
      <c r="C4960" s="828">
        <v>86881</v>
      </c>
      <c r="D4960" s="630" t="s">
        <v>4242</v>
      </c>
      <c r="E4960" s="630" t="s">
        <v>646</v>
      </c>
      <c r="F4960" s="829">
        <v>366.97</v>
      </c>
      <c r="G4960" s="843">
        <v>8.1</v>
      </c>
      <c r="H4960" s="832">
        <v>375.07</v>
      </c>
      <c r="I4960" s="846"/>
      <c r="J4960" s="846"/>
      <c r="K4960" s="846"/>
      <c r="L4960" s="846"/>
      <c r="M4960" s="846"/>
      <c r="N4960" s="846"/>
      <c r="O4960" s="846"/>
      <c r="P4960" s="846"/>
      <c r="Q4960" s="846"/>
      <c r="R4960" s="846"/>
      <c r="S4960" s="846"/>
      <c r="T4960" s="846"/>
    </row>
    <row r="4961" spans="2:20" ht="25.5" hidden="1">
      <c r="B4961" s="828" t="s">
        <v>6532</v>
      </c>
      <c r="C4961" s="828">
        <v>86882</v>
      </c>
      <c r="D4961" s="630" t="s">
        <v>4243</v>
      </c>
      <c r="E4961" s="630" t="s">
        <v>646</v>
      </c>
      <c r="F4961" s="829">
        <v>16.57</v>
      </c>
      <c r="G4961" s="843">
        <v>4.0199999999999996</v>
      </c>
      <c r="H4961" s="832">
        <v>20.59</v>
      </c>
      <c r="I4961" s="846"/>
      <c r="J4961" s="846"/>
      <c r="K4961" s="846"/>
      <c r="L4961" s="846"/>
      <c r="M4961" s="846"/>
      <c r="N4961" s="846"/>
      <c r="O4961" s="846"/>
      <c r="P4961" s="846"/>
      <c r="Q4961" s="846"/>
      <c r="R4961" s="846"/>
      <c r="S4961" s="846"/>
      <c r="T4961" s="846"/>
    </row>
    <row r="4962" spans="2:20" ht="25.5" hidden="1">
      <c r="B4962" s="828" t="s">
        <v>6532</v>
      </c>
      <c r="C4962" s="828">
        <v>86883</v>
      </c>
      <c r="D4962" s="630" t="s">
        <v>4244</v>
      </c>
      <c r="E4962" s="630" t="s">
        <v>646</v>
      </c>
      <c r="F4962" s="829">
        <v>9.35</v>
      </c>
      <c r="G4962" s="843">
        <v>2.4900000000000002</v>
      </c>
      <c r="H4962" s="832">
        <v>11.84</v>
      </c>
      <c r="I4962" s="846"/>
      <c r="J4962" s="846"/>
      <c r="K4962" s="846"/>
      <c r="L4962" s="846"/>
      <c r="M4962" s="846"/>
      <c r="N4962" s="846"/>
      <c r="O4962" s="846"/>
      <c r="P4962" s="846"/>
      <c r="Q4962" s="846"/>
      <c r="R4962" s="846"/>
      <c r="S4962" s="846"/>
      <c r="T4962" s="846"/>
    </row>
    <row r="4963" spans="2:20" ht="25.5" hidden="1">
      <c r="B4963" s="828" t="s">
        <v>6532</v>
      </c>
      <c r="C4963" s="828">
        <v>86884</v>
      </c>
      <c r="D4963" s="630" t="s">
        <v>4245</v>
      </c>
      <c r="E4963" s="630" t="s">
        <v>646</v>
      </c>
      <c r="F4963" s="829">
        <v>5.14</v>
      </c>
      <c r="G4963" s="843">
        <v>4.54</v>
      </c>
      <c r="H4963" s="832">
        <v>9.68</v>
      </c>
      <c r="I4963" s="846"/>
      <c r="J4963" s="846"/>
      <c r="K4963" s="846"/>
      <c r="L4963" s="846"/>
      <c r="M4963" s="846"/>
      <c r="N4963" s="846"/>
      <c r="O4963" s="846"/>
      <c r="P4963" s="846"/>
      <c r="Q4963" s="846"/>
      <c r="R4963" s="846"/>
      <c r="S4963" s="846"/>
      <c r="T4963" s="846"/>
    </row>
    <row r="4964" spans="2:20" ht="25.5" hidden="1">
      <c r="B4964" s="828" t="s">
        <v>6532</v>
      </c>
      <c r="C4964" s="828">
        <v>86885</v>
      </c>
      <c r="D4964" s="630" t="s">
        <v>4246</v>
      </c>
      <c r="E4964" s="630" t="s">
        <v>646</v>
      </c>
      <c r="F4964" s="829">
        <v>6.84</v>
      </c>
      <c r="G4964" s="843">
        <v>4.54</v>
      </c>
      <c r="H4964" s="832">
        <v>11.38</v>
      </c>
      <c r="I4964" s="846"/>
      <c r="J4964" s="846"/>
      <c r="K4964" s="846"/>
      <c r="L4964" s="846"/>
      <c r="M4964" s="846"/>
      <c r="N4964" s="846"/>
      <c r="O4964" s="846"/>
      <c r="P4964" s="846"/>
      <c r="Q4964" s="846"/>
      <c r="R4964" s="846"/>
      <c r="S4964" s="846"/>
      <c r="T4964" s="846"/>
    </row>
    <row r="4965" spans="2:20" ht="25.5" hidden="1">
      <c r="B4965" s="828" t="s">
        <v>6532</v>
      </c>
      <c r="C4965" s="828">
        <v>86886</v>
      </c>
      <c r="D4965" s="630" t="s">
        <v>4247</v>
      </c>
      <c r="E4965" s="630" t="s">
        <v>646</v>
      </c>
      <c r="F4965" s="829">
        <v>84.94</v>
      </c>
      <c r="G4965" s="843">
        <v>4.5199999999999996</v>
      </c>
      <c r="H4965" s="832">
        <v>89.46</v>
      </c>
      <c r="I4965" s="846"/>
      <c r="J4965" s="846"/>
      <c r="K4965" s="846"/>
      <c r="L4965" s="846"/>
      <c r="M4965" s="846"/>
      <c r="N4965" s="846"/>
      <c r="O4965" s="846"/>
      <c r="P4965" s="846"/>
      <c r="Q4965" s="846"/>
      <c r="R4965" s="846"/>
      <c r="S4965" s="846"/>
      <c r="T4965" s="846"/>
    </row>
    <row r="4966" spans="2:20" ht="25.5" hidden="1">
      <c r="B4966" s="828" t="s">
        <v>6532</v>
      </c>
      <c r="C4966" s="828">
        <v>86887</v>
      </c>
      <c r="D4966" s="630" t="s">
        <v>4248</v>
      </c>
      <c r="E4966" s="630" t="s">
        <v>646</v>
      </c>
      <c r="F4966" s="829">
        <v>92.85</v>
      </c>
      <c r="G4966" s="830">
        <v>4.5199999999999996</v>
      </c>
      <c r="H4966" s="831">
        <v>97.37</v>
      </c>
      <c r="I4966" s="846"/>
      <c r="J4966" s="846"/>
      <c r="K4966" s="846"/>
      <c r="L4966" s="846"/>
      <c r="M4966" s="846"/>
      <c r="N4966" s="846"/>
      <c r="O4966" s="846"/>
      <c r="P4966" s="846"/>
      <c r="Q4966" s="846"/>
      <c r="R4966" s="846"/>
      <c r="S4966" s="846"/>
      <c r="T4966" s="846"/>
    </row>
    <row r="4967" spans="2:20" ht="25.5" hidden="1">
      <c r="B4967" s="828" t="s">
        <v>6532</v>
      </c>
      <c r="C4967" s="828">
        <v>86888</v>
      </c>
      <c r="D4967" s="630" t="s">
        <v>4249</v>
      </c>
      <c r="E4967" s="630" t="s">
        <v>646</v>
      </c>
      <c r="F4967" s="829">
        <v>414.24</v>
      </c>
      <c r="G4967" s="830">
        <v>26.43</v>
      </c>
      <c r="H4967" s="831">
        <v>440.67</v>
      </c>
      <c r="I4967" s="846"/>
      <c r="J4967" s="846"/>
      <c r="K4967" s="846"/>
      <c r="L4967" s="846"/>
      <c r="M4967" s="846"/>
      <c r="N4967" s="846"/>
      <c r="O4967" s="846"/>
      <c r="P4967" s="846"/>
      <c r="Q4967" s="846"/>
      <c r="R4967" s="846"/>
      <c r="S4967" s="846"/>
      <c r="T4967" s="846"/>
    </row>
    <row r="4968" spans="2:20" ht="25.5" hidden="1">
      <c r="B4968" s="828" t="s">
        <v>6532</v>
      </c>
      <c r="C4968" s="828">
        <v>86889</v>
      </c>
      <c r="D4968" s="630" t="s">
        <v>4250</v>
      </c>
      <c r="E4968" s="630" t="s">
        <v>646</v>
      </c>
      <c r="F4968" s="829">
        <v>804.16</v>
      </c>
      <c r="G4968" s="830">
        <v>57.97</v>
      </c>
      <c r="H4968" s="831">
        <v>862.13</v>
      </c>
      <c r="I4968" s="846"/>
      <c r="J4968" s="846"/>
      <c r="K4968" s="846"/>
      <c r="L4968" s="846"/>
      <c r="M4968" s="846"/>
      <c r="N4968" s="846"/>
      <c r="O4968" s="846"/>
      <c r="P4968" s="846"/>
      <c r="Q4968" s="846"/>
      <c r="R4968" s="846"/>
      <c r="S4968" s="846"/>
      <c r="T4968" s="846"/>
    </row>
    <row r="4969" spans="2:20" ht="25.5" hidden="1">
      <c r="B4969" s="828" t="s">
        <v>6532</v>
      </c>
      <c r="C4969" s="828">
        <v>86893</v>
      </c>
      <c r="D4969" s="630" t="s">
        <v>4251</v>
      </c>
      <c r="E4969" s="630" t="s">
        <v>646</v>
      </c>
      <c r="F4969" s="829">
        <v>798.7</v>
      </c>
      <c r="G4969" s="830">
        <v>57.97</v>
      </c>
      <c r="H4969" s="831">
        <v>856.67</v>
      </c>
      <c r="I4969" s="846"/>
      <c r="J4969" s="846"/>
      <c r="K4969" s="846"/>
      <c r="L4969" s="846"/>
      <c r="M4969" s="846"/>
      <c r="N4969" s="846"/>
      <c r="O4969" s="846"/>
      <c r="P4969" s="846"/>
      <c r="Q4969" s="846"/>
      <c r="R4969" s="846"/>
      <c r="S4969" s="846"/>
      <c r="T4969" s="846"/>
    </row>
    <row r="4970" spans="2:20" ht="25.5" hidden="1">
      <c r="B4970" s="828" t="s">
        <v>6532</v>
      </c>
      <c r="C4970" s="828">
        <v>86894</v>
      </c>
      <c r="D4970" s="630" t="s">
        <v>4252</v>
      </c>
      <c r="E4970" s="630" t="s">
        <v>646</v>
      </c>
      <c r="F4970" s="829">
        <v>278.5</v>
      </c>
      <c r="G4970" s="830">
        <v>30.96</v>
      </c>
      <c r="H4970" s="831">
        <v>309.45999999999998</v>
      </c>
      <c r="I4970" s="846"/>
      <c r="J4970" s="846"/>
      <c r="K4970" s="846"/>
      <c r="L4970" s="846"/>
      <c r="M4970" s="846"/>
      <c r="N4970" s="846"/>
      <c r="O4970" s="846"/>
      <c r="P4970" s="846"/>
      <c r="Q4970" s="846"/>
      <c r="R4970" s="846"/>
      <c r="S4970" s="846"/>
      <c r="T4970" s="846"/>
    </row>
    <row r="4971" spans="2:20" ht="25.5" hidden="1">
      <c r="B4971" s="828" t="s">
        <v>6532</v>
      </c>
      <c r="C4971" s="828">
        <v>86895</v>
      </c>
      <c r="D4971" s="630" t="s">
        <v>4253</v>
      </c>
      <c r="E4971" s="630" t="s">
        <v>646</v>
      </c>
      <c r="F4971" s="829">
        <v>351</v>
      </c>
      <c r="G4971" s="830">
        <v>69.69</v>
      </c>
      <c r="H4971" s="831">
        <v>420.69</v>
      </c>
      <c r="I4971" s="846"/>
      <c r="J4971" s="846"/>
      <c r="K4971" s="846"/>
      <c r="L4971" s="846"/>
      <c r="M4971" s="846"/>
      <c r="N4971" s="846"/>
      <c r="O4971" s="846"/>
      <c r="P4971" s="846"/>
      <c r="Q4971" s="846"/>
      <c r="R4971" s="846"/>
      <c r="S4971" s="846"/>
      <c r="T4971" s="846"/>
    </row>
    <row r="4972" spans="2:20" ht="25.5" hidden="1">
      <c r="B4972" s="828" t="s">
        <v>6532</v>
      </c>
      <c r="C4972" s="828">
        <v>86899</v>
      </c>
      <c r="D4972" s="630" t="s">
        <v>4254</v>
      </c>
      <c r="E4972" s="630" t="s">
        <v>646</v>
      </c>
      <c r="F4972" s="829">
        <v>348.95</v>
      </c>
      <c r="G4972" s="830">
        <v>69.69</v>
      </c>
      <c r="H4972" s="831">
        <v>418.64</v>
      </c>
      <c r="I4972" s="846"/>
      <c r="J4972" s="846"/>
      <c r="K4972" s="846"/>
      <c r="L4972" s="846"/>
      <c r="M4972" s="846"/>
      <c r="N4972" s="846"/>
      <c r="O4972" s="846"/>
      <c r="P4972" s="846"/>
      <c r="Q4972" s="846"/>
      <c r="R4972" s="846"/>
      <c r="S4972" s="846"/>
      <c r="T4972" s="846"/>
    </row>
    <row r="4973" spans="2:20" ht="25.5" hidden="1">
      <c r="B4973" s="828" t="s">
        <v>6532</v>
      </c>
      <c r="C4973" s="828">
        <v>86900</v>
      </c>
      <c r="D4973" s="630" t="s">
        <v>4255</v>
      </c>
      <c r="E4973" s="630" t="s">
        <v>646</v>
      </c>
      <c r="F4973" s="829">
        <v>240.12</v>
      </c>
      <c r="G4973" s="830">
        <v>15.7</v>
      </c>
      <c r="H4973" s="831">
        <v>255.82</v>
      </c>
      <c r="I4973" s="846"/>
      <c r="J4973" s="846"/>
      <c r="K4973" s="846"/>
      <c r="L4973" s="846"/>
      <c r="M4973" s="846"/>
      <c r="N4973" s="846"/>
      <c r="O4973" s="846"/>
      <c r="P4973" s="846"/>
      <c r="Q4973" s="846"/>
      <c r="R4973" s="846"/>
      <c r="S4973" s="846"/>
      <c r="T4973" s="846"/>
    </row>
    <row r="4974" spans="2:20" ht="25.5" hidden="1">
      <c r="B4974" s="828" t="s">
        <v>6532</v>
      </c>
      <c r="C4974" s="828">
        <v>86901</v>
      </c>
      <c r="D4974" s="630" t="s">
        <v>4256</v>
      </c>
      <c r="E4974" s="630" t="s">
        <v>646</v>
      </c>
      <c r="F4974" s="829">
        <v>114.91</v>
      </c>
      <c r="G4974" s="830">
        <v>27.83</v>
      </c>
      <c r="H4974" s="831">
        <v>142.74</v>
      </c>
      <c r="I4974" s="846"/>
      <c r="J4974" s="846"/>
      <c r="K4974" s="846"/>
      <c r="L4974" s="846"/>
      <c r="M4974" s="846"/>
      <c r="N4974" s="846"/>
      <c r="O4974" s="846"/>
      <c r="P4974" s="846"/>
      <c r="Q4974" s="846"/>
      <c r="R4974" s="846"/>
      <c r="S4974" s="846"/>
      <c r="T4974" s="846"/>
    </row>
    <row r="4975" spans="2:20" ht="25.5" hidden="1">
      <c r="B4975" s="828" t="s">
        <v>6532</v>
      </c>
      <c r="C4975" s="828">
        <v>86902</v>
      </c>
      <c r="D4975" s="630" t="s">
        <v>4257</v>
      </c>
      <c r="E4975" s="630" t="s">
        <v>646</v>
      </c>
      <c r="F4975" s="829">
        <v>251.58</v>
      </c>
      <c r="G4975" s="830">
        <v>28.94</v>
      </c>
      <c r="H4975" s="831">
        <v>280.52</v>
      </c>
      <c r="I4975" s="846"/>
      <c r="J4975" s="846"/>
      <c r="K4975" s="846"/>
      <c r="L4975" s="846"/>
      <c r="M4975" s="846"/>
      <c r="N4975" s="846"/>
      <c r="O4975" s="846"/>
      <c r="P4975" s="846"/>
      <c r="Q4975" s="846"/>
      <c r="R4975" s="846"/>
      <c r="S4975" s="846"/>
      <c r="T4975" s="846"/>
    </row>
    <row r="4976" spans="2:20" ht="25.5" hidden="1">
      <c r="B4976" s="828" t="s">
        <v>6532</v>
      </c>
      <c r="C4976" s="828">
        <v>86903</v>
      </c>
      <c r="D4976" s="630" t="s">
        <v>4258</v>
      </c>
      <c r="E4976" s="630" t="s">
        <v>646</v>
      </c>
      <c r="F4976" s="829">
        <v>275.19</v>
      </c>
      <c r="G4976" s="830">
        <v>46.8</v>
      </c>
      <c r="H4976" s="831">
        <v>321.99</v>
      </c>
      <c r="I4976" s="846"/>
      <c r="J4976" s="846"/>
      <c r="K4976" s="846"/>
      <c r="L4976" s="846"/>
      <c r="M4976" s="846"/>
      <c r="N4976" s="846"/>
      <c r="O4976" s="846"/>
      <c r="P4976" s="846"/>
      <c r="Q4976" s="846"/>
      <c r="R4976" s="846"/>
      <c r="S4976" s="846"/>
      <c r="T4976" s="846"/>
    </row>
    <row r="4977" spans="2:20" ht="25.5" hidden="1">
      <c r="B4977" s="828" t="s">
        <v>6532</v>
      </c>
      <c r="C4977" s="828">
        <v>86904</v>
      </c>
      <c r="D4977" s="630" t="s">
        <v>4259</v>
      </c>
      <c r="E4977" s="630" t="s">
        <v>646</v>
      </c>
      <c r="F4977" s="829">
        <v>120.08</v>
      </c>
      <c r="G4977" s="830">
        <v>12.62</v>
      </c>
      <c r="H4977" s="831">
        <v>132.69999999999999</v>
      </c>
      <c r="I4977" s="846"/>
      <c r="J4977" s="846"/>
      <c r="K4977" s="846"/>
      <c r="L4977" s="846"/>
      <c r="M4977" s="846"/>
      <c r="N4977" s="846"/>
      <c r="O4977" s="846"/>
      <c r="P4977" s="846"/>
      <c r="Q4977" s="846"/>
      <c r="R4977" s="846"/>
      <c r="S4977" s="846"/>
      <c r="T4977" s="846"/>
    </row>
    <row r="4978" spans="2:20" ht="25.5" hidden="1">
      <c r="B4978" s="828" t="s">
        <v>6532</v>
      </c>
      <c r="C4978" s="828">
        <v>86905</v>
      </c>
      <c r="D4978" s="630" t="s">
        <v>4260</v>
      </c>
      <c r="E4978" s="630" t="s">
        <v>646</v>
      </c>
      <c r="F4978" s="829">
        <v>296.14</v>
      </c>
      <c r="G4978" s="830">
        <v>13.74</v>
      </c>
      <c r="H4978" s="831">
        <v>309.88</v>
      </c>
      <c r="I4978" s="846"/>
      <c r="J4978" s="846"/>
      <c r="K4978" s="846"/>
      <c r="L4978" s="846"/>
      <c r="M4978" s="846"/>
      <c r="N4978" s="846"/>
      <c r="O4978" s="846"/>
      <c r="P4978" s="846"/>
      <c r="Q4978" s="846"/>
      <c r="R4978" s="846"/>
      <c r="S4978" s="846"/>
      <c r="T4978" s="846"/>
    </row>
    <row r="4979" spans="2:20" ht="25.5" hidden="1">
      <c r="B4979" s="828" t="s">
        <v>6532</v>
      </c>
      <c r="C4979" s="828">
        <v>86906</v>
      </c>
      <c r="D4979" s="630" t="s">
        <v>4261</v>
      </c>
      <c r="E4979" s="630" t="s">
        <v>646</v>
      </c>
      <c r="F4979" s="829">
        <v>54.65</v>
      </c>
      <c r="G4979" s="830">
        <v>2.83</v>
      </c>
      <c r="H4979" s="831">
        <v>57.48</v>
      </c>
      <c r="I4979" s="846"/>
      <c r="J4979" s="846"/>
      <c r="K4979" s="846"/>
      <c r="L4979" s="846"/>
      <c r="M4979" s="846"/>
      <c r="N4979" s="846"/>
      <c r="O4979" s="846"/>
      <c r="P4979" s="846"/>
      <c r="Q4979" s="846"/>
      <c r="R4979" s="846"/>
      <c r="S4979" s="846"/>
      <c r="T4979" s="846"/>
    </row>
    <row r="4980" spans="2:20" ht="25.5" hidden="1">
      <c r="B4980" s="828" t="s">
        <v>6532</v>
      </c>
      <c r="C4980" s="828">
        <v>86908</v>
      </c>
      <c r="D4980" s="630" t="s">
        <v>4262</v>
      </c>
      <c r="E4980" s="630" t="s">
        <v>646</v>
      </c>
      <c r="F4980" s="829">
        <v>359.91</v>
      </c>
      <c r="G4980" s="830">
        <v>6.71</v>
      </c>
      <c r="H4980" s="831">
        <v>366.62</v>
      </c>
      <c r="I4980" s="846"/>
      <c r="J4980" s="846"/>
      <c r="K4980" s="846"/>
      <c r="L4980" s="846"/>
      <c r="M4980" s="846"/>
      <c r="N4980" s="846"/>
      <c r="O4980" s="846"/>
      <c r="P4980" s="846"/>
      <c r="Q4980" s="846"/>
      <c r="R4980" s="846"/>
      <c r="S4980" s="846"/>
      <c r="T4980" s="846"/>
    </row>
    <row r="4981" spans="2:20" ht="25.5" hidden="1">
      <c r="B4981" s="828" t="s">
        <v>6532</v>
      </c>
      <c r="C4981" s="828">
        <v>86909</v>
      </c>
      <c r="D4981" s="630" t="s">
        <v>4263</v>
      </c>
      <c r="E4981" s="630" t="s">
        <v>646</v>
      </c>
      <c r="F4981" s="829">
        <v>94.86</v>
      </c>
      <c r="G4981" s="830">
        <v>4.93</v>
      </c>
      <c r="H4981" s="831">
        <v>99.79</v>
      </c>
      <c r="I4981" s="846"/>
      <c r="J4981" s="846"/>
      <c r="K4981" s="846"/>
      <c r="L4981" s="846"/>
      <c r="M4981" s="846"/>
      <c r="N4981" s="846"/>
      <c r="O4981" s="846"/>
      <c r="P4981" s="846"/>
      <c r="Q4981" s="846"/>
      <c r="R4981" s="846"/>
      <c r="S4981" s="846"/>
      <c r="T4981" s="846"/>
    </row>
    <row r="4982" spans="2:20" ht="25.5" hidden="1">
      <c r="B4982" s="828" t="s">
        <v>6532</v>
      </c>
      <c r="C4982" s="828">
        <v>86910</v>
      </c>
      <c r="D4982" s="630" t="s">
        <v>4264</v>
      </c>
      <c r="E4982" s="630" t="s">
        <v>646</v>
      </c>
      <c r="F4982" s="829">
        <v>94.17</v>
      </c>
      <c r="G4982" s="830">
        <v>3.44</v>
      </c>
      <c r="H4982" s="831">
        <v>97.61</v>
      </c>
      <c r="I4982" s="846"/>
      <c r="J4982" s="846"/>
      <c r="K4982" s="846"/>
      <c r="L4982" s="846"/>
      <c r="M4982" s="846"/>
      <c r="N4982" s="846"/>
      <c r="O4982" s="846"/>
      <c r="P4982" s="846"/>
      <c r="Q4982" s="846"/>
      <c r="R4982" s="846"/>
      <c r="S4982" s="846"/>
      <c r="T4982" s="846"/>
    </row>
    <row r="4983" spans="2:20" ht="25.5" hidden="1">
      <c r="B4983" s="828" t="s">
        <v>6532</v>
      </c>
      <c r="C4983" s="828">
        <v>86911</v>
      </c>
      <c r="D4983" s="630" t="s">
        <v>4265</v>
      </c>
      <c r="E4983" s="630" t="s">
        <v>646</v>
      </c>
      <c r="F4983" s="829">
        <v>63.88</v>
      </c>
      <c r="G4983" s="830">
        <v>3.44</v>
      </c>
      <c r="H4983" s="831">
        <v>67.319999999999993</v>
      </c>
      <c r="I4983" s="846"/>
      <c r="J4983" s="846"/>
      <c r="K4983" s="846"/>
      <c r="L4983" s="846"/>
      <c r="M4983" s="846"/>
      <c r="N4983" s="846"/>
      <c r="O4983" s="846"/>
      <c r="P4983" s="846"/>
      <c r="Q4983" s="846"/>
      <c r="R4983" s="846"/>
      <c r="S4983" s="846"/>
      <c r="T4983" s="846"/>
    </row>
    <row r="4984" spans="2:20" ht="25.5" hidden="1">
      <c r="B4984" s="828" t="s">
        <v>6532</v>
      </c>
      <c r="C4984" s="828">
        <v>86913</v>
      </c>
      <c r="D4984" s="630" t="s">
        <v>4266</v>
      </c>
      <c r="E4984" s="630" t="s">
        <v>646</v>
      </c>
      <c r="F4984" s="829">
        <v>38.729999999999997</v>
      </c>
      <c r="G4984" s="830">
        <v>4.5199999999999996</v>
      </c>
      <c r="H4984" s="831">
        <v>43.25</v>
      </c>
      <c r="I4984" s="846"/>
      <c r="J4984" s="846"/>
      <c r="K4984" s="846"/>
      <c r="L4984" s="846"/>
      <c r="M4984" s="846"/>
      <c r="N4984" s="846"/>
      <c r="O4984" s="846"/>
      <c r="P4984" s="846"/>
      <c r="Q4984" s="846"/>
      <c r="R4984" s="846"/>
      <c r="S4984" s="846"/>
      <c r="T4984" s="846"/>
    </row>
    <row r="4985" spans="2:20" ht="25.5" hidden="1">
      <c r="B4985" s="828" t="s">
        <v>6532</v>
      </c>
      <c r="C4985" s="828">
        <v>86914</v>
      </c>
      <c r="D4985" s="630" t="s">
        <v>4267</v>
      </c>
      <c r="E4985" s="630" t="s">
        <v>646</v>
      </c>
      <c r="F4985" s="829">
        <v>71.36</v>
      </c>
      <c r="G4985" s="830">
        <v>4.5199999999999996</v>
      </c>
      <c r="H4985" s="831">
        <v>75.88</v>
      </c>
      <c r="I4985" s="846"/>
      <c r="J4985" s="846"/>
      <c r="K4985" s="846"/>
      <c r="L4985" s="846"/>
      <c r="M4985" s="846"/>
      <c r="N4985" s="846"/>
      <c r="O4985" s="846"/>
      <c r="P4985" s="846"/>
      <c r="Q4985" s="846"/>
      <c r="R4985" s="846"/>
      <c r="S4985" s="846"/>
      <c r="T4985" s="846"/>
    </row>
    <row r="4986" spans="2:20" ht="25.5" hidden="1">
      <c r="B4986" s="828" t="s">
        <v>6532</v>
      </c>
      <c r="C4986" s="828">
        <v>86915</v>
      </c>
      <c r="D4986" s="630" t="s">
        <v>4268</v>
      </c>
      <c r="E4986" s="630" t="s">
        <v>646</v>
      </c>
      <c r="F4986" s="829">
        <v>105.98</v>
      </c>
      <c r="G4986" s="830">
        <v>2.83</v>
      </c>
      <c r="H4986" s="831">
        <v>108.81</v>
      </c>
      <c r="I4986" s="846"/>
      <c r="J4986" s="846"/>
      <c r="K4986" s="846"/>
      <c r="L4986" s="846"/>
      <c r="M4986" s="846"/>
      <c r="N4986" s="846"/>
      <c r="O4986" s="846"/>
      <c r="P4986" s="846"/>
      <c r="Q4986" s="846"/>
      <c r="R4986" s="846"/>
      <c r="S4986" s="846"/>
      <c r="T4986" s="846"/>
    </row>
    <row r="4987" spans="2:20" ht="25.5" hidden="1">
      <c r="B4987" s="828" t="s">
        <v>6532</v>
      </c>
      <c r="C4987" s="828">
        <v>86916</v>
      </c>
      <c r="D4987" s="630" t="s">
        <v>4269</v>
      </c>
      <c r="E4987" s="630" t="s">
        <v>646</v>
      </c>
      <c r="F4987" s="829">
        <v>25.88</v>
      </c>
      <c r="G4987" s="830">
        <v>4.5199999999999996</v>
      </c>
      <c r="H4987" s="831">
        <v>30.4</v>
      </c>
      <c r="I4987" s="846"/>
      <c r="J4987" s="846"/>
      <c r="K4987" s="846"/>
      <c r="L4987" s="846"/>
      <c r="M4987" s="846"/>
      <c r="N4987" s="846"/>
      <c r="O4987" s="846"/>
      <c r="P4987" s="846"/>
      <c r="Q4987" s="846"/>
      <c r="R4987" s="846"/>
      <c r="S4987" s="846"/>
      <c r="T4987" s="846"/>
    </row>
    <row r="4988" spans="2:20" ht="38.25" hidden="1">
      <c r="B4988" s="828" t="s">
        <v>6532</v>
      </c>
      <c r="C4988" s="828">
        <v>86919</v>
      </c>
      <c r="D4988" s="630" t="s">
        <v>4270</v>
      </c>
      <c r="E4988" s="630" t="s">
        <v>646</v>
      </c>
      <c r="F4988" s="829">
        <v>793.72</v>
      </c>
      <c r="G4988" s="830">
        <v>67.31</v>
      </c>
      <c r="H4988" s="831">
        <v>861.03</v>
      </c>
      <c r="I4988" s="846"/>
      <c r="J4988" s="846"/>
      <c r="K4988" s="846"/>
      <c r="L4988" s="846"/>
      <c r="M4988" s="846"/>
      <c r="N4988" s="846"/>
      <c r="O4988" s="846"/>
      <c r="P4988" s="846"/>
      <c r="Q4988" s="846"/>
      <c r="R4988" s="846"/>
      <c r="S4988" s="846"/>
      <c r="T4988" s="846"/>
    </row>
    <row r="4989" spans="2:20" ht="38.25" hidden="1">
      <c r="B4989" s="828" t="s">
        <v>6532</v>
      </c>
      <c r="C4989" s="828">
        <v>86920</v>
      </c>
      <c r="D4989" s="630" t="s">
        <v>4271</v>
      </c>
      <c r="E4989" s="630" t="s">
        <v>646</v>
      </c>
      <c r="F4989" s="829">
        <v>648.97</v>
      </c>
      <c r="G4989" s="830">
        <v>65.81</v>
      </c>
      <c r="H4989" s="831">
        <v>714.78</v>
      </c>
      <c r="I4989" s="846"/>
      <c r="J4989" s="846"/>
      <c r="K4989" s="846"/>
      <c r="L4989" s="846"/>
      <c r="M4989" s="846"/>
      <c r="N4989" s="846"/>
      <c r="O4989" s="846"/>
      <c r="P4989" s="846"/>
      <c r="Q4989" s="846"/>
      <c r="R4989" s="846"/>
      <c r="S4989" s="846"/>
      <c r="T4989" s="846"/>
    </row>
    <row r="4990" spans="2:20" ht="38.25" hidden="1">
      <c r="B4990" s="828" t="s">
        <v>6532</v>
      </c>
      <c r="C4990" s="828">
        <v>86921</v>
      </c>
      <c r="D4990" s="630" t="s">
        <v>4272</v>
      </c>
      <c r="E4990" s="630" t="s">
        <v>646</v>
      </c>
      <c r="F4990" s="829">
        <v>636.12</v>
      </c>
      <c r="G4990" s="830">
        <v>65.81</v>
      </c>
      <c r="H4990" s="831">
        <v>701.93</v>
      </c>
      <c r="I4990" s="846"/>
      <c r="J4990" s="846"/>
      <c r="K4990" s="846"/>
      <c r="L4990" s="846"/>
      <c r="M4990" s="846"/>
      <c r="N4990" s="846"/>
      <c r="O4990" s="846"/>
      <c r="P4990" s="846"/>
      <c r="Q4990" s="846"/>
      <c r="R4990" s="846"/>
      <c r="S4990" s="846"/>
      <c r="T4990" s="846"/>
    </row>
    <row r="4991" spans="2:20" ht="51" hidden="1">
      <c r="B4991" s="828" t="s">
        <v>6532</v>
      </c>
      <c r="C4991" s="828">
        <v>86922</v>
      </c>
      <c r="D4991" s="630" t="s">
        <v>4273</v>
      </c>
      <c r="E4991" s="630" t="s">
        <v>646</v>
      </c>
      <c r="F4991" s="829">
        <v>981.7</v>
      </c>
      <c r="G4991" s="830">
        <v>43.64</v>
      </c>
      <c r="H4991" s="831">
        <v>1025.3399999999999</v>
      </c>
      <c r="I4991" s="846"/>
      <c r="J4991" s="846"/>
      <c r="K4991" s="846"/>
      <c r="L4991" s="846"/>
      <c r="M4991" s="846"/>
      <c r="N4991" s="846"/>
      <c r="O4991" s="846"/>
      <c r="P4991" s="846"/>
      <c r="Q4991" s="846"/>
      <c r="R4991" s="846"/>
      <c r="S4991" s="846"/>
      <c r="T4991" s="846"/>
    </row>
    <row r="4992" spans="2:20" ht="38.25" hidden="1">
      <c r="B4992" s="828" t="s">
        <v>6532</v>
      </c>
      <c r="C4992" s="828">
        <v>86923</v>
      </c>
      <c r="D4992" s="630" t="s">
        <v>4274</v>
      </c>
      <c r="E4992" s="630" t="s">
        <v>646</v>
      </c>
      <c r="F4992" s="829">
        <v>486.55</v>
      </c>
      <c r="G4992" s="830">
        <v>38.06</v>
      </c>
      <c r="H4992" s="831">
        <v>524.61</v>
      </c>
      <c r="I4992" s="846"/>
      <c r="J4992" s="846"/>
      <c r="K4992" s="846"/>
      <c r="L4992" s="846"/>
      <c r="M4992" s="846"/>
      <c r="N4992" s="846"/>
      <c r="O4992" s="846"/>
      <c r="P4992" s="846"/>
      <c r="Q4992" s="846"/>
      <c r="R4992" s="846"/>
      <c r="S4992" s="846"/>
      <c r="T4992" s="846"/>
    </row>
    <row r="4993" spans="2:20" ht="38.25" hidden="1">
      <c r="B4993" s="828" t="s">
        <v>6532</v>
      </c>
      <c r="C4993" s="828">
        <v>86924</v>
      </c>
      <c r="D4993" s="630" t="s">
        <v>4275</v>
      </c>
      <c r="E4993" s="630" t="s">
        <v>646</v>
      </c>
      <c r="F4993" s="829">
        <v>473.7</v>
      </c>
      <c r="G4993" s="830">
        <v>38.06</v>
      </c>
      <c r="H4993" s="831">
        <v>511.76</v>
      </c>
      <c r="I4993" s="846"/>
      <c r="J4993" s="846"/>
      <c r="K4993" s="846"/>
      <c r="L4993" s="846"/>
      <c r="M4993" s="846"/>
      <c r="N4993" s="846"/>
      <c r="O4993" s="846"/>
      <c r="P4993" s="846"/>
      <c r="Q4993" s="846"/>
      <c r="R4993" s="846"/>
      <c r="S4993" s="846"/>
      <c r="T4993" s="846"/>
    </row>
    <row r="4994" spans="2:20" ht="38.25" hidden="1">
      <c r="B4994" s="828" t="s">
        <v>6532</v>
      </c>
      <c r="C4994" s="828">
        <v>86925</v>
      </c>
      <c r="D4994" s="630" t="s">
        <v>4276</v>
      </c>
      <c r="E4994" s="630" t="s">
        <v>646</v>
      </c>
      <c r="F4994" s="829">
        <v>522.53</v>
      </c>
      <c r="G4994" s="830">
        <v>41.97</v>
      </c>
      <c r="H4994" s="831">
        <v>564.5</v>
      </c>
      <c r="I4994" s="846"/>
      <c r="J4994" s="846"/>
      <c r="K4994" s="846"/>
      <c r="L4994" s="846"/>
      <c r="M4994" s="846"/>
      <c r="N4994" s="846"/>
      <c r="O4994" s="846"/>
      <c r="P4994" s="846"/>
      <c r="Q4994" s="846"/>
      <c r="R4994" s="846"/>
      <c r="S4994" s="846"/>
      <c r="T4994" s="846"/>
    </row>
    <row r="4995" spans="2:20" ht="38.25" hidden="1">
      <c r="B4995" s="828" t="s">
        <v>6532</v>
      </c>
      <c r="C4995" s="828">
        <v>86926</v>
      </c>
      <c r="D4995" s="630" t="s">
        <v>4277</v>
      </c>
      <c r="E4995" s="630" t="s">
        <v>646</v>
      </c>
      <c r="F4995" s="829">
        <v>509.68</v>
      </c>
      <c r="G4995" s="830">
        <v>41.97</v>
      </c>
      <c r="H4995" s="831">
        <v>551.65</v>
      </c>
      <c r="I4995" s="846"/>
      <c r="J4995" s="846"/>
      <c r="K4995" s="846"/>
      <c r="L4995" s="846"/>
      <c r="M4995" s="846"/>
      <c r="N4995" s="846"/>
      <c r="O4995" s="846"/>
      <c r="P4995" s="846"/>
      <c r="Q4995" s="846"/>
      <c r="R4995" s="846"/>
      <c r="S4995" s="846"/>
      <c r="T4995" s="846"/>
    </row>
    <row r="4996" spans="2:20" ht="38.25" hidden="1">
      <c r="B4996" s="828" t="s">
        <v>6532</v>
      </c>
      <c r="C4996" s="828">
        <v>86927</v>
      </c>
      <c r="D4996" s="630" t="s">
        <v>4278</v>
      </c>
      <c r="E4996" s="630" t="s">
        <v>646</v>
      </c>
      <c r="F4996" s="829">
        <v>323.48</v>
      </c>
      <c r="G4996" s="830">
        <v>34.86</v>
      </c>
      <c r="H4996" s="831">
        <v>358.34</v>
      </c>
      <c r="I4996" s="846"/>
      <c r="J4996" s="846"/>
      <c r="K4996" s="846"/>
      <c r="L4996" s="846"/>
      <c r="M4996" s="846"/>
      <c r="N4996" s="846"/>
      <c r="O4996" s="846"/>
      <c r="P4996" s="846"/>
      <c r="Q4996" s="846"/>
      <c r="R4996" s="846"/>
      <c r="S4996" s="846"/>
      <c r="T4996" s="846"/>
    </row>
    <row r="4997" spans="2:20" ht="38.25" hidden="1">
      <c r="B4997" s="828" t="s">
        <v>6532</v>
      </c>
      <c r="C4997" s="828">
        <v>86928</v>
      </c>
      <c r="D4997" s="630" t="s">
        <v>4279</v>
      </c>
      <c r="E4997" s="630" t="s">
        <v>646</v>
      </c>
      <c r="F4997" s="829">
        <v>310.63</v>
      </c>
      <c r="G4997" s="830">
        <v>34.86</v>
      </c>
      <c r="H4997" s="831">
        <v>345.49</v>
      </c>
      <c r="I4997" s="846"/>
      <c r="J4997" s="846"/>
      <c r="K4997" s="846"/>
      <c r="L4997" s="846"/>
      <c r="M4997" s="846"/>
      <c r="N4997" s="846"/>
      <c r="O4997" s="846"/>
      <c r="P4997" s="846"/>
      <c r="Q4997" s="846"/>
      <c r="R4997" s="846"/>
      <c r="S4997" s="846"/>
      <c r="T4997" s="846"/>
    </row>
    <row r="4998" spans="2:20" ht="38.25" hidden="1">
      <c r="B4998" s="828" t="s">
        <v>6532</v>
      </c>
      <c r="C4998" s="828">
        <v>86929</v>
      </c>
      <c r="D4998" s="630" t="s">
        <v>4280</v>
      </c>
      <c r="E4998" s="630" t="s">
        <v>646</v>
      </c>
      <c r="F4998" s="829">
        <v>316.26</v>
      </c>
      <c r="G4998" s="830">
        <v>33.33</v>
      </c>
      <c r="H4998" s="831">
        <v>349.59</v>
      </c>
      <c r="I4998" s="846"/>
      <c r="J4998" s="846"/>
      <c r="K4998" s="846"/>
      <c r="L4998" s="846"/>
      <c r="M4998" s="846"/>
      <c r="N4998" s="846"/>
      <c r="O4998" s="846"/>
      <c r="P4998" s="846"/>
      <c r="Q4998" s="846"/>
      <c r="R4998" s="846"/>
      <c r="S4998" s="846"/>
      <c r="T4998" s="846"/>
    </row>
    <row r="4999" spans="2:20" ht="38.25" hidden="1">
      <c r="B4999" s="828" t="s">
        <v>6532</v>
      </c>
      <c r="C4999" s="828">
        <v>86930</v>
      </c>
      <c r="D4999" s="630" t="s">
        <v>4281</v>
      </c>
      <c r="E4999" s="630" t="s">
        <v>646</v>
      </c>
      <c r="F4999" s="829">
        <v>303.41000000000003</v>
      </c>
      <c r="G4999" s="830">
        <v>33.33</v>
      </c>
      <c r="H4999" s="831">
        <v>336.74</v>
      </c>
      <c r="I4999" s="846"/>
      <c r="J4999" s="846"/>
      <c r="K4999" s="846"/>
      <c r="L4999" s="846"/>
      <c r="M4999" s="846"/>
      <c r="N4999" s="846"/>
      <c r="O4999" s="846"/>
      <c r="P4999" s="846"/>
      <c r="Q4999" s="846"/>
      <c r="R4999" s="846"/>
      <c r="S4999" s="846"/>
      <c r="T4999" s="846"/>
    </row>
    <row r="5000" spans="2:20" ht="38.25" hidden="1">
      <c r="B5000" s="828" t="s">
        <v>6532</v>
      </c>
      <c r="C5000" s="828">
        <v>86931</v>
      </c>
      <c r="D5000" s="630" t="s">
        <v>4282</v>
      </c>
      <c r="E5000" s="630" t="s">
        <v>646</v>
      </c>
      <c r="F5000" s="829">
        <v>421.1</v>
      </c>
      <c r="G5000" s="830">
        <v>30.95</v>
      </c>
      <c r="H5000" s="831">
        <v>452.05</v>
      </c>
      <c r="I5000" s="846"/>
      <c r="J5000" s="846"/>
      <c r="K5000" s="846"/>
      <c r="L5000" s="846"/>
      <c r="M5000" s="846"/>
      <c r="N5000" s="846"/>
      <c r="O5000" s="846"/>
      <c r="P5000" s="846"/>
      <c r="Q5000" s="846"/>
      <c r="R5000" s="846"/>
      <c r="S5000" s="846"/>
      <c r="T5000" s="846"/>
    </row>
    <row r="5001" spans="2:20" ht="38.25" hidden="1">
      <c r="B5001" s="828" t="s">
        <v>6532</v>
      </c>
      <c r="C5001" s="828">
        <v>86932</v>
      </c>
      <c r="D5001" s="630" t="s">
        <v>4283</v>
      </c>
      <c r="E5001" s="630" t="s">
        <v>646</v>
      </c>
      <c r="F5001" s="829">
        <v>507.09</v>
      </c>
      <c r="G5001" s="830">
        <v>30.95</v>
      </c>
      <c r="H5001" s="831">
        <v>538.04</v>
      </c>
      <c r="I5001" s="846"/>
      <c r="J5001" s="846"/>
      <c r="K5001" s="846"/>
      <c r="L5001" s="846"/>
      <c r="M5001" s="846"/>
      <c r="N5001" s="846"/>
      <c r="O5001" s="846"/>
      <c r="P5001" s="846"/>
      <c r="Q5001" s="846"/>
      <c r="R5001" s="846"/>
      <c r="S5001" s="846"/>
      <c r="T5001" s="846"/>
    </row>
    <row r="5002" spans="2:20" ht="51" hidden="1">
      <c r="B5002" s="828" t="s">
        <v>6532</v>
      </c>
      <c r="C5002" s="828">
        <v>86933</v>
      </c>
      <c r="D5002" s="630" t="s">
        <v>4284</v>
      </c>
      <c r="E5002" s="630" t="s">
        <v>646</v>
      </c>
      <c r="F5002" s="829">
        <v>375.28</v>
      </c>
      <c r="G5002" s="830">
        <v>42.07</v>
      </c>
      <c r="H5002" s="831">
        <v>417.35</v>
      </c>
      <c r="I5002" s="846"/>
      <c r="J5002" s="846"/>
      <c r="K5002" s="846"/>
      <c r="L5002" s="846"/>
      <c r="M5002" s="846"/>
      <c r="N5002" s="846"/>
      <c r="O5002" s="846"/>
      <c r="P5002" s="846"/>
      <c r="Q5002" s="846"/>
      <c r="R5002" s="846"/>
      <c r="S5002" s="846"/>
      <c r="T5002" s="846"/>
    </row>
    <row r="5003" spans="2:20" ht="51" hidden="1">
      <c r="B5003" s="828" t="s">
        <v>6532</v>
      </c>
      <c r="C5003" s="828">
        <v>86934</v>
      </c>
      <c r="D5003" s="630" t="s">
        <v>4285</v>
      </c>
      <c r="E5003" s="630" t="s">
        <v>646</v>
      </c>
      <c r="F5003" s="829">
        <v>368.06</v>
      </c>
      <c r="G5003" s="830">
        <v>40.54</v>
      </c>
      <c r="H5003" s="831">
        <v>408.6</v>
      </c>
      <c r="I5003" s="846"/>
      <c r="J5003" s="846"/>
      <c r="K5003" s="846"/>
      <c r="L5003" s="846"/>
      <c r="M5003" s="846"/>
      <c r="N5003" s="846"/>
      <c r="O5003" s="846"/>
      <c r="P5003" s="846"/>
      <c r="Q5003" s="846"/>
      <c r="R5003" s="846"/>
      <c r="S5003" s="846"/>
      <c r="T5003" s="846"/>
    </row>
    <row r="5004" spans="2:20" ht="38.25" hidden="1">
      <c r="B5004" s="828" t="s">
        <v>6532</v>
      </c>
      <c r="C5004" s="828">
        <v>86935</v>
      </c>
      <c r="D5004" s="630" t="s">
        <v>4286</v>
      </c>
      <c r="E5004" s="630" t="s">
        <v>646</v>
      </c>
      <c r="F5004" s="829">
        <v>375.62</v>
      </c>
      <c r="G5004" s="830">
        <v>23.33</v>
      </c>
      <c r="H5004" s="831">
        <v>398.95</v>
      </c>
      <c r="I5004" s="846"/>
      <c r="J5004" s="846"/>
      <c r="K5004" s="846"/>
      <c r="L5004" s="846"/>
      <c r="M5004" s="846"/>
      <c r="N5004" s="846"/>
      <c r="O5004" s="846"/>
      <c r="P5004" s="846"/>
      <c r="Q5004" s="846"/>
      <c r="R5004" s="846"/>
      <c r="S5004" s="846"/>
      <c r="T5004" s="846"/>
    </row>
    <row r="5005" spans="2:20" ht="38.25" hidden="1">
      <c r="B5005" s="828" t="s">
        <v>6532</v>
      </c>
      <c r="C5005" s="828">
        <v>86936</v>
      </c>
      <c r="D5005" s="630" t="s">
        <v>4287</v>
      </c>
      <c r="E5005" s="630" t="s">
        <v>646</v>
      </c>
      <c r="F5005" s="829">
        <v>733.24</v>
      </c>
      <c r="G5005" s="830">
        <v>28.94</v>
      </c>
      <c r="H5005" s="831">
        <v>762.18</v>
      </c>
      <c r="I5005" s="846"/>
      <c r="J5005" s="846"/>
      <c r="K5005" s="846"/>
      <c r="L5005" s="846"/>
      <c r="M5005" s="846"/>
      <c r="N5005" s="846"/>
      <c r="O5005" s="846"/>
      <c r="P5005" s="846"/>
      <c r="Q5005" s="846"/>
      <c r="R5005" s="846"/>
      <c r="S5005" s="846"/>
      <c r="T5005" s="846"/>
    </row>
    <row r="5006" spans="2:20" ht="38.25" hidden="1">
      <c r="B5006" s="828" t="s">
        <v>6532</v>
      </c>
      <c r="C5006" s="828">
        <v>86937</v>
      </c>
      <c r="D5006" s="630" t="s">
        <v>4288</v>
      </c>
      <c r="E5006" s="630" t="s">
        <v>646</v>
      </c>
      <c r="F5006" s="829">
        <v>240.6</v>
      </c>
      <c r="G5006" s="830">
        <v>35.46</v>
      </c>
      <c r="H5006" s="831">
        <v>276.06</v>
      </c>
      <c r="I5006" s="846"/>
      <c r="J5006" s="846"/>
      <c r="K5006" s="846"/>
      <c r="L5006" s="846"/>
      <c r="M5006" s="846"/>
      <c r="N5006" s="846"/>
      <c r="O5006" s="846"/>
      <c r="P5006" s="846"/>
      <c r="Q5006" s="846"/>
      <c r="R5006" s="846"/>
      <c r="S5006" s="846"/>
      <c r="T5006" s="846"/>
    </row>
    <row r="5007" spans="2:20" ht="38.25" hidden="1">
      <c r="B5007" s="828" t="s">
        <v>6532</v>
      </c>
      <c r="C5007" s="828">
        <v>86938</v>
      </c>
      <c r="D5007" s="630" t="s">
        <v>4289</v>
      </c>
      <c r="E5007" s="630" t="s">
        <v>646</v>
      </c>
      <c r="F5007" s="829">
        <v>598.22</v>
      </c>
      <c r="G5007" s="830">
        <v>41.07</v>
      </c>
      <c r="H5007" s="831">
        <v>639.29</v>
      </c>
      <c r="I5007" s="846"/>
      <c r="J5007" s="846"/>
      <c r="K5007" s="846"/>
      <c r="L5007" s="846"/>
      <c r="M5007" s="846"/>
      <c r="N5007" s="846"/>
      <c r="O5007" s="846"/>
      <c r="P5007" s="846"/>
      <c r="Q5007" s="846"/>
      <c r="R5007" s="846"/>
      <c r="S5007" s="846"/>
      <c r="T5007" s="846"/>
    </row>
    <row r="5008" spans="2:20" ht="51" hidden="1">
      <c r="B5008" s="828" t="s">
        <v>6532</v>
      </c>
      <c r="C5008" s="828">
        <v>86939</v>
      </c>
      <c r="D5008" s="630" t="s">
        <v>4290</v>
      </c>
      <c r="E5008" s="630" t="s">
        <v>646</v>
      </c>
      <c r="F5008" s="829">
        <v>324.93</v>
      </c>
      <c r="G5008" s="830">
        <v>42.45</v>
      </c>
      <c r="H5008" s="831">
        <v>367.38</v>
      </c>
      <c r="I5008" s="846"/>
      <c r="J5008" s="846"/>
      <c r="K5008" s="846"/>
      <c r="L5008" s="846"/>
      <c r="M5008" s="846"/>
      <c r="N5008" s="846"/>
      <c r="O5008" s="846"/>
      <c r="P5008" s="846"/>
      <c r="Q5008" s="846"/>
      <c r="R5008" s="846"/>
      <c r="S5008" s="846"/>
      <c r="T5008" s="846"/>
    </row>
    <row r="5009" spans="2:20" ht="51" hidden="1">
      <c r="B5009" s="828" t="s">
        <v>6532</v>
      </c>
      <c r="C5009" s="828">
        <v>86940</v>
      </c>
      <c r="D5009" s="630" t="s">
        <v>4291</v>
      </c>
      <c r="E5009" s="630" t="s">
        <v>646</v>
      </c>
      <c r="F5009" s="829">
        <v>1240.33</v>
      </c>
      <c r="G5009" s="830">
        <v>82.83</v>
      </c>
      <c r="H5009" s="831">
        <v>1323.16</v>
      </c>
      <c r="I5009" s="846"/>
      <c r="J5009" s="846"/>
      <c r="K5009" s="846"/>
      <c r="L5009" s="846"/>
      <c r="M5009" s="846"/>
      <c r="N5009" s="846"/>
      <c r="O5009" s="846"/>
      <c r="P5009" s="846"/>
      <c r="Q5009" s="846"/>
      <c r="R5009" s="846"/>
      <c r="S5009" s="846"/>
      <c r="T5009" s="846"/>
    </row>
    <row r="5010" spans="2:20" ht="51" hidden="1">
      <c r="B5010" s="828" t="s">
        <v>6532</v>
      </c>
      <c r="C5010" s="828">
        <v>86941</v>
      </c>
      <c r="D5010" s="630" t="s">
        <v>4292</v>
      </c>
      <c r="E5010" s="630" t="s">
        <v>646</v>
      </c>
      <c r="F5010" s="829">
        <v>957.32</v>
      </c>
      <c r="G5010" s="830">
        <v>67.400000000000006</v>
      </c>
      <c r="H5010" s="831">
        <v>1024.72</v>
      </c>
      <c r="I5010" s="846"/>
      <c r="J5010" s="846"/>
      <c r="K5010" s="846"/>
      <c r="L5010" s="846"/>
      <c r="M5010" s="846"/>
      <c r="N5010" s="846"/>
      <c r="O5010" s="846"/>
      <c r="P5010" s="846"/>
      <c r="Q5010" s="846"/>
      <c r="R5010" s="846"/>
      <c r="S5010" s="846"/>
      <c r="T5010" s="846"/>
    </row>
    <row r="5011" spans="2:20" ht="51" hidden="1">
      <c r="B5011" s="828" t="s">
        <v>6532</v>
      </c>
      <c r="C5011" s="828">
        <v>86942</v>
      </c>
      <c r="D5011" s="630" t="s">
        <v>4293</v>
      </c>
      <c r="E5011" s="630" t="s">
        <v>646</v>
      </c>
      <c r="F5011" s="829">
        <v>200.65</v>
      </c>
      <c r="G5011" s="830">
        <v>27.66</v>
      </c>
      <c r="H5011" s="831">
        <v>228.31</v>
      </c>
      <c r="I5011" s="846"/>
      <c r="J5011" s="846"/>
      <c r="K5011" s="846"/>
      <c r="L5011" s="846"/>
      <c r="M5011" s="846"/>
      <c r="N5011" s="846"/>
      <c r="O5011" s="846"/>
      <c r="P5011" s="846"/>
      <c r="Q5011" s="846"/>
      <c r="R5011" s="846"/>
      <c r="S5011" s="846"/>
      <c r="T5011" s="846"/>
    </row>
    <row r="5012" spans="2:20" ht="51" hidden="1">
      <c r="B5012" s="828" t="s">
        <v>6532</v>
      </c>
      <c r="C5012" s="828">
        <v>86943</v>
      </c>
      <c r="D5012" s="630" t="s">
        <v>4294</v>
      </c>
      <c r="E5012" s="630" t="s">
        <v>646</v>
      </c>
      <c r="F5012" s="829">
        <v>193.43</v>
      </c>
      <c r="G5012" s="830">
        <v>26.13</v>
      </c>
      <c r="H5012" s="831">
        <v>219.56</v>
      </c>
      <c r="I5012" s="846"/>
      <c r="J5012" s="846"/>
      <c r="K5012" s="846"/>
      <c r="L5012" s="846"/>
      <c r="M5012" s="846"/>
      <c r="N5012" s="846"/>
      <c r="O5012" s="846"/>
      <c r="P5012" s="846"/>
      <c r="Q5012" s="846"/>
      <c r="R5012" s="846"/>
      <c r="S5012" s="846"/>
      <c r="T5012" s="846"/>
    </row>
    <row r="5013" spans="2:20" ht="51" hidden="1">
      <c r="B5013" s="828" t="s">
        <v>6532</v>
      </c>
      <c r="C5013" s="828">
        <v>86947</v>
      </c>
      <c r="D5013" s="630" t="s">
        <v>4295</v>
      </c>
      <c r="E5013" s="630" t="s">
        <v>646</v>
      </c>
      <c r="F5013" s="829">
        <v>1428.99</v>
      </c>
      <c r="G5013" s="830">
        <v>133.56</v>
      </c>
      <c r="H5013" s="831">
        <v>1562.55</v>
      </c>
      <c r="I5013" s="846"/>
      <c r="J5013" s="846"/>
      <c r="K5013" s="846"/>
      <c r="L5013" s="846"/>
      <c r="M5013" s="846"/>
      <c r="N5013" s="846"/>
      <c r="O5013" s="846"/>
      <c r="P5013" s="846"/>
      <c r="Q5013" s="846"/>
      <c r="R5013" s="846"/>
      <c r="S5013" s="846"/>
      <c r="T5013" s="846"/>
    </row>
    <row r="5014" spans="2:20" ht="51" hidden="1">
      <c r="B5014" s="828" t="s">
        <v>6532</v>
      </c>
      <c r="C5014" s="828">
        <v>93396</v>
      </c>
      <c r="D5014" s="630" t="s">
        <v>4296</v>
      </c>
      <c r="E5014" s="630" t="s">
        <v>646</v>
      </c>
      <c r="F5014" s="829">
        <v>651.38</v>
      </c>
      <c r="G5014" s="830">
        <v>112.53</v>
      </c>
      <c r="H5014" s="831">
        <v>763.91</v>
      </c>
      <c r="I5014" s="846"/>
      <c r="J5014" s="846"/>
      <c r="K5014" s="846"/>
      <c r="L5014" s="846"/>
      <c r="M5014" s="846"/>
      <c r="N5014" s="846"/>
      <c r="O5014" s="846"/>
      <c r="P5014" s="846"/>
      <c r="Q5014" s="846"/>
      <c r="R5014" s="846"/>
      <c r="S5014" s="846"/>
      <c r="T5014" s="846"/>
    </row>
    <row r="5015" spans="2:20" ht="51" hidden="1">
      <c r="B5015" s="828" t="s">
        <v>6532</v>
      </c>
      <c r="C5015" s="828">
        <v>93441</v>
      </c>
      <c r="D5015" s="630" t="s">
        <v>4297</v>
      </c>
      <c r="E5015" s="630" t="s">
        <v>646</v>
      </c>
      <c r="F5015" s="829">
        <v>1248.81</v>
      </c>
      <c r="G5015" s="830">
        <v>89.27</v>
      </c>
      <c r="H5015" s="831">
        <v>1338.08</v>
      </c>
      <c r="I5015" s="846"/>
      <c r="J5015" s="846"/>
      <c r="K5015" s="846"/>
      <c r="L5015" s="846"/>
      <c r="M5015" s="846"/>
      <c r="N5015" s="846"/>
      <c r="O5015" s="846"/>
      <c r="P5015" s="846"/>
      <c r="Q5015" s="846"/>
      <c r="R5015" s="846"/>
      <c r="S5015" s="846"/>
      <c r="T5015" s="846"/>
    </row>
    <row r="5016" spans="2:20" ht="51" hidden="1">
      <c r="B5016" s="828" t="s">
        <v>6532</v>
      </c>
      <c r="C5016" s="828">
        <v>93442</v>
      </c>
      <c r="D5016" s="630" t="s">
        <v>4298</v>
      </c>
      <c r="E5016" s="630" t="s">
        <v>646</v>
      </c>
      <c r="F5016" s="829">
        <v>1631.94</v>
      </c>
      <c r="G5016" s="830">
        <v>96.38</v>
      </c>
      <c r="H5016" s="831">
        <v>1728.32</v>
      </c>
      <c r="I5016" s="846"/>
      <c r="J5016" s="846"/>
      <c r="K5016" s="846"/>
      <c r="L5016" s="846"/>
      <c r="M5016" s="846"/>
      <c r="N5016" s="846"/>
      <c r="O5016" s="846"/>
      <c r="P5016" s="846"/>
      <c r="Q5016" s="846"/>
      <c r="R5016" s="846"/>
      <c r="S5016" s="846"/>
      <c r="T5016" s="846"/>
    </row>
    <row r="5017" spans="2:20" ht="25.5" hidden="1">
      <c r="B5017" s="828" t="s">
        <v>6532</v>
      </c>
      <c r="C5017" s="828">
        <v>95469</v>
      </c>
      <c r="D5017" s="630" t="s">
        <v>4299</v>
      </c>
      <c r="E5017" s="630" t="s">
        <v>646</v>
      </c>
      <c r="F5017" s="829">
        <v>249.52</v>
      </c>
      <c r="G5017" s="830">
        <v>18.05</v>
      </c>
      <c r="H5017" s="831">
        <v>267.57</v>
      </c>
      <c r="I5017" s="846"/>
      <c r="J5017" s="846"/>
      <c r="K5017" s="846"/>
      <c r="L5017" s="846"/>
      <c r="M5017" s="846"/>
      <c r="N5017" s="846"/>
      <c r="O5017" s="846"/>
      <c r="P5017" s="846"/>
      <c r="Q5017" s="846"/>
      <c r="R5017" s="846"/>
      <c r="S5017" s="846"/>
      <c r="T5017" s="846"/>
    </row>
    <row r="5018" spans="2:20" ht="38.25" hidden="1">
      <c r="B5018" s="828" t="s">
        <v>6532</v>
      </c>
      <c r="C5018" s="828">
        <v>95470</v>
      </c>
      <c r="D5018" s="630" t="s">
        <v>1495</v>
      </c>
      <c r="E5018" s="630" t="s">
        <v>646</v>
      </c>
      <c r="F5018" s="829">
        <v>258.60000000000002</v>
      </c>
      <c r="G5018" s="830">
        <v>18.05</v>
      </c>
      <c r="H5018" s="831">
        <v>276.64999999999998</v>
      </c>
      <c r="I5018" s="846"/>
      <c r="J5018" s="846"/>
      <c r="K5018" s="846"/>
      <c r="L5018" s="846"/>
      <c r="M5018" s="846"/>
      <c r="N5018" s="846"/>
      <c r="O5018" s="846"/>
      <c r="P5018" s="846"/>
      <c r="Q5018" s="846"/>
      <c r="R5018" s="846"/>
      <c r="S5018" s="846"/>
      <c r="T5018" s="846"/>
    </row>
    <row r="5019" spans="2:20" ht="38.25" hidden="1">
      <c r="B5019" s="828" t="s">
        <v>6532</v>
      </c>
      <c r="C5019" s="828">
        <v>95471</v>
      </c>
      <c r="D5019" s="630" t="s">
        <v>4300</v>
      </c>
      <c r="E5019" s="630" t="s">
        <v>646</v>
      </c>
      <c r="F5019" s="829">
        <v>655.86</v>
      </c>
      <c r="G5019" s="830">
        <v>37.57</v>
      </c>
      <c r="H5019" s="831">
        <v>693.43</v>
      </c>
      <c r="I5019" s="846"/>
      <c r="J5019" s="846"/>
      <c r="K5019" s="846"/>
      <c r="L5019" s="846"/>
      <c r="M5019" s="846"/>
      <c r="N5019" s="846"/>
      <c r="O5019" s="846"/>
      <c r="P5019" s="846"/>
      <c r="Q5019" s="846"/>
      <c r="R5019" s="846"/>
      <c r="S5019" s="846"/>
      <c r="T5019" s="846"/>
    </row>
    <row r="5020" spans="2:20" ht="38.25" hidden="1">
      <c r="B5020" s="828" t="s">
        <v>6532</v>
      </c>
      <c r="C5020" s="828">
        <v>95472</v>
      </c>
      <c r="D5020" s="630" t="s">
        <v>4301</v>
      </c>
      <c r="E5020" s="630" t="s">
        <v>646</v>
      </c>
      <c r="F5020" s="829">
        <v>664.94</v>
      </c>
      <c r="G5020" s="830">
        <v>37.57</v>
      </c>
      <c r="H5020" s="831">
        <v>702.51</v>
      </c>
      <c r="I5020" s="846"/>
      <c r="J5020" s="846"/>
      <c r="K5020" s="846"/>
      <c r="L5020" s="846"/>
      <c r="M5020" s="846"/>
      <c r="N5020" s="846"/>
      <c r="O5020" s="846"/>
      <c r="P5020" s="846"/>
      <c r="Q5020" s="846"/>
      <c r="R5020" s="846"/>
      <c r="S5020" s="846"/>
      <c r="T5020" s="846"/>
    </row>
    <row r="5021" spans="2:20" ht="25.5" hidden="1">
      <c r="B5021" s="828" t="s">
        <v>6532</v>
      </c>
      <c r="C5021" s="828">
        <v>95542</v>
      </c>
      <c r="D5021" s="630" t="s">
        <v>4302</v>
      </c>
      <c r="E5021" s="630" t="s">
        <v>646</v>
      </c>
      <c r="F5021" s="829">
        <v>48.06</v>
      </c>
      <c r="G5021" s="830">
        <v>9.3699999999999992</v>
      </c>
      <c r="H5021" s="831">
        <v>57.43</v>
      </c>
      <c r="I5021" s="846"/>
      <c r="J5021" s="846"/>
      <c r="K5021" s="846"/>
      <c r="L5021" s="846"/>
      <c r="M5021" s="846"/>
      <c r="N5021" s="846"/>
      <c r="O5021" s="846"/>
      <c r="P5021" s="846"/>
      <c r="Q5021" s="846"/>
      <c r="R5021" s="846"/>
      <c r="S5021" s="846"/>
      <c r="T5021" s="846"/>
    </row>
    <row r="5022" spans="2:20" ht="25.5" hidden="1">
      <c r="B5022" s="828" t="s">
        <v>6532</v>
      </c>
      <c r="C5022" s="828">
        <v>95543</v>
      </c>
      <c r="D5022" s="630" t="s">
        <v>4303</v>
      </c>
      <c r="E5022" s="630" t="s">
        <v>646</v>
      </c>
      <c r="F5022" s="829">
        <v>75.98</v>
      </c>
      <c r="G5022" s="830">
        <v>18.760000000000002</v>
      </c>
      <c r="H5022" s="831">
        <v>94.74</v>
      </c>
      <c r="I5022" s="846"/>
      <c r="J5022" s="846"/>
      <c r="K5022" s="846"/>
      <c r="L5022" s="846"/>
      <c r="M5022" s="846"/>
      <c r="N5022" s="846"/>
      <c r="O5022" s="846"/>
      <c r="P5022" s="846"/>
      <c r="Q5022" s="846"/>
      <c r="R5022" s="846"/>
      <c r="S5022" s="846"/>
      <c r="T5022" s="846"/>
    </row>
    <row r="5023" spans="2:20" ht="25.5" hidden="1">
      <c r="B5023" s="828" t="s">
        <v>6532</v>
      </c>
      <c r="C5023" s="828">
        <v>95544</v>
      </c>
      <c r="D5023" s="630" t="s">
        <v>4304</v>
      </c>
      <c r="E5023" s="630" t="s">
        <v>646</v>
      </c>
      <c r="F5023" s="829">
        <v>62.12</v>
      </c>
      <c r="G5023" s="830">
        <v>9.3699999999999992</v>
      </c>
      <c r="H5023" s="831">
        <v>71.489999999999995</v>
      </c>
      <c r="I5023" s="846"/>
      <c r="J5023" s="846"/>
      <c r="K5023" s="846"/>
      <c r="L5023" s="846"/>
      <c r="M5023" s="846"/>
      <c r="N5023" s="846"/>
      <c r="O5023" s="846"/>
      <c r="P5023" s="846"/>
      <c r="Q5023" s="846"/>
      <c r="R5023" s="846"/>
      <c r="S5023" s="846"/>
      <c r="T5023" s="846"/>
    </row>
    <row r="5024" spans="2:20" ht="25.5" hidden="1">
      <c r="B5024" s="828" t="s">
        <v>6532</v>
      </c>
      <c r="C5024" s="828">
        <v>95545</v>
      </c>
      <c r="D5024" s="630" t="s">
        <v>4305</v>
      </c>
      <c r="E5024" s="630" t="s">
        <v>646</v>
      </c>
      <c r="F5024" s="829">
        <v>60.62</v>
      </c>
      <c r="G5024" s="830">
        <v>9.3699999999999992</v>
      </c>
      <c r="H5024" s="831">
        <v>69.989999999999995</v>
      </c>
      <c r="I5024" s="846"/>
      <c r="J5024" s="846"/>
      <c r="K5024" s="846"/>
      <c r="L5024" s="846"/>
      <c r="M5024" s="846"/>
      <c r="N5024" s="846"/>
      <c r="O5024" s="846"/>
      <c r="P5024" s="846"/>
      <c r="Q5024" s="846"/>
      <c r="R5024" s="846"/>
      <c r="S5024" s="846"/>
      <c r="T5024" s="846"/>
    </row>
    <row r="5025" spans="2:20" ht="25.5" hidden="1">
      <c r="B5025" s="828" t="s">
        <v>6532</v>
      </c>
      <c r="C5025" s="828">
        <v>95546</v>
      </c>
      <c r="D5025" s="630" t="s">
        <v>4306</v>
      </c>
      <c r="E5025" s="630" t="s">
        <v>646</v>
      </c>
      <c r="F5025" s="829">
        <v>168.42</v>
      </c>
      <c r="G5025" s="830">
        <v>56.33</v>
      </c>
      <c r="H5025" s="831">
        <v>224.75</v>
      </c>
      <c r="I5025" s="846"/>
      <c r="J5025" s="846"/>
      <c r="K5025" s="846"/>
      <c r="L5025" s="846"/>
      <c r="M5025" s="846"/>
      <c r="N5025" s="846"/>
      <c r="O5025" s="846"/>
      <c r="P5025" s="846"/>
      <c r="Q5025" s="846"/>
      <c r="R5025" s="846"/>
      <c r="S5025" s="846"/>
      <c r="T5025" s="846"/>
    </row>
    <row r="5026" spans="2:20" ht="25.5" hidden="1">
      <c r="B5026" s="828" t="s">
        <v>6532</v>
      </c>
      <c r="C5026" s="828">
        <v>95547</v>
      </c>
      <c r="D5026" s="630" t="s">
        <v>4307</v>
      </c>
      <c r="E5026" s="630" t="s">
        <v>646</v>
      </c>
      <c r="F5026" s="829">
        <v>44.98</v>
      </c>
      <c r="G5026" s="830">
        <v>9.3699999999999992</v>
      </c>
      <c r="H5026" s="831">
        <v>54.35</v>
      </c>
      <c r="I5026" s="846"/>
      <c r="J5026" s="846"/>
      <c r="K5026" s="846"/>
      <c r="L5026" s="846"/>
      <c r="M5026" s="846"/>
      <c r="N5026" s="846"/>
      <c r="O5026" s="846"/>
      <c r="P5026" s="846"/>
      <c r="Q5026" s="846"/>
      <c r="R5026" s="846"/>
      <c r="S5026" s="846"/>
      <c r="T5026" s="846"/>
    </row>
    <row r="5027" spans="2:20" ht="25.5" hidden="1">
      <c r="B5027" s="828" t="s">
        <v>6532</v>
      </c>
      <c r="C5027" s="828">
        <v>100848</v>
      </c>
      <c r="D5027" s="630" t="s">
        <v>4308</v>
      </c>
      <c r="E5027" s="630" t="s">
        <v>646</v>
      </c>
      <c r="F5027" s="829">
        <v>476.69</v>
      </c>
      <c r="G5027" s="830">
        <v>18.05</v>
      </c>
      <c r="H5027" s="831">
        <v>494.74</v>
      </c>
      <c r="I5027" s="846"/>
      <c r="J5027" s="846"/>
      <c r="K5027" s="846"/>
      <c r="L5027" s="846"/>
      <c r="M5027" s="846"/>
      <c r="N5027" s="846"/>
      <c r="O5027" s="846"/>
      <c r="P5027" s="846"/>
      <c r="Q5027" s="846"/>
      <c r="R5027" s="846"/>
      <c r="S5027" s="846"/>
      <c r="T5027" s="846"/>
    </row>
    <row r="5028" spans="2:20" ht="25.5" hidden="1">
      <c r="B5028" s="828" t="s">
        <v>6532</v>
      </c>
      <c r="C5028" s="828">
        <v>100849</v>
      </c>
      <c r="D5028" s="630" t="s">
        <v>4309</v>
      </c>
      <c r="E5028" s="630" t="s">
        <v>646</v>
      </c>
      <c r="F5028" s="829">
        <v>39.26</v>
      </c>
      <c r="G5028" s="830">
        <v>4.54</v>
      </c>
      <c r="H5028" s="831">
        <v>43.8</v>
      </c>
      <c r="I5028" s="846"/>
      <c r="J5028" s="846"/>
      <c r="K5028" s="846"/>
      <c r="L5028" s="846"/>
      <c r="M5028" s="846"/>
      <c r="N5028" s="846"/>
      <c r="O5028" s="846"/>
      <c r="P5028" s="846"/>
      <c r="Q5028" s="846"/>
      <c r="R5028" s="846"/>
      <c r="S5028" s="846"/>
      <c r="T5028" s="846"/>
    </row>
    <row r="5029" spans="2:20" ht="25.5" hidden="1">
      <c r="B5029" s="828" t="s">
        <v>6532</v>
      </c>
      <c r="C5029" s="828">
        <v>100851</v>
      </c>
      <c r="D5029" s="630" t="s">
        <v>4310</v>
      </c>
      <c r="E5029" s="630" t="s">
        <v>646</v>
      </c>
      <c r="F5029" s="829">
        <v>82.12</v>
      </c>
      <c r="G5029" s="830">
        <v>4.54</v>
      </c>
      <c r="H5029" s="831">
        <v>86.66</v>
      </c>
      <c r="I5029" s="846"/>
      <c r="J5029" s="846"/>
      <c r="K5029" s="846"/>
      <c r="L5029" s="846"/>
      <c r="M5029" s="846"/>
      <c r="N5029" s="846"/>
      <c r="O5029" s="846"/>
      <c r="P5029" s="846"/>
      <c r="Q5029" s="846"/>
      <c r="R5029" s="846"/>
      <c r="S5029" s="846"/>
      <c r="T5029" s="846"/>
    </row>
    <row r="5030" spans="2:20" ht="25.5" hidden="1">
      <c r="B5030" s="828" t="s">
        <v>6532</v>
      </c>
      <c r="C5030" s="828">
        <v>100852</v>
      </c>
      <c r="D5030" s="630" t="s">
        <v>4311</v>
      </c>
      <c r="E5030" s="630" t="s">
        <v>646</v>
      </c>
      <c r="F5030" s="829">
        <v>264.29000000000002</v>
      </c>
      <c r="G5030" s="830">
        <v>15.7</v>
      </c>
      <c r="H5030" s="831">
        <v>279.99</v>
      </c>
      <c r="I5030" s="846"/>
      <c r="J5030" s="846"/>
      <c r="K5030" s="846"/>
      <c r="L5030" s="846"/>
      <c r="M5030" s="846"/>
      <c r="N5030" s="846"/>
      <c r="O5030" s="846"/>
      <c r="P5030" s="846"/>
      <c r="Q5030" s="846"/>
      <c r="R5030" s="846"/>
      <c r="S5030" s="846"/>
      <c r="T5030" s="846"/>
    </row>
    <row r="5031" spans="2:20" ht="25.5" hidden="1">
      <c r="B5031" s="828" t="s">
        <v>6532</v>
      </c>
      <c r="C5031" s="828">
        <v>100853</v>
      </c>
      <c r="D5031" s="630" t="s">
        <v>5838</v>
      </c>
      <c r="E5031" s="630" t="s">
        <v>646</v>
      </c>
      <c r="F5031" s="829">
        <v>250.56</v>
      </c>
      <c r="G5031" s="830">
        <v>13.73</v>
      </c>
      <c r="H5031" s="831">
        <v>264.29000000000002</v>
      </c>
      <c r="I5031" s="846"/>
      <c r="J5031" s="846"/>
      <c r="K5031" s="846"/>
      <c r="L5031" s="846"/>
      <c r="M5031" s="846"/>
      <c r="N5031" s="846"/>
      <c r="O5031" s="846"/>
      <c r="P5031" s="846"/>
      <c r="Q5031" s="846"/>
      <c r="R5031" s="846"/>
      <c r="S5031" s="846"/>
      <c r="T5031" s="846"/>
    </row>
    <row r="5032" spans="2:20" ht="25.5" hidden="1">
      <c r="B5032" s="828" t="s">
        <v>6532</v>
      </c>
      <c r="C5032" s="828">
        <v>100854</v>
      </c>
      <c r="D5032" s="630" t="s">
        <v>4312</v>
      </c>
      <c r="E5032" s="630" t="s">
        <v>646</v>
      </c>
      <c r="F5032" s="829">
        <v>1334.28</v>
      </c>
      <c r="G5032" s="830">
        <v>19.13</v>
      </c>
      <c r="H5032" s="831">
        <v>1353.41</v>
      </c>
      <c r="I5032" s="846"/>
      <c r="J5032" s="846"/>
      <c r="K5032" s="846"/>
      <c r="L5032" s="846"/>
      <c r="M5032" s="846"/>
      <c r="N5032" s="846"/>
      <c r="O5032" s="846"/>
      <c r="P5032" s="846"/>
      <c r="Q5032" s="846"/>
      <c r="R5032" s="846"/>
      <c r="S5032" s="846"/>
      <c r="T5032" s="846"/>
    </row>
    <row r="5033" spans="2:20" ht="25.5" hidden="1">
      <c r="B5033" s="828" t="s">
        <v>6532</v>
      </c>
      <c r="C5033" s="828">
        <v>100855</v>
      </c>
      <c r="D5033" s="630" t="s">
        <v>4313</v>
      </c>
      <c r="E5033" s="630" t="s">
        <v>646</v>
      </c>
      <c r="F5033" s="829">
        <v>60.62</v>
      </c>
      <c r="G5033" s="830">
        <v>9.3699999999999992</v>
      </c>
      <c r="H5033" s="831">
        <v>69.989999999999995</v>
      </c>
      <c r="I5033" s="846"/>
      <c r="J5033" s="846"/>
      <c r="K5033" s="846"/>
      <c r="L5033" s="846"/>
      <c r="M5033" s="846"/>
      <c r="N5033" s="846"/>
      <c r="O5033" s="846"/>
      <c r="P5033" s="846"/>
      <c r="Q5033" s="846"/>
      <c r="R5033" s="846"/>
      <c r="S5033" s="846"/>
      <c r="T5033" s="846"/>
    </row>
    <row r="5034" spans="2:20" ht="25.5" hidden="1">
      <c r="B5034" s="828" t="s">
        <v>6532</v>
      </c>
      <c r="C5034" s="828">
        <v>100856</v>
      </c>
      <c r="D5034" s="630" t="s">
        <v>4314</v>
      </c>
      <c r="E5034" s="630" t="s">
        <v>646</v>
      </c>
      <c r="F5034" s="829">
        <v>26.95</v>
      </c>
      <c r="G5034" s="830">
        <v>2.83</v>
      </c>
      <c r="H5034" s="831">
        <v>29.78</v>
      </c>
      <c r="I5034" s="846"/>
      <c r="J5034" s="846"/>
      <c r="K5034" s="846"/>
      <c r="L5034" s="846"/>
      <c r="M5034" s="846"/>
      <c r="N5034" s="846"/>
      <c r="O5034" s="846"/>
      <c r="P5034" s="846"/>
      <c r="Q5034" s="846"/>
      <c r="R5034" s="846"/>
      <c r="S5034" s="846"/>
      <c r="T5034" s="846"/>
    </row>
    <row r="5035" spans="2:20" ht="25.5" hidden="1">
      <c r="B5035" s="828" t="s">
        <v>6532</v>
      </c>
      <c r="C5035" s="828">
        <v>100857</v>
      </c>
      <c r="D5035" s="630" t="s">
        <v>4315</v>
      </c>
      <c r="E5035" s="630" t="s">
        <v>646</v>
      </c>
      <c r="F5035" s="829">
        <v>388.51</v>
      </c>
      <c r="G5035" s="830">
        <v>10.210000000000001</v>
      </c>
      <c r="H5035" s="831">
        <v>398.72</v>
      </c>
      <c r="I5035" s="846"/>
      <c r="J5035" s="846"/>
      <c r="K5035" s="846"/>
      <c r="L5035" s="846"/>
      <c r="M5035" s="846"/>
      <c r="N5035" s="846"/>
      <c r="O5035" s="846"/>
      <c r="P5035" s="846"/>
      <c r="Q5035" s="846"/>
      <c r="R5035" s="846"/>
      <c r="S5035" s="846"/>
      <c r="T5035" s="846"/>
    </row>
    <row r="5036" spans="2:20" ht="25.5" hidden="1">
      <c r="B5036" s="828" t="s">
        <v>6532</v>
      </c>
      <c r="C5036" s="828">
        <v>100858</v>
      </c>
      <c r="D5036" s="630" t="s">
        <v>4316</v>
      </c>
      <c r="E5036" s="630" t="s">
        <v>646</v>
      </c>
      <c r="F5036" s="829">
        <v>602.73</v>
      </c>
      <c r="G5036" s="830">
        <v>29.95</v>
      </c>
      <c r="H5036" s="831">
        <v>632.67999999999995</v>
      </c>
      <c r="I5036" s="846"/>
      <c r="J5036" s="846"/>
      <c r="K5036" s="846"/>
      <c r="L5036" s="846"/>
      <c r="M5036" s="846"/>
      <c r="N5036" s="846"/>
      <c r="O5036" s="846"/>
      <c r="P5036" s="846"/>
      <c r="Q5036" s="846"/>
      <c r="R5036" s="846"/>
      <c r="S5036" s="846"/>
      <c r="T5036" s="846"/>
    </row>
    <row r="5037" spans="2:20" ht="25.5" hidden="1">
      <c r="B5037" s="828" t="s">
        <v>6532</v>
      </c>
      <c r="C5037" s="828">
        <v>100859</v>
      </c>
      <c r="D5037" s="630" t="s">
        <v>5839</v>
      </c>
      <c r="E5037" s="630" t="s">
        <v>646</v>
      </c>
      <c r="F5037" s="829">
        <v>858.17</v>
      </c>
      <c r="G5037" s="830">
        <v>62.8</v>
      </c>
      <c r="H5037" s="831">
        <v>920.97</v>
      </c>
      <c r="I5037" s="846"/>
      <c r="J5037" s="846"/>
      <c r="K5037" s="846"/>
      <c r="L5037" s="846"/>
      <c r="M5037" s="846"/>
      <c r="N5037" s="846"/>
      <c r="O5037" s="846"/>
      <c r="P5037" s="846"/>
      <c r="Q5037" s="846"/>
      <c r="R5037" s="846"/>
      <c r="S5037" s="846"/>
      <c r="T5037" s="846"/>
    </row>
    <row r="5038" spans="2:20" ht="25.5" hidden="1">
      <c r="B5038" s="828" t="s">
        <v>6532</v>
      </c>
      <c r="C5038" s="828">
        <v>100860</v>
      </c>
      <c r="D5038" s="630" t="s">
        <v>4317</v>
      </c>
      <c r="E5038" s="630" t="s">
        <v>646</v>
      </c>
      <c r="F5038" s="829">
        <v>79.47</v>
      </c>
      <c r="G5038" s="830">
        <v>13.25</v>
      </c>
      <c r="H5038" s="831">
        <v>92.72</v>
      </c>
      <c r="I5038" s="846"/>
      <c r="J5038" s="846"/>
      <c r="K5038" s="846"/>
      <c r="L5038" s="846"/>
      <c r="M5038" s="846"/>
      <c r="N5038" s="846"/>
      <c r="O5038" s="846"/>
      <c r="P5038" s="846"/>
      <c r="Q5038" s="846"/>
      <c r="R5038" s="846"/>
      <c r="S5038" s="846"/>
      <c r="T5038" s="846"/>
    </row>
    <row r="5039" spans="2:20" ht="25.5" hidden="1">
      <c r="B5039" s="828" t="s">
        <v>6532</v>
      </c>
      <c r="C5039" s="828">
        <v>100861</v>
      </c>
      <c r="D5039" s="630" t="s">
        <v>4318</v>
      </c>
      <c r="E5039" s="630" t="s">
        <v>646</v>
      </c>
      <c r="F5039" s="829">
        <v>29.65</v>
      </c>
      <c r="G5039" s="830">
        <v>14.08</v>
      </c>
      <c r="H5039" s="831">
        <v>43.73</v>
      </c>
      <c r="I5039" s="846"/>
      <c r="J5039" s="846"/>
      <c r="K5039" s="846"/>
      <c r="L5039" s="846"/>
      <c r="M5039" s="846"/>
      <c r="N5039" s="846"/>
      <c r="O5039" s="846"/>
      <c r="P5039" s="846"/>
      <c r="Q5039" s="846"/>
      <c r="R5039" s="846"/>
      <c r="S5039" s="846"/>
      <c r="T5039" s="846"/>
    </row>
    <row r="5040" spans="2:20" ht="25.5" hidden="1">
      <c r="B5040" s="828" t="s">
        <v>6532</v>
      </c>
      <c r="C5040" s="828">
        <v>100862</v>
      </c>
      <c r="D5040" s="630" t="s">
        <v>4319</v>
      </c>
      <c r="E5040" s="630" t="s">
        <v>646</v>
      </c>
      <c r="F5040" s="829">
        <v>34.409999999999997</v>
      </c>
      <c r="G5040" s="830">
        <v>14.08</v>
      </c>
      <c r="H5040" s="831">
        <v>48.49</v>
      </c>
      <c r="I5040" s="846"/>
      <c r="J5040" s="846"/>
      <c r="K5040" s="846"/>
      <c r="L5040" s="846"/>
      <c r="M5040" s="846"/>
      <c r="N5040" s="846"/>
      <c r="O5040" s="846"/>
      <c r="P5040" s="846"/>
      <c r="Q5040" s="846"/>
      <c r="R5040" s="846"/>
      <c r="S5040" s="846"/>
      <c r="T5040" s="846"/>
    </row>
    <row r="5041" spans="2:20" ht="25.5" hidden="1">
      <c r="B5041" s="828" t="s">
        <v>6532</v>
      </c>
      <c r="C5041" s="828">
        <v>100863</v>
      </c>
      <c r="D5041" s="630" t="s">
        <v>4320</v>
      </c>
      <c r="E5041" s="630" t="s">
        <v>646</v>
      </c>
      <c r="F5041" s="829">
        <v>540.94000000000005</v>
      </c>
      <c r="G5041" s="830">
        <v>42.24</v>
      </c>
      <c r="H5041" s="831">
        <v>583.17999999999995</v>
      </c>
      <c r="I5041" s="846"/>
      <c r="J5041" s="846"/>
      <c r="K5041" s="846"/>
      <c r="L5041" s="846"/>
      <c r="M5041" s="846"/>
      <c r="N5041" s="846"/>
      <c r="O5041" s="846"/>
      <c r="P5041" s="846"/>
      <c r="Q5041" s="846"/>
      <c r="R5041" s="846"/>
      <c r="S5041" s="846"/>
      <c r="T5041" s="846"/>
    </row>
    <row r="5042" spans="2:20" ht="25.5" hidden="1">
      <c r="B5042" s="828" t="s">
        <v>6532</v>
      </c>
      <c r="C5042" s="828">
        <v>100864</v>
      </c>
      <c r="D5042" s="630" t="s">
        <v>4321</v>
      </c>
      <c r="E5042" s="630" t="s">
        <v>646</v>
      </c>
      <c r="F5042" s="829">
        <v>599.66999999999996</v>
      </c>
      <c r="G5042" s="830">
        <v>42.24</v>
      </c>
      <c r="H5042" s="831">
        <v>641.91</v>
      </c>
      <c r="I5042" s="846"/>
      <c r="J5042" s="846"/>
      <c r="K5042" s="846"/>
      <c r="L5042" s="846"/>
      <c r="M5042" s="846"/>
      <c r="N5042" s="846"/>
      <c r="O5042" s="846"/>
      <c r="P5042" s="846"/>
      <c r="Q5042" s="846"/>
      <c r="R5042" s="846"/>
      <c r="S5042" s="846"/>
      <c r="T5042" s="846"/>
    </row>
    <row r="5043" spans="2:20" ht="25.5" hidden="1">
      <c r="B5043" s="828" t="s">
        <v>6532</v>
      </c>
      <c r="C5043" s="828">
        <v>100865</v>
      </c>
      <c r="D5043" s="630" t="s">
        <v>4322</v>
      </c>
      <c r="E5043" s="630" t="s">
        <v>646</v>
      </c>
      <c r="F5043" s="829">
        <v>557.53</v>
      </c>
      <c r="G5043" s="830">
        <v>18.75</v>
      </c>
      <c r="H5043" s="831">
        <v>576.28</v>
      </c>
      <c r="I5043" s="846"/>
      <c r="J5043" s="846"/>
      <c r="K5043" s="846"/>
      <c r="L5043" s="846"/>
      <c r="M5043" s="846"/>
      <c r="N5043" s="846"/>
      <c r="O5043" s="846"/>
      <c r="P5043" s="846"/>
      <c r="Q5043" s="846"/>
      <c r="R5043" s="846"/>
      <c r="S5043" s="846"/>
      <c r="T5043" s="846"/>
    </row>
    <row r="5044" spans="2:20" ht="25.5" hidden="1">
      <c r="B5044" s="828" t="s">
        <v>6532</v>
      </c>
      <c r="C5044" s="828">
        <v>100866</v>
      </c>
      <c r="D5044" s="630" t="s">
        <v>4323</v>
      </c>
      <c r="E5044" s="630" t="s">
        <v>646</v>
      </c>
      <c r="F5044" s="829">
        <v>270.60000000000002</v>
      </c>
      <c r="G5044" s="830">
        <v>28.14</v>
      </c>
      <c r="H5044" s="831">
        <v>298.74</v>
      </c>
      <c r="I5044" s="846"/>
      <c r="J5044" s="846"/>
      <c r="K5044" s="846"/>
      <c r="L5044" s="846"/>
      <c r="M5044" s="846"/>
      <c r="N5044" s="846"/>
      <c r="O5044" s="846"/>
      <c r="P5044" s="846"/>
      <c r="Q5044" s="846"/>
      <c r="R5044" s="846"/>
      <c r="S5044" s="846"/>
      <c r="T5044" s="846"/>
    </row>
    <row r="5045" spans="2:20" ht="25.5" hidden="1">
      <c r="B5045" s="828" t="s">
        <v>6532</v>
      </c>
      <c r="C5045" s="828">
        <v>100867</v>
      </c>
      <c r="D5045" s="630" t="s">
        <v>4324</v>
      </c>
      <c r="E5045" s="630" t="s">
        <v>646</v>
      </c>
      <c r="F5045" s="829">
        <v>289.95999999999998</v>
      </c>
      <c r="G5045" s="830">
        <v>28.14</v>
      </c>
      <c r="H5045" s="831">
        <v>318.10000000000002</v>
      </c>
      <c r="I5045" s="846"/>
      <c r="J5045" s="846"/>
      <c r="K5045" s="846"/>
      <c r="L5045" s="846"/>
      <c r="M5045" s="846"/>
      <c r="N5045" s="846"/>
      <c r="O5045" s="846"/>
      <c r="P5045" s="846"/>
      <c r="Q5045" s="846"/>
      <c r="R5045" s="846"/>
      <c r="S5045" s="846"/>
      <c r="T5045" s="846"/>
    </row>
    <row r="5046" spans="2:20" ht="25.5" hidden="1">
      <c r="B5046" s="828" t="s">
        <v>6532</v>
      </c>
      <c r="C5046" s="828">
        <v>100868</v>
      </c>
      <c r="D5046" s="630" t="s">
        <v>4325</v>
      </c>
      <c r="E5046" s="630" t="s">
        <v>646</v>
      </c>
      <c r="F5046" s="829">
        <v>302.85000000000002</v>
      </c>
      <c r="G5046" s="830">
        <v>28.14</v>
      </c>
      <c r="H5046" s="831">
        <v>330.99</v>
      </c>
      <c r="I5046" s="846"/>
      <c r="J5046" s="846"/>
      <c r="K5046" s="846"/>
      <c r="L5046" s="846"/>
      <c r="M5046" s="846"/>
      <c r="N5046" s="846"/>
      <c r="O5046" s="846"/>
      <c r="P5046" s="846"/>
      <c r="Q5046" s="846"/>
      <c r="R5046" s="846"/>
      <c r="S5046" s="846"/>
      <c r="T5046" s="846"/>
    </row>
    <row r="5047" spans="2:20" ht="25.5" hidden="1">
      <c r="B5047" s="828" t="s">
        <v>6532</v>
      </c>
      <c r="C5047" s="828">
        <v>100869</v>
      </c>
      <c r="D5047" s="630" t="s">
        <v>4326</v>
      </c>
      <c r="E5047" s="630" t="s">
        <v>646</v>
      </c>
      <c r="F5047" s="829">
        <v>312.73</v>
      </c>
      <c r="G5047" s="830">
        <v>28.14</v>
      </c>
      <c r="H5047" s="831">
        <v>340.87</v>
      </c>
      <c r="I5047" s="846"/>
      <c r="J5047" s="846"/>
      <c r="K5047" s="846"/>
      <c r="L5047" s="846"/>
      <c r="M5047" s="846"/>
      <c r="N5047" s="846"/>
      <c r="O5047" s="846"/>
      <c r="P5047" s="846"/>
      <c r="Q5047" s="846"/>
      <c r="R5047" s="846"/>
      <c r="S5047" s="846"/>
      <c r="T5047" s="846"/>
    </row>
    <row r="5048" spans="2:20" ht="25.5" hidden="1">
      <c r="B5048" s="828" t="s">
        <v>6532</v>
      </c>
      <c r="C5048" s="828">
        <v>100870</v>
      </c>
      <c r="D5048" s="630" t="s">
        <v>4327</v>
      </c>
      <c r="E5048" s="630" t="s">
        <v>646</v>
      </c>
      <c r="F5048" s="829">
        <v>232.44</v>
      </c>
      <c r="G5048" s="830">
        <v>28.14</v>
      </c>
      <c r="H5048" s="831">
        <v>260.58</v>
      </c>
      <c r="I5048" s="846"/>
      <c r="J5048" s="846"/>
      <c r="K5048" s="846"/>
      <c r="L5048" s="846"/>
      <c r="M5048" s="846"/>
      <c r="N5048" s="846"/>
      <c r="O5048" s="846"/>
      <c r="P5048" s="846"/>
      <c r="Q5048" s="846"/>
      <c r="R5048" s="846"/>
      <c r="S5048" s="846"/>
      <c r="T5048" s="846"/>
    </row>
    <row r="5049" spans="2:20" ht="25.5" hidden="1">
      <c r="B5049" s="828" t="s">
        <v>6532</v>
      </c>
      <c r="C5049" s="828">
        <v>100871</v>
      </c>
      <c r="D5049" s="630" t="s">
        <v>4328</v>
      </c>
      <c r="E5049" s="630" t="s">
        <v>646</v>
      </c>
      <c r="F5049" s="829">
        <v>252.53</v>
      </c>
      <c r="G5049" s="830">
        <v>28.14</v>
      </c>
      <c r="H5049" s="831">
        <v>280.67</v>
      </c>
      <c r="I5049" s="846"/>
      <c r="J5049" s="846"/>
      <c r="K5049" s="846"/>
      <c r="L5049" s="846"/>
      <c r="M5049" s="846"/>
      <c r="N5049" s="846"/>
      <c r="O5049" s="846"/>
      <c r="P5049" s="846"/>
      <c r="Q5049" s="846"/>
      <c r="R5049" s="846"/>
      <c r="S5049" s="846"/>
      <c r="T5049" s="846"/>
    </row>
    <row r="5050" spans="2:20" ht="25.5" hidden="1">
      <c r="B5050" s="828" t="s">
        <v>6532</v>
      </c>
      <c r="C5050" s="828">
        <v>100872</v>
      </c>
      <c r="D5050" s="630" t="s">
        <v>4329</v>
      </c>
      <c r="E5050" s="630" t="s">
        <v>646</v>
      </c>
      <c r="F5050" s="829">
        <v>265.35000000000002</v>
      </c>
      <c r="G5050" s="830">
        <v>28.14</v>
      </c>
      <c r="H5050" s="831">
        <v>293.49</v>
      </c>
      <c r="I5050" s="846"/>
      <c r="J5050" s="846"/>
      <c r="K5050" s="846"/>
      <c r="L5050" s="846"/>
      <c r="M5050" s="846"/>
      <c r="N5050" s="846"/>
      <c r="O5050" s="846"/>
      <c r="P5050" s="846"/>
      <c r="Q5050" s="846"/>
      <c r="R5050" s="846"/>
      <c r="S5050" s="846"/>
      <c r="T5050" s="846"/>
    </row>
    <row r="5051" spans="2:20" ht="25.5" hidden="1">
      <c r="B5051" s="828" t="s">
        <v>6532</v>
      </c>
      <c r="C5051" s="828">
        <v>100873</v>
      </c>
      <c r="D5051" s="630" t="s">
        <v>4330</v>
      </c>
      <c r="E5051" s="630" t="s">
        <v>646</v>
      </c>
      <c r="F5051" s="829">
        <v>273.36</v>
      </c>
      <c r="G5051" s="830">
        <v>28.14</v>
      </c>
      <c r="H5051" s="831">
        <v>301.5</v>
      </c>
      <c r="I5051" s="846"/>
      <c r="J5051" s="846"/>
      <c r="K5051" s="846"/>
      <c r="L5051" s="846"/>
      <c r="M5051" s="846"/>
      <c r="N5051" s="846"/>
      <c r="O5051" s="846"/>
      <c r="P5051" s="846"/>
      <c r="Q5051" s="846"/>
      <c r="R5051" s="846"/>
      <c r="S5051" s="846"/>
      <c r="T5051" s="846"/>
    </row>
    <row r="5052" spans="2:20" ht="25.5" hidden="1">
      <c r="B5052" s="828" t="s">
        <v>6532</v>
      </c>
      <c r="C5052" s="828">
        <v>100874</v>
      </c>
      <c r="D5052" s="630" t="s">
        <v>4331</v>
      </c>
      <c r="E5052" s="630" t="s">
        <v>646</v>
      </c>
      <c r="F5052" s="829">
        <v>270.60000000000002</v>
      </c>
      <c r="G5052" s="830">
        <v>28.14</v>
      </c>
      <c r="H5052" s="831">
        <v>298.74</v>
      </c>
      <c r="I5052" s="846"/>
      <c r="J5052" s="846"/>
      <c r="K5052" s="846"/>
      <c r="L5052" s="846"/>
      <c r="M5052" s="846"/>
      <c r="N5052" s="846"/>
      <c r="O5052" s="846"/>
      <c r="P5052" s="846"/>
      <c r="Q5052" s="846"/>
      <c r="R5052" s="846"/>
      <c r="S5052" s="846"/>
      <c r="T5052" s="846"/>
    </row>
    <row r="5053" spans="2:20" ht="25.5" hidden="1">
      <c r="B5053" s="828" t="s">
        <v>6532</v>
      </c>
      <c r="C5053" s="828">
        <v>100875</v>
      </c>
      <c r="D5053" s="630" t="s">
        <v>4332</v>
      </c>
      <c r="E5053" s="630" t="s">
        <v>646</v>
      </c>
      <c r="F5053" s="829">
        <v>1025.25</v>
      </c>
      <c r="G5053" s="830">
        <v>37.53</v>
      </c>
      <c r="H5053" s="831">
        <v>1062.78</v>
      </c>
      <c r="I5053" s="846"/>
      <c r="J5053" s="846"/>
      <c r="K5053" s="846"/>
      <c r="L5053" s="846"/>
      <c r="M5053" s="846"/>
      <c r="N5053" s="846"/>
      <c r="O5053" s="846"/>
      <c r="P5053" s="846"/>
      <c r="Q5053" s="846"/>
      <c r="R5053" s="846"/>
      <c r="S5053" s="846"/>
      <c r="T5053" s="846"/>
    </row>
    <row r="5054" spans="2:20" ht="25.5" hidden="1">
      <c r="B5054" s="828" t="s">
        <v>6532</v>
      </c>
      <c r="C5054" s="828">
        <v>100878</v>
      </c>
      <c r="D5054" s="630" t="s">
        <v>5840</v>
      </c>
      <c r="E5054" s="630" t="s">
        <v>646</v>
      </c>
      <c r="F5054" s="829">
        <v>552.78</v>
      </c>
      <c r="G5054" s="830">
        <v>42.26</v>
      </c>
      <c r="H5054" s="831">
        <v>595.04</v>
      </c>
      <c r="I5054" s="846"/>
      <c r="J5054" s="846"/>
      <c r="K5054" s="846"/>
      <c r="L5054" s="846"/>
      <c r="M5054" s="846"/>
      <c r="N5054" s="846"/>
      <c r="O5054" s="846"/>
      <c r="P5054" s="846"/>
      <c r="Q5054" s="846"/>
      <c r="R5054" s="846"/>
      <c r="S5054" s="846"/>
      <c r="T5054" s="846"/>
    </row>
    <row r="5055" spans="2:20" ht="38.25" hidden="1">
      <c r="B5055" s="828" t="s">
        <v>6616</v>
      </c>
      <c r="C5055" s="828">
        <v>98052</v>
      </c>
      <c r="D5055" s="630" t="s">
        <v>5682</v>
      </c>
      <c r="E5055" s="630" t="s">
        <v>646</v>
      </c>
      <c r="F5055" s="829">
        <v>1269.3200000000002</v>
      </c>
      <c r="G5055" s="830">
        <v>238.4</v>
      </c>
      <c r="H5055" s="831">
        <v>1507.72</v>
      </c>
      <c r="I5055" s="846"/>
      <c r="J5055" s="846"/>
      <c r="K5055" s="846"/>
      <c r="L5055" s="846"/>
      <c r="M5055" s="846"/>
      <c r="N5055" s="846"/>
      <c r="O5055" s="846"/>
      <c r="P5055" s="846"/>
      <c r="Q5055" s="846"/>
      <c r="R5055" s="846"/>
      <c r="S5055" s="846"/>
      <c r="T5055" s="846"/>
    </row>
    <row r="5056" spans="2:20" ht="38.25" hidden="1">
      <c r="B5056" s="828" t="s">
        <v>6616</v>
      </c>
      <c r="C5056" s="828">
        <v>98053</v>
      </c>
      <c r="D5056" s="630" t="s">
        <v>5683</v>
      </c>
      <c r="E5056" s="630" t="s">
        <v>646</v>
      </c>
      <c r="F5056" s="829">
        <v>1741.69</v>
      </c>
      <c r="G5056" s="830">
        <v>322.27</v>
      </c>
      <c r="H5056" s="831">
        <v>2063.96</v>
      </c>
      <c r="I5056" s="846"/>
      <c r="J5056" s="846"/>
      <c r="K5056" s="846"/>
      <c r="L5056" s="846"/>
      <c r="M5056" s="846"/>
      <c r="N5056" s="846"/>
      <c r="O5056" s="846"/>
      <c r="P5056" s="846"/>
      <c r="Q5056" s="846"/>
      <c r="R5056" s="846"/>
      <c r="S5056" s="846"/>
      <c r="T5056" s="846"/>
    </row>
    <row r="5057" spans="2:20" ht="38.25" hidden="1">
      <c r="B5057" s="828" t="s">
        <v>6616</v>
      </c>
      <c r="C5057" s="828">
        <v>98054</v>
      </c>
      <c r="D5057" s="630" t="s">
        <v>5684</v>
      </c>
      <c r="E5057" s="630" t="s">
        <v>646</v>
      </c>
      <c r="F5057" s="829">
        <v>2907.4700000000003</v>
      </c>
      <c r="G5057" s="830">
        <v>338.26</v>
      </c>
      <c r="H5057" s="831">
        <v>3245.73</v>
      </c>
      <c r="I5057" s="846"/>
      <c r="J5057" s="846"/>
      <c r="K5057" s="846"/>
      <c r="L5057" s="846"/>
      <c r="M5057" s="846"/>
      <c r="N5057" s="846"/>
      <c r="O5057" s="846"/>
      <c r="P5057" s="846"/>
      <c r="Q5057" s="846"/>
      <c r="R5057" s="846"/>
      <c r="S5057" s="846"/>
      <c r="T5057" s="846"/>
    </row>
    <row r="5058" spans="2:20" ht="38.25" hidden="1">
      <c r="B5058" s="828" t="s">
        <v>6616</v>
      </c>
      <c r="C5058" s="828">
        <v>98055</v>
      </c>
      <c r="D5058" s="630" t="s">
        <v>5685</v>
      </c>
      <c r="E5058" s="630" t="s">
        <v>646</v>
      </c>
      <c r="F5058" s="829">
        <v>3954.7</v>
      </c>
      <c r="G5058" s="830">
        <v>467.18</v>
      </c>
      <c r="H5058" s="831">
        <v>4421.88</v>
      </c>
      <c r="I5058" s="846"/>
      <c r="J5058" s="846"/>
      <c r="K5058" s="846"/>
      <c r="L5058" s="846"/>
      <c r="M5058" s="846"/>
      <c r="N5058" s="846"/>
      <c r="O5058" s="846"/>
      <c r="P5058" s="846"/>
      <c r="Q5058" s="846"/>
      <c r="R5058" s="846"/>
      <c r="S5058" s="846"/>
      <c r="T5058" s="846"/>
    </row>
    <row r="5059" spans="2:20" ht="38.25" hidden="1">
      <c r="B5059" s="828" t="s">
        <v>6616</v>
      </c>
      <c r="C5059" s="828">
        <v>98056</v>
      </c>
      <c r="D5059" s="630" t="s">
        <v>5686</v>
      </c>
      <c r="E5059" s="630" t="s">
        <v>646</v>
      </c>
      <c r="F5059" s="829">
        <v>4617.54</v>
      </c>
      <c r="G5059" s="830">
        <v>498.57</v>
      </c>
      <c r="H5059" s="831">
        <v>5116.1099999999997</v>
      </c>
      <c r="I5059" s="846"/>
      <c r="J5059" s="846"/>
      <c r="K5059" s="846"/>
      <c r="L5059" s="846"/>
      <c r="M5059" s="846"/>
      <c r="N5059" s="846"/>
      <c r="O5059" s="846"/>
      <c r="P5059" s="846"/>
      <c r="Q5059" s="846"/>
      <c r="R5059" s="846"/>
      <c r="S5059" s="846"/>
      <c r="T5059" s="846"/>
    </row>
    <row r="5060" spans="2:20" ht="38.25" hidden="1">
      <c r="B5060" s="828" t="s">
        <v>6616</v>
      </c>
      <c r="C5060" s="828">
        <v>98057</v>
      </c>
      <c r="D5060" s="630" t="s">
        <v>5687</v>
      </c>
      <c r="E5060" s="630" t="s">
        <v>646</v>
      </c>
      <c r="F5060" s="829">
        <v>5500.9199999999992</v>
      </c>
      <c r="G5060" s="830">
        <v>619.11</v>
      </c>
      <c r="H5060" s="831">
        <v>6120.03</v>
      </c>
      <c r="I5060" s="846"/>
      <c r="J5060" s="846"/>
      <c r="K5060" s="846"/>
      <c r="L5060" s="846"/>
      <c r="M5060" s="846"/>
      <c r="N5060" s="846"/>
      <c r="O5060" s="846"/>
      <c r="P5060" s="846"/>
      <c r="Q5060" s="846"/>
      <c r="R5060" s="846"/>
      <c r="S5060" s="846"/>
      <c r="T5060" s="846"/>
    </row>
    <row r="5061" spans="2:20" ht="38.25" hidden="1">
      <c r="B5061" s="828" t="s">
        <v>6616</v>
      </c>
      <c r="C5061" s="828">
        <v>98058</v>
      </c>
      <c r="D5061" s="630" t="s">
        <v>5688</v>
      </c>
      <c r="E5061" s="630" t="s">
        <v>646</v>
      </c>
      <c r="F5061" s="829">
        <v>1070.6399999999999</v>
      </c>
      <c r="G5061" s="830">
        <v>279.44</v>
      </c>
      <c r="H5061" s="831">
        <v>1350.08</v>
      </c>
      <c r="I5061" s="846"/>
      <c r="J5061" s="846"/>
      <c r="K5061" s="846"/>
      <c r="L5061" s="846"/>
      <c r="M5061" s="846"/>
      <c r="N5061" s="846"/>
      <c r="O5061" s="846"/>
      <c r="P5061" s="846"/>
      <c r="Q5061" s="846"/>
      <c r="R5061" s="846"/>
      <c r="S5061" s="846"/>
      <c r="T5061" s="846"/>
    </row>
    <row r="5062" spans="2:20" ht="38.25" hidden="1">
      <c r="B5062" s="828" t="s">
        <v>6616</v>
      </c>
      <c r="C5062" s="828">
        <v>98059</v>
      </c>
      <c r="D5062" s="630" t="s">
        <v>5689</v>
      </c>
      <c r="E5062" s="630" t="s">
        <v>646</v>
      </c>
      <c r="F5062" s="829">
        <v>2396.3200000000002</v>
      </c>
      <c r="G5062" s="830">
        <v>411.33</v>
      </c>
      <c r="H5062" s="831">
        <v>2807.65</v>
      </c>
      <c r="I5062" s="846"/>
      <c r="J5062" s="846"/>
      <c r="K5062" s="846"/>
      <c r="L5062" s="846"/>
      <c r="M5062" s="846"/>
      <c r="N5062" s="846"/>
      <c r="O5062" s="846"/>
      <c r="P5062" s="846"/>
      <c r="Q5062" s="846"/>
      <c r="R5062" s="846"/>
      <c r="S5062" s="846"/>
      <c r="T5062" s="846"/>
    </row>
    <row r="5063" spans="2:20" ht="38.25" hidden="1">
      <c r="B5063" s="828" t="s">
        <v>6616</v>
      </c>
      <c r="C5063" s="828">
        <v>98060</v>
      </c>
      <c r="D5063" s="630" t="s">
        <v>5690</v>
      </c>
      <c r="E5063" s="630" t="s">
        <v>646</v>
      </c>
      <c r="F5063" s="829">
        <v>3347.38</v>
      </c>
      <c r="G5063" s="830">
        <v>599.13</v>
      </c>
      <c r="H5063" s="831">
        <v>3946.51</v>
      </c>
      <c r="I5063" s="846"/>
      <c r="J5063" s="846"/>
      <c r="K5063" s="846"/>
      <c r="L5063" s="846"/>
      <c r="M5063" s="846"/>
      <c r="N5063" s="846"/>
      <c r="O5063" s="846"/>
      <c r="P5063" s="846"/>
      <c r="Q5063" s="846"/>
      <c r="R5063" s="846"/>
      <c r="S5063" s="846"/>
      <c r="T5063" s="846"/>
    </row>
    <row r="5064" spans="2:20" ht="38.25" hidden="1">
      <c r="B5064" s="828" t="s">
        <v>6616</v>
      </c>
      <c r="C5064" s="828">
        <v>98061</v>
      </c>
      <c r="D5064" s="630" t="s">
        <v>5691</v>
      </c>
      <c r="E5064" s="630" t="s">
        <v>646</v>
      </c>
      <c r="F5064" s="829">
        <v>4672.03</v>
      </c>
      <c r="G5064" s="830">
        <v>825.8</v>
      </c>
      <c r="H5064" s="831">
        <v>5497.83</v>
      </c>
      <c r="I5064" s="846"/>
      <c r="J5064" s="846"/>
      <c r="K5064" s="846"/>
      <c r="L5064" s="846"/>
      <c r="M5064" s="846"/>
      <c r="N5064" s="846"/>
      <c r="O5064" s="846"/>
      <c r="P5064" s="846"/>
      <c r="Q5064" s="846"/>
      <c r="R5064" s="846"/>
      <c r="S5064" s="846"/>
      <c r="T5064" s="846"/>
    </row>
    <row r="5065" spans="2:20" ht="38.25" hidden="1">
      <c r="B5065" s="828" t="s">
        <v>6616</v>
      </c>
      <c r="C5065" s="828">
        <v>98062</v>
      </c>
      <c r="D5065" s="630" t="s">
        <v>5692</v>
      </c>
      <c r="E5065" s="630" t="s">
        <v>646</v>
      </c>
      <c r="F5065" s="829">
        <v>1938.9099999999999</v>
      </c>
      <c r="G5065" s="830">
        <v>271.04000000000002</v>
      </c>
      <c r="H5065" s="831">
        <v>2209.9499999999998</v>
      </c>
      <c r="I5065" s="846"/>
      <c r="J5065" s="846"/>
      <c r="K5065" s="846"/>
      <c r="L5065" s="846"/>
      <c r="M5065" s="846"/>
      <c r="N5065" s="846"/>
      <c r="O5065" s="846"/>
      <c r="P5065" s="846"/>
      <c r="Q5065" s="846"/>
      <c r="R5065" s="846"/>
      <c r="S5065" s="846"/>
      <c r="T5065" s="846"/>
    </row>
    <row r="5066" spans="2:20" ht="38.25" hidden="1">
      <c r="B5066" s="828" t="s">
        <v>6616</v>
      </c>
      <c r="C5066" s="828">
        <v>98063</v>
      </c>
      <c r="D5066" s="630" t="s">
        <v>5693</v>
      </c>
      <c r="E5066" s="630" t="s">
        <v>646</v>
      </c>
      <c r="F5066" s="829">
        <v>2961.48</v>
      </c>
      <c r="G5066" s="830">
        <v>401.42</v>
      </c>
      <c r="H5066" s="831">
        <v>3362.9</v>
      </c>
      <c r="I5066" s="846"/>
      <c r="J5066" s="846"/>
      <c r="K5066" s="846"/>
      <c r="L5066" s="846"/>
      <c r="M5066" s="846"/>
      <c r="N5066" s="846"/>
      <c r="O5066" s="846"/>
      <c r="P5066" s="846"/>
      <c r="Q5066" s="846"/>
      <c r="R5066" s="846"/>
      <c r="S5066" s="846"/>
      <c r="T5066" s="846"/>
    </row>
    <row r="5067" spans="2:20" ht="38.25" hidden="1">
      <c r="B5067" s="828" t="s">
        <v>6616</v>
      </c>
      <c r="C5067" s="828">
        <v>98064</v>
      </c>
      <c r="D5067" s="630" t="s">
        <v>5694</v>
      </c>
      <c r="E5067" s="630" t="s">
        <v>646</v>
      </c>
      <c r="F5067" s="829">
        <v>3426.2</v>
      </c>
      <c r="G5067" s="830">
        <v>420.15</v>
      </c>
      <c r="H5067" s="831">
        <v>3846.35</v>
      </c>
      <c r="I5067" s="846"/>
      <c r="J5067" s="846"/>
      <c r="K5067" s="846"/>
      <c r="L5067" s="846"/>
      <c r="M5067" s="846"/>
      <c r="N5067" s="846"/>
      <c r="O5067" s="846"/>
      <c r="P5067" s="846"/>
      <c r="Q5067" s="846"/>
      <c r="R5067" s="846"/>
      <c r="S5067" s="846"/>
      <c r="T5067" s="846"/>
    </row>
    <row r="5068" spans="2:20" ht="38.25" hidden="1">
      <c r="B5068" s="828" t="s">
        <v>6616</v>
      </c>
      <c r="C5068" s="828">
        <v>98065</v>
      </c>
      <c r="D5068" s="630" t="s">
        <v>5695</v>
      </c>
      <c r="E5068" s="630" t="s">
        <v>646</v>
      </c>
      <c r="F5068" s="829">
        <v>4762.07</v>
      </c>
      <c r="G5068" s="830">
        <v>559.38</v>
      </c>
      <c r="H5068" s="831">
        <v>5321.45</v>
      </c>
      <c r="I5068" s="846"/>
      <c r="J5068" s="846"/>
      <c r="K5068" s="846"/>
      <c r="L5068" s="846"/>
      <c r="M5068" s="846"/>
      <c r="N5068" s="846"/>
      <c r="O5068" s="846"/>
      <c r="P5068" s="846"/>
      <c r="Q5068" s="846"/>
      <c r="R5068" s="846"/>
      <c r="S5068" s="846"/>
      <c r="T5068" s="846"/>
    </row>
    <row r="5069" spans="2:20" ht="38.25" hidden="1">
      <c r="B5069" s="828" t="s">
        <v>6616</v>
      </c>
      <c r="C5069" s="828">
        <v>98066</v>
      </c>
      <c r="D5069" s="630" t="s">
        <v>9298</v>
      </c>
      <c r="E5069" s="630" t="s">
        <v>646</v>
      </c>
      <c r="F5069" s="829">
        <v>2918.69</v>
      </c>
      <c r="G5069" s="830">
        <v>1808.14</v>
      </c>
      <c r="H5069" s="831">
        <v>4726.83</v>
      </c>
      <c r="I5069" s="846"/>
      <c r="J5069" s="846"/>
      <c r="K5069" s="846"/>
      <c r="L5069" s="846"/>
      <c r="M5069" s="846"/>
      <c r="N5069" s="846"/>
      <c r="O5069" s="846"/>
      <c r="P5069" s="846"/>
      <c r="Q5069" s="846"/>
      <c r="R5069" s="846"/>
      <c r="S5069" s="846"/>
      <c r="T5069" s="846"/>
    </row>
    <row r="5070" spans="2:20" ht="38.25" hidden="1">
      <c r="B5070" s="828" t="s">
        <v>6616</v>
      </c>
      <c r="C5070" s="828">
        <v>98067</v>
      </c>
      <c r="D5070" s="630" t="s">
        <v>9299</v>
      </c>
      <c r="E5070" s="630" t="s">
        <v>646</v>
      </c>
      <c r="F5070" s="829">
        <v>3878.2999999999997</v>
      </c>
      <c r="G5070" s="830">
        <v>2418.67</v>
      </c>
      <c r="H5070" s="831">
        <v>6296.97</v>
      </c>
      <c r="I5070" s="846"/>
      <c r="J5070" s="846"/>
      <c r="K5070" s="846"/>
      <c r="L5070" s="846"/>
      <c r="M5070" s="846"/>
      <c r="N5070" s="846"/>
      <c r="O5070" s="846"/>
      <c r="P5070" s="846"/>
      <c r="Q5070" s="846"/>
      <c r="R5070" s="846"/>
      <c r="S5070" s="846"/>
      <c r="T5070" s="846"/>
    </row>
    <row r="5071" spans="2:20" ht="38.25" hidden="1">
      <c r="B5071" s="828" t="s">
        <v>6616</v>
      </c>
      <c r="C5071" s="828">
        <v>98068</v>
      </c>
      <c r="D5071" s="630" t="s">
        <v>9300</v>
      </c>
      <c r="E5071" s="630" t="s">
        <v>646</v>
      </c>
      <c r="F5071" s="829">
        <v>5458.13</v>
      </c>
      <c r="G5071" s="830">
        <v>3431.59</v>
      </c>
      <c r="H5071" s="831">
        <v>8889.7199999999993</v>
      </c>
      <c r="I5071" s="846"/>
      <c r="J5071" s="846"/>
      <c r="K5071" s="846"/>
      <c r="L5071" s="846"/>
      <c r="M5071" s="846"/>
      <c r="N5071" s="846"/>
      <c r="O5071" s="846"/>
      <c r="P5071" s="846"/>
      <c r="Q5071" s="846"/>
      <c r="R5071" s="846"/>
      <c r="S5071" s="846"/>
      <c r="T5071" s="846"/>
    </row>
    <row r="5072" spans="2:20" ht="38.25" hidden="1">
      <c r="B5072" s="828" t="s">
        <v>6616</v>
      </c>
      <c r="C5072" s="828">
        <v>98069</v>
      </c>
      <c r="D5072" s="630" t="s">
        <v>9301</v>
      </c>
      <c r="E5072" s="630" t="s">
        <v>646</v>
      </c>
      <c r="F5072" s="829">
        <v>7303.2899999999991</v>
      </c>
      <c r="G5072" s="830">
        <v>4644.78</v>
      </c>
      <c r="H5072" s="831">
        <v>11948.07</v>
      </c>
      <c r="I5072" s="846"/>
      <c r="J5072" s="846"/>
      <c r="K5072" s="846"/>
      <c r="L5072" s="846"/>
      <c r="M5072" s="846"/>
      <c r="N5072" s="846"/>
      <c r="O5072" s="846"/>
      <c r="P5072" s="846"/>
      <c r="Q5072" s="846"/>
      <c r="R5072" s="846"/>
      <c r="S5072" s="846"/>
      <c r="T5072" s="846"/>
    </row>
    <row r="5073" spans="2:20" ht="38.25" hidden="1">
      <c r="B5073" s="828" t="s">
        <v>6616</v>
      </c>
      <c r="C5073" s="828">
        <v>98070</v>
      </c>
      <c r="D5073" s="630" t="s">
        <v>9302</v>
      </c>
      <c r="E5073" s="630" t="s">
        <v>646</v>
      </c>
      <c r="F5073" s="829">
        <v>8350.0499999999993</v>
      </c>
      <c r="G5073" s="830">
        <v>5299.35</v>
      </c>
      <c r="H5073" s="831">
        <v>13649.4</v>
      </c>
      <c r="I5073" s="846"/>
      <c r="J5073" s="846"/>
      <c r="K5073" s="846"/>
      <c r="L5073" s="846"/>
      <c r="M5073" s="846"/>
      <c r="N5073" s="846"/>
      <c r="O5073" s="846"/>
      <c r="P5073" s="846"/>
      <c r="Q5073" s="846"/>
      <c r="R5073" s="846"/>
      <c r="S5073" s="846"/>
      <c r="T5073" s="846"/>
    </row>
    <row r="5074" spans="2:20" ht="38.25" hidden="1">
      <c r="B5074" s="828" t="s">
        <v>6616</v>
      </c>
      <c r="C5074" s="828">
        <v>98071</v>
      </c>
      <c r="D5074" s="630" t="s">
        <v>9303</v>
      </c>
      <c r="E5074" s="630" t="s">
        <v>646</v>
      </c>
      <c r="F5074" s="829">
        <v>9134.5600000000013</v>
      </c>
      <c r="G5074" s="830">
        <v>5756.28</v>
      </c>
      <c r="H5074" s="831">
        <v>14890.84</v>
      </c>
      <c r="I5074" s="846"/>
      <c r="J5074" s="846"/>
      <c r="K5074" s="846"/>
      <c r="L5074" s="846"/>
      <c r="M5074" s="846"/>
      <c r="N5074" s="846"/>
      <c r="O5074" s="846"/>
      <c r="P5074" s="846"/>
      <c r="Q5074" s="846"/>
      <c r="R5074" s="846"/>
      <c r="S5074" s="846"/>
      <c r="T5074" s="846"/>
    </row>
    <row r="5075" spans="2:20" ht="38.25" hidden="1">
      <c r="B5075" s="828" t="s">
        <v>6616</v>
      </c>
      <c r="C5075" s="828">
        <v>98072</v>
      </c>
      <c r="D5075" s="630" t="s">
        <v>9304</v>
      </c>
      <c r="E5075" s="630" t="s">
        <v>646</v>
      </c>
      <c r="F5075" s="829">
        <v>2440.2400000000002</v>
      </c>
      <c r="G5075" s="830">
        <v>1531.79</v>
      </c>
      <c r="H5075" s="831">
        <v>3972.03</v>
      </c>
      <c r="I5075" s="846"/>
      <c r="J5075" s="846"/>
      <c r="K5075" s="846"/>
      <c r="L5075" s="846"/>
      <c r="M5075" s="846"/>
      <c r="N5075" s="846"/>
      <c r="O5075" s="846"/>
      <c r="P5075" s="846"/>
      <c r="Q5075" s="846"/>
      <c r="R5075" s="846"/>
      <c r="S5075" s="846"/>
      <c r="T5075" s="846"/>
    </row>
    <row r="5076" spans="2:20" ht="38.25" hidden="1">
      <c r="B5076" s="828" t="s">
        <v>6616</v>
      </c>
      <c r="C5076" s="828">
        <v>98073</v>
      </c>
      <c r="D5076" s="630" t="s">
        <v>9305</v>
      </c>
      <c r="E5076" s="630" t="s">
        <v>646</v>
      </c>
      <c r="F5076" s="829">
        <v>3786.0299999999997</v>
      </c>
      <c r="G5076" s="830">
        <v>2414.2600000000002</v>
      </c>
      <c r="H5076" s="831">
        <v>6200.29</v>
      </c>
      <c r="I5076" s="846"/>
      <c r="J5076" s="846"/>
      <c r="K5076" s="846"/>
      <c r="L5076" s="846"/>
      <c r="M5076" s="846"/>
      <c r="N5076" s="846"/>
      <c r="O5076" s="846"/>
      <c r="P5076" s="846"/>
      <c r="Q5076" s="846"/>
      <c r="R5076" s="846"/>
      <c r="S5076" s="846"/>
      <c r="T5076" s="846"/>
    </row>
    <row r="5077" spans="2:20" ht="38.25" hidden="1">
      <c r="B5077" s="828" t="s">
        <v>6616</v>
      </c>
      <c r="C5077" s="828">
        <v>98074</v>
      </c>
      <c r="D5077" s="630" t="s">
        <v>9306</v>
      </c>
      <c r="E5077" s="630" t="s">
        <v>646</v>
      </c>
      <c r="F5077" s="829">
        <v>5842.39</v>
      </c>
      <c r="G5077" s="830">
        <v>3762.89</v>
      </c>
      <c r="H5077" s="831">
        <v>9605.2800000000007</v>
      </c>
      <c r="I5077" s="846"/>
      <c r="J5077" s="846"/>
      <c r="K5077" s="846"/>
      <c r="L5077" s="846"/>
      <c r="M5077" s="846"/>
      <c r="N5077" s="846"/>
      <c r="O5077" s="846"/>
      <c r="P5077" s="846"/>
      <c r="Q5077" s="846"/>
      <c r="R5077" s="846"/>
      <c r="S5077" s="846"/>
      <c r="T5077" s="846"/>
    </row>
    <row r="5078" spans="2:20" ht="38.25" hidden="1">
      <c r="B5078" s="828" t="s">
        <v>6616</v>
      </c>
      <c r="C5078" s="828">
        <v>98075</v>
      </c>
      <c r="D5078" s="630" t="s">
        <v>9307</v>
      </c>
      <c r="E5078" s="630" t="s">
        <v>646</v>
      </c>
      <c r="F5078" s="829">
        <v>7578.63</v>
      </c>
      <c r="G5078" s="830">
        <v>4897.51</v>
      </c>
      <c r="H5078" s="831">
        <v>12476.14</v>
      </c>
      <c r="I5078" s="846"/>
      <c r="J5078" s="846"/>
      <c r="K5078" s="846"/>
      <c r="L5078" s="846"/>
      <c r="M5078" s="846"/>
      <c r="N5078" s="846"/>
      <c r="O5078" s="846"/>
      <c r="P5078" s="846"/>
      <c r="Q5078" s="846"/>
      <c r="R5078" s="846"/>
      <c r="S5078" s="846"/>
      <c r="T5078" s="846"/>
    </row>
    <row r="5079" spans="2:20" ht="38.25" hidden="1">
      <c r="B5079" s="828" t="s">
        <v>6616</v>
      </c>
      <c r="C5079" s="828">
        <v>98076</v>
      </c>
      <c r="D5079" s="630" t="s">
        <v>9308</v>
      </c>
      <c r="E5079" s="630" t="s">
        <v>646</v>
      </c>
      <c r="F5079" s="829">
        <v>8712.09</v>
      </c>
      <c r="G5079" s="830">
        <v>5653.43</v>
      </c>
      <c r="H5079" s="831">
        <v>14365.52</v>
      </c>
      <c r="I5079" s="846"/>
      <c r="J5079" s="846"/>
      <c r="K5079" s="846"/>
      <c r="L5079" s="846"/>
      <c r="M5079" s="846"/>
      <c r="N5079" s="846"/>
      <c r="O5079" s="846"/>
      <c r="P5079" s="846"/>
      <c r="Q5079" s="846"/>
      <c r="R5079" s="846"/>
      <c r="S5079" s="846"/>
      <c r="T5079" s="846"/>
    </row>
    <row r="5080" spans="2:20" ht="38.25" hidden="1">
      <c r="B5080" s="828" t="s">
        <v>6616</v>
      </c>
      <c r="C5080" s="828">
        <v>98077</v>
      </c>
      <c r="D5080" s="630" t="s">
        <v>9309</v>
      </c>
      <c r="E5080" s="630" t="s">
        <v>646</v>
      </c>
      <c r="F5080" s="829">
        <v>10244.34</v>
      </c>
      <c r="G5080" s="830">
        <v>6658.35</v>
      </c>
      <c r="H5080" s="831">
        <v>16902.689999999999</v>
      </c>
      <c r="I5080" s="846"/>
      <c r="J5080" s="846"/>
      <c r="K5080" s="846"/>
      <c r="L5080" s="846"/>
      <c r="M5080" s="846"/>
      <c r="N5080" s="846"/>
      <c r="O5080" s="846"/>
      <c r="P5080" s="846"/>
      <c r="Q5080" s="846"/>
      <c r="R5080" s="846"/>
      <c r="S5080" s="846"/>
      <c r="T5080" s="846"/>
    </row>
    <row r="5081" spans="2:20" ht="38.25" hidden="1">
      <c r="B5081" s="828" t="s">
        <v>6616</v>
      </c>
      <c r="C5081" s="828">
        <v>98078</v>
      </c>
      <c r="D5081" s="630" t="s">
        <v>9310</v>
      </c>
      <c r="E5081" s="630" t="s">
        <v>646</v>
      </c>
      <c r="F5081" s="829">
        <v>2850.95</v>
      </c>
      <c r="G5081" s="830">
        <v>1548</v>
      </c>
      <c r="H5081" s="831">
        <v>4398.95</v>
      </c>
      <c r="I5081" s="846"/>
      <c r="J5081" s="846"/>
      <c r="K5081" s="846"/>
      <c r="L5081" s="846"/>
      <c r="M5081" s="846"/>
      <c r="N5081" s="846"/>
      <c r="O5081" s="846"/>
      <c r="P5081" s="846"/>
      <c r="Q5081" s="846"/>
      <c r="R5081" s="846"/>
      <c r="S5081" s="846"/>
      <c r="T5081" s="846"/>
    </row>
    <row r="5082" spans="2:20" ht="38.25" hidden="1">
      <c r="B5082" s="828" t="s">
        <v>6616</v>
      </c>
      <c r="C5082" s="828">
        <v>98079</v>
      </c>
      <c r="D5082" s="630" t="s">
        <v>9311</v>
      </c>
      <c r="E5082" s="630" t="s">
        <v>646</v>
      </c>
      <c r="F5082" s="829">
        <v>4971.7700000000004</v>
      </c>
      <c r="G5082" s="830">
        <v>2714.46</v>
      </c>
      <c r="H5082" s="831">
        <v>7686.23</v>
      </c>
      <c r="I5082" s="846"/>
      <c r="J5082" s="846"/>
      <c r="K5082" s="846"/>
      <c r="L5082" s="846"/>
      <c r="M5082" s="846"/>
      <c r="N5082" s="846"/>
      <c r="O5082" s="846"/>
      <c r="P5082" s="846"/>
      <c r="Q5082" s="846"/>
      <c r="R5082" s="846"/>
      <c r="S5082" s="846"/>
      <c r="T5082" s="846"/>
    </row>
    <row r="5083" spans="2:20" ht="38.25" hidden="1">
      <c r="B5083" s="828" t="s">
        <v>6616</v>
      </c>
      <c r="C5083" s="828">
        <v>98080</v>
      </c>
      <c r="D5083" s="630" t="s">
        <v>9312</v>
      </c>
      <c r="E5083" s="630" t="s">
        <v>646</v>
      </c>
      <c r="F5083" s="829">
        <v>6343.22</v>
      </c>
      <c r="G5083" s="830">
        <v>3510.39</v>
      </c>
      <c r="H5083" s="831">
        <v>9853.61</v>
      </c>
      <c r="I5083" s="846"/>
      <c r="J5083" s="846"/>
      <c r="K5083" s="846"/>
      <c r="L5083" s="846"/>
      <c r="M5083" s="846"/>
      <c r="N5083" s="846"/>
      <c r="O5083" s="846"/>
      <c r="P5083" s="846"/>
      <c r="Q5083" s="846"/>
      <c r="R5083" s="846"/>
      <c r="S5083" s="846"/>
      <c r="T5083" s="846"/>
    </row>
    <row r="5084" spans="2:20" ht="38.25" hidden="1">
      <c r="B5084" s="828" t="s">
        <v>6616</v>
      </c>
      <c r="C5084" s="828">
        <v>98081</v>
      </c>
      <c r="D5084" s="630" t="s">
        <v>9313</v>
      </c>
      <c r="E5084" s="630" t="s">
        <v>646</v>
      </c>
      <c r="F5084" s="829">
        <v>9358.8100000000013</v>
      </c>
      <c r="G5084" s="830">
        <v>5215.93</v>
      </c>
      <c r="H5084" s="831">
        <v>14574.74</v>
      </c>
      <c r="I5084" s="846"/>
      <c r="J5084" s="846"/>
      <c r="K5084" s="846"/>
      <c r="L5084" s="846"/>
      <c r="M5084" s="846"/>
      <c r="N5084" s="846"/>
      <c r="O5084" s="846"/>
      <c r="P5084" s="846"/>
      <c r="Q5084" s="846"/>
      <c r="R5084" s="846"/>
      <c r="S5084" s="846"/>
      <c r="T5084" s="846"/>
    </row>
    <row r="5085" spans="2:20" ht="38.25" hidden="1">
      <c r="B5085" s="828" t="s">
        <v>6616</v>
      </c>
      <c r="C5085" s="828">
        <v>98082</v>
      </c>
      <c r="D5085" s="630" t="s">
        <v>9314</v>
      </c>
      <c r="E5085" s="630" t="s">
        <v>646</v>
      </c>
      <c r="F5085" s="829">
        <v>2111.7699999999995</v>
      </c>
      <c r="G5085" s="830">
        <v>1432.2</v>
      </c>
      <c r="H5085" s="831">
        <v>3543.97</v>
      </c>
      <c r="I5085" s="846"/>
      <c r="J5085" s="846"/>
      <c r="K5085" s="846"/>
      <c r="L5085" s="846"/>
      <c r="M5085" s="846"/>
      <c r="N5085" s="846"/>
      <c r="O5085" s="846"/>
      <c r="P5085" s="846"/>
      <c r="Q5085" s="846"/>
      <c r="R5085" s="846"/>
      <c r="S5085" s="846"/>
      <c r="T5085" s="846"/>
    </row>
    <row r="5086" spans="2:20" ht="38.25" hidden="1">
      <c r="B5086" s="828" t="s">
        <v>6616</v>
      </c>
      <c r="C5086" s="828">
        <v>98083</v>
      </c>
      <c r="D5086" s="630" t="s">
        <v>9315</v>
      </c>
      <c r="E5086" s="630" t="s">
        <v>646</v>
      </c>
      <c r="F5086" s="829">
        <v>2765.6000000000004</v>
      </c>
      <c r="G5086" s="830">
        <v>1904.15</v>
      </c>
      <c r="H5086" s="831">
        <v>4669.75</v>
      </c>
      <c r="I5086" s="846"/>
      <c r="J5086" s="846"/>
      <c r="K5086" s="846"/>
      <c r="L5086" s="846"/>
      <c r="M5086" s="846"/>
      <c r="N5086" s="846"/>
      <c r="O5086" s="846"/>
      <c r="P5086" s="846"/>
      <c r="Q5086" s="846"/>
      <c r="R5086" s="846"/>
      <c r="S5086" s="846"/>
      <c r="T5086" s="846"/>
    </row>
    <row r="5087" spans="2:20" ht="38.25" hidden="1">
      <c r="B5087" s="828" t="s">
        <v>6616</v>
      </c>
      <c r="C5087" s="828">
        <v>98084</v>
      </c>
      <c r="D5087" s="630" t="s">
        <v>9316</v>
      </c>
      <c r="E5087" s="630" t="s">
        <v>646</v>
      </c>
      <c r="F5087" s="829">
        <v>3853.2200000000003</v>
      </c>
      <c r="G5087" s="830">
        <v>2693.14</v>
      </c>
      <c r="H5087" s="831">
        <v>6546.36</v>
      </c>
      <c r="I5087" s="846"/>
      <c r="J5087" s="846"/>
      <c r="K5087" s="846"/>
      <c r="L5087" s="846"/>
      <c r="M5087" s="846"/>
      <c r="N5087" s="846"/>
      <c r="O5087" s="846"/>
      <c r="P5087" s="846"/>
      <c r="Q5087" s="846"/>
      <c r="R5087" s="846"/>
      <c r="S5087" s="846"/>
      <c r="T5087" s="846"/>
    </row>
    <row r="5088" spans="2:20" ht="38.25" hidden="1">
      <c r="B5088" s="828" t="s">
        <v>6616</v>
      </c>
      <c r="C5088" s="828">
        <v>98085</v>
      </c>
      <c r="D5088" s="630" t="s">
        <v>9317</v>
      </c>
      <c r="E5088" s="630" t="s">
        <v>646</v>
      </c>
      <c r="F5088" s="829">
        <v>5214.05</v>
      </c>
      <c r="G5088" s="830">
        <v>3682.2</v>
      </c>
      <c r="H5088" s="831">
        <v>8896.25</v>
      </c>
      <c r="I5088" s="846"/>
      <c r="J5088" s="846"/>
      <c r="K5088" s="846"/>
      <c r="L5088" s="846"/>
      <c r="M5088" s="846"/>
      <c r="N5088" s="846"/>
      <c r="O5088" s="846"/>
      <c r="P5088" s="846"/>
      <c r="Q5088" s="846"/>
      <c r="R5088" s="846"/>
      <c r="S5088" s="846"/>
      <c r="T5088" s="846"/>
    </row>
    <row r="5089" spans="2:20" ht="38.25" hidden="1">
      <c r="B5089" s="828" t="s">
        <v>6616</v>
      </c>
      <c r="C5089" s="828">
        <v>98086</v>
      </c>
      <c r="D5089" s="630" t="s">
        <v>9318</v>
      </c>
      <c r="E5089" s="630" t="s">
        <v>646</v>
      </c>
      <c r="F5089" s="829">
        <v>5864.41</v>
      </c>
      <c r="G5089" s="830">
        <v>4159.54</v>
      </c>
      <c r="H5089" s="831">
        <v>10023.950000000001</v>
      </c>
      <c r="I5089" s="846"/>
      <c r="J5089" s="846"/>
      <c r="K5089" s="846"/>
      <c r="L5089" s="846"/>
      <c r="M5089" s="846"/>
      <c r="N5089" s="846"/>
      <c r="O5089" s="846"/>
      <c r="P5089" s="846"/>
      <c r="Q5089" s="846"/>
      <c r="R5089" s="846"/>
      <c r="S5089" s="846"/>
      <c r="T5089" s="846"/>
    </row>
    <row r="5090" spans="2:20" ht="38.25" hidden="1">
      <c r="B5090" s="828" t="s">
        <v>6616</v>
      </c>
      <c r="C5090" s="828">
        <v>98087</v>
      </c>
      <c r="D5090" s="630" t="s">
        <v>9319</v>
      </c>
      <c r="E5090" s="630" t="s">
        <v>646</v>
      </c>
      <c r="F5090" s="829">
        <v>6225.93</v>
      </c>
      <c r="G5090" s="830">
        <v>4432.67</v>
      </c>
      <c r="H5090" s="831">
        <v>10658.6</v>
      </c>
      <c r="I5090" s="846"/>
      <c r="J5090" s="846"/>
      <c r="K5090" s="846"/>
      <c r="L5090" s="846"/>
      <c r="M5090" s="846"/>
      <c r="N5090" s="846"/>
      <c r="O5090" s="846"/>
      <c r="P5090" s="846"/>
      <c r="Q5090" s="846"/>
      <c r="R5090" s="846"/>
      <c r="S5090" s="846"/>
      <c r="T5090" s="846"/>
    </row>
    <row r="5091" spans="2:20" ht="38.25" hidden="1">
      <c r="B5091" s="828" t="s">
        <v>6616</v>
      </c>
      <c r="C5091" s="828">
        <v>98088</v>
      </c>
      <c r="D5091" s="630" t="s">
        <v>9320</v>
      </c>
      <c r="E5091" s="630" t="s">
        <v>646</v>
      </c>
      <c r="F5091" s="829">
        <v>1825.47</v>
      </c>
      <c r="G5091" s="830">
        <v>1226.1400000000001</v>
      </c>
      <c r="H5091" s="831">
        <v>3051.61</v>
      </c>
      <c r="I5091" s="846"/>
      <c r="J5091" s="846"/>
      <c r="K5091" s="846"/>
      <c r="L5091" s="846"/>
      <c r="M5091" s="846"/>
      <c r="N5091" s="846"/>
      <c r="O5091" s="846"/>
      <c r="P5091" s="846"/>
      <c r="Q5091" s="846"/>
      <c r="R5091" s="846"/>
      <c r="S5091" s="846"/>
      <c r="T5091" s="846"/>
    </row>
    <row r="5092" spans="2:20" ht="38.25" hidden="1">
      <c r="B5092" s="828" t="s">
        <v>6616</v>
      </c>
      <c r="C5092" s="828">
        <v>98089</v>
      </c>
      <c r="D5092" s="630" t="s">
        <v>9321</v>
      </c>
      <c r="E5092" s="630" t="s">
        <v>646</v>
      </c>
      <c r="F5092" s="829">
        <v>2866.7999999999997</v>
      </c>
      <c r="G5092" s="830">
        <v>1957.1</v>
      </c>
      <c r="H5092" s="831">
        <v>4823.8999999999996</v>
      </c>
      <c r="I5092" s="846"/>
      <c r="J5092" s="846"/>
      <c r="K5092" s="846"/>
      <c r="L5092" s="846"/>
      <c r="M5092" s="846"/>
      <c r="N5092" s="846"/>
      <c r="O5092" s="846"/>
      <c r="P5092" s="846"/>
      <c r="Q5092" s="846"/>
      <c r="R5092" s="846"/>
      <c r="S5092" s="846"/>
      <c r="T5092" s="846"/>
    </row>
    <row r="5093" spans="2:20" ht="38.25" hidden="1">
      <c r="B5093" s="828" t="s">
        <v>6616</v>
      </c>
      <c r="C5093" s="828">
        <v>98090</v>
      </c>
      <c r="D5093" s="630" t="s">
        <v>9322</v>
      </c>
      <c r="E5093" s="630" t="s">
        <v>646</v>
      </c>
      <c r="F5093" s="829">
        <v>4486.42</v>
      </c>
      <c r="G5093" s="830">
        <v>3086.81</v>
      </c>
      <c r="H5093" s="831">
        <v>7573.23</v>
      </c>
      <c r="I5093" s="846"/>
      <c r="J5093" s="846"/>
      <c r="K5093" s="846"/>
      <c r="L5093" s="846"/>
      <c r="M5093" s="846"/>
      <c r="N5093" s="846"/>
      <c r="O5093" s="846"/>
      <c r="P5093" s="846"/>
      <c r="Q5093" s="846"/>
      <c r="R5093" s="846"/>
      <c r="S5093" s="846"/>
      <c r="T5093" s="846"/>
    </row>
    <row r="5094" spans="2:20" ht="38.25" hidden="1">
      <c r="B5094" s="828" t="s">
        <v>6616</v>
      </c>
      <c r="C5094" s="828">
        <v>98091</v>
      </c>
      <c r="D5094" s="630" t="s">
        <v>9323</v>
      </c>
      <c r="E5094" s="630" t="s">
        <v>646</v>
      </c>
      <c r="F5094" s="829">
        <v>5851.92</v>
      </c>
      <c r="G5094" s="830">
        <v>4036.11</v>
      </c>
      <c r="H5094" s="831">
        <v>9888.0300000000007</v>
      </c>
      <c r="I5094" s="846"/>
      <c r="J5094" s="846"/>
      <c r="K5094" s="846"/>
      <c r="L5094" s="846"/>
      <c r="M5094" s="846"/>
      <c r="N5094" s="846"/>
      <c r="O5094" s="846"/>
      <c r="P5094" s="846"/>
      <c r="Q5094" s="846"/>
      <c r="R5094" s="846"/>
      <c r="S5094" s="846"/>
      <c r="T5094" s="846"/>
    </row>
    <row r="5095" spans="2:20" ht="38.25" hidden="1">
      <c r="B5095" s="828" t="s">
        <v>6616</v>
      </c>
      <c r="C5095" s="828">
        <v>98092</v>
      </c>
      <c r="D5095" s="630" t="s">
        <v>9324</v>
      </c>
      <c r="E5095" s="630" t="s">
        <v>646</v>
      </c>
      <c r="F5095" s="829">
        <v>6791.71</v>
      </c>
      <c r="G5095" s="830">
        <v>4694.04</v>
      </c>
      <c r="H5095" s="831">
        <v>11485.75</v>
      </c>
      <c r="I5095" s="846"/>
      <c r="J5095" s="846"/>
      <c r="K5095" s="846"/>
      <c r="L5095" s="846"/>
      <c r="M5095" s="846"/>
      <c r="N5095" s="846"/>
      <c r="O5095" s="846"/>
      <c r="P5095" s="846"/>
      <c r="Q5095" s="846"/>
      <c r="R5095" s="846"/>
      <c r="S5095" s="846"/>
      <c r="T5095" s="846"/>
    </row>
    <row r="5096" spans="2:20" ht="38.25" hidden="1">
      <c r="B5096" s="828" t="s">
        <v>6616</v>
      </c>
      <c r="C5096" s="828">
        <v>98093</v>
      </c>
      <c r="D5096" s="630" t="s">
        <v>9325</v>
      </c>
      <c r="E5096" s="630" t="s">
        <v>646</v>
      </c>
      <c r="F5096" s="829">
        <v>8012.18</v>
      </c>
      <c r="G5096" s="830">
        <v>5542.81</v>
      </c>
      <c r="H5096" s="831">
        <v>13554.99</v>
      </c>
      <c r="I5096" s="846"/>
      <c r="J5096" s="846"/>
      <c r="K5096" s="846"/>
      <c r="L5096" s="846"/>
      <c r="M5096" s="846"/>
      <c r="N5096" s="846"/>
      <c r="O5096" s="846"/>
      <c r="P5096" s="846"/>
      <c r="Q5096" s="846"/>
      <c r="R5096" s="846"/>
      <c r="S5096" s="846"/>
      <c r="T5096" s="846"/>
    </row>
    <row r="5097" spans="2:20" ht="38.25" hidden="1">
      <c r="B5097" s="828" t="s">
        <v>6616</v>
      </c>
      <c r="C5097" s="828">
        <v>98094</v>
      </c>
      <c r="D5097" s="630" t="s">
        <v>9326</v>
      </c>
      <c r="E5097" s="630" t="s">
        <v>646</v>
      </c>
      <c r="F5097" s="829">
        <v>1503.48</v>
      </c>
      <c r="G5097" s="830">
        <v>978.05</v>
      </c>
      <c r="H5097" s="831">
        <v>2481.5300000000002</v>
      </c>
      <c r="I5097" s="846"/>
      <c r="J5097" s="846"/>
      <c r="K5097" s="846"/>
      <c r="L5097" s="846"/>
      <c r="M5097" s="846"/>
      <c r="N5097" s="846"/>
      <c r="O5097" s="846"/>
      <c r="P5097" s="846"/>
      <c r="Q5097" s="846"/>
      <c r="R5097" s="846"/>
      <c r="S5097" s="846"/>
      <c r="T5097" s="846"/>
    </row>
    <row r="5098" spans="2:20" ht="38.25" hidden="1">
      <c r="B5098" s="828" t="s">
        <v>6616</v>
      </c>
      <c r="C5098" s="828">
        <v>98099</v>
      </c>
      <c r="D5098" s="630" t="s">
        <v>9327</v>
      </c>
      <c r="E5098" s="630" t="s">
        <v>646</v>
      </c>
      <c r="F5098" s="829">
        <v>2548.69</v>
      </c>
      <c r="G5098" s="830">
        <v>1678.96</v>
      </c>
      <c r="H5098" s="831">
        <v>4227.6499999999996</v>
      </c>
      <c r="I5098" s="846"/>
      <c r="J5098" s="846"/>
      <c r="K5098" s="846"/>
      <c r="L5098" s="846"/>
      <c r="M5098" s="846"/>
      <c r="N5098" s="846"/>
      <c r="O5098" s="846"/>
      <c r="P5098" s="846"/>
      <c r="Q5098" s="846"/>
      <c r="R5098" s="846"/>
      <c r="S5098" s="846"/>
      <c r="T5098" s="846"/>
    </row>
    <row r="5099" spans="2:20" ht="38.25" hidden="1">
      <c r="B5099" s="828" t="s">
        <v>6616</v>
      </c>
      <c r="C5099" s="828">
        <v>98100</v>
      </c>
      <c r="D5099" s="630" t="s">
        <v>9328</v>
      </c>
      <c r="E5099" s="630" t="s">
        <v>646</v>
      </c>
      <c r="F5099" s="829">
        <v>3322.48</v>
      </c>
      <c r="G5099" s="830">
        <v>2216.27</v>
      </c>
      <c r="H5099" s="831">
        <v>5538.75</v>
      </c>
      <c r="I5099" s="846"/>
      <c r="J5099" s="846"/>
      <c r="K5099" s="846"/>
      <c r="L5099" s="846"/>
      <c r="M5099" s="846"/>
      <c r="N5099" s="846"/>
      <c r="O5099" s="846"/>
      <c r="P5099" s="846"/>
      <c r="Q5099" s="846"/>
      <c r="R5099" s="846"/>
      <c r="S5099" s="846"/>
      <c r="T5099" s="846"/>
    </row>
    <row r="5100" spans="2:20" ht="38.25" hidden="1">
      <c r="B5100" s="828" t="s">
        <v>6616</v>
      </c>
      <c r="C5100" s="828">
        <v>98101</v>
      </c>
      <c r="D5100" s="630" t="s">
        <v>9329</v>
      </c>
      <c r="E5100" s="630" t="s">
        <v>646</v>
      </c>
      <c r="F5100" s="829">
        <v>4887.1899999999996</v>
      </c>
      <c r="G5100" s="830">
        <v>3295.99</v>
      </c>
      <c r="H5100" s="831">
        <v>8183.18</v>
      </c>
      <c r="I5100" s="846"/>
      <c r="J5100" s="846"/>
      <c r="K5100" s="846"/>
      <c r="L5100" s="846"/>
      <c r="M5100" s="846"/>
      <c r="N5100" s="846"/>
      <c r="O5100" s="846"/>
      <c r="P5100" s="846"/>
      <c r="Q5100" s="846"/>
      <c r="R5100" s="846"/>
      <c r="S5100" s="846"/>
      <c r="T5100" s="846"/>
    </row>
    <row r="5101" spans="2:20" ht="51" hidden="1">
      <c r="B5101" s="828" t="s">
        <v>6616</v>
      </c>
      <c r="C5101" s="828">
        <v>98109</v>
      </c>
      <c r="D5101" s="630" t="s">
        <v>5702</v>
      </c>
      <c r="E5101" s="630" t="s">
        <v>646</v>
      </c>
      <c r="F5101" s="829">
        <v>395.39</v>
      </c>
      <c r="G5101" s="830">
        <v>387.77</v>
      </c>
      <c r="H5101" s="831">
        <v>783.16</v>
      </c>
      <c r="I5101" s="846"/>
      <c r="J5101" s="846"/>
      <c r="K5101" s="846"/>
      <c r="L5101" s="846"/>
      <c r="M5101" s="846"/>
      <c r="N5101" s="846"/>
      <c r="O5101" s="846"/>
      <c r="P5101" s="846"/>
      <c r="Q5101" s="846"/>
      <c r="R5101" s="846"/>
      <c r="S5101" s="846"/>
      <c r="T5101" s="846"/>
    </row>
    <row r="5102" spans="2:20" ht="25.5" hidden="1">
      <c r="B5102" s="828" t="s">
        <v>6616</v>
      </c>
      <c r="C5102" s="828">
        <v>98110</v>
      </c>
      <c r="D5102" s="630" t="s">
        <v>5703</v>
      </c>
      <c r="E5102" s="630" t="s">
        <v>646</v>
      </c>
      <c r="F5102" s="829">
        <v>341.96</v>
      </c>
      <c r="G5102" s="830">
        <v>12.19</v>
      </c>
      <c r="H5102" s="831">
        <v>354.15</v>
      </c>
      <c r="I5102" s="846"/>
      <c r="J5102" s="846"/>
      <c r="K5102" s="846"/>
      <c r="L5102" s="846"/>
      <c r="M5102" s="846"/>
      <c r="N5102" s="846"/>
      <c r="O5102" s="846"/>
      <c r="P5102" s="846"/>
      <c r="Q5102" s="846"/>
      <c r="R5102" s="846"/>
      <c r="S5102" s="846"/>
      <c r="T5102" s="846"/>
    </row>
    <row r="5103" spans="2:20" ht="25.5" hidden="1">
      <c r="B5103" s="828" t="s">
        <v>6616</v>
      </c>
      <c r="C5103" s="828">
        <v>98111</v>
      </c>
      <c r="D5103" s="630" t="s">
        <v>5704</v>
      </c>
      <c r="E5103" s="630" t="s">
        <v>646</v>
      </c>
      <c r="F5103" s="829">
        <v>42.18</v>
      </c>
      <c r="G5103" s="830">
        <v>6.69</v>
      </c>
      <c r="H5103" s="831">
        <v>48.87</v>
      </c>
      <c r="I5103" s="846"/>
      <c r="J5103" s="846"/>
      <c r="K5103" s="846"/>
      <c r="L5103" s="846"/>
      <c r="M5103" s="846"/>
      <c r="N5103" s="846"/>
      <c r="O5103" s="846"/>
      <c r="P5103" s="846"/>
      <c r="Q5103" s="846"/>
      <c r="R5103" s="846"/>
      <c r="S5103" s="846"/>
      <c r="T5103" s="846"/>
    </row>
    <row r="5104" spans="2:20" ht="25.5" hidden="1">
      <c r="B5104" s="828" t="s">
        <v>6616</v>
      </c>
      <c r="C5104" s="828">
        <v>98112</v>
      </c>
      <c r="D5104" s="630" t="s">
        <v>5705</v>
      </c>
      <c r="E5104" s="630" t="s">
        <v>646</v>
      </c>
      <c r="F5104" s="829">
        <v>56.47</v>
      </c>
      <c r="G5104" s="830">
        <v>18.64</v>
      </c>
      <c r="H5104" s="831">
        <v>75.11</v>
      </c>
      <c r="I5104" s="846"/>
      <c r="J5104" s="846"/>
      <c r="K5104" s="846"/>
      <c r="L5104" s="846"/>
      <c r="M5104" s="846"/>
      <c r="N5104" s="846"/>
      <c r="O5104" s="846"/>
      <c r="P5104" s="846"/>
      <c r="Q5104" s="846"/>
      <c r="R5104" s="846"/>
      <c r="S5104" s="846"/>
      <c r="T5104" s="846"/>
    </row>
    <row r="5105" spans="2:20" ht="25.5" hidden="1">
      <c r="B5105" s="828" t="s">
        <v>6616</v>
      </c>
      <c r="C5105" s="828">
        <v>98114</v>
      </c>
      <c r="D5105" s="630" t="s">
        <v>5706</v>
      </c>
      <c r="E5105" s="630" t="s">
        <v>646</v>
      </c>
      <c r="F5105" s="829">
        <v>698.8599999999999</v>
      </c>
      <c r="G5105" s="830">
        <v>45.06</v>
      </c>
      <c r="H5105" s="831">
        <v>743.92</v>
      </c>
      <c r="I5105" s="846"/>
      <c r="J5105" s="846"/>
      <c r="K5105" s="846"/>
      <c r="L5105" s="846"/>
      <c r="M5105" s="846"/>
      <c r="N5105" s="846"/>
      <c r="O5105" s="846"/>
      <c r="P5105" s="846"/>
      <c r="Q5105" s="846"/>
      <c r="R5105" s="846"/>
      <c r="S5105" s="846"/>
      <c r="T5105" s="846"/>
    </row>
    <row r="5106" spans="2:20" ht="25.5" hidden="1">
      <c r="B5106" s="828" t="s">
        <v>6616</v>
      </c>
      <c r="C5106" s="828">
        <v>98115</v>
      </c>
      <c r="D5106" s="630" t="s">
        <v>8296</v>
      </c>
      <c r="E5106" s="630" t="s">
        <v>646</v>
      </c>
      <c r="F5106" s="829">
        <v>48.54</v>
      </c>
      <c r="G5106" s="830">
        <v>53.62</v>
      </c>
      <c r="H5106" s="831">
        <v>102.16</v>
      </c>
      <c r="I5106" s="846"/>
      <c r="J5106" s="846"/>
      <c r="K5106" s="846"/>
      <c r="L5106" s="846"/>
      <c r="M5106" s="846"/>
      <c r="N5106" s="846"/>
      <c r="O5106" s="846"/>
      <c r="P5106" s="846"/>
      <c r="Q5106" s="846"/>
      <c r="R5106" s="846"/>
      <c r="S5106" s="846"/>
      <c r="T5106" s="846"/>
    </row>
    <row r="5107" spans="2:20" ht="38.25" hidden="1">
      <c r="B5107" s="828" t="s">
        <v>6550</v>
      </c>
      <c r="C5107" s="828">
        <v>89957</v>
      </c>
      <c r="D5107" s="630" t="s">
        <v>456</v>
      </c>
      <c r="E5107" s="630" t="s">
        <v>646</v>
      </c>
      <c r="F5107" s="829">
        <v>57.99</v>
      </c>
      <c r="G5107" s="830">
        <v>106.32</v>
      </c>
      <c r="H5107" s="831">
        <v>164.31</v>
      </c>
      <c r="I5107" s="846"/>
      <c r="J5107" s="846"/>
      <c r="K5107" s="846"/>
      <c r="L5107" s="846"/>
      <c r="M5107" s="846"/>
      <c r="N5107" s="846"/>
      <c r="O5107" s="846"/>
      <c r="P5107" s="846"/>
      <c r="Q5107" s="846"/>
      <c r="R5107" s="846"/>
      <c r="S5107" s="846"/>
      <c r="T5107" s="846"/>
    </row>
    <row r="5108" spans="2:20" ht="38.25" hidden="1">
      <c r="B5108" s="828" t="s">
        <v>6550</v>
      </c>
      <c r="C5108" s="828">
        <v>89959</v>
      </c>
      <c r="D5108" s="630" t="s">
        <v>1394</v>
      </c>
      <c r="E5108" s="630" t="s">
        <v>646</v>
      </c>
      <c r="F5108" s="829">
        <v>165.98</v>
      </c>
      <c r="G5108" s="830">
        <v>128.44999999999999</v>
      </c>
      <c r="H5108" s="831">
        <v>294.43</v>
      </c>
      <c r="I5108" s="846"/>
      <c r="J5108" s="846"/>
      <c r="K5108" s="846"/>
      <c r="L5108" s="846"/>
      <c r="M5108" s="846"/>
      <c r="N5108" s="846"/>
      <c r="O5108" s="846"/>
      <c r="P5108" s="846"/>
      <c r="Q5108" s="846"/>
      <c r="R5108" s="846"/>
      <c r="S5108" s="846"/>
      <c r="T5108" s="846"/>
    </row>
    <row r="5109" spans="2:20" ht="25.5" hidden="1">
      <c r="B5109" s="828" t="s">
        <v>6545</v>
      </c>
      <c r="C5109" s="828">
        <v>89349</v>
      </c>
      <c r="D5109" s="630" t="s">
        <v>5387</v>
      </c>
      <c r="E5109" s="630" t="s">
        <v>646</v>
      </c>
      <c r="F5109" s="829">
        <v>23.02</v>
      </c>
      <c r="G5109" s="830">
        <v>3.07</v>
      </c>
      <c r="H5109" s="831">
        <v>26.09</v>
      </c>
      <c r="I5109" s="846"/>
      <c r="J5109" s="846"/>
      <c r="K5109" s="846"/>
      <c r="L5109" s="846"/>
      <c r="M5109" s="846"/>
      <c r="N5109" s="846"/>
      <c r="O5109" s="846"/>
      <c r="P5109" s="846"/>
      <c r="Q5109" s="846"/>
      <c r="R5109" s="846"/>
      <c r="S5109" s="846"/>
      <c r="T5109" s="846"/>
    </row>
    <row r="5110" spans="2:20" ht="25.5" hidden="1">
      <c r="B5110" s="828" t="s">
        <v>6545</v>
      </c>
      <c r="C5110" s="828">
        <v>89351</v>
      </c>
      <c r="D5110" s="630" t="s">
        <v>5388</v>
      </c>
      <c r="E5110" s="630" t="s">
        <v>646</v>
      </c>
      <c r="F5110" s="829">
        <v>27.79</v>
      </c>
      <c r="G5110" s="830">
        <v>4.7</v>
      </c>
      <c r="H5110" s="831">
        <v>32.49</v>
      </c>
      <c r="I5110" s="846"/>
      <c r="J5110" s="846"/>
      <c r="K5110" s="846"/>
      <c r="L5110" s="846"/>
      <c r="M5110" s="846"/>
      <c r="N5110" s="846"/>
      <c r="O5110" s="846"/>
      <c r="P5110" s="846"/>
      <c r="Q5110" s="846"/>
      <c r="R5110" s="846"/>
      <c r="S5110" s="846"/>
      <c r="T5110" s="846"/>
    </row>
    <row r="5111" spans="2:20" ht="25.5" hidden="1">
      <c r="B5111" s="828" t="s">
        <v>6545</v>
      </c>
      <c r="C5111" s="828">
        <v>89352</v>
      </c>
      <c r="D5111" s="630" t="s">
        <v>5389</v>
      </c>
      <c r="E5111" s="630" t="s">
        <v>646</v>
      </c>
      <c r="F5111" s="829">
        <v>32.08</v>
      </c>
      <c r="G5111" s="830">
        <v>3.06</v>
      </c>
      <c r="H5111" s="831">
        <v>35.14</v>
      </c>
      <c r="I5111" s="846"/>
      <c r="J5111" s="846"/>
      <c r="K5111" s="846"/>
      <c r="L5111" s="846"/>
      <c r="M5111" s="846"/>
      <c r="N5111" s="846"/>
      <c r="O5111" s="846"/>
      <c r="P5111" s="846"/>
      <c r="Q5111" s="846"/>
      <c r="R5111" s="846"/>
      <c r="S5111" s="846"/>
      <c r="T5111" s="846"/>
    </row>
    <row r="5112" spans="2:20" ht="25.5" hidden="1">
      <c r="B5112" s="828" t="s">
        <v>6545</v>
      </c>
      <c r="C5112" s="828">
        <v>89353</v>
      </c>
      <c r="D5112" s="630" t="s">
        <v>5390</v>
      </c>
      <c r="E5112" s="630" t="s">
        <v>646</v>
      </c>
      <c r="F5112" s="829">
        <v>34.28</v>
      </c>
      <c r="G5112" s="830">
        <v>4.6900000000000004</v>
      </c>
      <c r="H5112" s="831">
        <v>38.97</v>
      </c>
      <c r="I5112" s="846"/>
      <c r="J5112" s="846"/>
      <c r="K5112" s="846"/>
      <c r="L5112" s="846"/>
      <c r="M5112" s="846"/>
      <c r="N5112" s="846"/>
      <c r="O5112" s="846"/>
      <c r="P5112" s="846"/>
      <c r="Q5112" s="846"/>
      <c r="R5112" s="846"/>
      <c r="S5112" s="846"/>
      <c r="T5112" s="846"/>
    </row>
    <row r="5113" spans="2:20" ht="25.5" hidden="1">
      <c r="B5113" s="828" t="s">
        <v>6545</v>
      </c>
      <c r="C5113" s="828">
        <v>89354</v>
      </c>
      <c r="D5113" s="630" t="s">
        <v>5391</v>
      </c>
      <c r="E5113" s="630" t="s">
        <v>646</v>
      </c>
      <c r="F5113" s="829">
        <v>393.56</v>
      </c>
      <c r="G5113" s="830">
        <v>26.51</v>
      </c>
      <c r="H5113" s="831">
        <v>420.07</v>
      </c>
      <c r="I5113" s="846"/>
      <c r="J5113" s="846"/>
      <c r="K5113" s="846"/>
      <c r="L5113" s="846"/>
      <c r="M5113" s="846"/>
      <c r="N5113" s="846"/>
      <c r="O5113" s="846"/>
      <c r="P5113" s="846"/>
      <c r="Q5113" s="846"/>
      <c r="R5113" s="846"/>
      <c r="S5113" s="846"/>
      <c r="T5113" s="846"/>
    </row>
    <row r="5114" spans="2:20" ht="38.25" hidden="1">
      <c r="B5114" s="828" t="s">
        <v>6545</v>
      </c>
      <c r="C5114" s="828">
        <v>89969</v>
      </c>
      <c r="D5114" s="630" t="s">
        <v>1496</v>
      </c>
      <c r="E5114" s="630" t="s">
        <v>646</v>
      </c>
      <c r="F5114" s="829">
        <v>34.229999999999997</v>
      </c>
      <c r="G5114" s="830">
        <v>9.9700000000000006</v>
      </c>
      <c r="H5114" s="831">
        <v>44.2</v>
      </c>
      <c r="I5114" s="846"/>
      <c r="J5114" s="846"/>
      <c r="K5114" s="846"/>
      <c r="L5114" s="846"/>
      <c r="M5114" s="846"/>
      <c r="N5114" s="846"/>
      <c r="O5114" s="846"/>
      <c r="P5114" s="846"/>
      <c r="Q5114" s="846"/>
      <c r="R5114" s="846"/>
      <c r="S5114" s="846"/>
      <c r="T5114" s="846"/>
    </row>
    <row r="5115" spans="2:20" ht="38.25" hidden="1">
      <c r="B5115" s="828" t="s">
        <v>6545</v>
      </c>
      <c r="C5115" s="828">
        <v>89970</v>
      </c>
      <c r="D5115" s="630" t="s">
        <v>1497</v>
      </c>
      <c r="E5115" s="630" t="s">
        <v>646</v>
      </c>
      <c r="F5115" s="829">
        <v>35.380000000000003</v>
      </c>
      <c r="G5115" s="830">
        <v>12.79</v>
      </c>
      <c r="H5115" s="831">
        <v>48.17</v>
      </c>
      <c r="I5115" s="846"/>
      <c r="J5115" s="846"/>
      <c r="K5115" s="846"/>
      <c r="L5115" s="846"/>
      <c r="M5115" s="846"/>
      <c r="N5115" s="846"/>
      <c r="O5115" s="846"/>
      <c r="P5115" s="846"/>
      <c r="Q5115" s="846"/>
      <c r="R5115" s="846"/>
      <c r="S5115" s="846"/>
      <c r="T5115" s="846"/>
    </row>
    <row r="5116" spans="2:20" ht="38.25" hidden="1">
      <c r="B5116" s="828" t="s">
        <v>6545</v>
      </c>
      <c r="C5116" s="828">
        <v>89971</v>
      </c>
      <c r="D5116" s="630" t="s">
        <v>1498</v>
      </c>
      <c r="E5116" s="630" t="s">
        <v>646</v>
      </c>
      <c r="F5116" s="829">
        <v>37.619999999999997</v>
      </c>
      <c r="G5116" s="830">
        <v>9.9600000000000009</v>
      </c>
      <c r="H5116" s="831">
        <v>47.58</v>
      </c>
      <c r="I5116" s="846"/>
      <c r="J5116" s="846"/>
      <c r="K5116" s="846"/>
      <c r="L5116" s="846"/>
      <c r="M5116" s="846"/>
      <c r="N5116" s="846"/>
      <c r="O5116" s="846"/>
      <c r="P5116" s="846"/>
      <c r="Q5116" s="846"/>
      <c r="R5116" s="846"/>
      <c r="S5116" s="846"/>
      <c r="T5116" s="846"/>
    </row>
    <row r="5117" spans="2:20" ht="38.25" hidden="1">
      <c r="B5117" s="828" t="s">
        <v>6545</v>
      </c>
      <c r="C5117" s="828">
        <v>89972</v>
      </c>
      <c r="D5117" s="630" t="s">
        <v>1499</v>
      </c>
      <c r="E5117" s="630" t="s">
        <v>646</v>
      </c>
      <c r="F5117" s="829">
        <v>40.909999999999997</v>
      </c>
      <c r="G5117" s="830">
        <v>12.78</v>
      </c>
      <c r="H5117" s="831">
        <v>53.69</v>
      </c>
      <c r="I5117" s="846"/>
      <c r="J5117" s="846"/>
      <c r="K5117" s="846"/>
      <c r="L5117" s="846"/>
      <c r="M5117" s="846"/>
      <c r="N5117" s="846"/>
      <c r="O5117" s="846"/>
      <c r="P5117" s="846"/>
      <c r="Q5117" s="846"/>
      <c r="R5117" s="846"/>
      <c r="S5117" s="846"/>
      <c r="T5117" s="846"/>
    </row>
    <row r="5118" spans="2:20" ht="38.25" hidden="1">
      <c r="B5118" s="828" t="s">
        <v>6545</v>
      </c>
      <c r="C5118" s="828">
        <v>89973</v>
      </c>
      <c r="D5118" s="630" t="s">
        <v>1611</v>
      </c>
      <c r="E5118" s="630" t="s">
        <v>646</v>
      </c>
      <c r="F5118" s="829">
        <v>620.59</v>
      </c>
      <c r="G5118" s="830">
        <v>83.84</v>
      </c>
      <c r="H5118" s="831">
        <v>704.43</v>
      </c>
      <c r="I5118" s="846"/>
      <c r="J5118" s="846"/>
      <c r="K5118" s="846"/>
      <c r="L5118" s="846"/>
      <c r="M5118" s="846"/>
      <c r="N5118" s="846"/>
      <c r="O5118" s="846"/>
      <c r="P5118" s="846"/>
      <c r="Q5118" s="846"/>
      <c r="R5118" s="846"/>
      <c r="S5118" s="846"/>
      <c r="T5118" s="846"/>
    </row>
    <row r="5119" spans="2:20" ht="38.25" hidden="1">
      <c r="B5119" s="828" t="s">
        <v>6545</v>
      </c>
      <c r="C5119" s="828">
        <v>89974</v>
      </c>
      <c r="D5119" s="630" t="s">
        <v>1317</v>
      </c>
      <c r="E5119" s="630" t="s">
        <v>646</v>
      </c>
      <c r="F5119" s="829">
        <v>305.49</v>
      </c>
      <c r="G5119" s="830">
        <v>70.63</v>
      </c>
      <c r="H5119" s="831">
        <v>376.12</v>
      </c>
      <c r="I5119" s="846"/>
      <c r="J5119" s="846"/>
      <c r="K5119" s="846"/>
      <c r="L5119" s="846"/>
      <c r="M5119" s="846"/>
      <c r="N5119" s="846"/>
      <c r="O5119" s="846"/>
      <c r="P5119" s="846"/>
      <c r="Q5119" s="846"/>
      <c r="R5119" s="846"/>
      <c r="S5119" s="846"/>
      <c r="T5119" s="846"/>
    </row>
    <row r="5120" spans="2:20" ht="25.5" hidden="1">
      <c r="B5120" s="828" t="s">
        <v>6545</v>
      </c>
      <c r="C5120" s="828">
        <v>89984</v>
      </c>
      <c r="D5120" s="630" t="s">
        <v>5392</v>
      </c>
      <c r="E5120" s="630" t="s">
        <v>646</v>
      </c>
      <c r="F5120" s="829">
        <v>75.27</v>
      </c>
      <c r="G5120" s="830">
        <v>7.82</v>
      </c>
      <c r="H5120" s="831">
        <v>83.09</v>
      </c>
      <c r="I5120" s="846"/>
      <c r="J5120" s="846"/>
      <c r="K5120" s="846"/>
      <c r="L5120" s="846"/>
      <c r="M5120" s="846"/>
      <c r="N5120" s="846"/>
      <c r="O5120" s="846"/>
      <c r="P5120" s="846"/>
      <c r="Q5120" s="846"/>
      <c r="R5120" s="846"/>
      <c r="S5120" s="846"/>
      <c r="T5120" s="846"/>
    </row>
    <row r="5121" spans="2:20" ht="25.5" hidden="1">
      <c r="B5121" s="828" t="s">
        <v>6545</v>
      </c>
      <c r="C5121" s="828">
        <v>89985</v>
      </c>
      <c r="D5121" s="630" t="s">
        <v>5393</v>
      </c>
      <c r="E5121" s="630" t="s">
        <v>646</v>
      </c>
      <c r="F5121" s="829">
        <v>78.23</v>
      </c>
      <c r="G5121" s="830">
        <v>9.4600000000000009</v>
      </c>
      <c r="H5121" s="831">
        <v>87.69</v>
      </c>
      <c r="I5121" s="846"/>
      <c r="J5121" s="846"/>
      <c r="K5121" s="846"/>
      <c r="L5121" s="846"/>
      <c r="M5121" s="846"/>
      <c r="N5121" s="846"/>
      <c r="O5121" s="846"/>
      <c r="P5121" s="846"/>
      <c r="Q5121" s="846"/>
      <c r="R5121" s="846"/>
      <c r="S5121" s="846"/>
      <c r="T5121" s="846"/>
    </row>
    <row r="5122" spans="2:20" ht="25.5" hidden="1">
      <c r="B5122" s="828" t="s">
        <v>6545</v>
      </c>
      <c r="C5122" s="828">
        <v>89986</v>
      </c>
      <c r="D5122" s="630" t="s">
        <v>5394</v>
      </c>
      <c r="E5122" s="630" t="s">
        <v>646</v>
      </c>
      <c r="F5122" s="829">
        <v>73.2</v>
      </c>
      <c r="G5122" s="830">
        <v>7.82</v>
      </c>
      <c r="H5122" s="831">
        <v>81.02</v>
      </c>
      <c r="I5122" s="846"/>
      <c r="J5122" s="846"/>
      <c r="K5122" s="846"/>
      <c r="L5122" s="846"/>
      <c r="M5122" s="846"/>
      <c r="N5122" s="846"/>
      <c r="O5122" s="846"/>
      <c r="P5122" s="846"/>
      <c r="Q5122" s="846"/>
      <c r="R5122" s="846"/>
      <c r="S5122" s="846"/>
      <c r="T5122" s="846"/>
    </row>
    <row r="5123" spans="2:20" ht="25.5" hidden="1">
      <c r="B5123" s="828" t="s">
        <v>6545</v>
      </c>
      <c r="C5123" s="828">
        <v>89987</v>
      </c>
      <c r="D5123" s="630" t="s">
        <v>5395</v>
      </c>
      <c r="E5123" s="630" t="s">
        <v>646</v>
      </c>
      <c r="F5123" s="829">
        <v>82.77</v>
      </c>
      <c r="G5123" s="830">
        <v>9.4600000000000009</v>
      </c>
      <c r="H5123" s="831">
        <v>92.23</v>
      </c>
      <c r="I5123" s="846"/>
      <c r="J5123" s="846"/>
      <c r="K5123" s="846"/>
      <c r="L5123" s="846"/>
      <c r="M5123" s="846"/>
      <c r="N5123" s="846"/>
      <c r="O5123" s="846"/>
      <c r="P5123" s="846"/>
      <c r="Q5123" s="846"/>
      <c r="R5123" s="846"/>
      <c r="S5123" s="846"/>
      <c r="T5123" s="846"/>
    </row>
    <row r="5124" spans="2:20" ht="25.5" hidden="1">
      <c r="B5124" s="828" t="s">
        <v>6545</v>
      </c>
      <c r="C5124" s="828">
        <v>90371</v>
      </c>
      <c r="D5124" s="630" t="s">
        <v>5430</v>
      </c>
      <c r="E5124" s="630" t="s">
        <v>646</v>
      </c>
      <c r="F5124" s="829">
        <v>27.99</v>
      </c>
      <c r="G5124" s="830">
        <v>4.7</v>
      </c>
      <c r="H5124" s="831">
        <v>32.69</v>
      </c>
      <c r="I5124" s="846"/>
      <c r="J5124" s="846"/>
      <c r="K5124" s="846"/>
      <c r="L5124" s="846"/>
      <c r="M5124" s="846"/>
      <c r="N5124" s="846"/>
      <c r="O5124" s="846"/>
      <c r="P5124" s="846"/>
      <c r="Q5124" s="846"/>
      <c r="R5124" s="846"/>
      <c r="S5124" s="846"/>
      <c r="T5124" s="846"/>
    </row>
    <row r="5125" spans="2:20" ht="25.5" hidden="1">
      <c r="B5125" s="828" t="s">
        <v>6545</v>
      </c>
      <c r="C5125" s="828">
        <v>94489</v>
      </c>
      <c r="D5125" s="630" t="s">
        <v>5489</v>
      </c>
      <c r="E5125" s="630" t="s">
        <v>646</v>
      </c>
      <c r="F5125" s="829">
        <v>29.54</v>
      </c>
      <c r="G5125" s="830">
        <v>3.39</v>
      </c>
      <c r="H5125" s="831">
        <v>32.93</v>
      </c>
      <c r="I5125" s="846"/>
      <c r="J5125" s="846"/>
      <c r="K5125" s="846"/>
      <c r="L5125" s="846"/>
      <c r="M5125" s="846"/>
      <c r="N5125" s="846"/>
      <c r="O5125" s="846"/>
      <c r="P5125" s="846"/>
      <c r="Q5125" s="846"/>
      <c r="R5125" s="846"/>
      <c r="S5125" s="846"/>
      <c r="T5125" s="846"/>
    </row>
    <row r="5126" spans="2:20" ht="25.5" hidden="1">
      <c r="B5126" s="828" t="s">
        <v>6545</v>
      </c>
      <c r="C5126" s="828">
        <v>94490</v>
      </c>
      <c r="D5126" s="630" t="s">
        <v>5490</v>
      </c>
      <c r="E5126" s="630" t="s">
        <v>646</v>
      </c>
      <c r="F5126" s="829">
        <v>45.32</v>
      </c>
      <c r="G5126" s="830">
        <v>3.39</v>
      </c>
      <c r="H5126" s="831">
        <v>48.71</v>
      </c>
      <c r="I5126" s="846"/>
      <c r="J5126" s="846"/>
      <c r="K5126" s="846"/>
      <c r="L5126" s="846"/>
      <c r="M5126" s="846"/>
      <c r="N5126" s="846"/>
      <c r="O5126" s="846"/>
      <c r="P5126" s="846"/>
      <c r="Q5126" s="846"/>
      <c r="R5126" s="846"/>
      <c r="S5126" s="846"/>
      <c r="T5126" s="846"/>
    </row>
    <row r="5127" spans="2:20" ht="25.5" hidden="1">
      <c r="B5127" s="828" t="s">
        <v>6545</v>
      </c>
      <c r="C5127" s="828">
        <v>94491</v>
      </c>
      <c r="D5127" s="630" t="s">
        <v>5491</v>
      </c>
      <c r="E5127" s="630" t="s">
        <v>646</v>
      </c>
      <c r="F5127" s="829">
        <v>61.57</v>
      </c>
      <c r="G5127" s="830">
        <v>4.83</v>
      </c>
      <c r="H5127" s="831">
        <v>66.400000000000006</v>
      </c>
      <c r="I5127" s="846"/>
      <c r="J5127" s="846"/>
      <c r="K5127" s="846"/>
      <c r="L5127" s="846"/>
      <c r="M5127" s="846"/>
      <c r="N5127" s="846"/>
      <c r="O5127" s="846"/>
      <c r="P5127" s="846"/>
      <c r="Q5127" s="846"/>
      <c r="R5127" s="846"/>
      <c r="S5127" s="846"/>
      <c r="T5127" s="846"/>
    </row>
    <row r="5128" spans="2:20" ht="25.5" hidden="1">
      <c r="B5128" s="828" t="s">
        <v>6545</v>
      </c>
      <c r="C5128" s="828">
        <v>94492</v>
      </c>
      <c r="D5128" s="630" t="s">
        <v>5492</v>
      </c>
      <c r="E5128" s="630" t="s">
        <v>646</v>
      </c>
      <c r="F5128" s="829">
        <v>63.43</v>
      </c>
      <c r="G5128" s="830">
        <v>4.83</v>
      </c>
      <c r="H5128" s="831">
        <v>68.260000000000005</v>
      </c>
      <c r="I5128" s="846"/>
      <c r="J5128" s="846"/>
      <c r="K5128" s="846"/>
      <c r="L5128" s="846"/>
      <c r="M5128" s="846"/>
      <c r="N5128" s="846"/>
      <c r="O5128" s="846"/>
      <c r="P5128" s="846"/>
      <c r="Q5128" s="846"/>
      <c r="R5128" s="846"/>
      <c r="S5128" s="846"/>
      <c r="T5128" s="846"/>
    </row>
    <row r="5129" spans="2:20" ht="25.5" hidden="1">
      <c r="B5129" s="828" t="s">
        <v>6545</v>
      </c>
      <c r="C5129" s="828">
        <v>94493</v>
      </c>
      <c r="D5129" s="630" t="s">
        <v>5493</v>
      </c>
      <c r="E5129" s="630" t="s">
        <v>646</v>
      </c>
      <c r="F5129" s="829">
        <v>117.09</v>
      </c>
      <c r="G5129" s="830">
        <v>7.86</v>
      </c>
      <c r="H5129" s="831">
        <v>124.95</v>
      </c>
      <c r="I5129" s="846"/>
      <c r="J5129" s="846"/>
      <c r="K5129" s="846"/>
      <c r="L5129" s="846"/>
      <c r="M5129" s="846"/>
      <c r="N5129" s="846"/>
      <c r="O5129" s="846"/>
      <c r="P5129" s="846"/>
      <c r="Q5129" s="846"/>
      <c r="R5129" s="846"/>
      <c r="S5129" s="846"/>
      <c r="T5129" s="846"/>
    </row>
    <row r="5130" spans="2:20" ht="25.5" hidden="1">
      <c r="B5130" s="828" t="s">
        <v>6545</v>
      </c>
      <c r="C5130" s="828">
        <v>94495</v>
      </c>
      <c r="D5130" s="630" t="s">
        <v>5494</v>
      </c>
      <c r="E5130" s="630" t="s">
        <v>646</v>
      </c>
      <c r="F5130" s="829">
        <v>53.72</v>
      </c>
      <c r="G5130" s="830">
        <v>6.35</v>
      </c>
      <c r="H5130" s="831">
        <v>60.07</v>
      </c>
      <c r="I5130" s="846"/>
      <c r="J5130" s="846"/>
      <c r="K5130" s="846"/>
      <c r="L5130" s="846"/>
      <c r="M5130" s="846"/>
      <c r="N5130" s="846"/>
      <c r="O5130" s="846"/>
      <c r="P5130" s="846"/>
      <c r="Q5130" s="846"/>
      <c r="R5130" s="846"/>
      <c r="S5130" s="846"/>
      <c r="T5130" s="846"/>
    </row>
    <row r="5131" spans="2:20" ht="25.5" hidden="1">
      <c r="B5131" s="828" t="s">
        <v>6545</v>
      </c>
      <c r="C5131" s="828">
        <v>94496</v>
      </c>
      <c r="D5131" s="630" t="s">
        <v>5495</v>
      </c>
      <c r="E5131" s="630" t="s">
        <v>646</v>
      </c>
      <c r="F5131" s="829">
        <v>73.2</v>
      </c>
      <c r="G5131" s="830">
        <v>8.64</v>
      </c>
      <c r="H5131" s="831">
        <v>81.84</v>
      </c>
      <c r="I5131" s="846"/>
      <c r="J5131" s="846"/>
      <c r="K5131" s="846"/>
      <c r="L5131" s="846"/>
      <c r="M5131" s="846"/>
      <c r="N5131" s="846"/>
      <c r="O5131" s="846"/>
      <c r="P5131" s="846"/>
      <c r="Q5131" s="846"/>
      <c r="R5131" s="846"/>
      <c r="S5131" s="846"/>
      <c r="T5131" s="846"/>
    </row>
    <row r="5132" spans="2:20" ht="25.5" hidden="1">
      <c r="B5132" s="828" t="s">
        <v>6545</v>
      </c>
      <c r="C5132" s="828">
        <v>94497</v>
      </c>
      <c r="D5132" s="630" t="s">
        <v>5496</v>
      </c>
      <c r="E5132" s="630" t="s">
        <v>646</v>
      </c>
      <c r="F5132" s="829">
        <v>92.49</v>
      </c>
      <c r="G5132" s="830">
        <v>11.26</v>
      </c>
      <c r="H5132" s="831">
        <v>103.75</v>
      </c>
      <c r="I5132" s="846"/>
      <c r="J5132" s="846"/>
      <c r="K5132" s="846"/>
      <c r="L5132" s="846"/>
      <c r="M5132" s="846"/>
      <c r="N5132" s="846"/>
      <c r="O5132" s="846"/>
      <c r="P5132" s="846"/>
      <c r="Q5132" s="846"/>
      <c r="R5132" s="846"/>
      <c r="S5132" s="846"/>
      <c r="T5132" s="846"/>
    </row>
    <row r="5133" spans="2:20" ht="25.5" hidden="1">
      <c r="B5133" s="828" t="s">
        <v>6545</v>
      </c>
      <c r="C5133" s="828">
        <v>94498</v>
      </c>
      <c r="D5133" s="630" t="s">
        <v>5497</v>
      </c>
      <c r="E5133" s="630" t="s">
        <v>646</v>
      </c>
      <c r="F5133" s="829">
        <v>128.43</v>
      </c>
      <c r="G5133" s="830">
        <v>14.54</v>
      </c>
      <c r="H5133" s="831">
        <v>142.97</v>
      </c>
      <c r="I5133" s="846"/>
      <c r="J5133" s="846"/>
      <c r="K5133" s="846"/>
      <c r="L5133" s="846"/>
      <c r="M5133" s="846"/>
      <c r="N5133" s="846"/>
      <c r="O5133" s="846"/>
      <c r="P5133" s="846"/>
      <c r="Q5133" s="846"/>
      <c r="R5133" s="846"/>
      <c r="S5133" s="846"/>
      <c r="T5133" s="846"/>
    </row>
    <row r="5134" spans="2:20" ht="25.5" hidden="1">
      <c r="B5134" s="828" t="s">
        <v>6545</v>
      </c>
      <c r="C5134" s="828">
        <v>94499</v>
      </c>
      <c r="D5134" s="630" t="s">
        <v>5498</v>
      </c>
      <c r="E5134" s="630" t="s">
        <v>646</v>
      </c>
      <c r="F5134" s="829">
        <v>262.98</v>
      </c>
      <c r="G5134" s="830">
        <v>19.46</v>
      </c>
      <c r="H5134" s="831">
        <v>282.44</v>
      </c>
      <c r="I5134" s="846"/>
      <c r="J5134" s="846"/>
      <c r="K5134" s="846"/>
      <c r="L5134" s="846"/>
      <c r="M5134" s="846"/>
      <c r="N5134" s="846"/>
      <c r="O5134" s="846"/>
      <c r="P5134" s="846"/>
      <c r="Q5134" s="846"/>
      <c r="R5134" s="846"/>
      <c r="S5134" s="846"/>
      <c r="T5134" s="846"/>
    </row>
    <row r="5135" spans="2:20" ht="25.5" hidden="1">
      <c r="B5135" s="828" t="s">
        <v>6545</v>
      </c>
      <c r="C5135" s="828">
        <v>94500</v>
      </c>
      <c r="D5135" s="630" t="s">
        <v>5499</v>
      </c>
      <c r="E5135" s="630" t="s">
        <v>646</v>
      </c>
      <c r="F5135" s="829">
        <v>318.58999999999997</v>
      </c>
      <c r="G5135" s="830">
        <v>24.39</v>
      </c>
      <c r="H5135" s="831">
        <v>342.98</v>
      </c>
      <c r="I5135" s="846"/>
      <c r="J5135" s="846"/>
      <c r="K5135" s="846"/>
      <c r="L5135" s="846"/>
      <c r="M5135" s="846"/>
      <c r="N5135" s="846"/>
      <c r="O5135" s="846"/>
      <c r="P5135" s="846"/>
      <c r="Q5135" s="846"/>
      <c r="R5135" s="846"/>
      <c r="S5135" s="846"/>
      <c r="T5135" s="846"/>
    </row>
    <row r="5136" spans="2:20" ht="25.5" hidden="1">
      <c r="B5136" s="828" t="s">
        <v>6545</v>
      </c>
      <c r="C5136" s="828">
        <v>94501</v>
      </c>
      <c r="D5136" s="630" t="s">
        <v>5500</v>
      </c>
      <c r="E5136" s="630" t="s">
        <v>646</v>
      </c>
      <c r="F5136" s="829">
        <v>657.71</v>
      </c>
      <c r="G5136" s="830">
        <v>30.94</v>
      </c>
      <c r="H5136" s="831">
        <v>688.65</v>
      </c>
      <c r="I5136" s="846"/>
      <c r="J5136" s="846"/>
      <c r="K5136" s="846"/>
      <c r="L5136" s="846"/>
      <c r="M5136" s="846"/>
      <c r="N5136" s="846"/>
      <c r="O5136" s="846"/>
      <c r="P5136" s="846"/>
      <c r="Q5136" s="846"/>
      <c r="R5136" s="846"/>
      <c r="S5136" s="846"/>
      <c r="T5136" s="846"/>
    </row>
    <row r="5137" spans="2:20" ht="25.5" hidden="1">
      <c r="B5137" s="828" t="s">
        <v>6545</v>
      </c>
      <c r="C5137" s="828">
        <v>94792</v>
      </c>
      <c r="D5137" s="630" t="s">
        <v>5504</v>
      </c>
      <c r="E5137" s="630" t="s">
        <v>646</v>
      </c>
      <c r="F5137" s="829">
        <v>101.19</v>
      </c>
      <c r="G5137" s="830">
        <v>11.1</v>
      </c>
      <c r="H5137" s="831">
        <v>112.29</v>
      </c>
      <c r="I5137" s="846"/>
      <c r="J5137" s="846"/>
      <c r="K5137" s="846"/>
      <c r="L5137" s="846"/>
      <c r="M5137" s="846"/>
      <c r="N5137" s="846"/>
      <c r="O5137" s="846"/>
      <c r="P5137" s="846"/>
      <c r="Q5137" s="846"/>
      <c r="R5137" s="846"/>
      <c r="S5137" s="846"/>
      <c r="T5137" s="846"/>
    </row>
    <row r="5138" spans="2:20" ht="25.5" hidden="1">
      <c r="B5138" s="828" t="s">
        <v>6545</v>
      </c>
      <c r="C5138" s="828">
        <v>94793</v>
      </c>
      <c r="D5138" s="630" t="s">
        <v>5505</v>
      </c>
      <c r="E5138" s="630" t="s">
        <v>646</v>
      </c>
      <c r="F5138" s="829">
        <v>140.08000000000001</v>
      </c>
      <c r="G5138" s="830">
        <v>13.4</v>
      </c>
      <c r="H5138" s="831">
        <v>153.47999999999999</v>
      </c>
      <c r="I5138" s="846"/>
      <c r="J5138" s="846"/>
      <c r="K5138" s="846"/>
      <c r="L5138" s="846"/>
      <c r="M5138" s="846"/>
      <c r="N5138" s="846"/>
      <c r="O5138" s="846"/>
      <c r="P5138" s="846"/>
      <c r="Q5138" s="846"/>
      <c r="R5138" s="846"/>
      <c r="S5138" s="846"/>
      <c r="T5138" s="846"/>
    </row>
    <row r="5139" spans="2:20" ht="25.5" hidden="1">
      <c r="B5139" s="828" t="s">
        <v>6545</v>
      </c>
      <c r="C5139" s="828">
        <v>94794</v>
      </c>
      <c r="D5139" s="630" t="s">
        <v>5506</v>
      </c>
      <c r="E5139" s="630" t="s">
        <v>646</v>
      </c>
      <c r="F5139" s="829">
        <v>147.11000000000001</v>
      </c>
      <c r="G5139" s="830">
        <v>16.02</v>
      </c>
      <c r="H5139" s="832">
        <v>163.13</v>
      </c>
      <c r="I5139" s="846"/>
      <c r="J5139" s="846"/>
      <c r="K5139" s="846"/>
      <c r="L5139" s="846"/>
      <c r="M5139" s="846"/>
      <c r="N5139" s="846"/>
      <c r="O5139" s="846"/>
      <c r="P5139" s="846"/>
      <c r="Q5139" s="846"/>
      <c r="R5139" s="846"/>
      <c r="S5139" s="846"/>
      <c r="T5139" s="846"/>
    </row>
    <row r="5140" spans="2:20" ht="25.5" hidden="1">
      <c r="B5140" s="828" t="s">
        <v>6545</v>
      </c>
      <c r="C5140" s="828">
        <v>94795</v>
      </c>
      <c r="D5140" s="630" t="s">
        <v>5507</v>
      </c>
      <c r="E5140" s="630" t="s">
        <v>646</v>
      </c>
      <c r="F5140" s="829">
        <v>30.29</v>
      </c>
      <c r="G5140" s="830">
        <v>5.32</v>
      </c>
      <c r="H5140" s="832">
        <v>35.61</v>
      </c>
      <c r="I5140" s="846"/>
      <c r="J5140" s="846"/>
      <c r="K5140" s="846"/>
      <c r="L5140" s="846"/>
      <c r="M5140" s="846"/>
      <c r="N5140" s="846"/>
      <c r="O5140" s="846"/>
      <c r="P5140" s="846"/>
      <c r="Q5140" s="846"/>
      <c r="R5140" s="846"/>
      <c r="S5140" s="846"/>
      <c r="T5140" s="846"/>
    </row>
    <row r="5141" spans="2:20" ht="25.5" hidden="1">
      <c r="B5141" s="828" t="s">
        <v>6545</v>
      </c>
      <c r="C5141" s="828">
        <v>94796</v>
      </c>
      <c r="D5141" s="630" t="s">
        <v>5508</v>
      </c>
      <c r="E5141" s="630" t="s">
        <v>646</v>
      </c>
      <c r="F5141" s="829">
        <v>33.42</v>
      </c>
      <c r="G5141" s="830">
        <v>8.14</v>
      </c>
      <c r="H5141" s="832">
        <v>41.56</v>
      </c>
      <c r="I5141" s="846"/>
      <c r="J5141" s="846"/>
      <c r="K5141" s="846"/>
      <c r="L5141" s="846"/>
      <c r="M5141" s="846"/>
      <c r="N5141" s="846"/>
      <c r="O5141" s="846"/>
      <c r="P5141" s="846"/>
      <c r="Q5141" s="846"/>
      <c r="R5141" s="846"/>
      <c r="S5141" s="846"/>
      <c r="T5141" s="846"/>
    </row>
    <row r="5142" spans="2:20" ht="25.5" hidden="1">
      <c r="B5142" s="828" t="s">
        <v>6545</v>
      </c>
      <c r="C5142" s="828">
        <v>94797</v>
      </c>
      <c r="D5142" s="630" t="s">
        <v>5509</v>
      </c>
      <c r="E5142" s="630" t="s">
        <v>646</v>
      </c>
      <c r="F5142" s="829">
        <v>73.02</v>
      </c>
      <c r="G5142" s="830">
        <v>10.97</v>
      </c>
      <c r="H5142" s="832">
        <v>83.99</v>
      </c>
      <c r="I5142" s="846"/>
      <c r="J5142" s="846"/>
      <c r="K5142" s="846"/>
      <c r="L5142" s="846"/>
      <c r="M5142" s="846"/>
      <c r="N5142" s="846"/>
      <c r="O5142" s="846"/>
      <c r="P5142" s="846"/>
      <c r="Q5142" s="846"/>
      <c r="R5142" s="846"/>
      <c r="S5142" s="846"/>
      <c r="T5142" s="846"/>
    </row>
    <row r="5143" spans="2:20" ht="25.5" hidden="1">
      <c r="B5143" s="828" t="s">
        <v>6545</v>
      </c>
      <c r="C5143" s="828">
        <v>94798</v>
      </c>
      <c r="D5143" s="630" t="s">
        <v>5510</v>
      </c>
      <c r="E5143" s="630" t="s">
        <v>646</v>
      </c>
      <c r="F5143" s="829">
        <v>123.23</v>
      </c>
      <c r="G5143" s="830">
        <v>14.94</v>
      </c>
      <c r="H5143" s="831">
        <v>138.16999999999999</v>
      </c>
      <c r="I5143" s="846"/>
      <c r="J5143" s="846"/>
      <c r="K5143" s="846"/>
      <c r="L5143" s="846"/>
      <c r="M5143" s="846"/>
      <c r="N5143" s="846"/>
      <c r="O5143" s="846"/>
      <c r="P5143" s="846"/>
      <c r="Q5143" s="846"/>
      <c r="R5143" s="846"/>
      <c r="S5143" s="846"/>
      <c r="T5143" s="846"/>
    </row>
    <row r="5144" spans="2:20" ht="25.5" hidden="1">
      <c r="B5144" s="828" t="s">
        <v>6545</v>
      </c>
      <c r="C5144" s="828">
        <v>94799</v>
      </c>
      <c r="D5144" s="630" t="s">
        <v>5511</v>
      </c>
      <c r="E5144" s="630" t="s">
        <v>646</v>
      </c>
      <c r="F5144" s="829">
        <v>150.55000000000001</v>
      </c>
      <c r="G5144" s="830">
        <v>19.47</v>
      </c>
      <c r="H5144" s="831">
        <v>170.02</v>
      </c>
      <c r="I5144" s="846"/>
      <c r="J5144" s="846"/>
      <c r="K5144" s="846"/>
      <c r="L5144" s="846"/>
      <c r="M5144" s="846"/>
      <c r="N5144" s="846"/>
      <c r="O5144" s="846"/>
      <c r="P5144" s="846"/>
      <c r="Q5144" s="846"/>
      <c r="R5144" s="846"/>
      <c r="S5144" s="846"/>
      <c r="T5144" s="846"/>
    </row>
    <row r="5145" spans="2:20" ht="25.5" hidden="1">
      <c r="B5145" s="828" t="s">
        <v>6545</v>
      </c>
      <c r="C5145" s="828">
        <v>94800</v>
      </c>
      <c r="D5145" s="630" t="s">
        <v>5512</v>
      </c>
      <c r="E5145" s="630" t="s">
        <v>646</v>
      </c>
      <c r="F5145" s="829">
        <v>193.19</v>
      </c>
      <c r="G5145" s="830">
        <v>25.14</v>
      </c>
      <c r="H5145" s="831">
        <v>218.33</v>
      </c>
      <c r="I5145" s="846"/>
      <c r="J5145" s="846"/>
      <c r="K5145" s="846"/>
      <c r="L5145" s="846"/>
      <c r="M5145" s="846"/>
      <c r="N5145" s="846"/>
      <c r="O5145" s="846"/>
      <c r="P5145" s="846"/>
      <c r="Q5145" s="846"/>
      <c r="R5145" s="846"/>
      <c r="S5145" s="846"/>
      <c r="T5145" s="846"/>
    </row>
    <row r="5146" spans="2:20" ht="25.5" hidden="1">
      <c r="B5146" s="828" t="s">
        <v>6545</v>
      </c>
      <c r="C5146" s="828">
        <v>95248</v>
      </c>
      <c r="D5146" s="630" t="s">
        <v>5541</v>
      </c>
      <c r="E5146" s="630" t="s">
        <v>646</v>
      </c>
      <c r="F5146" s="829">
        <v>47.57</v>
      </c>
      <c r="G5146" s="830">
        <v>3.06</v>
      </c>
      <c r="H5146" s="831">
        <v>50.63</v>
      </c>
      <c r="I5146" s="846"/>
      <c r="J5146" s="846"/>
      <c r="K5146" s="846"/>
      <c r="L5146" s="846"/>
      <c r="M5146" s="846"/>
      <c r="N5146" s="846"/>
      <c r="O5146" s="846"/>
      <c r="P5146" s="846"/>
      <c r="Q5146" s="846"/>
      <c r="R5146" s="846"/>
      <c r="S5146" s="846"/>
      <c r="T5146" s="846"/>
    </row>
    <row r="5147" spans="2:20" ht="25.5" hidden="1">
      <c r="B5147" s="828" t="s">
        <v>6545</v>
      </c>
      <c r="C5147" s="828">
        <v>95249</v>
      </c>
      <c r="D5147" s="630" t="s">
        <v>5542</v>
      </c>
      <c r="E5147" s="630" t="s">
        <v>646</v>
      </c>
      <c r="F5147" s="829">
        <v>55.25</v>
      </c>
      <c r="G5147" s="830">
        <v>4.6900000000000004</v>
      </c>
      <c r="H5147" s="831">
        <v>59.94</v>
      </c>
      <c r="I5147" s="846"/>
      <c r="J5147" s="846"/>
      <c r="K5147" s="846"/>
      <c r="L5147" s="846"/>
      <c r="M5147" s="846"/>
      <c r="N5147" s="846"/>
      <c r="O5147" s="846"/>
      <c r="P5147" s="846"/>
      <c r="Q5147" s="846"/>
      <c r="R5147" s="846"/>
      <c r="S5147" s="846"/>
      <c r="T5147" s="846"/>
    </row>
    <row r="5148" spans="2:20" ht="25.5" hidden="1">
      <c r="B5148" s="828" t="s">
        <v>6545</v>
      </c>
      <c r="C5148" s="828">
        <v>95250</v>
      </c>
      <c r="D5148" s="630" t="s">
        <v>5543</v>
      </c>
      <c r="E5148" s="630" t="s">
        <v>646</v>
      </c>
      <c r="F5148" s="829">
        <v>74.56</v>
      </c>
      <c r="G5148" s="830">
        <v>6.35</v>
      </c>
      <c r="H5148" s="831">
        <v>80.91</v>
      </c>
      <c r="I5148" s="846"/>
      <c r="J5148" s="846"/>
      <c r="K5148" s="846"/>
      <c r="L5148" s="846"/>
      <c r="M5148" s="846"/>
      <c r="N5148" s="846"/>
      <c r="O5148" s="846"/>
      <c r="P5148" s="846"/>
      <c r="Q5148" s="846"/>
      <c r="R5148" s="846"/>
      <c r="S5148" s="846"/>
      <c r="T5148" s="846"/>
    </row>
    <row r="5149" spans="2:20" ht="25.5" hidden="1">
      <c r="B5149" s="828" t="s">
        <v>6545</v>
      </c>
      <c r="C5149" s="828">
        <v>95251</v>
      </c>
      <c r="D5149" s="630" t="s">
        <v>5544</v>
      </c>
      <c r="E5149" s="630" t="s">
        <v>646</v>
      </c>
      <c r="F5149" s="829">
        <v>110.85</v>
      </c>
      <c r="G5149" s="830">
        <v>8.64</v>
      </c>
      <c r="H5149" s="832">
        <v>119.49</v>
      </c>
      <c r="I5149" s="846"/>
      <c r="J5149" s="846"/>
      <c r="K5149" s="846"/>
      <c r="L5149" s="846"/>
      <c r="M5149" s="846"/>
      <c r="N5149" s="846"/>
      <c r="O5149" s="846"/>
      <c r="P5149" s="846"/>
      <c r="Q5149" s="846"/>
      <c r="R5149" s="846"/>
      <c r="S5149" s="846"/>
      <c r="T5149" s="846"/>
    </row>
    <row r="5150" spans="2:20" ht="25.5" hidden="1">
      <c r="B5150" s="828" t="s">
        <v>6545</v>
      </c>
      <c r="C5150" s="828">
        <v>95252</v>
      </c>
      <c r="D5150" s="630" t="s">
        <v>5545</v>
      </c>
      <c r="E5150" s="630" t="s">
        <v>646</v>
      </c>
      <c r="F5150" s="829">
        <v>133.81</v>
      </c>
      <c r="G5150" s="830">
        <v>11.26</v>
      </c>
      <c r="H5150" s="831">
        <v>145.07</v>
      </c>
      <c r="I5150" s="846"/>
      <c r="J5150" s="846"/>
      <c r="K5150" s="846"/>
      <c r="L5150" s="846"/>
      <c r="M5150" s="846"/>
      <c r="N5150" s="846"/>
      <c r="O5150" s="846"/>
      <c r="P5150" s="846"/>
      <c r="Q5150" s="846"/>
      <c r="R5150" s="846"/>
      <c r="S5150" s="846"/>
      <c r="T5150" s="846"/>
    </row>
    <row r="5151" spans="2:20" ht="25.5" hidden="1">
      <c r="B5151" s="828" t="s">
        <v>6545</v>
      </c>
      <c r="C5151" s="828">
        <v>95253</v>
      </c>
      <c r="D5151" s="630" t="s">
        <v>5546</v>
      </c>
      <c r="E5151" s="630" t="s">
        <v>646</v>
      </c>
      <c r="F5151" s="829">
        <v>205.41</v>
      </c>
      <c r="G5151" s="830">
        <v>14.54</v>
      </c>
      <c r="H5151" s="832">
        <v>219.95</v>
      </c>
      <c r="I5151" s="846"/>
      <c r="J5151" s="846"/>
      <c r="K5151" s="846"/>
      <c r="L5151" s="846"/>
      <c r="M5151" s="846"/>
      <c r="N5151" s="846"/>
      <c r="O5151" s="846"/>
      <c r="P5151" s="846"/>
      <c r="Q5151" s="846"/>
      <c r="R5151" s="846"/>
      <c r="S5151" s="846"/>
      <c r="T5151" s="846"/>
    </row>
    <row r="5152" spans="2:20" ht="25.5" hidden="1">
      <c r="B5152" s="828" t="s">
        <v>6545</v>
      </c>
      <c r="C5152" s="828">
        <v>99619</v>
      </c>
      <c r="D5152" s="630" t="s">
        <v>5767</v>
      </c>
      <c r="E5152" s="630" t="s">
        <v>646</v>
      </c>
      <c r="F5152" s="829">
        <v>94.23</v>
      </c>
      <c r="G5152" s="830">
        <v>4.6900000000000004</v>
      </c>
      <c r="H5152" s="832">
        <v>98.92</v>
      </c>
      <c r="I5152" s="846"/>
      <c r="J5152" s="846"/>
      <c r="K5152" s="846"/>
      <c r="L5152" s="846"/>
      <c r="M5152" s="846"/>
      <c r="N5152" s="846"/>
      <c r="O5152" s="846"/>
      <c r="P5152" s="846"/>
      <c r="Q5152" s="846"/>
      <c r="R5152" s="846"/>
      <c r="S5152" s="846"/>
      <c r="T5152" s="846"/>
    </row>
    <row r="5153" spans="2:20" ht="25.5" hidden="1">
      <c r="B5153" s="828" t="s">
        <v>6545</v>
      </c>
      <c r="C5153" s="828">
        <v>99620</v>
      </c>
      <c r="D5153" s="630" t="s">
        <v>5768</v>
      </c>
      <c r="E5153" s="630" t="s">
        <v>646</v>
      </c>
      <c r="F5153" s="829">
        <v>128.03</v>
      </c>
      <c r="G5153" s="830">
        <v>6.35</v>
      </c>
      <c r="H5153" s="831">
        <v>134.38</v>
      </c>
      <c r="I5153" s="846"/>
      <c r="J5153" s="846"/>
      <c r="K5153" s="846"/>
      <c r="L5153" s="846"/>
      <c r="M5153" s="846"/>
      <c r="N5153" s="846"/>
      <c r="O5153" s="846"/>
      <c r="P5153" s="846"/>
      <c r="Q5153" s="846"/>
      <c r="R5153" s="846"/>
      <c r="S5153" s="846"/>
      <c r="T5153" s="846"/>
    </row>
    <row r="5154" spans="2:20" ht="25.5" hidden="1">
      <c r="B5154" s="828" t="s">
        <v>6545</v>
      </c>
      <c r="C5154" s="828">
        <v>99621</v>
      </c>
      <c r="D5154" s="630" t="s">
        <v>5769</v>
      </c>
      <c r="E5154" s="630" t="s">
        <v>646</v>
      </c>
      <c r="F5154" s="829">
        <v>191.37</v>
      </c>
      <c r="G5154" s="830">
        <v>8.64</v>
      </c>
      <c r="H5154" s="831">
        <v>200.01</v>
      </c>
      <c r="I5154" s="846"/>
      <c r="J5154" s="846"/>
      <c r="K5154" s="846"/>
      <c r="L5154" s="846"/>
      <c r="M5154" s="846"/>
      <c r="N5154" s="846"/>
      <c r="O5154" s="846"/>
      <c r="P5154" s="846"/>
      <c r="Q5154" s="846"/>
      <c r="R5154" s="846"/>
      <c r="S5154" s="846"/>
      <c r="T5154" s="846"/>
    </row>
    <row r="5155" spans="2:20" ht="25.5" hidden="1">
      <c r="B5155" s="828" t="s">
        <v>6545</v>
      </c>
      <c r="C5155" s="828">
        <v>99622</v>
      </c>
      <c r="D5155" s="630" t="s">
        <v>5770</v>
      </c>
      <c r="E5155" s="630" t="s">
        <v>646</v>
      </c>
      <c r="F5155" s="829">
        <v>214.34</v>
      </c>
      <c r="G5155" s="830">
        <v>11.26</v>
      </c>
      <c r="H5155" s="832">
        <v>225.6</v>
      </c>
      <c r="I5155" s="846"/>
      <c r="J5155" s="846"/>
      <c r="K5155" s="846"/>
      <c r="L5155" s="846"/>
      <c r="M5155" s="846"/>
      <c r="N5155" s="846"/>
      <c r="O5155" s="846"/>
      <c r="P5155" s="846"/>
      <c r="Q5155" s="846"/>
      <c r="R5155" s="846"/>
      <c r="S5155" s="846"/>
      <c r="T5155" s="846"/>
    </row>
    <row r="5156" spans="2:20" ht="25.5" hidden="1">
      <c r="B5156" s="828" t="s">
        <v>6545</v>
      </c>
      <c r="C5156" s="828">
        <v>99623</v>
      </c>
      <c r="D5156" s="630" t="s">
        <v>5771</v>
      </c>
      <c r="E5156" s="630" t="s">
        <v>646</v>
      </c>
      <c r="F5156" s="829">
        <v>299.87</v>
      </c>
      <c r="G5156" s="830">
        <v>14.54</v>
      </c>
      <c r="H5156" s="831">
        <v>314.41000000000003</v>
      </c>
      <c r="I5156" s="846"/>
      <c r="J5156" s="846"/>
      <c r="K5156" s="846"/>
      <c r="L5156" s="846"/>
      <c r="M5156" s="846"/>
      <c r="N5156" s="846"/>
      <c r="O5156" s="846"/>
      <c r="P5156" s="846"/>
      <c r="Q5156" s="846"/>
      <c r="R5156" s="846"/>
      <c r="S5156" s="846"/>
      <c r="T5156" s="846"/>
    </row>
    <row r="5157" spans="2:20" ht="25.5" hidden="1">
      <c r="B5157" s="828" t="s">
        <v>6545</v>
      </c>
      <c r="C5157" s="828">
        <v>99624</v>
      </c>
      <c r="D5157" s="630" t="s">
        <v>5772</v>
      </c>
      <c r="E5157" s="630" t="s">
        <v>646</v>
      </c>
      <c r="F5157" s="829">
        <v>428.36</v>
      </c>
      <c r="G5157" s="830">
        <v>19.46</v>
      </c>
      <c r="H5157" s="832">
        <v>447.82</v>
      </c>
      <c r="I5157" s="846"/>
      <c r="J5157" s="846"/>
      <c r="K5157" s="846"/>
      <c r="L5157" s="846"/>
      <c r="M5157" s="846"/>
      <c r="N5157" s="846"/>
      <c r="O5157" s="846"/>
      <c r="P5157" s="846"/>
      <c r="Q5157" s="846"/>
      <c r="R5157" s="846"/>
      <c r="S5157" s="846"/>
      <c r="T5157" s="846"/>
    </row>
    <row r="5158" spans="2:20" ht="25.5" hidden="1">
      <c r="B5158" s="828" t="s">
        <v>6545</v>
      </c>
      <c r="C5158" s="828">
        <v>99625</v>
      </c>
      <c r="D5158" s="630" t="s">
        <v>5773</v>
      </c>
      <c r="E5158" s="630" t="s">
        <v>646</v>
      </c>
      <c r="F5158" s="829">
        <v>590.83000000000004</v>
      </c>
      <c r="G5158" s="830">
        <v>24.39</v>
      </c>
      <c r="H5158" s="832">
        <v>615.22</v>
      </c>
      <c r="I5158" s="846"/>
      <c r="J5158" s="846"/>
      <c r="K5158" s="846"/>
      <c r="L5158" s="846"/>
      <c r="M5158" s="846"/>
      <c r="N5158" s="846"/>
      <c r="O5158" s="846"/>
      <c r="P5158" s="846"/>
      <c r="Q5158" s="846"/>
      <c r="R5158" s="846"/>
      <c r="S5158" s="846"/>
      <c r="T5158" s="846"/>
    </row>
    <row r="5159" spans="2:20" ht="25.5" hidden="1">
      <c r="B5159" s="828" t="s">
        <v>6545</v>
      </c>
      <c r="C5159" s="828">
        <v>99626</v>
      </c>
      <c r="D5159" s="630" t="s">
        <v>5774</v>
      </c>
      <c r="E5159" s="630" t="s">
        <v>646</v>
      </c>
      <c r="F5159" s="829">
        <v>914.27</v>
      </c>
      <c r="G5159" s="830">
        <v>30.94</v>
      </c>
      <c r="H5159" s="831">
        <v>945.21</v>
      </c>
      <c r="I5159" s="846"/>
      <c r="J5159" s="846"/>
      <c r="K5159" s="846"/>
      <c r="L5159" s="846"/>
      <c r="M5159" s="846"/>
      <c r="N5159" s="846"/>
      <c r="O5159" s="846"/>
      <c r="P5159" s="846"/>
      <c r="Q5159" s="846"/>
      <c r="R5159" s="846"/>
      <c r="S5159" s="846"/>
      <c r="T5159" s="846"/>
    </row>
    <row r="5160" spans="2:20" ht="25.5" hidden="1">
      <c r="B5160" s="828" t="s">
        <v>6545</v>
      </c>
      <c r="C5160" s="828">
        <v>99627</v>
      </c>
      <c r="D5160" s="630" t="s">
        <v>5775</v>
      </c>
      <c r="E5160" s="630" t="s">
        <v>646</v>
      </c>
      <c r="F5160" s="829">
        <v>56.72</v>
      </c>
      <c r="G5160" s="830">
        <v>3.06</v>
      </c>
      <c r="H5160" s="832">
        <v>59.78</v>
      </c>
      <c r="I5160" s="846"/>
      <c r="J5160" s="846"/>
      <c r="K5160" s="846"/>
      <c r="L5160" s="846"/>
      <c r="M5160" s="846"/>
      <c r="N5160" s="846"/>
      <c r="O5160" s="846"/>
      <c r="P5160" s="846"/>
      <c r="Q5160" s="846"/>
      <c r="R5160" s="846"/>
      <c r="S5160" s="846"/>
      <c r="T5160" s="846"/>
    </row>
    <row r="5161" spans="2:20" ht="25.5" hidden="1">
      <c r="B5161" s="828" t="s">
        <v>6545</v>
      </c>
      <c r="C5161" s="828">
        <v>99628</v>
      </c>
      <c r="D5161" s="630" t="s">
        <v>5776</v>
      </c>
      <c r="E5161" s="630" t="s">
        <v>646</v>
      </c>
      <c r="F5161" s="829">
        <v>60.96</v>
      </c>
      <c r="G5161" s="830">
        <v>4.6900000000000004</v>
      </c>
      <c r="H5161" s="831">
        <v>65.650000000000006</v>
      </c>
      <c r="I5161" s="846"/>
      <c r="J5161" s="846"/>
      <c r="K5161" s="846"/>
      <c r="L5161" s="846"/>
      <c r="M5161" s="846"/>
      <c r="N5161" s="846"/>
      <c r="O5161" s="846"/>
      <c r="P5161" s="846"/>
      <c r="Q5161" s="846"/>
      <c r="R5161" s="846"/>
      <c r="S5161" s="846"/>
      <c r="T5161" s="846"/>
    </row>
    <row r="5162" spans="2:20" ht="25.5" hidden="1">
      <c r="B5162" s="828" t="s">
        <v>6545</v>
      </c>
      <c r="C5162" s="828">
        <v>99629</v>
      </c>
      <c r="D5162" s="630" t="s">
        <v>5777</v>
      </c>
      <c r="E5162" s="630" t="s">
        <v>646</v>
      </c>
      <c r="F5162" s="829">
        <v>66.959999999999994</v>
      </c>
      <c r="G5162" s="830">
        <v>6.35</v>
      </c>
      <c r="H5162" s="831">
        <v>73.31</v>
      </c>
      <c r="I5162" s="846"/>
      <c r="J5162" s="846"/>
      <c r="K5162" s="846"/>
      <c r="L5162" s="846"/>
      <c r="M5162" s="846"/>
      <c r="N5162" s="846"/>
      <c r="O5162" s="846"/>
      <c r="P5162" s="846"/>
      <c r="Q5162" s="846"/>
      <c r="R5162" s="846"/>
      <c r="S5162" s="846"/>
      <c r="T5162" s="846"/>
    </row>
    <row r="5163" spans="2:20" ht="25.5" hidden="1">
      <c r="B5163" s="828" t="s">
        <v>6545</v>
      </c>
      <c r="C5163" s="828">
        <v>99630</v>
      </c>
      <c r="D5163" s="630" t="s">
        <v>5778</v>
      </c>
      <c r="E5163" s="630" t="s">
        <v>646</v>
      </c>
      <c r="F5163" s="829">
        <v>100.16</v>
      </c>
      <c r="G5163" s="830">
        <v>8.64</v>
      </c>
      <c r="H5163" s="832">
        <v>108.8</v>
      </c>
      <c r="I5163" s="846"/>
      <c r="J5163" s="846"/>
      <c r="K5163" s="846"/>
      <c r="L5163" s="846"/>
      <c r="M5163" s="846"/>
      <c r="N5163" s="846"/>
      <c r="O5163" s="846"/>
      <c r="P5163" s="846"/>
      <c r="Q5163" s="846"/>
      <c r="R5163" s="846"/>
      <c r="S5163" s="846"/>
      <c r="T5163" s="846"/>
    </row>
    <row r="5164" spans="2:20" ht="25.5" hidden="1">
      <c r="B5164" s="828" t="s">
        <v>6545</v>
      </c>
      <c r="C5164" s="828">
        <v>99631</v>
      </c>
      <c r="D5164" s="630" t="s">
        <v>5779</v>
      </c>
      <c r="E5164" s="630" t="s">
        <v>646</v>
      </c>
      <c r="F5164" s="829">
        <v>115.76</v>
      </c>
      <c r="G5164" s="830">
        <v>11.26</v>
      </c>
      <c r="H5164" s="831">
        <v>127.02</v>
      </c>
      <c r="I5164" s="846"/>
      <c r="J5164" s="846"/>
      <c r="K5164" s="846"/>
      <c r="L5164" s="846"/>
      <c r="M5164" s="846"/>
      <c r="N5164" s="846"/>
      <c r="O5164" s="846"/>
      <c r="P5164" s="846"/>
      <c r="Q5164" s="846"/>
      <c r="R5164" s="846"/>
      <c r="S5164" s="846"/>
      <c r="T5164" s="846"/>
    </row>
    <row r="5165" spans="2:20" ht="25.5" hidden="1">
      <c r="B5165" s="828" t="s">
        <v>6545</v>
      </c>
      <c r="C5165" s="828">
        <v>99632</v>
      </c>
      <c r="D5165" s="630" t="s">
        <v>5780</v>
      </c>
      <c r="E5165" s="630" t="s">
        <v>646</v>
      </c>
      <c r="F5165" s="829">
        <v>168.05</v>
      </c>
      <c r="G5165" s="830">
        <v>14.54</v>
      </c>
      <c r="H5165" s="831">
        <v>182.59</v>
      </c>
      <c r="I5165" s="846"/>
      <c r="J5165" s="846"/>
      <c r="K5165" s="846"/>
      <c r="L5165" s="846"/>
      <c r="M5165" s="846"/>
      <c r="N5165" s="846"/>
      <c r="O5165" s="846"/>
      <c r="P5165" s="846"/>
      <c r="Q5165" s="846"/>
      <c r="R5165" s="846"/>
      <c r="S5165" s="846"/>
      <c r="T5165" s="846"/>
    </row>
    <row r="5166" spans="2:20" ht="25.5" hidden="1">
      <c r="B5166" s="828" t="s">
        <v>6545</v>
      </c>
      <c r="C5166" s="828">
        <v>99633</v>
      </c>
      <c r="D5166" s="630" t="s">
        <v>5781</v>
      </c>
      <c r="E5166" s="630" t="s">
        <v>646</v>
      </c>
      <c r="F5166" s="829">
        <v>365.31</v>
      </c>
      <c r="G5166" s="830">
        <v>24.39</v>
      </c>
      <c r="H5166" s="831">
        <v>389.7</v>
      </c>
      <c r="I5166" s="846"/>
      <c r="J5166" s="846"/>
      <c r="K5166" s="846"/>
      <c r="L5166" s="846"/>
      <c r="M5166" s="846"/>
      <c r="N5166" s="846"/>
      <c r="O5166" s="846"/>
      <c r="P5166" s="846"/>
      <c r="Q5166" s="846"/>
      <c r="R5166" s="846"/>
      <c r="S5166" s="846"/>
      <c r="T5166" s="846"/>
    </row>
    <row r="5167" spans="2:20" ht="25.5" hidden="1">
      <c r="B5167" s="828" t="s">
        <v>6545</v>
      </c>
      <c r="C5167" s="828">
        <v>99634</v>
      </c>
      <c r="D5167" s="630" t="s">
        <v>5782</v>
      </c>
      <c r="E5167" s="630" t="s">
        <v>646</v>
      </c>
      <c r="F5167" s="829">
        <v>630.51</v>
      </c>
      <c r="G5167" s="830">
        <v>30.94</v>
      </c>
      <c r="H5167" s="831">
        <v>661.45</v>
      </c>
      <c r="I5167" s="846"/>
      <c r="J5167" s="846"/>
      <c r="K5167" s="846"/>
      <c r="L5167" s="846"/>
      <c r="M5167" s="846"/>
      <c r="N5167" s="846"/>
      <c r="O5167" s="846"/>
      <c r="P5167" s="846"/>
      <c r="Q5167" s="846"/>
      <c r="R5167" s="846"/>
      <c r="S5167" s="846"/>
      <c r="T5167" s="846"/>
    </row>
    <row r="5168" spans="2:20" ht="25.5" hidden="1">
      <c r="B5168" s="828" t="s">
        <v>6545</v>
      </c>
      <c r="C5168" s="828">
        <v>99635</v>
      </c>
      <c r="D5168" s="630" t="s">
        <v>5783</v>
      </c>
      <c r="E5168" s="630" t="s">
        <v>646</v>
      </c>
      <c r="F5168" s="829">
        <v>279.55</v>
      </c>
      <c r="G5168" s="830">
        <v>39.630000000000003</v>
      </c>
      <c r="H5168" s="832">
        <v>319.18</v>
      </c>
      <c r="I5168" s="846"/>
      <c r="J5168" s="846"/>
      <c r="K5168" s="846"/>
      <c r="L5168" s="846"/>
      <c r="M5168" s="846"/>
      <c r="N5168" s="846"/>
      <c r="O5168" s="846"/>
      <c r="P5168" s="846"/>
      <c r="Q5168" s="846"/>
      <c r="R5168" s="846"/>
      <c r="S5168" s="846"/>
      <c r="T5168" s="846"/>
    </row>
    <row r="5169" spans="2:20" ht="25.5" hidden="1">
      <c r="B5169" s="828" t="s">
        <v>6545</v>
      </c>
      <c r="C5169" s="828">
        <v>103008</v>
      </c>
      <c r="D5169" s="630" t="s">
        <v>6384</v>
      </c>
      <c r="E5169" s="630" t="s">
        <v>646</v>
      </c>
      <c r="F5169" s="829">
        <v>77.52</v>
      </c>
      <c r="G5169" s="830">
        <v>3.06</v>
      </c>
      <c r="H5169" s="831">
        <v>80.58</v>
      </c>
      <c r="I5169" s="846"/>
      <c r="J5169" s="846"/>
      <c r="K5169" s="846"/>
      <c r="L5169" s="846"/>
      <c r="M5169" s="846"/>
      <c r="N5169" s="846"/>
      <c r="O5169" s="846"/>
      <c r="P5169" s="846"/>
      <c r="Q5169" s="846"/>
      <c r="R5169" s="846"/>
      <c r="S5169" s="846"/>
      <c r="T5169" s="846"/>
    </row>
    <row r="5170" spans="2:20" ht="25.5" hidden="1">
      <c r="B5170" s="828" t="s">
        <v>6545</v>
      </c>
      <c r="C5170" s="828">
        <v>103009</v>
      </c>
      <c r="D5170" s="630" t="s">
        <v>6385</v>
      </c>
      <c r="E5170" s="630" t="s">
        <v>646</v>
      </c>
      <c r="F5170" s="829">
        <v>268.04000000000002</v>
      </c>
      <c r="G5170" s="830">
        <v>19.46</v>
      </c>
      <c r="H5170" s="832">
        <v>287.5</v>
      </c>
      <c r="I5170" s="846"/>
      <c r="J5170" s="846"/>
      <c r="K5170" s="846"/>
      <c r="L5170" s="846"/>
      <c r="M5170" s="846"/>
      <c r="N5170" s="846"/>
      <c r="O5170" s="846"/>
      <c r="P5170" s="846"/>
      <c r="Q5170" s="846"/>
      <c r="R5170" s="846"/>
      <c r="S5170" s="846"/>
      <c r="T5170" s="846"/>
    </row>
    <row r="5171" spans="2:20" ht="25.5" hidden="1">
      <c r="B5171" s="828" t="s">
        <v>6545</v>
      </c>
      <c r="C5171" s="828">
        <v>103010</v>
      </c>
      <c r="D5171" s="630" t="s">
        <v>6386</v>
      </c>
      <c r="E5171" s="630" t="s">
        <v>646</v>
      </c>
      <c r="F5171" s="829">
        <v>58.77</v>
      </c>
      <c r="G5171" s="830">
        <v>2.33</v>
      </c>
      <c r="H5171" s="832">
        <v>61.1</v>
      </c>
      <c r="I5171" s="846"/>
      <c r="J5171" s="846"/>
      <c r="K5171" s="846"/>
      <c r="L5171" s="846"/>
      <c r="M5171" s="846"/>
      <c r="N5171" s="846"/>
      <c r="O5171" s="846"/>
      <c r="P5171" s="846"/>
      <c r="Q5171" s="846"/>
      <c r="R5171" s="846"/>
      <c r="S5171" s="846"/>
      <c r="T5171" s="846"/>
    </row>
    <row r="5172" spans="2:20" ht="25.5" hidden="1">
      <c r="B5172" s="828" t="s">
        <v>6545</v>
      </c>
      <c r="C5172" s="828">
        <v>103011</v>
      </c>
      <c r="D5172" s="630" t="s">
        <v>6387</v>
      </c>
      <c r="E5172" s="630" t="s">
        <v>646</v>
      </c>
      <c r="F5172" s="829">
        <v>65.16</v>
      </c>
      <c r="G5172" s="830">
        <v>3.15</v>
      </c>
      <c r="H5172" s="832">
        <v>68.31</v>
      </c>
      <c r="I5172" s="846"/>
      <c r="J5172" s="846"/>
      <c r="K5172" s="846"/>
      <c r="L5172" s="846"/>
      <c r="M5172" s="846"/>
      <c r="N5172" s="846"/>
      <c r="O5172" s="846"/>
      <c r="P5172" s="846"/>
      <c r="Q5172" s="846"/>
      <c r="R5172" s="846"/>
      <c r="S5172" s="846"/>
      <c r="T5172" s="846"/>
    </row>
    <row r="5173" spans="2:20" ht="25.5" hidden="1">
      <c r="B5173" s="828" t="s">
        <v>6545</v>
      </c>
      <c r="C5173" s="828">
        <v>103012</v>
      </c>
      <c r="D5173" s="630" t="s">
        <v>6388</v>
      </c>
      <c r="E5173" s="630" t="s">
        <v>646</v>
      </c>
      <c r="F5173" s="829">
        <v>103.18</v>
      </c>
      <c r="G5173" s="830">
        <v>4.3099999999999996</v>
      </c>
      <c r="H5173" s="832">
        <v>107.49</v>
      </c>
      <c r="I5173" s="846"/>
      <c r="J5173" s="846"/>
      <c r="K5173" s="846"/>
      <c r="L5173" s="846"/>
      <c r="M5173" s="846"/>
      <c r="N5173" s="846"/>
      <c r="O5173" s="846"/>
      <c r="P5173" s="846"/>
      <c r="Q5173" s="846"/>
      <c r="R5173" s="846"/>
      <c r="S5173" s="846"/>
      <c r="T5173" s="846"/>
    </row>
    <row r="5174" spans="2:20" ht="25.5" hidden="1">
      <c r="B5174" s="828" t="s">
        <v>6545</v>
      </c>
      <c r="C5174" s="828">
        <v>103013</v>
      </c>
      <c r="D5174" s="630" t="s">
        <v>6389</v>
      </c>
      <c r="E5174" s="630" t="s">
        <v>646</v>
      </c>
      <c r="F5174" s="829">
        <v>110.4</v>
      </c>
      <c r="G5174" s="830">
        <v>5.63</v>
      </c>
      <c r="H5174" s="832">
        <v>116.03</v>
      </c>
      <c r="I5174" s="846"/>
      <c r="J5174" s="846"/>
      <c r="K5174" s="846"/>
      <c r="L5174" s="846"/>
      <c r="M5174" s="846"/>
      <c r="N5174" s="846"/>
      <c r="O5174" s="846"/>
      <c r="P5174" s="846"/>
      <c r="Q5174" s="846"/>
      <c r="R5174" s="846"/>
      <c r="S5174" s="846"/>
      <c r="T5174" s="846"/>
    </row>
    <row r="5175" spans="2:20" ht="25.5" hidden="1">
      <c r="B5175" s="828" t="s">
        <v>6545</v>
      </c>
      <c r="C5175" s="828">
        <v>103014</v>
      </c>
      <c r="D5175" s="630" t="s">
        <v>6390</v>
      </c>
      <c r="E5175" s="630" t="s">
        <v>646</v>
      </c>
      <c r="F5175" s="829">
        <v>166.84</v>
      </c>
      <c r="G5175" s="830">
        <v>7.26</v>
      </c>
      <c r="H5175" s="831">
        <v>174.1</v>
      </c>
      <c r="I5175" s="846"/>
      <c r="J5175" s="846"/>
      <c r="K5175" s="846"/>
      <c r="L5175" s="846"/>
      <c r="M5175" s="846"/>
      <c r="N5175" s="846"/>
      <c r="O5175" s="846"/>
      <c r="P5175" s="846"/>
      <c r="Q5175" s="846"/>
      <c r="R5175" s="846"/>
      <c r="S5175" s="846"/>
      <c r="T5175" s="846"/>
    </row>
    <row r="5176" spans="2:20" ht="25.5" hidden="1">
      <c r="B5176" s="828" t="s">
        <v>6545</v>
      </c>
      <c r="C5176" s="828">
        <v>103015</v>
      </c>
      <c r="D5176" s="630" t="s">
        <v>6391</v>
      </c>
      <c r="E5176" s="630" t="s">
        <v>646</v>
      </c>
      <c r="F5176" s="829">
        <v>297.11</v>
      </c>
      <c r="G5176" s="830">
        <v>9.7200000000000006</v>
      </c>
      <c r="H5176" s="831">
        <v>306.83</v>
      </c>
      <c r="I5176" s="846"/>
      <c r="J5176" s="846"/>
      <c r="K5176" s="846"/>
      <c r="L5176" s="846"/>
      <c r="M5176" s="846"/>
      <c r="N5176" s="846"/>
      <c r="O5176" s="846"/>
      <c r="P5176" s="846"/>
      <c r="Q5176" s="846"/>
      <c r="R5176" s="846"/>
      <c r="S5176" s="846"/>
      <c r="T5176" s="846"/>
    </row>
    <row r="5177" spans="2:20" ht="25.5" hidden="1">
      <c r="B5177" s="828" t="s">
        <v>6545</v>
      </c>
      <c r="C5177" s="828">
        <v>103016</v>
      </c>
      <c r="D5177" s="630" t="s">
        <v>6392</v>
      </c>
      <c r="E5177" s="630" t="s">
        <v>646</v>
      </c>
      <c r="F5177" s="829">
        <v>406.93</v>
      </c>
      <c r="G5177" s="830">
        <v>12.18</v>
      </c>
      <c r="H5177" s="831">
        <v>419.11</v>
      </c>
      <c r="I5177" s="846"/>
      <c r="J5177" s="846"/>
      <c r="K5177" s="846"/>
      <c r="L5177" s="846"/>
      <c r="M5177" s="846"/>
      <c r="N5177" s="846"/>
      <c r="O5177" s="846"/>
      <c r="P5177" s="846"/>
      <c r="Q5177" s="846"/>
      <c r="R5177" s="846"/>
      <c r="S5177" s="846"/>
      <c r="T5177" s="846"/>
    </row>
    <row r="5178" spans="2:20" ht="25.5" hidden="1">
      <c r="B5178" s="828" t="s">
        <v>6545</v>
      </c>
      <c r="C5178" s="828">
        <v>103017</v>
      </c>
      <c r="D5178" s="630" t="s">
        <v>6393</v>
      </c>
      <c r="E5178" s="630" t="s">
        <v>646</v>
      </c>
      <c r="F5178" s="829">
        <v>714.31</v>
      </c>
      <c r="G5178" s="830">
        <v>15.46</v>
      </c>
      <c r="H5178" s="831">
        <v>729.77</v>
      </c>
      <c r="I5178" s="846"/>
      <c r="J5178" s="846"/>
      <c r="K5178" s="846"/>
      <c r="L5178" s="846"/>
      <c r="M5178" s="846"/>
      <c r="N5178" s="846"/>
      <c r="O5178" s="846"/>
      <c r="P5178" s="846"/>
      <c r="Q5178" s="846"/>
      <c r="R5178" s="846"/>
      <c r="S5178" s="846"/>
      <c r="T5178" s="846"/>
    </row>
    <row r="5179" spans="2:20" ht="25.5" hidden="1">
      <c r="B5179" s="828" t="s">
        <v>6545</v>
      </c>
      <c r="C5179" s="828">
        <v>103018</v>
      </c>
      <c r="D5179" s="630" t="s">
        <v>6394</v>
      </c>
      <c r="E5179" s="630" t="s">
        <v>646</v>
      </c>
      <c r="F5179" s="829">
        <v>227.14</v>
      </c>
      <c r="G5179" s="830">
        <v>34.369999999999997</v>
      </c>
      <c r="H5179" s="831">
        <v>261.51</v>
      </c>
      <c r="I5179" s="846"/>
      <c r="J5179" s="846"/>
      <c r="K5179" s="846"/>
      <c r="L5179" s="846"/>
      <c r="M5179" s="846"/>
      <c r="N5179" s="846"/>
      <c r="O5179" s="846"/>
      <c r="P5179" s="846"/>
      <c r="Q5179" s="846"/>
      <c r="R5179" s="846"/>
      <c r="S5179" s="846"/>
      <c r="T5179" s="846"/>
    </row>
    <row r="5180" spans="2:20" ht="38.25" hidden="1">
      <c r="B5180" s="828" t="s">
        <v>6545</v>
      </c>
      <c r="C5180" s="828">
        <v>103019</v>
      </c>
      <c r="D5180" s="630" t="s">
        <v>6395</v>
      </c>
      <c r="E5180" s="630" t="s">
        <v>646</v>
      </c>
      <c r="F5180" s="829">
        <v>234.03</v>
      </c>
      <c r="G5180" s="830">
        <v>19.46</v>
      </c>
      <c r="H5180" s="831">
        <v>253.49</v>
      </c>
      <c r="I5180" s="846"/>
      <c r="J5180" s="846"/>
      <c r="K5180" s="846"/>
      <c r="L5180" s="846"/>
      <c r="M5180" s="846"/>
      <c r="N5180" s="846"/>
      <c r="O5180" s="846"/>
      <c r="P5180" s="846"/>
      <c r="Q5180" s="846"/>
      <c r="R5180" s="846"/>
      <c r="S5180" s="846"/>
      <c r="T5180" s="846"/>
    </row>
    <row r="5181" spans="2:20" ht="25.5" hidden="1">
      <c r="B5181" s="828" t="s">
        <v>6545</v>
      </c>
      <c r="C5181" s="828">
        <v>103029</v>
      </c>
      <c r="D5181" s="630" t="s">
        <v>6396</v>
      </c>
      <c r="E5181" s="630" t="s">
        <v>646</v>
      </c>
      <c r="F5181" s="829">
        <v>39.69</v>
      </c>
      <c r="G5181" s="830">
        <v>4.6900000000000004</v>
      </c>
      <c r="H5181" s="831">
        <v>44.38</v>
      </c>
      <c r="I5181" s="846"/>
      <c r="J5181" s="846"/>
      <c r="K5181" s="846"/>
      <c r="L5181" s="846"/>
      <c r="M5181" s="846"/>
      <c r="N5181" s="846"/>
      <c r="O5181" s="846"/>
      <c r="P5181" s="846"/>
      <c r="Q5181" s="846"/>
      <c r="R5181" s="846"/>
      <c r="S5181" s="846"/>
      <c r="T5181" s="846"/>
    </row>
    <row r="5182" spans="2:20" ht="25.5" hidden="1">
      <c r="B5182" s="828" t="s">
        <v>6545</v>
      </c>
      <c r="C5182" s="828">
        <v>103036</v>
      </c>
      <c r="D5182" s="630" t="s">
        <v>6397</v>
      </c>
      <c r="E5182" s="630" t="s">
        <v>646</v>
      </c>
      <c r="F5182" s="829">
        <v>23.11</v>
      </c>
      <c r="G5182" s="830">
        <v>3.07</v>
      </c>
      <c r="H5182" s="831">
        <v>26.18</v>
      </c>
      <c r="I5182" s="846"/>
      <c r="J5182" s="846"/>
      <c r="K5182" s="846"/>
      <c r="L5182" s="846"/>
      <c r="M5182" s="846"/>
      <c r="N5182" s="846"/>
      <c r="O5182" s="846"/>
      <c r="P5182" s="846"/>
      <c r="Q5182" s="846"/>
      <c r="R5182" s="846"/>
      <c r="S5182" s="846"/>
      <c r="T5182" s="846"/>
    </row>
    <row r="5183" spans="2:20" ht="25.5" hidden="1">
      <c r="B5183" s="828" t="s">
        <v>6545</v>
      </c>
      <c r="C5183" s="828">
        <v>103037</v>
      </c>
      <c r="D5183" s="630" t="s">
        <v>6398</v>
      </c>
      <c r="E5183" s="630" t="s">
        <v>646</v>
      </c>
      <c r="F5183" s="829">
        <v>45.21</v>
      </c>
      <c r="G5183" s="830">
        <v>6.36</v>
      </c>
      <c r="H5183" s="831">
        <v>51.57</v>
      </c>
      <c r="I5183" s="846"/>
      <c r="J5183" s="846"/>
      <c r="K5183" s="846"/>
      <c r="L5183" s="846"/>
      <c r="M5183" s="846"/>
      <c r="N5183" s="846"/>
      <c r="O5183" s="846"/>
      <c r="P5183" s="846"/>
      <c r="Q5183" s="846"/>
      <c r="R5183" s="846"/>
      <c r="S5183" s="846"/>
      <c r="T5183" s="846"/>
    </row>
    <row r="5184" spans="2:20" ht="25.5" hidden="1">
      <c r="B5184" s="828" t="s">
        <v>6545</v>
      </c>
      <c r="C5184" s="828">
        <v>103038</v>
      </c>
      <c r="D5184" s="630" t="s">
        <v>6399</v>
      </c>
      <c r="E5184" s="630" t="s">
        <v>646</v>
      </c>
      <c r="F5184" s="829">
        <v>60.42</v>
      </c>
      <c r="G5184" s="830">
        <v>8.64</v>
      </c>
      <c r="H5184" s="831">
        <v>69.06</v>
      </c>
      <c r="I5184" s="846"/>
      <c r="J5184" s="846"/>
      <c r="K5184" s="846"/>
      <c r="L5184" s="846"/>
      <c r="M5184" s="846"/>
      <c r="N5184" s="846"/>
      <c r="O5184" s="846"/>
      <c r="P5184" s="846"/>
      <c r="Q5184" s="846"/>
      <c r="R5184" s="846"/>
      <c r="S5184" s="846"/>
      <c r="T5184" s="846"/>
    </row>
    <row r="5185" spans="2:20" ht="25.5" hidden="1">
      <c r="B5185" s="828" t="s">
        <v>6545</v>
      </c>
      <c r="C5185" s="828">
        <v>103039</v>
      </c>
      <c r="D5185" s="630" t="s">
        <v>6400</v>
      </c>
      <c r="E5185" s="630" t="s">
        <v>646</v>
      </c>
      <c r="F5185" s="829">
        <v>64.09</v>
      </c>
      <c r="G5185" s="830">
        <v>11.27</v>
      </c>
      <c r="H5185" s="831">
        <v>75.36</v>
      </c>
      <c r="I5185" s="846"/>
      <c r="J5185" s="846"/>
      <c r="K5185" s="846"/>
      <c r="L5185" s="846"/>
      <c r="M5185" s="846"/>
      <c r="N5185" s="846"/>
      <c r="O5185" s="846"/>
      <c r="P5185" s="846"/>
      <c r="Q5185" s="846"/>
      <c r="R5185" s="846"/>
      <c r="S5185" s="846"/>
      <c r="T5185" s="846"/>
    </row>
    <row r="5186" spans="2:20" ht="25.5" hidden="1">
      <c r="B5186" s="828" t="s">
        <v>6545</v>
      </c>
      <c r="C5186" s="828">
        <v>103040</v>
      </c>
      <c r="D5186" s="630" t="s">
        <v>6401</v>
      </c>
      <c r="E5186" s="630" t="s">
        <v>646</v>
      </c>
      <c r="F5186" s="829">
        <v>97.21</v>
      </c>
      <c r="G5186" s="830">
        <v>14.55</v>
      </c>
      <c r="H5186" s="831">
        <v>111.76</v>
      </c>
      <c r="I5186" s="846"/>
      <c r="J5186" s="846"/>
      <c r="K5186" s="846"/>
      <c r="L5186" s="846"/>
      <c r="M5186" s="846"/>
      <c r="N5186" s="846"/>
      <c r="O5186" s="846"/>
      <c r="P5186" s="846"/>
      <c r="Q5186" s="846"/>
      <c r="R5186" s="846"/>
      <c r="S5186" s="846"/>
      <c r="T5186" s="846"/>
    </row>
    <row r="5187" spans="2:20" ht="25.5" hidden="1">
      <c r="B5187" s="828" t="s">
        <v>6545</v>
      </c>
      <c r="C5187" s="828">
        <v>103041</v>
      </c>
      <c r="D5187" s="630" t="s">
        <v>6402</v>
      </c>
      <c r="E5187" s="630" t="s">
        <v>646</v>
      </c>
      <c r="F5187" s="829">
        <v>18.8</v>
      </c>
      <c r="G5187" s="830">
        <v>3.07</v>
      </c>
      <c r="H5187" s="831">
        <v>21.87</v>
      </c>
      <c r="I5187" s="846"/>
      <c r="J5187" s="846"/>
      <c r="K5187" s="846"/>
      <c r="L5187" s="846"/>
      <c r="M5187" s="846"/>
      <c r="N5187" s="846"/>
      <c r="O5187" s="846"/>
      <c r="P5187" s="846"/>
      <c r="Q5187" s="846"/>
      <c r="R5187" s="846"/>
      <c r="S5187" s="846"/>
      <c r="T5187" s="846"/>
    </row>
    <row r="5188" spans="2:20" ht="25.5" hidden="1">
      <c r="B5188" s="828" t="s">
        <v>6545</v>
      </c>
      <c r="C5188" s="828">
        <v>103042</v>
      </c>
      <c r="D5188" s="630" t="s">
        <v>6403</v>
      </c>
      <c r="E5188" s="630" t="s">
        <v>646</v>
      </c>
      <c r="F5188" s="829">
        <v>22.42</v>
      </c>
      <c r="G5188" s="830">
        <v>4.7</v>
      </c>
      <c r="H5188" s="831">
        <v>27.12</v>
      </c>
      <c r="I5188" s="846"/>
      <c r="J5188" s="846"/>
      <c r="K5188" s="846"/>
      <c r="L5188" s="846"/>
      <c r="M5188" s="846"/>
      <c r="N5188" s="846"/>
      <c r="O5188" s="846"/>
      <c r="P5188" s="846"/>
      <c r="Q5188" s="846"/>
      <c r="R5188" s="846"/>
      <c r="S5188" s="846"/>
      <c r="T5188" s="846"/>
    </row>
    <row r="5189" spans="2:20" ht="25.5" hidden="1">
      <c r="B5189" s="828" t="s">
        <v>6545</v>
      </c>
      <c r="C5189" s="828">
        <v>103043</v>
      </c>
      <c r="D5189" s="630" t="s">
        <v>6404</v>
      </c>
      <c r="E5189" s="630" t="s">
        <v>646</v>
      </c>
      <c r="F5189" s="829">
        <v>22.14</v>
      </c>
      <c r="G5189" s="830">
        <v>3.07</v>
      </c>
      <c r="H5189" s="831">
        <v>25.21</v>
      </c>
      <c r="I5189" s="846"/>
      <c r="J5189" s="846"/>
      <c r="K5189" s="846"/>
      <c r="L5189" s="846"/>
      <c r="M5189" s="846"/>
      <c r="N5189" s="846"/>
      <c r="O5189" s="846"/>
      <c r="P5189" s="846"/>
      <c r="Q5189" s="846"/>
      <c r="R5189" s="846"/>
      <c r="S5189" s="846"/>
      <c r="T5189" s="846"/>
    </row>
    <row r="5190" spans="2:20" ht="25.5" hidden="1">
      <c r="B5190" s="828" t="s">
        <v>6545</v>
      </c>
      <c r="C5190" s="828">
        <v>103044</v>
      </c>
      <c r="D5190" s="630" t="s">
        <v>6405</v>
      </c>
      <c r="E5190" s="630" t="s">
        <v>646</v>
      </c>
      <c r="F5190" s="829">
        <v>29.36</v>
      </c>
      <c r="G5190" s="830">
        <v>4.7</v>
      </c>
      <c r="H5190" s="831">
        <v>34.06</v>
      </c>
      <c r="I5190" s="846"/>
      <c r="J5190" s="846"/>
      <c r="K5190" s="846"/>
      <c r="L5190" s="846"/>
      <c r="M5190" s="846"/>
      <c r="N5190" s="846"/>
      <c r="O5190" s="846"/>
      <c r="P5190" s="846"/>
      <c r="Q5190" s="846"/>
      <c r="R5190" s="846"/>
      <c r="S5190" s="846"/>
      <c r="T5190" s="846"/>
    </row>
    <row r="5191" spans="2:20" ht="25.5" hidden="1">
      <c r="B5191" s="828" t="s">
        <v>6545</v>
      </c>
      <c r="C5191" s="828">
        <v>103045</v>
      </c>
      <c r="D5191" s="630" t="s">
        <v>6406</v>
      </c>
      <c r="E5191" s="630" t="s">
        <v>646</v>
      </c>
      <c r="F5191" s="829">
        <v>7.85</v>
      </c>
      <c r="G5191" s="830">
        <v>3.08</v>
      </c>
      <c r="H5191" s="831">
        <v>10.93</v>
      </c>
      <c r="I5191" s="846"/>
      <c r="J5191" s="846"/>
      <c r="K5191" s="846"/>
      <c r="L5191" s="846"/>
      <c r="M5191" s="846"/>
      <c r="N5191" s="846"/>
      <c r="O5191" s="846"/>
      <c r="P5191" s="846"/>
      <c r="Q5191" s="846"/>
      <c r="R5191" s="846"/>
      <c r="S5191" s="846"/>
      <c r="T5191" s="846"/>
    </row>
    <row r="5192" spans="2:20" ht="25.5" hidden="1">
      <c r="B5192" s="828" t="s">
        <v>6545</v>
      </c>
      <c r="C5192" s="828">
        <v>103046</v>
      </c>
      <c r="D5192" s="630" t="s">
        <v>6407</v>
      </c>
      <c r="E5192" s="630" t="s">
        <v>646</v>
      </c>
      <c r="F5192" s="829">
        <v>21.02</v>
      </c>
      <c r="G5192" s="830">
        <v>4.7</v>
      </c>
      <c r="H5192" s="831">
        <v>25.72</v>
      </c>
      <c r="I5192" s="846"/>
      <c r="J5192" s="846"/>
      <c r="K5192" s="846"/>
      <c r="L5192" s="846"/>
      <c r="M5192" s="846"/>
      <c r="N5192" s="846"/>
      <c r="O5192" s="846"/>
      <c r="P5192" s="846"/>
      <c r="Q5192" s="846"/>
      <c r="R5192" s="846"/>
      <c r="S5192" s="846"/>
      <c r="T5192" s="846"/>
    </row>
    <row r="5193" spans="2:20" ht="25.5" hidden="1">
      <c r="B5193" s="828" t="s">
        <v>6545</v>
      </c>
      <c r="C5193" s="828">
        <v>103047</v>
      </c>
      <c r="D5193" s="630" t="s">
        <v>6408</v>
      </c>
      <c r="E5193" s="630" t="s">
        <v>646</v>
      </c>
      <c r="F5193" s="829">
        <v>23.14</v>
      </c>
      <c r="G5193" s="830">
        <v>3.67</v>
      </c>
      <c r="H5193" s="831">
        <v>26.81</v>
      </c>
      <c r="I5193" s="846"/>
      <c r="J5193" s="846"/>
      <c r="K5193" s="846"/>
      <c r="L5193" s="846"/>
      <c r="M5193" s="846"/>
      <c r="N5193" s="846"/>
      <c r="O5193" s="846"/>
      <c r="P5193" s="846"/>
      <c r="Q5193" s="846"/>
      <c r="R5193" s="846"/>
      <c r="S5193" s="846"/>
      <c r="T5193" s="846"/>
    </row>
    <row r="5194" spans="2:20" ht="25.5" hidden="1">
      <c r="B5194" s="828" t="s">
        <v>6545</v>
      </c>
      <c r="C5194" s="828">
        <v>103048</v>
      </c>
      <c r="D5194" s="630" t="s">
        <v>6409</v>
      </c>
      <c r="E5194" s="630" t="s">
        <v>646</v>
      </c>
      <c r="F5194" s="829">
        <v>16.52</v>
      </c>
      <c r="G5194" s="830">
        <v>3.67</v>
      </c>
      <c r="H5194" s="831">
        <v>20.190000000000001</v>
      </c>
      <c r="I5194" s="846"/>
      <c r="J5194" s="846"/>
      <c r="K5194" s="846"/>
      <c r="L5194" s="846"/>
      <c r="M5194" s="846"/>
      <c r="N5194" s="846"/>
      <c r="O5194" s="846"/>
      <c r="P5194" s="846"/>
      <c r="Q5194" s="846"/>
      <c r="R5194" s="846"/>
      <c r="S5194" s="846"/>
      <c r="T5194" s="846"/>
    </row>
    <row r="5195" spans="2:20" ht="25.5" hidden="1">
      <c r="B5195" s="828" t="s">
        <v>6545</v>
      </c>
      <c r="C5195" s="828">
        <v>103049</v>
      </c>
      <c r="D5195" s="630" t="s">
        <v>6410</v>
      </c>
      <c r="E5195" s="630" t="s">
        <v>646</v>
      </c>
      <c r="F5195" s="829">
        <v>18.52</v>
      </c>
      <c r="G5195" s="830">
        <v>3.39</v>
      </c>
      <c r="H5195" s="831">
        <v>21.91</v>
      </c>
      <c r="I5195" s="846"/>
      <c r="J5195" s="846"/>
      <c r="K5195" s="846"/>
      <c r="L5195" s="846"/>
      <c r="M5195" s="846"/>
      <c r="N5195" s="846"/>
      <c r="O5195" s="846"/>
      <c r="P5195" s="846"/>
      <c r="Q5195" s="846"/>
      <c r="R5195" s="846"/>
      <c r="S5195" s="846"/>
      <c r="T5195" s="846"/>
    </row>
    <row r="5196" spans="2:20" ht="25.5" hidden="1">
      <c r="B5196" s="828" t="s">
        <v>6545</v>
      </c>
      <c r="C5196" s="828">
        <v>103050</v>
      </c>
      <c r="D5196" s="630" t="s">
        <v>6411</v>
      </c>
      <c r="E5196" s="630" t="s">
        <v>646</v>
      </c>
      <c r="F5196" s="829">
        <v>10.49</v>
      </c>
      <c r="G5196" s="830">
        <v>16.88</v>
      </c>
      <c r="H5196" s="831">
        <v>27.37</v>
      </c>
      <c r="I5196" s="846"/>
      <c r="J5196" s="846"/>
      <c r="K5196" s="846"/>
      <c r="L5196" s="846"/>
      <c r="M5196" s="846"/>
      <c r="N5196" s="846"/>
      <c r="O5196" s="846"/>
      <c r="P5196" s="846"/>
      <c r="Q5196" s="846"/>
      <c r="R5196" s="846"/>
      <c r="S5196" s="846"/>
      <c r="T5196" s="846"/>
    </row>
    <row r="5197" spans="2:20" ht="25.5" hidden="1">
      <c r="B5197" s="828" t="s">
        <v>6545</v>
      </c>
      <c r="C5197" s="828">
        <v>103051</v>
      </c>
      <c r="D5197" s="630" t="s">
        <v>6412</v>
      </c>
      <c r="E5197" s="630" t="s">
        <v>646</v>
      </c>
      <c r="F5197" s="829">
        <v>12.94</v>
      </c>
      <c r="G5197" s="830">
        <v>20.55</v>
      </c>
      <c r="H5197" s="831">
        <v>33.49</v>
      </c>
      <c r="I5197" s="846"/>
      <c r="J5197" s="846"/>
      <c r="K5197" s="846"/>
      <c r="L5197" s="846"/>
      <c r="M5197" s="846"/>
      <c r="N5197" s="846"/>
      <c r="O5197" s="846"/>
      <c r="P5197" s="846"/>
      <c r="Q5197" s="846"/>
      <c r="R5197" s="846"/>
      <c r="S5197" s="846"/>
      <c r="T5197" s="846"/>
    </row>
    <row r="5198" spans="2:20" ht="25.5" hidden="1">
      <c r="B5198" s="828" t="s">
        <v>6545</v>
      </c>
      <c r="C5198" s="828">
        <v>103052</v>
      </c>
      <c r="D5198" s="630" t="s">
        <v>6413</v>
      </c>
      <c r="E5198" s="630" t="s">
        <v>646</v>
      </c>
      <c r="F5198" s="829">
        <v>20.11</v>
      </c>
      <c r="G5198" s="830">
        <v>25.43</v>
      </c>
      <c r="H5198" s="831">
        <v>45.54</v>
      </c>
      <c r="I5198" s="846"/>
      <c r="J5198" s="846"/>
      <c r="K5198" s="846"/>
      <c r="L5198" s="846"/>
      <c r="M5198" s="846"/>
      <c r="N5198" s="846"/>
      <c r="O5198" s="846"/>
      <c r="P5198" s="846"/>
      <c r="Q5198" s="846"/>
      <c r="R5198" s="846"/>
      <c r="S5198" s="846"/>
      <c r="T5198" s="846"/>
    </row>
    <row r="5199" spans="2:20" ht="38.25" hidden="1">
      <c r="B5199" s="828" t="s">
        <v>6595</v>
      </c>
      <c r="C5199" s="828">
        <v>95634</v>
      </c>
      <c r="D5199" s="630" t="s">
        <v>3090</v>
      </c>
      <c r="E5199" s="630" t="s">
        <v>646</v>
      </c>
      <c r="F5199" s="829">
        <v>128.88999999999999</v>
      </c>
      <c r="G5199" s="830">
        <v>63.08</v>
      </c>
      <c r="H5199" s="831">
        <v>191.97</v>
      </c>
      <c r="I5199" s="846"/>
      <c r="J5199" s="846"/>
      <c r="K5199" s="846"/>
      <c r="L5199" s="846"/>
      <c r="M5199" s="846"/>
      <c r="N5199" s="846"/>
      <c r="O5199" s="846"/>
      <c r="P5199" s="846"/>
      <c r="Q5199" s="846"/>
      <c r="R5199" s="846"/>
      <c r="S5199" s="846"/>
      <c r="T5199" s="846"/>
    </row>
    <row r="5200" spans="2:20" ht="38.25" hidden="1">
      <c r="B5200" s="828" t="s">
        <v>6595</v>
      </c>
      <c r="C5200" s="828">
        <v>95635</v>
      </c>
      <c r="D5200" s="630" t="s">
        <v>3091</v>
      </c>
      <c r="E5200" s="630" t="s">
        <v>646</v>
      </c>
      <c r="F5200" s="829">
        <v>134.38</v>
      </c>
      <c r="G5200" s="830">
        <v>72.959999999999994</v>
      </c>
      <c r="H5200" s="831">
        <v>207.34</v>
      </c>
      <c r="I5200" s="846"/>
      <c r="J5200" s="846"/>
      <c r="K5200" s="846"/>
      <c r="L5200" s="846"/>
      <c r="M5200" s="846"/>
      <c r="N5200" s="846"/>
      <c r="O5200" s="846"/>
      <c r="P5200" s="846"/>
      <c r="Q5200" s="846"/>
      <c r="R5200" s="846"/>
      <c r="S5200" s="846"/>
      <c r="T5200" s="846"/>
    </row>
    <row r="5201" spans="2:20" ht="38.25" hidden="1">
      <c r="B5201" s="828" t="s">
        <v>6595</v>
      </c>
      <c r="C5201" s="828">
        <v>95636</v>
      </c>
      <c r="D5201" s="630" t="s">
        <v>5566</v>
      </c>
      <c r="E5201" s="630" t="s">
        <v>646</v>
      </c>
      <c r="F5201" s="829">
        <v>256.82</v>
      </c>
      <c r="G5201" s="830">
        <v>140.62</v>
      </c>
      <c r="H5201" s="831">
        <v>397.44</v>
      </c>
      <c r="I5201" s="846"/>
      <c r="J5201" s="846"/>
      <c r="K5201" s="846"/>
      <c r="L5201" s="846"/>
      <c r="M5201" s="846"/>
      <c r="N5201" s="846"/>
      <c r="O5201" s="846"/>
      <c r="P5201" s="846"/>
      <c r="Q5201" s="846"/>
      <c r="R5201" s="846"/>
      <c r="S5201" s="846"/>
      <c r="T5201" s="846"/>
    </row>
    <row r="5202" spans="2:20" ht="38.25" hidden="1">
      <c r="B5202" s="828" t="s">
        <v>6595</v>
      </c>
      <c r="C5202" s="828">
        <v>95637</v>
      </c>
      <c r="D5202" s="630" t="s">
        <v>1283</v>
      </c>
      <c r="E5202" s="630" t="s">
        <v>646</v>
      </c>
      <c r="F5202" s="829">
        <v>378.34</v>
      </c>
      <c r="G5202" s="830">
        <v>240.74</v>
      </c>
      <c r="H5202" s="831">
        <v>619.08000000000004</v>
      </c>
      <c r="I5202" s="846"/>
      <c r="J5202" s="846"/>
      <c r="K5202" s="846"/>
      <c r="L5202" s="846"/>
      <c r="M5202" s="846"/>
      <c r="N5202" s="846"/>
      <c r="O5202" s="846"/>
      <c r="P5202" s="846"/>
      <c r="Q5202" s="846"/>
      <c r="R5202" s="846"/>
      <c r="S5202" s="846"/>
      <c r="T5202" s="846"/>
    </row>
    <row r="5203" spans="2:20" ht="38.25" hidden="1">
      <c r="B5203" s="828" t="s">
        <v>6595</v>
      </c>
      <c r="C5203" s="828">
        <v>95638</v>
      </c>
      <c r="D5203" s="630" t="s">
        <v>1284</v>
      </c>
      <c r="E5203" s="630" t="s">
        <v>646</v>
      </c>
      <c r="F5203" s="829">
        <v>472.99</v>
      </c>
      <c r="G5203" s="830">
        <v>277.57</v>
      </c>
      <c r="H5203" s="831">
        <v>750.56</v>
      </c>
      <c r="I5203" s="846"/>
      <c r="J5203" s="846"/>
      <c r="K5203" s="846"/>
      <c r="L5203" s="846"/>
      <c r="M5203" s="846"/>
      <c r="N5203" s="846"/>
      <c r="O5203" s="846"/>
      <c r="P5203" s="846"/>
      <c r="Q5203" s="846"/>
      <c r="R5203" s="846"/>
      <c r="S5203" s="846"/>
      <c r="T5203" s="846"/>
    </row>
    <row r="5204" spans="2:20" ht="38.25" hidden="1">
      <c r="B5204" s="828" t="s">
        <v>6595</v>
      </c>
      <c r="C5204" s="828">
        <v>95639</v>
      </c>
      <c r="D5204" s="630" t="s">
        <v>1285</v>
      </c>
      <c r="E5204" s="630" t="s">
        <v>646</v>
      </c>
      <c r="F5204" s="829">
        <v>668.64</v>
      </c>
      <c r="G5204" s="830">
        <v>285.73</v>
      </c>
      <c r="H5204" s="831">
        <v>954.37</v>
      </c>
      <c r="I5204" s="846"/>
      <c r="J5204" s="846"/>
      <c r="K5204" s="846"/>
      <c r="L5204" s="846"/>
      <c r="M5204" s="846"/>
      <c r="N5204" s="846"/>
      <c r="O5204" s="846"/>
      <c r="P5204" s="846"/>
      <c r="Q5204" s="846"/>
      <c r="R5204" s="846"/>
      <c r="S5204" s="846"/>
      <c r="T5204" s="846"/>
    </row>
    <row r="5205" spans="2:20" ht="38.25" hidden="1">
      <c r="B5205" s="828" t="s">
        <v>6595</v>
      </c>
      <c r="C5205" s="828">
        <v>95641</v>
      </c>
      <c r="D5205" s="630" t="s">
        <v>1276</v>
      </c>
      <c r="E5205" s="630" t="s">
        <v>646</v>
      </c>
      <c r="F5205" s="829">
        <v>226.99</v>
      </c>
      <c r="G5205" s="830">
        <v>109.1</v>
      </c>
      <c r="H5205" s="831">
        <v>336.09</v>
      </c>
      <c r="I5205" s="846"/>
      <c r="J5205" s="846"/>
      <c r="K5205" s="846"/>
      <c r="L5205" s="846"/>
      <c r="M5205" s="846"/>
      <c r="N5205" s="846"/>
      <c r="O5205" s="846"/>
      <c r="P5205" s="846"/>
      <c r="Q5205" s="846"/>
      <c r="R5205" s="846"/>
      <c r="S5205" s="846"/>
      <c r="T5205" s="846"/>
    </row>
    <row r="5206" spans="2:20" ht="38.25" hidden="1">
      <c r="B5206" s="828" t="s">
        <v>6595</v>
      </c>
      <c r="C5206" s="828">
        <v>95642</v>
      </c>
      <c r="D5206" s="630" t="s">
        <v>1277</v>
      </c>
      <c r="E5206" s="630" t="s">
        <v>646</v>
      </c>
      <c r="F5206" s="829">
        <v>335.32</v>
      </c>
      <c r="G5206" s="830">
        <v>161.31</v>
      </c>
      <c r="H5206" s="831">
        <v>496.63</v>
      </c>
      <c r="I5206" s="846"/>
      <c r="J5206" s="846"/>
      <c r="K5206" s="846"/>
      <c r="L5206" s="846"/>
      <c r="M5206" s="846"/>
      <c r="N5206" s="846"/>
      <c r="O5206" s="846"/>
      <c r="P5206" s="846"/>
      <c r="Q5206" s="846"/>
      <c r="R5206" s="846"/>
      <c r="S5206" s="846"/>
      <c r="T5206" s="846"/>
    </row>
    <row r="5207" spans="2:20" ht="38.25" hidden="1">
      <c r="B5207" s="828" t="s">
        <v>6595</v>
      </c>
      <c r="C5207" s="828">
        <v>95643</v>
      </c>
      <c r="D5207" s="630" t="s">
        <v>1278</v>
      </c>
      <c r="E5207" s="630" t="s">
        <v>646</v>
      </c>
      <c r="F5207" s="829">
        <v>439.78</v>
      </c>
      <c r="G5207" s="830">
        <v>209.84</v>
      </c>
      <c r="H5207" s="831">
        <v>649.62</v>
      </c>
      <c r="I5207" s="846"/>
      <c r="J5207" s="846"/>
      <c r="K5207" s="846"/>
      <c r="L5207" s="846"/>
      <c r="M5207" s="846"/>
      <c r="N5207" s="846"/>
      <c r="O5207" s="846"/>
      <c r="P5207" s="846"/>
      <c r="Q5207" s="846"/>
      <c r="R5207" s="846"/>
      <c r="S5207" s="846"/>
      <c r="T5207" s="846"/>
    </row>
    <row r="5208" spans="2:20" ht="38.25" hidden="1">
      <c r="B5208" s="828" t="s">
        <v>6595</v>
      </c>
      <c r="C5208" s="828">
        <v>95644</v>
      </c>
      <c r="D5208" s="630" t="s">
        <v>1279</v>
      </c>
      <c r="E5208" s="630" t="s">
        <v>646</v>
      </c>
      <c r="F5208" s="829">
        <v>175.8</v>
      </c>
      <c r="G5208" s="830">
        <v>69.06</v>
      </c>
      <c r="H5208" s="831">
        <v>244.86</v>
      </c>
      <c r="I5208" s="846"/>
      <c r="J5208" s="846"/>
      <c r="K5208" s="846"/>
      <c r="L5208" s="846"/>
      <c r="M5208" s="846"/>
      <c r="N5208" s="846"/>
      <c r="O5208" s="846"/>
      <c r="P5208" s="846"/>
      <c r="Q5208" s="846"/>
      <c r="R5208" s="846"/>
      <c r="S5208" s="846"/>
      <c r="T5208" s="846"/>
    </row>
    <row r="5209" spans="2:20" ht="38.25" hidden="1">
      <c r="B5209" s="828" t="s">
        <v>6595</v>
      </c>
      <c r="C5209" s="828">
        <v>95645</v>
      </c>
      <c r="D5209" s="630" t="s">
        <v>1280</v>
      </c>
      <c r="E5209" s="630" t="s">
        <v>646</v>
      </c>
      <c r="F5209" s="829">
        <v>325.02</v>
      </c>
      <c r="G5209" s="830">
        <v>122.7</v>
      </c>
      <c r="H5209" s="831">
        <v>447.72</v>
      </c>
      <c r="I5209" s="846"/>
      <c r="J5209" s="846"/>
      <c r="K5209" s="846"/>
      <c r="L5209" s="846"/>
      <c r="M5209" s="846"/>
      <c r="N5209" s="846"/>
      <c r="O5209" s="846"/>
      <c r="P5209" s="846"/>
      <c r="Q5209" s="846"/>
      <c r="R5209" s="846"/>
      <c r="S5209" s="846"/>
      <c r="T5209" s="846"/>
    </row>
    <row r="5210" spans="2:20" ht="38.25" hidden="1">
      <c r="B5210" s="828" t="s">
        <v>6595</v>
      </c>
      <c r="C5210" s="828">
        <v>95646</v>
      </c>
      <c r="D5210" s="630" t="s">
        <v>1281</v>
      </c>
      <c r="E5210" s="630" t="s">
        <v>646</v>
      </c>
      <c r="F5210" s="829">
        <v>484.83</v>
      </c>
      <c r="G5210" s="830">
        <v>182.18</v>
      </c>
      <c r="H5210" s="831">
        <v>667.01</v>
      </c>
      <c r="I5210" s="846"/>
      <c r="J5210" s="846"/>
      <c r="K5210" s="846"/>
      <c r="L5210" s="846"/>
      <c r="M5210" s="846"/>
      <c r="N5210" s="846"/>
      <c r="O5210" s="846"/>
      <c r="P5210" s="846"/>
      <c r="Q5210" s="846"/>
      <c r="R5210" s="846"/>
      <c r="S5210" s="846"/>
      <c r="T5210" s="846"/>
    </row>
    <row r="5211" spans="2:20" ht="38.25" hidden="1">
      <c r="B5211" s="828" t="s">
        <v>6595</v>
      </c>
      <c r="C5211" s="828">
        <v>95647</v>
      </c>
      <c r="D5211" s="630" t="s">
        <v>1282</v>
      </c>
      <c r="E5211" s="630" t="s">
        <v>646</v>
      </c>
      <c r="F5211" s="829">
        <v>637.16</v>
      </c>
      <c r="G5211" s="830">
        <v>237.27</v>
      </c>
      <c r="H5211" s="831">
        <v>874.43</v>
      </c>
      <c r="I5211" s="846"/>
      <c r="J5211" s="846"/>
      <c r="K5211" s="846"/>
      <c r="L5211" s="846"/>
      <c r="M5211" s="846"/>
      <c r="N5211" s="846"/>
      <c r="O5211" s="846"/>
      <c r="P5211" s="846"/>
      <c r="Q5211" s="846"/>
      <c r="R5211" s="846"/>
      <c r="S5211" s="846"/>
      <c r="T5211" s="846"/>
    </row>
    <row r="5212" spans="2:20" ht="25.5" hidden="1">
      <c r="B5212" s="828" t="s">
        <v>6595</v>
      </c>
      <c r="C5212" s="828">
        <v>95673</v>
      </c>
      <c r="D5212" s="630" t="s">
        <v>1286</v>
      </c>
      <c r="E5212" s="630" t="s">
        <v>646</v>
      </c>
      <c r="F5212" s="829">
        <v>121.16</v>
      </c>
      <c r="G5212" s="830">
        <v>19.46</v>
      </c>
      <c r="H5212" s="831">
        <v>140.62</v>
      </c>
      <c r="I5212" s="846"/>
      <c r="J5212" s="846"/>
      <c r="K5212" s="846"/>
      <c r="L5212" s="846"/>
      <c r="M5212" s="846"/>
      <c r="N5212" s="846"/>
      <c r="O5212" s="846"/>
      <c r="P5212" s="846"/>
      <c r="Q5212" s="846"/>
      <c r="R5212" s="846"/>
      <c r="S5212" s="846"/>
      <c r="T5212" s="846"/>
    </row>
    <row r="5213" spans="2:20" ht="25.5" hidden="1">
      <c r="B5213" s="828" t="s">
        <v>6595</v>
      </c>
      <c r="C5213" s="828">
        <v>95674</v>
      </c>
      <c r="D5213" s="630" t="s">
        <v>1287</v>
      </c>
      <c r="E5213" s="630" t="s">
        <v>646</v>
      </c>
      <c r="F5213" s="829">
        <v>129.63999999999999</v>
      </c>
      <c r="G5213" s="830">
        <v>19.46</v>
      </c>
      <c r="H5213" s="831">
        <v>149.1</v>
      </c>
      <c r="I5213" s="846"/>
      <c r="J5213" s="846"/>
      <c r="K5213" s="846"/>
      <c r="L5213" s="846"/>
      <c r="M5213" s="846"/>
      <c r="N5213" s="846"/>
      <c r="O5213" s="846"/>
      <c r="P5213" s="846"/>
      <c r="Q5213" s="846"/>
      <c r="R5213" s="846"/>
      <c r="S5213" s="846"/>
      <c r="T5213" s="846"/>
    </row>
    <row r="5214" spans="2:20" ht="25.5" hidden="1">
      <c r="B5214" s="828" t="s">
        <v>6595</v>
      </c>
      <c r="C5214" s="828">
        <v>95675</v>
      </c>
      <c r="D5214" s="630" t="s">
        <v>1288</v>
      </c>
      <c r="E5214" s="630" t="s">
        <v>646</v>
      </c>
      <c r="F5214" s="829">
        <v>159.41999999999999</v>
      </c>
      <c r="G5214" s="830">
        <v>22.52</v>
      </c>
      <c r="H5214" s="831">
        <v>181.94</v>
      </c>
      <c r="I5214" s="846"/>
      <c r="J5214" s="846"/>
      <c r="K5214" s="846"/>
      <c r="L5214" s="846"/>
      <c r="M5214" s="846"/>
      <c r="N5214" s="846"/>
      <c r="O5214" s="846"/>
      <c r="P5214" s="846"/>
      <c r="Q5214" s="846"/>
      <c r="R5214" s="846"/>
      <c r="S5214" s="846"/>
      <c r="T5214" s="846"/>
    </row>
    <row r="5215" spans="2:20" ht="25.5" hidden="1">
      <c r="B5215" s="828" t="s">
        <v>6595</v>
      </c>
      <c r="C5215" s="828">
        <v>95676</v>
      </c>
      <c r="D5215" s="630" t="s">
        <v>1289</v>
      </c>
      <c r="E5215" s="630" t="s">
        <v>646</v>
      </c>
      <c r="F5215" s="829">
        <v>78.5</v>
      </c>
      <c r="G5215" s="830">
        <v>9.2799999999999994</v>
      </c>
      <c r="H5215" s="831">
        <v>87.78</v>
      </c>
      <c r="I5215" s="846"/>
      <c r="J5215" s="846"/>
      <c r="K5215" s="846"/>
      <c r="L5215" s="846"/>
      <c r="M5215" s="846"/>
      <c r="N5215" s="846"/>
      <c r="O5215" s="846"/>
      <c r="P5215" s="846"/>
      <c r="Q5215" s="846"/>
      <c r="R5215" s="846"/>
      <c r="S5215" s="846"/>
      <c r="T5215" s="846"/>
    </row>
    <row r="5216" spans="2:20" ht="38.25" hidden="1">
      <c r="B5216" s="828" t="s">
        <v>6595</v>
      </c>
      <c r="C5216" s="828">
        <v>97741</v>
      </c>
      <c r="D5216" s="630" t="s">
        <v>2800</v>
      </c>
      <c r="E5216" s="630" t="s">
        <v>646</v>
      </c>
      <c r="F5216" s="829">
        <v>126.29</v>
      </c>
      <c r="G5216" s="830">
        <v>62.17</v>
      </c>
      <c r="H5216" s="831">
        <v>188.46</v>
      </c>
      <c r="I5216" s="846"/>
      <c r="J5216" s="846"/>
      <c r="K5216" s="846"/>
      <c r="L5216" s="846"/>
      <c r="M5216" s="846"/>
      <c r="N5216" s="846"/>
      <c r="O5216" s="846"/>
      <c r="P5216" s="846"/>
      <c r="Q5216" s="846"/>
      <c r="R5216" s="846"/>
      <c r="S5216" s="846"/>
      <c r="T5216" s="846"/>
    </row>
    <row r="5217" spans="2:20" ht="25.5" hidden="1">
      <c r="B5217" s="828" t="s">
        <v>3432</v>
      </c>
      <c r="C5217" s="828">
        <v>90436</v>
      </c>
      <c r="D5217" s="630" t="s">
        <v>457</v>
      </c>
      <c r="E5217" s="630" t="s">
        <v>646</v>
      </c>
      <c r="F5217" s="829">
        <v>3.43</v>
      </c>
      <c r="G5217" s="830">
        <v>13.45</v>
      </c>
      <c r="H5217" s="831">
        <v>16.88</v>
      </c>
      <c r="I5217" s="846"/>
      <c r="J5217" s="846"/>
      <c r="K5217" s="846"/>
      <c r="L5217" s="846"/>
      <c r="M5217" s="846"/>
      <c r="N5217" s="846"/>
      <c r="O5217" s="846"/>
      <c r="P5217" s="846"/>
      <c r="Q5217" s="846"/>
      <c r="R5217" s="846"/>
      <c r="S5217" s="846"/>
      <c r="T5217" s="846"/>
    </row>
    <row r="5218" spans="2:20" ht="25.5" hidden="1">
      <c r="B5218" s="828" t="s">
        <v>3432</v>
      </c>
      <c r="C5218" s="828">
        <v>90437</v>
      </c>
      <c r="D5218" s="630" t="s">
        <v>458</v>
      </c>
      <c r="E5218" s="630" t="s">
        <v>646</v>
      </c>
      <c r="F5218" s="829">
        <v>8.3800000000000008</v>
      </c>
      <c r="G5218" s="830">
        <v>32.64</v>
      </c>
      <c r="H5218" s="831">
        <v>41.02</v>
      </c>
      <c r="I5218" s="846"/>
      <c r="J5218" s="846"/>
      <c r="K5218" s="846"/>
      <c r="L5218" s="846"/>
      <c r="M5218" s="846"/>
      <c r="N5218" s="846"/>
      <c r="O5218" s="846"/>
      <c r="P5218" s="846"/>
      <c r="Q5218" s="846"/>
      <c r="R5218" s="846"/>
      <c r="S5218" s="846"/>
      <c r="T5218" s="846"/>
    </row>
    <row r="5219" spans="2:20" hidden="1">
      <c r="B5219" s="828" t="s">
        <v>3432</v>
      </c>
      <c r="C5219" s="828">
        <v>90438</v>
      </c>
      <c r="D5219" s="630" t="s">
        <v>459</v>
      </c>
      <c r="E5219" s="630" t="s">
        <v>646</v>
      </c>
      <c r="F5219" s="829">
        <v>12.02</v>
      </c>
      <c r="G5219" s="830">
        <v>46.78</v>
      </c>
      <c r="H5219" s="831">
        <v>58.8</v>
      </c>
      <c r="I5219" s="846"/>
      <c r="J5219" s="846"/>
      <c r="K5219" s="846"/>
      <c r="L5219" s="846"/>
      <c r="M5219" s="846"/>
      <c r="N5219" s="846"/>
      <c r="O5219" s="846"/>
      <c r="P5219" s="846"/>
      <c r="Q5219" s="846"/>
      <c r="R5219" s="846"/>
      <c r="S5219" s="846"/>
      <c r="T5219" s="846"/>
    </row>
    <row r="5220" spans="2:20" ht="25.5" hidden="1">
      <c r="B5220" s="828" t="s">
        <v>3432</v>
      </c>
      <c r="C5220" s="828">
        <v>90439</v>
      </c>
      <c r="D5220" s="630" t="s">
        <v>460</v>
      </c>
      <c r="E5220" s="630" t="s">
        <v>646</v>
      </c>
      <c r="F5220" s="829">
        <v>16.809999999999999</v>
      </c>
      <c r="G5220" s="830">
        <v>54.7</v>
      </c>
      <c r="H5220" s="831">
        <v>71.510000000000005</v>
      </c>
      <c r="I5220" s="846"/>
      <c r="J5220" s="846"/>
      <c r="K5220" s="846"/>
      <c r="L5220" s="846"/>
      <c r="M5220" s="846"/>
      <c r="N5220" s="846"/>
      <c r="O5220" s="846"/>
      <c r="P5220" s="846"/>
      <c r="Q5220" s="846"/>
      <c r="R5220" s="846"/>
      <c r="S5220" s="846"/>
      <c r="T5220" s="846"/>
    </row>
    <row r="5221" spans="2:20" ht="25.5" hidden="1">
      <c r="B5221" s="828" t="s">
        <v>3432</v>
      </c>
      <c r="C5221" s="828">
        <v>90440</v>
      </c>
      <c r="D5221" s="630" t="s">
        <v>461</v>
      </c>
      <c r="E5221" s="630" t="s">
        <v>646</v>
      </c>
      <c r="F5221" s="829">
        <v>26.97</v>
      </c>
      <c r="G5221" s="830">
        <v>87.56</v>
      </c>
      <c r="H5221" s="831">
        <v>114.53</v>
      </c>
      <c r="I5221" s="846"/>
      <c r="J5221" s="846"/>
      <c r="K5221" s="846"/>
      <c r="L5221" s="846"/>
      <c r="M5221" s="846"/>
      <c r="N5221" s="846"/>
      <c r="O5221" s="846"/>
      <c r="P5221" s="846"/>
      <c r="Q5221" s="846"/>
      <c r="R5221" s="846"/>
      <c r="S5221" s="846"/>
      <c r="T5221" s="846"/>
    </row>
    <row r="5222" spans="2:20" hidden="1">
      <c r="B5222" s="828" t="s">
        <v>3432</v>
      </c>
      <c r="C5222" s="828">
        <v>90441</v>
      </c>
      <c r="D5222" s="630" t="s">
        <v>462</v>
      </c>
      <c r="E5222" s="630" t="s">
        <v>646</v>
      </c>
      <c r="F5222" s="829">
        <v>34.479999999999997</v>
      </c>
      <c r="G5222" s="830">
        <v>111.81</v>
      </c>
      <c r="H5222" s="831">
        <v>146.29</v>
      </c>
      <c r="I5222" s="846"/>
      <c r="J5222" s="846"/>
      <c r="K5222" s="846"/>
      <c r="L5222" s="846"/>
      <c r="M5222" s="846"/>
      <c r="N5222" s="846"/>
      <c r="O5222" s="846"/>
      <c r="P5222" s="846"/>
      <c r="Q5222" s="846"/>
      <c r="R5222" s="846"/>
      <c r="S5222" s="846"/>
      <c r="T5222" s="846"/>
    </row>
    <row r="5223" spans="2:20" ht="25.5" hidden="1">
      <c r="B5223" s="828" t="s">
        <v>3432</v>
      </c>
      <c r="C5223" s="828">
        <v>90443</v>
      </c>
      <c r="D5223" s="630" t="s">
        <v>1241</v>
      </c>
      <c r="E5223" s="630" t="s">
        <v>648</v>
      </c>
      <c r="F5223" s="829">
        <v>3.1</v>
      </c>
      <c r="G5223" s="830">
        <v>12.24</v>
      </c>
      <c r="H5223" s="831">
        <v>15.34</v>
      </c>
      <c r="I5223" s="846"/>
      <c r="J5223" s="846"/>
      <c r="K5223" s="846"/>
      <c r="L5223" s="846"/>
      <c r="M5223" s="846"/>
      <c r="N5223" s="846"/>
      <c r="O5223" s="846"/>
      <c r="P5223" s="846"/>
      <c r="Q5223" s="846"/>
      <c r="R5223" s="846"/>
      <c r="S5223" s="846"/>
      <c r="T5223" s="846"/>
    </row>
    <row r="5224" spans="2:20" ht="25.5" hidden="1">
      <c r="B5224" s="828" t="s">
        <v>3432</v>
      </c>
      <c r="C5224" s="828">
        <v>90444</v>
      </c>
      <c r="D5224" s="630" t="s">
        <v>463</v>
      </c>
      <c r="E5224" s="630" t="s">
        <v>648</v>
      </c>
      <c r="F5224" s="829">
        <v>7.14</v>
      </c>
      <c r="G5224" s="830">
        <v>23.55</v>
      </c>
      <c r="H5224" s="831">
        <v>30.69</v>
      </c>
      <c r="I5224" s="846"/>
      <c r="J5224" s="846"/>
      <c r="K5224" s="846"/>
      <c r="L5224" s="846"/>
      <c r="M5224" s="846"/>
      <c r="N5224" s="846"/>
      <c r="O5224" s="846"/>
      <c r="P5224" s="846"/>
      <c r="Q5224" s="846"/>
      <c r="R5224" s="846"/>
      <c r="S5224" s="846"/>
      <c r="T5224" s="846"/>
    </row>
    <row r="5225" spans="2:20" ht="25.5" hidden="1">
      <c r="B5225" s="828" t="s">
        <v>3432</v>
      </c>
      <c r="C5225" s="828">
        <v>90445</v>
      </c>
      <c r="D5225" s="630" t="s">
        <v>464</v>
      </c>
      <c r="E5225" s="630" t="s">
        <v>648</v>
      </c>
      <c r="F5225" s="829">
        <v>7.65</v>
      </c>
      <c r="G5225" s="830">
        <v>25.11</v>
      </c>
      <c r="H5225" s="831">
        <v>32.76</v>
      </c>
      <c r="I5225" s="846"/>
      <c r="J5225" s="846"/>
      <c r="K5225" s="846"/>
      <c r="L5225" s="846"/>
      <c r="M5225" s="846"/>
      <c r="N5225" s="846"/>
      <c r="O5225" s="846"/>
      <c r="P5225" s="846"/>
      <c r="Q5225" s="846"/>
      <c r="R5225" s="846"/>
      <c r="S5225" s="846"/>
      <c r="T5225" s="846"/>
    </row>
    <row r="5226" spans="2:20" ht="25.5" hidden="1">
      <c r="B5226" s="828" t="s">
        <v>3432</v>
      </c>
      <c r="C5226" s="828">
        <v>90446</v>
      </c>
      <c r="D5226" s="630" t="s">
        <v>465</v>
      </c>
      <c r="E5226" s="630" t="s">
        <v>648</v>
      </c>
      <c r="F5226" s="829">
        <v>8.3099999999999987</v>
      </c>
      <c r="G5226" s="830">
        <v>27.29</v>
      </c>
      <c r="H5226" s="831">
        <v>35.6</v>
      </c>
      <c r="I5226" s="846"/>
      <c r="J5226" s="846"/>
      <c r="K5226" s="846"/>
      <c r="L5226" s="846"/>
      <c r="M5226" s="846"/>
      <c r="N5226" s="846"/>
      <c r="O5226" s="846"/>
      <c r="P5226" s="846"/>
      <c r="Q5226" s="846"/>
      <c r="R5226" s="846"/>
      <c r="S5226" s="846"/>
      <c r="T5226" s="846"/>
    </row>
    <row r="5227" spans="2:20" ht="25.5" hidden="1">
      <c r="B5227" s="828" t="s">
        <v>3432</v>
      </c>
      <c r="C5227" s="828">
        <v>90447</v>
      </c>
      <c r="D5227" s="630" t="s">
        <v>1057</v>
      </c>
      <c r="E5227" s="630" t="s">
        <v>648</v>
      </c>
      <c r="F5227" s="829">
        <v>1.62</v>
      </c>
      <c r="G5227" s="830">
        <v>6</v>
      </c>
      <c r="H5227" s="831">
        <v>7.62</v>
      </c>
      <c r="I5227" s="846"/>
      <c r="J5227" s="846"/>
      <c r="K5227" s="846"/>
      <c r="L5227" s="846"/>
      <c r="M5227" s="846"/>
      <c r="N5227" s="846"/>
      <c r="O5227" s="846"/>
      <c r="P5227" s="846"/>
      <c r="Q5227" s="846"/>
      <c r="R5227" s="846"/>
      <c r="S5227" s="846"/>
      <c r="T5227" s="846"/>
    </row>
    <row r="5228" spans="2:20" ht="25.5" hidden="1">
      <c r="B5228" s="828" t="s">
        <v>3432</v>
      </c>
      <c r="C5228" s="828">
        <v>90451</v>
      </c>
      <c r="D5228" s="630" t="s">
        <v>1243</v>
      </c>
      <c r="E5228" s="630" t="s">
        <v>646</v>
      </c>
      <c r="F5228" s="829">
        <v>1.68</v>
      </c>
      <c r="G5228" s="830">
        <v>3.24</v>
      </c>
      <c r="H5228" s="831">
        <v>4.92</v>
      </c>
      <c r="I5228" s="846"/>
      <c r="J5228" s="846"/>
      <c r="K5228" s="846"/>
      <c r="L5228" s="846"/>
      <c r="M5228" s="846"/>
      <c r="N5228" s="846"/>
      <c r="O5228" s="846"/>
      <c r="P5228" s="846"/>
      <c r="Q5228" s="846"/>
      <c r="R5228" s="846"/>
      <c r="S5228" s="846"/>
      <c r="T5228" s="846"/>
    </row>
    <row r="5229" spans="2:20" ht="25.5" hidden="1">
      <c r="B5229" s="828" t="s">
        <v>3432</v>
      </c>
      <c r="C5229" s="828">
        <v>90452</v>
      </c>
      <c r="D5229" s="630" t="s">
        <v>1244</v>
      </c>
      <c r="E5229" s="630" t="s">
        <v>646</v>
      </c>
      <c r="F5229" s="829">
        <v>12.37</v>
      </c>
      <c r="G5229" s="830">
        <v>4.91</v>
      </c>
      <c r="H5229" s="831">
        <v>17.28</v>
      </c>
      <c r="I5229" s="846"/>
      <c r="J5229" s="846"/>
      <c r="K5229" s="846"/>
      <c r="L5229" s="846"/>
      <c r="M5229" s="846"/>
      <c r="N5229" s="846"/>
      <c r="O5229" s="846"/>
      <c r="P5229" s="846"/>
      <c r="Q5229" s="846"/>
      <c r="R5229" s="846"/>
      <c r="S5229" s="846"/>
      <c r="T5229" s="846"/>
    </row>
    <row r="5230" spans="2:20" ht="25.5" hidden="1">
      <c r="B5230" s="828" t="s">
        <v>3432</v>
      </c>
      <c r="C5230" s="828">
        <v>90453</v>
      </c>
      <c r="D5230" s="630" t="s">
        <v>466</v>
      </c>
      <c r="E5230" s="630" t="s">
        <v>646</v>
      </c>
      <c r="F5230" s="829">
        <v>1.64</v>
      </c>
      <c r="G5230" s="830">
        <v>1.81</v>
      </c>
      <c r="H5230" s="831">
        <v>3.45</v>
      </c>
      <c r="I5230" s="846"/>
      <c r="J5230" s="846"/>
      <c r="K5230" s="846"/>
      <c r="L5230" s="846"/>
      <c r="M5230" s="846"/>
      <c r="N5230" s="846"/>
      <c r="O5230" s="846"/>
      <c r="P5230" s="846"/>
      <c r="Q5230" s="846"/>
      <c r="R5230" s="846"/>
      <c r="S5230" s="846"/>
      <c r="T5230" s="846"/>
    </row>
    <row r="5231" spans="2:20" ht="25.5" hidden="1">
      <c r="B5231" s="828" t="s">
        <v>3432</v>
      </c>
      <c r="C5231" s="828">
        <v>90454</v>
      </c>
      <c r="D5231" s="630" t="s">
        <v>467</v>
      </c>
      <c r="E5231" s="630" t="s">
        <v>646</v>
      </c>
      <c r="F5231" s="829">
        <v>3.47</v>
      </c>
      <c r="G5231" s="830">
        <v>2.75</v>
      </c>
      <c r="H5231" s="831">
        <v>6.22</v>
      </c>
      <c r="I5231" s="846"/>
      <c r="J5231" s="846"/>
      <c r="K5231" s="846"/>
      <c r="L5231" s="846"/>
      <c r="M5231" s="846"/>
      <c r="N5231" s="846"/>
      <c r="O5231" s="846"/>
      <c r="P5231" s="846"/>
      <c r="Q5231" s="846"/>
      <c r="R5231" s="846"/>
      <c r="S5231" s="846"/>
      <c r="T5231" s="846"/>
    </row>
    <row r="5232" spans="2:20" ht="25.5" hidden="1">
      <c r="B5232" s="828" t="s">
        <v>3432</v>
      </c>
      <c r="C5232" s="828">
        <v>90455</v>
      </c>
      <c r="D5232" s="630" t="s">
        <v>468</v>
      </c>
      <c r="E5232" s="630" t="s">
        <v>646</v>
      </c>
      <c r="F5232" s="829">
        <v>4.12</v>
      </c>
      <c r="G5232" s="830">
        <v>4.01</v>
      </c>
      <c r="H5232" s="831">
        <v>8.1300000000000008</v>
      </c>
      <c r="I5232" s="846"/>
      <c r="J5232" s="846"/>
      <c r="K5232" s="846"/>
      <c r="L5232" s="846"/>
      <c r="M5232" s="846"/>
      <c r="N5232" s="846"/>
      <c r="O5232" s="846"/>
      <c r="P5232" s="846"/>
      <c r="Q5232" s="846"/>
      <c r="R5232" s="846"/>
      <c r="S5232" s="846"/>
      <c r="T5232" s="846"/>
    </row>
    <row r="5233" spans="2:20" ht="25.5" hidden="1">
      <c r="B5233" s="828" t="s">
        <v>3432</v>
      </c>
      <c r="C5233" s="828">
        <v>90456</v>
      </c>
      <c r="D5233" s="630" t="s">
        <v>226</v>
      </c>
      <c r="E5233" s="630" t="s">
        <v>646</v>
      </c>
      <c r="F5233" s="829">
        <v>0.96</v>
      </c>
      <c r="G5233" s="830">
        <v>3.97</v>
      </c>
      <c r="H5233" s="831">
        <v>4.93</v>
      </c>
      <c r="I5233" s="846"/>
      <c r="J5233" s="846"/>
      <c r="K5233" s="846"/>
      <c r="L5233" s="846"/>
      <c r="M5233" s="846"/>
      <c r="N5233" s="846"/>
      <c r="O5233" s="846"/>
      <c r="P5233" s="846"/>
      <c r="Q5233" s="846"/>
      <c r="R5233" s="846"/>
      <c r="S5233" s="846"/>
      <c r="T5233" s="846"/>
    </row>
    <row r="5234" spans="2:20" ht="25.5" hidden="1">
      <c r="B5234" s="828" t="s">
        <v>3432</v>
      </c>
      <c r="C5234" s="828">
        <v>90457</v>
      </c>
      <c r="D5234" s="630" t="s">
        <v>227</v>
      </c>
      <c r="E5234" s="630" t="s">
        <v>646</v>
      </c>
      <c r="F5234" s="829">
        <v>2.2400000000000002</v>
      </c>
      <c r="G5234" s="830">
        <v>8.99</v>
      </c>
      <c r="H5234" s="831">
        <v>11.23</v>
      </c>
      <c r="I5234" s="846"/>
      <c r="J5234" s="846"/>
      <c r="K5234" s="846"/>
      <c r="L5234" s="846"/>
      <c r="M5234" s="846"/>
      <c r="N5234" s="846"/>
      <c r="O5234" s="846"/>
      <c r="P5234" s="846"/>
      <c r="Q5234" s="846"/>
      <c r="R5234" s="846"/>
      <c r="S5234" s="846"/>
      <c r="T5234" s="846"/>
    </row>
    <row r="5235" spans="2:20" ht="25.5" hidden="1">
      <c r="B5235" s="828" t="s">
        <v>3432</v>
      </c>
      <c r="C5235" s="828">
        <v>90458</v>
      </c>
      <c r="D5235" s="630" t="s">
        <v>228</v>
      </c>
      <c r="E5235" s="630" t="s">
        <v>646</v>
      </c>
      <c r="F5235" s="829">
        <v>6.47</v>
      </c>
      <c r="G5235" s="830">
        <v>25.4</v>
      </c>
      <c r="H5235" s="831">
        <v>31.87</v>
      </c>
      <c r="I5235" s="846"/>
      <c r="J5235" s="846"/>
      <c r="K5235" s="846"/>
      <c r="L5235" s="846"/>
      <c r="M5235" s="846"/>
      <c r="N5235" s="846"/>
      <c r="O5235" s="846"/>
      <c r="P5235" s="846"/>
      <c r="Q5235" s="846"/>
      <c r="R5235" s="846"/>
      <c r="S5235" s="846"/>
      <c r="T5235" s="846"/>
    </row>
    <row r="5236" spans="2:20" ht="25.5" hidden="1">
      <c r="B5236" s="828" t="s">
        <v>3432</v>
      </c>
      <c r="C5236" s="828">
        <v>90459</v>
      </c>
      <c r="D5236" s="630" t="s">
        <v>229</v>
      </c>
      <c r="E5236" s="630" t="s">
        <v>646</v>
      </c>
      <c r="F5236" s="829">
        <v>9.18</v>
      </c>
      <c r="G5236" s="830">
        <v>35.78</v>
      </c>
      <c r="H5236" s="831">
        <v>44.96</v>
      </c>
      <c r="I5236" s="846"/>
      <c r="J5236" s="846"/>
      <c r="K5236" s="846"/>
      <c r="L5236" s="846"/>
      <c r="M5236" s="846"/>
      <c r="N5236" s="846"/>
      <c r="O5236" s="846"/>
      <c r="P5236" s="846"/>
      <c r="Q5236" s="846"/>
      <c r="R5236" s="846"/>
      <c r="S5236" s="846"/>
      <c r="T5236" s="846"/>
    </row>
    <row r="5237" spans="2:20" ht="38.25" hidden="1">
      <c r="B5237" s="828" t="s">
        <v>3432</v>
      </c>
      <c r="C5237" s="828">
        <v>90460</v>
      </c>
      <c r="D5237" s="630" t="s">
        <v>4333</v>
      </c>
      <c r="E5237" s="630" t="s">
        <v>648</v>
      </c>
      <c r="F5237" s="829">
        <v>10.82</v>
      </c>
      <c r="G5237" s="830">
        <v>1.44</v>
      </c>
      <c r="H5237" s="831">
        <v>12.26</v>
      </c>
      <c r="I5237" s="846"/>
      <c r="J5237" s="846"/>
      <c r="K5237" s="846"/>
      <c r="L5237" s="846"/>
      <c r="M5237" s="846"/>
      <c r="N5237" s="846"/>
      <c r="O5237" s="846"/>
      <c r="P5237" s="846"/>
      <c r="Q5237" s="846"/>
      <c r="R5237" s="846"/>
      <c r="S5237" s="846"/>
      <c r="T5237" s="846"/>
    </row>
    <row r="5238" spans="2:20" ht="38.25" hidden="1">
      <c r="B5238" s="828" t="s">
        <v>3432</v>
      </c>
      <c r="C5238" s="828">
        <v>90461</v>
      </c>
      <c r="D5238" s="630" t="s">
        <v>4334</v>
      </c>
      <c r="E5238" s="630" t="s">
        <v>648</v>
      </c>
      <c r="F5238" s="829">
        <v>6.46</v>
      </c>
      <c r="G5238" s="830">
        <v>1.65</v>
      </c>
      <c r="H5238" s="831">
        <v>8.11</v>
      </c>
      <c r="I5238" s="846"/>
      <c r="J5238" s="846"/>
      <c r="K5238" s="846"/>
      <c r="L5238" s="846"/>
      <c r="M5238" s="846"/>
      <c r="N5238" s="846"/>
      <c r="O5238" s="846"/>
      <c r="P5238" s="846"/>
      <c r="Q5238" s="846"/>
      <c r="R5238" s="846"/>
      <c r="S5238" s="846"/>
      <c r="T5238" s="846"/>
    </row>
    <row r="5239" spans="2:20" ht="38.25" hidden="1">
      <c r="B5239" s="828" t="s">
        <v>3432</v>
      </c>
      <c r="C5239" s="828">
        <v>90462</v>
      </c>
      <c r="D5239" s="630" t="s">
        <v>4335</v>
      </c>
      <c r="E5239" s="630" t="s">
        <v>648</v>
      </c>
      <c r="F5239" s="829">
        <v>1.27</v>
      </c>
      <c r="G5239" s="830">
        <v>0.39</v>
      </c>
      <c r="H5239" s="831">
        <v>1.66</v>
      </c>
      <c r="I5239" s="846"/>
      <c r="J5239" s="846"/>
      <c r="K5239" s="846"/>
      <c r="L5239" s="846"/>
      <c r="M5239" s="846"/>
      <c r="N5239" s="846"/>
      <c r="O5239" s="846"/>
      <c r="P5239" s="846"/>
      <c r="Q5239" s="846"/>
      <c r="R5239" s="846"/>
      <c r="S5239" s="846"/>
      <c r="T5239" s="846"/>
    </row>
    <row r="5240" spans="2:20" ht="38.25" hidden="1">
      <c r="B5240" s="828" t="s">
        <v>3432</v>
      </c>
      <c r="C5240" s="828">
        <v>90463</v>
      </c>
      <c r="D5240" s="630" t="s">
        <v>4336</v>
      </c>
      <c r="E5240" s="630" t="s">
        <v>648</v>
      </c>
      <c r="F5240" s="829">
        <v>1.02</v>
      </c>
      <c r="G5240" s="830">
        <v>0.44</v>
      </c>
      <c r="H5240" s="831">
        <v>1.46</v>
      </c>
      <c r="I5240" s="846"/>
      <c r="J5240" s="846"/>
      <c r="K5240" s="846"/>
      <c r="L5240" s="846"/>
      <c r="M5240" s="846"/>
      <c r="N5240" s="846"/>
      <c r="O5240" s="846"/>
      <c r="P5240" s="846"/>
      <c r="Q5240" s="846"/>
      <c r="R5240" s="846"/>
      <c r="S5240" s="846"/>
      <c r="T5240" s="846"/>
    </row>
    <row r="5241" spans="2:20" ht="25.5" hidden="1">
      <c r="B5241" s="828" t="s">
        <v>3432</v>
      </c>
      <c r="C5241" s="828">
        <v>90466</v>
      </c>
      <c r="D5241" s="630" t="s">
        <v>230</v>
      </c>
      <c r="E5241" s="630" t="s">
        <v>648</v>
      </c>
      <c r="F5241" s="829">
        <v>4.04</v>
      </c>
      <c r="G5241" s="830">
        <v>11.01</v>
      </c>
      <c r="H5241" s="831">
        <v>15.05</v>
      </c>
      <c r="I5241" s="846"/>
      <c r="J5241" s="846"/>
      <c r="K5241" s="846"/>
      <c r="L5241" s="846"/>
      <c r="M5241" s="846"/>
      <c r="N5241" s="846"/>
      <c r="O5241" s="846"/>
      <c r="P5241" s="846"/>
      <c r="Q5241" s="846"/>
      <c r="R5241" s="846"/>
      <c r="S5241" s="846"/>
      <c r="T5241" s="846"/>
    </row>
    <row r="5242" spans="2:20" ht="38.25" hidden="1">
      <c r="B5242" s="828" t="s">
        <v>3432</v>
      </c>
      <c r="C5242" s="828">
        <v>90467</v>
      </c>
      <c r="D5242" s="630" t="s">
        <v>231</v>
      </c>
      <c r="E5242" s="630" t="s">
        <v>648</v>
      </c>
      <c r="F5242" s="829">
        <v>6.5</v>
      </c>
      <c r="G5242" s="830">
        <v>17.28</v>
      </c>
      <c r="H5242" s="831">
        <v>23.78</v>
      </c>
      <c r="I5242" s="846"/>
      <c r="J5242" s="846"/>
      <c r="K5242" s="846"/>
      <c r="L5242" s="846"/>
      <c r="M5242" s="846"/>
      <c r="N5242" s="846"/>
      <c r="O5242" s="846"/>
      <c r="P5242" s="846"/>
      <c r="Q5242" s="846"/>
      <c r="R5242" s="846"/>
      <c r="S5242" s="846"/>
      <c r="T5242" s="846"/>
    </row>
    <row r="5243" spans="2:20" ht="25.5" hidden="1">
      <c r="B5243" s="828" t="s">
        <v>3432</v>
      </c>
      <c r="C5243" s="828">
        <v>90468</v>
      </c>
      <c r="D5243" s="630" t="s">
        <v>232</v>
      </c>
      <c r="E5243" s="630" t="s">
        <v>648</v>
      </c>
      <c r="F5243" s="829">
        <v>2.29</v>
      </c>
      <c r="G5243" s="830">
        <v>4.16</v>
      </c>
      <c r="H5243" s="831">
        <v>6.45</v>
      </c>
      <c r="I5243" s="846"/>
      <c r="J5243" s="846"/>
      <c r="K5243" s="846"/>
      <c r="L5243" s="846"/>
      <c r="M5243" s="846"/>
      <c r="N5243" s="846"/>
      <c r="O5243" s="846"/>
      <c r="P5243" s="846"/>
      <c r="Q5243" s="846"/>
      <c r="R5243" s="846"/>
      <c r="S5243" s="846"/>
      <c r="T5243" s="846"/>
    </row>
    <row r="5244" spans="2:20" ht="38.25" hidden="1">
      <c r="B5244" s="828" t="s">
        <v>3432</v>
      </c>
      <c r="C5244" s="828">
        <v>90469</v>
      </c>
      <c r="D5244" s="630" t="s">
        <v>233</v>
      </c>
      <c r="E5244" s="630" t="s">
        <v>648</v>
      </c>
      <c r="F5244" s="829">
        <v>3.75</v>
      </c>
      <c r="G5244" s="830">
        <v>6.57</v>
      </c>
      <c r="H5244" s="831">
        <v>10.32</v>
      </c>
      <c r="I5244" s="846"/>
      <c r="J5244" s="846"/>
      <c r="K5244" s="846"/>
      <c r="L5244" s="846"/>
      <c r="M5244" s="846"/>
      <c r="N5244" s="846"/>
      <c r="O5244" s="846"/>
      <c r="P5244" s="846"/>
      <c r="Q5244" s="846"/>
      <c r="R5244" s="846"/>
      <c r="S5244" s="846"/>
      <c r="T5244" s="846"/>
    </row>
    <row r="5245" spans="2:20" ht="25.5" hidden="1">
      <c r="B5245" s="828" t="s">
        <v>3432</v>
      </c>
      <c r="C5245" s="828">
        <v>90470</v>
      </c>
      <c r="D5245" s="630" t="s">
        <v>57</v>
      </c>
      <c r="E5245" s="630" t="s">
        <v>648</v>
      </c>
      <c r="F5245" s="829">
        <v>5.56</v>
      </c>
      <c r="G5245" s="830">
        <v>8.5299999999999994</v>
      </c>
      <c r="H5245" s="831">
        <v>14.09</v>
      </c>
      <c r="I5245" s="846"/>
      <c r="J5245" s="846"/>
      <c r="K5245" s="846"/>
      <c r="L5245" s="846"/>
      <c r="M5245" s="846"/>
      <c r="N5245" s="846"/>
      <c r="O5245" s="846"/>
      <c r="P5245" s="846"/>
      <c r="Q5245" s="846"/>
      <c r="R5245" s="846"/>
      <c r="S5245" s="846"/>
      <c r="T5245" s="846"/>
    </row>
    <row r="5246" spans="2:20" ht="38.25" hidden="1">
      <c r="B5246" s="828" t="s">
        <v>3432</v>
      </c>
      <c r="C5246" s="828">
        <v>91166</v>
      </c>
      <c r="D5246" s="630" t="s">
        <v>1247</v>
      </c>
      <c r="E5246" s="630" t="s">
        <v>648</v>
      </c>
      <c r="F5246" s="829">
        <v>2.2000000000000002</v>
      </c>
      <c r="G5246" s="830">
        <v>1.97</v>
      </c>
      <c r="H5246" s="831">
        <v>4.17</v>
      </c>
      <c r="I5246" s="846"/>
      <c r="J5246" s="846"/>
      <c r="K5246" s="846"/>
      <c r="L5246" s="846"/>
      <c r="M5246" s="846"/>
      <c r="N5246" s="846"/>
      <c r="O5246" s="846"/>
      <c r="P5246" s="846"/>
      <c r="Q5246" s="846"/>
      <c r="R5246" s="846"/>
      <c r="S5246" s="846"/>
      <c r="T5246" s="846"/>
    </row>
    <row r="5247" spans="2:20" ht="38.25" hidden="1">
      <c r="B5247" s="828" t="s">
        <v>3432</v>
      </c>
      <c r="C5247" s="828">
        <v>91167</v>
      </c>
      <c r="D5247" s="630" t="s">
        <v>1248</v>
      </c>
      <c r="E5247" s="630" t="s">
        <v>648</v>
      </c>
      <c r="F5247" s="829">
        <v>6.34</v>
      </c>
      <c r="G5247" s="830">
        <v>7.22</v>
      </c>
      <c r="H5247" s="831">
        <v>13.56</v>
      </c>
      <c r="I5247" s="846"/>
      <c r="J5247" s="846"/>
      <c r="K5247" s="846"/>
      <c r="L5247" s="846"/>
      <c r="M5247" s="846"/>
      <c r="N5247" s="846"/>
      <c r="O5247" s="846"/>
      <c r="P5247" s="846"/>
      <c r="Q5247" s="846"/>
      <c r="R5247" s="846"/>
      <c r="S5247" s="846"/>
      <c r="T5247" s="846"/>
    </row>
    <row r="5248" spans="2:20" ht="38.25" hidden="1">
      <c r="B5248" s="828" t="s">
        <v>3432</v>
      </c>
      <c r="C5248" s="828">
        <v>91168</v>
      </c>
      <c r="D5248" s="630" t="s">
        <v>1249</v>
      </c>
      <c r="E5248" s="630" t="s">
        <v>648</v>
      </c>
      <c r="F5248" s="829">
        <v>4.93</v>
      </c>
      <c r="G5248" s="830">
        <v>5.32</v>
      </c>
      <c r="H5248" s="831">
        <v>10.25</v>
      </c>
      <c r="I5248" s="846"/>
      <c r="J5248" s="846"/>
      <c r="K5248" s="846"/>
      <c r="L5248" s="846"/>
      <c r="M5248" s="846"/>
      <c r="N5248" s="846"/>
      <c r="O5248" s="846"/>
      <c r="P5248" s="846"/>
      <c r="Q5248" s="846"/>
      <c r="R5248" s="846"/>
      <c r="S5248" s="846"/>
      <c r="T5248" s="846"/>
    </row>
    <row r="5249" spans="2:20" ht="38.25" hidden="1">
      <c r="B5249" s="828" t="s">
        <v>3432</v>
      </c>
      <c r="C5249" s="828">
        <v>91169</v>
      </c>
      <c r="D5249" s="630" t="s">
        <v>1250</v>
      </c>
      <c r="E5249" s="630" t="s">
        <v>648</v>
      </c>
      <c r="F5249" s="829">
        <v>5.79</v>
      </c>
      <c r="G5249" s="830">
        <v>6.36</v>
      </c>
      <c r="H5249" s="831">
        <v>12.15</v>
      </c>
      <c r="I5249" s="846"/>
      <c r="J5249" s="846"/>
      <c r="K5249" s="846"/>
      <c r="L5249" s="846"/>
      <c r="M5249" s="846"/>
      <c r="N5249" s="846"/>
      <c r="O5249" s="846"/>
      <c r="P5249" s="846"/>
      <c r="Q5249" s="846"/>
      <c r="R5249" s="846"/>
      <c r="S5249" s="846"/>
      <c r="T5249" s="846"/>
    </row>
    <row r="5250" spans="2:20" ht="51" hidden="1">
      <c r="B5250" s="828" t="s">
        <v>3432</v>
      </c>
      <c r="C5250" s="828">
        <v>91170</v>
      </c>
      <c r="D5250" s="630" t="s">
        <v>1251</v>
      </c>
      <c r="E5250" s="630" t="s">
        <v>648</v>
      </c>
      <c r="F5250" s="829">
        <v>1.6</v>
      </c>
      <c r="G5250" s="830">
        <v>1.89</v>
      </c>
      <c r="H5250" s="831">
        <v>3.49</v>
      </c>
      <c r="I5250" s="846"/>
      <c r="J5250" s="846"/>
      <c r="K5250" s="846"/>
      <c r="L5250" s="846"/>
      <c r="M5250" s="846"/>
      <c r="N5250" s="846"/>
      <c r="O5250" s="846"/>
      <c r="P5250" s="846"/>
      <c r="Q5250" s="846"/>
      <c r="R5250" s="846"/>
      <c r="S5250" s="846"/>
      <c r="T5250" s="846"/>
    </row>
    <row r="5251" spans="2:20" ht="51" hidden="1">
      <c r="B5251" s="828" t="s">
        <v>3432</v>
      </c>
      <c r="C5251" s="828">
        <v>91171</v>
      </c>
      <c r="D5251" s="630" t="s">
        <v>1252</v>
      </c>
      <c r="E5251" s="630" t="s">
        <v>648</v>
      </c>
      <c r="F5251" s="829">
        <v>2.0699999999999998</v>
      </c>
      <c r="G5251" s="830">
        <v>2.29</v>
      </c>
      <c r="H5251" s="831">
        <v>4.3600000000000003</v>
      </c>
      <c r="I5251" s="846"/>
      <c r="J5251" s="846"/>
      <c r="K5251" s="846"/>
      <c r="L5251" s="846"/>
      <c r="M5251" s="846"/>
      <c r="N5251" s="846"/>
      <c r="O5251" s="846"/>
      <c r="P5251" s="846"/>
      <c r="Q5251" s="846"/>
      <c r="R5251" s="846"/>
      <c r="S5251" s="846"/>
      <c r="T5251" s="846"/>
    </row>
    <row r="5252" spans="2:20" ht="38.25" hidden="1">
      <c r="B5252" s="828" t="s">
        <v>3432</v>
      </c>
      <c r="C5252" s="828">
        <v>91172</v>
      </c>
      <c r="D5252" s="630" t="s">
        <v>1253</v>
      </c>
      <c r="E5252" s="630" t="s">
        <v>648</v>
      </c>
      <c r="F5252" s="829">
        <v>3.04</v>
      </c>
      <c r="G5252" s="830">
        <v>3.37</v>
      </c>
      <c r="H5252" s="831">
        <v>6.41</v>
      </c>
      <c r="I5252" s="846"/>
      <c r="J5252" s="846"/>
      <c r="K5252" s="846"/>
      <c r="L5252" s="846"/>
      <c r="M5252" s="846"/>
      <c r="N5252" s="846"/>
      <c r="O5252" s="846"/>
      <c r="P5252" s="846"/>
      <c r="Q5252" s="846"/>
      <c r="R5252" s="846"/>
      <c r="S5252" s="846"/>
      <c r="T5252" s="846"/>
    </row>
    <row r="5253" spans="2:20" ht="38.25" hidden="1">
      <c r="B5253" s="828" t="s">
        <v>3432</v>
      </c>
      <c r="C5253" s="828">
        <v>91173</v>
      </c>
      <c r="D5253" s="630" t="s">
        <v>1254</v>
      </c>
      <c r="E5253" s="630" t="s">
        <v>648</v>
      </c>
      <c r="F5253" s="829">
        <v>0.81</v>
      </c>
      <c r="G5253" s="830">
        <v>0.96</v>
      </c>
      <c r="H5253" s="831">
        <v>1.77</v>
      </c>
      <c r="I5253" s="846"/>
      <c r="J5253" s="846"/>
      <c r="K5253" s="846"/>
      <c r="L5253" s="846"/>
      <c r="M5253" s="846"/>
      <c r="N5253" s="846"/>
      <c r="O5253" s="846"/>
      <c r="P5253" s="846"/>
      <c r="Q5253" s="846"/>
      <c r="R5253" s="846"/>
      <c r="S5253" s="846"/>
      <c r="T5253" s="846"/>
    </row>
    <row r="5254" spans="2:20" ht="38.25" hidden="1">
      <c r="B5254" s="828" t="s">
        <v>3432</v>
      </c>
      <c r="C5254" s="828">
        <v>91174</v>
      </c>
      <c r="D5254" s="630" t="s">
        <v>1255</v>
      </c>
      <c r="E5254" s="630" t="s">
        <v>648</v>
      </c>
      <c r="F5254" s="829">
        <v>1.65</v>
      </c>
      <c r="G5254" s="830">
        <v>1.82</v>
      </c>
      <c r="H5254" s="831">
        <v>3.47</v>
      </c>
      <c r="I5254" s="846"/>
      <c r="J5254" s="846"/>
      <c r="K5254" s="846"/>
      <c r="L5254" s="846"/>
      <c r="M5254" s="846"/>
      <c r="N5254" s="846"/>
      <c r="O5254" s="846"/>
      <c r="P5254" s="846"/>
      <c r="Q5254" s="846"/>
      <c r="R5254" s="846"/>
      <c r="S5254" s="846"/>
      <c r="T5254" s="846"/>
    </row>
    <row r="5255" spans="2:20" ht="38.25" hidden="1">
      <c r="B5255" s="828" t="s">
        <v>3432</v>
      </c>
      <c r="C5255" s="828">
        <v>91175</v>
      </c>
      <c r="D5255" s="630" t="s">
        <v>1256</v>
      </c>
      <c r="E5255" s="630" t="s">
        <v>648</v>
      </c>
      <c r="F5255" s="829">
        <v>2.66</v>
      </c>
      <c r="G5255" s="830">
        <v>2.97</v>
      </c>
      <c r="H5255" s="831">
        <v>5.63</v>
      </c>
      <c r="I5255" s="846"/>
      <c r="J5255" s="846"/>
      <c r="K5255" s="846"/>
      <c r="L5255" s="846"/>
      <c r="M5255" s="846"/>
      <c r="N5255" s="846"/>
      <c r="O5255" s="846"/>
      <c r="P5255" s="846"/>
      <c r="Q5255" s="846"/>
      <c r="R5255" s="846"/>
      <c r="S5255" s="846"/>
      <c r="T5255" s="846"/>
    </row>
    <row r="5256" spans="2:20" ht="38.25" hidden="1">
      <c r="B5256" s="828" t="s">
        <v>3432</v>
      </c>
      <c r="C5256" s="828">
        <v>91176</v>
      </c>
      <c r="D5256" s="630" t="s">
        <v>2586</v>
      </c>
      <c r="E5256" s="630" t="s">
        <v>648</v>
      </c>
      <c r="F5256" s="829">
        <v>15.75</v>
      </c>
      <c r="G5256" s="830">
        <v>14.71</v>
      </c>
      <c r="H5256" s="831">
        <v>30.46</v>
      </c>
      <c r="I5256" s="846"/>
      <c r="J5256" s="846"/>
      <c r="K5256" s="846"/>
      <c r="L5256" s="846"/>
      <c r="M5256" s="846"/>
      <c r="N5256" s="846"/>
      <c r="O5256" s="846"/>
      <c r="P5256" s="846"/>
      <c r="Q5256" s="846"/>
      <c r="R5256" s="846"/>
      <c r="S5256" s="846"/>
      <c r="T5256" s="846"/>
    </row>
    <row r="5257" spans="2:20" ht="38.25" hidden="1">
      <c r="B5257" s="828" t="s">
        <v>3432</v>
      </c>
      <c r="C5257" s="828">
        <v>91177</v>
      </c>
      <c r="D5257" s="630" t="s">
        <v>2587</v>
      </c>
      <c r="E5257" s="630" t="s">
        <v>648</v>
      </c>
      <c r="F5257" s="829">
        <v>6.69</v>
      </c>
      <c r="G5257" s="830">
        <v>8.25</v>
      </c>
      <c r="H5257" s="831">
        <v>14.94</v>
      </c>
      <c r="I5257" s="846"/>
      <c r="J5257" s="846"/>
      <c r="K5257" s="846"/>
      <c r="L5257" s="846"/>
      <c r="M5257" s="846"/>
      <c r="N5257" s="846"/>
      <c r="O5257" s="846"/>
      <c r="P5257" s="846"/>
      <c r="Q5257" s="846"/>
      <c r="R5257" s="846"/>
      <c r="S5257" s="846"/>
      <c r="T5257" s="846"/>
    </row>
    <row r="5258" spans="2:20" ht="38.25" hidden="1">
      <c r="B5258" s="828" t="s">
        <v>3432</v>
      </c>
      <c r="C5258" s="828">
        <v>91178</v>
      </c>
      <c r="D5258" s="630" t="s">
        <v>2588</v>
      </c>
      <c r="E5258" s="630" t="s">
        <v>648</v>
      </c>
      <c r="F5258" s="829">
        <v>8.43</v>
      </c>
      <c r="G5258" s="830">
        <v>8.49</v>
      </c>
      <c r="H5258" s="831">
        <v>16.920000000000002</v>
      </c>
      <c r="I5258" s="846"/>
      <c r="J5258" s="846"/>
      <c r="K5258" s="846"/>
      <c r="L5258" s="846"/>
      <c r="M5258" s="846"/>
      <c r="N5258" s="846"/>
      <c r="O5258" s="846"/>
      <c r="P5258" s="846"/>
      <c r="Q5258" s="846"/>
      <c r="R5258" s="846"/>
      <c r="S5258" s="846"/>
      <c r="T5258" s="846"/>
    </row>
    <row r="5259" spans="2:20" ht="38.25" hidden="1">
      <c r="B5259" s="828" t="s">
        <v>3432</v>
      </c>
      <c r="C5259" s="828">
        <v>91179</v>
      </c>
      <c r="D5259" s="630" t="s">
        <v>2589</v>
      </c>
      <c r="E5259" s="630" t="s">
        <v>648</v>
      </c>
      <c r="F5259" s="829">
        <v>4.0199999999999996</v>
      </c>
      <c r="G5259" s="830">
        <v>3.8</v>
      </c>
      <c r="H5259" s="831">
        <v>7.82</v>
      </c>
      <c r="I5259" s="846"/>
      <c r="J5259" s="846"/>
      <c r="K5259" s="846"/>
      <c r="L5259" s="846"/>
      <c r="M5259" s="846"/>
      <c r="N5259" s="846"/>
      <c r="O5259" s="846"/>
      <c r="P5259" s="846"/>
      <c r="Q5259" s="846"/>
      <c r="R5259" s="846"/>
      <c r="S5259" s="846"/>
      <c r="T5259" s="846"/>
    </row>
    <row r="5260" spans="2:20" ht="38.25" hidden="1">
      <c r="B5260" s="828" t="s">
        <v>3432</v>
      </c>
      <c r="C5260" s="828">
        <v>91180</v>
      </c>
      <c r="D5260" s="630" t="s">
        <v>2590</v>
      </c>
      <c r="E5260" s="630" t="s">
        <v>648</v>
      </c>
      <c r="F5260" s="829">
        <v>3.62</v>
      </c>
      <c r="G5260" s="830">
        <v>3.5</v>
      </c>
      <c r="H5260" s="831">
        <v>7.12</v>
      </c>
      <c r="I5260" s="846"/>
      <c r="J5260" s="846"/>
      <c r="K5260" s="846"/>
      <c r="L5260" s="846"/>
      <c r="M5260" s="846"/>
      <c r="N5260" s="846"/>
      <c r="O5260" s="846"/>
      <c r="P5260" s="846"/>
      <c r="Q5260" s="846"/>
      <c r="R5260" s="846"/>
      <c r="S5260" s="846"/>
      <c r="T5260" s="846"/>
    </row>
    <row r="5261" spans="2:20" ht="38.25" hidden="1">
      <c r="B5261" s="828" t="s">
        <v>3432</v>
      </c>
      <c r="C5261" s="828">
        <v>91181</v>
      </c>
      <c r="D5261" s="630" t="s">
        <v>2591</v>
      </c>
      <c r="E5261" s="630" t="s">
        <v>648</v>
      </c>
      <c r="F5261" s="829">
        <v>3.61</v>
      </c>
      <c r="G5261" s="830">
        <v>4.5</v>
      </c>
      <c r="H5261" s="831">
        <v>8.11</v>
      </c>
      <c r="I5261" s="846"/>
      <c r="J5261" s="846"/>
      <c r="K5261" s="846"/>
      <c r="L5261" s="846"/>
      <c r="M5261" s="846"/>
      <c r="N5261" s="846"/>
      <c r="O5261" s="846"/>
      <c r="P5261" s="846"/>
      <c r="Q5261" s="846"/>
      <c r="R5261" s="846"/>
      <c r="S5261" s="846"/>
      <c r="T5261" s="846"/>
    </row>
    <row r="5262" spans="2:20" ht="38.25" hidden="1">
      <c r="B5262" s="828" t="s">
        <v>3432</v>
      </c>
      <c r="C5262" s="828">
        <v>91182</v>
      </c>
      <c r="D5262" s="630" t="s">
        <v>58</v>
      </c>
      <c r="E5262" s="630" t="s">
        <v>648</v>
      </c>
      <c r="F5262" s="829">
        <v>9.51</v>
      </c>
      <c r="G5262" s="830">
        <v>22.08</v>
      </c>
      <c r="H5262" s="831">
        <v>31.59</v>
      </c>
      <c r="I5262" s="846"/>
      <c r="J5262" s="846"/>
      <c r="K5262" s="846"/>
      <c r="L5262" s="846"/>
      <c r="M5262" s="846"/>
      <c r="N5262" s="846"/>
      <c r="O5262" s="846"/>
      <c r="P5262" s="846"/>
      <c r="Q5262" s="846"/>
      <c r="R5262" s="846"/>
      <c r="S5262" s="846"/>
      <c r="T5262" s="846"/>
    </row>
    <row r="5263" spans="2:20" ht="38.25" hidden="1">
      <c r="B5263" s="828" t="s">
        <v>3432</v>
      </c>
      <c r="C5263" s="828">
        <v>91183</v>
      </c>
      <c r="D5263" s="630" t="s">
        <v>59</v>
      </c>
      <c r="E5263" s="630" t="s">
        <v>648</v>
      </c>
      <c r="F5263" s="829">
        <v>4.51</v>
      </c>
      <c r="G5263" s="830">
        <v>11.08</v>
      </c>
      <c r="H5263" s="831">
        <v>15.59</v>
      </c>
      <c r="I5263" s="846"/>
      <c r="J5263" s="846"/>
      <c r="K5263" s="846"/>
      <c r="L5263" s="846"/>
      <c r="M5263" s="846"/>
      <c r="N5263" s="846"/>
      <c r="O5263" s="846"/>
      <c r="P5263" s="846"/>
      <c r="Q5263" s="846"/>
      <c r="R5263" s="846"/>
      <c r="S5263" s="846"/>
      <c r="T5263" s="846"/>
    </row>
    <row r="5264" spans="2:20" ht="38.25" hidden="1">
      <c r="B5264" s="828" t="s">
        <v>3432</v>
      </c>
      <c r="C5264" s="828">
        <v>91184</v>
      </c>
      <c r="D5264" s="630" t="s">
        <v>60</v>
      </c>
      <c r="E5264" s="630" t="s">
        <v>648</v>
      </c>
      <c r="F5264" s="829">
        <v>4.01</v>
      </c>
      <c r="G5264" s="830">
        <v>10.58</v>
      </c>
      <c r="H5264" s="831">
        <v>14.59</v>
      </c>
      <c r="I5264" s="846"/>
      <c r="J5264" s="846"/>
      <c r="K5264" s="846"/>
      <c r="L5264" s="846"/>
      <c r="M5264" s="846"/>
      <c r="N5264" s="846"/>
      <c r="O5264" s="846"/>
      <c r="P5264" s="846"/>
      <c r="Q5264" s="846"/>
      <c r="R5264" s="846"/>
      <c r="S5264" s="846"/>
      <c r="T5264" s="846"/>
    </row>
    <row r="5265" spans="2:20" ht="38.25" hidden="1">
      <c r="B5265" s="828" t="s">
        <v>3432</v>
      </c>
      <c r="C5265" s="828">
        <v>91185</v>
      </c>
      <c r="D5265" s="630" t="s">
        <v>85</v>
      </c>
      <c r="E5265" s="630" t="s">
        <v>648</v>
      </c>
      <c r="F5265" s="829">
        <v>2.4</v>
      </c>
      <c r="G5265" s="830">
        <v>5.7</v>
      </c>
      <c r="H5265" s="831">
        <v>8.1</v>
      </c>
      <c r="I5265" s="846"/>
      <c r="J5265" s="846"/>
      <c r="K5265" s="846"/>
      <c r="L5265" s="846"/>
      <c r="M5265" s="846"/>
      <c r="N5265" s="846"/>
      <c r="O5265" s="846"/>
      <c r="P5265" s="846"/>
      <c r="Q5265" s="846"/>
      <c r="R5265" s="846"/>
      <c r="S5265" s="846"/>
      <c r="T5265" s="846"/>
    </row>
    <row r="5266" spans="2:20" ht="38.25" hidden="1">
      <c r="B5266" s="828" t="s">
        <v>3432</v>
      </c>
      <c r="C5266" s="828">
        <v>91186</v>
      </c>
      <c r="D5266" s="630" t="s">
        <v>86</v>
      </c>
      <c r="E5266" s="630" t="s">
        <v>648</v>
      </c>
      <c r="F5266" s="829">
        <v>1.92</v>
      </c>
      <c r="G5266" s="830">
        <v>4.7300000000000004</v>
      </c>
      <c r="H5266" s="831">
        <v>6.65</v>
      </c>
      <c r="I5266" s="846"/>
      <c r="J5266" s="846"/>
      <c r="K5266" s="846"/>
      <c r="L5266" s="846"/>
      <c r="M5266" s="846"/>
      <c r="N5266" s="846"/>
      <c r="O5266" s="846"/>
      <c r="P5266" s="846"/>
      <c r="Q5266" s="846"/>
      <c r="R5266" s="846"/>
      <c r="S5266" s="846"/>
      <c r="T5266" s="846"/>
    </row>
    <row r="5267" spans="2:20" ht="38.25" hidden="1">
      <c r="B5267" s="828" t="s">
        <v>3432</v>
      </c>
      <c r="C5267" s="828">
        <v>91187</v>
      </c>
      <c r="D5267" s="630" t="s">
        <v>87</v>
      </c>
      <c r="E5267" s="630" t="s">
        <v>648</v>
      </c>
      <c r="F5267" s="829">
        <v>2.08</v>
      </c>
      <c r="G5267" s="830">
        <v>5.63</v>
      </c>
      <c r="H5267" s="831">
        <v>7.71</v>
      </c>
      <c r="I5267" s="846"/>
      <c r="J5267" s="846"/>
      <c r="K5267" s="846"/>
      <c r="L5267" s="846"/>
      <c r="M5267" s="846"/>
      <c r="N5267" s="846"/>
      <c r="O5267" s="846"/>
      <c r="P5267" s="846"/>
      <c r="Q5267" s="846"/>
      <c r="R5267" s="846"/>
      <c r="S5267" s="846"/>
      <c r="T5267" s="846"/>
    </row>
    <row r="5268" spans="2:20" ht="25.5" hidden="1">
      <c r="B5268" s="828" t="s">
        <v>3432</v>
      </c>
      <c r="C5268" s="828">
        <v>91188</v>
      </c>
      <c r="D5268" s="630" t="s">
        <v>1245</v>
      </c>
      <c r="E5268" s="630" t="s">
        <v>646</v>
      </c>
      <c r="F5268" s="829">
        <v>2.82</v>
      </c>
      <c r="G5268" s="830">
        <v>5.27</v>
      </c>
      <c r="H5268" s="831">
        <v>8.09</v>
      </c>
      <c r="I5268" s="846"/>
      <c r="J5268" s="846"/>
      <c r="K5268" s="846"/>
      <c r="L5268" s="846"/>
      <c r="M5268" s="846"/>
      <c r="N5268" s="846"/>
      <c r="O5268" s="846"/>
      <c r="P5268" s="846"/>
      <c r="Q5268" s="846"/>
      <c r="R5268" s="846"/>
      <c r="S5268" s="846"/>
      <c r="T5268" s="846"/>
    </row>
    <row r="5269" spans="2:20" ht="25.5" hidden="1">
      <c r="B5269" s="828" t="s">
        <v>3432</v>
      </c>
      <c r="C5269" s="828">
        <v>91189</v>
      </c>
      <c r="D5269" s="630" t="s">
        <v>1246</v>
      </c>
      <c r="E5269" s="630" t="s">
        <v>646</v>
      </c>
      <c r="F5269" s="829">
        <v>29.99</v>
      </c>
      <c r="G5269" s="830">
        <v>23.54</v>
      </c>
      <c r="H5269" s="831">
        <v>53.53</v>
      </c>
      <c r="I5269" s="846"/>
      <c r="J5269" s="846"/>
      <c r="K5269" s="846"/>
      <c r="L5269" s="846"/>
      <c r="M5269" s="846"/>
      <c r="N5269" s="846"/>
      <c r="O5269" s="846"/>
      <c r="P5269" s="846"/>
      <c r="Q5269" s="846"/>
      <c r="R5269" s="846"/>
      <c r="S5269" s="846"/>
      <c r="T5269" s="846"/>
    </row>
    <row r="5270" spans="2:20" ht="25.5" hidden="1">
      <c r="B5270" s="828" t="s">
        <v>3432</v>
      </c>
      <c r="C5270" s="828">
        <v>91190</v>
      </c>
      <c r="D5270" s="630" t="s">
        <v>307</v>
      </c>
      <c r="E5270" s="630" t="s">
        <v>646</v>
      </c>
      <c r="F5270" s="829">
        <v>1.45</v>
      </c>
      <c r="G5270" s="830">
        <v>4.4000000000000004</v>
      </c>
      <c r="H5270" s="831">
        <v>5.85</v>
      </c>
      <c r="I5270" s="846"/>
      <c r="J5270" s="846"/>
      <c r="K5270" s="846"/>
      <c r="L5270" s="846"/>
      <c r="M5270" s="846"/>
      <c r="N5270" s="846"/>
      <c r="O5270" s="846"/>
      <c r="P5270" s="846"/>
      <c r="Q5270" s="846"/>
      <c r="R5270" s="846"/>
      <c r="S5270" s="846"/>
      <c r="T5270" s="846"/>
    </row>
    <row r="5271" spans="2:20" ht="25.5" hidden="1">
      <c r="B5271" s="828" t="s">
        <v>3432</v>
      </c>
      <c r="C5271" s="828">
        <v>91191</v>
      </c>
      <c r="D5271" s="630" t="s">
        <v>308</v>
      </c>
      <c r="E5271" s="630" t="s">
        <v>646</v>
      </c>
      <c r="F5271" s="829">
        <v>1.52</v>
      </c>
      <c r="G5271" s="830">
        <v>4.68</v>
      </c>
      <c r="H5271" s="831">
        <v>6.2</v>
      </c>
      <c r="I5271" s="846"/>
      <c r="J5271" s="846"/>
      <c r="K5271" s="846"/>
      <c r="L5271" s="846"/>
      <c r="M5271" s="846"/>
      <c r="N5271" s="846"/>
      <c r="O5271" s="846"/>
      <c r="P5271" s="846"/>
      <c r="Q5271" s="846"/>
      <c r="R5271" s="846"/>
      <c r="S5271" s="846"/>
      <c r="T5271" s="846"/>
    </row>
    <row r="5272" spans="2:20" ht="25.5" hidden="1">
      <c r="B5272" s="828" t="s">
        <v>3432</v>
      </c>
      <c r="C5272" s="828">
        <v>91192</v>
      </c>
      <c r="D5272" s="630" t="s">
        <v>309</v>
      </c>
      <c r="E5272" s="630" t="s">
        <v>646</v>
      </c>
      <c r="F5272" s="829">
        <v>1.68</v>
      </c>
      <c r="G5272" s="830">
        <v>5.21</v>
      </c>
      <c r="H5272" s="831">
        <v>6.89</v>
      </c>
      <c r="I5272" s="846"/>
      <c r="J5272" s="846"/>
      <c r="K5272" s="846"/>
      <c r="L5272" s="846"/>
      <c r="M5272" s="846"/>
      <c r="N5272" s="846"/>
      <c r="O5272" s="846"/>
      <c r="P5272" s="846"/>
      <c r="Q5272" s="846"/>
      <c r="R5272" s="846"/>
      <c r="S5272" s="846"/>
      <c r="T5272" s="846"/>
    </row>
    <row r="5273" spans="2:20" ht="25.5" hidden="1">
      <c r="B5273" s="828" t="s">
        <v>3432</v>
      </c>
      <c r="C5273" s="828">
        <v>91222</v>
      </c>
      <c r="D5273" s="630" t="s">
        <v>1242</v>
      </c>
      <c r="E5273" s="630" t="s">
        <v>648</v>
      </c>
      <c r="F5273" s="829">
        <v>3.35</v>
      </c>
      <c r="G5273" s="830">
        <v>13.17</v>
      </c>
      <c r="H5273" s="831">
        <v>16.52</v>
      </c>
      <c r="I5273" s="846"/>
      <c r="J5273" s="846"/>
      <c r="K5273" s="846"/>
      <c r="L5273" s="846"/>
      <c r="M5273" s="846"/>
      <c r="N5273" s="846"/>
      <c r="O5273" s="846"/>
      <c r="P5273" s="846"/>
      <c r="Q5273" s="846"/>
      <c r="R5273" s="846"/>
      <c r="S5273" s="846"/>
      <c r="T5273" s="846"/>
    </row>
    <row r="5274" spans="2:20" ht="38.25" hidden="1">
      <c r="B5274" s="828" t="s">
        <v>3432</v>
      </c>
      <c r="C5274" s="828">
        <v>94480</v>
      </c>
      <c r="D5274" s="630" t="s">
        <v>1678</v>
      </c>
      <c r="E5274" s="630" t="s">
        <v>646</v>
      </c>
      <c r="F5274" s="829">
        <v>2109.9699999999998</v>
      </c>
      <c r="G5274" s="830">
        <v>758.82</v>
      </c>
      <c r="H5274" s="831">
        <v>2868.79</v>
      </c>
      <c r="I5274" s="846"/>
      <c r="J5274" s="846"/>
      <c r="K5274" s="846"/>
      <c r="L5274" s="846"/>
      <c r="M5274" s="846"/>
      <c r="N5274" s="846"/>
      <c r="O5274" s="846"/>
      <c r="P5274" s="846"/>
      <c r="Q5274" s="846"/>
      <c r="R5274" s="846"/>
      <c r="S5274" s="846"/>
      <c r="T5274" s="846"/>
    </row>
    <row r="5275" spans="2:20" ht="38.25" hidden="1">
      <c r="B5275" s="828" t="s">
        <v>3432</v>
      </c>
      <c r="C5275" s="828">
        <v>94481</v>
      </c>
      <c r="D5275" s="630" t="s">
        <v>1679</v>
      </c>
      <c r="E5275" s="630" t="s">
        <v>646</v>
      </c>
      <c r="F5275" s="829">
        <v>1367.35</v>
      </c>
      <c r="G5275" s="830">
        <v>674.79</v>
      </c>
      <c r="H5275" s="831">
        <v>2042.14</v>
      </c>
      <c r="I5275" s="846"/>
      <c r="J5275" s="846"/>
      <c r="K5275" s="846"/>
      <c r="L5275" s="846"/>
      <c r="M5275" s="846"/>
      <c r="N5275" s="846"/>
      <c r="O5275" s="846"/>
      <c r="P5275" s="846"/>
      <c r="Q5275" s="846"/>
      <c r="R5275" s="846"/>
      <c r="S5275" s="846"/>
      <c r="T5275" s="846"/>
    </row>
    <row r="5276" spans="2:20" ht="38.25" hidden="1">
      <c r="B5276" s="828" t="s">
        <v>3432</v>
      </c>
      <c r="C5276" s="828">
        <v>94482</v>
      </c>
      <c r="D5276" s="630" t="s">
        <v>1680</v>
      </c>
      <c r="E5276" s="630" t="s">
        <v>646</v>
      </c>
      <c r="F5276" s="829">
        <v>1010.42</v>
      </c>
      <c r="G5276" s="830">
        <v>614.39</v>
      </c>
      <c r="H5276" s="831">
        <v>1624.81</v>
      </c>
      <c r="I5276" s="846"/>
      <c r="J5276" s="846"/>
      <c r="K5276" s="846"/>
      <c r="L5276" s="846"/>
      <c r="M5276" s="846"/>
      <c r="N5276" s="846"/>
      <c r="O5276" s="846"/>
      <c r="P5276" s="846"/>
      <c r="Q5276" s="846"/>
      <c r="R5276" s="846"/>
      <c r="S5276" s="846"/>
      <c r="T5276" s="846"/>
    </row>
    <row r="5277" spans="2:20" ht="38.25" hidden="1">
      <c r="B5277" s="828" t="s">
        <v>3432</v>
      </c>
      <c r="C5277" s="828">
        <v>94483</v>
      </c>
      <c r="D5277" s="630" t="s">
        <v>1681</v>
      </c>
      <c r="E5277" s="630" t="s">
        <v>646</v>
      </c>
      <c r="F5277" s="829">
        <v>809.96</v>
      </c>
      <c r="G5277" s="830">
        <v>564.72</v>
      </c>
      <c r="H5277" s="831">
        <v>1374.68</v>
      </c>
      <c r="I5277" s="846"/>
      <c r="J5277" s="846"/>
      <c r="K5277" s="846"/>
      <c r="L5277" s="846"/>
      <c r="M5277" s="846"/>
      <c r="N5277" s="846"/>
      <c r="O5277" s="846"/>
      <c r="P5277" s="846"/>
      <c r="Q5277" s="846"/>
      <c r="R5277" s="846"/>
      <c r="S5277" s="846"/>
      <c r="T5277" s="846"/>
    </row>
    <row r="5278" spans="2:20" ht="25.5" hidden="1">
      <c r="B5278" s="828" t="s">
        <v>3432</v>
      </c>
      <c r="C5278" s="828">
        <v>95541</v>
      </c>
      <c r="D5278" s="630" t="s">
        <v>954</v>
      </c>
      <c r="E5278" s="630" t="s">
        <v>646</v>
      </c>
      <c r="F5278" s="829">
        <v>1.07</v>
      </c>
      <c r="G5278" s="830">
        <v>4.3899999999999997</v>
      </c>
      <c r="H5278" s="831">
        <v>5.46</v>
      </c>
      <c r="I5278" s="846"/>
      <c r="J5278" s="846"/>
      <c r="K5278" s="846"/>
      <c r="L5278" s="846"/>
      <c r="M5278" s="846"/>
      <c r="N5278" s="846"/>
      <c r="O5278" s="846"/>
      <c r="P5278" s="846"/>
      <c r="Q5278" s="846"/>
      <c r="R5278" s="846"/>
      <c r="S5278" s="846"/>
      <c r="T5278" s="846"/>
    </row>
    <row r="5279" spans="2:20" ht="38.25" hidden="1">
      <c r="B5279" s="828" t="s">
        <v>3432</v>
      </c>
      <c r="C5279" s="828">
        <v>96559</v>
      </c>
      <c r="D5279" s="630" t="s">
        <v>4337</v>
      </c>
      <c r="E5279" s="630" t="s">
        <v>649</v>
      </c>
      <c r="F5279" s="829">
        <v>29.83</v>
      </c>
      <c r="G5279" s="830">
        <v>4.16</v>
      </c>
      <c r="H5279" s="831">
        <v>33.99</v>
      </c>
      <c r="I5279" s="846"/>
      <c r="J5279" s="846"/>
      <c r="K5279" s="846"/>
      <c r="L5279" s="846"/>
      <c r="M5279" s="846"/>
      <c r="N5279" s="846"/>
      <c r="O5279" s="846"/>
      <c r="P5279" s="846"/>
      <c r="Q5279" s="846"/>
      <c r="R5279" s="846"/>
      <c r="S5279" s="846"/>
      <c r="T5279" s="846"/>
    </row>
    <row r="5280" spans="2:20" ht="38.25" hidden="1">
      <c r="B5280" s="828" t="s">
        <v>3432</v>
      </c>
      <c r="C5280" s="828">
        <v>96560</v>
      </c>
      <c r="D5280" s="630" t="s">
        <v>4338</v>
      </c>
      <c r="E5280" s="630" t="s">
        <v>649</v>
      </c>
      <c r="F5280" s="829">
        <v>19.73</v>
      </c>
      <c r="G5280" s="830">
        <v>4.12</v>
      </c>
      <c r="H5280" s="831">
        <v>23.85</v>
      </c>
      <c r="I5280" s="846"/>
      <c r="J5280" s="846"/>
      <c r="K5280" s="846"/>
      <c r="L5280" s="846"/>
      <c r="M5280" s="846"/>
      <c r="N5280" s="846"/>
      <c r="O5280" s="846"/>
      <c r="P5280" s="846"/>
      <c r="Q5280" s="846"/>
      <c r="R5280" s="846"/>
      <c r="S5280" s="846"/>
      <c r="T5280" s="846"/>
    </row>
    <row r="5281" spans="2:20" ht="38.25" hidden="1">
      <c r="B5281" s="828" t="s">
        <v>3432</v>
      </c>
      <c r="C5281" s="828">
        <v>96561</v>
      </c>
      <c r="D5281" s="630" t="s">
        <v>4339</v>
      </c>
      <c r="E5281" s="630" t="s">
        <v>649</v>
      </c>
      <c r="F5281" s="829">
        <v>15.69</v>
      </c>
      <c r="G5281" s="830">
        <v>2.27</v>
      </c>
      <c r="H5281" s="831">
        <v>17.96</v>
      </c>
      <c r="I5281" s="846"/>
      <c r="J5281" s="846"/>
      <c r="K5281" s="846"/>
      <c r="L5281" s="846"/>
      <c r="M5281" s="846"/>
      <c r="N5281" s="846"/>
      <c r="O5281" s="846"/>
      <c r="P5281" s="846"/>
      <c r="Q5281" s="846"/>
      <c r="R5281" s="846"/>
      <c r="S5281" s="846"/>
      <c r="T5281" s="846"/>
    </row>
    <row r="5282" spans="2:20" ht="51" hidden="1">
      <c r="B5282" s="828" t="s">
        <v>3432</v>
      </c>
      <c r="C5282" s="828">
        <v>96562</v>
      </c>
      <c r="D5282" s="630" t="s">
        <v>4340</v>
      </c>
      <c r="E5282" s="630" t="s">
        <v>648</v>
      </c>
      <c r="F5282" s="829">
        <v>17.5</v>
      </c>
      <c r="G5282" s="830">
        <v>4.33</v>
      </c>
      <c r="H5282" s="831">
        <v>21.83</v>
      </c>
      <c r="I5282" s="846"/>
      <c r="J5282" s="846"/>
      <c r="K5282" s="846"/>
      <c r="L5282" s="846"/>
      <c r="M5282" s="846"/>
      <c r="N5282" s="846"/>
      <c r="O5282" s="846"/>
      <c r="P5282" s="846"/>
      <c r="Q5282" s="846"/>
      <c r="R5282" s="846"/>
      <c r="S5282" s="846"/>
      <c r="T5282" s="846"/>
    </row>
    <row r="5283" spans="2:20" ht="51" hidden="1">
      <c r="B5283" s="828" t="s">
        <v>3432</v>
      </c>
      <c r="C5283" s="828">
        <v>96563</v>
      </c>
      <c r="D5283" s="630" t="s">
        <v>5581</v>
      </c>
      <c r="E5283" s="630" t="s">
        <v>648</v>
      </c>
      <c r="F5283" s="829">
        <v>23.91</v>
      </c>
      <c r="G5283" s="830">
        <v>4.32</v>
      </c>
      <c r="H5283" s="831">
        <v>28.23</v>
      </c>
      <c r="I5283" s="846"/>
      <c r="J5283" s="846"/>
      <c r="K5283" s="846"/>
      <c r="L5283" s="846"/>
      <c r="M5283" s="846"/>
      <c r="N5283" s="846"/>
      <c r="O5283" s="846"/>
      <c r="P5283" s="846"/>
      <c r="Q5283" s="846"/>
      <c r="R5283" s="846"/>
      <c r="S5283" s="846"/>
      <c r="T5283" s="846"/>
    </row>
    <row r="5284" spans="2:20" ht="38.25" hidden="1">
      <c r="B5284" s="828" t="s">
        <v>3432</v>
      </c>
      <c r="C5284" s="828">
        <v>101802</v>
      </c>
      <c r="D5284" s="630" t="s">
        <v>5849</v>
      </c>
      <c r="E5284" s="630" t="s">
        <v>646</v>
      </c>
      <c r="F5284" s="829">
        <v>983.6099999999999</v>
      </c>
      <c r="G5284" s="830">
        <v>643.41</v>
      </c>
      <c r="H5284" s="831">
        <v>1627.02</v>
      </c>
      <c r="I5284" s="846"/>
      <c r="J5284" s="846"/>
      <c r="K5284" s="846"/>
      <c r="L5284" s="846"/>
      <c r="M5284" s="846"/>
      <c r="N5284" s="846"/>
      <c r="O5284" s="846"/>
      <c r="P5284" s="846"/>
      <c r="Q5284" s="846"/>
      <c r="R5284" s="846"/>
      <c r="S5284" s="846"/>
      <c r="T5284" s="846"/>
    </row>
    <row r="5285" spans="2:20" ht="38.25" hidden="1">
      <c r="B5285" s="828" t="s">
        <v>3432</v>
      </c>
      <c r="C5285" s="828">
        <v>101803</v>
      </c>
      <c r="D5285" s="630" t="s">
        <v>5850</v>
      </c>
      <c r="E5285" s="630" t="s">
        <v>646</v>
      </c>
      <c r="F5285" s="829">
        <v>602.93000000000006</v>
      </c>
      <c r="G5285" s="830">
        <v>448.93</v>
      </c>
      <c r="H5285" s="831">
        <v>1051.8599999999999</v>
      </c>
      <c r="I5285" s="846"/>
      <c r="J5285" s="846"/>
      <c r="K5285" s="846"/>
      <c r="L5285" s="846"/>
      <c r="M5285" s="846"/>
      <c r="N5285" s="846"/>
      <c r="O5285" s="846"/>
      <c r="P5285" s="846"/>
      <c r="Q5285" s="846"/>
      <c r="R5285" s="846"/>
      <c r="S5285" s="846"/>
      <c r="T5285" s="846"/>
    </row>
    <row r="5286" spans="2:20" ht="38.25" hidden="1">
      <c r="B5286" s="828" t="s">
        <v>3432</v>
      </c>
      <c r="C5286" s="828">
        <v>101804</v>
      </c>
      <c r="D5286" s="630" t="s">
        <v>5851</v>
      </c>
      <c r="E5286" s="630" t="s">
        <v>646</v>
      </c>
      <c r="F5286" s="829">
        <v>785.45999999999992</v>
      </c>
      <c r="G5286" s="830">
        <v>528.32000000000005</v>
      </c>
      <c r="H5286" s="831">
        <v>1313.78</v>
      </c>
      <c r="I5286" s="846"/>
      <c r="J5286" s="846"/>
      <c r="K5286" s="846"/>
      <c r="L5286" s="846"/>
      <c r="M5286" s="846"/>
      <c r="N5286" s="846"/>
      <c r="O5286" s="846"/>
      <c r="P5286" s="846"/>
      <c r="Q5286" s="846"/>
      <c r="R5286" s="846"/>
      <c r="S5286" s="846"/>
      <c r="T5286" s="846"/>
    </row>
    <row r="5287" spans="2:20" ht="38.25" hidden="1">
      <c r="B5287" s="828" t="s">
        <v>3432</v>
      </c>
      <c r="C5287" s="828">
        <v>101805</v>
      </c>
      <c r="D5287" s="630" t="s">
        <v>5852</v>
      </c>
      <c r="E5287" s="630" t="s">
        <v>646</v>
      </c>
      <c r="F5287" s="829">
        <v>1000.77</v>
      </c>
      <c r="G5287" s="830">
        <v>673.54</v>
      </c>
      <c r="H5287" s="831">
        <v>1674.31</v>
      </c>
      <c r="I5287" s="846"/>
      <c r="J5287" s="846"/>
      <c r="K5287" s="846"/>
      <c r="L5287" s="846"/>
      <c r="M5287" s="846"/>
      <c r="N5287" s="846"/>
      <c r="O5287" s="846"/>
      <c r="P5287" s="846"/>
      <c r="Q5287" s="846"/>
      <c r="R5287" s="846"/>
      <c r="S5287" s="846"/>
      <c r="T5287" s="846"/>
    </row>
    <row r="5288" spans="2:20" ht="25.5" hidden="1">
      <c r="B5288" s="828" t="s">
        <v>3432</v>
      </c>
      <c r="C5288" s="828">
        <v>102111</v>
      </c>
      <c r="D5288" s="630" t="s">
        <v>6016</v>
      </c>
      <c r="E5288" s="630" t="s">
        <v>646</v>
      </c>
      <c r="F5288" s="829">
        <v>838.35</v>
      </c>
      <c r="G5288" s="830">
        <v>115.07</v>
      </c>
      <c r="H5288" s="831">
        <v>953.42</v>
      </c>
      <c r="I5288" s="846"/>
      <c r="J5288" s="846"/>
      <c r="K5288" s="846"/>
      <c r="L5288" s="846"/>
      <c r="M5288" s="846"/>
      <c r="N5288" s="846"/>
      <c r="O5288" s="846"/>
      <c r="P5288" s="846"/>
      <c r="Q5288" s="846"/>
      <c r="R5288" s="846"/>
      <c r="S5288" s="846"/>
      <c r="T5288" s="846"/>
    </row>
    <row r="5289" spans="2:20" ht="25.5" hidden="1">
      <c r="B5289" s="828" t="s">
        <v>3432</v>
      </c>
      <c r="C5289" s="828">
        <v>102112</v>
      </c>
      <c r="D5289" s="630" t="s">
        <v>6017</v>
      </c>
      <c r="E5289" s="630" t="s">
        <v>646</v>
      </c>
      <c r="F5289" s="829">
        <v>39.67</v>
      </c>
      <c r="G5289" s="830">
        <v>115.18</v>
      </c>
      <c r="H5289" s="831">
        <v>154.85</v>
      </c>
      <c r="I5289" s="846"/>
      <c r="J5289" s="846"/>
      <c r="K5289" s="846"/>
      <c r="L5289" s="846"/>
      <c r="M5289" s="846"/>
      <c r="N5289" s="846"/>
      <c r="O5289" s="846"/>
      <c r="P5289" s="846"/>
      <c r="Q5289" s="846"/>
      <c r="R5289" s="846"/>
      <c r="S5289" s="846"/>
      <c r="T5289" s="846"/>
    </row>
    <row r="5290" spans="2:20" ht="25.5" hidden="1">
      <c r="B5290" s="828" t="s">
        <v>3432</v>
      </c>
      <c r="C5290" s="828">
        <v>102113</v>
      </c>
      <c r="D5290" s="630" t="s">
        <v>6018</v>
      </c>
      <c r="E5290" s="630" t="s">
        <v>646</v>
      </c>
      <c r="F5290" s="829">
        <v>1386.8</v>
      </c>
      <c r="G5290" s="830">
        <v>118.14</v>
      </c>
      <c r="H5290" s="831">
        <v>1504.94</v>
      </c>
      <c r="I5290" s="846"/>
      <c r="J5290" s="846"/>
      <c r="K5290" s="846"/>
      <c r="L5290" s="846"/>
      <c r="M5290" s="846"/>
      <c r="N5290" s="846"/>
      <c r="O5290" s="846"/>
      <c r="P5290" s="846"/>
      <c r="Q5290" s="846"/>
      <c r="R5290" s="846"/>
      <c r="S5290" s="846"/>
      <c r="T5290" s="846"/>
    </row>
    <row r="5291" spans="2:20" ht="25.5" hidden="1">
      <c r="B5291" s="828" t="s">
        <v>3432</v>
      </c>
      <c r="C5291" s="828">
        <v>102114</v>
      </c>
      <c r="D5291" s="630" t="s">
        <v>6019</v>
      </c>
      <c r="E5291" s="630" t="s">
        <v>646</v>
      </c>
      <c r="F5291" s="829">
        <v>40.549999999999997</v>
      </c>
      <c r="G5291" s="830">
        <v>118.27</v>
      </c>
      <c r="H5291" s="831">
        <v>158.82</v>
      </c>
      <c r="I5291" s="846"/>
      <c r="J5291" s="846"/>
      <c r="K5291" s="846"/>
      <c r="L5291" s="846"/>
      <c r="M5291" s="846"/>
      <c r="N5291" s="846"/>
      <c r="O5291" s="846"/>
      <c r="P5291" s="846"/>
      <c r="Q5291" s="846"/>
      <c r="R5291" s="846"/>
      <c r="S5291" s="846"/>
      <c r="T5291" s="846"/>
    </row>
    <row r="5292" spans="2:20" ht="25.5" hidden="1">
      <c r="B5292" s="828" t="s">
        <v>3432</v>
      </c>
      <c r="C5292" s="828">
        <v>102115</v>
      </c>
      <c r="D5292" s="630" t="s">
        <v>6020</v>
      </c>
      <c r="E5292" s="630" t="s">
        <v>646</v>
      </c>
      <c r="F5292" s="829">
        <v>2449.62</v>
      </c>
      <c r="G5292" s="830">
        <v>168.48</v>
      </c>
      <c r="H5292" s="831">
        <v>2618.1</v>
      </c>
      <c r="I5292" s="846"/>
      <c r="J5292" s="846"/>
      <c r="K5292" s="846"/>
      <c r="L5292" s="846"/>
      <c r="M5292" s="846"/>
      <c r="N5292" s="846"/>
      <c r="O5292" s="846"/>
      <c r="P5292" s="846"/>
      <c r="Q5292" s="846"/>
      <c r="R5292" s="846"/>
      <c r="S5292" s="846"/>
      <c r="T5292" s="846"/>
    </row>
    <row r="5293" spans="2:20" ht="25.5" hidden="1">
      <c r="B5293" s="828" t="s">
        <v>3432</v>
      </c>
      <c r="C5293" s="828">
        <v>102116</v>
      </c>
      <c r="D5293" s="630" t="s">
        <v>6021</v>
      </c>
      <c r="E5293" s="630" t="s">
        <v>646</v>
      </c>
      <c r="F5293" s="829">
        <v>1484.77</v>
      </c>
      <c r="G5293" s="830">
        <v>121.9</v>
      </c>
      <c r="H5293" s="831">
        <v>1606.67</v>
      </c>
      <c r="I5293" s="846"/>
      <c r="J5293" s="846"/>
      <c r="K5293" s="846"/>
      <c r="L5293" s="846"/>
      <c r="M5293" s="846"/>
      <c r="N5293" s="846"/>
      <c r="O5293" s="846"/>
      <c r="P5293" s="846"/>
      <c r="Q5293" s="846"/>
      <c r="R5293" s="846"/>
      <c r="S5293" s="846"/>
      <c r="T5293" s="846"/>
    </row>
    <row r="5294" spans="2:20" ht="25.5" hidden="1">
      <c r="B5294" s="828" t="s">
        <v>3432</v>
      </c>
      <c r="C5294" s="828">
        <v>102117</v>
      </c>
      <c r="D5294" s="630" t="s">
        <v>6022</v>
      </c>
      <c r="E5294" s="630" t="s">
        <v>646</v>
      </c>
      <c r="F5294" s="829">
        <v>41.62</v>
      </c>
      <c r="G5294" s="830">
        <v>122.01</v>
      </c>
      <c r="H5294" s="831">
        <v>163.63</v>
      </c>
      <c r="I5294" s="846"/>
      <c r="J5294" s="846"/>
      <c r="K5294" s="846"/>
      <c r="L5294" s="846"/>
      <c r="M5294" s="846"/>
      <c r="N5294" s="846"/>
      <c r="O5294" s="846"/>
      <c r="P5294" s="846"/>
      <c r="Q5294" s="846"/>
      <c r="R5294" s="846"/>
      <c r="S5294" s="846"/>
      <c r="T5294" s="846"/>
    </row>
    <row r="5295" spans="2:20" ht="25.5" hidden="1">
      <c r="B5295" s="828" t="s">
        <v>3432</v>
      </c>
      <c r="C5295" s="828">
        <v>102118</v>
      </c>
      <c r="D5295" s="630" t="s">
        <v>6023</v>
      </c>
      <c r="E5295" s="630" t="s">
        <v>646</v>
      </c>
      <c r="F5295" s="829">
        <v>2056.13</v>
      </c>
      <c r="G5295" s="830">
        <v>125.13</v>
      </c>
      <c r="H5295" s="831">
        <v>2181.2600000000002</v>
      </c>
      <c r="I5295" s="846"/>
      <c r="J5295" s="846"/>
      <c r="K5295" s="846"/>
      <c r="L5295" s="846"/>
      <c r="M5295" s="846"/>
      <c r="N5295" s="846"/>
      <c r="O5295" s="846"/>
      <c r="P5295" s="846"/>
      <c r="Q5295" s="846"/>
      <c r="R5295" s="846"/>
      <c r="S5295" s="846"/>
      <c r="T5295" s="846"/>
    </row>
    <row r="5296" spans="2:20" ht="25.5" hidden="1">
      <c r="B5296" s="828" t="s">
        <v>3432</v>
      </c>
      <c r="C5296" s="828">
        <v>102119</v>
      </c>
      <c r="D5296" s="630" t="s">
        <v>6024</v>
      </c>
      <c r="E5296" s="630" t="s">
        <v>646</v>
      </c>
      <c r="F5296" s="829">
        <v>42.52</v>
      </c>
      <c r="G5296" s="830">
        <v>125.25</v>
      </c>
      <c r="H5296" s="831">
        <v>167.77</v>
      </c>
      <c r="I5296" s="846"/>
      <c r="J5296" s="846"/>
      <c r="K5296" s="846"/>
      <c r="L5296" s="846"/>
      <c r="M5296" s="846"/>
      <c r="N5296" s="846"/>
      <c r="O5296" s="846"/>
      <c r="P5296" s="846"/>
      <c r="Q5296" s="846"/>
      <c r="R5296" s="846"/>
      <c r="S5296" s="846"/>
      <c r="T5296" s="846"/>
    </row>
    <row r="5297" spans="2:20" ht="25.5" hidden="1">
      <c r="B5297" s="828" t="s">
        <v>3432</v>
      </c>
      <c r="C5297" s="828">
        <v>102121</v>
      </c>
      <c r="D5297" s="630" t="s">
        <v>6025</v>
      </c>
      <c r="E5297" s="630" t="s">
        <v>646</v>
      </c>
      <c r="F5297" s="829">
        <v>52.12</v>
      </c>
      <c r="G5297" s="830">
        <v>158.96</v>
      </c>
      <c r="H5297" s="831">
        <v>211.08</v>
      </c>
      <c r="I5297" s="846"/>
      <c r="J5297" s="846"/>
      <c r="K5297" s="846"/>
      <c r="L5297" s="846"/>
      <c r="M5297" s="846"/>
      <c r="N5297" s="846"/>
      <c r="O5297" s="846"/>
      <c r="P5297" s="846"/>
      <c r="Q5297" s="846"/>
      <c r="R5297" s="846"/>
      <c r="S5297" s="846"/>
      <c r="T5297" s="846"/>
    </row>
    <row r="5298" spans="2:20" ht="25.5" hidden="1">
      <c r="B5298" s="828" t="s">
        <v>3432</v>
      </c>
      <c r="C5298" s="828">
        <v>102122</v>
      </c>
      <c r="D5298" s="630" t="s">
        <v>6026</v>
      </c>
      <c r="E5298" s="630" t="s">
        <v>646</v>
      </c>
      <c r="F5298" s="829">
        <v>7156.24</v>
      </c>
      <c r="G5298" s="830">
        <v>168.47</v>
      </c>
      <c r="H5298" s="831">
        <v>7324.71</v>
      </c>
      <c r="I5298" s="846"/>
      <c r="J5298" s="846"/>
      <c r="K5298" s="846"/>
      <c r="L5298" s="846"/>
      <c r="M5298" s="846"/>
      <c r="N5298" s="846"/>
      <c r="O5298" s="846"/>
      <c r="P5298" s="846"/>
      <c r="Q5298" s="846"/>
      <c r="R5298" s="846"/>
      <c r="S5298" s="846"/>
      <c r="T5298" s="846"/>
    </row>
    <row r="5299" spans="2:20" ht="25.5" hidden="1">
      <c r="B5299" s="828" t="s">
        <v>3432</v>
      </c>
      <c r="C5299" s="828">
        <v>102123</v>
      </c>
      <c r="D5299" s="630" t="s">
        <v>6027</v>
      </c>
      <c r="E5299" s="630" t="s">
        <v>646</v>
      </c>
      <c r="F5299" s="829">
        <v>54.82</v>
      </c>
      <c r="G5299" s="830">
        <v>168.6</v>
      </c>
      <c r="H5299" s="831">
        <v>223.42</v>
      </c>
      <c r="I5299" s="846"/>
      <c r="J5299" s="846"/>
      <c r="K5299" s="846"/>
      <c r="L5299" s="846"/>
      <c r="M5299" s="846"/>
      <c r="N5299" s="846"/>
      <c r="O5299" s="846"/>
      <c r="P5299" s="846"/>
      <c r="Q5299" s="846"/>
      <c r="R5299" s="846"/>
      <c r="S5299" s="846"/>
      <c r="T5299" s="846"/>
    </row>
    <row r="5300" spans="2:20" ht="25.5" hidden="1">
      <c r="B5300" s="828" t="s">
        <v>3432</v>
      </c>
      <c r="C5300" s="828">
        <v>102136</v>
      </c>
      <c r="D5300" s="630" t="s">
        <v>6028</v>
      </c>
      <c r="E5300" s="630" t="s">
        <v>646</v>
      </c>
      <c r="F5300" s="829">
        <v>19.61</v>
      </c>
      <c r="G5300" s="830">
        <v>61.14</v>
      </c>
      <c r="H5300" s="831">
        <v>80.75</v>
      </c>
      <c r="I5300" s="846"/>
      <c r="J5300" s="846"/>
      <c r="K5300" s="846"/>
      <c r="L5300" s="846"/>
      <c r="M5300" s="846"/>
      <c r="N5300" s="846"/>
      <c r="O5300" s="846"/>
      <c r="P5300" s="846"/>
      <c r="Q5300" s="846"/>
      <c r="R5300" s="846"/>
      <c r="S5300" s="846"/>
      <c r="T5300" s="846"/>
    </row>
    <row r="5301" spans="2:20" ht="25.5" hidden="1">
      <c r="B5301" s="828" t="s">
        <v>3432</v>
      </c>
      <c r="C5301" s="828">
        <v>102137</v>
      </c>
      <c r="D5301" s="630" t="s">
        <v>6029</v>
      </c>
      <c r="E5301" s="630" t="s">
        <v>646</v>
      </c>
      <c r="F5301" s="829">
        <v>63.38</v>
      </c>
      <c r="G5301" s="830">
        <v>27.55</v>
      </c>
      <c r="H5301" s="831">
        <v>90.93</v>
      </c>
      <c r="I5301" s="846"/>
      <c r="J5301" s="846"/>
      <c r="K5301" s="846"/>
      <c r="L5301" s="846"/>
      <c r="M5301" s="846"/>
      <c r="N5301" s="846"/>
      <c r="O5301" s="846"/>
      <c r="P5301" s="846"/>
      <c r="Q5301" s="846"/>
      <c r="R5301" s="846"/>
      <c r="S5301" s="846"/>
      <c r="T5301" s="846"/>
    </row>
    <row r="5302" spans="2:20" ht="25.5" hidden="1">
      <c r="B5302" s="828" t="s">
        <v>3432</v>
      </c>
      <c r="C5302" s="828">
        <v>102138</v>
      </c>
      <c r="D5302" s="630" t="s">
        <v>6030</v>
      </c>
      <c r="E5302" s="630" t="s">
        <v>646</v>
      </c>
      <c r="F5302" s="829">
        <v>59.23</v>
      </c>
      <c r="G5302" s="830">
        <v>184.27</v>
      </c>
      <c r="H5302" s="831">
        <v>243.5</v>
      </c>
      <c r="I5302" s="846"/>
      <c r="J5302" s="846"/>
      <c r="K5302" s="846"/>
      <c r="L5302" s="846"/>
      <c r="M5302" s="846"/>
      <c r="N5302" s="846"/>
      <c r="O5302" s="846"/>
      <c r="P5302" s="846"/>
      <c r="Q5302" s="846"/>
      <c r="R5302" s="846"/>
      <c r="S5302" s="846"/>
      <c r="T5302" s="846"/>
    </row>
    <row r="5303" spans="2:20" ht="51" hidden="1">
      <c r="B5303" s="828" t="s">
        <v>3432</v>
      </c>
      <c r="C5303" s="828">
        <v>103517</v>
      </c>
      <c r="D5303" s="630" t="s">
        <v>7129</v>
      </c>
      <c r="E5303" s="630" t="s">
        <v>646</v>
      </c>
      <c r="F5303" s="829">
        <v>3392.4300000000003</v>
      </c>
      <c r="G5303" s="830">
        <v>96.74</v>
      </c>
      <c r="H5303" s="831">
        <v>3489.17</v>
      </c>
      <c r="I5303" s="846"/>
      <c r="J5303" s="846"/>
      <c r="K5303" s="846"/>
      <c r="L5303" s="846"/>
      <c r="M5303" s="846"/>
      <c r="N5303" s="846"/>
      <c r="O5303" s="846"/>
      <c r="P5303" s="846"/>
      <c r="Q5303" s="846"/>
      <c r="R5303" s="846"/>
      <c r="S5303" s="846"/>
      <c r="T5303" s="846"/>
    </row>
    <row r="5304" spans="2:20" ht="38.25" hidden="1">
      <c r="B5304" s="828" t="s">
        <v>3432</v>
      </c>
      <c r="C5304" s="828">
        <v>103519</v>
      </c>
      <c r="D5304" s="630" t="s">
        <v>7130</v>
      </c>
      <c r="E5304" s="630" t="s">
        <v>646</v>
      </c>
      <c r="F5304" s="829">
        <v>5.99</v>
      </c>
      <c r="G5304" s="830">
        <v>4.2699999999999996</v>
      </c>
      <c r="H5304" s="831">
        <v>10.26</v>
      </c>
      <c r="I5304" s="846"/>
      <c r="J5304" s="846"/>
      <c r="K5304" s="846"/>
      <c r="L5304" s="846"/>
      <c r="M5304" s="846"/>
      <c r="N5304" s="846"/>
      <c r="O5304" s="846"/>
      <c r="P5304" s="846"/>
      <c r="Q5304" s="846"/>
      <c r="R5304" s="846"/>
      <c r="S5304" s="846"/>
      <c r="T5304" s="846"/>
    </row>
    <row r="5305" spans="2:20" ht="38.25" hidden="1">
      <c r="B5305" s="828" t="s">
        <v>3432</v>
      </c>
      <c r="C5305" s="828">
        <v>103520</v>
      </c>
      <c r="D5305" s="630" t="s">
        <v>7131</v>
      </c>
      <c r="E5305" s="630" t="s">
        <v>646</v>
      </c>
      <c r="F5305" s="829">
        <v>5711.68</v>
      </c>
      <c r="G5305" s="830">
        <v>26.58</v>
      </c>
      <c r="H5305" s="831">
        <v>5738.26</v>
      </c>
      <c r="I5305" s="846"/>
      <c r="J5305" s="846"/>
      <c r="K5305" s="846"/>
      <c r="L5305" s="846"/>
      <c r="M5305" s="846"/>
      <c r="N5305" s="846"/>
      <c r="O5305" s="846"/>
      <c r="P5305" s="846"/>
      <c r="Q5305" s="846"/>
      <c r="R5305" s="846"/>
      <c r="S5305" s="846"/>
      <c r="T5305" s="846"/>
    </row>
    <row r="5306" spans="2:20" ht="38.25" hidden="1">
      <c r="B5306" s="828" t="s">
        <v>3432</v>
      </c>
      <c r="C5306" s="828">
        <v>103521</v>
      </c>
      <c r="D5306" s="630" t="s">
        <v>7132</v>
      </c>
      <c r="E5306" s="630" t="s">
        <v>646</v>
      </c>
      <c r="F5306" s="829">
        <v>7581.34</v>
      </c>
      <c r="G5306" s="830">
        <v>38.21</v>
      </c>
      <c r="H5306" s="831">
        <v>7619.55</v>
      </c>
      <c r="I5306" s="846"/>
      <c r="J5306" s="846"/>
      <c r="K5306" s="846"/>
      <c r="L5306" s="846"/>
      <c r="M5306" s="846"/>
      <c r="N5306" s="846"/>
      <c r="O5306" s="846"/>
      <c r="P5306" s="846"/>
      <c r="Q5306" s="846"/>
      <c r="R5306" s="846"/>
      <c r="S5306" s="846"/>
      <c r="T5306" s="846"/>
    </row>
    <row r="5307" spans="2:20" ht="38.25" hidden="1">
      <c r="B5307" s="828" t="s">
        <v>3432</v>
      </c>
      <c r="C5307" s="828">
        <v>103522</v>
      </c>
      <c r="D5307" s="630" t="s">
        <v>7133</v>
      </c>
      <c r="E5307" s="630" t="s">
        <v>646</v>
      </c>
      <c r="F5307" s="829">
        <v>7486.88</v>
      </c>
      <c r="G5307" s="830">
        <v>252.5</v>
      </c>
      <c r="H5307" s="831">
        <v>7739.38</v>
      </c>
      <c r="I5307" s="846"/>
      <c r="J5307" s="846"/>
      <c r="K5307" s="846"/>
      <c r="L5307" s="846"/>
      <c r="M5307" s="846"/>
      <c r="N5307" s="846"/>
      <c r="O5307" s="846"/>
      <c r="P5307" s="846"/>
      <c r="Q5307" s="846"/>
      <c r="R5307" s="846"/>
      <c r="S5307" s="846"/>
      <c r="T5307" s="846"/>
    </row>
    <row r="5308" spans="2:20" ht="38.25" hidden="1">
      <c r="B5308" s="828" t="s">
        <v>3432</v>
      </c>
      <c r="C5308" s="828">
        <v>103523</v>
      </c>
      <c r="D5308" s="630" t="s">
        <v>7134</v>
      </c>
      <c r="E5308" s="630" t="s">
        <v>646</v>
      </c>
      <c r="F5308" s="829">
        <v>11355.630000000001</v>
      </c>
      <c r="G5308" s="830">
        <v>259.86</v>
      </c>
      <c r="H5308" s="831">
        <v>11615.49</v>
      </c>
      <c r="I5308" s="846"/>
      <c r="J5308" s="846"/>
      <c r="K5308" s="846"/>
      <c r="L5308" s="846"/>
      <c r="M5308" s="846"/>
      <c r="N5308" s="846"/>
      <c r="O5308" s="846"/>
      <c r="P5308" s="846"/>
      <c r="Q5308" s="846"/>
      <c r="R5308" s="846"/>
      <c r="S5308" s="846"/>
      <c r="T5308" s="846"/>
    </row>
    <row r="5309" spans="2:20" ht="25.5" hidden="1">
      <c r="B5309" s="828" t="s">
        <v>8297</v>
      </c>
      <c r="C5309" s="828">
        <v>104031</v>
      </c>
      <c r="D5309" s="630" t="s">
        <v>8298</v>
      </c>
      <c r="E5309" s="630" t="s">
        <v>646</v>
      </c>
      <c r="F5309" s="829">
        <v>14.61</v>
      </c>
      <c r="G5309" s="830">
        <v>8.42</v>
      </c>
      <c r="H5309" s="831">
        <v>23.03</v>
      </c>
      <c r="I5309" s="846"/>
      <c r="J5309" s="846"/>
      <c r="K5309" s="846"/>
      <c r="L5309" s="846"/>
      <c r="M5309" s="846"/>
      <c r="N5309" s="846"/>
      <c r="O5309" s="846"/>
      <c r="P5309" s="846"/>
      <c r="Q5309" s="846"/>
      <c r="R5309" s="846"/>
      <c r="S5309" s="846"/>
      <c r="T5309" s="846"/>
    </row>
    <row r="5310" spans="2:20" ht="25.5" hidden="1">
      <c r="B5310" s="828" t="s">
        <v>8297</v>
      </c>
      <c r="C5310" s="828">
        <v>104032</v>
      </c>
      <c r="D5310" s="630" t="s">
        <v>8299</v>
      </c>
      <c r="E5310" s="630" t="s">
        <v>646</v>
      </c>
      <c r="F5310" s="829">
        <v>20.53</v>
      </c>
      <c r="G5310" s="830">
        <v>8.61</v>
      </c>
      <c r="H5310" s="831">
        <v>29.14</v>
      </c>
      <c r="I5310" s="846"/>
      <c r="J5310" s="846"/>
      <c r="K5310" s="846"/>
      <c r="L5310" s="846"/>
      <c r="M5310" s="846"/>
      <c r="N5310" s="846"/>
      <c r="O5310" s="846"/>
      <c r="P5310" s="846"/>
      <c r="Q5310" s="846"/>
      <c r="R5310" s="846"/>
      <c r="S5310" s="846"/>
      <c r="T5310" s="846"/>
    </row>
    <row r="5311" spans="2:20" ht="25.5" hidden="1">
      <c r="B5311" s="828" t="s">
        <v>8297</v>
      </c>
      <c r="C5311" s="828">
        <v>104033</v>
      </c>
      <c r="D5311" s="630" t="s">
        <v>8300</v>
      </c>
      <c r="E5311" s="630" t="s">
        <v>646</v>
      </c>
      <c r="F5311" s="829">
        <v>17.79</v>
      </c>
      <c r="G5311" s="830">
        <v>8.7200000000000006</v>
      </c>
      <c r="H5311" s="831">
        <v>26.51</v>
      </c>
      <c r="I5311" s="846"/>
      <c r="J5311" s="846"/>
      <c r="K5311" s="846"/>
      <c r="L5311" s="846"/>
      <c r="M5311" s="846"/>
      <c r="N5311" s="846"/>
      <c r="O5311" s="846"/>
      <c r="P5311" s="846"/>
      <c r="Q5311" s="846"/>
      <c r="R5311" s="846"/>
      <c r="S5311" s="846"/>
      <c r="T5311" s="846"/>
    </row>
    <row r="5312" spans="2:20" ht="25.5" hidden="1">
      <c r="B5312" s="828" t="s">
        <v>8297</v>
      </c>
      <c r="C5312" s="828">
        <v>104034</v>
      </c>
      <c r="D5312" s="630" t="s">
        <v>8301</v>
      </c>
      <c r="E5312" s="630" t="s">
        <v>646</v>
      </c>
      <c r="F5312" s="829">
        <v>25.84</v>
      </c>
      <c r="G5312" s="830">
        <v>8.93</v>
      </c>
      <c r="H5312" s="831">
        <v>34.770000000000003</v>
      </c>
      <c r="I5312" s="846"/>
      <c r="J5312" s="846"/>
      <c r="K5312" s="846"/>
      <c r="L5312" s="846"/>
      <c r="M5312" s="846"/>
      <c r="N5312" s="846"/>
      <c r="O5312" s="846"/>
      <c r="P5312" s="846"/>
      <c r="Q5312" s="846"/>
      <c r="R5312" s="846"/>
      <c r="S5312" s="846"/>
      <c r="T5312" s="846"/>
    </row>
    <row r="5313" spans="2:20" ht="25.5" hidden="1">
      <c r="B5313" s="828" t="s">
        <v>8297</v>
      </c>
      <c r="C5313" s="828">
        <v>104035</v>
      </c>
      <c r="D5313" s="630" t="s">
        <v>8302</v>
      </c>
      <c r="E5313" s="630" t="s">
        <v>646</v>
      </c>
      <c r="F5313" s="829">
        <v>25.06</v>
      </c>
      <c r="G5313" s="830">
        <v>18.7</v>
      </c>
      <c r="H5313" s="831">
        <v>43.76</v>
      </c>
      <c r="I5313" s="846"/>
      <c r="J5313" s="846"/>
      <c r="K5313" s="846"/>
      <c r="L5313" s="846"/>
      <c r="M5313" s="846"/>
      <c r="N5313" s="846"/>
      <c r="O5313" s="846"/>
      <c r="P5313" s="846"/>
      <c r="Q5313" s="846"/>
      <c r="R5313" s="846"/>
      <c r="S5313" s="846"/>
      <c r="T5313" s="846"/>
    </row>
    <row r="5314" spans="2:20" ht="25.5" hidden="1">
      <c r="B5314" s="828" t="s">
        <v>8297</v>
      </c>
      <c r="C5314" s="828">
        <v>104036</v>
      </c>
      <c r="D5314" s="630" t="s">
        <v>8303</v>
      </c>
      <c r="E5314" s="630" t="s">
        <v>646</v>
      </c>
      <c r="F5314" s="829">
        <v>25.78</v>
      </c>
      <c r="G5314" s="830">
        <v>19.37</v>
      </c>
      <c r="H5314" s="831">
        <v>45.15</v>
      </c>
      <c r="I5314" s="846"/>
      <c r="J5314" s="846"/>
      <c r="K5314" s="846"/>
      <c r="L5314" s="846"/>
      <c r="M5314" s="846"/>
      <c r="N5314" s="846"/>
      <c r="O5314" s="846"/>
      <c r="P5314" s="846"/>
      <c r="Q5314" s="846"/>
      <c r="R5314" s="846"/>
      <c r="S5314" s="846"/>
      <c r="T5314" s="846"/>
    </row>
    <row r="5315" spans="2:20" ht="25.5" hidden="1">
      <c r="B5315" s="828" t="s">
        <v>8297</v>
      </c>
      <c r="C5315" s="828">
        <v>104039</v>
      </c>
      <c r="D5315" s="630" t="s">
        <v>8304</v>
      </c>
      <c r="E5315" s="630" t="s">
        <v>646</v>
      </c>
      <c r="F5315" s="829">
        <v>66.540000000000006</v>
      </c>
      <c r="G5315" s="830">
        <v>18.489999999999998</v>
      </c>
      <c r="H5315" s="831">
        <v>85.03</v>
      </c>
      <c r="I5315" s="846"/>
      <c r="J5315" s="846"/>
      <c r="K5315" s="846"/>
      <c r="L5315" s="846"/>
      <c r="M5315" s="846"/>
      <c r="N5315" s="846"/>
      <c r="O5315" s="846"/>
      <c r="P5315" s="846"/>
      <c r="Q5315" s="846"/>
      <c r="R5315" s="846"/>
      <c r="S5315" s="846"/>
      <c r="T5315" s="846"/>
    </row>
    <row r="5316" spans="2:20" ht="25.5" hidden="1">
      <c r="B5316" s="828" t="s">
        <v>8297</v>
      </c>
      <c r="C5316" s="828">
        <v>104043</v>
      </c>
      <c r="D5316" s="630" t="s">
        <v>8305</v>
      </c>
      <c r="E5316" s="630" t="s">
        <v>646</v>
      </c>
      <c r="F5316" s="829">
        <v>6.07</v>
      </c>
      <c r="G5316" s="830">
        <v>3.67</v>
      </c>
      <c r="H5316" s="831">
        <v>9.74</v>
      </c>
      <c r="I5316" s="846"/>
      <c r="J5316" s="846"/>
      <c r="K5316" s="846"/>
      <c r="L5316" s="846"/>
      <c r="M5316" s="846"/>
      <c r="N5316" s="846"/>
      <c r="O5316" s="846"/>
      <c r="P5316" s="846"/>
      <c r="Q5316" s="846"/>
      <c r="R5316" s="846"/>
      <c r="S5316" s="846"/>
      <c r="T5316" s="846"/>
    </row>
    <row r="5317" spans="2:20" ht="25.5" hidden="1">
      <c r="B5317" s="828" t="s">
        <v>8297</v>
      </c>
      <c r="C5317" s="828">
        <v>104044</v>
      </c>
      <c r="D5317" s="630" t="s">
        <v>8306</v>
      </c>
      <c r="E5317" s="630" t="s">
        <v>646</v>
      </c>
      <c r="F5317" s="829">
        <v>6</v>
      </c>
      <c r="G5317" s="830">
        <v>4.34</v>
      </c>
      <c r="H5317" s="831">
        <v>10.34</v>
      </c>
      <c r="I5317" s="846"/>
      <c r="J5317" s="846"/>
      <c r="K5317" s="846"/>
      <c r="L5317" s="846"/>
      <c r="M5317" s="846"/>
      <c r="N5317" s="846"/>
      <c r="O5317" s="846"/>
      <c r="P5317" s="846"/>
      <c r="Q5317" s="846"/>
      <c r="R5317" s="846"/>
      <c r="S5317" s="846"/>
      <c r="T5317" s="846"/>
    </row>
    <row r="5318" spans="2:20" ht="25.5" hidden="1">
      <c r="B5318" s="828" t="s">
        <v>8297</v>
      </c>
      <c r="C5318" s="828">
        <v>104045</v>
      </c>
      <c r="D5318" s="630" t="s">
        <v>8307</v>
      </c>
      <c r="E5318" s="630" t="s">
        <v>646</v>
      </c>
      <c r="F5318" s="829">
        <v>11.29</v>
      </c>
      <c r="G5318" s="830">
        <v>4.99</v>
      </c>
      <c r="H5318" s="831">
        <v>16.28</v>
      </c>
      <c r="I5318" s="846"/>
      <c r="J5318" s="846"/>
      <c r="K5318" s="846"/>
      <c r="L5318" s="846"/>
      <c r="M5318" s="846"/>
      <c r="N5318" s="846"/>
      <c r="O5318" s="846"/>
      <c r="P5318" s="846"/>
      <c r="Q5318" s="846"/>
      <c r="R5318" s="846"/>
      <c r="S5318" s="846"/>
      <c r="T5318" s="846"/>
    </row>
    <row r="5319" spans="2:20" ht="25.5" hidden="1">
      <c r="B5319" s="828" t="s">
        <v>8297</v>
      </c>
      <c r="C5319" s="828">
        <v>104046</v>
      </c>
      <c r="D5319" s="630" t="s">
        <v>8308</v>
      </c>
      <c r="E5319" s="630" t="s">
        <v>646</v>
      </c>
      <c r="F5319" s="829">
        <v>5.63</v>
      </c>
      <c r="G5319" s="830">
        <v>3.67</v>
      </c>
      <c r="H5319" s="831">
        <v>9.3000000000000007</v>
      </c>
      <c r="I5319" s="846"/>
      <c r="J5319" s="846"/>
      <c r="K5319" s="846"/>
      <c r="L5319" s="846"/>
      <c r="M5319" s="846"/>
      <c r="N5319" s="846"/>
      <c r="O5319" s="846"/>
      <c r="P5319" s="846"/>
      <c r="Q5319" s="846"/>
      <c r="R5319" s="846"/>
      <c r="S5319" s="846"/>
      <c r="T5319" s="846"/>
    </row>
    <row r="5320" spans="2:20" ht="25.5" hidden="1">
      <c r="B5320" s="828" t="s">
        <v>8297</v>
      </c>
      <c r="C5320" s="828">
        <v>104047</v>
      </c>
      <c r="D5320" s="630" t="s">
        <v>8309</v>
      </c>
      <c r="E5320" s="630" t="s">
        <v>646</v>
      </c>
      <c r="F5320" s="829">
        <v>6.44</v>
      </c>
      <c r="G5320" s="830">
        <v>4.34</v>
      </c>
      <c r="H5320" s="831">
        <v>10.78</v>
      </c>
      <c r="I5320" s="846"/>
      <c r="J5320" s="846"/>
      <c r="K5320" s="846"/>
      <c r="L5320" s="846"/>
      <c r="M5320" s="846"/>
      <c r="N5320" s="846"/>
      <c r="O5320" s="846"/>
      <c r="P5320" s="846"/>
      <c r="Q5320" s="846"/>
      <c r="R5320" s="846"/>
      <c r="S5320" s="846"/>
      <c r="T5320" s="846"/>
    </row>
    <row r="5321" spans="2:20" ht="25.5" hidden="1">
      <c r="B5321" s="828" t="s">
        <v>8297</v>
      </c>
      <c r="C5321" s="828">
        <v>104048</v>
      </c>
      <c r="D5321" s="630" t="s">
        <v>8310</v>
      </c>
      <c r="E5321" s="630" t="s">
        <v>646</v>
      </c>
      <c r="F5321" s="829">
        <v>10.9</v>
      </c>
      <c r="G5321" s="830">
        <v>4.99</v>
      </c>
      <c r="H5321" s="831">
        <v>15.89</v>
      </c>
      <c r="I5321" s="846"/>
      <c r="J5321" s="846"/>
      <c r="K5321" s="846"/>
      <c r="L5321" s="846"/>
      <c r="M5321" s="846"/>
      <c r="N5321" s="846"/>
      <c r="O5321" s="846"/>
      <c r="P5321" s="846"/>
      <c r="Q5321" s="846"/>
      <c r="R5321" s="846"/>
      <c r="S5321" s="846"/>
      <c r="T5321" s="846"/>
    </row>
    <row r="5322" spans="2:20" ht="25.5" hidden="1">
      <c r="B5322" s="828" t="s">
        <v>8297</v>
      </c>
      <c r="C5322" s="828">
        <v>104049</v>
      </c>
      <c r="D5322" s="630" t="s">
        <v>8311</v>
      </c>
      <c r="E5322" s="630" t="s">
        <v>646</v>
      </c>
      <c r="F5322" s="829">
        <v>2.34</v>
      </c>
      <c r="G5322" s="830">
        <v>4.22</v>
      </c>
      <c r="H5322" s="831">
        <v>6.56</v>
      </c>
      <c r="I5322" s="846"/>
      <c r="J5322" s="846"/>
      <c r="K5322" s="846"/>
      <c r="L5322" s="846"/>
      <c r="M5322" s="846"/>
      <c r="N5322" s="846"/>
      <c r="O5322" s="846"/>
      <c r="P5322" s="846"/>
      <c r="Q5322" s="846"/>
      <c r="R5322" s="846"/>
      <c r="S5322" s="846"/>
      <c r="T5322" s="846"/>
    </row>
    <row r="5323" spans="2:20" ht="25.5" hidden="1">
      <c r="B5323" s="828" t="s">
        <v>8297</v>
      </c>
      <c r="C5323" s="828">
        <v>104050</v>
      </c>
      <c r="D5323" s="630" t="s">
        <v>8312</v>
      </c>
      <c r="E5323" s="630" t="s">
        <v>646</v>
      </c>
      <c r="F5323" s="829">
        <v>4.42</v>
      </c>
      <c r="G5323" s="830">
        <v>5.72</v>
      </c>
      <c r="H5323" s="831">
        <v>10.14</v>
      </c>
      <c r="I5323" s="846"/>
      <c r="J5323" s="846"/>
      <c r="K5323" s="846"/>
      <c r="L5323" s="846"/>
      <c r="M5323" s="846"/>
      <c r="N5323" s="846"/>
      <c r="O5323" s="846"/>
      <c r="P5323" s="846"/>
      <c r="Q5323" s="846"/>
      <c r="R5323" s="846"/>
      <c r="S5323" s="846"/>
      <c r="T5323" s="846"/>
    </row>
    <row r="5324" spans="2:20" ht="25.5" hidden="1">
      <c r="B5324" s="828" t="s">
        <v>8297</v>
      </c>
      <c r="C5324" s="828">
        <v>104051</v>
      </c>
      <c r="D5324" s="630" t="s">
        <v>8313</v>
      </c>
      <c r="E5324" s="630" t="s">
        <v>646</v>
      </c>
      <c r="F5324" s="829">
        <v>5.21</v>
      </c>
      <c r="G5324" s="830">
        <v>3.46</v>
      </c>
      <c r="H5324" s="831">
        <v>8.67</v>
      </c>
      <c r="I5324" s="846"/>
      <c r="J5324" s="846"/>
      <c r="K5324" s="846"/>
      <c r="L5324" s="846"/>
      <c r="M5324" s="846"/>
      <c r="N5324" s="846"/>
      <c r="O5324" s="846"/>
      <c r="P5324" s="846"/>
      <c r="Q5324" s="846"/>
      <c r="R5324" s="846"/>
      <c r="S5324" s="846"/>
      <c r="T5324" s="846"/>
    </row>
    <row r="5325" spans="2:20" ht="25.5" hidden="1">
      <c r="B5325" s="828" t="s">
        <v>8297</v>
      </c>
      <c r="C5325" s="828">
        <v>104052</v>
      </c>
      <c r="D5325" s="630" t="s">
        <v>8314</v>
      </c>
      <c r="E5325" s="630" t="s">
        <v>646</v>
      </c>
      <c r="F5325" s="829">
        <v>7.43</v>
      </c>
      <c r="G5325" s="830">
        <v>4.7300000000000004</v>
      </c>
      <c r="H5325" s="831">
        <v>12.16</v>
      </c>
      <c r="I5325" s="846"/>
      <c r="J5325" s="846"/>
      <c r="K5325" s="846"/>
      <c r="L5325" s="846"/>
      <c r="M5325" s="846"/>
      <c r="N5325" s="846"/>
      <c r="O5325" s="846"/>
      <c r="P5325" s="846"/>
      <c r="Q5325" s="846"/>
      <c r="R5325" s="846"/>
      <c r="S5325" s="846"/>
      <c r="T5325" s="846"/>
    </row>
    <row r="5326" spans="2:20" ht="25.5" hidden="1">
      <c r="B5326" s="828" t="s">
        <v>8297</v>
      </c>
      <c r="C5326" s="828">
        <v>104053</v>
      </c>
      <c r="D5326" s="630" t="s">
        <v>8315</v>
      </c>
      <c r="E5326" s="630" t="s">
        <v>646</v>
      </c>
      <c r="F5326" s="829">
        <v>6.66</v>
      </c>
      <c r="G5326" s="830">
        <v>3.46</v>
      </c>
      <c r="H5326" s="831">
        <v>10.119999999999999</v>
      </c>
      <c r="I5326" s="846"/>
      <c r="J5326" s="846"/>
      <c r="K5326" s="846"/>
      <c r="L5326" s="846"/>
      <c r="M5326" s="846"/>
      <c r="N5326" s="846"/>
      <c r="O5326" s="846"/>
      <c r="P5326" s="846"/>
      <c r="Q5326" s="846"/>
      <c r="R5326" s="846"/>
      <c r="S5326" s="846"/>
      <c r="T5326" s="846"/>
    </row>
    <row r="5327" spans="2:20" ht="25.5" hidden="1">
      <c r="B5327" s="828" t="s">
        <v>8297</v>
      </c>
      <c r="C5327" s="828">
        <v>104054</v>
      </c>
      <c r="D5327" s="630" t="s">
        <v>8316</v>
      </c>
      <c r="E5327" s="630" t="s">
        <v>646</v>
      </c>
      <c r="F5327" s="829">
        <v>15.4</v>
      </c>
      <c r="G5327" s="830">
        <v>4.7300000000000004</v>
      </c>
      <c r="H5327" s="831">
        <v>20.13</v>
      </c>
      <c r="I5327" s="846"/>
      <c r="J5327" s="846"/>
      <c r="K5327" s="846"/>
      <c r="L5327" s="846"/>
      <c r="M5327" s="846"/>
      <c r="N5327" s="846"/>
      <c r="O5327" s="846"/>
      <c r="P5327" s="846"/>
      <c r="Q5327" s="846"/>
      <c r="R5327" s="846"/>
      <c r="S5327" s="846"/>
      <c r="T5327" s="846"/>
    </row>
    <row r="5328" spans="2:20" ht="25.5" hidden="1">
      <c r="B5328" s="828" t="s">
        <v>8297</v>
      </c>
      <c r="C5328" s="828">
        <v>104055</v>
      </c>
      <c r="D5328" s="630" t="s">
        <v>8317</v>
      </c>
      <c r="E5328" s="630" t="s">
        <v>646</v>
      </c>
      <c r="F5328" s="829">
        <v>14.02</v>
      </c>
      <c r="G5328" s="830">
        <v>3.45</v>
      </c>
      <c r="H5328" s="831">
        <v>17.47</v>
      </c>
      <c r="I5328" s="846"/>
      <c r="J5328" s="846"/>
      <c r="K5328" s="846"/>
      <c r="L5328" s="846"/>
      <c r="M5328" s="846"/>
      <c r="N5328" s="846"/>
      <c r="O5328" s="846"/>
      <c r="P5328" s="846"/>
      <c r="Q5328" s="846"/>
      <c r="R5328" s="846"/>
      <c r="S5328" s="846"/>
      <c r="T5328" s="846"/>
    </row>
    <row r="5329" spans="2:20" ht="25.5" hidden="1">
      <c r="B5329" s="828" t="s">
        <v>8297</v>
      </c>
      <c r="C5329" s="828">
        <v>104056</v>
      </c>
      <c r="D5329" s="630" t="s">
        <v>8318</v>
      </c>
      <c r="E5329" s="630" t="s">
        <v>646</v>
      </c>
      <c r="F5329" s="829">
        <v>22.33</v>
      </c>
      <c r="G5329" s="830">
        <v>3.85</v>
      </c>
      <c r="H5329" s="831">
        <v>26.18</v>
      </c>
      <c r="I5329" s="846"/>
      <c r="J5329" s="846"/>
      <c r="K5329" s="846"/>
      <c r="L5329" s="846"/>
      <c r="M5329" s="846"/>
      <c r="N5329" s="846"/>
      <c r="O5329" s="846"/>
      <c r="P5329" s="846"/>
      <c r="Q5329" s="846"/>
      <c r="R5329" s="846"/>
      <c r="S5329" s="846"/>
      <c r="T5329" s="846"/>
    </row>
    <row r="5330" spans="2:20" hidden="1">
      <c r="B5330" s="828" t="s">
        <v>8297</v>
      </c>
      <c r="C5330" s="828">
        <v>104058</v>
      </c>
      <c r="D5330" s="630" t="s">
        <v>8319</v>
      </c>
      <c r="E5330" s="630" t="s">
        <v>646</v>
      </c>
      <c r="F5330" s="829">
        <v>3.15</v>
      </c>
      <c r="G5330" s="830">
        <v>4.24</v>
      </c>
      <c r="H5330" s="831">
        <v>7.39</v>
      </c>
      <c r="I5330" s="846"/>
      <c r="J5330" s="846"/>
      <c r="K5330" s="846"/>
      <c r="L5330" s="846"/>
      <c r="M5330" s="846"/>
      <c r="N5330" s="846"/>
      <c r="O5330" s="846"/>
      <c r="P5330" s="846"/>
      <c r="Q5330" s="846"/>
      <c r="R5330" s="846"/>
      <c r="S5330" s="846"/>
      <c r="T5330" s="846"/>
    </row>
    <row r="5331" spans="2:20" hidden="1">
      <c r="B5331" s="828" t="s">
        <v>8297</v>
      </c>
      <c r="C5331" s="828">
        <v>104059</v>
      </c>
      <c r="D5331" s="630" t="s">
        <v>8320</v>
      </c>
      <c r="E5331" s="630" t="s">
        <v>646</v>
      </c>
      <c r="F5331" s="829">
        <v>6.41</v>
      </c>
      <c r="G5331" s="830">
        <v>5.26</v>
      </c>
      <c r="H5331" s="831">
        <v>11.67</v>
      </c>
      <c r="I5331" s="846"/>
      <c r="J5331" s="846"/>
      <c r="K5331" s="846"/>
      <c r="L5331" s="846"/>
      <c r="M5331" s="846"/>
      <c r="N5331" s="846"/>
      <c r="O5331" s="846"/>
      <c r="P5331" s="846"/>
      <c r="Q5331" s="846"/>
      <c r="R5331" s="846"/>
      <c r="S5331" s="846"/>
      <c r="T5331" s="846"/>
    </row>
    <row r="5332" spans="2:20" ht="25.5" hidden="1">
      <c r="B5332" s="828" t="s">
        <v>8297</v>
      </c>
      <c r="C5332" s="828">
        <v>104060</v>
      </c>
      <c r="D5332" s="630" t="s">
        <v>8321</v>
      </c>
      <c r="E5332" s="630" t="s">
        <v>648</v>
      </c>
      <c r="F5332" s="829">
        <v>6.69</v>
      </c>
      <c r="G5332" s="830">
        <v>3.14</v>
      </c>
      <c r="H5332" s="831">
        <v>9.83</v>
      </c>
      <c r="I5332" s="846"/>
      <c r="J5332" s="846"/>
      <c r="K5332" s="846"/>
      <c r="L5332" s="846"/>
      <c r="M5332" s="846"/>
      <c r="N5332" s="846"/>
      <c r="O5332" s="846"/>
      <c r="P5332" s="846"/>
      <c r="Q5332" s="846"/>
      <c r="R5332" s="846"/>
      <c r="S5332" s="846"/>
      <c r="T5332" s="846"/>
    </row>
    <row r="5333" spans="2:20" ht="25.5" hidden="1">
      <c r="B5333" s="828" t="s">
        <v>8297</v>
      </c>
      <c r="C5333" s="828">
        <v>104061</v>
      </c>
      <c r="D5333" s="630" t="s">
        <v>8322</v>
      </c>
      <c r="E5333" s="630" t="s">
        <v>648</v>
      </c>
      <c r="F5333" s="829">
        <v>12.83</v>
      </c>
      <c r="G5333" s="830">
        <v>4.74</v>
      </c>
      <c r="H5333" s="831">
        <v>17.57</v>
      </c>
      <c r="I5333" s="846"/>
      <c r="J5333" s="846"/>
      <c r="K5333" s="846"/>
      <c r="L5333" s="846"/>
      <c r="M5333" s="846"/>
      <c r="N5333" s="846"/>
      <c r="O5333" s="846"/>
      <c r="P5333" s="846"/>
      <c r="Q5333" s="846"/>
      <c r="R5333" s="846"/>
      <c r="S5333" s="846"/>
      <c r="T5333" s="846"/>
    </row>
    <row r="5334" spans="2:20" ht="51" hidden="1">
      <c r="B5334" s="828" t="s">
        <v>8297</v>
      </c>
      <c r="C5334" s="828">
        <v>104112</v>
      </c>
      <c r="D5334" s="630" t="s">
        <v>8323</v>
      </c>
      <c r="E5334" s="630" t="s">
        <v>646</v>
      </c>
      <c r="F5334" s="829">
        <v>100.30999999999999</v>
      </c>
      <c r="G5334" s="830">
        <v>71.959999999999994</v>
      </c>
      <c r="H5334" s="831">
        <v>172.27</v>
      </c>
      <c r="I5334" s="846"/>
      <c r="J5334" s="846"/>
      <c r="K5334" s="846"/>
      <c r="L5334" s="846"/>
      <c r="M5334" s="846"/>
      <c r="N5334" s="846"/>
      <c r="O5334" s="846"/>
      <c r="P5334" s="846"/>
      <c r="Q5334" s="846"/>
      <c r="R5334" s="846"/>
      <c r="S5334" s="846"/>
      <c r="T5334" s="846"/>
    </row>
    <row r="5335" spans="2:20" ht="51" hidden="1">
      <c r="B5335" s="828" t="s">
        <v>8297</v>
      </c>
      <c r="C5335" s="828">
        <v>104114</v>
      </c>
      <c r="D5335" s="630" t="s">
        <v>8324</v>
      </c>
      <c r="E5335" s="630" t="s">
        <v>646</v>
      </c>
      <c r="F5335" s="829">
        <v>144.69999999999999</v>
      </c>
      <c r="G5335" s="830">
        <v>110.2</v>
      </c>
      <c r="H5335" s="831">
        <v>254.9</v>
      </c>
      <c r="I5335" s="846"/>
      <c r="J5335" s="846"/>
      <c r="K5335" s="846"/>
      <c r="L5335" s="846"/>
      <c r="M5335" s="846"/>
      <c r="N5335" s="846"/>
      <c r="O5335" s="846"/>
      <c r="P5335" s="846"/>
      <c r="Q5335" s="846"/>
      <c r="R5335" s="846"/>
      <c r="S5335" s="846"/>
      <c r="T5335" s="846"/>
    </row>
    <row r="5336" spans="2:20" ht="51" hidden="1">
      <c r="B5336" s="828" t="s">
        <v>8297</v>
      </c>
      <c r="C5336" s="828">
        <v>104116</v>
      </c>
      <c r="D5336" s="630" t="s">
        <v>8325</v>
      </c>
      <c r="E5336" s="630" t="s">
        <v>646</v>
      </c>
      <c r="F5336" s="829">
        <v>189.09</v>
      </c>
      <c r="G5336" s="830">
        <v>148.44</v>
      </c>
      <c r="H5336" s="831">
        <v>337.53</v>
      </c>
      <c r="I5336" s="846"/>
      <c r="J5336" s="846"/>
      <c r="K5336" s="846"/>
      <c r="L5336" s="846"/>
      <c r="M5336" s="846"/>
      <c r="N5336" s="846"/>
      <c r="O5336" s="846"/>
      <c r="P5336" s="846"/>
      <c r="Q5336" s="846"/>
      <c r="R5336" s="846"/>
      <c r="S5336" s="846"/>
      <c r="T5336" s="846"/>
    </row>
    <row r="5337" spans="2:20" ht="51" hidden="1">
      <c r="B5337" s="828" t="s">
        <v>8297</v>
      </c>
      <c r="C5337" s="828">
        <v>104118</v>
      </c>
      <c r="D5337" s="630" t="s">
        <v>8326</v>
      </c>
      <c r="E5337" s="630" t="s">
        <v>646</v>
      </c>
      <c r="F5337" s="829">
        <v>120.27</v>
      </c>
      <c r="G5337" s="830">
        <v>166.11</v>
      </c>
      <c r="H5337" s="831">
        <v>286.38</v>
      </c>
      <c r="I5337" s="846"/>
      <c r="J5337" s="846"/>
      <c r="K5337" s="846"/>
      <c r="L5337" s="846"/>
      <c r="M5337" s="846"/>
      <c r="N5337" s="846"/>
      <c r="O5337" s="846"/>
      <c r="P5337" s="846"/>
      <c r="Q5337" s="846"/>
      <c r="R5337" s="846"/>
      <c r="S5337" s="846"/>
      <c r="T5337" s="846"/>
    </row>
    <row r="5338" spans="2:20" ht="51" hidden="1">
      <c r="B5338" s="828" t="s">
        <v>8297</v>
      </c>
      <c r="C5338" s="828">
        <v>104120</v>
      </c>
      <c r="D5338" s="630" t="s">
        <v>8327</v>
      </c>
      <c r="E5338" s="630" t="s">
        <v>646</v>
      </c>
      <c r="F5338" s="829">
        <v>178.22</v>
      </c>
      <c r="G5338" s="830">
        <v>270.18</v>
      </c>
      <c r="H5338" s="831">
        <v>448.4</v>
      </c>
      <c r="I5338" s="846"/>
      <c r="J5338" s="846"/>
      <c r="K5338" s="846"/>
      <c r="L5338" s="846"/>
      <c r="M5338" s="846"/>
      <c r="N5338" s="846"/>
      <c r="O5338" s="846"/>
      <c r="P5338" s="846"/>
      <c r="Q5338" s="846"/>
      <c r="R5338" s="846"/>
      <c r="S5338" s="846"/>
      <c r="T5338" s="846"/>
    </row>
    <row r="5339" spans="2:20" ht="51" hidden="1">
      <c r="B5339" s="828" t="s">
        <v>8297</v>
      </c>
      <c r="C5339" s="828">
        <v>104122</v>
      </c>
      <c r="D5339" s="630" t="s">
        <v>8328</v>
      </c>
      <c r="E5339" s="630" t="s">
        <v>646</v>
      </c>
      <c r="F5339" s="829">
        <v>236.17</v>
      </c>
      <c r="G5339" s="830">
        <v>374.26</v>
      </c>
      <c r="H5339" s="831">
        <v>610.42999999999995</v>
      </c>
      <c r="I5339" s="846"/>
      <c r="J5339" s="846"/>
      <c r="K5339" s="846"/>
      <c r="L5339" s="846"/>
      <c r="M5339" s="846"/>
      <c r="N5339" s="846"/>
      <c r="O5339" s="846"/>
      <c r="P5339" s="846"/>
      <c r="Q5339" s="846"/>
      <c r="R5339" s="846"/>
      <c r="S5339" s="846"/>
      <c r="T5339" s="846"/>
    </row>
    <row r="5340" spans="2:20" ht="25.5" hidden="1">
      <c r="B5340" s="828" t="s">
        <v>6574</v>
      </c>
      <c r="C5340" s="828">
        <v>104062</v>
      </c>
      <c r="D5340" s="630" t="s">
        <v>8329</v>
      </c>
      <c r="E5340" s="630" t="s">
        <v>646</v>
      </c>
      <c r="F5340" s="829">
        <v>55.31</v>
      </c>
      <c r="G5340" s="830">
        <v>6.98</v>
      </c>
      <c r="H5340" s="831">
        <v>62.29</v>
      </c>
      <c r="I5340" s="846"/>
      <c r="J5340" s="846"/>
      <c r="K5340" s="846"/>
      <c r="L5340" s="846"/>
      <c r="M5340" s="846"/>
      <c r="N5340" s="846"/>
      <c r="O5340" s="846"/>
      <c r="P5340" s="846"/>
      <c r="Q5340" s="846"/>
      <c r="R5340" s="846"/>
      <c r="S5340" s="846"/>
      <c r="T5340" s="846"/>
    </row>
    <row r="5341" spans="2:20" ht="25.5" hidden="1">
      <c r="B5341" s="828" t="s">
        <v>6574</v>
      </c>
      <c r="C5341" s="828">
        <v>104063</v>
      </c>
      <c r="D5341" s="630" t="s">
        <v>8330</v>
      </c>
      <c r="E5341" s="630" t="s">
        <v>646</v>
      </c>
      <c r="F5341" s="829">
        <v>40.229999999999997</v>
      </c>
      <c r="G5341" s="830">
        <v>6.98</v>
      </c>
      <c r="H5341" s="831">
        <v>47.21</v>
      </c>
      <c r="I5341" s="846"/>
      <c r="J5341" s="846"/>
      <c r="K5341" s="846"/>
      <c r="L5341" s="846"/>
      <c r="M5341" s="846"/>
      <c r="N5341" s="846"/>
      <c r="O5341" s="846"/>
      <c r="P5341" s="846"/>
      <c r="Q5341" s="846"/>
      <c r="R5341" s="846"/>
      <c r="S5341" s="846"/>
      <c r="T5341" s="846"/>
    </row>
    <row r="5342" spans="2:20" ht="25.5" hidden="1">
      <c r="B5342" s="828" t="s">
        <v>6574</v>
      </c>
      <c r="C5342" s="828">
        <v>104064</v>
      </c>
      <c r="D5342" s="630" t="s">
        <v>8331</v>
      </c>
      <c r="E5342" s="630" t="s">
        <v>646</v>
      </c>
      <c r="F5342" s="829">
        <v>191.04</v>
      </c>
      <c r="G5342" s="830">
        <v>7.27</v>
      </c>
      <c r="H5342" s="831">
        <v>198.31</v>
      </c>
      <c r="I5342" s="846"/>
      <c r="J5342" s="846"/>
      <c r="K5342" s="846"/>
      <c r="L5342" s="846"/>
      <c r="M5342" s="846"/>
      <c r="N5342" s="846"/>
      <c r="O5342" s="846"/>
      <c r="P5342" s="846"/>
      <c r="Q5342" s="846"/>
      <c r="R5342" s="846"/>
      <c r="S5342" s="846"/>
      <c r="T5342" s="846"/>
    </row>
    <row r="5343" spans="2:20" ht="25.5" hidden="1">
      <c r="B5343" s="828" t="s">
        <v>6574</v>
      </c>
      <c r="C5343" s="828">
        <v>104065</v>
      </c>
      <c r="D5343" s="630" t="s">
        <v>8332</v>
      </c>
      <c r="E5343" s="630" t="s">
        <v>646</v>
      </c>
      <c r="F5343" s="829">
        <v>137.30000000000001</v>
      </c>
      <c r="G5343" s="830">
        <v>7.27</v>
      </c>
      <c r="H5343" s="831">
        <v>144.57</v>
      </c>
      <c r="I5343" s="846"/>
      <c r="J5343" s="846"/>
      <c r="K5343" s="846"/>
      <c r="L5343" s="846"/>
      <c r="M5343" s="846"/>
      <c r="N5343" s="846"/>
      <c r="O5343" s="846"/>
      <c r="P5343" s="846"/>
      <c r="Q5343" s="846"/>
      <c r="R5343" s="846"/>
      <c r="S5343" s="846"/>
      <c r="T5343" s="846"/>
    </row>
    <row r="5344" spans="2:20" ht="25.5" hidden="1">
      <c r="B5344" s="828" t="s">
        <v>6574</v>
      </c>
      <c r="C5344" s="828">
        <v>104066</v>
      </c>
      <c r="D5344" s="630" t="s">
        <v>8333</v>
      </c>
      <c r="E5344" s="630" t="s">
        <v>646</v>
      </c>
      <c r="F5344" s="829">
        <v>30.53</v>
      </c>
      <c r="G5344" s="830">
        <v>6.99</v>
      </c>
      <c r="H5344" s="831">
        <v>37.520000000000003</v>
      </c>
      <c r="I5344" s="846"/>
      <c r="J5344" s="846"/>
      <c r="K5344" s="846"/>
      <c r="L5344" s="846"/>
      <c r="M5344" s="846"/>
      <c r="N5344" s="846"/>
      <c r="O5344" s="846"/>
      <c r="P5344" s="846"/>
      <c r="Q5344" s="846"/>
      <c r="R5344" s="846"/>
      <c r="S5344" s="846"/>
      <c r="T5344" s="846"/>
    </row>
    <row r="5345" spans="2:20" ht="25.5" hidden="1">
      <c r="B5345" s="828" t="s">
        <v>6574</v>
      </c>
      <c r="C5345" s="828">
        <v>104067</v>
      </c>
      <c r="D5345" s="630" t="s">
        <v>8334</v>
      </c>
      <c r="E5345" s="630" t="s">
        <v>646</v>
      </c>
      <c r="F5345" s="829">
        <v>91.01</v>
      </c>
      <c r="G5345" s="830">
        <v>7.27</v>
      </c>
      <c r="H5345" s="831">
        <v>98.28</v>
      </c>
      <c r="I5345" s="846"/>
      <c r="J5345" s="846"/>
      <c r="K5345" s="846"/>
      <c r="L5345" s="846"/>
      <c r="M5345" s="846"/>
      <c r="N5345" s="846"/>
      <c r="O5345" s="846"/>
      <c r="P5345" s="846"/>
      <c r="Q5345" s="846"/>
      <c r="R5345" s="846"/>
      <c r="S5345" s="846"/>
      <c r="T5345" s="846"/>
    </row>
    <row r="5346" spans="2:20" ht="25.5" hidden="1">
      <c r="B5346" s="828" t="s">
        <v>6574</v>
      </c>
      <c r="C5346" s="828">
        <v>104068</v>
      </c>
      <c r="D5346" s="630" t="s">
        <v>8335</v>
      </c>
      <c r="E5346" s="630" t="s">
        <v>646</v>
      </c>
      <c r="F5346" s="829">
        <v>111.24</v>
      </c>
      <c r="G5346" s="830">
        <v>7.27</v>
      </c>
      <c r="H5346" s="831">
        <v>118.51</v>
      </c>
      <c r="I5346" s="846"/>
      <c r="J5346" s="846"/>
      <c r="K5346" s="846"/>
      <c r="L5346" s="846"/>
      <c r="M5346" s="846"/>
      <c r="N5346" s="846"/>
      <c r="O5346" s="846"/>
      <c r="P5346" s="846"/>
      <c r="Q5346" s="846"/>
      <c r="R5346" s="846"/>
      <c r="S5346" s="846"/>
      <c r="T5346" s="846"/>
    </row>
    <row r="5347" spans="2:20" ht="25.5" hidden="1">
      <c r="B5347" s="828" t="s">
        <v>6574</v>
      </c>
      <c r="C5347" s="828">
        <v>104069</v>
      </c>
      <c r="D5347" s="630" t="s">
        <v>8336</v>
      </c>
      <c r="E5347" s="630" t="s">
        <v>646</v>
      </c>
      <c r="F5347" s="829">
        <v>210.48</v>
      </c>
      <c r="G5347" s="830">
        <v>7.49</v>
      </c>
      <c r="H5347" s="831">
        <v>217.97</v>
      </c>
      <c r="I5347" s="846"/>
      <c r="J5347" s="846"/>
      <c r="K5347" s="846"/>
      <c r="L5347" s="846"/>
      <c r="M5347" s="846"/>
      <c r="N5347" s="846"/>
      <c r="O5347" s="846"/>
      <c r="P5347" s="846"/>
      <c r="Q5347" s="846"/>
      <c r="R5347" s="846"/>
      <c r="S5347" s="846"/>
      <c r="T5347" s="846"/>
    </row>
    <row r="5348" spans="2:20" ht="25.5" hidden="1">
      <c r="B5348" s="828" t="s">
        <v>6574</v>
      </c>
      <c r="C5348" s="828">
        <v>104070</v>
      </c>
      <c r="D5348" s="630" t="s">
        <v>8337</v>
      </c>
      <c r="E5348" s="630" t="s">
        <v>646</v>
      </c>
      <c r="F5348" s="829">
        <v>69.849999999999994</v>
      </c>
      <c r="G5348" s="830">
        <v>10.48</v>
      </c>
      <c r="H5348" s="831">
        <v>80.33</v>
      </c>
      <c r="I5348" s="846"/>
      <c r="J5348" s="846"/>
      <c r="K5348" s="846"/>
      <c r="L5348" s="846"/>
      <c r="M5348" s="846"/>
      <c r="N5348" s="846"/>
      <c r="O5348" s="846"/>
      <c r="P5348" s="846"/>
      <c r="Q5348" s="846"/>
      <c r="R5348" s="846"/>
      <c r="S5348" s="846"/>
      <c r="T5348" s="846"/>
    </row>
    <row r="5349" spans="2:20" ht="25.5" hidden="1">
      <c r="B5349" s="828" t="s">
        <v>6574</v>
      </c>
      <c r="C5349" s="828">
        <v>104071</v>
      </c>
      <c r="D5349" s="630" t="s">
        <v>8338</v>
      </c>
      <c r="E5349" s="630" t="s">
        <v>646</v>
      </c>
      <c r="F5349" s="829">
        <v>157.65</v>
      </c>
      <c r="G5349" s="830">
        <v>10.92</v>
      </c>
      <c r="H5349" s="831">
        <v>168.57</v>
      </c>
      <c r="I5349" s="846"/>
      <c r="J5349" s="846"/>
      <c r="K5349" s="846"/>
      <c r="L5349" s="846"/>
      <c r="M5349" s="846"/>
      <c r="N5349" s="846"/>
      <c r="O5349" s="846"/>
      <c r="P5349" s="846"/>
      <c r="Q5349" s="846"/>
      <c r="R5349" s="846"/>
      <c r="S5349" s="846"/>
      <c r="T5349" s="846"/>
    </row>
    <row r="5350" spans="2:20" ht="25.5" hidden="1">
      <c r="B5350" s="828" t="s">
        <v>6574</v>
      </c>
      <c r="C5350" s="828">
        <v>104072</v>
      </c>
      <c r="D5350" s="630" t="s">
        <v>8339</v>
      </c>
      <c r="E5350" s="630" t="s">
        <v>646</v>
      </c>
      <c r="F5350" s="829">
        <v>225.78</v>
      </c>
      <c r="G5350" s="830">
        <v>11.23</v>
      </c>
      <c r="H5350" s="831">
        <v>237.01</v>
      </c>
      <c r="I5350" s="846"/>
      <c r="J5350" s="846"/>
      <c r="K5350" s="846"/>
      <c r="L5350" s="846"/>
      <c r="M5350" s="846"/>
      <c r="N5350" s="846"/>
      <c r="O5350" s="846"/>
      <c r="P5350" s="846"/>
      <c r="Q5350" s="846"/>
      <c r="R5350" s="846"/>
      <c r="S5350" s="846"/>
      <c r="T5350" s="846"/>
    </row>
    <row r="5351" spans="2:20" ht="25.5" hidden="1">
      <c r="B5351" s="828" t="s">
        <v>6574</v>
      </c>
      <c r="C5351" s="828">
        <v>104076</v>
      </c>
      <c r="D5351" s="630" t="s">
        <v>8340</v>
      </c>
      <c r="E5351" s="630" t="s">
        <v>646</v>
      </c>
      <c r="F5351" s="829">
        <v>30.82</v>
      </c>
      <c r="G5351" s="830">
        <v>10.93</v>
      </c>
      <c r="H5351" s="831">
        <v>41.75</v>
      </c>
      <c r="I5351" s="846"/>
      <c r="J5351" s="846"/>
      <c r="K5351" s="846"/>
      <c r="L5351" s="846"/>
      <c r="M5351" s="846"/>
      <c r="N5351" s="846"/>
      <c r="O5351" s="846"/>
      <c r="P5351" s="846"/>
      <c r="Q5351" s="846"/>
      <c r="R5351" s="846"/>
      <c r="S5351" s="846"/>
      <c r="T5351" s="846"/>
    </row>
    <row r="5352" spans="2:20" ht="25.5" hidden="1">
      <c r="B5352" s="828" t="s">
        <v>6574</v>
      </c>
      <c r="C5352" s="828">
        <v>104077</v>
      </c>
      <c r="D5352" s="630" t="s">
        <v>8341</v>
      </c>
      <c r="E5352" s="630" t="s">
        <v>646</v>
      </c>
      <c r="F5352" s="829">
        <v>49.55</v>
      </c>
      <c r="G5352" s="830">
        <v>7.28</v>
      </c>
      <c r="H5352" s="831">
        <v>56.83</v>
      </c>
      <c r="I5352" s="846"/>
      <c r="J5352" s="846"/>
      <c r="K5352" s="846"/>
      <c r="L5352" s="846"/>
      <c r="M5352" s="846"/>
      <c r="N5352" s="846"/>
      <c r="O5352" s="846"/>
      <c r="P5352" s="846"/>
      <c r="Q5352" s="846"/>
      <c r="R5352" s="846"/>
      <c r="S5352" s="846"/>
      <c r="T5352" s="846"/>
    </row>
    <row r="5353" spans="2:20" ht="25.5" hidden="1">
      <c r="B5353" s="828" t="s">
        <v>6574</v>
      </c>
      <c r="C5353" s="828">
        <v>104078</v>
      </c>
      <c r="D5353" s="630" t="s">
        <v>8342</v>
      </c>
      <c r="E5353" s="630" t="s">
        <v>646</v>
      </c>
      <c r="F5353" s="829">
        <v>84.16</v>
      </c>
      <c r="G5353" s="830">
        <v>7.49</v>
      </c>
      <c r="H5353" s="831">
        <v>91.65</v>
      </c>
      <c r="I5353" s="846"/>
      <c r="J5353" s="846"/>
      <c r="K5353" s="846"/>
      <c r="L5353" s="846"/>
      <c r="M5353" s="846"/>
      <c r="N5353" s="846"/>
      <c r="O5353" s="846"/>
      <c r="P5353" s="846"/>
      <c r="Q5353" s="846"/>
      <c r="R5353" s="846"/>
      <c r="S5353" s="846"/>
      <c r="T5353" s="846"/>
    </row>
    <row r="5354" spans="2:20" ht="25.5" hidden="1">
      <c r="B5354" s="828" t="s">
        <v>6574</v>
      </c>
      <c r="C5354" s="828">
        <v>104079</v>
      </c>
      <c r="D5354" s="630" t="s">
        <v>8343</v>
      </c>
      <c r="E5354" s="630" t="s">
        <v>646</v>
      </c>
      <c r="F5354" s="829">
        <v>108.86</v>
      </c>
      <c r="G5354" s="830">
        <v>7.79</v>
      </c>
      <c r="H5354" s="831">
        <v>116.65</v>
      </c>
      <c r="I5354" s="846"/>
      <c r="J5354" s="846"/>
      <c r="K5354" s="846"/>
      <c r="L5354" s="846"/>
      <c r="M5354" s="846"/>
      <c r="N5354" s="846"/>
      <c r="O5354" s="846"/>
      <c r="P5354" s="846"/>
      <c r="Q5354" s="846"/>
      <c r="R5354" s="846"/>
      <c r="S5354" s="846"/>
      <c r="T5354" s="846"/>
    </row>
    <row r="5355" spans="2:20" ht="25.5" hidden="1">
      <c r="B5355" s="828" t="s">
        <v>6574</v>
      </c>
      <c r="C5355" s="828">
        <v>104080</v>
      </c>
      <c r="D5355" s="630" t="s">
        <v>8344</v>
      </c>
      <c r="E5355" s="630" t="s">
        <v>646</v>
      </c>
      <c r="F5355" s="829">
        <v>113.57</v>
      </c>
      <c r="G5355" s="830">
        <v>10.47</v>
      </c>
      <c r="H5355" s="831">
        <v>124.04</v>
      </c>
      <c r="I5355" s="846"/>
      <c r="J5355" s="846"/>
      <c r="K5355" s="846"/>
      <c r="L5355" s="846"/>
      <c r="M5355" s="846"/>
      <c r="N5355" s="846"/>
      <c r="O5355" s="846"/>
      <c r="P5355" s="846"/>
      <c r="Q5355" s="846"/>
      <c r="R5355" s="846"/>
      <c r="S5355" s="846"/>
      <c r="T5355" s="846"/>
    </row>
    <row r="5356" spans="2:20" ht="25.5" hidden="1">
      <c r="B5356" s="828" t="s">
        <v>6574</v>
      </c>
      <c r="C5356" s="828">
        <v>104081</v>
      </c>
      <c r="D5356" s="630" t="s">
        <v>8345</v>
      </c>
      <c r="E5356" s="630" t="s">
        <v>646</v>
      </c>
      <c r="F5356" s="829">
        <v>240</v>
      </c>
      <c r="G5356" s="830">
        <v>10.92</v>
      </c>
      <c r="H5356" s="831">
        <v>250.92</v>
      </c>
      <c r="I5356" s="846"/>
      <c r="J5356" s="846"/>
      <c r="K5356" s="846"/>
      <c r="L5356" s="846"/>
      <c r="M5356" s="846"/>
      <c r="N5356" s="846"/>
      <c r="O5356" s="846"/>
      <c r="P5356" s="846"/>
      <c r="Q5356" s="846"/>
      <c r="R5356" s="846"/>
      <c r="S5356" s="846"/>
      <c r="T5356" s="846"/>
    </row>
    <row r="5357" spans="2:20" ht="25.5" hidden="1">
      <c r="B5357" s="828" t="s">
        <v>6574</v>
      </c>
      <c r="C5357" s="828">
        <v>104082</v>
      </c>
      <c r="D5357" s="630" t="s">
        <v>8346</v>
      </c>
      <c r="E5357" s="630" t="s">
        <v>646</v>
      </c>
      <c r="F5357" s="829">
        <v>33.799999999999997</v>
      </c>
      <c r="G5357" s="830">
        <v>3.49</v>
      </c>
      <c r="H5357" s="831">
        <v>37.29</v>
      </c>
      <c r="I5357" s="846"/>
      <c r="J5357" s="846"/>
      <c r="K5357" s="846"/>
      <c r="L5357" s="846"/>
      <c r="M5357" s="846"/>
      <c r="N5357" s="846"/>
      <c r="O5357" s="846"/>
      <c r="P5357" s="846"/>
      <c r="Q5357" s="846"/>
      <c r="R5357" s="846"/>
      <c r="S5357" s="846"/>
      <c r="T5357" s="846"/>
    </row>
    <row r="5358" spans="2:20" ht="25.5" hidden="1">
      <c r="B5358" s="828" t="s">
        <v>6574</v>
      </c>
      <c r="C5358" s="828">
        <v>104083</v>
      </c>
      <c r="D5358" s="630" t="s">
        <v>8347</v>
      </c>
      <c r="E5358" s="630" t="s">
        <v>646</v>
      </c>
      <c r="F5358" s="829">
        <v>77.19</v>
      </c>
      <c r="G5358" s="830">
        <v>3.63</v>
      </c>
      <c r="H5358" s="831">
        <v>80.819999999999993</v>
      </c>
      <c r="I5358" s="846"/>
      <c r="J5358" s="846"/>
      <c r="K5358" s="846"/>
      <c r="L5358" s="846"/>
      <c r="M5358" s="846"/>
      <c r="N5358" s="846"/>
      <c r="O5358" s="846"/>
      <c r="P5358" s="846"/>
      <c r="Q5358" s="846"/>
      <c r="R5358" s="846"/>
      <c r="S5358" s="846"/>
      <c r="T5358" s="846"/>
    </row>
    <row r="5359" spans="2:20" ht="25.5" hidden="1">
      <c r="B5359" s="828" t="s">
        <v>6574</v>
      </c>
      <c r="C5359" s="828">
        <v>104084</v>
      </c>
      <c r="D5359" s="630" t="s">
        <v>8348</v>
      </c>
      <c r="E5359" s="630" t="s">
        <v>646</v>
      </c>
      <c r="F5359" s="829">
        <v>85.6</v>
      </c>
      <c r="G5359" s="830">
        <v>3.63</v>
      </c>
      <c r="H5359" s="831">
        <v>89.23</v>
      </c>
      <c r="I5359" s="846"/>
      <c r="J5359" s="846"/>
      <c r="K5359" s="846"/>
      <c r="L5359" s="846"/>
      <c r="M5359" s="846"/>
      <c r="N5359" s="846"/>
      <c r="O5359" s="846"/>
      <c r="P5359" s="846"/>
      <c r="Q5359" s="846"/>
      <c r="R5359" s="846"/>
      <c r="S5359" s="846"/>
      <c r="T5359" s="846"/>
    </row>
    <row r="5360" spans="2:20" ht="25.5" hidden="1">
      <c r="B5360" s="828" t="s">
        <v>6574</v>
      </c>
      <c r="C5360" s="828">
        <v>104085</v>
      </c>
      <c r="D5360" s="630" t="s">
        <v>8349</v>
      </c>
      <c r="E5360" s="630" t="s">
        <v>648</v>
      </c>
      <c r="F5360" s="829">
        <v>34.770000000000003</v>
      </c>
      <c r="G5360" s="830">
        <v>9.4499999999999993</v>
      </c>
      <c r="H5360" s="831">
        <v>44.22</v>
      </c>
      <c r="I5360" s="846"/>
      <c r="J5360" s="846"/>
      <c r="K5360" s="846"/>
      <c r="L5360" s="846"/>
      <c r="M5360" s="846"/>
      <c r="N5360" s="846"/>
      <c r="O5360" s="846"/>
      <c r="P5360" s="846"/>
      <c r="Q5360" s="846"/>
      <c r="R5360" s="846"/>
      <c r="S5360" s="846"/>
      <c r="T5360" s="846"/>
    </row>
    <row r="5361" spans="2:20" ht="25.5" hidden="1">
      <c r="B5361" s="828" t="s">
        <v>6574</v>
      </c>
      <c r="C5361" s="828">
        <v>104086</v>
      </c>
      <c r="D5361" s="630" t="s">
        <v>8350</v>
      </c>
      <c r="E5361" s="630" t="s">
        <v>648</v>
      </c>
      <c r="F5361" s="829">
        <v>71.63</v>
      </c>
      <c r="G5361" s="830">
        <v>10.55</v>
      </c>
      <c r="H5361" s="831">
        <v>82.18</v>
      </c>
      <c r="I5361" s="846"/>
      <c r="J5361" s="846"/>
      <c r="K5361" s="846"/>
      <c r="L5361" s="846"/>
      <c r="M5361" s="846"/>
      <c r="N5361" s="846"/>
      <c r="O5361" s="846"/>
      <c r="P5361" s="846"/>
      <c r="Q5361" s="846"/>
      <c r="R5361" s="846"/>
      <c r="S5361" s="846"/>
      <c r="T5361" s="846"/>
    </row>
    <row r="5362" spans="2:20" ht="51" hidden="1">
      <c r="B5362" s="828" t="s">
        <v>6574</v>
      </c>
      <c r="C5362" s="828">
        <v>104124</v>
      </c>
      <c r="D5362" s="630" t="s">
        <v>8351</v>
      </c>
      <c r="E5362" s="630" t="s">
        <v>646</v>
      </c>
      <c r="F5362" s="829">
        <v>219.46</v>
      </c>
      <c r="G5362" s="830">
        <v>104.08</v>
      </c>
      <c r="H5362" s="831">
        <v>323.54000000000002</v>
      </c>
      <c r="I5362" s="846"/>
      <c r="J5362" s="846"/>
      <c r="K5362" s="846"/>
      <c r="L5362" s="846"/>
      <c r="M5362" s="846"/>
      <c r="N5362" s="846"/>
      <c r="O5362" s="846"/>
      <c r="P5362" s="846"/>
      <c r="Q5362" s="846"/>
      <c r="R5362" s="846"/>
      <c r="S5362" s="846"/>
      <c r="T5362" s="846"/>
    </row>
    <row r="5363" spans="2:20" ht="51" hidden="1">
      <c r="B5363" s="828" t="s">
        <v>6574</v>
      </c>
      <c r="C5363" s="828">
        <v>104125</v>
      </c>
      <c r="D5363" s="630" t="s">
        <v>8352</v>
      </c>
      <c r="E5363" s="630" t="s">
        <v>646</v>
      </c>
      <c r="F5363" s="829">
        <v>307.83999999999997</v>
      </c>
      <c r="G5363" s="830">
        <v>114.16</v>
      </c>
      <c r="H5363" s="831">
        <v>422</v>
      </c>
      <c r="I5363" s="846"/>
      <c r="J5363" s="846"/>
      <c r="K5363" s="846"/>
      <c r="L5363" s="846"/>
      <c r="M5363" s="846"/>
      <c r="N5363" s="846"/>
      <c r="O5363" s="846"/>
      <c r="P5363" s="846"/>
      <c r="Q5363" s="846"/>
      <c r="R5363" s="846"/>
      <c r="S5363" s="846"/>
      <c r="T5363" s="846"/>
    </row>
    <row r="5364" spans="2:20" ht="51" hidden="1">
      <c r="B5364" s="828" t="s">
        <v>6574</v>
      </c>
      <c r="C5364" s="828">
        <v>104127</v>
      </c>
      <c r="D5364" s="630" t="s">
        <v>8353</v>
      </c>
      <c r="E5364" s="630" t="s">
        <v>646</v>
      </c>
      <c r="F5364" s="829">
        <v>565.09</v>
      </c>
      <c r="G5364" s="830">
        <v>108.64</v>
      </c>
      <c r="H5364" s="831">
        <v>673.73</v>
      </c>
      <c r="I5364" s="846"/>
      <c r="J5364" s="846"/>
      <c r="K5364" s="846"/>
      <c r="L5364" s="846"/>
      <c r="M5364" s="846"/>
      <c r="N5364" s="846"/>
      <c r="O5364" s="846"/>
      <c r="P5364" s="846"/>
      <c r="Q5364" s="846"/>
      <c r="R5364" s="846"/>
      <c r="S5364" s="846"/>
      <c r="T5364" s="846"/>
    </row>
    <row r="5365" spans="2:20" ht="51" hidden="1">
      <c r="B5365" s="828" t="s">
        <v>6574</v>
      </c>
      <c r="C5365" s="828">
        <v>104130</v>
      </c>
      <c r="D5365" s="630" t="s">
        <v>8354</v>
      </c>
      <c r="E5365" s="630" t="s">
        <v>646</v>
      </c>
      <c r="F5365" s="829">
        <v>329.32</v>
      </c>
      <c r="G5365" s="830">
        <v>166.78</v>
      </c>
      <c r="H5365" s="831">
        <v>496.1</v>
      </c>
      <c r="I5365" s="846"/>
      <c r="J5365" s="846"/>
      <c r="K5365" s="846"/>
      <c r="L5365" s="846"/>
      <c r="M5365" s="846"/>
      <c r="N5365" s="846"/>
      <c r="O5365" s="846"/>
      <c r="P5365" s="846"/>
      <c r="Q5365" s="846"/>
      <c r="R5365" s="846"/>
      <c r="S5365" s="846"/>
      <c r="T5365" s="846"/>
    </row>
    <row r="5366" spans="2:20" ht="51" hidden="1">
      <c r="B5366" s="828" t="s">
        <v>6574</v>
      </c>
      <c r="C5366" s="828">
        <v>104131</v>
      </c>
      <c r="D5366" s="630" t="s">
        <v>8355</v>
      </c>
      <c r="E5366" s="630" t="s">
        <v>646</v>
      </c>
      <c r="F5366" s="829">
        <v>417.75</v>
      </c>
      <c r="G5366" s="830">
        <v>177.04</v>
      </c>
      <c r="H5366" s="831">
        <v>594.79</v>
      </c>
      <c r="I5366" s="846"/>
      <c r="J5366" s="846"/>
      <c r="K5366" s="846"/>
      <c r="L5366" s="846"/>
      <c r="M5366" s="846"/>
      <c r="N5366" s="846"/>
      <c r="O5366" s="846"/>
      <c r="P5366" s="846"/>
      <c r="Q5366" s="846"/>
      <c r="R5366" s="846"/>
      <c r="S5366" s="846"/>
      <c r="T5366" s="846"/>
    </row>
    <row r="5367" spans="2:20" ht="51" hidden="1">
      <c r="B5367" s="828" t="s">
        <v>6574</v>
      </c>
      <c r="C5367" s="828">
        <v>104133</v>
      </c>
      <c r="D5367" s="630" t="s">
        <v>8356</v>
      </c>
      <c r="E5367" s="630" t="s">
        <v>646</v>
      </c>
      <c r="F5367" s="829">
        <v>749.98</v>
      </c>
      <c r="G5367" s="830">
        <v>174.95</v>
      </c>
      <c r="H5367" s="831">
        <v>924.93</v>
      </c>
      <c r="I5367" s="846"/>
      <c r="J5367" s="846"/>
      <c r="K5367" s="846"/>
      <c r="L5367" s="846"/>
      <c r="M5367" s="846"/>
      <c r="N5367" s="846"/>
      <c r="O5367" s="846"/>
      <c r="P5367" s="846"/>
      <c r="Q5367" s="846"/>
      <c r="R5367" s="846"/>
      <c r="S5367" s="846"/>
      <c r="T5367" s="846"/>
    </row>
    <row r="5368" spans="2:20" ht="51" hidden="1">
      <c r="B5368" s="828" t="s">
        <v>6574</v>
      </c>
      <c r="C5368" s="828">
        <v>104136</v>
      </c>
      <c r="D5368" s="630" t="s">
        <v>8357</v>
      </c>
      <c r="E5368" s="630" t="s">
        <v>646</v>
      </c>
      <c r="F5368" s="829">
        <v>439.72999999999996</v>
      </c>
      <c r="G5368" s="830">
        <v>230.31</v>
      </c>
      <c r="H5368" s="831">
        <v>670.04</v>
      </c>
      <c r="I5368" s="846"/>
      <c r="J5368" s="846"/>
      <c r="K5368" s="846"/>
      <c r="L5368" s="846"/>
      <c r="M5368" s="846"/>
      <c r="N5368" s="846"/>
      <c r="O5368" s="846"/>
      <c r="P5368" s="846"/>
      <c r="Q5368" s="846"/>
      <c r="R5368" s="846"/>
      <c r="S5368" s="846"/>
      <c r="T5368" s="846"/>
    </row>
    <row r="5369" spans="2:20" ht="51" hidden="1">
      <c r="B5369" s="828" t="s">
        <v>6574</v>
      </c>
      <c r="C5369" s="828">
        <v>104137</v>
      </c>
      <c r="D5369" s="630" t="s">
        <v>8358</v>
      </c>
      <c r="E5369" s="630" t="s">
        <v>646</v>
      </c>
      <c r="F5369" s="829">
        <v>528.33999999999992</v>
      </c>
      <c r="G5369" s="830">
        <v>240.62</v>
      </c>
      <c r="H5369" s="831">
        <v>768.96</v>
      </c>
      <c r="I5369" s="846"/>
      <c r="J5369" s="846"/>
      <c r="K5369" s="846"/>
      <c r="L5369" s="846"/>
      <c r="M5369" s="846"/>
      <c r="N5369" s="846"/>
      <c r="O5369" s="846"/>
      <c r="P5369" s="846"/>
      <c r="Q5369" s="846"/>
      <c r="R5369" s="846"/>
      <c r="S5369" s="846"/>
      <c r="T5369" s="846"/>
    </row>
    <row r="5370" spans="2:20" ht="51" hidden="1">
      <c r="B5370" s="828" t="s">
        <v>6574</v>
      </c>
      <c r="C5370" s="828">
        <v>104139</v>
      </c>
      <c r="D5370" s="630" t="s">
        <v>8359</v>
      </c>
      <c r="E5370" s="630" t="s">
        <v>646</v>
      </c>
      <c r="F5370" s="829">
        <v>935.45</v>
      </c>
      <c r="G5370" s="830">
        <v>242.06</v>
      </c>
      <c r="H5370" s="831">
        <v>1177.51</v>
      </c>
      <c r="I5370" s="846"/>
      <c r="J5370" s="846"/>
      <c r="K5370" s="846"/>
      <c r="L5370" s="846"/>
      <c r="M5370" s="846"/>
      <c r="N5370" s="846"/>
      <c r="O5370" s="846"/>
      <c r="P5370" s="846"/>
      <c r="Q5370" s="846"/>
      <c r="R5370" s="846"/>
      <c r="S5370" s="846"/>
      <c r="T5370" s="846"/>
    </row>
    <row r="5371" spans="2:20" ht="51" hidden="1">
      <c r="B5371" s="828" t="s">
        <v>6574</v>
      </c>
      <c r="C5371" s="828">
        <v>104142</v>
      </c>
      <c r="D5371" s="630" t="s">
        <v>8360</v>
      </c>
      <c r="E5371" s="630" t="s">
        <v>646</v>
      </c>
      <c r="F5371" s="829">
        <v>249.25</v>
      </c>
      <c r="G5371" s="830">
        <v>241.02</v>
      </c>
      <c r="H5371" s="831">
        <v>490.27</v>
      </c>
      <c r="I5371" s="846"/>
      <c r="J5371" s="846"/>
      <c r="K5371" s="846"/>
      <c r="L5371" s="846"/>
      <c r="M5371" s="846"/>
      <c r="N5371" s="846"/>
      <c r="O5371" s="846"/>
      <c r="P5371" s="846"/>
      <c r="Q5371" s="846"/>
      <c r="R5371" s="846"/>
      <c r="S5371" s="846"/>
      <c r="T5371" s="846"/>
    </row>
    <row r="5372" spans="2:20" ht="51" hidden="1">
      <c r="B5372" s="828" t="s">
        <v>6574</v>
      </c>
      <c r="C5372" s="828">
        <v>104143</v>
      </c>
      <c r="D5372" s="630" t="s">
        <v>8361</v>
      </c>
      <c r="E5372" s="630" t="s">
        <v>646</v>
      </c>
      <c r="F5372" s="829">
        <v>344.01</v>
      </c>
      <c r="G5372" s="830">
        <v>279.11</v>
      </c>
      <c r="H5372" s="831">
        <v>623.12</v>
      </c>
      <c r="I5372" s="846"/>
      <c r="J5372" s="846"/>
      <c r="K5372" s="846"/>
      <c r="L5372" s="846"/>
      <c r="M5372" s="846"/>
      <c r="N5372" s="846"/>
      <c r="O5372" s="846"/>
      <c r="P5372" s="846"/>
      <c r="Q5372" s="846"/>
      <c r="R5372" s="846"/>
      <c r="S5372" s="846"/>
      <c r="T5372" s="846"/>
    </row>
    <row r="5373" spans="2:20" ht="51" hidden="1">
      <c r="B5373" s="828" t="s">
        <v>6574</v>
      </c>
      <c r="C5373" s="828">
        <v>104145</v>
      </c>
      <c r="D5373" s="630" t="s">
        <v>8362</v>
      </c>
      <c r="E5373" s="630" t="s">
        <v>646</v>
      </c>
      <c r="F5373" s="829">
        <v>596.08999999999992</v>
      </c>
      <c r="G5373" s="830">
        <v>251</v>
      </c>
      <c r="H5373" s="831">
        <v>847.09</v>
      </c>
      <c r="I5373" s="846"/>
      <c r="J5373" s="846"/>
      <c r="K5373" s="846"/>
      <c r="L5373" s="846"/>
      <c r="M5373" s="846"/>
      <c r="N5373" s="846"/>
      <c r="O5373" s="846"/>
      <c r="P5373" s="846"/>
      <c r="Q5373" s="846"/>
      <c r="R5373" s="846"/>
      <c r="S5373" s="846"/>
      <c r="T5373" s="846"/>
    </row>
    <row r="5374" spans="2:20" ht="51" hidden="1">
      <c r="B5374" s="828" t="s">
        <v>6574</v>
      </c>
      <c r="C5374" s="828">
        <v>104148</v>
      </c>
      <c r="D5374" s="630" t="s">
        <v>8363</v>
      </c>
      <c r="E5374" s="630" t="s">
        <v>646</v>
      </c>
      <c r="F5374" s="829">
        <v>378.5</v>
      </c>
      <c r="G5374" s="830">
        <v>395.39</v>
      </c>
      <c r="H5374" s="831">
        <v>773.89</v>
      </c>
      <c r="I5374" s="846"/>
      <c r="J5374" s="846"/>
      <c r="K5374" s="846"/>
      <c r="L5374" s="846"/>
      <c r="M5374" s="846"/>
      <c r="N5374" s="846"/>
      <c r="O5374" s="846"/>
      <c r="P5374" s="846"/>
      <c r="Q5374" s="846"/>
      <c r="R5374" s="846"/>
      <c r="S5374" s="846"/>
      <c r="T5374" s="846"/>
    </row>
    <row r="5375" spans="2:20" ht="51" hidden="1">
      <c r="B5375" s="828" t="s">
        <v>6574</v>
      </c>
      <c r="C5375" s="828">
        <v>104149</v>
      </c>
      <c r="D5375" s="630" t="s">
        <v>8364</v>
      </c>
      <c r="E5375" s="630" t="s">
        <v>646</v>
      </c>
      <c r="F5375" s="829">
        <v>473.42</v>
      </c>
      <c r="G5375" s="830">
        <v>433.89</v>
      </c>
      <c r="H5375" s="831">
        <v>907.31</v>
      </c>
      <c r="I5375" s="846"/>
      <c r="J5375" s="846"/>
      <c r="K5375" s="846"/>
      <c r="L5375" s="846"/>
      <c r="M5375" s="846"/>
      <c r="N5375" s="846"/>
      <c r="O5375" s="846"/>
      <c r="P5375" s="846"/>
      <c r="Q5375" s="846"/>
      <c r="R5375" s="846"/>
      <c r="S5375" s="846"/>
      <c r="T5375" s="846"/>
    </row>
    <row r="5376" spans="2:20" ht="51" hidden="1">
      <c r="B5376" s="828" t="s">
        <v>6574</v>
      </c>
      <c r="C5376" s="828">
        <v>104151</v>
      </c>
      <c r="D5376" s="630" t="s">
        <v>8365</v>
      </c>
      <c r="E5376" s="630" t="s">
        <v>646</v>
      </c>
      <c r="F5376" s="829">
        <v>801.31999999999994</v>
      </c>
      <c r="G5376" s="830">
        <v>413.03</v>
      </c>
      <c r="H5376" s="831">
        <v>1214.3499999999999</v>
      </c>
      <c r="I5376" s="846"/>
      <c r="J5376" s="846"/>
      <c r="K5376" s="846"/>
      <c r="L5376" s="846"/>
      <c r="M5376" s="846"/>
      <c r="N5376" s="846"/>
      <c r="O5376" s="846"/>
      <c r="P5376" s="846"/>
      <c r="Q5376" s="846"/>
      <c r="R5376" s="846"/>
      <c r="S5376" s="846"/>
      <c r="T5376" s="846"/>
    </row>
    <row r="5377" spans="2:20" ht="51" hidden="1">
      <c r="B5377" s="828" t="s">
        <v>6574</v>
      </c>
      <c r="C5377" s="828">
        <v>104154</v>
      </c>
      <c r="D5377" s="630" t="s">
        <v>8366</v>
      </c>
      <c r="E5377" s="630" t="s">
        <v>646</v>
      </c>
      <c r="F5377" s="829">
        <v>508.76</v>
      </c>
      <c r="G5377" s="830">
        <v>552.14</v>
      </c>
      <c r="H5377" s="831">
        <v>1060.9000000000001</v>
      </c>
      <c r="I5377" s="846"/>
      <c r="J5377" s="846"/>
      <c r="K5377" s="846"/>
      <c r="L5377" s="846"/>
      <c r="M5377" s="846"/>
      <c r="N5377" s="846"/>
      <c r="O5377" s="846"/>
      <c r="P5377" s="846"/>
      <c r="Q5377" s="846"/>
      <c r="R5377" s="846"/>
      <c r="S5377" s="846"/>
      <c r="T5377" s="846"/>
    </row>
    <row r="5378" spans="2:20" ht="51" hidden="1">
      <c r="B5378" s="828" t="s">
        <v>6574</v>
      </c>
      <c r="C5378" s="828">
        <v>104155</v>
      </c>
      <c r="D5378" s="630" t="s">
        <v>8367</v>
      </c>
      <c r="E5378" s="630" t="s">
        <v>646</v>
      </c>
      <c r="F5378" s="829">
        <v>603.89</v>
      </c>
      <c r="G5378" s="830">
        <v>590.99</v>
      </c>
      <c r="H5378" s="831">
        <v>1194.8800000000001</v>
      </c>
      <c r="I5378" s="846"/>
      <c r="J5378" s="846"/>
      <c r="K5378" s="846"/>
      <c r="L5378" s="846"/>
      <c r="M5378" s="846"/>
      <c r="N5378" s="846"/>
      <c r="O5378" s="846"/>
      <c r="P5378" s="846"/>
      <c r="Q5378" s="846"/>
      <c r="R5378" s="846"/>
      <c r="S5378" s="846"/>
      <c r="T5378" s="846"/>
    </row>
    <row r="5379" spans="2:20" ht="51" hidden="1">
      <c r="B5379" s="828" t="s">
        <v>6574</v>
      </c>
      <c r="C5379" s="828">
        <v>104157</v>
      </c>
      <c r="D5379" s="630" t="s">
        <v>8368</v>
      </c>
      <c r="E5379" s="630" t="s">
        <v>646</v>
      </c>
      <c r="F5379" s="829">
        <v>1007.55</v>
      </c>
      <c r="G5379" s="830">
        <v>577.46</v>
      </c>
      <c r="H5379" s="831">
        <v>1585.01</v>
      </c>
      <c r="I5379" s="846"/>
      <c r="J5379" s="846"/>
      <c r="K5379" s="846"/>
      <c r="L5379" s="846"/>
      <c r="M5379" s="846"/>
      <c r="N5379" s="846"/>
      <c r="O5379" s="846"/>
      <c r="P5379" s="846"/>
      <c r="Q5379" s="846"/>
      <c r="R5379" s="846"/>
      <c r="S5379" s="846"/>
      <c r="T5379" s="846"/>
    </row>
    <row r="5380" spans="2:20" ht="38.25" hidden="1">
      <c r="B5380" s="828" t="s">
        <v>6604</v>
      </c>
      <c r="C5380" s="828">
        <v>96520</v>
      </c>
      <c r="D5380" s="630" t="s">
        <v>5573</v>
      </c>
      <c r="E5380" s="630" t="s">
        <v>644</v>
      </c>
      <c r="F5380" s="829">
        <v>57.01</v>
      </c>
      <c r="G5380" s="830">
        <v>56.93</v>
      </c>
      <c r="H5380" s="831">
        <v>113.94</v>
      </c>
      <c r="I5380" s="846"/>
      <c r="J5380" s="846"/>
      <c r="K5380" s="846"/>
      <c r="L5380" s="846"/>
      <c r="M5380" s="846"/>
      <c r="N5380" s="846"/>
      <c r="O5380" s="846"/>
      <c r="P5380" s="846"/>
      <c r="Q5380" s="846"/>
      <c r="R5380" s="846"/>
      <c r="S5380" s="846"/>
      <c r="T5380" s="846"/>
    </row>
    <row r="5381" spans="2:20" ht="38.25" hidden="1">
      <c r="B5381" s="828" t="s">
        <v>6604</v>
      </c>
      <c r="C5381" s="828">
        <v>96521</v>
      </c>
      <c r="D5381" s="630" t="s">
        <v>5574</v>
      </c>
      <c r="E5381" s="630" t="s">
        <v>644</v>
      </c>
      <c r="F5381" s="829">
        <v>33.700000000000003</v>
      </c>
      <c r="G5381" s="830">
        <v>15.47</v>
      </c>
      <c r="H5381" s="831">
        <v>49.17</v>
      </c>
      <c r="I5381" s="846"/>
      <c r="J5381" s="846"/>
      <c r="K5381" s="846"/>
      <c r="L5381" s="846"/>
      <c r="M5381" s="846"/>
      <c r="N5381" s="846"/>
      <c r="O5381" s="846"/>
      <c r="P5381" s="846"/>
      <c r="Q5381" s="846"/>
      <c r="R5381" s="846"/>
      <c r="S5381" s="846"/>
      <c r="T5381" s="846"/>
    </row>
    <row r="5382" spans="2:20" ht="25.5" hidden="1">
      <c r="B5382" s="828" t="s">
        <v>6604</v>
      </c>
      <c r="C5382" s="828">
        <v>96522</v>
      </c>
      <c r="D5382" s="630" t="s">
        <v>5575</v>
      </c>
      <c r="E5382" s="630" t="s">
        <v>644</v>
      </c>
      <c r="F5382" s="829">
        <v>42.66</v>
      </c>
      <c r="G5382" s="830">
        <v>128.82</v>
      </c>
      <c r="H5382" s="831">
        <v>171.48</v>
      </c>
      <c r="I5382" s="846"/>
      <c r="J5382" s="846"/>
      <c r="K5382" s="846"/>
      <c r="L5382" s="846"/>
      <c r="M5382" s="846"/>
      <c r="N5382" s="846"/>
      <c r="O5382" s="846"/>
      <c r="P5382" s="846"/>
      <c r="Q5382" s="846"/>
      <c r="R5382" s="846"/>
      <c r="S5382" s="846"/>
      <c r="T5382" s="846"/>
    </row>
    <row r="5383" spans="2:20" ht="25.5" hidden="1">
      <c r="B5383" s="828" t="s">
        <v>6604</v>
      </c>
      <c r="C5383" s="828">
        <v>96523</v>
      </c>
      <c r="D5383" s="630" t="s">
        <v>5576</v>
      </c>
      <c r="E5383" s="630" t="s">
        <v>644</v>
      </c>
      <c r="F5383" s="829">
        <v>27.75</v>
      </c>
      <c r="G5383" s="830">
        <v>81.47</v>
      </c>
      <c r="H5383" s="831">
        <v>109.22</v>
      </c>
      <c r="I5383" s="846"/>
      <c r="J5383" s="846"/>
      <c r="K5383" s="846"/>
      <c r="L5383" s="846"/>
      <c r="M5383" s="846"/>
      <c r="N5383" s="846"/>
      <c r="O5383" s="846"/>
      <c r="P5383" s="846"/>
      <c r="Q5383" s="846"/>
      <c r="R5383" s="846"/>
      <c r="S5383" s="846"/>
      <c r="T5383" s="846"/>
    </row>
    <row r="5384" spans="2:20" ht="25.5" hidden="1">
      <c r="B5384" s="828" t="s">
        <v>6604</v>
      </c>
      <c r="C5384" s="828">
        <v>96524</v>
      </c>
      <c r="D5384" s="630" t="s">
        <v>5577</v>
      </c>
      <c r="E5384" s="630" t="s">
        <v>644</v>
      </c>
      <c r="F5384" s="829">
        <v>71.08</v>
      </c>
      <c r="G5384" s="830">
        <v>132.30000000000001</v>
      </c>
      <c r="H5384" s="831">
        <v>203.38</v>
      </c>
      <c r="I5384" s="846"/>
      <c r="J5384" s="846"/>
      <c r="K5384" s="846"/>
      <c r="L5384" s="846"/>
      <c r="M5384" s="846"/>
      <c r="N5384" s="846"/>
      <c r="O5384" s="846"/>
      <c r="P5384" s="846"/>
      <c r="Q5384" s="846"/>
      <c r="R5384" s="846"/>
      <c r="S5384" s="846"/>
      <c r="T5384" s="846"/>
    </row>
    <row r="5385" spans="2:20" ht="25.5" hidden="1">
      <c r="B5385" s="828" t="s">
        <v>6604</v>
      </c>
      <c r="C5385" s="828">
        <v>96525</v>
      </c>
      <c r="D5385" s="630" t="s">
        <v>5578</v>
      </c>
      <c r="E5385" s="630" t="s">
        <v>644</v>
      </c>
      <c r="F5385" s="829">
        <v>28.05</v>
      </c>
      <c r="G5385" s="830">
        <v>14.39</v>
      </c>
      <c r="H5385" s="831">
        <v>42.44</v>
      </c>
      <c r="I5385" s="846"/>
      <c r="J5385" s="846"/>
      <c r="K5385" s="846"/>
      <c r="L5385" s="846"/>
      <c r="M5385" s="846"/>
      <c r="N5385" s="846"/>
      <c r="O5385" s="846"/>
      <c r="P5385" s="846"/>
      <c r="Q5385" s="846"/>
      <c r="R5385" s="846"/>
      <c r="S5385" s="846"/>
      <c r="T5385" s="846"/>
    </row>
    <row r="5386" spans="2:20" ht="25.5" hidden="1">
      <c r="B5386" s="828" t="s">
        <v>6604</v>
      </c>
      <c r="C5386" s="828">
        <v>96526</v>
      </c>
      <c r="D5386" s="630" t="s">
        <v>5579</v>
      </c>
      <c r="E5386" s="630" t="s">
        <v>644</v>
      </c>
      <c r="F5386" s="829">
        <v>85.63</v>
      </c>
      <c r="G5386" s="830">
        <v>260.88</v>
      </c>
      <c r="H5386" s="831">
        <v>346.51</v>
      </c>
      <c r="I5386" s="846"/>
      <c r="J5386" s="846"/>
      <c r="K5386" s="846"/>
      <c r="L5386" s="846"/>
      <c r="M5386" s="846"/>
      <c r="N5386" s="846"/>
      <c r="O5386" s="846"/>
      <c r="P5386" s="846"/>
      <c r="Q5386" s="846"/>
      <c r="R5386" s="846"/>
      <c r="S5386" s="846"/>
      <c r="T5386" s="846"/>
    </row>
    <row r="5387" spans="2:20" ht="25.5" hidden="1">
      <c r="B5387" s="828" t="s">
        <v>6604</v>
      </c>
      <c r="C5387" s="828">
        <v>96527</v>
      </c>
      <c r="D5387" s="630" t="s">
        <v>5580</v>
      </c>
      <c r="E5387" s="630" t="s">
        <v>644</v>
      </c>
      <c r="F5387" s="829">
        <v>36.619999999999997</v>
      </c>
      <c r="G5387" s="830">
        <v>106.7</v>
      </c>
      <c r="H5387" s="831">
        <v>143.32</v>
      </c>
      <c r="I5387" s="846"/>
      <c r="J5387" s="846"/>
      <c r="K5387" s="846"/>
      <c r="L5387" s="846"/>
      <c r="M5387" s="846"/>
      <c r="N5387" s="846"/>
      <c r="O5387" s="846"/>
      <c r="P5387" s="846"/>
      <c r="Q5387" s="846"/>
      <c r="R5387" s="846"/>
      <c r="S5387" s="846"/>
      <c r="T5387" s="846"/>
    </row>
    <row r="5388" spans="2:20" ht="38.25" hidden="1">
      <c r="B5388" s="828" t="s">
        <v>6604</v>
      </c>
      <c r="C5388" s="828">
        <v>96528</v>
      </c>
      <c r="D5388" s="630" t="s">
        <v>2592</v>
      </c>
      <c r="E5388" s="630" t="s">
        <v>649</v>
      </c>
      <c r="F5388" s="829">
        <v>184.06</v>
      </c>
      <c r="G5388" s="830">
        <v>60.12</v>
      </c>
      <c r="H5388" s="831">
        <v>244.18</v>
      </c>
      <c r="I5388" s="846"/>
      <c r="J5388" s="846"/>
      <c r="K5388" s="846"/>
      <c r="L5388" s="846"/>
      <c r="M5388" s="846"/>
      <c r="N5388" s="846"/>
      <c r="O5388" s="846"/>
      <c r="P5388" s="846"/>
      <c r="Q5388" s="846"/>
      <c r="R5388" s="846"/>
      <c r="S5388" s="846"/>
      <c r="T5388" s="846"/>
    </row>
    <row r="5389" spans="2:20" ht="25.5" hidden="1">
      <c r="B5389" s="828" t="s">
        <v>6604</v>
      </c>
      <c r="C5389" s="828">
        <v>101114</v>
      </c>
      <c r="D5389" s="630" t="s">
        <v>4341</v>
      </c>
      <c r="E5389" s="630" t="s">
        <v>644</v>
      </c>
      <c r="F5389" s="829">
        <v>2.99</v>
      </c>
      <c r="G5389" s="830">
        <v>1.34</v>
      </c>
      <c r="H5389" s="831">
        <v>4.33</v>
      </c>
      <c r="I5389" s="846"/>
      <c r="J5389" s="846"/>
      <c r="K5389" s="846"/>
      <c r="L5389" s="846"/>
      <c r="M5389" s="846"/>
      <c r="N5389" s="846"/>
      <c r="O5389" s="846"/>
      <c r="P5389" s="846"/>
      <c r="Q5389" s="846"/>
      <c r="R5389" s="846"/>
      <c r="S5389" s="846"/>
      <c r="T5389" s="846"/>
    </row>
    <row r="5390" spans="2:20" ht="25.5" hidden="1">
      <c r="B5390" s="828" t="s">
        <v>6604</v>
      </c>
      <c r="C5390" s="828">
        <v>101115</v>
      </c>
      <c r="D5390" s="630" t="s">
        <v>4342</v>
      </c>
      <c r="E5390" s="630" t="s">
        <v>644</v>
      </c>
      <c r="F5390" s="829">
        <v>2.71</v>
      </c>
      <c r="G5390" s="830">
        <v>0.92</v>
      </c>
      <c r="H5390" s="831">
        <v>3.63</v>
      </c>
      <c r="I5390" s="846"/>
      <c r="J5390" s="846"/>
      <c r="K5390" s="846"/>
      <c r="L5390" s="846"/>
      <c r="M5390" s="846"/>
      <c r="N5390" s="846"/>
      <c r="O5390" s="846"/>
      <c r="P5390" s="846"/>
      <c r="Q5390" s="846"/>
      <c r="R5390" s="846"/>
      <c r="S5390" s="846"/>
      <c r="T5390" s="846"/>
    </row>
    <row r="5391" spans="2:20" ht="25.5" hidden="1">
      <c r="B5391" s="828" t="s">
        <v>6604</v>
      </c>
      <c r="C5391" s="828">
        <v>101116</v>
      </c>
      <c r="D5391" s="630" t="s">
        <v>4343</v>
      </c>
      <c r="E5391" s="630" t="s">
        <v>644</v>
      </c>
      <c r="F5391" s="829">
        <v>1.71</v>
      </c>
      <c r="G5391" s="830">
        <v>0.56999999999999995</v>
      </c>
      <c r="H5391" s="831">
        <v>2.2799999999999998</v>
      </c>
      <c r="I5391" s="846"/>
      <c r="J5391" s="846"/>
      <c r="K5391" s="846"/>
      <c r="L5391" s="846"/>
      <c r="M5391" s="846"/>
      <c r="N5391" s="846"/>
      <c r="O5391" s="846"/>
      <c r="P5391" s="846"/>
      <c r="Q5391" s="846"/>
      <c r="R5391" s="846"/>
      <c r="S5391" s="846"/>
      <c r="T5391" s="846"/>
    </row>
    <row r="5392" spans="2:20" ht="25.5" hidden="1">
      <c r="B5392" s="828" t="s">
        <v>6604</v>
      </c>
      <c r="C5392" s="828">
        <v>101117</v>
      </c>
      <c r="D5392" s="630" t="s">
        <v>4344</v>
      </c>
      <c r="E5392" s="630" t="s">
        <v>644</v>
      </c>
      <c r="F5392" s="829">
        <v>2.74</v>
      </c>
      <c r="G5392" s="830">
        <v>0.32</v>
      </c>
      <c r="H5392" s="831">
        <v>3.06</v>
      </c>
      <c r="I5392" s="846"/>
      <c r="J5392" s="846"/>
      <c r="K5392" s="846"/>
      <c r="L5392" s="846"/>
      <c r="M5392" s="846"/>
      <c r="N5392" s="846"/>
      <c r="O5392" s="846"/>
      <c r="P5392" s="846"/>
      <c r="Q5392" s="846"/>
      <c r="R5392" s="846"/>
      <c r="S5392" s="846"/>
      <c r="T5392" s="846"/>
    </row>
    <row r="5393" spans="2:20" ht="25.5" hidden="1">
      <c r="B5393" s="828" t="s">
        <v>6604</v>
      </c>
      <c r="C5393" s="828">
        <v>101118</v>
      </c>
      <c r="D5393" s="630" t="s">
        <v>4345</v>
      </c>
      <c r="E5393" s="630" t="s">
        <v>644</v>
      </c>
      <c r="F5393" s="829">
        <v>2.68</v>
      </c>
      <c r="G5393" s="830">
        <v>1.07</v>
      </c>
      <c r="H5393" s="831">
        <v>3.75</v>
      </c>
      <c r="I5393" s="846"/>
      <c r="J5393" s="846"/>
      <c r="K5393" s="846"/>
      <c r="L5393" s="846"/>
      <c r="M5393" s="846"/>
      <c r="N5393" s="846"/>
      <c r="O5393" s="846"/>
      <c r="P5393" s="846"/>
      <c r="Q5393" s="846"/>
      <c r="R5393" s="846"/>
      <c r="S5393" s="846"/>
      <c r="T5393" s="846"/>
    </row>
    <row r="5394" spans="2:20" ht="38.25" hidden="1">
      <c r="B5394" s="828" t="s">
        <v>6604</v>
      </c>
      <c r="C5394" s="828">
        <v>101119</v>
      </c>
      <c r="D5394" s="630" t="s">
        <v>4346</v>
      </c>
      <c r="E5394" s="630" t="s">
        <v>644</v>
      </c>
      <c r="F5394" s="829">
        <v>5.73</v>
      </c>
      <c r="G5394" s="830">
        <v>2.5499999999999998</v>
      </c>
      <c r="H5394" s="831">
        <v>8.2799999999999994</v>
      </c>
      <c r="I5394" s="846"/>
      <c r="J5394" s="846"/>
      <c r="K5394" s="846"/>
      <c r="L5394" s="846"/>
      <c r="M5394" s="846"/>
      <c r="N5394" s="846"/>
      <c r="O5394" s="846"/>
      <c r="P5394" s="846"/>
      <c r="Q5394" s="846"/>
      <c r="R5394" s="846"/>
      <c r="S5394" s="846"/>
      <c r="T5394" s="846"/>
    </row>
    <row r="5395" spans="2:20" ht="38.25" hidden="1">
      <c r="B5395" s="828" t="s">
        <v>6604</v>
      </c>
      <c r="C5395" s="828">
        <v>101120</v>
      </c>
      <c r="D5395" s="630" t="s">
        <v>4347</v>
      </c>
      <c r="E5395" s="630" t="s">
        <v>644</v>
      </c>
      <c r="F5395" s="829">
        <v>5.2</v>
      </c>
      <c r="G5395" s="830">
        <v>1.75</v>
      </c>
      <c r="H5395" s="831">
        <v>6.95</v>
      </c>
      <c r="I5395" s="846"/>
      <c r="J5395" s="846"/>
      <c r="K5395" s="846"/>
      <c r="L5395" s="846"/>
      <c r="M5395" s="846"/>
      <c r="N5395" s="846"/>
      <c r="O5395" s="846"/>
      <c r="P5395" s="846"/>
      <c r="Q5395" s="846"/>
      <c r="R5395" s="846"/>
      <c r="S5395" s="846"/>
      <c r="T5395" s="846"/>
    </row>
    <row r="5396" spans="2:20" ht="38.25" hidden="1">
      <c r="B5396" s="828" t="s">
        <v>6604</v>
      </c>
      <c r="C5396" s="828">
        <v>101121</v>
      </c>
      <c r="D5396" s="630" t="s">
        <v>4348</v>
      </c>
      <c r="E5396" s="630" t="s">
        <v>644</v>
      </c>
      <c r="F5396" s="829">
        <v>3.3</v>
      </c>
      <c r="G5396" s="830">
        <v>1.07</v>
      </c>
      <c r="H5396" s="831">
        <v>4.37</v>
      </c>
      <c r="I5396" s="846"/>
      <c r="J5396" s="846"/>
      <c r="K5396" s="846"/>
      <c r="L5396" s="846"/>
      <c r="M5396" s="846"/>
      <c r="N5396" s="846"/>
      <c r="O5396" s="846"/>
      <c r="P5396" s="846"/>
      <c r="Q5396" s="846"/>
      <c r="R5396" s="846"/>
      <c r="S5396" s="846"/>
      <c r="T5396" s="846"/>
    </row>
    <row r="5397" spans="2:20" ht="38.25" hidden="1">
      <c r="B5397" s="828" t="s">
        <v>6604</v>
      </c>
      <c r="C5397" s="828">
        <v>101122</v>
      </c>
      <c r="D5397" s="630" t="s">
        <v>4349</v>
      </c>
      <c r="E5397" s="630" t="s">
        <v>644</v>
      </c>
      <c r="F5397" s="829">
        <v>5.21</v>
      </c>
      <c r="G5397" s="830">
        <v>0.64</v>
      </c>
      <c r="H5397" s="831">
        <v>5.85</v>
      </c>
      <c r="I5397" s="846"/>
      <c r="J5397" s="846"/>
      <c r="K5397" s="846"/>
      <c r="L5397" s="846"/>
      <c r="M5397" s="846"/>
      <c r="N5397" s="846"/>
      <c r="O5397" s="846"/>
      <c r="P5397" s="846"/>
      <c r="Q5397" s="846"/>
      <c r="R5397" s="846"/>
      <c r="S5397" s="846"/>
      <c r="T5397" s="846"/>
    </row>
    <row r="5398" spans="2:20" ht="38.25" hidden="1">
      <c r="B5398" s="828" t="s">
        <v>6604</v>
      </c>
      <c r="C5398" s="828">
        <v>101123</v>
      </c>
      <c r="D5398" s="630" t="s">
        <v>4350</v>
      </c>
      <c r="E5398" s="630" t="s">
        <v>644</v>
      </c>
      <c r="F5398" s="829">
        <v>5.09</v>
      </c>
      <c r="G5398" s="830">
        <v>2.0699999999999998</v>
      </c>
      <c r="H5398" s="831">
        <v>7.16</v>
      </c>
      <c r="I5398" s="846"/>
      <c r="J5398" s="846"/>
      <c r="K5398" s="846"/>
      <c r="L5398" s="846"/>
      <c r="M5398" s="846"/>
      <c r="N5398" s="846"/>
      <c r="O5398" s="846"/>
      <c r="P5398" s="846"/>
      <c r="Q5398" s="846"/>
      <c r="R5398" s="846"/>
      <c r="S5398" s="846"/>
      <c r="T5398" s="846"/>
    </row>
    <row r="5399" spans="2:20" ht="38.25" hidden="1">
      <c r="B5399" s="828" t="s">
        <v>6604</v>
      </c>
      <c r="C5399" s="828">
        <v>101124</v>
      </c>
      <c r="D5399" s="630" t="s">
        <v>4351</v>
      </c>
      <c r="E5399" s="630" t="s">
        <v>644</v>
      </c>
      <c r="F5399" s="829">
        <v>12.54</v>
      </c>
      <c r="G5399" s="830">
        <v>2.7</v>
      </c>
      <c r="H5399" s="831">
        <v>15.24</v>
      </c>
      <c r="I5399" s="846"/>
      <c r="J5399" s="846"/>
      <c r="K5399" s="846"/>
      <c r="L5399" s="846"/>
      <c r="M5399" s="846"/>
      <c r="N5399" s="846"/>
      <c r="O5399" s="846"/>
      <c r="P5399" s="846"/>
      <c r="Q5399" s="846"/>
      <c r="R5399" s="846"/>
      <c r="S5399" s="846"/>
      <c r="T5399" s="846"/>
    </row>
    <row r="5400" spans="2:20" ht="38.25" hidden="1">
      <c r="B5400" s="828" t="s">
        <v>6604</v>
      </c>
      <c r="C5400" s="828">
        <v>101125</v>
      </c>
      <c r="D5400" s="630" t="s">
        <v>4352</v>
      </c>
      <c r="E5400" s="630" t="s">
        <v>644</v>
      </c>
      <c r="F5400" s="829">
        <v>12.27</v>
      </c>
      <c r="G5400" s="830">
        <v>2.27</v>
      </c>
      <c r="H5400" s="831">
        <v>14.54</v>
      </c>
      <c r="I5400" s="846"/>
      <c r="J5400" s="846"/>
      <c r="K5400" s="846"/>
      <c r="L5400" s="846"/>
      <c r="M5400" s="846"/>
      <c r="N5400" s="846"/>
      <c r="O5400" s="846"/>
      <c r="P5400" s="846"/>
      <c r="Q5400" s="846"/>
      <c r="R5400" s="846"/>
      <c r="S5400" s="846"/>
      <c r="T5400" s="846"/>
    </row>
    <row r="5401" spans="2:20" ht="38.25" hidden="1">
      <c r="B5401" s="828" t="s">
        <v>6604</v>
      </c>
      <c r="C5401" s="828">
        <v>101126</v>
      </c>
      <c r="D5401" s="630" t="s">
        <v>4353</v>
      </c>
      <c r="E5401" s="630" t="s">
        <v>644</v>
      </c>
      <c r="F5401" s="829">
        <v>11.27</v>
      </c>
      <c r="G5401" s="830">
        <v>1.91</v>
      </c>
      <c r="H5401" s="831">
        <v>13.18</v>
      </c>
      <c r="I5401" s="846"/>
      <c r="J5401" s="846"/>
      <c r="K5401" s="846"/>
      <c r="L5401" s="846"/>
      <c r="M5401" s="846"/>
      <c r="N5401" s="846"/>
      <c r="O5401" s="846"/>
      <c r="P5401" s="846"/>
      <c r="Q5401" s="846"/>
      <c r="R5401" s="846"/>
      <c r="S5401" s="846"/>
      <c r="T5401" s="846"/>
    </row>
    <row r="5402" spans="2:20" ht="38.25" hidden="1">
      <c r="B5402" s="828" t="s">
        <v>6604</v>
      </c>
      <c r="C5402" s="828">
        <v>101127</v>
      </c>
      <c r="D5402" s="630" t="s">
        <v>4354</v>
      </c>
      <c r="E5402" s="630" t="s">
        <v>644</v>
      </c>
      <c r="F5402" s="829">
        <v>12.29</v>
      </c>
      <c r="G5402" s="830">
        <v>1.68</v>
      </c>
      <c r="H5402" s="831">
        <v>13.97</v>
      </c>
      <c r="I5402" s="846"/>
      <c r="J5402" s="846"/>
      <c r="K5402" s="846"/>
      <c r="L5402" s="846"/>
      <c r="M5402" s="846"/>
      <c r="N5402" s="846"/>
      <c r="O5402" s="846"/>
      <c r="P5402" s="846"/>
      <c r="Q5402" s="846"/>
      <c r="R5402" s="846"/>
      <c r="S5402" s="846"/>
      <c r="T5402" s="846"/>
    </row>
    <row r="5403" spans="2:20" ht="38.25" hidden="1">
      <c r="B5403" s="828" t="s">
        <v>6604</v>
      </c>
      <c r="C5403" s="828">
        <v>101128</v>
      </c>
      <c r="D5403" s="630" t="s">
        <v>4355</v>
      </c>
      <c r="E5403" s="630" t="s">
        <v>644</v>
      </c>
      <c r="F5403" s="829">
        <v>12.23</v>
      </c>
      <c r="G5403" s="830">
        <v>2.4300000000000002</v>
      </c>
      <c r="H5403" s="831">
        <v>14.66</v>
      </c>
      <c r="I5403" s="846"/>
      <c r="J5403" s="846"/>
      <c r="K5403" s="846"/>
      <c r="L5403" s="846"/>
      <c r="M5403" s="846"/>
      <c r="N5403" s="846"/>
      <c r="O5403" s="846"/>
      <c r="P5403" s="846"/>
      <c r="Q5403" s="846"/>
      <c r="R5403" s="846"/>
      <c r="S5403" s="846"/>
      <c r="T5403" s="846"/>
    </row>
    <row r="5404" spans="2:20" ht="38.25" hidden="1">
      <c r="B5404" s="828" t="s">
        <v>6604</v>
      </c>
      <c r="C5404" s="828">
        <v>101129</v>
      </c>
      <c r="D5404" s="630" t="s">
        <v>4356</v>
      </c>
      <c r="E5404" s="630" t="s">
        <v>644</v>
      </c>
      <c r="F5404" s="829">
        <v>15.649999999999999</v>
      </c>
      <c r="G5404" s="830">
        <v>3.97</v>
      </c>
      <c r="H5404" s="831">
        <v>19.62</v>
      </c>
      <c r="I5404" s="846"/>
      <c r="J5404" s="846"/>
      <c r="K5404" s="846"/>
      <c r="L5404" s="846"/>
      <c r="M5404" s="846"/>
      <c r="N5404" s="846"/>
      <c r="O5404" s="846"/>
      <c r="P5404" s="846"/>
      <c r="Q5404" s="846"/>
      <c r="R5404" s="846"/>
      <c r="S5404" s="846"/>
      <c r="T5404" s="846"/>
    </row>
    <row r="5405" spans="2:20" ht="38.25" hidden="1">
      <c r="B5405" s="828" t="s">
        <v>6604</v>
      </c>
      <c r="C5405" s="828">
        <v>101130</v>
      </c>
      <c r="D5405" s="630" t="s">
        <v>4357</v>
      </c>
      <c r="E5405" s="630" t="s">
        <v>644</v>
      </c>
      <c r="F5405" s="829">
        <v>15.129999999999999</v>
      </c>
      <c r="G5405" s="830">
        <v>3.16</v>
      </c>
      <c r="H5405" s="831">
        <v>18.29</v>
      </c>
      <c r="I5405" s="846"/>
      <c r="J5405" s="846"/>
      <c r="K5405" s="846"/>
      <c r="L5405" s="846"/>
      <c r="M5405" s="846"/>
      <c r="N5405" s="846"/>
      <c r="O5405" s="846"/>
      <c r="P5405" s="846"/>
      <c r="Q5405" s="846"/>
      <c r="R5405" s="846"/>
      <c r="S5405" s="846"/>
      <c r="T5405" s="846"/>
    </row>
    <row r="5406" spans="2:20" ht="38.25" hidden="1">
      <c r="B5406" s="828" t="s">
        <v>6604</v>
      </c>
      <c r="C5406" s="828">
        <v>101131</v>
      </c>
      <c r="D5406" s="630" t="s">
        <v>4358</v>
      </c>
      <c r="E5406" s="630" t="s">
        <v>644</v>
      </c>
      <c r="F5406" s="829">
        <v>13.23</v>
      </c>
      <c r="G5406" s="830">
        <v>2.48</v>
      </c>
      <c r="H5406" s="831">
        <v>15.71</v>
      </c>
      <c r="I5406" s="846"/>
      <c r="J5406" s="846"/>
      <c r="K5406" s="846"/>
      <c r="L5406" s="846"/>
      <c r="M5406" s="846"/>
      <c r="N5406" s="846"/>
      <c r="O5406" s="846"/>
      <c r="P5406" s="846"/>
      <c r="Q5406" s="846"/>
      <c r="R5406" s="846"/>
      <c r="S5406" s="846"/>
      <c r="T5406" s="846"/>
    </row>
    <row r="5407" spans="2:20" ht="38.25" hidden="1">
      <c r="B5407" s="828" t="s">
        <v>6604</v>
      </c>
      <c r="C5407" s="828">
        <v>101132</v>
      </c>
      <c r="D5407" s="630" t="s">
        <v>4359</v>
      </c>
      <c r="E5407" s="630" t="s">
        <v>644</v>
      </c>
      <c r="F5407" s="829">
        <v>15.15</v>
      </c>
      <c r="G5407" s="830">
        <v>2.04</v>
      </c>
      <c r="H5407" s="831">
        <v>17.190000000000001</v>
      </c>
      <c r="I5407" s="846"/>
      <c r="J5407" s="846"/>
      <c r="K5407" s="846"/>
      <c r="L5407" s="846"/>
      <c r="M5407" s="846"/>
      <c r="N5407" s="846"/>
      <c r="O5407" s="846"/>
      <c r="P5407" s="846"/>
      <c r="Q5407" s="846"/>
      <c r="R5407" s="846"/>
      <c r="S5407" s="846"/>
      <c r="T5407" s="846"/>
    </row>
    <row r="5408" spans="2:20" ht="38.25" hidden="1">
      <c r="B5408" s="828" t="s">
        <v>6604</v>
      </c>
      <c r="C5408" s="828">
        <v>101133</v>
      </c>
      <c r="D5408" s="630" t="s">
        <v>4360</v>
      </c>
      <c r="E5408" s="630" t="s">
        <v>644</v>
      </c>
      <c r="F5408" s="829">
        <v>15.02</v>
      </c>
      <c r="G5408" s="830">
        <v>3.48</v>
      </c>
      <c r="H5408" s="831">
        <v>18.5</v>
      </c>
      <c r="I5408" s="846"/>
      <c r="J5408" s="846"/>
      <c r="K5408" s="846"/>
      <c r="L5408" s="846"/>
      <c r="M5408" s="846"/>
      <c r="N5408" s="846"/>
      <c r="O5408" s="846"/>
      <c r="P5408" s="846"/>
      <c r="Q5408" s="846"/>
      <c r="R5408" s="846"/>
      <c r="S5408" s="846"/>
      <c r="T5408" s="846"/>
    </row>
    <row r="5409" spans="2:20" ht="38.25" hidden="1">
      <c r="B5409" s="828" t="s">
        <v>6604</v>
      </c>
      <c r="C5409" s="828">
        <v>101134</v>
      </c>
      <c r="D5409" s="630" t="s">
        <v>4361</v>
      </c>
      <c r="E5409" s="630" t="s">
        <v>644</v>
      </c>
      <c r="F5409" s="829">
        <v>13.15</v>
      </c>
      <c r="G5409" s="830">
        <v>2.76</v>
      </c>
      <c r="H5409" s="831">
        <v>15.91</v>
      </c>
      <c r="I5409" s="846"/>
      <c r="J5409" s="846"/>
      <c r="K5409" s="846"/>
      <c r="L5409" s="846"/>
      <c r="M5409" s="846"/>
      <c r="N5409" s="846"/>
      <c r="O5409" s="846"/>
      <c r="P5409" s="846"/>
      <c r="Q5409" s="846"/>
      <c r="R5409" s="846"/>
      <c r="S5409" s="846"/>
      <c r="T5409" s="846"/>
    </row>
    <row r="5410" spans="2:20" ht="38.25" hidden="1">
      <c r="B5410" s="828" t="s">
        <v>6604</v>
      </c>
      <c r="C5410" s="828">
        <v>101135</v>
      </c>
      <c r="D5410" s="630" t="s">
        <v>4362</v>
      </c>
      <c r="E5410" s="630" t="s">
        <v>644</v>
      </c>
      <c r="F5410" s="829">
        <v>12.879999999999999</v>
      </c>
      <c r="G5410" s="830">
        <v>2.33</v>
      </c>
      <c r="H5410" s="831">
        <v>15.21</v>
      </c>
      <c r="I5410" s="846"/>
      <c r="J5410" s="846"/>
      <c r="K5410" s="846"/>
      <c r="L5410" s="846"/>
      <c r="M5410" s="846"/>
      <c r="N5410" s="846"/>
      <c r="O5410" s="846"/>
      <c r="P5410" s="846"/>
      <c r="Q5410" s="846"/>
      <c r="R5410" s="846"/>
      <c r="S5410" s="846"/>
      <c r="T5410" s="846"/>
    </row>
    <row r="5411" spans="2:20" ht="38.25" hidden="1">
      <c r="B5411" s="828" t="s">
        <v>6604</v>
      </c>
      <c r="C5411" s="828">
        <v>101136</v>
      </c>
      <c r="D5411" s="630" t="s">
        <v>4363</v>
      </c>
      <c r="E5411" s="630" t="s">
        <v>644</v>
      </c>
      <c r="F5411" s="829">
        <v>11.879999999999999</v>
      </c>
      <c r="G5411" s="830">
        <v>1.98</v>
      </c>
      <c r="H5411" s="831">
        <v>13.86</v>
      </c>
      <c r="I5411" s="846"/>
      <c r="J5411" s="846"/>
      <c r="K5411" s="846"/>
      <c r="L5411" s="846"/>
      <c r="M5411" s="846"/>
      <c r="N5411" s="846"/>
      <c r="O5411" s="846"/>
      <c r="P5411" s="846"/>
      <c r="Q5411" s="846"/>
      <c r="R5411" s="846"/>
      <c r="S5411" s="846"/>
      <c r="T5411" s="846"/>
    </row>
    <row r="5412" spans="2:20" ht="38.25" hidden="1">
      <c r="B5412" s="828" t="s">
        <v>6604</v>
      </c>
      <c r="C5412" s="828">
        <v>101137</v>
      </c>
      <c r="D5412" s="630" t="s">
        <v>4364</v>
      </c>
      <c r="E5412" s="630" t="s">
        <v>644</v>
      </c>
      <c r="F5412" s="829">
        <v>12.9</v>
      </c>
      <c r="G5412" s="830">
        <v>1.74</v>
      </c>
      <c r="H5412" s="831">
        <v>14.64</v>
      </c>
      <c r="I5412" s="846"/>
      <c r="J5412" s="846"/>
      <c r="K5412" s="846"/>
      <c r="L5412" s="846"/>
      <c r="M5412" s="846"/>
      <c r="N5412" s="846"/>
      <c r="O5412" s="846"/>
      <c r="P5412" s="846"/>
      <c r="Q5412" s="846"/>
      <c r="R5412" s="846"/>
      <c r="S5412" s="846"/>
      <c r="T5412" s="846"/>
    </row>
    <row r="5413" spans="2:20" ht="38.25" hidden="1">
      <c r="B5413" s="828" t="s">
        <v>6604</v>
      </c>
      <c r="C5413" s="828">
        <v>101138</v>
      </c>
      <c r="D5413" s="630" t="s">
        <v>4365</v>
      </c>
      <c r="E5413" s="630" t="s">
        <v>644</v>
      </c>
      <c r="F5413" s="829">
        <v>12.84</v>
      </c>
      <c r="G5413" s="830">
        <v>2.4900000000000002</v>
      </c>
      <c r="H5413" s="831">
        <v>15.33</v>
      </c>
      <c r="I5413" s="846"/>
      <c r="J5413" s="846"/>
      <c r="K5413" s="846"/>
      <c r="L5413" s="846"/>
      <c r="M5413" s="846"/>
      <c r="N5413" s="846"/>
      <c r="O5413" s="846"/>
      <c r="P5413" s="846"/>
      <c r="Q5413" s="846"/>
      <c r="R5413" s="846"/>
      <c r="S5413" s="846"/>
      <c r="T5413" s="846"/>
    </row>
    <row r="5414" spans="2:20" ht="51" hidden="1">
      <c r="B5414" s="828" t="s">
        <v>6604</v>
      </c>
      <c r="C5414" s="828">
        <v>101139</v>
      </c>
      <c r="D5414" s="630" t="s">
        <v>4366</v>
      </c>
      <c r="E5414" s="630" t="s">
        <v>644</v>
      </c>
      <c r="F5414" s="829">
        <v>16.28</v>
      </c>
      <c r="G5414" s="830">
        <v>4.04</v>
      </c>
      <c r="H5414" s="831">
        <v>20.32</v>
      </c>
      <c r="I5414" s="846"/>
      <c r="J5414" s="846"/>
      <c r="K5414" s="846"/>
      <c r="L5414" s="846"/>
      <c r="M5414" s="846"/>
      <c r="N5414" s="846"/>
      <c r="O5414" s="846"/>
      <c r="P5414" s="846"/>
      <c r="Q5414" s="846"/>
      <c r="R5414" s="846"/>
      <c r="S5414" s="846"/>
      <c r="T5414" s="846"/>
    </row>
    <row r="5415" spans="2:20" ht="51" hidden="1">
      <c r="B5415" s="828" t="s">
        <v>6604</v>
      </c>
      <c r="C5415" s="828">
        <v>101140</v>
      </c>
      <c r="D5415" s="630" t="s">
        <v>4367</v>
      </c>
      <c r="E5415" s="630" t="s">
        <v>644</v>
      </c>
      <c r="F5415" s="829">
        <v>15.760000000000002</v>
      </c>
      <c r="G5415" s="830">
        <v>3.23</v>
      </c>
      <c r="H5415" s="831">
        <v>18.989999999999998</v>
      </c>
      <c r="I5415" s="846"/>
      <c r="J5415" s="846"/>
      <c r="K5415" s="846"/>
      <c r="L5415" s="846"/>
      <c r="M5415" s="846"/>
      <c r="N5415" s="846"/>
      <c r="O5415" s="846"/>
      <c r="P5415" s="846"/>
      <c r="Q5415" s="846"/>
      <c r="R5415" s="846"/>
      <c r="S5415" s="846"/>
      <c r="T5415" s="846"/>
    </row>
    <row r="5416" spans="2:20" ht="51" hidden="1">
      <c r="B5416" s="828" t="s">
        <v>6604</v>
      </c>
      <c r="C5416" s="828">
        <v>101141</v>
      </c>
      <c r="D5416" s="630" t="s">
        <v>4368</v>
      </c>
      <c r="E5416" s="630" t="s">
        <v>644</v>
      </c>
      <c r="F5416" s="829">
        <v>13.86</v>
      </c>
      <c r="G5416" s="830">
        <v>2.5499999999999998</v>
      </c>
      <c r="H5416" s="831">
        <v>16.41</v>
      </c>
      <c r="I5416" s="846"/>
      <c r="J5416" s="846"/>
      <c r="K5416" s="846"/>
      <c r="L5416" s="846"/>
      <c r="M5416" s="846"/>
      <c r="N5416" s="846"/>
      <c r="O5416" s="846"/>
      <c r="P5416" s="846"/>
      <c r="Q5416" s="846"/>
      <c r="R5416" s="846"/>
      <c r="S5416" s="846"/>
      <c r="T5416" s="846"/>
    </row>
    <row r="5417" spans="2:20" ht="51" hidden="1">
      <c r="B5417" s="828" t="s">
        <v>6604</v>
      </c>
      <c r="C5417" s="828">
        <v>101142</v>
      </c>
      <c r="D5417" s="630" t="s">
        <v>4369</v>
      </c>
      <c r="E5417" s="630" t="s">
        <v>644</v>
      </c>
      <c r="F5417" s="829">
        <v>15.780000000000001</v>
      </c>
      <c r="G5417" s="830">
        <v>2.11</v>
      </c>
      <c r="H5417" s="831">
        <v>17.89</v>
      </c>
      <c r="I5417" s="846"/>
      <c r="J5417" s="846"/>
      <c r="K5417" s="846"/>
      <c r="L5417" s="846"/>
      <c r="M5417" s="846"/>
      <c r="N5417" s="846"/>
      <c r="O5417" s="846"/>
      <c r="P5417" s="846"/>
      <c r="Q5417" s="846"/>
      <c r="R5417" s="846"/>
      <c r="S5417" s="846"/>
      <c r="T5417" s="846"/>
    </row>
    <row r="5418" spans="2:20" ht="51" hidden="1">
      <c r="B5418" s="828" t="s">
        <v>6604</v>
      </c>
      <c r="C5418" s="828">
        <v>101143</v>
      </c>
      <c r="D5418" s="630" t="s">
        <v>4370</v>
      </c>
      <c r="E5418" s="630" t="s">
        <v>644</v>
      </c>
      <c r="F5418" s="829">
        <v>15.649999999999999</v>
      </c>
      <c r="G5418" s="830">
        <v>3.55</v>
      </c>
      <c r="H5418" s="831">
        <v>19.2</v>
      </c>
      <c r="I5418" s="846"/>
      <c r="J5418" s="846"/>
      <c r="K5418" s="846"/>
      <c r="L5418" s="846"/>
      <c r="M5418" s="846"/>
      <c r="N5418" s="846"/>
      <c r="O5418" s="846"/>
      <c r="P5418" s="846"/>
      <c r="Q5418" s="846"/>
      <c r="R5418" s="846"/>
      <c r="S5418" s="846"/>
      <c r="T5418" s="846"/>
    </row>
    <row r="5419" spans="2:20" ht="38.25" hidden="1">
      <c r="B5419" s="828" t="s">
        <v>6604</v>
      </c>
      <c r="C5419" s="828">
        <v>101144</v>
      </c>
      <c r="D5419" s="630" t="s">
        <v>4371</v>
      </c>
      <c r="E5419" s="630" t="s">
        <v>644</v>
      </c>
      <c r="F5419" s="829">
        <v>13.27</v>
      </c>
      <c r="G5419" s="830">
        <v>2.52</v>
      </c>
      <c r="H5419" s="831">
        <v>15.79</v>
      </c>
      <c r="I5419" s="846"/>
      <c r="J5419" s="846"/>
      <c r="K5419" s="846"/>
      <c r="L5419" s="846"/>
      <c r="M5419" s="846"/>
      <c r="N5419" s="846"/>
      <c r="O5419" s="846"/>
      <c r="P5419" s="846"/>
      <c r="Q5419" s="846"/>
      <c r="R5419" s="846"/>
      <c r="S5419" s="846"/>
      <c r="T5419" s="846"/>
    </row>
    <row r="5420" spans="2:20" ht="38.25" hidden="1">
      <c r="B5420" s="828" t="s">
        <v>6604</v>
      </c>
      <c r="C5420" s="828">
        <v>101145</v>
      </c>
      <c r="D5420" s="630" t="s">
        <v>4372</v>
      </c>
      <c r="E5420" s="630" t="s">
        <v>644</v>
      </c>
      <c r="F5420" s="829">
        <v>13</v>
      </c>
      <c r="G5420" s="830">
        <v>2.09</v>
      </c>
      <c r="H5420" s="831">
        <v>15.09</v>
      </c>
      <c r="I5420" s="846"/>
      <c r="J5420" s="846"/>
      <c r="K5420" s="846"/>
      <c r="L5420" s="846"/>
      <c r="M5420" s="846"/>
      <c r="N5420" s="846"/>
      <c r="O5420" s="846"/>
      <c r="P5420" s="846"/>
      <c r="Q5420" s="846"/>
      <c r="R5420" s="846"/>
      <c r="S5420" s="846"/>
      <c r="T5420" s="846"/>
    </row>
    <row r="5421" spans="2:20" ht="38.25" hidden="1">
      <c r="B5421" s="828" t="s">
        <v>6604</v>
      </c>
      <c r="C5421" s="828">
        <v>101146</v>
      </c>
      <c r="D5421" s="630" t="s">
        <v>4373</v>
      </c>
      <c r="E5421" s="630" t="s">
        <v>644</v>
      </c>
      <c r="F5421" s="829">
        <v>12</v>
      </c>
      <c r="G5421" s="830">
        <v>1.74</v>
      </c>
      <c r="H5421" s="831">
        <v>13.74</v>
      </c>
      <c r="I5421" s="846"/>
      <c r="J5421" s="846"/>
      <c r="K5421" s="846"/>
      <c r="L5421" s="846"/>
      <c r="M5421" s="846"/>
      <c r="N5421" s="846"/>
      <c r="O5421" s="846"/>
      <c r="P5421" s="846"/>
      <c r="Q5421" s="846"/>
      <c r="R5421" s="846"/>
      <c r="S5421" s="846"/>
      <c r="T5421" s="846"/>
    </row>
    <row r="5422" spans="2:20" ht="38.25" hidden="1">
      <c r="B5422" s="828" t="s">
        <v>6604</v>
      </c>
      <c r="C5422" s="828">
        <v>101147</v>
      </c>
      <c r="D5422" s="630" t="s">
        <v>4374</v>
      </c>
      <c r="E5422" s="630" t="s">
        <v>644</v>
      </c>
      <c r="F5422" s="829">
        <v>13.02</v>
      </c>
      <c r="G5422" s="830">
        <v>1.5</v>
      </c>
      <c r="H5422" s="831">
        <v>14.52</v>
      </c>
      <c r="I5422" s="846"/>
      <c r="J5422" s="846"/>
      <c r="K5422" s="846"/>
      <c r="L5422" s="846"/>
      <c r="M5422" s="846"/>
      <c r="N5422" s="846"/>
      <c r="O5422" s="846"/>
      <c r="P5422" s="846"/>
      <c r="Q5422" s="846"/>
      <c r="R5422" s="846"/>
      <c r="S5422" s="846"/>
      <c r="T5422" s="846"/>
    </row>
    <row r="5423" spans="2:20" ht="38.25" hidden="1">
      <c r="B5423" s="828" t="s">
        <v>6604</v>
      </c>
      <c r="C5423" s="828">
        <v>101148</v>
      </c>
      <c r="D5423" s="630" t="s">
        <v>4375</v>
      </c>
      <c r="E5423" s="630" t="s">
        <v>644</v>
      </c>
      <c r="F5423" s="829">
        <v>12.96</v>
      </c>
      <c r="G5423" s="830">
        <v>2.25</v>
      </c>
      <c r="H5423" s="831">
        <v>15.21</v>
      </c>
      <c r="I5423" s="846"/>
      <c r="J5423" s="846"/>
      <c r="K5423" s="846"/>
      <c r="L5423" s="846"/>
      <c r="M5423" s="846"/>
      <c r="N5423" s="846"/>
      <c r="O5423" s="846"/>
      <c r="P5423" s="846"/>
      <c r="Q5423" s="846"/>
      <c r="R5423" s="846"/>
      <c r="S5423" s="846"/>
      <c r="T5423" s="846"/>
    </row>
    <row r="5424" spans="2:20" ht="51" hidden="1">
      <c r="B5424" s="828" t="s">
        <v>6604</v>
      </c>
      <c r="C5424" s="828">
        <v>101149</v>
      </c>
      <c r="D5424" s="630" t="s">
        <v>4376</v>
      </c>
      <c r="E5424" s="630" t="s">
        <v>644</v>
      </c>
      <c r="F5424" s="829">
        <v>16.399999999999999</v>
      </c>
      <c r="G5424" s="830">
        <v>3.8</v>
      </c>
      <c r="H5424" s="831">
        <v>20.2</v>
      </c>
      <c r="I5424" s="846"/>
      <c r="J5424" s="846"/>
      <c r="K5424" s="846"/>
      <c r="L5424" s="846"/>
      <c r="M5424" s="846"/>
      <c r="N5424" s="846"/>
      <c r="O5424" s="846"/>
      <c r="P5424" s="846"/>
      <c r="Q5424" s="846"/>
      <c r="R5424" s="846"/>
      <c r="S5424" s="846"/>
      <c r="T5424" s="846"/>
    </row>
    <row r="5425" spans="2:20" ht="51" hidden="1">
      <c r="B5425" s="828" t="s">
        <v>6604</v>
      </c>
      <c r="C5425" s="828">
        <v>101150</v>
      </c>
      <c r="D5425" s="630" t="s">
        <v>4377</v>
      </c>
      <c r="E5425" s="630" t="s">
        <v>644</v>
      </c>
      <c r="F5425" s="829">
        <v>15.879999999999999</v>
      </c>
      <c r="G5425" s="830">
        <v>2.99</v>
      </c>
      <c r="H5425" s="831">
        <v>18.87</v>
      </c>
      <c r="I5425" s="846"/>
      <c r="J5425" s="846"/>
      <c r="K5425" s="846"/>
      <c r="L5425" s="846"/>
      <c r="M5425" s="846"/>
      <c r="N5425" s="846"/>
      <c r="O5425" s="846"/>
      <c r="P5425" s="846"/>
      <c r="Q5425" s="846"/>
      <c r="R5425" s="846"/>
      <c r="S5425" s="846"/>
      <c r="T5425" s="846"/>
    </row>
    <row r="5426" spans="2:20" ht="51" hidden="1">
      <c r="B5426" s="828" t="s">
        <v>6604</v>
      </c>
      <c r="C5426" s="828">
        <v>101151</v>
      </c>
      <c r="D5426" s="630" t="s">
        <v>4378</v>
      </c>
      <c r="E5426" s="630" t="s">
        <v>644</v>
      </c>
      <c r="F5426" s="829">
        <v>13.98</v>
      </c>
      <c r="G5426" s="830">
        <v>2.31</v>
      </c>
      <c r="H5426" s="831">
        <v>16.29</v>
      </c>
      <c r="I5426" s="846"/>
      <c r="J5426" s="846"/>
      <c r="K5426" s="846"/>
      <c r="L5426" s="846"/>
      <c r="M5426" s="846"/>
      <c r="N5426" s="846"/>
      <c r="O5426" s="846"/>
      <c r="P5426" s="846"/>
      <c r="Q5426" s="846"/>
      <c r="R5426" s="846"/>
      <c r="S5426" s="846"/>
      <c r="T5426" s="846"/>
    </row>
    <row r="5427" spans="2:20" ht="51" hidden="1">
      <c r="B5427" s="828" t="s">
        <v>6604</v>
      </c>
      <c r="C5427" s="828">
        <v>101152</v>
      </c>
      <c r="D5427" s="630" t="s">
        <v>4379</v>
      </c>
      <c r="E5427" s="630" t="s">
        <v>644</v>
      </c>
      <c r="F5427" s="829">
        <v>15.899999999999999</v>
      </c>
      <c r="G5427" s="830">
        <v>1.87</v>
      </c>
      <c r="H5427" s="831">
        <v>17.77</v>
      </c>
      <c r="I5427" s="846"/>
      <c r="J5427" s="846"/>
      <c r="K5427" s="846"/>
      <c r="L5427" s="846"/>
      <c r="M5427" s="846"/>
      <c r="N5427" s="846"/>
      <c r="O5427" s="846"/>
      <c r="P5427" s="846"/>
      <c r="Q5427" s="846"/>
      <c r="R5427" s="846"/>
      <c r="S5427" s="846"/>
      <c r="T5427" s="846"/>
    </row>
    <row r="5428" spans="2:20" ht="51" hidden="1">
      <c r="B5428" s="828" t="s">
        <v>6604</v>
      </c>
      <c r="C5428" s="828">
        <v>101153</v>
      </c>
      <c r="D5428" s="630" t="s">
        <v>4380</v>
      </c>
      <c r="E5428" s="630" t="s">
        <v>644</v>
      </c>
      <c r="F5428" s="829">
        <v>15.77</v>
      </c>
      <c r="G5428" s="830">
        <v>3.31</v>
      </c>
      <c r="H5428" s="831">
        <v>19.079999999999998</v>
      </c>
      <c r="I5428" s="846"/>
      <c r="J5428" s="846"/>
      <c r="K5428" s="846"/>
      <c r="L5428" s="846"/>
      <c r="M5428" s="846"/>
      <c r="N5428" s="846"/>
      <c r="O5428" s="846"/>
      <c r="P5428" s="846"/>
      <c r="Q5428" s="846"/>
      <c r="R5428" s="846"/>
      <c r="S5428" s="846"/>
      <c r="T5428" s="846"/>
    </row>
    <row r="5429" spans="2:20" ht="63.75" hidden="1">
      <c r="B5429" s="828" t="s">
        <v>6604</v>
      </c>
      <c r="C5429" s="828">
        <v>101206</v>
      </c>
      <c r="D5429" s="630" t="s">
        <v>4381</v>
      </c>
      <c r="E5429" s="630" t="s">
        <v>644</v>
      </c>
      <c r="F5429" s="829">
        <v>11.33</v>
      </c>
      <c r="G5429" s="830">
        <v>1.4</v>
      </c>
      <c r="H5429" s="831">
        <v>12.73</v>
      </c>
      <c r="I5429" s="846"/>
      <c r="J5429" s="846"/>
      <c r="K5429" s="846"/>
      <c r="L5429" s="846"/>
      <c r="M5429" s="846"/>
      <c r="N5429" s="846"/>
      <c r="O5429" s="846"/>
      <c r="P5429" s="846"/>
      <c r="Q5429" s="846"/>
      <c r="R5429" s="846"/>
      <c r="S5429" s="846"/>
      <c r="T5429" s="846"/>
    </row>
    <row r="5430" spans="2:20" ht="63.75" hidden="1">
      <c r="B5430" s="828" t="s">
        <v>6604</v>
      </c>
      <c r="C5430" s="828">
        <v>101207</v>
      </c>
      <c r="D5430" s="630" t="s">
        <v>4382</v>
      </c>
      <c r="E5430" s="630" t="s">
        <v>644</v>
      </c>
      <c r="F5430" s="829">
        <v>10.280000000000001</v>
      </c>
      <c r="G5430" s="830">
        <v>1.05</v>
      </c>
      <c r="H5430" s="831">
        <v>11.33</v>
      </c>
      <c r="I5430" s="846"/>
      <c r="J5430" s="846"/>
      <c r="K5430" s="846"/>
      <c r="L5430" s="846"/>
      <c r="M5430" s="846"/>
      <c r="N5430" s="846"/>
      <c r="O5430" s="846"/>
      <c r="P5430" s="846"/>
      <c r="Q5430" s="846"/>
      <c r="R5430" s="846"/>
      <c r="S5430" s="846"/>
      <c r="T5430" s="846"/>
    </row>
    <row r="5431" spans="2:20" ht="63.75" hidden="1">
      <c r="B5431" s="828" t="s">
        <v>6604</v>
      </c>
      <c r="C5431" s="828">
        <v>101208</v>
      </c>
      <c r="D5431" s="630" t="s">
        <v>4383</v>
      </c>
      <c r="E5431" s="630" t="s">
        <v>644</v>
      </c>
      <c r="F5431" s="829">
        <v>9.83</v>
      </c>
      <c r="G5431" s="830">
        <v>1.05</v>
      </c>
      <c r="H5431" s="831">
        <v>10.88</v>
      </c>
      <c r="I5431" s="846"/>
      <c r="J5431" s="846"/>
      <c r="K5431" s="846"/>
      <c r="L5431" s="846"/>
      <c r="M5431" s="846"/>
      <c r="N5431" s="846"/>
      <c r="O5431" s="846"/>
      <c r="P5431" s="846"/>
      <c r="Q5431" s="846"/>
      <c r="R5431" s="846"/>
      <c r="S5431" s="846"/>
      <c r="T5431" s="846"/>
    </row>
    <row r="5432" spans="2:20" ht="63.75" hidden="1">
      <c r="B5432" s="828" t="s">
        <v>6604</v>
      </c>
      <c r="C5432" s="828">
        <v>101209</v>
      </c>
      <c r="D5432" s="630" t="s">
        <v>4384</v>
      </c>
      <c r="E5432" s="630" t="s">
        <v>644</v>
      </c>
      <c r="F5432" s="829">
        <v>9.1999999999999993</v>
      </c>
      <c r="G5432" s="830">
        <v>0.95</v>
      </c>
      <c r="H5432" s="831">
        <v>10.15</v>
      </c>
      <c r="I5432" s="846"/>
      <c r="J5432" s="846"/>
      <c r="K5432" s="846"/>
      <c r="L5432" s="846"/>
      <c r="M5432" s="846"/>
      <c r="N5432" s="846"/>
      <c r="O5432" s="846"/>
      <c r="P5432" s="846"/>
      <c r="Q5432" s="846"/>
      <c r="R5432" s="846"/>
      <c r="S5432" s="846"/>
      <c r="T5432" s="846"/>
    </row>
    <row r="5433" spans="2:20" ht="63.75" hidden="1">
      <c r="B5433" s="828" t="s">
        <v>6604</v>
      </c>
      <c r="C5433" s="828">
        <v>101210</v>
      </c>
      <c r="D5433" s="630" t="s">
        <v>4385</v>
      </c>
      <c r="E5433" s="630" t="s">
        <v>644</v>
      </c>
      <c r="F5433" s="829">
        <v>16.43</v>
      </c>
      <c r="G5433" s="830">
        <v>1.58</v>
      </c>
      <c r="H5433" s="831">
        <v>18.010000000000002</v>
      </c>
      <c r="I5433" s="846"/>
      <c r="J5433" s="846"/>
      <c r="K5433" s="846"/>
      <c r="L5433" s="846"/>
      <c r="M5433" s="846"/>
      <c r="N5433" s="846"/>
      <c r="O5433" s="846"/>
      <c r="P5433" s="846"/>
      <c r="Q5433" s="846"/>
      <c r="R5433" s="846"/>
      <c r="S5433" s="846"/>
      <c r="T5433" s="846"/>
    </row>
    <row r="5434" spans="2:20" ht="63.75" hidden="1">
      <c r="B5434" s="828" t="s">
        <v>6604</v>
      </c>
      <c r="C5434" s="828">
        <v>101211</v>
      </c>
      <c r="D5434" s="630" t="s">
        <v>4386</v>
      </c>
      <c r="E5434" s="630" t="s">
        <v>644</v>
      </c>
      <c r="F5434" s="829">
        <v>17.670000000000002</v>
      </c>
      <c r="G5434" s="830">
        <v>1.66</v>
      </c>
      <c r="H5434" s="831">
        <v>19.329999999999998</v>
      </c>
      <c r="I5434" s="846"/>
      <c r="J5434" s="846"/>
      <c r="K5434" s="846"/>
      <c r="L5434" s="846"/>
      <c r="M5434" s="846"/>
      <c r="N5434" s="846"/>
      <c r="O5434" s="846"/>
      <c r="P5434" s="846"/>
      <c r="Q5434" s="846"/>
      <c r="R5434" s="846"/>
      <c r="S5434" s="846"/>
      <c r="T5434" s="846"/>
    </row>
    <row r="5435" spans="2:20" ht="63.75" hidden="1">
      <c r="B5435" s="828" t="s">
        <v>6604</v>
      </c>
      <c r="C5435" s="828">
        <v>101212</v>
      </c>
      <c r="D5435" s="630" t="s">
        <v>4387</v>
      </c>
      <c r="E5435" s="630" t="s">
        <v>644</v>
      </c>
      <c r="F5435" s="829">
        <v>20.509999999999998</v>
      </c>
      <c r="G5435" s="830">
        <v>1.93</v>
      </c>
      <c r="H5435" s="831">
        <v>22.44</v>
      </c>
      <c r="I5435" s="846"/>
      <c r="J5435" s="846"/>
      <c r="K5435" s="846"/>
      <c r="L5435" s="846"/>
      <c r="M5435" s="846"/>
      <c r="N5435" s="846"/>
      <c r="O5435" s="846"/>
      <c r="P5435" s="846"/>
      <c r="Q5435" s="846"/>
      <c r="R5435" s="846"/>
      <c r="S5435" s="846"/>
      <c r="T5435" s="846"/>
    </row>
    <row r="5436" spans="2:20" ht="63.75" hidden="1">
      <c r="B5436" s="828" t="s">
        <v>6604</v>
      </c>
      <c r="C5436" s="828">
        <v>101213</v>
      </c>
      <c r="D5436" s="630" t="s">
        <v>4388</v>
      </c>
      <c r="E5436" s="630" t="s">
        <v>644</v>
      </c>
      <c r="F5436" s="829">
        <v>22.73</v>
      </c>
      <c r="G5436" s="830">
        <v>2.21</v>
      </c>
      <c r="H5436" s="831">
        <v>24.94</v>
      </c>
      <c r="I5436" s="846"/>
      <c r="J5436" s="846"/>
      <c r="K5436" s="846"/>
      <c r="L5436" s="846"/>
      <c r="M5436" s="846"/>
      <c r="N5436" s="846"/>
      <c r="O5436" s="846"/>
      <c r="P5436" s="846"/>
      <c r="Q5436" s="846"/>
      <c r="R5436" s="846"/>
      <c r="S5436" s="846"/>
      <c r="T5436" s="846"/>
    </row>
    <row r="5437" spans="2:20" ht="63.75" hidden="1">
      <c r="B5437" s="828" t="s">
        <v>6604</v>
      </c>
      <c r="C5437" s="828">
        <v>101214</v>
      </c>
      <c r="D5437" s="630" t="s">
        <v>4389</v>
      </c>
      <c r="E5437" s="630" t="s">
        <v>644</v>
      </c>
      <c r="F5437" s="829">
        <v>27.8</v>
      </c>
      <c r="G5437" s="830">
        <v>2.4700000000000002</v>
      </c>
      <c r="H5437" s="831">
        <v>30.27</v>
      </c>
      <c r="I5437" s="846"/>
      <c r="J5437" s="846"/>
      <c r="K5437" s="846"/>
      <c r="L5437" s="846"/>
      <c r="M5437" s="846"/>
      <c r="N5437" s="846"/>
      <c r="O5437" s="846"/>
      <c r="P5437" s="846"/>
      <c r="Q5437" s="846"/>
      <c r="R5437" s="846"/>
      <c r="S5437" s="846"/>
      <c r="T5437" s="846"/>
    </row>
    <row r="5438" spans="2:20" ht="63.75" hidden="1">
      <c r="B5438" s="828" t="s">
        <v>6604</v>
      </c>
      <c r="C5438" s="828">
        <v>101215</v>
      </c>
      <c r="D5438" s="630" t="s">
        <v>4390</v>
      </c>
      <c r="E5438" s="630" t="s">
        <v>644</v>
      </c>
      <c r="F5438" s="829">
        <v>15.74</v>
      </c>
      <c r="G5438" s="830">
        <v>1.56</v>
      </c>
      <c r="H5438" s="831">
        <v>17.3</v>
      </c>
      <c r="I5438" s="846"/>
      <c r="J5438" s="846"/>
      <c r="K5438" s="846"/>
      <c r="L5438" s="846"/>
      <c r="M5438" s="846"/>
      <c r="N5438" s="846"/>
      <c r="O5438" s="846"/>
      <c r="P5438" s="846"/>
      <c r="Q5438" s="846"/>
      <c r="R5438" s="846"/>
      <c r="S5438" s="846"/>
      <c r="T5438" s="846"/>
    </row>
    <row r="5439" spans="2:20" ht="63.75" hidden="1">
      <c r="B5439" s="828" t="s">
        <v>6604</v>
      </c>
      <c r="C5439" s="828">
        <v>101216</v>
      </c>
      <c r="D5439" s="630" t="s">
        <v>4391</v>
      </c>
      <c r="E5439" s="630" t="s">
        <v>644</v>
      </c>
      <c r="F5439" s="829">
        <v>16.68</v>
      </c>
      <c r="G5439" s="830">
        <v>1.55</v>
      </c>
      <c r="H5439" s="831">
        <v>18.23</v>
      </c>
      <c r="I5439" s="846"/>
      <c r="J5439" s="846"/>
      <c r="K5439" s="846"/>
      <c r="L5439" s="846"/>
      <c r="M5439" s="846"/>
      <c r="N5439" s="846"/>
      <c r="O5439" s="846"/>
      <c r="P5439" s="846"/>
      <c r="Q5439" s="846"/>
      <c r="R5439" s="846"/>
      <c r="S5439" s="846"/>
      <c r="T5439" s="846"/>
    </row>
    <row r="5440" spans="2:20" ht="63.75" hidden="1">
      <c r="B5440" s="828" t="s">
        <v>6604</v>
      </c>
      <c r="C5440" s="828">
        <v>101217</v>
      </c>
      <c r="D5440" s="630" t="s">
        <v>4392</v>
      </c>
      <c r="E5440" s="630" t="s">
        <v>644</v>
      </c>
      <c r="F5440" s="829">
        <v>19.299999999999997</v>
      </c>
      <c r="G5440" s="830">
        <v>1.81</v>
      </c>
      <c r="H5440" s="831">
        <v>21.11</v>
      </c>
      <c r="I5440" s="846"/>
      <c r="J5440" s="846"/>
      <c r="K5440" s="846"/>
      <c r="L5440" s="846"/>
      <c r="M5440" s="846"/>
      <c r="N5440" s="846"/>
      <c r="O5440" s="846"/>
      <c r="P5440" s="846"/>
      <c r="Q5440" s="846"/>
      <c r="R5440" s="846"/>
      <c r="S5440" s="846"/>
      <c r="T5440" s="846"/>
    </row>
    <row r="5441" spans="2:20" ht="63.75" hidden="1">
      <c r="B5441" s="828" t="s">
        <v>6604</v>
      </c>
      <c r="C5441" s="828">
        <v>101218</v>
      </c>
      <c r="D5441" s="630" t="s">
        <v>4393</v>
      </c>
      <c r="E5441" s="630" t="s">
        <v>644</v>
      </c>
      <c r="F5441" s="829">
        <v>20.66</v>
      </c>
      <c r="G5441" s="830">
        <v>1.8</v>
      </c>
      <c r="H5441" s="831">
        <v>22.46</v>
      </c>
      <c r="I5441" s="846"/>
      <c r="J5441" s="846"/>
      <c r="K5441" s="846"/>
      <c r="L5441" s="846"/>
      <c r="M5441" s="846"/>
      <c r="N5441" s="846"/>
      <c r="O5441" s="846"/>
      <c r="P5441" s="846"/>
      <c r="Q5441" s="846"/>
      <c r="R5441" s="846"/>
      <c r="S5441" s="846"/>
      <c r="T5441" s="846"/>
    </row>
    <row r="5442" spans="2:20" ht="63.75" hidden="1">
      <c r="B5442" s="828" t="s">
        <v>6604</v>
      </c>
      <c r="C5442" s="828">
        <v>101219</v>
      </c>
      <c r="D5442" s="630" t="s">
        <v>4394</v>
      </c>
      <c r="E5442" s="630" t="s">
        <v>644</v>
      </c>
      <c r="F5442" s="829">
        <v>25.22</v>
      </c>
      <c r="G5442" s="830">
        <v>2.06</v>
      </c>
      <c r="H5442" s="831">
        <v>27.28</v>
      </c>
      <c r="I5442" s="846"/>
      <c r="J5442" s="846"/>
      <c r="K5442" s="846"/>
      <c r="L5442" s="846"/>
      <c r="M5442" s="846"/>
      <c r="N5442" s="846"/>
      <c r="O5442" s="846"/>
      <c r="P5442" s="846"/>
      <c r="Q5442" s="846"/>
      <c r="R5442" s="846"/>
      <c r="S5442" s="846"/>
      <c r="T5442" s="846"/>
    </row>
    <row r="5443" spans="2:20" ht="63.75" hidden="1">
      <c r="B5443" s="828" t="s">
        <v>6604</v>
      </c>
      <c r="C5443" s="828">
        <v>101220</v>
      </c>
      <c r="D5443" s="630" t="s">
        <v>4395</v>
      </c>
      <c r="E5443" s="630" t="s">
        <v>644</v>
      </c>
      <c r="F5443" s="829">
        <v>15.45</v>
      </c>
      <c r="G5443" s="830">
        <v>1.46</v>
      </c>
      <c r="H5443" s="831">
        <v>16.91</v>
      </c>
      <c r="I5443" s="846"/>
      <c r="J5443" s="846"/>
      <c r="K5443" s="846"/>
      <c r="L5443" s="846"/>
      <c r="M5443" s="846"/>
      <c r="N5443" s="846"/>
      <c r="O5443" s="846"/>
      <c r="P5443" s="846"/>
      <c r="Q5443" s="846"/>
      <c r="R5443" s="846"/>
      <c r="S5443" s="846"/>
      <c r="T5443" s="846"/>
    </row>
    <row r="5444" spans="2:20" ht="63.75" hidden="1">
      <c r="B5444" s="828" t="s">
        <v>6604</v>
      </c>
      <c r="C5444" s="828">
        <v>101221</v>
      </c>
      <c r="D5444" s="630" t="s">
        <v>4396</v>
      </c>
      <c r="E5444" s="630" t="s">
        <v>644</v>
      </c>
      <c r="F5444" s="829">
        <v>16.5</v>
      </c>
      <c r="G5444" s="830">
        <v>1.46</v>
      </c>
      <c r="H5444" s="831">
        <v>17.96</v>
      </c>
      <c r="I5444" s="846"/>
      <c r="J5444" s="846"/>
      <c r="K5444" s="846"/>
      <c r="L5444" s="846"/>
      <c r="M5444" s="846"/>
      <c r="N5444" s="846"/>
      <c r="O5444" s="846"/>
      <c r="P5444" s="846"/>
      <c r="Q5444" s="846"/>
      <c r="R5444" s="846"/>
      <c r="S5444" s="846"/>
      <c r="T5444" s="846"/>
    </row>
    <row r="5445" spans="2:20" ht="63.75" hidden="1">
      <c r="B5445" s="828" t="s">
        <v>6604</v>
      </c>
      <c r="C5445" s="828">
        <v>101222</v>
      </c>
      <c r="D5445" s="630" t="s">
        <v>4397</v>
      </c>
      <c r="E5445" s="630" t="s">
        <v>644</v>
      </c>
      <c r="F5445" s="829">
        <v>19.190000000000001</v>
      </c>
      <c r="G5445" s="830">
        <v>1.65</v>
      </c>
      <c r="H5445" s="831">
        <v>20.84</v>
      </c>
      <c r="I5445" s="846"/>
      <c r="J5445" s="846"/>
      <c r="K5445" s="846"/>
      <c r="L5445" s="846"/>
      <c r="M5445" s="846"/>
      <c r="N5445" s="846"/>
      <c r="O5445" s="846"/>
      <c r="P5445" s="846"/>
      <c r="Q5445" s="846"/>
      <c r="R5445" s="846"/>
      <c r="S5445" s="846"/>
      <c r="T5445" s="846"/>
    </row>
    <row r="5446" spans="2:20" ht="63.75" hidden="1">
      <c r="B5446" s="828" t="s">
        <v>6604</v>
      </c>
      <c r="C5446" s="845">
        <v>101223</v>
      </c>
      <c r="D5446" s="976" t="s">
        <v>4398</v>
      </c>
      <c r="E5446" s="630" t="s">
        <v>644</v>
      </c>
      <c r="F5446" s="829">
        <v>21.259999999999998</v>
      </c>
      <c r="G5446" s="830">
        <v>1.85</v>
      </c>
      <c r="H5446" s="831">
        <v>23.11</v>
      </c>
      <c r="I5446" s="846"/>
      <c r="J5446" s="846"/>
      <c r="K5446" s="846"/>
      <c r="L5446" s="846"/>
      <c r="M5446" s="846"/>
      <c r="N5446" s="846"/>
      <c r="O5446" s="846"/>
      <c r="P5446" s="846"/>
      <c r="Q5446" s="846"/>
      <c r="R5446" s="846"/>
      <c r="S5446" s="846"/>
      <c r="T5446" s="846"/>
    </row>
    <row r="5447" spans="2:20" ht="63.75" hidden="1">
      <c r="B5447" s="828" t="s">
        <v>6604</v>
      </c>
      <c r="C5447" s="828">
        <v>101224</v>
      </c>
      <c r="D5447" s="630" t="s">
        <v>4399</v>
      </c>
      <c r="E5447" s="630" t="s">
        <v>644</v>
      </c>
      <c r="F5447" s="829">
        <v>26.660000000000004</v>
      </c>
      <c r="G5447" s="830">
        <v>2.2599999999999998</v>
      </c>
      <c r="H5447" s="831">
        <v>28.92</v>
      </c>
      <c r="I5447" s="846"/>
      <c r="J5447" s="846"/>
      <c r="K5447" s="846"/>
      <c r="L5447" s="846"/>
      <c r="M5447" s="846"/>
      <c r="N5447" s="846"/>
      <c r="O5447" s="846"/>
      <c r="P5447" s="846"/>
      <c r="Q5447" s="846"/>
      <c r="R5447" s="846"/>
      <c r="S5447" s="846"/>
      <c r="T5447" s="846"/>
    </row>
    <row r="5448" spans="2:20" ht="63.75" hidden="1">
      <c r="B5448" s="828" t="s">
        <v>6604</v>
      </c>
      <c r="C5448" s="828">
        <v>101225</v>
      </c>
      <c r="D5448" s="630" t="s">
        <v>4400</v>
      </c>
      <c r="E5448" s="630" t="s">
        <v>644</v>
      </c>
      <c r="F5448" s="829">
        <v>14.3</v>
      </c>
      <c r="G5448" s="830">
        <v>1.31</v>
      </c>
      <c r="H5448" s="831">
        <v>15.61</v>
      </c>
      <c r="I5448" s="846"/>
      <c r="J5448" s="846"/>
      <c r="K5448" s="846"/>
      <c r="L5448" s="846"/>
      <c r="M5448" s="846"/>
      <c r="N5448" s="846"/>
      <c r="O5448" s="846"/>
      <c r="P5448" s="846"/>
      <c r="Q5448" s="846"/>
      <c r="R5448" s="846"/>
      <c r="S5448" s="846"/>
      <c r="T5448" s="846"/>
    </row>
    <row r="5449" spans="2:20" ht="63.75" hidden="1">
      <c r="B5449" s="828" t="s">
        <v>6604</v>
      </c>
      <c r="C5449" s="828">
        <v>101226</v>
      </c>
      <c r="D5449" s="630" t="s">
        <v>4401</v>
      </c>
      <c r="E5449" s="630" t="s">
        <v>644</v>
      </c>
      <c r="F5449" s="829">
        <v>15.22</v>
      </c>
      <c r="G5449" s="830">
        <v>1.31</v>
      </c>
      <c r="H5449" s="831">
        <v>16.53</v>
      </c>
      <c r="I5449" s="846"/>
      <c r="J5449" s="846"/>
      <c r="K5449" s="846"/>
      <c r="L5449" s="846"/>
      <c r="M5449" s="846"/>
      <c r="N5449" s="846"/>
      <c r="O5449" s="846"/>
      <c r="P5449" s="846"/>
      <c r="Q5449" s="846"/>
      <c r="R5449" s="846"/>
      <c r="S5449" s="846"/>
      <c r="T5449" s="846"/>
    </row>
    <row r="5450" spans="2:20" ht="63.75" hidden="1">
      <c r="B5450" s="828" t="s">
        <v>6604</v>
      </c>
      <c r="C5450" s="845">
        <v>101227</v>
      </c>
      <c r="D5450" s="976" t="s">
        <v>4402</v>
      </c>
      <c r="E5450" s="630" t="s">
        <v>644</v>
      </c>
      <c r="F5450" s="829">
        <v>17.62</v>
      </c>
      <c r="G5450" s="830">
        <v>1.49</v>
      </c>
      <c r="H5450" s="831">
        <v>19.11</v>
      </c>
      <c r="I5450" s="846"/>
      <c r="J5450" s="846"/>
      <c r="K5450" s="846"/>
      <c r="L5450" s="846"/>
      <c r="M5450" s="846"/>
      <c r="N5450" s="846"/>
      <c r="O5450" s="846"/>
      <c r="P5450" s="846"/>
      <c r="Q5450" s="846"/>
      <c r="R5450" s="846"/>
      <c r="S5450" s="846"/>
      <c r="T5450" s="846"/>
    </row>
    <row r="5451" spans="2:20" ht="63.75" hidden="1">
      <c r="B5451" s="828" t="s">
        <v>6604</v>
      </c>
      <c r="C5451" s="828">
        <v>101228</v>
      </c>
      <c r="D5451" s="630" t="s">
        <v>4403</v>
      </c>
      <c r="E5451" s="630" t="s">
        <v>644</v>
      </c>
      <c r="F5451" s="829">
        <v>19</v>
      </c>
      <c r="G5451" s="830">
        <v>1.5</v>
      </c>
      <c r="H5451" s="831">
        <v>20.5</v>
      </c>
      <c r="I5451" s="846"/>
      <c r="J5451" s="846"/>
      <c r="K5451" s="846"/>
      <c r="L5451" s="846"/>
      <c r="M5451" s="846"/>
      <c r="N5451" s="846"/>
      <c r="O5451" s="846"/>
      <c r="P5451" s="846"/>
      <c r="Q5451" s="846"/>
      <c r="R5451" s="846"/>
      <c r="S5451" s="846"/>
      <c r="T5451" s="846"/>
    </row>
    <row r="5452" spans="2:20" ht="63.75" hidden="1">
      <c r="B5452" s="828" t="s">
        <v>6604</v>
      </c>
      <c r="C5452" s="828">
        <v>101229</v>
      </c>
      <c r="D5452" s="630" t="s">
        <v>4404</v>
      </c>
      <c r="E5452" s="630" t="s">
        <v>644</v>
      </c>
      <c r="F5452" s="829">
        <v>23.89</v>
      </c>
      <c r="G5452" s="830">
        <v>1.86</v>
      </c>
      <c r="H5452" s="831">
        <v>25.75</v>
      </c>
      <c r="I5452" s="846"/>
      <c r="J5452" s="846"/>
      <c r="K5452" s="846"/>
      <c r="L5452" s="846"/>
      <c r="M5452" s="846"/>
      <c r="N5452" s="846"/>
      <c r="O5452" s="846"/>
      <c r="P5452" s="846"/>
      <c r="Q5452" s="846"/>
      <c r="R5452" s="846"/>
      <c r="S5452" s="846"/>
      <c r="T5452" s="846"/>
    </row>
    <row r="5453" spans="2:20" ht="63.75" hidden="1">
      <c r="B5453" s="828" t="s">
        <v>6604</v>
      </c>
      <c r="C5453" s="828">
        <v>101230</v>
      </c>
      <c r="D5453" s="630" t="s">
        <v>4405</v>
      </c>
      <c r="E5453" s="630" t="s">
        <v>644</v>
      </c>
      <c r="F5453" s="829">
        <v>10.11</v>
      </c>
      <c r="G5453" s="830">
        <v>1.17</v>
      </c>
      <c r="H5453" s="831">
        <v>11.28</v>
      </c>
      <c r="I5453" s="846"/>
      <c r="J5453" s="846"/>
      <c r="K5453" s="846"/>
      <c r="L5453" s="846"/>
      <c r="M5453" s="846"/>
      <c r="N5453" s="846"/>
      <c r="O5453" s="846"/>
      <c r="P5453" s="846"/>
      <c r="Q5453" s="846"/>
      <c r="R5453" s="846"/>
      <c r="S5453" s="846"/>
      <c r="T5453" s="846"/>
    </row>
    <row r="5454" spans="2:20" ht="63.75" hidden="1">
      <c r="B5454" s="828" t="s">
        <v>6604</v>
      </c>
      <c r="C5454" s="828">
        <v>101231</v>
      </c>
      <c r="D5454" s="630" t="s">
        <v>4406</v>
      </c>
      <c r="E5454" s="630" t="s">
        <v>644</v>
      </c>
      <c r="F5454" s="829">
        <v>9.68</v>
      </c>
      <c r="G5454" s="830">
        <v>1.0900000000000001</v>
      </c>
      <c r="H5454" s="831">
        <v>10.77</v>
      </c>
      <c r="I5454" s="846"/>
      <c r="J5454" s="846"/>
      <c r="K5454" s="846"/>
      <c r="L5454" s="846"/>
      <c r="M5454" s="846"/>
      <c r="N5454" s="846"/>
      <c r="O5454" s="846"/>
      <c r="P5454" s="846"/>
      <c r="Q5454" s="846"/>
      <c r="R5454" s="846"/>
      <c r="S5454" s="846"/>
      <c r="T5454" s="846"/>
    </row>
    <row r="5455" spans="2:20" ht="63.75" hidden="1">
      <c r="B5455" s="828" t="s">
        <v>6604</v>
      </c>
      <c r="C5455" s="828">
        <v>101232</v>
      </c>
      <c r="D5455" s="630" t="s">
        <v>4407</v>
      </c>
      <c r="E5455" s="630" t="s">
        <v>644</v>
      </c>
      <c r="F5455" s="829">
        <v>8.8800000000000008</v>
      </c>
      <c r="G5455" s="830">
        <v>0.88</v>
      </c>
      <c r="H5455" s="831">
        <v>9.76</v>
      </c>
      <c r="I5455" s="846"/>
      <c r="J5455" s="846"/>
      <c r="K5455" s="846"/>
      <c r="L5455" s="846"/>
      <c r="M5455" s="846"/>
      <c r="N5455" s="846"/>
      <c r="O5455" s="846"/>
      <c r="P5455" s="846"/>
      <c r="Q5455" s="846"/>
      <c r="R5455" s="846"/>
      <c r="S5455" s="846"/>
      <c r="T5455" s="846"/>
    </row>
    <row r="5456" spans="2:20" ht="63.75" hidden="1">
      <c r="B5456" s="828" t="s">
        <v>6604</v>
      </c>
      <c r="C5456" s="828">
        <v>101233</v>
      </c>
      <c r="D5456" s="630" t="s">
        <v>4408</v>
      </c>
      <c r="E5456" s="630" t="s">
        <v>644</v>
      </c>
      <c r="F5456" s="829">
        <v>8.2800000000000011</v>
      </c>
      <c r="G5456" s="830">
        <v>0.78</v>
      </c>
      <c r="H5456" s="831">
        <v>9.06</v>
      </c>
      <c r="I5456" s="846"/>
      <c r="J5456" s="846"/>
      <c r="K5456" s="846"/>
      <c r="L5456" s="846"/>
      <c r="M5456" s="846"/>
      <c r="N5456" s="846"/>
      <c r="O5456" s="846"/>
      <c r="P5456" s="846"/>
      <c r="Q5456" s="846"/>
      <c r="R5456" s="846"/>
      <c r="S5456" s="846"/>
      <c r="T5456" s="846"/>
    </row>
    <row r="5457" spans="2:20" ht="63.75" hidden="1">
      <c r="B5457" s="828" t="s">
        <v>6604</v>
      </c>
      <c r="C5457" s="828">
        <v>101234</v>
      </c>
      <c r="D5457" s="630" t="s">
        <v>4409</v>
      </c>
      <c r="E5457" s="630" t="s">
        <v>644</v>
      </c>
      <c r="F5457" s="829">
        <v>15.85</v>
      </c>
      <c r="G5457" s="830">
        <v>1.63</v>
      </c>
      <c r="H5457" s="831">
        <v>17.48</v>
      </c>
      <c r="I5457" s="846"/>
      <c r="J5457" s="846"/>
      <c r="K5457" s="846"/>
      <c r="L5457" s="846"/>
      <c r="M5457" s="846"/>
      <c r="N5457" s="846"/>
      <c r="O5457" s="846"/>
      <c r="P5457" s="846"/>
      <c r="Q5457" s="846"/>
      <c r="R5457" s="846"/>
      <c r="S5457" s="846"/>
      <c r="T5457" s="846"/>
    </row>
    <row r="5458" spans="2:20" ht="63.75" hidden="1">
      <c r="B5458" s="828" t="s">
        <v>6604</v>
      </c>
      <c r="C5458" s="828">
        <v>101235</v>
      </c>
      <c r="D5458" s="630" t="s">
        <v>4410</v>
      </c>
      <c r="E5458" s="630" t="s">
        <v>644</v>
      </c>
      <c r="F5458" s="829">
        <v>16.87</v>
      </c>
      <c r="G5458" s="830">
        <v>1.62</v>
      </c>
      <c r="H5458" s="831">
        <v>18.489999999999998</v>
      </c>
      <c r="I5458" s="846"/>
      <c r="J5458" s="846"/>
      <c r="K5458" s="846"/>
      <c r="L5458" s="846"/>
      <c r="M5458" s="846"/>
      <c r="N5458" s="846"/>
      <c r="O5458" s="846"/>
      <c r="P5458" s="846"/>
      <c r="Q5458" s="846"/>
      <c r="R5458" s="846"/>
      <c r="S5458" s="846"/>
      <c r="T5458" s="846"/>
    </row>
    <row r="5459" spans="2:20" ht="63.75" hidden="1">
      <c r="B5459" s="828" t="s">
        <v>6604</v>
      </c>
      <c r="C5459" s="828">
        <v>101236</v>
      </c>
      <c r="D5459" s="630" t="s">
        <v>4411</v>
      </c>
      <c r="E5459" s="630" t="s">
        <v>644</v>
      </c>
      <c r="F5459" s="829">
        <v>19.64</v>
      </c>
      <c r="G5459" s="830">
        <v>1.85</v>
      </c>
      <c r="H5459" s="831">
        <v>21.49</v>
      </c>
      <c r="I5459" s="846"/>
      <c r="J5459" s="846"/>
      <c r="K5459" s="846"/>
      <c r="L5459" s="846"/>
      <c r="M5459" s="846"/>
      <c r="N5459" s="846"/>
      <c r="O5459" s="846"/>
      <c r="P5459" s="846"/>
      <c r="Q5459" s="846"/>
      <c r="R5459" s="846"/>
      <c r="S5459" s="846"/>
      <c r="T5459" s="846"/>
    </row>
    <row r="5460" spans="2:20" ht="63.75" hidden="1">
      <c r="B5460" s="828" t="s">
        <v>6604</v>
      </c>
      <c r="C5460" s="828">
        <v>101237</v>
      </c>
      <c r="D5460" s="630" t="s">
        <v>4412</v>
      </c>
      <c r="E5460" s="630" t="s">
        <v>644</v>
      </c>
      <c r="F5460" s="829">
        <v>21.18</v>
      </c>
      <c r="G5460" s="830">
        <v>1.85</v>
      </c>
      <c r="H5460" s="831">
        <v>23.03</v>
      </c>
      <c r="I5460" s="846"/>
      <c r="J5460" s="846"/>
      <c r="K5460" s="846"/>
      <c r="L5460" s="846"/>
      <c r="M5460" s="846"/>
      <c r="N5460" s="846"/>
      <c r="O5460" s="846"/>
      <c r="P5460" s="846"/>
      <c r="Q5460" s="846"/>
      <c r="R5460" s="846"/>
      <c r="S5460" s="846"/>
      <c r="T5460" s="846"/>
    </row>
    <row r="5461" spans="2:20" ht="63.75" hidden="1">
      <c r="B5461" s="828" t="s">
        <v>6604</v>
      </c>
      <c r="C5461" s="828">
        <v>101238</v>
      </c>
      <c r="D5461" s="630" t="s">
        <v>4413</v>
      </c>
      <c r="E5461" s="630" t="s">
        <v>644</v>
      </c>
      <c r="F5461" s="829">
        <v>26.71</v>
      </c>
      <c r="G5461" s="830">
        <v>2.2999999999999998</v>
      </c>
      <c r="H5461" s="831">
        <v>29.01</v>
      </c>
      <c r="I5461" s="846"/>
      <c r="J5461" s="846"/>
      <c r="K5461" s="846"/>
      <c r="L5461" s="846"/>
      <c r="M5461" s="846"/>
      <c r="N5461" s="846"/>
      <c r="O5461" s="846"/>
      <c r="P5461" s="846"/>
      <c r="Q5461" s="846"/>
      <c r="R5461" s="846"/>
      <c r="S5461" s="846"/>
      <c r="T5461" s="846"/>
    </row>
    <row r="5462" spans="2:20" ht="63.75" hidden="1">
      <c r="B5462" s="828" t="s">
        <v>6604</v>
      </c>
      <c r="C5462" s="828">
        <v>101239</v>
      </c>
      <c r="D5462" s="630" t="s">
        <v>4414</v>
      </c>
      <c r="E5462" s="630" t="s">
        <v>644</v>
      </c>
      <c r="F5462" s="829">
        <v>14.31</v>
      </c>
      <c r="G5462" s="830">
        <v>1.29</v>
      </c>
      <c r="H5462" s="831">
        <v>15.6</v>
      </c>
      <c r="I5462" s="846"/>
      <c r="J5462" s="846"/>
      <c r="K5462" s="846"/>
      <c r="L5462" s="846"/>
      <c r="M5462" s="846"/>
      <c r="N5462" s="846"/>
      <c r="O5462" s="846"/>
      <c r="P5462" s="846"/>
      <c r="Q5462" s="846"/>
      <c r="R5462" s="846"/>
      <c r="S5462" s="846"/>
      <c r="T5462" s="846"/>
    </row>
    <row r="5463" spans="2:20" ht="63.75" hidden="1">
      <c r="B5463" s="828" t="s">
        <v>6604</v>
      </c>
      <c r="C5463" s="828">
        <v>101240</v>
      </c>
      <c r="D5463" s="630" t="s">
        <v>4415</v>
      </c>
      <c r="E5463" s="630" t="s">
        <v>644</v>
      </c>
      <c r="F5463" s="829">
        <v>15.26</v>
      </c>
      <c r="G5463" s="830">
        <v>1.29</v>
      </c>
      <c r="H5463" s="831">
        <v>16.55</v>
      </c>
      <c r="I5463" s="846"/>
      <c r="J5463" s="846"/>
      <c r="K5463" s="846"/>
      <c r="L5463" s="846"/>
      <c r="M5463" s="846"/>
      <c r="N5463" s="846"/>
      <c r="O5463" s="846"/>
      <c r="P5463" s="846"/>
      <c r="Q5463" s="846"/>
      <c r="R5463" s="846"/>
      <c r="S5463" s="846"/>
      <c r="T5463" s="846"/>
    </row>
    <row r="5464" spans="2:20" ht="63.75" hidden="1">
      <c r="B5464" s="828" t="s">
        <v>6604</v>
      </c>
      <c r="C5464" s="828">
        <v>101241</v>
      </c>
      <c r="D5464" s="630" t="s">
        <v>4416</v>
      </c>
      <c r="E5464" s="630" t="s">
        <v>644</v>
      </c>
      <c r="F5464" s="829">
        <v>17.77</v>
      </c>
      <c r="G5464" s="830">
        <v>1.49</v>
      </c>
      <c r="H5464" s="831">
        <v>19.260000000000002</v>
      </c>
      <c r="I5464" s="846"/>
      <c r="J5464" s="846"/>
      <c r="K5464" s="846"/>
      <c r="L5464" s="846"/>
      <c r="M5464" s="846"/>
      <c r="N5464" s="846"/>
      <c r="O5464" s="846"/>
      <c r="P5464" s="846"/>
      <c r="Q5464" s="846"/>
      <c r="R5464" s="846"/>
      <c r="S5464" s="846"/>
      <c r="T5464" s="846"/>
    </row>
    <row r="5465" spans="2:20" ht="63.75" hidden="1">
      <c r="B5465" s="828" t="s">
        <v>6604</v>
      </c>
      <c r="C5465" s="828">
        <v>101242</v>
      </c>
      <c r="D5465" s="630" t="s">
        <v>4417</v>
      </c>
      <c r="E5465" s="630" t="s">
        <v>644</v>
      </c>
      <c r="F5465" s="829">
        <v>19.68</v>
      </c>
      <c r="G5465" s="830">
        <v>1.72</v>
      </c>
      <c r="H5465" s="831">
        <v>21.4</v>
      </c>
      <c r="I5465" s="846"/>
      <c r="J5465" s="846"/>
      <c r="K5465" s="846"/>
      <c r="L5465" s="846"/>
      <c r="M5465" s="846"/>
      <c r="N5465" s="846"/>
      <c r="O5465" s="846"/>
      <c r="P5465" s="846"/>
      <c r="Q5465" s="846"/>
      <c r="R5465" s="846"/>
      <c r="S5465" s="846"/>
      <c r="T5465" s="846"/>
    </row>
    <row r="5466" spans="2:20" ht="63.75" hidden="1">
      <c r="B5466" s="828" t="s">
        <v>6604</v>
      </c>
      <c r="C5466" s="828">
        <v>101243</v>
      </c>
      <c r="D5466" s="630" t="s">
        <v>4418</v>
      </c>
      <c r="E5466" s="630" t="s">
        <v>644</v>
      </c>
      <c r="F5466" s="829">
        <v>24.130000000000003</v>
      </c>
      <c r="G5466" s="830">
        <v>1.92</v>
      </c>
      <c r="H5466" s="831">
        <v>26.05</v>
      </c>
      <c r="I5466" s="846"/>
      <c r="J5466" s="846"/>
      <c r="K5466" s="846"/>
      <c r="L5466" s="846"/>
      <c r="M5466" s="846"/>
      <c r="N5466" s="846"/>
      <c r="O5466" s="846"/>
      <c r="P5466" s="846"/>
      <c r="Q5466" s="846"/>
      <c r="R5466" s="846"/>
      <c r="S5466" s="846"/>
      <c r="T5466" s="846"/>
    </row>
    <row r="5467" spans="2:20" ht="63.75" hidden="1">
      <c r="B5467" s="828" t="s">
        <v>6604</v>
      </c>
      <c r="C5467" s="828">
        <v>101244</v>
      </c>
      <c r="D5467" s="630" t="s">
        <v>4419</v>
      </c>
      <c r="E5467" s="630" t="s">
        <v>644</v>
      </c>
      <c r="F5467" s="829">
        <v>14.79</v>
      </c>
      <c r="G5467" s="830">
        <v>1.39</v>
      </c>
      <c r="H5467" s="831">
        <v>16.18</v>
      </c>
      <c r="I5467" s="846"/>
      <c r="J5467" s="846"/>
      <c r="K5467" s="846"/>
      <c r="L5467" s="846"/>
      <c r="M5467" s="846"/>
      <c r="N5467" s="846"/>
      <c r="O5467" s="846"/>
      <c r="P5467" s="846"/>
      <c r="Q5467" s="846"/>
      <c r="R5467" s="846"/>
      <c r="S5467" s="846"/>
      <c r="T5467" s="846"/>
    </row>
    <row r="5468" spans="2:20" ht="63.75" hidden="1">
      <c r="B5468" s="828" t="s">
        <v>6604</v>
      </c>
      <c r="C5468" s="828">
        <v>101245</v>
      </c>
      <c r="D5468" s="630" t="s">
        <v>4420</v>
      </c>
      <c r="E5468" s="630" t="s">
        <v>644</v>
      </c>
      <c r="F5468" s="829">
        <v>15.84</v>
      </c>
      <c r="G5468" s="830">
        <v>1.39</v>
      </c>
      <c r="H5468" s="831">
        <v>17.23</v>
      </c>
      <c r="I5468" s="846"/>
      <c r="J5468" s="846"/>
      <c r="K5468" s="846"/>
      <c r="L5468" s="846"/>
      <c r="M5468" s="846"/>
      <c r="N5468" s="846"/>
      <c r="O5468" s="846"/>
      <c r="P5468" s="846"/>
      <c r="Q5468" s="846"/>
      <c r="R5468" s="846"/>
      <c r="S5468" s="846"/>
      <c r="T5468" s="846"/>
    </row>
    <row r="5469" spans="2:20" ht="63.75" hidden="1">
      <c r="B5469" s="828" t="s">
        <v>6604</v>
      </c>
      <c r="C5469" s="828">
        <v>101246</v>
      </c>
      <c r="D5469" s="630" t="s">
        <v>4421</v>
      </c>
      <c r="E5469" s="630" t="s">
        <v>644</v>
      </c>
      <c r="F5469" s="829">
        <v>18.43</v>
      </c>
      <c r="G5469" s="830">
        <v>1.57</v>
      </c>
      <c r="H5469" s="831">
        <v>20</v>
      </c>
      <c r="I5469" s="846"/>
      <c r="J5469" s="846"/>
      <c r="K5469" s="846"/>
      <c r="L5469" s="846"/>
      <c r="M5469" s="846"/>
      <c r="N5469" s="846"/>
      <c r="O5469" s="846"/>
      <c r="P5469" s="846"/>
      <c r="Q5469" s="846"/>
      <c r="R5469" s="846"/>
      <c r="S5469" s="846"/>
      <c r="T5469" s="846"/>
    </row>
    <row r="5470" spans="2:20" ht="63.75" hidden="1">
      <c r="B5470" s="828" t="s">
        <v>6604</v>
      </c>
      <c r="C5470" s="828">
        <v>101247</v>
      </c>
      <c r="D5470" s="630" t="s">
        <v>4422</v>
      </c>
      <c r="E5470" s="630" t="s">
        <v>644</v>
      </c>
      <c r="F5470" s="829">
        <v>20.41</v>
      </c>
      <c r="G5470" s="830">
        <v>1.74</v>
      </c>
      <c r="H5470" s="831">
        <v>22.15</v>
      </c>
      <c r="I5470" s="846"/>
      <c r="J5470" s="846"/>
      <c r="K5470" s="846"/>
      <c r="L5470" s="846"/>
      <c r="M5470" s="846"/>
      <c r="N5470" s="846"/>
      <c r="O5470" s="846"/>
      <c r="P5470" s="846"/>
      <c r="Q5470" s="846"/>
      <c r="R5470" s="846"/>
      <c r="S5470" s="846"/>
      <c r="T5470" s="846"/>
    </row>
    <row r="5471" spans="2:20" ht="63.75" hidden="1">
      <c r="B5471" s="828" t="s">
        <v>6604</v>
      </c>
      <c r="C5471" s="828">
        <v>101248</v>
      </c>
      <c r="D5471" s="630" t="s">
        <v>4423</v>
      </c>
      <c r="E5471" s="630" t="s">
        <v>644</v>
      </c>
      <c r="F5471" s="829">
        <v>25.67</v>
      </c>
      <c r="G5471" s="830">
        <v>2.08</v>
      </c>
      <c r="H5471" s="831">
        <v>27.75</v>
      </c>
      <c r="I5471" s="846"/>
      <c r="J5471" s="846"/>
      <c r="K5471" s="846"/>
      <c r="L5471" s="846"/>
      <c r="M5471" s="846"/>
      <c r="N5471" s="846"/>
      <c r="O5471" s="846"/>
      <c r="P5471" s="846"/>
      <c r="Q5471" s="846"/>
      <c r="R5471" s="846"/>
      <c r="S5471" s="846"/>
      <c r="T5471" s="846"/>
    </row>
    <row r="5472" spans="2:20" ht="63.75" hidden="1">
      <c r="B5472" s="828" t="s">
        <v>6604</v>
      </c>
      <c r="C5472" s="828">
        <v>101249</v>
      </c>
      <c r="D5472" s="630" t="s">
        <v>4424</v>
      </c>
      <c r="E5472" s="630" t="s">
        <v>644</v>
      </c>
      <c r="F5472" s="829">
        <v>13.21</v>
      </c>
      <c r="G5472" s="830">
        <v>1.0900000000000001</v>
      </c>
      <c r="H5472" s="831">
        <v>14.3</v>
      </c>
      <c r="I5472" s="846"/>
      <c r="J5472" s="846"/>
      <c r="K5472" s="846"/>
      <c r="L5472" s="846"/>
      <c r="M5472" s="846"/>
      <c r="N5472" s="846"/>
      <c r="O5472" s="846"/>
      <c r="P5472" s="846"/>
      <c r="Q5472" s="846"/>
      <c r="R5472" s="846"/>
      <c r="S5472" s="846"/>
      <c r="T5472" s="846"/>
    </row>
    <row r="5473" spans="2:20" ht="63.75" hidden="1">
      <c r="B5473" s="828" t="s">
        <v>6604</v>
      </c>
      <c r="C5473" s="828">
        <v>101250</v>
      </c>
      <c r="D5473" s="630" t="s">
        <v>4425</v>
      </c>
      <c r="E5473" s="630" t="s">
        <v>644</v>
      </c>
      <c r="F5473" s="829">
        <v>14.55</v>
      </c>
      <c r="G5473" s="830">
        <v>1.25</v>
      </c>
      <c r="H5473" s="831">
        <v>15.8</v>
      </c>
      <c r="I5473" s="846"/>
      <c r="J5473" s="846"/>
      <c r="K5473" s="846"/>
      <c r="L5473" s="846"/>
      <c r="M5473" s="846"/>
      <c r="N5473" s="846"/>
      <c r="O5473" s="846"/>
      <c r="P5473" s="846"/>
      <c r="Q5473" s="846"/>
      <c r="R5473" s="846"/>
      <c r="S5473" s="846"/>
      <c r="T5473" s="846"/>
    </row>
    <row r="5474" spans="2:20" ht="63.75" hidden="1">
      <c r="B5474" s="828" t="s">
        <v>6604</v>
      </c>
      <c r="C5474" s="828">
        <v>101251</v>
      </c>
      <c r="D5474" s="630" t="s">
        <v>4426</v>
      </c>
      <c r="E5474" s="630" t="s">
        <v>644</v>
      </c>
      <c r="F5474" s="829">
        <v>16.759999999999998</v>
      </c>
      <c r="G5474" s="830">
        <v>1.37</v>
      </c>
      <c r="H5474" s="831">
        <v>18.13</v>
      </c>
      <c r="I5474" s="846"/>
      <c r="J5474" s="846"/>
      <c r="K5474" s="846"/>
      <c r="L5474" s="846"/>
      <c r="M5474" s="846"/>
      <c r="N5474" s="846"/>
      <c r="O5474" s="846"/>
      <c r="P5474" s="846"/>
      <c r="Q5474" s="846"/>
      <c r="R5474" s="846"/>
      <c r="S5474" s="846"/>
      <c r="T5474" s="846"/>
    </row>
    <row r="5475" spans="2:20" ht="63.75" hidden="1">
      <c r="B5475" s="828" t="s">
        <v>6604</v>
      </c>
      <c r="C5475" s="828">
        <v>101252</v>
      </c>
      <c r="D5475" s="630" t="s">
        <v>4427</v>
      </c>
      <c r="E5475" s="630" t="s">
        <v>644</v>
      </c>
      <c r="F5475" s="829">
        <v>18.23</v>
      </c>
      <c r="G5475" s="830">
        <v>1.4</v>
      </c>
      <c r="H5475" s="831">
        <v>19.63</v>
      </c>
      <c r="I5475" s="846"/>
      <c r="J5475" s="846"/>
      <c r="K5475" s="846"/>
      <c r="L5475" s="846"/>
      <c r="M5475" s="846"/>
      <c r="N5475" s="846"/>
      <c r="O5475" s="846"/>
      <c r="P5475" s="846"/>
      <c r="Q5475" s="846"/>
      <c r="R5475" s="846"/>
      <c r="S5475" s="846"/>
      <c r="T5475" s="846"/>
    </row>
    <row r="5476" spans="2:20" ht="63.75" hidden="1">
      <c r="B5476" s="828" t="s">
        <v>6604</v>
      </c>
      <c r="C5476" s="828">
        <v>101253</v>
      </c>
      <c r="D5476" s="630" t="s">
        <v>4428</v>
      </c>
      <c r="E5476" s="630" t="s">
        <v>644</v>
      </c>
      <c r="F5476" s="829">
        <v>22.98</v>
      </c>
      <c r="G5476" s="830">
        <v>1.72</v>
      </c>
      <c r="H5476" s="831">
        <v>24.7</v>
      </c>
      <c r="I5476" s="846"/>
      <c r="J5476" s="846"/>
      <c r="K5476" s="846"/>
      <c r="L5476" s="846"/>
      <c r="M5476" s="846"/>
      <c r="N5476" s="846"/>
      <c r="O5476" s="846"/>
      <c r="P5476" s="846"/>
      <c r="Q5476" s="846"/>
      <c r="R5476" s="846"/>
      <c r="S5476" s="846"/>
      <c r="T5476" s="846"/>
    </row>
    <row r="5477" spans="2:20" ht="63.75" hidden="1">
      <c r="B5477" s="828" t="s">
        <v>6604</v>
      </c>
      <c r="C5477" s="828">
        <v>101254</v>
      </c>
      <c r="D5477" s="630" t="s">
        <v>4429</v>
      </c>
      <c r="E5477" s="630" t="s">
        <v>644</v>
      </c>
      <c r="F5477" s="829">
        <v>11.65</v>
      </c>
      <c r="G5477" s="830">
        <v>1.55</v>
      </c>
      <c r="H5477" s="831">
        <v>13.2</v>
      </c>
      <c r="I5477" s="846"/>
      <c r="J5477" s="846"/>
      <c r="K5477" s="846"/>
      <c r="L5477" s="846"/>
      <c r="M5477" s="846"/>
      <c r="N5477" s="846"/>
      <c r="O5477" s="846"/>
      <c r="P5477" s="846"/>
      <c r="Q5477" s="846"/>
      <c r="R5477" s="846"/>
      <c r="S5477" s="846"/>
      <c r="T5477" s="846"/>
    </row>
    <row r="5478" spans="2:20" ht="63.75" hidden="1">
      <c r="B5478" s="828" t="s">
        <v>6604</v>
      </c>
      <c r="C5478" s="828">
        <v>101255</v>
      </c>
      <c r="D5478" s="630" t="s">
        <v>4430</v>
      </c>
      <c r="E5478" s="630" t="s">
        <v>644</v>
      </c>
      <c r="F5478" s="829">
        <v>10.54</v>
      </c>
      <c r="G5478" s="830">
        <v>1.23</v>
      </c>
      <c r="H5478" s="831">
        <v>11.77</v>
      </c>
      <c r="I5478" s="846"/>
      <c r="J5478" s="846"/>
      <c r="K5478" s="846"/>
      <c r="L5478" s="846"/>
      <c r="M5478" s="846"/>
      <c r="N5478" s="846"/>
      <c r="O5478" s="846"/>
      <c r="P5478" s="846"/>
      <c r="Q5478" s="846"/>
      <c r="R5478" s="846"/>
      <c r="S5478" s="846"/>
      <c r="T5478" s="846"/>
    </row>
    <row r="5479" spans="2:20" ht="63.75" hidden="1">
      <c r="B5479" s="828" t="s">
        <v>6604</v>
      </c>
      <c r="C5479" s="828">
        <v>101256</v>
      </c>
      <c r="D5479" s="630" t="s">
        <v>4431</v>
      </c>
      <c r="E5479" s="630" t="s">
        <v>644</v>
      </c>
      <c r="F5479" s="829">
        <v>18.14</v>
      </c>
      <c r="G5479" s="830">
        <v>2.16</v>
      </c>
      <c r="H5479" s="831">
        <v>20.3</v>
      </c>
      <c r="I5479" s="846"/>
      <c r="J5479" s="846"/>
      <c r="K5479" s="846"/>
      <c r="L5479" s="846"/>
      <c r="M5479" s="846"/>
      <c r="N5479" s="846"/>
      <c r="O5479" s="846"/>
      <c r="P5479" s="846"/>
      <c r="Q5479" s="846"/>
      <c r="R5479" s="846"/>
      <c r="S5479" s="846"/>
      <c r="T5479" s="846"/>
    </row>
    <row r="5480" spans="2:20" ht="63.75" hidden="1">
      <c r="B5480" s="828" t="s">
        <v>6604</v>
      </c>
      <c r="C5480" s="828">
        <v>101257</v>
      </c>
      <c r="D5480" s="630" t="s">
        <v>4432</v>
      </c>
      <c r="E5480" s="630" t="s">
        <v>644</v>
      </c>
      <c r="F5480" s="829">
        <v>19.350000000000001</v>
      </c>
      <c r="G5480" s="830">
        <v>2.15</v>
      </c>
      <c r="H5480" s="831">
        <v>21.5</v>
      </c>
      <c r="I5480" s="846"/>
      <c r="J5480" s="846"/>
      <c r="K5480" s="846"/>
      <c r="L5480" s="846"/>
      <c r="M5480" s="846"/>
      <c r="N5480" s="846"/>
      <c r="O5480" s="846"/>
      <c r="P5480" s="846"/>
      <c r="Q5480" s="846"/>
      <c r="R5480" s="846"/>
      <c r="S5480" s="846"/>
      <c r="T5480" s="846"/>
    </row>
    <row r="5481" spans="2:20" ht="63.75" hidden="1">
      <c r="B5481" s="828" t="s">
        <v>6604</v>
      </c>
      <c r="C5481" s="828">
        <v>101258</v>
      </c>
      <c r="D5481" s="630" t="s">
        <v>4433</v>
      </c>
      <c r="E5481" s="630" t="s">
        <v>644</v>
      </c>
      <c r="F5481" s="829">
        <v>22.439999999999998</v>
      </c>
      <c r="G5481" s="830">
        <v>2.4500000000000002</v>
      </c>
      <c r="H5481" s="831">
        <v>24.89</v>
      </c>
      <c r="I5481" s="846"/>
      <c r="J5481" s="846"/>
      <c r="K5481" s="846"/>
      <c r="L5481" s="846"/>
      <c r="M5481" s="846"/>
      <c r="N5481" s="846"/>
      <c r="O5481" s="846"/>
      <c r="P5481" s="846"/>
      <c r="Q5481" s="846"/>
      <c r="R5481" s="846"/>
      <c r="S5481" s="846"/>
      <c r="T5481" s="846"/>
    </row>
    <row r="5482" spans="2:20" ht="63.75" hidden="1">
      <c r="B5482" s="828" t="s">
        <v>6604</v>
      </c>
      <c r="C5482" s="828">
        <v>101259</v>
      </c>
      <c r="D5482" s="630" t="s">
        <v>4434</v>
      </c>
      <c r="E5482" s="630" t="s">
        <v>644</v>
      </c>
      <c r="F5482" s="829">
        <v>24.8</v>
      </c>
      <c r="G5482" s="830">
        <v>2.75</v>
      </c>
      <c r="H5482" s="831">
        <v>27.55</v>
      </c>
      <c r="I5482" s="846"/>
      <c r="J5482" s="846"/>
      <c r="K5482" s="846"/>
      <c r="L5482" s="846"/>
      <c r="M5482" s="846"/>
      <c r="N5482" s="846"/>
      <c r="O5482" s="846"/>
      <c r="P5482" s="846"/>
      <c r="Q5482" s="846"/>
      <c r="R5482" s="846"/>
      <c r="S5482" s="846"/>
      <c r="T5482" s="846"/>
    </row>
    <row r="5483" spans="2:20" ht="63.75" hidden="1">
      <c r="B5483" s="828" t="s">
        <v>6604</v>
      </c>
      <c r="C5483" s="828">
        <v>101260</v>
      </c>
      <c r="D5483" s="630" t="s">
        <v>4435</v>
      </c>
      <c r="E5483" s="630" t="s">
        <v>644</v>
      </c>
      <c r="F5483" s="829">
        <v>31.03</v>
      </c>
      <c r="G5483" s="830">
        <v>3.35</v>
      </c>
      <c r="H5483" s="831">
        <v>34.380000000000003</v>
      </c>
      <c r="I5483" s="846"/>
      <c r="J5483" s="846"/>
      <c r="K5483" s="846"/>
      <c r="L5483" s="846"/>
      <c r="M5483" s="846"/>
      <c r="N5483" s="846"/>
      <c r="O5483" s="846"/>
      <c r="P5483" s="846"/>
      <c r="Q5483" s="846"/>
      <c r="R5483" s="846"/>
      <c r="S5483" s="846"/>
      <c r="T5483" s="846"/>
    </row>
    <row r="5484" spans="2:20" ht="63.75" hidden="1">
      <c r="B5484" s="828" t="s">
        <v>6604</v>
      </c>
      <c r="C5484" s="828">
        <v>101261</v>
      </c>
      <c r="D5484" s="630" t="s">
        <v>4436</v>
      </c>
      <c r="E5484" s="630" t="s">
        <v>644</v>
      </c>
      <c r="F5484" s="829">
        <v>17.27</v>
      </c>
      <c r="G5484" s="830">
        <v>1.95</v>
      </c>
      <c r="H5484" s="831">
        <v>19.22</v>
      </c>
      <c r="I5484" s="846"/>
      <c r="J5484" s="846"/>
      <c r="K5484" s="846"/>
      <c r="L5484" s="846"/>
      <c r="M5484" s="846"/>
      <c r="N5484" s="846"/>
      <c r="O5484" s="846"/>
      <c r="P5484" s="846"/>
      <c r="Q5484" s="846"/>
      <c r="R5484" s="846"/>
      <c r="S5484" s="846"/>
      <c r="T5484" s="846"/>
    </row>
    <row r="5485" spans="2:20" ht="63.75" hidden="1">
      <c r="B5485" s="828" t="s">
        <v>6604</v>
      </c>
      <c r="C5485" s="828">
        <v>101262</v>
      </c>
      <c r="D5485" s="630" t="s">
        <v>4437</v>
      </c>
      <c r="E5485" s="630" t="s">
        <v>644</v>
      </c>
      <c r="F5485" s="829">
        <v>18.450000000000003</v>
      </c>
      <c r="G5485" s="830">
        <v>1.95</v>
      </c>
      <c r="H5485" s="831">
        <v>20.399999999999999</v>
      </c>
      <c r="I5485" s="846"/>
      <c r="J5485" s="846"/>
      <c r="K5485" s="846"/>
      <c r="L5485" s="846"/>
      <c r="M5485" s="846"/>
      <c r="N5485" s="846"/>
      <c r="O5485" s="846"/>
      <c r="P5485" s="846"/>
      <c r="Q5485" s="846"/>
      <c r="R5485" s="846"/>
      <c r="S5485" s="846"/>
      <c r="T5485" s="846"/>
    </row>
    <row r="5486" spans="2:20" ht="63.75" hidden="1">
      <c r="B5486" s="828" t="s">
        <v>6604</v>
      </c>
      <c r="C5486" s="828">
        <v>101263</v>
      </c>
      <c r="D5486" s="630" t="s">
        <v>4438</v>
      </c>
      <c r="E5486" s="630" t="s">
        <v>644</v>
      </c>
      <c r="F5486" s="829">
        <v>21.4</v>
      </c>
      <c r="G5486" s="830">
        <v>2.19</v>
      </c>
      <c r="H5486" s="831">
        <v>23.59</v>
      </c>
      <c r="I5486" s="846"/>
      <c r="J5486" s="846"/>
      <c r="K5486" s="846"/>
      <c r="L5486" s="846"/>
      <c r="M5486" s="846"/>
      <c r="N5486" s="846"/>
      <c r="O5486" s="846"/>
      <c r="P5486" s="846"/>
      <c r="Q5486" s="846"/>
      <c r="R5486" s="846"/>
      <c r="S5486" s="846"/>
      <c r="T5486" s="846"/>
    </row>
    <row r="5487" spans="2:20" ht="63.75" hidden="1">
      <c r="B5487" s="828" t="s">
        <v>6604</v>
      </c>
      <c r="C5487" s="828">
        <v>101264</v>
      </c>
      <c r="D5487" s="630" t="s">
        <v>4439</v>
      </c>
      <c r="E5487" s="630" t="s">
        <v>644</v>
      </c>
      <c r="F5487" s="829">
        <v>23.66</v>
      </c>
      <c r="G5487" s="830">
        <v>2.4300000000000002</v>
      </c>
      <c r="H5487" s="831">
        <v>26.09</v>
      </c>
      <c r="I5487" s="846"/>
      <c r="J5487" s="846"/>
      <c r="K5487" s="846"/>
      <c r="L5487" s="846"/>
      <c r="M5487" s="846"/>
      <c r="N5487" s="846"/>
      <c r="O5487" s="846"/>
      <c r="P5487" s="846"/>
      <c r="Q5487" s="846"/>
      <c r="R5487" s="846"/>
      <c r="S5487" s="846"/>
      <c r="T5487" s="846"/>
    </row>
    <row r="5488" spans="2:20" ht="63.75" hidden="1">
      <c r="B5488" s="828" t="s">
        <v>6604</v>
      </c>
      <c r="C5488" s="828">
        <v>101265</v>
      </c>
      <c r="D5488" s="630" t="s">
        <v>4440</v>
      </c>
      <c r="E5488" s="630" t="s">
        <v>644</v>
      </c>
      <c r="F5488" s="829">
        <v>29.64</v>
      </c>
      <c r="G5488" s="830">
        <v>2.9</v>
      </c>
      <c r="H5488" s="831">
        <v>32.54</v>
      </c>
      <c r="I5488" s="846"/>
      <c r="J5488" s="846"/>
      <c r="K5488" s="846"/>
      <c r="L5488" s="846"/>
      <c r="M5488" s="846"/>
      <c r="N5488" s="846"/>
      <c r="O5488" s="846"/>
      <c r="P5488" s="846"/>
      <c r="Q5488" s="846"/>
      <c r="R5488" s="846"/>
      <c r="S5488" s="846"/>
      <c r="T5488" s="846"/>
    </row>
    <row r="5489" spans="2:20" ht="63.75" hidden="1">
      <c r="B5489" s="828" t="s">
        <v>6604</v>
      </c>
      <c r="C5489" s="828">
        <v>101266</v>
      </c>
      <c r="D5489" s="630" t="s">
        <v>4441</v>
      </c>
      <c r="E5489" s="630" t="s">
        <v>644</v>
      </c>
      <c r="F5489" s="829">
        <v>10.46</v>
      </c>
      <c r="G5489" s="830">
        <v>1.32</v>
      </c>
      <c r="H5489" s="831">
        <v>11.78</v>
      </c>
      <c r="I5489" s="846"/>
      <c r="J5489" s="846"/>
      <c r="K5489" s="846"/>
      <c r="L5489" s="846"/>
      <c r="M5489" s="846"/>
      <c r="N5489" s="846"/>
      <c r="O5489" s="846"/>
      <c r="P5489" s="846"/>
      <c r="Q5489" s="846"/>
      <c r="R5489" s="846"/>
      <c r="S5489" s="846"/>
      <c r="T5489" s="846"/>
    </row>
    <row r="5490" spans="2:20" ht="63.75" hidden="1">
      <c r="B5490" s="828" t="s">
        <v>6604</v>
      </c>
      <c r="C5490" s="828">
        <v>101267</v>
      </c>
      <c r="D5490" s="630" t="s">
        <v>4442</v>
      </c>
      <c r="E5490" s="630" t="s">
        <v>644</v>
      </c>
      <c r="F5490" s="829">
        <v>10</v>
      </c>
      <c r="G5490" s="830">
        <v>1.26</v>
      </c>
      <c r="H5490" s="831">
        <v>11.26</v>
      </c>
      <c r="I5490" s="846"/>
      <c r="J5490" s="846"/>
      <c r="K5490" s="846"/>
      <c r="L5490" s="846"/>
      <c r="M5490" s="846"/>
      <c r="N5490" s="846"/>
      <c r="O5490" s="846"/>
      <c r="P5490" s="846"/>
      <c r="Q5490" s="846"/>
      <c r="R5490" s="846"/>
      <c r="S5490" s="846"/>
      <c r="T5490" s="846"/>
    </row>
    <row r="5491" spans="2:20" ht="63.75" hidden="1">
      <c r="B5491" s="828" t="s">
        <v>6604</v>
      </c>
      <c r="C5491" s="828">
        <v>101268</v>
      </c>
      <c r="D5491" s="630" t="s">
        <v>4443</v>
      </c>
      <c r="E5491" s="630" t="s">
        <v>644</v>
      </c>
      <c r="F5491" s="829">
        <v>16.75</v>
      </c>
      <c r="G5491" s="830">
        <v>1.82</v>
      </c>
      <c r="H5491" s="831">
        <v>18.57</v>
      </c>
      <c r="I5491" s="846"/>
      <c r="J5491" s="846"/>
      <c r="K5491" s="846"/>
      <c r="L5491" s="846"/>
      <c r="M5491" s="846"/>
      <c r="N5491" s="846"/>
      <c r="O5491" s="846"/>
      <c r="P5491" s="846"/>
      <c r="Q5491" s="846"/>
      <c r="R5491" s="846"/>
      <c r="S5491" s="846"/>
      <c r="T5491" s="846"/>
    </row>
    <row r="5492" spans="2:20" ht="63.75" hidden="1">
      <c r="B5492" s="828" t="s">
        <v>6604</v>
      </c>
      <c r="C5492" s="828">
        <v>101269</v>
      </c>
      <c r="D5492" s="630" t="s">
        <v>4444</v>
      </c>
      <c r="E5492" s="630" t="s">
        <v>644</v>
      </c>
      <c r="F5492" s="829">
        <v>18.48</v>
      </c>
      <c r="G5492" s="830">
        <v>2.0699999999999998</v>
      </c>
      <c r="H5492" s="831">
        <v>20.55</v>
      </c>
      <c r="I5492" s="846"/>
      <c r="J5492" s="846"/>
      <c r="K5492" s="846"/>
      <c r="L5492" s="846"/>
      <c r="M5492" s="846"/>
      <c r="N5492" s="846"/>
      <c r="O5492" s="846"/>
      <c r="P5492" s="846"/>
      <c r="Q5492" s="846"/>
      <c r="R5492" s="846"/>
      <c r="S5492" s="846"/>
      <c r="T5492" s="846"/>
    </row>
    <row r="5493" spans="2:20" ht="63.75" hidden="1">
      <c r="B5493" s="828" t="s">
        <v>6604</v>
      </c>
      <c r="C5493" s="828">
        <v>101270</v>
      </c>
      <c r="D5493" s="630" t="s">
        <v>4445</v>
      </c>
      <c r="E5493" s="630" t="s">
        <v>644</v>
      </c>
      <c r="F5493" s="829">
        <v>21.490000000000002</v>
      </c>
      <c r="G5493" s="830">
        <v>2.3199999999999998</v>
      </c>
      <c r="H5493" s="831">
        <v>23.81</v>
      </c>
      <c r="I5493" s="846"/>
      <c r="J5493" s="846"/>
      <c r="K5493" s="846"/>
      <c r="L5493" s="846"/>
      <c r="M5493" s="846"/>
      <c r="N5493" s="846"/>
      <c r="O5493" s="846"/>
      <c r="P5493" s="846"/>
      <c r="Q5493" s="846"/>
      <c r="R5493" s="846"/>
      <c r="S5493" s="846"/>
      <c r="T5493" s="846"/>
    </row>
    <row r="5494" spans="2:20" ht="63.75" hidden="1">
      <c r="B5494" s="828" t="s">
        <v>6604</v>
      </c>
      <c r="C5494" s="828">
        <v>101271</v>
      </c>
      <c r="D5494" s="630" t="s">
        <v>4446</v>
      </c>
      <c r="E5494" s="630" t="s">
        <v>644</v>
      </c>
      <c r="F5494" s="829">
        <v>23.75</v>
      </c>
      <c r="G5494" s="830">
        <v>2.59</v>
      </c>
      <c r="H5494" s="831">
        <v>26.34</v>
      </c>
      <c r="I5494" s="846"/>
      <c r="J5494" s="846"/>
      <c r="K5494" s="846"/>
      <c r="L5494" s="846"/>
      <c r="M5494" s="846"/>
      <c r="N5494" s="846"/>
      <c r="O5494" s="846"/>
      <c r="P5494" s="846"/>
      <c r="Q5494" s="846"/>
      <c r="R5494" s="846"/>
      <c r="S5494" s="846"/>
      <c r="T5494" s="846"/>
    </row>
    <row r="5495" spans="2:20" ht="63.75" hidden="1">
      <c r="B5495" s="828" t="s">
        <v>6604</v>
      </c>
      <c r="C5495" s="828">
        <v>101272</v>
      </c>
      <c r="D5495" s="630" t="s">
        <v>4447</v>
      </c>
      <c r="E5495" s="630" t="s">
        <v>644</v>
      </c>
      <c r="F5495" s="829">
        <v>29.799999999999997</v>
      </c>
      <c r="G5495" s="830">
        <v>3.09</v>
      </c>
      <c r="H5495" s="831">
        <v>32.89</v>
      </c>
      <c r="I5495" s="846"/>
      <c r="J5495" s="846"/>
      <c r="K5495" s="846"/>
      <c r="L5495" s="846"/>
      <c r="M5495" s="846"/>
      <c r="N5495" s="846"/>
      <c r="O5495" s="846"/>
      <c r="P5495" s="846"/>
      <c r="Q5495" s="846"/>
      <c r="R5495" s="846"/>
      <c r="S5495" s="846"/>
      <c r="T5495" s="846"/>
    </row>
    <row r="5496" spans="2:20" ht="63.75" hidden="1">
      <c r="B5496" s="828" t="s">
        <v>6604</v>
      </c>
      <c r="C5496" s="828">
        <v>101273</v>
      </c>
      <c r="D5496" s="630" t="s">
        <v>4448</v>
      </c>
      <c r="E5496" s="630" t="s">
        <v>644</v>
      </c>
      <c r="F5496" s="829">
        <v>16.11</v>
      </c>
      <c r="G5496" s="830">
        <v>1.66</v>
      </c>
      <c r="H5496" s="831">
        <v>17.77</v>
      </c>
      <c r="I5496" s="846"/>
      <c r="J5496" s="846"/>
      <c r="K5496" s="846"/>
      <c r="L5496" s="846"/>
      <c r="M5496" s="846"/>
      <c r="N5496" s="846"/>
      <c r="O5496" s="846"/>
      <c r="P5496" s="846"/>
      <c r="Q5496" s="846"/>
      <c r="R5496" s="846"/>
      <c r="S5496" s="846"/>
      <c r="T5496" s="846"/>
    </row>
    <row r="5497" spans="2:20" ht="63.75" hidden="1">
      <c r="B5497" s="828" t="s">
        <v>6604</v>
      </c>
      <c r="C5497" s="828">
        <v>101274</v>
      </c>
      <c r="D5497" s="630" t="s">
        <v>4449</v>
      </c>
      <c r="E5497" s="630" t="s">
        <v>644</v>
      </c>
      <c r="F5497" s="829">
        <v>17.71</v>
      </c>
      <c r="G5497" s="830">
        <v>1.86</v>
      </c>
      <c r="H5497" s="831">
        <v>19.57</v>
      </c>
      <c r="I5497" s="846"/>
      <c r="J5497" s="846"/>
      <c r="K5497" s="846"/>
      <c r="L5497" s="846"/>
      <c r="M5497" s="846"/>
      <c r="N5497" s="846"/>
      <c r="O5497" s="846"/>
      <c r="P5497" s="846"/>
      <c r="Q5497" s="846"/>
      <c r="R5497" s="846"/>
      <c r="S5497" s="846"/>
      <c r="T5497" s="846"/>
    </row>
    <row r="5498" spans="2:20" ht="63.75" hidden="1">
      <c r="B5498" s="828" t="s">
        <v>6604</v>
      </c>
      <c r="C5498" s="828">
        <v>101275</v>
      </c>
      <c r="D5498" s="630" t="s">
        <v>4450</v>
      </c>
      <c r="E5498" s="630" t="s">
        <v>644</v>
      </c>
      <c r="F5498" s="829">
        <v>20.62</v>
      </c>
      <c r="G5498" s="830">
        <v>2.06</v>
      </c>
      <c r="H5498" s="831">
        <v>22.68</v>
      </c>
      <c r="I5498" s="846"/>
      <c r="J5498" s="846"/>
      <c r="K5498" s="846"/>
      <c r="L5498" s="846"/>
      <c r="M5498" s="846"/>
      <c r="N5498" s="846"/>
      <c r="O5498" s="846"/>
      <c r="P5498" s="846"/>
      <c r="Q5498" s="846"/>
      <c r="R5498" s="846"/>
      <c r="S5498" s="846"/>
      <c r="T5498" s="846"/>
    </row>
    <row r="5499" spans="2:20" ht="63.75" hidden="1">
      <c r="B5499" s="828" t="s">
        <v>6604</v>
      </c>
      <c r="C5499" s="828">
        <v>101276</v>
      </c>
      <c r="D5499" s="630" t="s">
        <v>4451</v>
      </c>
      <c r="E5499" s="630" t="s">
        <v>644</v>
      </c>
      <c r="F5499" s="829">
        <v>22.77</v>
      </c>
      <c r="G5499" s="830">
        <v>2.27</v>
      </c>
      <c r="H5499" s="831">
        <v>25.04</v>
      </c>
      <c r="I5499" s="846"/>
      <c r="J5499" s="846"/>
      <c r="K5499" s="846"/>
      <c r="L5499" s="846"/>
      <c r="M5499" s="846"/>
      <c r="N5499" s="846"/>
      <c r="O5499" s="846"/>
      <c r="P5499" s="846"/>
      <c r="Q5499" s="846"/>
      <c r="R5499" s="846"/>
      <c r="S5499" s="846"/>
      <c r="T5499" s="846"/>
    </row>
    <row r="5500" spans="2:20" ht="63.75" hidden="1">
      <c r="B5500" s="828" t="s">
        <v>6604</v>
      </c>
      <c r="C5500" s="828">
        <v>101277</v>
      </c>
      <c r="D5500" s="630" t="s">
        <v>4452</v>
      </c>
      <c r="E5500" s="630" t="s">
        <v>644</v>
      </c>
      <c r="F5500" s="829">
        <v>29.019999999999996</v>
      </c>
      <c r="G5500" s="830">
        <v>2.88</v>
      </c>
      <c r="H5500" s="831">
        <v>31.9</v>
      </c>
      <c r="I5500" s="846"/>
      <c r="J5500" s="846"/>
      <c r="K5500" s="846"/>
      <c r="L5500" s="846"/>
      <c r="M5500" s="846"/>
      <c r="N5500" s="846"/>
      <c r="O5500" s="846"/>
      <c r="P5500" s="846"/>
      <c r="Q5500" s="846"/>
      <c r="R5500" s="846"/>
      <c r="S5500" s="846"/>
      <c r="T5500" s="846"/>
    </row>
    <row r="5501" spans="2:20" ht="38.25" hidden="1">
      <c r="B5501" s="828" t="s">
        <v>6604</v>
      </c>
      <c r="C5501" s="828">
        <v>102354</v>
      </c>
      <c r="D5501" s="630" t="s">
        <v>6169</v>
      </c>
      <c r="E5501" s="630" t="s">
        <v>644</v>
      </c>
      <c r="F5501" s="829">
        <v>114.42999999999999</v>
      </c>
      <c r="G5501" s="830">
        <v>48.81</v>
      </c>
      <c r="H5501" s="831">
        <v>163.24</v>
      </c>
      <c r="I5501" s="846"/>
      <c r="J5501" s="846"/>
      <c r="K5501" s="846"/>
      <c r="L5501" s="846"/>
      <c r="M5501" s="846"/>
      <c r="N5501" s="846"/>
      <c r="O5501" s="846"/>
      <c r="P5501" s="846"/>
      <c r="Q5501" s="846"/>
      <c r="R5501" s="846"/>
      <c r="S5501" s="846"/>
      <c r="T5501" s="846"/>
    </row>
    <row r="5502" spans="2:20" ht="38.25" hidden="1">
      <c r="B5502" s="828" t="s">
        <v>6604</v>
      </c>
      <c r="C5502" s="828">
        <v>102355</v>
      </c>
      <c r="D5502" s="630" t="s">
        <v>6170</v>
      </c>
      <c r="E5502" s="630" t="s">
        <v>644</v>
      </c>
      <c r="F5502" s="829">
        <v>123.98</v>
      </c>
      <c r="G5502" s="830">
        <v>65.16</v>
      </c>
      <c r="H5502" s="831">
        <v>189.14</v>
      </c>
      <c r="I5502" s="846"/>
      <c r="J5502" s="846"/>
      <c r="K5502" s="846"/>
      <c r="L5502" s="846"/>
      <c r="M5502" s="846"/>
      <c r="N5502" s="846"/>
      <c r="O5502" s="846"/>
      <c r="P5502" s="846"/>
      <c r="Q5502" s="846"/>
      <c r="R5502" s="846"/>
      <c r="S5502" s="846"/>
      <c r="T5502" s="846"/>
    </row>
    <row r="5503" spans="2:20" ht="38.25" hidden="1">
      <c r="B5503" s="828" t="s">
        <v>6604</v>
      </c>
      <c r="C5503" s="828">
        <v>102360</v>
      </c>
      <c r="D5503" s="630" t="s">
        <v>6171</v>
      </c>
      <c r="E5503" s="630" t="s">
        <v>644</v>
      </c>
      <c r="F5503" s="829">
        <v>18.96</v>
      </c>
      <c r="G5503" s="830">
        <v>5.92</v>
      </c>
      <c r="H5503" s="831">
        <v>24.88</v>
      </c>
      <c r="I5503" s="846"/>
      <c r="J5503" s="846"/>
      <c r="K5503" s="846"/>
      <c r="L5503" s="846"/>
      <c r="M5503" s="846"/>
      <c r="N5503" s="846"/>
      <c r="O5503" s="846"/>
      <c r="P5503" s="846"/>
      <c r="Q5503" s="846"/>
      <c r="R5503" s="846"/>
      <c r="S5503" s="846"/>
      <c r="T5503" s="846"/>
    </row>
    <row r="5504" spans="2:20" ht="38.25" hidden="1">
      <c r="B5504" s="828" t="s">
        <v>6604</v>
      </c>
      <c r="C5504" s="828">
        <v>102361</v>
      </c>
      <c r="D5504" s="630" t="s">
        <v>6172</v>
      </c>
      <c r="E5504" s="630" t="s">
        <v>644</v>
      </c>
      <c r="F5504" s="829">
        <v>24.11</v>
      </c>
      <c r="G5504" s="830">
        <v>12.65</v>
      </c>
      <c r="H5504" s="831">
        <v>36.76</v>
      </c>
      <c r="I5504" s="846"/>
      <c r="J5504" s="846"/>
      <c r="K5504" s="846"/>
      <c r="L5504" s="846"/>
      <c r="M5504" s="846"/>
      <c r="N5504" s="846"/>
      <c r="O5504" s="846"/>
      <c r="P5504" s="846"/>
      <c r="Q5504" s="846"/>
      <c r="R5504" s="846"/>
      <c r="S5504" s="846"/>
      <c r="T5504" s="846"/>
    </row>
    <row r="5505" spans="2:20" ht="51" hidden="1">
      <c r="B5505" s="828" t="s">
        <v>6553</v>
      </c>
      <c r="C5505" s="828">
        <v>90082</v>
      </c>
      <c r="D5505" s="630" t="s">
        <v>5404</v>
      </c>
      <c r="E5505" s="630" t="s">
        <v>644</v>
      </c>
      <c r="F5505" s="829">
        <v>9.39</v>
      </c>
      <c r="G5505" s="830">
        <v>2.79</v>
      </c>
      <c r="H5505" s="831">
        <v>12.18</v>
      </c>
      <c r="I5505" s="846"/>
      <c r="J5505" s="846"/>
      <c r="K5505" s="846"/>
      <c r="L5505" s="846"/>
      <c r="M5505" s="846"/>
      <c r="N5505" s="846"/>
      <c r="O5505" s="846"/>
      <c r="P5505" s="846"/>
      <c r="Q5505" s="846"/>
      <c r="R5505" s="846"/>
      <c r="S5505" s="846"/>
      <c r="T5505" s="846"/>
    </row>
    <row r="5506" spans="2:20" ht="51" hidden="1">
      <c r="B5506" s="828" t="s">
        <v>6553</v>
      </c>
      <c r="C5506" s="828">
        <v>90084</v>
      </c>
      <c r="D5506" s="630" t="s">
        <v>5405</v>
      </c>
      <c r="E5506" s="630" t="s">
        <v>644</v>
      </c>
      <c r="F5506" s="829">
        <v>9.1</v>
      </c>
      <c r="G5506" s="830">
        <v>2.7</v>
      </c>
      <c r="H5506" s="831">
        <v>11.8</v>
      </c>
      <c r="I5506" s="846"/>
      <c r="J5506" s="846"/>
      <c r="K5506" s="846"/>
      <c r="L5506" s="846"/>
      <c r="M5506" s="846"/>
      <c r="N5506" s="846"/>
      <c r="O5506" s="846"/>
      <c r="P5506" s="846"/>
      <c r="Q5506" s="846"/>
      <c r="R5506" s="846"/>
      <c r="S5506" s="846"/>
      <c r="T5506" s="846"/>
    </row>
    <row r="5507" spans="2:20" ht="51" hidden="1">
      <c r="B5507" s="828" t="s">
        <v>6553</v>
      </c>
      <c r="C5507" s="828">
        <v>90086</v>
      </c>
      <c r="D5507" s="630" t="s">
        <v>5406</v>
      </c>
      <c r="E5507" s="630" t="s">
        <v>644</v>
      </c>
      <c r="F5507" s="829">
        <v>8.58</v>
      </c>
      <c r="G5507" s="830">
        <v>2.56</v>
      </c>
      <c r="H5507" s="831">
        <v>11.14</v>
      </c>
      <c r="I5507" s="846"/>
      <c r="J5507" s="846"/>
      <c r="K5507" s="846"/>
      <c r="L5507" s="846"/>
      <c r="M5507" s="846"/>
      <c r="N5507" s="846"/>
      <c r="O5507" s="846"/>
      <c r="P5507" s="846"/>
      <c r="Q5507" s="846"/>
      <c r="R5507" s="846"/>
      <c r="S5507" s="846"/>
      <c r="T5507" s="846"/>
    </row>
    <row r="5508" spans="2:20" ht="51" hidden="1">
      <c r="B5508" s="828" t="s">
        <v>6553</v>
      </c>
      <c r="C5508" s="828">
        <v>90087</v>
      </c>
      <c r="D5508" s="630" t="s">
        <v>5407</v>
      </c>
      <c r="E5508" s="630" t="s">
        <v>644</v>
      </c>
      <c r="F5508" s="829">
        <v>8.17</v>
      </c>
      <c r="G5508" s="830">
        <v>2.0699999999999998</v>
      </c>
      <c r="H5508" s="831">
        <v>10.24</v>
      </c>
      <c r="I5508" s="846"/>
      <c r="J5508" s="846"/>
      <c r="K5508" s="846"/>
      <c r="L5508" s="846"/>
      <c r="M5508" s="846"/>
      <c r="N5508" s="846"/>
      <c r="O5508" s="846"/>
      <c r="P5508" s="846"/>
      <c r="Q5508" s="846"/>
      <c r="R5508" s="846"/>
      <c r="S5508" s="846"/>
      <c r="T5508" s="846"/>
    </row>
    <row r="5509" spans="2:20" ht="51" hidden="1">
      <c r="B5509" s="828" t="s">
        <v>6553</v>
      </c>
      <c r="C5509" s="828">
        <v>90090</v>
      </c>
      <c r="D5509" s="630" t="s">
        <v>5408</v>
      </c>
      <c r="E5509" s="630" t="s">
        <v>644</v>
      </c>
      <c r="F5509" s="829">
        <v>8</v>
      </c>
      <c r="G5509" s="830">
        <v>2.02</v>
      </c>
      <c r="H5509" s="831">
        <v>10.02</v>
      </c>
      <c r="I5509" s="846"/>
      <c r="J5509" s="846"/>
      <c r="K5509" s="846"/>
      <c r="L5509" s="846"/>
      <c r="M5509" s="846"/>
      <c r="N5509" s="846"/>
      <c r="O5509" s="846"/>
      <c r="P5509" s="846"/>
      <c r="Q5509" s="846"/>
      <c r="R5509" s="846"/>
      <c r="S5509" s="846"/>
      <c r="T5509" s="846"/>
    </row>
    <row r="5510" spans="2:20" ht="51" hidden="1">
      <c r="B5510" s="828" t="s">
        <v>6553</v>
      </c>
      <c r="C5510" s="828">
        <v>90091</v>
      </c>
      <c r="D5510" s="630" t="s">
        <v>5409</v>
      </c>
      <c r="E5510" s="630" t="s">
        <v>644</v>
      </c>
      <c r="F5510" s="829">
        <v>5.05</v>
      </c>
      <c r="G5510" s="830">
        <v>1.52</v>
      </c>
      <c r="H5510" s="831">
        <v>6.57</v>
      </c>
      <c r="I5510" s="846"/>
      <c r="J5510" s="846"/>
      <c r="K5510" s="846"/>
      <c r="L5510" s="846"/>
      <c r="M5510" s="846"/>
      <c r="N5510" s="846"/>
      <c r="O5510" s="846"/>
      <c r="P5510" s="846"/>
      <c r="Q5510" s="846"/>
      <c r="R5510" s="846"/>
      <c r="S5510" s="846"/>
      <c r="T5510" s="846"/>
    </row>
    <row r="5511" spans="2:20" ht="51" hidden="1">
      <c r="B5511" s="828" t="s">
        <v>6553</v>
      </c>
      <c r="C5511" s="828">
        <v>90092</v>
      </c>
      <c r="D5511" s="630" t="s">
        <v>5410</v>
      </c>
      <c r="E5511" s="630" t="s">
        <v>644</v>
      </c>
      <c r="F5511" s="829">
        <v>5.01</v>
      </c>
      <c r="G5511" s="830">
        <v>1.49</v>
      </c>
      <c r="H5511" s="831">
        <v>6.5</v>
      </c>
      <c r="I5511" s="846"/>
      <c r="J5511" s="846"/>
      <c r="K5511" s="846"/>
      <c r="L5511" s="846"/>
      <c r="M5511" s="846"/>
      <c r="N5511" s="846"/>
      <c r="O5511" s="846"/>
      <c r="P5511" s="846"/>
      <c r="Q5511" s="846"/>
      <c r="R5511" s="846"/>
      <c r="S5511" s="846"/>
      <c r="T5511" s="846"/>
    </row>
    <row r="5512" spans="2:20" ht="51" hidden="1">
      <c r="B5512" s="828" t="s">
        <v>6553</v>
      </c>
      <c r="C5512" s="828">
        <v>90094</v>
      </c>
      <c r="D5512" s="630" t="s">
        <v>5411</v>
      </c>
      <c r="E5512" s="630" t="s">
        <v>644</v>
      </c>
      <c r="F5512" s="829">
        <v>4.74</v>
      </c>
      <c r="G5512" s="830">
        <v>1.41</v>
      </c>
      <c r="H5512" s="831">
        <v>6.15</v>
      </c>
      <c r="I5512" s="846"/>
      <c r="J5512" s="846"/>
      <c r="K5512" s="846"/>
      <c r="L5512" s="846"/>
      <c r="M5512" s="846"/>
      <c r="N5512" s="846"/>
      <c r="O5512" s="846"/>
      <c r="P5512" s="846"/>
      <c r="Q5512" s="846"/>
      <c r="R5512" s="846"/>
      <c r="S5512" s="846"/>
      <c r="T5512" s="846"/>
    </row>
    <row r="5513" spans="2:20" ht="51" hidden="1">
      <c r="B5513" s="828" t="s">
        <v>6553</v>
      </c>
      <c r="C5513" s="828">
        <v>90095</v>
      </c>
      <c r="D5513" s="630" t="s">
        <v>5412</v>
      </c>
      <c r="E5513" s="630" t="s">
        <v>644</v>
      </c>
      <c r="F5513" s="829">
        <v>4.5</v>
      </c>
      <c r="G5513" s="830">
        <v>1.1299999999999999</v>
      </c>
      <c r="H5513" s="831">
        <v>5.63</v>
      </c>
      <c r="I5513" s="846"/>
      <c r="J5513" s="846"/>
      <c r="K5513" s="846"/>
      <c r="L5513" s="846"/>
      <c r="M5513" s="846"/>
      <c r="N5513" s="846"/>
      <c r="O5513" s="846"/>
      <c r="P5513" s="846"/>
      <c r="Q5513" s="846"/>
      <c r="R5513" s="846"/>
      <c r="S5513" s="846"/>
      <c r="T5513" s="846"/>
    </row>
    <row r="5514" spans="2:20" ht="51" hidden="1">
      <c r="B5514" s="828" t="s">
        <v>6553</v>
      </c>
      <c r="C5514" s="828">
        <v>90098</v>
      </c>
      <c r="D5514" s="630" t="s">
        <v>5413</v>
      </c>
      <c r="E5514" s="630" t="s">
        <v>644</v>
      </c>
      <c r="F5514" s="829">
        <v>4.42</v>
      </c>
      <c r="G5514" s="830">
        <v>1.1200000000000001</v>
      </c>
      <c r="H5514" s="831">
        <v>5.54</v>
      </c>
      <c r="I5514" s="846"/>
      <c r="J5514" s="846"/>
      <c r="K5514" s="846"/>
      <c r="L5514" s="846"/>
      <c r="M5514" s="846"/>
      <c r="N5514" s="846"/>
      <c r="O5514" s="846"/>
      <c r="P5514" s="846"/>
      <c r="Q5514" s="846"/>
      <c r="R5514" s="846"/>
      <c r="S5514" s="846"/>
      <c r="T5514" s="846"/>
    </row>
    <row r="5515" spans="2:20" ht="51" hidden="1">
      <c r="B5515" s="828" t="s">
        <v>6553</v>
      </c>
      <c r="C5515" s="828">
        <v>90099</v>
      </c>
      <c r="D5515" s="630" t="s">
        <v>5414</v>
      </c>
      <c r="E5515" s="630" t="s">
        <v>644</v>
      </c>
      <c r="F5515" s="829">
        <v>11.379999999999999</v>
      </c>
      <c r="G5515" s="830">
        <v>5.44</v>
      </c>
      <c r="H5515" s="831">
        <v>16.82</v>
      </c>
      <c r="I5515" s="846"/>
      <c r="J5515" s="846"/>
      <c r="K5515" s="846"/>
      <c r="L5515" s="846"/>
      <c r="M5515" s="846"/>
      <c r="N5515" s="846"/>
      <c r="O5515" s="846"/>
      <c r="P5515" s="846"/>
      <c r="Q5515" s="846"/>
      <c r="R5515" s="846"/>
      <c r="S5515" s="846"/>
      <c r="T5515" s="846"/>
    </row>
    <row r="5516" spans="2:20" ht="51" hidden="1">
      <c r="B5516" s="828" t="s">
        <v>6553</v>
      </c>
      <c r="C5516" s="828">
        <v>90100</v>
      </c>
      <c r="D5516" s="630" t="s">
        <v>5415</v>
      </c>
      <c r="E5516" s="630" t="s">
        <v>644</v>
      </c>
      <c r="F5516" s="829">
        <v>9.66</v>
      </c>
      <c r="G5516" s="830">
        <v>4.62</v>
      </c>
      <c r="H5516" s="831">
        <v>14.28</v>
      </c>
      <c r="I5516" s="846"/>
      <c r="J5516" s="846"/>
      <c r="K5516" s="846"/>
      <c r="L5516" s="846"/>
      <c r="M5516" s="846"/>
      <c r="N5516" s="846"/>
      <c r="O5516" s="846"/>
      <c r="P5516" s="846"/>
      <c r="Q5516" s="846"/>
      <c r="R5516" s="846"/>
      <c r="S5516" s="846"/>
      <c r="T5516" s="846"/>
    </row>
    <row r="5517" spans="2:20" ht="51" hidden="1">
      <c r="B5517" s="828" t="s">
        <v>6553</v>
      </c>
      <c r="C5517" s="828">
        <v>90101</v>
      </c>
      <c r="D5517" s="630" t="s">
        <v>5416</v>
      </c>
      <c r="E5517" s="630" t="s">
        <v>644</v>
      </c>
      <c r="F5517" s="829">
        <v>9.5399999999999991</v>
      </c>
      <c r="G5517" s="830">
        <v>4.58</v>
      </c>
      <c r="H5517" s="831">
        <v>14.12</v>
      </c>
      <c r="I5517" s="846"/>
      <c r="J5517" s="846"/>
      <c r="K5517" s="846"/>
      <c r="L5517" s="846"/>
      <c r="M5517" s="846"/>
      <c r="N5517" s="846"/>
      <c r="O5517" s="846"/>
      <c r="P5517" s="846"/>
      <c r="Q5517" s="846"/>
      <c r="R5517" s="846"/>
      <c r="S5517" s="846"/>
      <c r="T5517" s="846"/>
    </row>
    <row r="5518" spans="2:20" ht="51" hidden="1">
      <c r="B5518" s="828" t="s">
        <v>6553</v>
      </c>
      <c r="C5518" s="828">
        <v>90102</v>
      </c>
      <c r="D5518" s="630" t="s">
        <v>5417</v>
      </c>
      <c r="E5518" s="630" t="s">
        <v>644</v>
      </c>
      <c r="F5518" s="829">
        <v>8.6999999999999993</v>
      </c>
      <c r="G5518" s="830">
        <v>4.1399999999999997</v>
      </c>
      <c r="H5518" s="831">
        <v>12.84</v>
      </c>
      <c r="I5518" s="846"/>
      <c r="J5518" s="846"/>
      <c r="K5518" s="846"/>
      <c r="L5518" s="846"/>
      <c r="M5518" s="846"/>
      <c r="N5518" s="846"/>
      <c r="O5518" s="846"/>
      <c r="P5518" s="846"/>
      <c r="Q5518" s="846"/>
      <c r="R5518" s="846"/>
      <c r="S5518" s="846"/>
      <c r="T5518" s="846"/>
    </row>
    <row r="5519" spans="2:20" ht="51" hidden="1">
      <c r="B5519" s="828" t="s">
        <v>6553</v>
      </c>
      <c r="C5519" s="828">
        <v>90105</v>
      </c>
      <c r="D5519" s="630" t="s">
        <v>5418</v>
      </c>
      <c r="E5519" s="630" t="s">
        <v>644</v>
      </c>
      <c r="F5519" s="829">
        <v>6.2799999999999994</v>
      </c>
      <c r="G5519" s="830">
        <v>3</v>
      </c>
      <c r="H5519" s="831">
        <v>9.2799999999999994</v>
      </c>
      <c r="I5519" s="846"/>
      <c r="J5519" s="846"/>
      <c r="K5519" s="846"/>
      <c r="L5519" s="846"/>
      <c r="M5519" s="846"/>
      <c r="N5519" s="846"/>
      <c r="O5519" s="846"/>
      <c r="P5519" s="846"/>
      <c r="Q5519" s="846"/>
      <c r="R5519" s="846"/>
      <c r="S5519" s="846"/>
      <c r="T5519" s="846"/>
    </row>
    <row r="5520" spans="2:20" ht="51" hidden="1">
      <c r="B5520" s="828" t="s">
        <v>6553</v>
      </c>
      <c r="C5520" s="828">
        <v>90106</v>
      </c>
      <c r="D5520" s="630" t="s">
        <v>5419</v>
      </c>
      <c r="E5520" s="630" t="s">
        <v>644</v>
      </c>
      <c r="F5520" s="829">
        <v>5.35</v>
      </c>
      <c r="G5520" s="830">
        <v>2.54</v>
      </c>
      <c r="H5520" s="831">
        <v>7.89</v>
      </c>
      <c r="I5520" s="846"/>
      <c r="J5520" s="846"/>
      <c r="K5520" s="846"/>
      <c r="L5520" s="846"/>
      <c r="M5520" s="846"/>
      <c r="N5520" s="846"/>
      <c r="O5520" s="846"/>
      <c r="P5520" s="846"/>
      <c r="Q5520" s="846"/>
      <c r="R5520" s="846"/>
      <c r="S5520" s="846"/>
      <c r="T5520" s="846"/>
    </row>
    <row r="5521" spans="2:20" ht="51" hidden="1">
      <c r="B5521" s="828" t="s">
        <v>6553</v>
      </c>
      <c r="C5521" s="828">
        <v>90107</v>
      </c>
      <c r="D5521" s="630" t="s">
        <v>5420</v>
      </c>
      <c r="E5521" s="630" t="s">
        <v>644</v>
      </c>
      <c r="F5521" s="829">
        <v>5.27</v>
      </c>
      <c r="G5521" s="830">
        <v>2.5099999999999998</v>
      </c>
      <c r="H5521" s="831">
        <v>7.78</v>
      </c>
      <c r="I5521" s="846"/>
      <c r="J5521" s="846"/>
      <c r="K5521" s="846"/>
      <c r="L5521" s="846"/>
      <c r="M5521" s="846"/>
      <c r="N5521" s="846"/>
      <c r="O5521" s="846"/>
      <c r="P5521" s="846"/>
      <c r="Q5521" s="846"/>
      <c r="R5521" s="846"/>
      <c r="S5521" s="846"/>
      <c r="T5521" s="846"/>
    </row>
    <row r="5522" spans="2:20" ht="51" hidden="1">
      <c r="B5522" s="828" t="s">
        <v>6553</v>
      </c>
      <c r="C5522" s="828">
        <v>90108</v>
      </c>
      <c r="D5522" s="630" t="s">
        <v>5421</v>
      </c>
      <c r="E5522" s="630" t="s">
        <v>644</v>
      </c>
      <c r="F5522" s="829">
        <v>4.8000000000000007</v>
      </c>
      <c r="G5522" s="830">
        <v>2.29</v>
      </c>
      <c r="H5522" s="831">
        <v>7.09</v>
      </c>
      <c r="I5522" s="846"/>
      <c r="J5522" s="846"/>
      <c r="K5522" s="846"/>
      <c r="L5522" s="846"/>
      <c r="M5522" s="846"/>
      <c r="N5522" s="846"/>
      <c r="O5522" s="846"/>
      <c r="P5522" s="846"/>
      <c r="Q5522" s="846"/>
      <c r="R5522" s="846"/>
      <c r="S5522" s="846"/>
      <c r="T5522" s="846"/>
    </row>
    <row r="5523" spans="2:20" ht="25.5" hidden="1">
      <c r="B5523" s="828" t="s">
        <v>6553</v>
      </c>
      <c r="C5523" s="828">
        <v>93358</v>
      </c>
      <c r="D5523" s="630" t="s">
        <v>5482</v>
      </c>
      <c r="E5523" s="630" t="s">
        <v>644</v>
      </c>
      <c r="F5523" s="829">
        <v>25.77</v>
      </c>
      <c r="G5523" s="830">
        <v>68.02</v>
      </c>
      <c r="H5523" s="831">
        <v>93.79</v>
      </c>
      <c r="I5523" s="846"/>
      <c r="J5523" s="846"/>
      <c r="K5523" s="846"/>
      <c r="L5523" s="846"/>
      <c r="M5523" s="846"/>
      <c r="N5523" s="846"/>
      <c r="O5523" s="846"/>
      <c r="P5523" s="846"/>
      <c r="Q5523" s="846"/>
      <c r="R5523" s="846"/>
      <c r="S5523" s="846"/>
      <c r="T5523" s="846"/>
    </row>
    <row r="5524" spans="2:20" ht="51" hidden="1">
      <c r="B5524" s="828" t="s">
        <v>6553</v>
      </c>
      <c r="C5524" s="828">
        <v>102276</v>
      </c>
      <c r="D5524" s="630" t="s">
        <v>6115</v>
      </c>
      <c r="E5524" s="630" t="s">
        <v>644</v>
      </c>
      <c r="F5524" s="829">
        <v>10.54</v>
      </c>
      <c r="G5524" s="830">
        <v>3.16</v>
      </c>
      <c r="H5524" s="831">
        <v>13.7</v>
      </c>
      <c r="I5524" s="846"/>
      <c r="J5524" s="846"/>
      <c r="K5524" s="846"/>
      <c r="L5524" s="846"/>
      <c r="M5524" s="846"/>
      <c r="N5524" s="846"/>
      <c r="O5524" s="846"/>
      <c r="P5524" s="846"/>
      <c r="Q5524" s="846"/>
      <c r="R5524" s="846"/>
      <c r="S5524" s="846"/>
      <c r="T5524" s="846"/>
    </row>
    <row r="5525" spans="2:20" ht="51" hidden="1">
      <c r="B5525" s="828" t="s">
        <v>6553</v>
      </c>
      <c r="C5525" s="828">
        <v>102277</v>
      </c>
      <c r="D5525" s="630" t="s">
        <v>6116</v>
      </c>
      <c r="E5525" s="630" t="s">
        <v>644</v>
      </c>
      <c r="F5525" s="829">
        <v>8.33</v>
      </c>
      <c r="G5525" s="830">
        <v>2.48</v>
      </c>
      <c r="H5525" s="831">
        <v>10.81</v>
      </c>
      <c r="I5525" s="846"/>
      <c r="J5525" s="846"/>
      <c r="K5525" s="846"/>
      <c r="L5525" s="846"/>
      <c r="M5525" s="846"/>
      <c r="N5525" s="846"/>
      <c r="O5525" s="846"/>
      <c r="P5525" s="846"/>
      <c r="Q5525" s="846"/>
      <c r="R5525" s="846"/>
      <c r="S5525" s="846"/>
      <c r="T5525" s="846"/>
    </row>
    <row r="5526" spans="2:20" ht="51" hidden="1">
      <c r="B5526" s="828" t="s">
        <v>6553</v>
      </c>
      <c r="C5526" s="828">
        <v>102278</v>
      </c>
      <c r="D5526" s="630" t="s">
        <v>6117</v>
      </c>
      <c r="E5526" s="630" t="s">
        <v>644</v>
      </c>
      <c r="F5526" s="829">
        <v>8.5299999999999994</v>
      </c>
      <c r="G5526" s="830">
        <v>2.15</v>
      </c>
      <c r="H5526" s="831">
        <v>10.68</v>
      </c>
      <c r="I5526" s="846"/>
      <c r="J5526" s="846"/>
      <c r="K5526" s="846"/>
      <c r="L5526" s="846"/>
      <c r="M5526" s="846"/>
      <c r="N5526" s="846"/>
      <c r="O5526" s="846"/>
      <c r="P5526" s="846"/>
      <c r="Q5526" s="846"/>
      <c r="R5526" s="846"/>
      <c r="S5526" s="846"/>
      <c r="T5526" s="846"/>
    </row>
    <row r="5527" spans="2:20" ht="51" hidden="1">
      <c r="B5527" s="828" t="s">
        <v>6553</v>
      </c>
      <c r="C5527" s="828">
        <v>102279</v>
      </c>
      <c r="D5527" s="630" t="s">
        <v>6118</v>
      </c>
      <c r="E5527" s="630" t="s">
        <v>644</v>
      </c>
      <c r="F5527" s="829">
        <v>5.83</v>
      </c>
      <c r="G5527" s="830">
        <v>1.73</v>
      </c>
      <c r="H5527" s="831">
        <v>7.56</v>
      </c>
      <c r="I5527" s="846"/>
      <c r="J5527" s="846"/>
      <c r="K5527" s="846"/>
      <c r="L5527" s="846"/>
      <c r="M5527" s="846"/>
      <c r="N5527" s="846"/>
      <c r="O5527" s="846"/>
      <c r="P5527" s="846"/>
      <c r="Q5527" s="846"/>
      <c r="R5527" s="846"/>
      <c r="S5527" s="846"/>
      <c r="T5527" s="846"/>
    </row>
    <row r="5528" spans="2:20" ht="51" hidden="1">
      <c r="B5528" s="828" t="s">
        <v>6553</v>
      </c>
      <c r="C5528" s="828">
        <v>102280</v>
      </c>
      <c r="D5528" s="630" t="s">
        <v>6119</v>
      </c>
      <c r="E5528" s="630" t="s">
        <v>644</v>
      </c>
      <c r="F5528" s="829">
        <v>4.62</v>
      </c>
      <c r="G5528" s="830">
        <v>1.36</v>
      </c>
      <c r="H5528" s="831">
        <v>5.98</v>
      </c>
      <c r="I5528" s="846"/>
      <c r="J5528" s="846"/>
      <c r="K5528" s="846"/>
      <c r="L5528" s="846"/>
      <c r="M5528" s="846"/>
      <c r="N5528" s="846"/>
      <c r="O5528" s="846"/>
      <c r="P5528" s="846"/>
      <c r="Q5528" s="846"/>
      <c r="R5528" s="846"/>
      <c r="S5528" s="846"/>
      <c r="T5528" s="846"/>
    </row>
    <row r="5529" spans="2:20" ht="51" hidden="1">
      <c r="B5529" s="828" t="s">
        <v>6553</v>
      </c>
      <c r="C5529" s="828">
        <v>102281</v>
      </c>
      <c r="D5529" s="630" t="s">
        <v>6120</v>
      </c>
      <c r="E5529" s="630" t="s">
        <v>644</v>
      </c>
      <c r="F5529" s="829">
        <v>4.7</v>
      </c>
      <c r="G5529" s="830">
        <v>1.19</v>
      </c>
      <c r="H5529" s="831">
        <v>5.89</v>
      </c>
      <c r="I5529" s="846"/>
      <c r="J5529" s="846"/>
      <c r="K5529" s="846"/>
      <c r="L5529" s="846"/>
      <c r="M5529" s="846"/>
      <c r="N5529" s="846"/>
      <c r="O5529" s="846"/>
      <c r="P5529" s="846"/>
      <c r="Q5529" s="846"/>
      <c r="R5529" s="846"/>
      <c r="S5529" s="846"/>
      <c r="T5529" s="846"/>
    </row>
    <row r="5530" spans="2:20" ht="51" hidden="1">
      <c r="B5530" s="828" t="s">
        <v>6553</v>
      </c>
      <c r="C5530" s="828">
        <v>102282</v>
      </c>
      <c r="D5530" s="630" t="s">
        <v>6121</v>
      </c>
      <c r="E5530" s="630" t="s">
        <v>644</v>
      </c>
      <c r="F5530" s="829">
        <v>11.73</v>
      </c>
      <c r="G5530" s="830">
        <v>3.49</v>
      </c>
      <c r="H5530" s="831">
        <v>15.22</v>
      </c>
      <c r="I5530" s="846"/>
      <c r="J5530" s="846"/>
      <c r="K5530" s="846"/>
      <c r="L5530" s="846"/>
      <c r="M5530" s="846"/>
      <c r="N5530" s="846"/>
      <c r="O5530" s="846"/>
      <c r="P5530" s="846"/>
      <c r="Q5530" s="846"/>
      <c r="R5530" s="846"/>
      <c r="S5530" s="846"/>
      <c r="T5530" s="846"/>
    </row>
    <row r="5531" spans="2:20" ht="51" hidden="1">
      <c r="B5531" s="828" t="s">
        <v>6553</v>
      </c>
      <c r="C5531" s="828">
        <v>102283</v>
      </c>
      <c r="D5531" s="630" t="s">
        <v>6122</v>
      </c>
      <c r="E5531" s="630" t="s">
        <v>644</v>
      </c>
      <c r="F5531" s="829">
        <v>10.41</v>
      </c>
      <c r="G5531" s="830">
        <v>3.11</v>
      </c>
      <c r="H5531" s="831">
        <v>13.52</v>
      </c>
      <c r="I5531" s="846"/>
      <c r="J5531" s="846"/>
      <c r="K5531" s="846"/>
      <c r="L5531" s="846"/>
      <c r="M5531" s="846"/>
      <c r="N5531" s="846"/>
      <c r="O5531" s="846"/>
      <c r="P5531" s="846"/>
      <c r="Q5531" s="846"/>
      <c r="R5531" s="846"/>
      <c r="S5531" s="846"/>
      <c r="T5531" s="846"/>
    </row>
    <row r="5532" spans="2:20" ht="51" hidden="1">
      <c r="B5532" s="828" t="s">
        <v>6553</v>
      </c>
      <c r="C5532" s="828">
        <v>102284</v>
      </c>
      <c r="D5532" s="630" t="s">
        <v>6123</v>
      </c>
      <c r="E5532" s="630" t="s">
        <v>644</v>
      </c>
      <c r="F5532" s="829">
        <v>10.08</v>
      </c>
      <c r="G5532" s="830">
        <v>3.01</v>
      </c>
      <c r="H5532" s="831">
        <v>13.09</v>
      </c>
      <c r="I5532" s="846"/>
      <c r="J5532" s="846"/>
      <c r="K5532" s="846"/>
      <c r="L5532" s="846"/>
      <c r="M5532" s="846"/>
      <c r="N5532" s="846"/>
      <c r="O5532" s="846"/>
      <c r="P5532" s="846"/>
      <c r="Q5532" s="846"/>
      <c r="R5532" s="846"/>
      <c r="S5532" s="846"/>
      <c r="T5532" s="846"/>
    </row>
    <row r="5533" spans="2:20" ht="51" hidden="1">
      <c r="B5533" s="828" t="s">
        <v>6553</v>
      </c>
      <c r="C5533" s="828">
        <v>102285</v>
      </c>
      <c r="D5533" s="630" t="s">
        <v>6124</v>
      </c>
      <c r="E5533" s="630" t="s">
        <v>644</v>
      </c>
      <c r="F5533" s="829">
        <v>9.5300000000000011</v>
      </c>
      <c r="G5533" s="830">
        <v>2.84</v>
      </c>
      <c r="H5533" s="831">
        <v>12.37</v>
      </c>
      <c r="I5533" s="846"/>
      <c r="J5533" s="846"/>
      <c r="K5533" s="846"/>
      <c r="L5533" s="846"/>
      <c r="M5533" s="846"/>
      <c r="N5533" s="846"/>
      <c r="O5533" s="846"/>
      <c r="P5533" s="846"/>
      <c r="Q5533" s="846"/>
      <c r="R5533" s="846"/>
      <c r="S5533" s="846"/>
      <c r="T5533" s="846"/>
    </row>
    <row r="5534" spans="2:20" ht="51" hidden="1">
      <c r="B5534" s="828" t="s">
        <v>6553</v>
      </c>
      <c r="C5534" s="828">
        <v>102286</v>
      </c>
      <c r="D5534" s="630" t="s">
        <v>6125</v>
      </c>
      <c r="E5534" s="630" t="s">
        <v>644</v>
      </c>
      <c r="F5534" s="829">
        <v>9.2799999999999994</v>
      </c>
      <c r="G5534" s="830">
        <v>2.76</v>
      </c>
      <c r="H5534" s="831">
        <v>12.04</v>
      </c>
      <c r="I5534" s="846"/>
      <c r="J5534" s="846"/>
      <c r="K5534" s="846"/>
      <c r="L5534" s="846"/>
      <c r="M5534" s="846"/>
      <c r="N5534" s="846"/>
      <c r="O5534" s="846"/>
      <c r="P5534" s="846"/>
      <c r="Q5534" s="846"/>
      <c r="R5534" s="846"/>
      <c r="S5534" s="846"/>
      <c r="T5534" s="846"/>
    </row>
    <row r="5535" spans="2:20" ht="51" hidden="1">
      <c r="B5535" s="828" t="s">
        <v>6553</v>
      </c>
      <c r="C5535" s="828">
        <v>102287</v>
      </c>
      <c r="D5535" s="630" t="s">
        <v>6126</v>
      </c>
      <c r="E5535" s="630" t="s">
        <v>644</v>
      </c>
      <c r="F5535" s="829">
        <v>9.48</v>
      </c>
      <c r="G5535" s="830">
        <v>2.4</v>
      </c>
      <c r="H5535" s="831">
        <v>11.88</v>
      </c>
      <c r="I5535" s="846"/>
      <c r="J5535" s="846"/>
      <c r="K5535" s="846"/>
      <c r="L5535" s="846"/>
      <c r="M5535" s="846"/>
      <c r="N5535" s="846"/>
      <c r="O5535" s="846"/>
      <c r="P5535" s="846"/>
      <c r="Q5535" s="846"/>
      <c r="R5535" s="846"/>
      <c r="S5535" s="846"/>
      <c r="T5535" s="846"/>
    </row>
    <row r="5536" spans="2:20" ht="51" hidden="1">
      <c r="B5536" s="828" t="s">
        <v>6553</v>
      </c>
      <c r="C5536" s="828">
        <v>102288</v>
      </c>
      <c r="D5536" s="630" t="s">
        <v>6127</v>
      </c>
      <c r="E5536" s="630" t="s">
        <v>644</v>
      </c>
      <c r="F5536" s="829">
        <v>9.1</v>
      </c>
      <c r="G5536" s="830">
        <v>2.2999999999999998</v>
      </c>
      <c r="H5536" s="831">
        <v>11.4</v>
      </c>
      <c r="I5536" s="846"/>
      <c r="J5536" s="846"/>
      <c r="K5536" s="846"/>
      <c r="L5536" s="846"/>
      <c r="M5536" s="846"/>
      <c r="N5536" s="846"/>
      <c r="O5536" s="846"/>
      <c r="P5536" s="846"/>
      <c r="Q5536" s="846"/>
      <c r="R5536" s="846"/>
      <c r="S5536" s="846"/>
      <c r="T5536" s="846"/>
    </row>
    <row r="5537" spans="2:20" ht="51" hidden="1">
      <c r="B5537" s="828" t="s">
        <v>6553</v>
      </c>
      <c r="C5537" s="828">
        <v>102289</v>
      </c>
      <c r="D5537" s="630" t="s">
        <v>6128</v>
      </c>
      <c r="E5537" s="630" t="s">
        <v>644</v>
      </c>
      <c r="F5537" s="829">
        <v>8.89</v>
      </c>
      <c r="G5537" s="830">
        <v>2.25</v>
      </c>
      <c r="H5537" s="831">
        <v>11.14</v>
      </c>
      <c r="I5537" s="846"/>
      <c r="J5537" s="846"/>
      <c r="K5537" s="846"/>
      <c r="L5537" s="846"/>
      <c r="M5537" s="846"/>
      <c r="N5537" s="846"/>
      <c r="O5537" s="846"/>
      <c r="P5537" s="846"/>
      <c r="Q5537" s="846"/>
      <c r="R5537" s="846"/>
      <c r="S5537" s="846"/>
      <c r="T5537" s="846"/>
    </row>
    <row r="5538" spans="2:20" ht="51" hidden="1">
      <c r="B5538" s="828" t="s">
        <v>6553</v>
      </c>
      <c r="C5538" s="828">
        <v>102290</v>
      </c>
      <c r="D5538" s="630" t="s">
        <v>6129</v>
      </c>
      <c r="E5538" s="630" t="s">
        <v>644</v>
      </c>
      <c r="F5538" s="829">
        <v>6.46</v>
      </c>
      <c r="G5538" s="830">
        <v>1.94</v>
      </c>
      <c r="H5538" s="831">
        <v>8.4</v>
      </c>
      <c r="I5538" s="846"/>
      <c r="J5538" s="846"/>
      <c r="K5538" s="846"/>
      <c r="L5538" s="846"/>
      <c r="M5538" s="846"/>
      <c r="N5538" s="846"/>
      <c r="O5538" s="846"/>
      <c r="P5538" s="846"/>
      <c r="Q5538" s="846"/>
      <c r="R5538" s="846"/>
      <c r="S5538" s="846"/>
      <c r="T5538" s="846"/>
    </row>
    <row r="5539" spans="2:20" ht="51" hidden="1">
      <c r="B5539" s="828" t="s">
        <v>6553</v>
      </c>
      <c r="C5539" s="828">
        <v>102291</v>
      </c>
      <c r="D5539" s="630" t="s">
        <v>6130</v>
      </c>
      <c r="E5539" s="630" t="s">
        <v>644</v>
      </c>
      <c r="F5539" s="829">
        <v>5.74</v>
      </c>
      <c r="G5539" s="830">
        <v>1.72</v>
      </c>
      <c r="H5539" s="831">
        <v>7.46</v>
      </c>
      <c r="I5539" s="846"/>
      <c r="J5539" s="846"/>
      <c r="K5539" s="846"/>
      <c r="L5539" s="846"/>
      <c r="M5539" s="846"/>
      <c r="N5539" s="846"/>
      <c r="O5539" s="846"/>
      <c r="P5539" s="846"/>
      <c r="Q5539" s="846"/>
      <c r="R5539" s="846"/>
      <c r="S5539" s="846"/>
      <c r="T5539" s="846"/>
    </row>
    <row r="5540" spans="2:20" ht="51" hidden="1">
      <c r="B5540" s="828" t="s">
        <v>6553</v>
      </c>
      <c r="C5540" s="828">
        <v>102292</v>
      </c>
      <c r="D5540" s="630" t="s">
        <v>6131</v>
      </c>
      <c r="E5540" s="630" t="s">
        <v>644</v>
      </c>
      <c r="F5540" s="829">
        <v>5.57</v>
      </c>
      <c r="G5540" s="830">
        <v>1.66</v>
      </c>
      <c r="H5540" s="831">
        <v>7.23</v>
      </c>
      <c r="I5540" s="846"/>
      <c r="J5540" s="846"/>
      <c r="K5540" s="846"/>
      <c r="L5540" s="846"/>
      <c r="M5540" s="846"/>
      <c r="N5540" s="846"/>
      <c r="O5540" s="846"/>
      <c r="P5540" s="846"/>
      <c r="Q5540" s="846"/>
      <c r="R5540" s="846"/>
      <c r="S5540" s="846"/>
      <c r="T5540" s="846"/>
    </row>
    <row r="5541" spans="2:20" ht="51" hidden="1">
      <c r="B5541" s="828" t="s">
        <v>6553</v>
      </c>
      <c r="C5541" s="828">
        <v>102293</v>
      </c>
      <c r="D5541" s="630" t="s">
        <v>6132</v>
      </c>
      <c r="E5541" s="630" t="s">
        <v>644</v>
      </c>
      <c r="F5541" s="829">
        <v>5.26</v>
      </c>
      <c r="G5541" s="830">
        <v>1.58</v>
      </c>
      <c r="H5541" s="831">
        <v>6.84</v>
      </c>
      <c r="I5541" s="846"/>
      <c r="J5541" s="846"/>
      <c r="K5541" s="846"/>
      <c r="L5541" s="846"/>
      <c r="M5541" s="846"/>
      <c r="N5541" s="846"/>
      <c r="O5541" s="846"/>
      <c r="P5541" s="846"/>
      <c r="Q5541" s="846"/>
      <c r="R5541" s="846"/>
      <c r="S5541" s="846"/>
      <c r="T5541" s="846"/>
    </row>
    <row r="5542" spans="2:20" ht="51" hidden="1">
      <c r="B5542" s="828" t="s">
        <v>6553</v>
      </c>
      <c r="C5542" s="828">
        <v>102294</v>
      </c>
      <c r="D5542" s="630" t="s">
        <v>6133</v>
      </c>
      <c r="E5542" s="630" t="s">
        <v>644</v>
      </c>
      <c r="F5542" s="829">
        <v>5.13</v>
      </c>
      <c r="G5542" s="830">
        <v>1.53</v>
      </c>
      <c r="H5542" s="831">
        <v>6.66</v>
      </c>
      <c r="I5542" s="846"/>
      <c r="J5542" s="846"/>
      <c r="K5542" s="846"/>
      <c r="L5542" s="846"/>
      <c r="M5542" s="846"/>
      <c r="N5542" s="846"/>
      <c r="O5542" s="846"/>
      <c r="P5542" s="846"/>
      <c r="Q5542" s="846"/>
      <c r="R5542" s="846"/>
      <c r="S5542" s="846"/>
      <c r="T5542" s="846"/>
    </row>
    <row r="5543" spans="2:20" ht="51" hidden="1">
      <c r="B5543" s="828" t="s">
        <v>6553</v>
      </c>
      <c r="C5543" s="828">
        <v>102295</v>
      </c>
      <c r="D5543" s="630" t="s">
        <v>6134</v>
      </c>
      <c r="E5543" s="630" t="s">
        <v>644</v>
      </c>
      <c r="F5543" s="829">
        <v>5.2200000000000006</v>
      </c>
      <c r="G5543" s="830">
        <v>1.32</v>
      </c>
      <c r="H5543" s="831">
        <v>6.54</v>
      </c>
      <c r="I5543" s="846"/>
      <c r="J5543" s="846"/>
      <c r="K5543" s="846"/>
      <c r="L5543" s="846"/>
      <c r="M5543" s="846"/>
      <c r="N5543" s="846"/>
      <c r="O5543" s="846"/>
      <c r="P5543" s="846"/>
      <c r="Q5543" s="846"/>
      <c r="R5543" s="846"/>
      <c r="S5543" s="846"/>
      <c r="T5543" s="846"/>
    </row>
    <row r="5544" spans="2:20" ht="51" hidden="1">
      <c r="B5544" s="828" t="s">
        <v>6553</v>
      </c>
      <c r="C5544" s="828">
        <v>102296</v>
      </c>
      <c r="D5544" s="630" t="s">
        <v>6135</v>
      </c>
      <c r="E5544" s="630" t="s">
        <v>644</v>
      </c>
      <c r="F5544" s="829">
        <v>5.03</v>
      </c>
      <c r="G5544" s="830">
        <v>1.26</v>
      </c>
      <c r="H5544" s="831">
        <v>6.29</v>
      </c>
      <c r="I5544" s="846"/>
      <c r="J5544" s="846"/>
      <c r="K5544" s="846"/>
      <c r="L5544" s="846"/>
      <c r="M5544" s="846"/>
      <c r="N5544" s="846"/>
      <c r="O5544" s="846"/>
      <c r="P5544" s="846"/>
      <c r="Q5544" s="846"/>
      <c r="R5544" s="846"/>
      <c r="S5544" s="846"/>
      <c r="T5544" s="846"/>
    </row>
    <row r="5545" spans="2:20" ht="51" hidden="1">
      <c r="B5545" s="828" t="s">
        <v>6553</v>
      </c>
      <c r="C5545" s="828">
        <v>102297</v>
      </c>
      <c r="D5545" s="630" t="s">
        <v>6136</v>
      </c>
      <c r="E5545" s="630" t="s">
        <v>644</v>
      </c>
      <c r="F5545" s="829">
        <v>4.92</v>
      </c>
      <c r="G5545" s="830">
        <v>1.22</v>
      </c>
      <c r="H5545" s="831">
        <v>6.14</v>
      </c>
      <c r="I5545" s="846"/>
      <c r="J5545" s="846"/>
      <c r="K5545" s="846"/>
      <c r="L5545" s="846"/>
      <c r="M5545" s="846"/>
      <c r="N5545" s="846"/>
      <c r="O5545" s="846"/>
      <c r="P5545" s="846"/>
      <c r="Q5545" s="846"/>
      <c r="R5545" s="846"/>
      <c r="S5545" s="846"/>
      <c r="T5545" s="846"/>
    </row>
    <row r="5546" spans="2:20" ht="51" hidden="1">
      <c r="B5546" s="828" t="s">
        <v>6553</v>
      </c>
      <c r="C5546" s="828">
        <v>102298</v>
      </c>
      <c r="D5546" s="630" t="s">
        <v>6137</v>
      </c>
      <c r="E5546" s="630" t="s">
        <v>644</v>
      </c>
      <c r="F5546" s="829">
        <v>12.649999999999999</v>
      </c>
      <c r="G5546" s="830">
        <v>6.04</v>
      </c>
      <c r="H5546" s="831">
        <v>18.690000000000001</v>
      </c>
      <c r="I5546" s="846"/>
      <c r="J5546" s="846"/>
      <c r="K5546" s="846"/>
      <c r="L5546" s="846"/>
      <c r="M5546" s="846"/>
      <c r="N5546" s="846"/>
      <c r="O5546" s="846"/>
      <c r="P5546" s="846"/>
      <c r="Q5546" s="846"/>
      <c r="R5546" s="846"/>
      <c r="S5546" s="846"/>
      <c r="T5546" s="846"/>
    </row>
    <row r="5547" spans="2:20" ht="51" hidden="1">
      <c r="B5547" s="828" t="s">
        <v>6553</v>
      </c>
      <c r="C5547" s="828">
        <v>102299</v>
      </c>
      <c r="D5547" s="630" t="s">
        <v>6138</v>
      </c>
      <c r="E5547" s="630" t="s">
        <v>644</v>
      </c>
      <c r="F5547" s="829">
        <v>10.760000000000002</v>
      </c>
      <c r="G5547" s="830">
        <v>5.13</v>
      </c>
      <c r="H5547" s="831">
        <v>15.89</v>
      </c>
      <c r="I5547" s="846"/>
      <c r="J5547" s="846"/>
      <c r="K5547" s="846"/>
      <c r="L5547" s="846"/>
      <c r="M5547" s="846"/>
      <c r="N5547" s="846"/>
      <c r="O5547" s="846"/>
      <c r="P5547" s="846"/>
      <c r="Q5547" s="846"/>
      <c r="R5547" s="846"/>
      <c r="S5547" s="846"/>
      <c r="T5547" s="846"/>
    </row>
    <row r="5548" spans="2:20" ht="51" hidden="1">
      <c r="B5548" s="828" t="s">
        <v>6553</v>
      </c>
      <c r="C5548" s="828">
        <v>102300</v>
      </c>
      <c r="D5548" s="630" t="s">
        <v>6139</v>
      </c>
      <c r="E5548" s="630" t="s">
        <v>644</v>
      </c>
      <c r="F5548" s="829">
        <v>10.61</v>
      </c>
      <c r="G5548" s="830">
        <v>5.07</v>
      </c>
      <c r="H5548" s="831">
        <v>15.68</v>
      </c>
      <c r="I5548" s="846"/>
      <c r="J5548" s="846"/>
      <c r="K5548" s="846"/>
      <c r="L5548" s="846"/>
      <c r="M5548" s="846"/>
      <c r="N5548" s="846"/>
      <c r="O5548" s="846"/>
      <c r="P5548" s="846"/>
      <c r="Q5548" s="846"/>
      <c r="R5548" s="846"/>
      <c r="S5548" s="846"/>
      <c r="T5548" s="846"/>
    </row>
    <row r="5549" spans="2:20" ht="51" hidden="1">
      <c r="B5549" s="828" t="s">
        <v>6553</v>
      </c>
      <c r="C5549" s="828">
        <v>102301</v>
      </c>
      <c r="D5549" s="630" t="s">
        <v>6140</v>
      </c>
      <c r="E5549" s="630" t="s">
        <v>644</v>
      </c>
      <c r="F5549" s="829">
        <v>9.6499999999999986</v>
      </c>
      <c r="G5549" s="830">
        <v>4.62</v>
      </c>
      <c r="H5549" s="831">
        <v>14.27</v>
      </c>
      <c r="I5549" s="846"/>
      <c r="J5549" s="846"/>
      <c r="K5549" s="846"/>
      <c r="L5549" s="846"/>
      <c r="M5549" s="846"/>
      <c r="N5549" s="846"/>
      <c r="O5549" s="846"/>
      <c r="P5549" s="846"/>
      <c r="Q5549" s="846"/>
      <c r="R5549" s="846"/>
      <c r="S5549" s="846"/>
      <c r="T5549" s="846"/>
    </row>
    <row r="5550" spans="2:20" ht="51" hidden="1">
      <c r="B5550" s="828" t="s">
        <v>6553</v>
      </c>
      <c r="C5550" s="828">
        <v>102302</v>
      </c>
      <c r="D5550" s="630" t="s">
        <v>6141</v>
      </c>
      <c r="E5550" s="630" t="s">
        <v>644</v>
      </c>
      <c r="F5550" s="829">
        <v>6.98</v>
      </c>
      <c r="G5550" s="830">
        <v>3.33</v>
      </c>
      <c r="H5550" s="831">
        <v>10.31</v>
      </c>
      <c r="I5550" s="846"/>
      <c r="J5550" s="846"/>
      <c r="K5550" s="846"/>
      <c r="L5550" s="846"/>
      <c r="M5550" s="846"/>
      <c r="N5550" s="846"/>
      <c r="O5550" s="846"/>
      <c r="P5550" s="846"/>
      <c r="Q5550" s="846"/>
      <c r="R5550" s="846"/>
      <c r="S5550" s="846"/>
      <c r="T5550" s="846"/>
    </row>
    <row r="5551" spans="2:20" ht="51" hidden="1">
      <c r="B5551" s="828" t="s">
        <v>6553</v>
      </c>
      <c r="C5551" s="828">
        <v>102303</v>
      </c>
      <c r="D5551" s="630" t="s">
        <v>6142</v>
      </c>
      <c r="E5551" s="630" t="s">
        <v>644</v>
      </c>
      <c r="F5551" s="829">
        <v>5.9399999999999995</v>
      </c>
      <c r="G5551" s="830">
        <v>2.82</v>
      </c>
      <c r="H5551" s="831">
        <v>8.76</v>
      </c>
      <c r="I5551" s="846"/>
      <c r="J5551" s="846"/>
      <c r="K5551" s="846"/>
      <c r="L5551" s="846"/>
      <c r="M5551" s="846"/>
      <c r="N5551" s="846"/>
      <c r="O5551" s="846"/>
      <c r="P5551" s="846"/>
      <c r="Q5551" s="846"/>
      <c r="R5551" s="846"/>
      <c r="S5551" s="846"/>
      <c r="T5551" s="846"/>
    </row>
    <row r="5552" spans="2:20" ht="51" hidden="1">
      <c r="B5552" s="828" t="s">
        <v>6553</v>
      </c>
      <c r="C5552" s="828">
        <v>102304</v>
      </c>
      <c r="D5552" s="630" t="s">
        <v>6143</v>
      </c>
      <c r="E5552" s="630" t="s">
        <v>644</v>
      </c>
      <c r="F5552" s="829">
        <v>5.85</v>
      </c>
      <c r="G5552" s="830">
        <v>2.8</v>
      </c>
      <c r="H5552" s="831">
        <v>8.65</v>
      </c>
      <c r="I5552" s="846"/>
      <c r="J5552" s="846"/>
      <c r="K5552" s="846"/>
      <c r="L5552" s="846"/>
      <c r="M5552" s="846"/>
      <c r="N5552" s="846"/>
      <c r="O5552" s="846"/>
      <c r="P5552" s="846"/>
      <c r="Q5552" s="846"/>
      <c r="R5552" s="846"/>
      <c r="S5552" s="846"/>
      <c r="T5552" s="846"/>
    </row>
    <row r="5553" spans="2:20" ht="51" hidden="1">
      <c r="B5553" s="828" t="s">
        <v>6553</v>
      </c>
      <c r="C5553" s="828">
        <v>102305</v>
      </c>
      <c r="D5553" s="630" t="s">
        <v>6144</v>
      </c>
      <c r="E5553" s="630" t="s">
        <v>644</v>
      </c>
      <c r="F5553" s="829">
        <v>5.33</v>
      </c>
      <c r="G5553" s="830">
        <v>2.5499999999999998</v>
      </c>
      <c r="H5553" s="831">
        <v>7.88</v>
      </c>
      <c r="I5553" s="846"/>
      <c r="J5553" s="846"/>
      <c r="K5553" s="846"/>
      <c r="L5553" s="846"/>
      <c r="M5553" s="846"/>
      <c r="N5553" s="846"/>
      <c r="O5553" s="846"/>
      <c r="P5553" s="846"/>
      <c r="Q5553" s="846"/>
      <c r="R5553" s="846"/>
      <c r="S5553" s="846"/>
      <c r="T5553" s="846"/>
    </row>
    <row r="5554" spans="2:20" ht="51" hidden="1">
      <c r="B5554" s="828" t="s">
        <v>6553</v>
      </c>
      <c r="C5554" s="828">
        <v>102306</v>
      </c>
      <c r="D5554" s="630" t="s">
        <v>6145</v>
      </c>
      <c r="E5554" s="630" t="s">
        <v>644</v>
      </c>
      <c r="F5554" s="829">
        <v>13.200000000000001</v>
      </c>
      <c r="G5554" s="830">
        <v>3.95</v>
      </c>
      <c r="H5554" s="831">
        <v>17.149999999999999</v>
      </c>
      <c r="I5554" s="846"/>
      <c r="J5554" s="846"/>
      <c r="K5554" s="846"/>
      <c r="L5554" s="846"/>
      <c r="M5554" s="846"/>
      <c r="N5554" s="846"/>
      <c r="O5554" s="846"/>
      <c r="P5554" s="846"/>
      <c r="Q5554" s="846"/>
      <c r="R5554" s="846"/>
      <c r="S5554" s="846"/>
      <c r="T5554" s="846"/>
    </row>
    <row r="5555" spans="2:20" ht="51" hidden="1">
      <c r="B5555" s="828" t="s">
        <v>6553</v>
      </c>
      <c r="C5555" s="828">
        <v>102307</v>
      </c>
      <c r="D5555" s="630" t="s">
        <v>6146</v>
      </c>
      <c r="E5555" s="630" t="s">
        <v>644</v>
      </c>
      <c r="F5555" s="829">
        <v>11.719999999999999</v>
      </c>
      <c r="G5555" s="830">
        <v>3.49</v>
      </c>
      <c r="H5555" s="831">
        <v>15.21</v>
      </c>
      <c r="I5555" s="846"/>
      <c r="J5555" s="846"/>
      <c r="K5555" s="846"/>
      <c r="L5555" s="846"/>
      <c r="M5555" s="846"/>
      <c r="N5555" s="846"/>
      <c r="O5555" s="846"/>
      <c r="P5555" s="846"/>
      <c r="Q5555" s="846"/>
      <c r="R5555" s="846"/>
      <c r="S5555" s="846"/>
      <c r="T5555" s="846"/>
    </row>
    <row r="5556" spans="2:20" ht="51" hidden="1">
      <c r="B5556" s="828" t="s">
        <v>6553</v>
      </c>
      <c r="C5556" s="828">
        <v>102308</v>
      </c>
      <c r="D5556" s="630" t="s">
        <v>6147</v>
      </c>
      <c r="E5556" s="630" t="s">
        <v>644</v>
      </c>
      <c r="F5556" s="829">
        <v>11.350000000000001</v>
      </c>
      <c r="G5556" s="830">
        <v>3.39</v>
      </c>
      <c r="H5556" s="831">
        <v>14.74</v>
      </c>
      <c r="I5556" s="846"/>
      <c r="J5556" s="846"/>
      <c r="K5556" s="846"/>
      <c r="L5556" s="846"/>
      <c r="M5556" s="846"/>
      <c r="N5556" s="846"/>
      <c r="O5556" s="846"/>
      <c r="P5556" s="846"/>
      <c r="Q5556" s="846"/>
      <c r="R5556" s="846"/>
      <c r="S5556" s="846"/>
      <c r="T5556" s="846"/>
    </row>
    <row r="5557" spans="2:20" ht="51" hidden="1">
      <c r="B5557" s="828" t="s">
        <v>6553</v>
      </c>
      <c r="C5557" s="828">
        <v>102309</v>
      </c>
      <c r="D5557" s="630" t="s">
        <v>6148</v>
      </c>
      <c r="E5557" s="630" t="s">
        <v>644</v>
      </c>
      <c r="F5557" s="829">
        <v>10.76</v>
      </c>
      <c r="G5557" s="830">
        <v>3.2</v>
      </c>
      <c r="H5557" s="831">
        <v>13.96</v>
      </c>
      <c r="I5557" s="846"/>
      <c r="J5557" s="846"/>
      <c r="K5557" s="846"/>
      <c r="L5557" s="846"/>
      <c r="M5557" s="846"/>
      <c r="N5557" s="846"/>
      <c r="O5557" s="846"/>
      <c r="P5557" s="846"/>
      <c r="Q5557" s="846"/>
      <c r="R5557" s="846"/>
      <c r="S5557" s="846"/>
      <c r="T5557" s="846"/>
    </row>
    <row r="5558" spans="2:20" ht="51" hidden="1">
      <c r="B5558" s="828" t="s">
        <v>6553</v>
      </c>
      <c r="C5558" s="828">
        <v>102310</v>
      </c>
      <c r="D5558" s="630" t="s">
        <v>6149</v>
      </c>
      <c r="E5558" s="630" t="s">
        <v>644</v>
      </c>
      <c r="F5558" s="829">
        <v>10.43</v>
      </c>
      <c r="G5558" s="830">
        <v>3.12</v>
      </c>
      <c r="H5558" s="831">
        <v>13.55</v>
      </c>
      <c r="I5558" s="846"/>
      <c r="J5558" s="846"/>
      <c r="K5558" s="846"/>
      <c r="L5558" s="846"/>
      <c r="M5558" s="846"/>
      <c r="N5558" s="846"/>
      <c r="O5558" s="846"/>
      <c r="P5558" s="846"/>
      <c r="Q5558" s="846"/>
      <c r="R5558" s="846"/>
      <c r="S5558" s="846"/>
      <c r="T5558" s="846"/>
    </row>
    <row r="5559" spans="2:20" ht="51" hidden="1">
      <c r="B5559" s="828" t="s">
        <v>6553</v>
      </c>
      <c r="C5559" s="828">
        <v>102311</v>
      </c>
      <c r="D5559" s="630" t="s">
        <v>6150</v>
      </c>
      <c r="E5559" s="630" t="s">
        <v>644</v>
      </c>
      <c r="F5559" s="829">
        <v>10.66</v>
      </c>
      <c r="G5559" s="830">
        <v>2.69</v>
      </c>
      <c r="H5559" s="831">
        <v>13.35</v>
      </c>
      <c r="I5559" s="846"/>
      <c r="J5559" s="846"/>
      <c r="K5559" s="846"/>
      <c r="L5559" s="846"/>
      <c r="M5559" s="846"/>
      <c r="N5559" s="846"/>
      <c r="O5559" s="846"/>
      <c r="P5559" s="846"/>
      <c r="Q5559" s="846"/>
      <c r="R5559" s="846"/>
      <c r="S5559" s="846"/>
      <c r="T5559" s="846"/>
    </row>
    <row r="5560" spans="2:20" ht="51" hidden="1">
      <c r="B5560" s="828" t="s">
        <v>6553</v>
      </c>
      <c r="C5560" s="828">
        <v>102312</v>
      </c>
      <c r="D5560" s="630" t="s">
        <v>6151</v>
      </c>
      <c r="E5560" s="630" t="s">
        <v>644</v>
      </c>
      <c r="F5560" s="829">
        <v>10.25</v>
      </c>
      <c r="G5560" s="830">
        <v>2.58</v>
      </c>
      <c r="H5560" s="831">
        <v>12.83</v>
      </c>
      <c r="I5560" s="846"/>
      <c r="J5560" s="846"/>
      <c r="K5560" s="846"/>
      <c r="L5560" s="846"/>
      <c r="M5560" s="846"/>
      <c r="N5560" s="846"/>
      <c r="O5560" s="846"/>
      <c r="P5560" s="846"/>
      <c r="Q5560" s="846"/>
      <c r="R5560" s="846"/>
      <c r="S5560" s="846"/>
      <c r="T5560" s="846"/>
    </row>
    <row r="5561" spans="2:20" ht="51" hidden="1">
      <c r="B5561" s="828" t="s">
        <v>6553</v>
      </c>
      <c r="C5561" s="828">
        <v>102313</v>
      </c>
      <c r="D5561" s="630" t="s">
        <v>6152</v>
      </c>
      <c r="E5561" s="630" t="s">
        <v>644</v>
      </c>
      <c r="F5561" s="829">
        <v>10.01</v>
      </c>
      <c r="G5561" s="830">
        <v>2.5299999999999998</v>
      </c>
      <c r="H5561" s="831">
        <v>12.54</v>
      </c>
      <c r="I5561" s="846"/>
      <c r="J5561" s="846"/>
      <c r="K5561" s="846"/>
      <c r="L5561" s="846"/>
      <c r="M5561" s="846"/>
      <c r="N5561" s="846"/>
      <c r="O5561" s="846"/>
      <c r="P5561" s="846"/>
      <c r="Q5561" s="846"/>
      <c r="R5561" s="846"/>
      <c r="S5561" s="846"/>
      <c r="T5561" s="846"/>
    </row>
    <row r="5562" spans="2:20" ht="51" hidden="1">
      <c r="B5562" s="828" t="s">
        <v>6553</v>
      </c>
      <c r="C5562" s="828">
        <v>102314</v>
      </c>
      <c r="D5562" s="630" t="s">
        <v>6153</v>
      </c>
      <c r="E5562" s="630" t="s">
        <v>644</v>
      </c>
      <c r="F5562" s="829">
        <v>7.28</v>
      </c>
      <c r="G5562" s="830">
        <v>2.1800000000000002</v>
      </c>
      <c r="H5562" s="831">
        <v>9.4600000000000009</v>
      </c>
      <c r="I5562" s="846"/>
      <c r="J5562" s="846"/>
      <c r="K5562" s="846"/>
      <c r="L5562" s="846"/>
      <c r="M5562" s="846"/>
      <c r="N5562" s="846"/>
      <c r="O5562" s="846"/>
      <c r="P5562" s="846"/>
      <c r="Q5562" s="846"/>
      <c r="R5562" s="846"/>
      <c r="S5562" s="846"/>
      <c r="T5562" s="846"/>
    </row>
    <row r="5563" spans="2:20" ht="51" hidden="1">
      <c r="B5563" s="828" t="s">
        <v>6553</v>
      </c>
      <c r="C5563" s="828">
        <v>102315</v>
      </c>
      <c r="D5563" s="630" t="s">
        <v>6154</v>
      </c>
      <c r="E5563" s="630" t="s">
        <v>644</v>
      </c>
      <c r="F5563" s="829">
        <v>6.45</v>
      </c>
      <c r="G5563" s="830">
        <v>1.94</v>
      </c>
      <c r="H5563" s="831">
        <v>8.39</v>
      </c>
      <c r="I5563" s="846"/>
      <c r="J5563" s="846"/>
      <c r="K5563" s="846"/>
      <c r="L5563" s="846"/>
      <c r="M5563" s="846"/>
      <c r="N5563" s="846"/>
      <c r="O5563" s="846"/>
      <c r="P5563" s="846"/>
      <c r="Q5563" s="846"/>
      <c r="R5563" s="846"/>
      <c r="S5563" s="846"/>
      <c r="T5563" s="846"/>
    </row>
    <row r="5564" spans="2:20" ht="51" hidden="1">
      <c r="B5564" s="828" t="s">
        <v>6553</v>
      </c>
      <c r="C5564" s="828">
        <v>102316</v>
      </c>
      <c r="D5564" s="630" t="s">
        <v>6155</v>
      </c>
      <c r="E5564" s="630" t="s">
        <v>644</v>
      </c>
      <c r="F5564" s="829">
        <v>6.26</v>
      </c>
      <c r="G5564" s="830">
        <v>1.87</v>
      </c>
      <c r="H5564" s="831">
        <v>8.1300000000000008</v>
      </c>
      <c r="I5564" s="846"/>
      <c r="J5564" s="846"/>
      <c r="K5564" s="846"/>
      <c r="L5564" s="846"/>
      <c r="M5564" s="846"/>
      <c r="N5564" s="846"/>
      <c r="O5564" s="846"/>
      <c r="P5564" s="846"/>
      <c r="Q5564" s="846"/>
      <c r="R5564" s="846"/>
      <c r="S5564" s="846"/>
      <c r="T5564" s="846"/>
    </row>
    <row r="5565" spans="2:20" ht="51" hidden="1">
      <c r="B5565" s="828" t="s">
        <v>6553</v>
      </c>
      <c r="C5565" s="828">
        <v>102317</v>
      </c>
      <c r="D5565" s="630" t="s">
        <v>6156</v>
      </c>
      <c r="E5565" s="630" t="s">
        <v>644</v>
      </c>
      <c r="F5565" s="829">
        <v>5.91</v>
      </c>
      <c r="G5565" s="830">
        <v>1.76</v>
      </c>
      <c r="H5565" s="831">
        <v>7.67</v>
      </c>
      <c r="I5565" s="846"/>
      <c r="J5565" s="846"/>
      <c r="K5565" s="846"/>
      <c r="L5565" s="846"/>
      <c r="M5565" s="846"/>
      <c r="N5565" s="846"/>
      <c r="O5565" s="846"/>
      <c r="P5565" s="846"/>
      <c r="Q5565" s="846"/>
      <c r="R5565" s="846"/>
      <c r="S5565" s="846"/>
      <c r="T5565" s="846"/>
    </row>
    <row r="5566" spans="2:20" ht="51" hidden="1">
      <c r="B5566" s="828" t="s">
        <v>6553</v>
      </c>
      <c r="C5566" s="828">
        <v>102318</v>
      </c>
      <c r="D5566" s="630" t="s">
        <v>6157</v>
      </c>
      <c r="E5566" s="630" t="s">
        <v>644</v>
      </c>
      <c r="F5566" s="829">
        <v>5.76</v>
      </c>
      <c r="G5566" s="830">
        <v>1.72</v>
      </c>
      <c r="H5566" s="831">
        <v>7.48</v>
      </c>
      <c r="I5566" s="846"/>
      <c r="J5566" s="846"/>
      <c r="K5566" s="846"/>
      <c r="L5566" s="846"/>
      <c r="M5566" s="846"/>
      <c r="N5566" s="846"/>
      <c r="O5566" s="846"/>
      <c r="P5566" s="846"/>
      <c r="Q5566" s="846"/>
      <c r="R5566" s="846"/>
      <c r="S5566" s="846"/>
      <c r="T5566" s="846"/>
    </row>
    <row r="5567" spans="2:20" ht="51" hidden="1">
      <c r="B5567" s="828" t="s">
        <v>6553</v>
      </c>
      <c r="C5567" s="828">
        <v>102319</v>
      </c>
      <c r="D5567" s="630" t="s">
        <v>6158</v>
      </c>
      <c r="E5567" s="630" t="s">
        <v>644</v>
      </c>
      <c r="F5567" s="829">
        <v>5.87</v>
      </c>
      <c r="G5567" s="830">
        <v>1.48</v>
      </c>
      <c r="H5567" s="831">
        <v>7.35</v>
      </c>
      <c r="I5567" s="846"/>
      <c r="J5567" s="846"/>
      <c r="K5567" s="846"/>
      <c r="L5567" s="846"/>
      <c r="M5567" s="846"/>
      <c r="N5567" s="846"/>
      <c r="O5567" s="846"/>
      <c r="P5567" s="846"/>
      <c r="Q5567" s="846"/>
      <c r="R5567" s="846"/>
      <c r="S5567" s="846"/>
      <c r="T5567" s="846"/>
    </row>
    <row r="5568" spans="2:20" ht="51" hidden="1">
      <c r="B5568" s="828" t="s">
        <v>6553</v>
      </c>
      <c r="C5568" s="828">
        <v>102320</v>
      </c>
      <c r="D5568" s="630" t="s">
        <v>6159</v>
      </c>
      <c r="E5568" s="630" t="s">
        <v>644</v>
      </c>
      <c r="F5568" s="829">
        <v>5.65</v>
      </c>
      <c r="G5568" s="830">
        <v>1.42</v>
      </c>
      <c r="H5568" s="831">
        <v>7.07</v>
      </c>
      <c r="I5568" s="846"/>
      <c r="J5568" s="846"/>
      <c r="K5568" s="846"/>
      <c r="L5568" s="846"/>
      <c r="M5568" s="846"/>
      <c r="N5568" s="846"/>
      <c r="O5568" s="846"/>
      <c r="P5568" s="846"/>
      <c r="Q5568" s="846"/>
      <c r="R5568" s="846"/>
      <c r="S5568" s="846"/>
      <c r="T5568" s="846"/>
    </row>
    <row r="5569" spans="2:20" ht="51" hidden="1">
      <c r="B5569" s="828" t="s">
        <v>6553</v>
      </c>
      <c r="C5569" s="828">
        <v>102321</v>
      </c>
      <c r="D5569" s="630" t="s">
        <v>6160</v>
      </c>
      <c r="E5569" s="630" t="s">
        <v>644</v>
      </c>
      <c r="F5569" s="829">
        <v>5.53</v>
      </c>
      <c r="G5569" s="830">
        <v>1.39</v>
      </c>
      <c r="H5569" s="831">
        <v>6.92</v>
      </c>
      <c r="I5569" s="846"/>
      <c r="J5569" s="846"/>
      <c r="K5569" s="846"/>
      <c r="L5569" s="846"/>
      <c r="M5569" s="846"/>
      <c r="N5569" s="846"/>
      <c r="O5569" s="846"/>
      <c r="P5569" s="846"/>
      <c r="Q5569" s="846"/>
      <c r="R5569" s="846"/>
      <c r="S5569" s="846"/>
      <c r="T5569" s="846"/>
    </row>
    <row r="5570" spans="2:20" ht="51" hidden="1">
      <c r="B5570" s="828" t="s">
        <v>6553</v>
      </c>
      <c r="C5570" s="828">
        <v>102322</v>
      </c>
      <c r="D5570" s="630" t="s">
        <v>6161</v>
      </c>
      <c r="E5570" s="630" t="s">
        <v>644</v>
      </c>
      <c r="F5570" s="829">
        <v>14.25</v>
      </c>
      <c r="G5570" s="830">
        <v>6.79</v>
      </c>
      <c r="H5570" s="831">
        <v>21.04</v>
      </c>
      <c r="I5570" s="846"/>
      <c r="J5570" s="846"/>
      <c r="K5570" s="846"/>
      <c r="L5570" s="846"/>
      <c r="M5570" s="846"/>
      <c r="N5570" s="846"/>
      <c r="O5570" s="846"/>
      <c r="P5570" s="846"/>
      <c r="Q5570" s="846"/>
      <c r="R5570" s="846"/>
      <c r="S5570" s="846"/>
      <c r="T5570" s="846"/>
    </row>
    <row r="5571" spans="2:20" ht="51" hidden="1">
      <c r="B5571" s="828" t="s">
        <v>6553</v>
      </c>
      <c r="C5571" s="828">
        <v>102323</v>
      </c>
      <c r="D5571" s="630" t="s">
        <v>6162</v>
      </c>
      <c r="E5571" s="630" t="s">
        <v>644</v>
      </c>
      <c r="F5571" s="829">
        <v>12.1</v>
      </c>
      <c r="G5571" s="830">
        <v>5.76</v>
      </c>
      <c r="H5571" s="831">
        <v>17.86</v>
      </c>
      <c r="I5571" s="846"/>
      <c r="J5571" s="846"/>
      <c r="K5571" s="846"/>
      <c r="L5571" s="846"/>
      <c r="M5571" s="846"/>
      <c r="N5571" s="846"/>
      <c r="O5571" s="846"/>
      <c r="P5571" s="846"/>
      <c r="Q5571" s="846"/>
      <c r="R5571" s="846"/>
      <c r="S5571" s="846"/>
      <c r="T5571" s="846"/>
    </row>
    <row r="5572" spans="2:20" ht="51" hidden="1">
      <c r="B5572" s="828" t="s">
        <v>6553</v>
      </c>
      <c r="C5572" s="828">
        <v>102324</v>
      </c>
      <c r="D5572" s="630" t="s">
        <v>6163</v>
      </c>
      <c r="E5572" s="630" t="s">
        <v>644</v>
      </c>
      <c r="F5572" s="829">
        <v>11.95</v>
      </c>
      <c r="G5572" s="830">
        <v>5.69</v>
      </c>
      <c r="H5572" s="831">
        <v>17.64</v>
      </c>
      <c r="I5572" s="846"/>
      <c r="J5572" s="846"/>
      <c r="K5572" s="846"/>
      <c r="L5572" s="846"/>
      <c r="M5572" s="846"/>
      <c r="N5572" s="846"/>
      <c r="O5572" s="846"/>
      <c r="P5572" s="846"/>
      <c r="Q5572" s="846"/>
      <c r="R5572" s="846"/>
      <c r="S5572" s="846"/>
      <c r="T5572" s="846"/>
    </row>
    <row r="5573" spans="2:20" ht="51" hidden="1">
      <c r="B5573" s="828" t="s">
        <v>6553</v>
      </c>
      <c r="C5573" s="828">
        <v>102325</v>
      </c>
      <c r="D5573" s="630" t="s">
        <v>6164</v>
      </c>
      <c r="E5573" s="630" t="s">
        <v>644</v>
      </c>
      <c r="F5573" s="829">
        <v>10.879999999999999</v>
      </c>
      <c r="G5573" s="830">
        <v>5.18</v>
      </c>
      <c r="H5573" s="831">
        <v>16.059999999999999</v>
      </c>
      <c r="I5573" s="846"/>
      <c r="J5573" s="846"/>
      <c r="K5573" s="846"/>
      <c r="L5573" s="846"/>
      <c r="M5573" s="846"/>
      <c r="N5573" s="846"/>
      <c r="O5573" s="846"/>
      <c r="P5573" s="846"/>
      <c r="Q5573" s="846"/>
      <c r="R5573" s="846"/>
      <c r="S5573" s="846"/>
      <c r="T5573" s="846"/>
    </row>
    <row r="5574" spans="2:20" ht="51" hidden="1">
      <c r="B5574" s="828" t="s">
        <v>6553</v>
      </c>
      <c r="C5574" s="828">
        <v>102326</v>
      </c>
      <c r="D5574" s="630" t="s">
        <v>6165</v>
      </c>
      <c r="E5574" s="630" t="s">
        <v>644</v>
      </c>
      <c r="F5574" s="829">
        <v>7.86</v>
      </c>
      <c r="G5574" s="830">
        <v>3.75</v>
      </c>
      <c r="H5574" s="831">
        <v>11.61</v>
      </c>
      <c r="I5574" s="846"/>
      <c r="J5574" s="846"/>
      <c r="K5574" s="846"/>
      <c r="L5574" s="846"/>
      <c r="M5574" s="846"/>
      <c r="N5574" s="846"/>
      <c r="O5574" s="846"/>
      <c r="P5574" s="846"/>
      <c r="Q5574" s="846"/>
      <c r="R5574" s="846"/>
      <c r="S5574" s="846"/>
      <c r="T5574" s="846"/>
    </row>
    <row r="5575" spans="2:20" ht="51" hidden="1">
      <c r="B5575" s="828" t="s">
        <v>6553</v>
      </c>
      <c r="C5575" s="828">
        <v>102327</v>
      </c>
      <c r="D5575" s="630" t="s">
        <v>6166</v>
      </c>
      <c r="E5575" s="630" t="s">
        <v>644</v>
      </c>
      <c r="F5575" s="829">
        <v>6.68</v>
      </c>
      <c r="G5575" s="830">
        <v>3.18</v>
      </c>
      <c r="H5575" s="831">
        <v>9.86</v>
      </c>
      <c r="I5575" s="846"/>
      <c r="J5575" s="846"/>
      <c r="K5575" s="846"/>
      <c r="L5575" s="846"/>
      <c r="M5575" s="846"/>
      <c r="N5575" s="846"/>
      <c r="O5575" s="846"/>
      <c r="P5575" s="846"/>
      <c r="Q5575" s="846"/>
      <c r="R5575" s="846"/>
      <c r="S5575" s="846"/>
      <c r="T5575" s="846"/>
    </row>
    <row r="5576" spans="2:20" ht="51" hidden="1">
      <c r="B5576" s="828" t="s">
        <v>6553</v>
      </c>
      <c r="C5576" s="828">
        <v>102328</v>
      </c>
      <c r="D5576" s="630" t="s">
        <v>6167</v>
      </c>
      <c r="E5576" s="630" t="s">
        <v>644</v>
      </c>
      <c r="F5576" s="829">
        <v>6.59</v>
      </c>
      <c r="G5576" s="830">
        <v>3.14</v>
      </c>
      <c r="H5576" s="832">
        <v>9.73</v>
      </c>
      <c r="I5576" s="846"/>
      <c r="J5576" s="846"/>
      <c r="K5576" s="846"/>
      <c r="L5576" s="846"/>
      <c r="M5576" s="846"/>
      <c r="N5576" s="846"/>
      <c r="O5576" s="846"/>
      <c r="P5576" s="846"/>
      <c r="Q5576" s="846"/>
      <c r="R5576" s="846"/>
      <c r="S5576" s="846"/>
      <c r="T5576" s="846"/>
    </row>
    <row r="5577" spans="2:20" ht="51" hidden="1">
      <c r="B5577" s="828" t="s">
        <v>6553</v>
      </c>
      <c r="C5577" s="828">
        <v>102329</v>
      </c>
      <c r="D5577" s="630" t="s">
        <v>6168</v>
      </c>
      <c r="E5577" s="630" t="s">
        <v>644</v>
      </c>
      <c r="F5577" s="829">
        <v>6.01</v>
      </c>
      <c r="G5577" s="830">
        <v>2.85</v>
      </c>
      <c r="H5577" s="832">
        <v>8.86</v>
      </c>
      <c r="I5577" s="846"/>
      <c r="J5577" s="846"/>
      <c r="K5577" s="846"/>
      <c r="L5577" s="846"/>
      <c r="M5577" s="846"/>
      <c r="N5577" s="846"/>
      <c r="O5577" s="846"/>
      <c r="P5577" s="846"/>
      <c r="Q5577" s="846"/>
      <c r="R5577" s="846"/>
      <c r="S5577" s="846"/>
      <c r="T5577" s="846"/>
    </row>
    <row r="5578" spans="2:20" ht="51" hidden="1">
      <c r="B5578" s="828" t="s">
        <v>6586</v>
      </c>
      <c r="C5578" s="828">
        <v>94304</v>
      </c>
      <c r="D5578" s="630" t="s">
        <v>657</v>
      </c>
      <c r="E5578" s="630" t="s">
        <v>644</v>
      </c>
      <c r="F5578" s="829">
        <v>57.67</v>
      </c>
      <c r="G5578" s="830">
        <v>7.6</v>
      </c>
      <c r="H5578" s="832">
        <v>65.27</v>
      </c>
      <c r="I5578" s="846"/>
      <c r="J5578" s="846"/>
      <c r="K5578" s="846"/>
      <c r="L5578" s="846"/>
      <c r="M5578" s="846"/>
      <c r="N5578" s="846"/>
      <c r="O5578" s="846"/>
      <c r="P5578" s="846"/>
      <c r="Q5578" s="846"/>
      <c r="R5578" s="846"/>
      <c r="S5578" s="846"/>
      <c r="T5578" s="846"/>
    </row>
    <row r="5579" spans="2:20" ht="51" hidden="1">
      <c r="B5579" s="828" t="s">
        <v>6586</v>
      </c>
      <c r="C5579" s="828">
        <v>94305</v>
      </c>
      <c r="D5579" s="630" t="s">
        <v>658</v>
      </c>
      <c r="E5579" s="630" t="s">
        <v>644</v>
      </c>
      <c r="F5579" s="829">
        <v>55.3</v>
      </c>
      <c r="G5579" s="830">
        <v>5.62</v>
      </c>
      <c r="H5579" s="832">
        <v>60.92</v>
      </c>
      <c r="I5579" s="846"/>
      <c r="J5579" s="846"/>
      <c r="K5579" s="846"/>
      <c r="L5579" s="846"/>
      <c r="M5579" s="846"/>
      <c r="N5579" s="846"/>
      <c r="O5579" s="846"/>
      <c r="P5579" s="846"/>
      <c r="Q5579" s="846"/>
      <c r="R5579" s="846"/>
      <c r="S5579" s="846"/>
      <c r="T5579" s="846"/>
    </row>
    <row r="5580" spans="2:20" ht="51" hidden="1">
      <c r="B5580" s="828" t="s">
        <v>6586</v>
      </c>
      <c r="C5580" s="828">
        <v>94306</v>
      </c>
      <c r="D5580" s="630" t="s">
        <v>659</v>
      </c>
      <c r="E5580" s="630" t="s">
        <v>644</v>
      </c>
      <c r="F5580" s="829">
        <v>52.34</v>
      </c>
      <c r="G5580" s="830">
        <v>3.09</v>
      </c>
      <c r="H5580" s="831">
        <v>55.43</v>
      </c>
      <c r="I5580" s="846"/>
      <c r="J5580" s="846"/>
      <c r="K5580" s="846"/>
      <c r="L5580" s="846"/>
      <c r="M5580" s="846"/>
      <c r="N5580" s="846"/>
      <c r="O5580" s="846"/>
      <c r="P5580" s="846"/>
      <c r="Q5580" s="846"/>
      <c r="R5580" s="846"/>
      <c r="S5580" s="846"/>
      <c r="T5580" s="846"/>
    </row>
    <row r="5581" spans="2:20" ht="51" hidden="1">
      <c r="B5581" s="828" t="s">
        <v>6586</v>
      </c>
      <c r="C5581" s="828">
        <v>94307</v>
      </c>
      <c r="D5581" s="630" t="s">
        <v>660</v>
      </c>
      <c r="E5581" s="630" t="s">
        <v>644</v>
      </c>
      <c r="F5581" s="829">
        <v>53.06</v>
      </c>
      <c r="G5581" s="830">
        <v>3.63</v>
      </c>
      <c r="H5581" s="831">
        <v>56.69</v>
      </c>
      <c r="I5581" s="846"/>
      <c r="J5581" s="846"/>
      <c r="K5581" s="846"/>
      <c r="L5581" s="846"/>
      <c r="M5581" s="846"/>
      <c r="N5581" s="846"/>
      <c r="O5581" s="846"/>
      <c r="P5581" s="846"/>
      <c r="Q5581" s="846"/>
      <c r="R5581" s="846"/>
      <c r="S5581" s="846"/>
      <c r="T5581" s="846"/>
    </row>
    <row r="5582" spans="2:20" ht="51" hidden="1">
      <c r="B5582" s="828" t="s">
        <v>6586</v>
      </c>
      <c r="C5582" s="828">
        <v>94308</v>
      </c>
      <c r="D5582" s="630" t="s">
        <v>661</v>
      </c>
      <c r="E5582" s="630" t="s">
        <v>644</v>
      </c>
      <c r="F5582" s="829">
        <v>50.970000000000006</v>
      </c>
      <c r="G5582" s="830">
        <v>2.34</v>
      </c>
      <c r="H5582" s="831">
        <v>53.31</v>
      </c>
      <c r="I5582" s="846"/>
      <c r="J5582" s="846"/>
      <c r="K5582" s="846"/>
      <c r="L5582" s="846"/>
      <c r="M5582" s="846"/>
      <c r="N5582" s="846"/>
      <c r="O5582" s="846"/>
      <c r="P5582" s="846"/>
      <c r="Q5582" s="846"/>
      <c r="R5582" s="846"/>
      <c r="S5582" s="846"/>
      <c r="T5582" s="846"/>
    </row>
    <row r="5583" spans="2:20" ht="51" hidden="1">
      <c r="B5583" s="828" t="s">
        <v>6586</v>
      </c>
      <c r="C5583" s="828">
        <v>94309</v>
      </c>
      <c r="D5583" s="630" t="s">
        <v>662</v>
      </c>
      <c r="E5583" s="630" t="s">
        <v>644</v>
      </c>
      <c r="F5583" s="829">
        <v>51.98</v>
      </c>
      <c r="G5583" s="830">
        <v>2.86</v>
      </c>
      <c r="H5583" s="831">
        <v>54.84</v>
      </c>
      <c r="I5583" s="846"/>
      <c r="J5583" s="846"/>
      <c r="K5583" s="846"/>
      <c r="L5583" s="846"/>
      <c r="M5583" s="846"/>
      <c r="N5583" s="846"/>
      <c r="O5583" s="846"/>
      <c r="P5583" s="846"/>
      <c r="Q5583" s="846"/>
      <c r="R5583" s="846"/>
      <c r="S5583" s="846"/>
      <c r="T5583" s="846"/>
    </row>
    <row r="5584" spans="2:20" ht="51" hidden="1">
      <c r="B5584" s="828" t="s">
        <v>6586</v>
      </c>
      <c r="C5584" s="828">
        <v>94310</v>
      </c>
      <c r="D5584" s="630" t="s">
        <v>663</v>
      </c>
      <c r="E5584" s="630" t="s">
        <v>644</v>
      </c>
      <c r="F5584" s="829">
        <v>50.26</v>
      </c>
      <c r="G5584" s="830">
        <v>1.98</v>
      </c>
      <c r="H5584" s="831">
        <v>52.24</v>
      </c>
      <c r="I5584" s="846"/>
      <c r="J5584" s="846"/>
      <c r="K5584" s="846"/>
      <c r="L5584" s="846"/>
      <c r="M5584" s="846"/>
      <c r="N5584" s="846"/>
      <c r="O5584" s="846"/>
      <c r="P5584" s="846"/>
      <c r="Q5584" s="846"/>
      <c r="R5584" s="846"/>
      <c r="S5584" s="846"/>
      <c r="T5584" s="846"/>
    </row>
    <row r="5585" spans="2:20" ht="38.25" hidden="1">
      <c r="B5585" s="828" t="s">
        <v>6586</v>
      </c>
      <c r="C5585" s="828">
        <v>94315</v>
      </c>
      <c r="D5585" s="630" t="s">
        <v>846</v>
      </c>
      <c r="E5585" s="630" t="s">
        <v>644</v>
      </c>
      <c r="F5585" s="829">
        <v>57.300000000000004</v>
      </c>
      <c r="G5585" s="830">
        <v>16.21</v>
      </c>
      <c r="H5585" s="831">
        <v>73.510000000000005</v>
      </c>
      <c r="I5585" s="846"/>
      <c r="J5585" s="846"/>
      <c r="K5585" s="846"/>
      <c r="L5585" s="846"/>
      <c r="M5585" s="846"/>
      <c r="N5585" s="846"/>
      <c r="O5585" s="846"/>
      <c r="P5585" s="846"/>
      <c r="Q5585" s="846"/>
      <c r="R5585" s="846"/>
      <c r="S5585" s="846"/>
      <c r="T5585" s="846"/>
    </row>
    <row r="5586" spans="2:20" ht="38.25" hidden="1">
      <c r="B5586" s="828" t="s">
        <v>6586</v>
      </c>
      <c r="C5586" s="828">
        <v>94316</v>
      </c>
      <c r="D5586" s="630" t="s">
        <v>847</v>
      </c>
      <c r="E5586" s="630" t="s">
        <v>644</v>
      </c>
      <c r="F5586" s="829">
        <v>53.14</v>
      </c>
      <c r="G5586" s="830">
        <v>10.4</v>
      </c>
      <c r="H5586" s="831">
        <v>63.54</v>
      </c>
      <c r="I5586" s="846"/>
      <c r="J5586" s="846"/>
      <c r="K5586" s="846"/>
      <c r="L5586" s="846"/>
      <c r="M5586" s="846"/>
      <c r="N5586" s="846"/>
      <c r="O5586" s="846"/>
      <c r="P5586" s="846"/>
      <c r="Q5586" s="846"/>
      <c r="R5586" s="846"/>
      <c r="S5586" s="846"/>
      <c r="T5586" s="846"/>
    </row>
    <row r="5587" spans="2:20" ht="38.25" hidden="1">
      <c r="B5587" s="828" t="s">
        <v>6586</v>
      </c>
      <c r="C5587" s="828">
        <v>94317</v>
      </c>
      <c r="D5587" s="630" t="s">
        <v>848</v>
      </c>
      <c r="E5587" s="630" t="s">
        <v>644</v>
      </c>
      <c r="F5587" s="829">
        <v>51.31</v>
      </c>
      <c r="G5587" s="830">
        <v>7.83</v>
      </c>
      <c r="H5587" s="831">
        <v>59.14</v>
      </c>
      <c r="I5587" s="846"/>
      <c r="J5587" s="846"/>
      <c r="K5587" s="846"/>
      <c r="L5587" s="846"/>
      <c r="M5587" s="846"/>
      <c r="N5587" s="977"/>
      <c r="O5587" s="977"/>
      <c r="P5587" s="977"/>
      <c r="Q5587" s="977"/>
      <c r="R5587" s="977"/>
      <c r="S5587" s="846"/>
      <c r="T5587" s="846"/>
    </row>
    <row r="5588" spans="2:20" ht="38.25" hidden="1">
      <c r="B5588" s="828" t="s">
        <v>6586</v>
      </c>
      <c r="C5588" s="828">
        <v>94318</v>
      </c>
      <c r="D5588" s="630" t="s">
        <v>849</v>
      </c>
      <c r="E5588" s="630" t="s">
        <v>644</v>
      </c>
      <c r="F5588" s="829">
        <v>48.96</v>
      </c>
      <c r="G5588" s="830">
        <v>4.49</v>
      </c>
      <c r="H5588" s="831">
        <v>53.45</v>
      </c>
      <c r="I5588" s="846"/>
      <c r="J5588" s="977"/>
      <c r="K5588" s="977"/>
      <c r="L5588" s="977"/>
      <c r="M5588" s="846"/>
      <c r="N5588" s="978"/>
      <c r="O5588" s="978"/>
      <c r="P5588" s="978"/>
      <c r="Q5588" s="978"/>
      <c r="R5588" s="978"/>
      <c r="S5588" s="846"/>
      <c r="T5588" s="846"/>
    </row>
    <row r="5589" spans="2:20" ht="25.5" hidden="1">
      <c r="B5589" s="828" t="s">
        <v>6586</v>
      </c>
      <c r="C5589" s="828">
        <v>94319</v>
      </c>
      <c r="D5589" s="630" t="s">
        <v>850</v>
      </c>
      <c r="E5589" s="630" t="s">
        <v>644</v>
      </c>
      <c r="F5589" s="829">
        <v>53.699999999999996</v>
      </c>
      <c r="G5589" s="830">
        <v>24.33</v>
      </c>
      <c r="H5589" s="831">
        <v>78.03</v>
      </c>
      <c r="I5589" s="846"/>
      <c r="J5589" s="977"/>
      <c r="K5589" s="977"/>
      <c r="L5589" s="977"/>
      <c r="M5589" s="846"/>
      <c r="N5589" s="978"/>
      <c r="O5589" s="978"/>
      <c r="P5589" s="978"/>
      <c r="Q5589" s="978"/>
      <c r="R5589" s="979"/>
      <c r="S5589" s="846"/>
      <c r="T5589" s="846"/>
    </row>
    <row r="5590" spans="2:20" ht="38.25" hidden="1">
      <c r="B5590" s="828" t="s">
        <v>6586</v>
      </c>
      <c r="C5590" s="828">
        <v>94327</v>
      </c>
      <c r="D5590" s="630" t="s">
        <v>851</v>
      </c>
      <c r="E5590" s="630" t="s">
        <v>644</v>
      </c>
      <c r="F5590" s="829">
        <v>66.58</v>
      </c>
      <c r="G5590" s="830">
        <v>7.59</v>
      </c>
      <c r="H5590" s="831">
        <v>74.17</v>
      </c>
      <c r="I5590" s="846"/>
      <c r="J5590" s="846"/>
      <c r="K5590" s="846"/>
      <c r="L5590" s="846"/>
      <c r="M5590" s="846"/>
      <c r="N5590" s="846"/>
      <c r="O5590" s="846"/>
      <c r="P5590" s="846"/>
      <c r="Q5590" s="846"/>
      <c r="R5590" s="846"/>
      <c r="S5590" s="846"/>
      <c r="T5590" s="846"/>
    </row>
    <row r="5591" spans="2:20" ht="38.25" hidden="1">
      <c r="B5591" s="828" t="s">
        <v>6586</v>
      </c>
      <c r="C5591" s="828">
        <v>94328</v>
      </c>
      <c r="D5591" s="630" t="s">
        <v>852</v>
      </c>
      <c r="E5591" s="630" t="s">
        <v>644</v>
      </c>
      <c r="F5591" s="829">
        <v>64.2</v>
      </c>
      <c r="G5591" s="830">
        <v>5.62</v>
      </c>
      <c r="H5591" s="831">
        <v>69.819999999999993</v>
      </c>
      <c r="I5591" s="846"/>
      <c r="J5591" s="846"/>
      <c r="K5591" s="846"/>
      <c r="L5591" s="846"/>
      <c r="M5591" s="846"/>
      <c r="N5591" s="846"/>
      <c r="O5591" s="846"/>
      <c r="P5591" s="846"/>
      <c r="Q5591" s="846"/>
      <c r="R5591" s="846"/>
      <c r="S5591" s="846"/>
      <c r="T5591" s="846"/>
    </row>
    <row r="5592" spans="2:20" ht="51" hidden="1">
      <c r="B5592" s="828" t="s">
        <v>6586</v>
      </c>
      <c r="C5592" s="828">
        <v>94329</v>
      </c>
      <c r="D5592" s="630" t="s">
        <v>853</v>
      </c>
      <c r="E5592" s="630" t="s">
        <v>644</v>
      </c>
      <c r="F5592" s="829">
        <v>61.239999999999995</v>
      </c>
      <c r="G5592" s="830">
        <v>3.09</v>
      </c>
      <c r="H5592" s="831">
        <v>64.33</v>
      </c>
      <c r="I5592" s="846"/>
      <c r="J5592" s="846"/>
      <c r="K5592" s="846"/>
      <c r="L5592" s="846"/>
      <c r="M5592" s="846"/>
      <c r="N5592" s="846"/>
      <c r="O5592" s="846"/>
      <c r="P5592" s="846"/>
      <c r="Q5592" s="846"/>
      <c r="R5592" s="846"/>
      <c r="S5592" s="846"/>
      <c r="T5592" s="846"/>
    </row>
    <row r="5593" spans="2:20" ht="38.25" hidden="1">
      <c r="B5593" s="828" t="s">
        <v>6586</v>
      </c>
      <c r="C5593" s="828">
        <v>94330</v>
      </c>
      <c r="D5593" s="630" t="s">
        <v>854</v>
      </c>
      <c r="E5593" s="630" t="s">
        <v>644</v>
      </c>
      <c r="F5593" s="829">
        <v>61.959999999999994</v>
      </c>
      <c r="G5593" s="830">
        <v>3.63</v>
      </c>
      <c r="H5593" s="831">
        <v>65.59</v>
      </c>
      <c r="I5593" s="846"/>
      <c r="J5593" s="846"/>
      <c r="K5593" s="846"/>
      <c r="L5593" s="846"/>
      <c r="M5593" s="846"/>
      <c r="N5593" s="846"/>
      <c r="O5593" s="846"/>
      <c r="P5593" s="846"/>
      <c r="Q5593" s="846"/>
      <c r="R5593" s="846"/>
      <c r="S5593" s="846"/>
      <c r="T5593" s="846"/>
    </row>
    <row r="5594" spans="2:20" ht="51" hidden="1">
      <c r="B5594" s="828" t="s">
        <v>6586</v>
      </c>
      <c r="C5594" s="828">
        <v>94331</v>
      </c>
      <c r="D5594" s="630" t="s">
        <v>855</v>
      </c>
      <c r="E5594" s="630" t="s">
        <v>644</v>
      </c>
      <c r="F5594" s="829">
        <v>59.870000000000005</v>
      </c>
      <c r="G5594" s="830">
        <v>2.34</v>
      </c>
      <c r="H5594" s="831">
        <v>62.21</v>
      </c>
      <c r="I5594" s="846"/>
      <c r="J5594" s="846"/>
      <c r="K5594" s="846"/>
      <c r="L5594" s="846"/>
      <c r="M5594" s="846"/>
      <c r="N5594" s="846"/>
      <c r="O5594" s="846"/>
      <c r="P5594" s="846"/>
      <c r="Q5594" s="846"/>
      <c r="R5594" s="846"/>
      <c r="S5594" s="846"/>
      <c r="T5594" s="846"/>
    </row>
    <row r="5595" spans="2:20" ht="38.25" hidden="1">
      <c r="B5595" s="828" t="s">
        <v>6586</v>
      </c>
      <c r="C5595" s="828">
        <v>94332</v>
      </c>
      <c r="D5595" s="630" t="s">
        <v>856</v>
      </c>
      <c r="E5595" s="630" t="s">
        <v>644</v>
      </c>
      <c r="F5595" s="829">
        <v>60.879999999999995</v>
      </c>
      <c r="G5595" s="830">
        <v>2.86</v>
      </c>
      <c r="H5595" s="831">
        <v>63.74</v>
      </c>
      <c r="I5595" s="846"/>
      <c r="J5595" s="846"/>
      <c r="K5595" s="846"/>
      <c r="L5595" s="846"/>
      <c r="M5595" s="846"/>
      <c r="N5595" s="846"/>
      <c r="O5595" s="846"/>
      <c r="P5595" s="846"/>
      <c r="Q5595" s="846"/>
      <c r="R5595" s="846"/>
      <c r="S5595" s="846"/>
      <c r="T5595" s="846"/>
    </row>
    <row r="5596" spans="2:20" ht="51" hidden="1">
      <c r="B5596" s="828" t="s">
        <v>6586</v>
      </c>
      <c r="C5596" s="828">
        <v>94333</v>
      </c>
      <c r="D5596" s="630" t="s">
        <v>857</v>
      </c>
      <c r="E5596" s="630" t="s">
        <v>644</v>
      </c>
      <c r="F5596" s="829">
        <v>59.17</v>
      </c>
      <c r="G5596" s="830">
        <v>1.97</v>
      </c>
      <c r="H5596" s="831">
        <v>61.14</v>
      </c>
      <c r="I5596" s="846"/>
      <c r="J5596" s="846"/>
      <c r="K5596" s="846"/>
      <c r="L5596" s="846"/>
      <c r="M5596" s="846"/>
      <c r="N5596" s="846"/>
      <c r="O5596" s="846"/>
      <c r="P5596" s="846"/>
      <c r="Q5596" s="846"/>
      <c r="R5596" s="846"/>
      <c r="S5596" s="846"/>
      <c r="T5596" s="846"/>
    </row>
    <row r="5597" spans="2:20" ht="38.25" hidden="1">
      <c r="B5597" s="828" t="s">
        <v>6586</v>
      </c>
      <c r="C5597" s="828">
        <v>94338</v>
      </c>
      <c r="D5597" s="630" t="s">
        <v>858</v>
      </c>
      <c r="E5597" s="630" t="s">
        <v>644</v>
      </c>
      <c r="F5597" s="829">
        <v>66.209999999999994</v>
      </c>
      <c r="G5597" s="830">
        <v>16.2</v>
      </c>
      <c r="H5597" s="831">
        <v>82.41</v>
      </c>
      <c r="I5597" s="846"/>
      <c r="J5597" s="846"/>
      <c r="K5597" s="846"/>
      <c r="L5597" s="846"/>
      <c r="M5597" s="846"/>
      <c r="N5597" s="846"/>
      <c r="O5597" s="846"/>
      <c r="P5597" s="846"/>
      <c r="Q5597" s="846"/>
      <c r="R5597" s="846"/>
      <c r="S5597" s="846"/>
      <c r="T5597" s="846"/>
    </row>
    <row r="5598" spans="2:20" ht="38.25" hidden="1">
      <c r="B5598" s="828" t="s">
        <v>6586</v>
      </c>
      <c r="C5598" s="828">
        <v>94339</v>
      </c>
      <c r="D5598" s="630" t="s">
        <v>947</v>
      </c>
      <c r="E5598" s="630" t="s">
        <v>644</v>
      </c>
      <c r="F5598" s="829">
        <v>62.040000000000006</v>
      </c>
      <c r="G5598" s="830">
        <v>10.4</v>
      </c>
      <c r="H5598" s="831">
        <v>72.44</v>
      </c>
      <c r="I5598" s="846"/>
      <c r="J5598" s="846"/>
      <c r="K5598" s="846"/>
      <c r="L5598" s="846"/>
      <c r="M5598" s="846"/>
      <c r="N5598" s="846"/>
      <c r="O5598" s="846"/>
      <c r="P5598" s="846"/>
      <c r="Q5598" s="846"/>
      <c r="R5598" s="846"/>
      <c r="S5598" s="846"/>
      <c r="T5598" s="846"/>
    </row>
    <row r="5599" spans="2:20" ht="38.25" hidden="1">
      <c r="B5599" s="828" t="s">
        <v>6586</v>
      </c>
      <c r="C5599" s="828">
        <v>94340</v>
      </c>
      <c r="D5599" s="630" t="s">
        <v>948</v>
      </c>
      <c r="E5599" s="630" t="s">
        <v>644</v>
      </c>
      <c r="F5599" s="829">
        <v>60.21</v>
      </c>
      <c r="G5599" s="830">
        <v>7.83</v>
      </c>
      <c r="H5599" s="831">
        <v>68.040000000000006</v>
      </c>
      <c r="I5599" s="846"/>
      <c r="J5599" s="846"/>
      <c r="K5599" s="846"/>
      <c r="L5599" s="846"/>
      <c r="M5599" s="846"/>
      <c r="N5599" s="846"/>
      <c r="O5599" s="846"/>
      <c r="P5599" s="846"/>
      <c r="Q5599" s="846"/>
      <c r="R5599" s="846"/>
      <c r="S5599" s="846"/>
      <c r="T5599" s="846"/>
    </row>
    <row r="5600" spans="2:20" ht="38.25" hidden="1">
      <c r="B5600" s="828" t="s">
        <v>6586</v>
      </c>
      <c r="C5600" s="828">
        <v>94341</v>
      </c>
      <c r="D5600" s="630" t="s">
        <v>949</v>
      </c>
      <c r="E5600" s="630" t="s">
        <v>644</v>
      </c>
      <c r="F5600" s="829">
        <v>57.87</v>
      </c>
      <c r="G5600" s="830">
        <v>4.4800000000000004</v>
      </c>
      <c r="H5600" s="831">
        <v>62.35</v>
      </c>
      <c r="I5600" s="846"/>
      <c r="J5600" s="846"/>
      <c r="K5600" s="846"/>
      <c r="L5600" s="846"/>
      <c r="M5600" s="846"/>
      <c r="N5600" s="846"/>
      <c r="O5600" s="846"/>
      <c r="P5600" s="846"/>
      <c r="Q5600" s="846"/>
      <c r="R5600" s="846"/>
      <c r="S5600" s="846"/>
      <c r="T5600" s="846"/>
    </row>
    <row r="5601" spans="2:20" ht="25.5" hidden="1">
      <c r="B5601" s="828" t="s">
        <v>6586</v>
      </c>
      <c r="C5601" s="828">
        <v>94342</v>
      </c>
      <c r="D5601" s="630" t="s">
        <v>950</v>
      </c>
      <c r="E5601" s="630" t="s">
        <v>644</v>
      </c>
      <c r="F5601" s="829">
        <v>62.61</v>
      </c>
      <c r="G5601" s="830">
        <v>24.32</v>
      </c>
      <c r="H5601" s="831">
        <v>86.93</v>
      </c>
      <c r="I5601" s="846"/>
      <c r="J5601" s="846"/>
      <c r="K5601" s="846"/>
      <c r="L5601" s="846"/>
      <c r="M5601" s="846"/>
      <c r="N5601" s="846"/>
      <c r="O5601" s="846"/>
      <c r="P5601" s="846"/>
      <c r="Q5601" s="846"/>
      <c r="R5601" s="846"/>
      <c r="S5601" s="846"/>
      <c r="T5601" s="846"/>
    </row>
    <row r="5602" spans="2:20" ht="38.25" hidden="1">
      <c r="B5602" s="828" t="s">
        <v>6586</v>
      </c>
      <c r="C5602" s="828">
        <v>96385</v>
      </c>
      <c r="D5602" s="630" t="s">
        <v>3405</v>
      </c>
      <c r="E5602" s="630" t="s">
        <v>644</v>
      </c>
      <c r="F5602" s="829">
        <v>8.58</v>
      </c>
      <c r="G5602" s="830">
        <v>3.29</v>
      </c>
      <c r="H5602" s="831">
        <v>11.87</v>
      </c>
      <c r="I5602" s="846"/>
      <c r="J5602" s="977"/>
      <c r="K5602" s="977"/>
      <c r="L5602" s="977"/>
      <c r="M5602" s="846"/>
      <c r="N5602" s="978"/>
      <c r="O5602" s="978"/>
      <c r="P5602" s="978"/>
      <c r="Q5602" s="978"/>
      <c r="R5602" s="979"/>
      <c r="S5602" s="846"/>
      <c r="T5602" s="846"/>
    </row>
    <row r="5603" spans="2:20" ht="38.25" hidden="1">
      <c r="B5603" s="828" t="s">
        <v>6586</v>
      </c>
      <c r="C5603" s="828">
        <v>96386</v>
      </c>
      <c r="D5603" s="630" t="s">
        <v>3406</v>
      </c>
      <c r="E5603" s="630" t="s">
        <v>644</v>
      </c>
      <c r="F5603" s="829">
        <v>6.61</v>
      </c>
      <c r="G5603" s="830">
        <v>1.89</v>
      </c>
      <c r="H5603" s="831">
        <v>8.5</v>
      </c>
      <c r="I5603" s="846"/>
      <c r="J5603" s="846"/>
      <c r="K5603" s="846"/>
      <c r="L5603" s="846"/>
      <c r="M5603" s="846"/>
      <c r="N5603" s="846"/>
      <c r="O5603" s="846"/>
      <c r="P5603" s="846"/>
      <c r="Q5603" s="846"/>
      <c r="R5603" s="846"/>
      <c r="S5603" s="846"/>
      <c r="T5603" s="846"/>
    </row>
    <row r="5604" spans="2:20" ht="51" hidden="1">
      <c r="B5604" s="828" t="s">
        <v>6575</v>
      </c>
      <c r="C5604" s="828">
        <v>93360</v>
      </c>
      <c r="D5604" s="630" t="s">
        <v>3061</v>
      </c>
      <c r="E5604" s="630" t="s">
        <v>644</v>
      </c>
      <c r="F5604" s="829">
        <v>16.72</v>
      </c>
      <c r="G5604" s="830">
        <v>8</v>
      </c>
      <c r="H5604" s="831">
        <v>24.72</v>
      </c>
      <c r="I5604" s="846"/>
      <c r="J5604" s="846"/>
      <c r="K5604" s="846"/>
      <c r="L5604" s="846"/>
      <c r="M5604" s="846"/>
      <c r="N5604" s="846"/>
      <c r="O5604" s="846"/>
      <c r="P5604" s="846"/>
      <c r="Q5604" s="846"/>
      <c r="R5604" s="846"/>
      <c r="S5604" s="846"/>
      <c r="T5604" s="846"/>
    </row>
    <row r="5605" spans="2:20" ht="51" hidden="1">
      <c r="B5605" s="828" t="s">
        <v>6575</v>
      </c>
      <c r="C5605" s="828">
        <v>93361</v>
      </c>
      <c r="D5605" s="630" t="s">
        <v>3062</v>
      </c>
      <c r="E5605" s="630" t="s">
        <v>644</v>
      </c>
      <c r="F5605" s="829">
        <v>14.51</v>
      </c>
      <c r="G5605" s="830">
        <v>6.02</v>
      </c>
      <c r="H5605" s="831">
        <v>20.53</v>
      </c>
      <c r="I5605" s="846"/>
      <c r="J5605" s="846"/>
      <c r="K5605" s="846"/>
      <c r="L5605" s="846"/>
      <c r="M5605" s="846"/>
      <c r="N5605" s="846"/>
      <c r="O5605" s="846"/>
      <c r="P5605" s="846"/>
      <c r="Q5605" s="846"/>
      <c r="R5605" s="846"/>
      <c r="S5605" s="846"/>
      <c r="T5605" s="846"/>
    </row>
    <row r="5606" spans="2:20" ht="51" hidden="1">
      <c r="B5606" s="828" t="s">
        <v>6575</v>
      </c>
      <c r="C5606" s="828">
        <v>93362</v>
      </c>
      <c r="D5606" s="630" t="s">
        <v>3063</v>
      </c>
      <c r="E5606" s="630" t="s">
        <v>644</v>
      </c>
      <c r="F5606" s="829">
        <v>11.43</v>
      </c>
      <c r="G5606" s="830">
        <v>3.49</v>
      </c>
      <c r="H5606" s="831">
        <v>14.92</v>
      </c>
      <c r="I5606" s="846"/>
      <c r="J5606" s="846"/>
      <c r="K5606" s="846"/>
      <c r="L5606" s="846"/>
      <c r="M5606" s="846"/>
      <c r="N5606" s="846"/>
      <c r="O5606" s="846"/>
      <c r="P5606" s="846"/>
      <c r="Q5606" s="846"/>
      <c r="R5606" s="846"/>
      <c r="S5606" s="846"/>
      <c r="T5606" s="846"/>
    </row>
    <row r="5607" spans="2:20" ht="51" hidden="1">
      <c r="B5607" s="828" t="s">
        <v>6575</v>
      </c>
      <c r="C5607" s="828">
        <v>93363</v>
      </c>
      <c r="D5607" s="630" t="s">
        <v>3064</v>
      </c>
      <c r="E5607" s="630" t="s">
        <v>644</v>
      </c>
      <c r="F5607" s="829">
        <v>12.14</v>
      </c>
      <c r="G5607" s="830">
        <v>4.01</v>
      </c>
      <c r="H5607" s="831">
        <v>16.149999999999999</v>
      </c>
      <c r="I5607" s="846"/>
      <c r="J5607" s="846"/>
      <c r="K5607" s="846"/>
      <c r="L5607" s="846"/>
      <c r="M5607" s="846"/>
      <c r="N5607" s="846"/>
      <c r="O5607" s="846"/>
      <c r="P5607" s="846"/>
      <c r="Q5607" s="846"/>
      <c r="R5607" s="846"/>
      <c r="S5607" s="846"/>
      <c r="T5607" s="846"/>
    </row>
    <row r="5608" spans="2:20" ht="51" hidden="1">
      <c r="B5608" s="828" t="s">
        <v>6575</v>
      </c>
      <c r="C5608" s="828">
        <v>93364</v>
      </c>
      <c r="D5608" s="630" t="s">
        <v>864</v>
      </c>
      <c r="E5608" s="630" t="s">
        <v>644</v>
      </c>
      <c r="F5608" s="829">
        <v>10.039999999999999</v>
      </c>
      <c r="G5608" s="830">
        <v>2.72</v>
      </c>
      <c r="H5608" s="831">
        <v>12.76</v>
      </c>
      <c r="I5608" s="846"/>
      <c r="J5608" s="846"/>
      <c r="K5608" s="846"/>
      <c r="L5608" s="846"/>
      <c r="M5608" s="846"/>
      <c r="N5608" s="846"/>
      <c r="O5608" s="846"/>
      <c r="P5608" s="846"/>
      <c r="Q5608" s="846"/>
      <c r="R5608" s="846"/>
      <c r="S5608" s="846"/>
      <c r="T5608" s="846"/>
    </row>
    <row r="5609" spans="2:20" ht="51" hidden="1">
      <c r="B5609" s="828" t="s">
        <v>6575</v>
      </c>
      <c r="C5609" s="828">
        <v>93365</v>
      </c>
      <c r="D5609" s="630" t="s">
        <v>3065</v>
      </c>
      <c r="E5609" s="630" t="s">
        <v>644</v>
      </c>
      <c r="F5609" s="829">
        <v>11.02</v>
      </c>
      <c r="G5609" s="830">
        <v>3.2</v>
      </c>
      <c r="H5609" s="831">
        <v>14.22</v>
      </c>
      <c r="I5609" s="846"/>
      <c r="J5609" s="846"/>
      <c r="K5609" s="846"/>
      <c r="L5609" s="846"/>
      <c r="M5609" s="846"/>
      <c r="N5609" s="846"/>
      <c r="O5609" s="846"/>
      <c r="P5609" s="846"/>
      <c r="Q5609" s="846"/>
      <c r="R5609" s="846"/>
      <c r="S5609" s="846"/>
      <c r="T5609" s="846"/>
    </row>
    <row r="5610" spans="2:20" ht="51" hidden="1">
      <c r="B5610" s="828" t="s">
        <v>6575</v>
      </c>
      <c r="C5610" s="828">
        <v>93366</v>
      </c>
      <c r="D5610" s="630" t="s">
        <v>3066</v>
      </c>
      <c r="E5610" s="630" t="s">
        <v>644</v>
      </c>
      <c r="F5610" s="829">
        <v>9.34</v>
      </c>
      <c r="G5610" s="830">
        <v>2.38</v>
      </c>
      <c r="H5610" s="831">
        <v>11.72</v>
      </c>
      <c r="I5610" s="846"/>
      <c r="J5610" s="846"/>
      <c r="K5610" s="846"/>
      <c r="L5610" s="846"/>
      <c r="M5610" s="846"/>
      <c r="N5610" s="846"/>
      <c r="O5610" s="846"/>
      <c r="P5610" s="846"/>
      <c r="Q5610" s="846"/>
      <c r="R5610" s="846"/>
      <c r="S5610" s="846"/>
      <c r="T5610" s="846"/>
    </row>
    <row r="5611" spans="2:20" ht="51" hidden="1">
      <c r="B5611" s="828" t="s">
        <v>6575</v>
      </c>
      <c r="C5611" s="828">
        <v>93367</v>
      </c>
      <c r="D5611" s="630" t="s">
        <v>3067</v>
      </c>
      <c r="E5611" s="630" t="s">
        <v>644</v>
      </c>
      <c r="F5611" s="829">
        <v>15.469999999999999</v>
      </c>
      <c r="G5611" s="830">
        <v>7.65</v>
      </c>
      <c r="H5611" s="831">
        <v>23.12</v>
      </c>
      <c r="I5611" s="846"/>
      <c r="J5611" s="846"/>
      <c r="K5611" s="846"/>
      <c r="L5611" s="846"/>
      <c r="M5611" s="846"/>
      <c r="N5611" s="846"/>
      <c r="O5611" s="846"/>
      <c r="P5611" s="846"/>
      <c r="Q5611" s="846"/>
      <c r="R5611" s="846"/>
      <c r="S5611" s="846"/>
      <c r="T5611" s="846"/>
    </row>
    <row r="5612" spans="2:20" ht="51" hidden="1">
      <c r="B5612" s="828" t="s">
        <v>6575</v>
      </c>
      <c r="C5612" s="828">
        <v>93368</v>
      </c>
      <c r="D5612" s="630" t="s">
        <v>3068</v>
      </c>
      <c r="E5612" s="630" t="s">
        <v>644</v>
      </c>
      <c r="F5612" s="829">
        <v>13.11</v>
      </c>
      <c r="G5612" s="830">
        <v>5.69</v>
      </c>
      <c r="H5612" s="831">
        <v>18.8</v>
      </c>
      <c r="I5612" s="846"/>
      <c r="J5612" s="846"/>
      <c r="K5612" s="846"/>
      <c r="L5612" s="846"/>
      <c r="M5612" s="846"/>
      <c r="N5612" s="846"/>
      <c r="O5612" s="846"/>
      <c r="P5612" s="846"/>
      <c r="Q5612" s="846"/>
      <c r="R5612" s="846"/>
      <c r="S5612" s="846"/>
      <c r="T5612" s="846"/>
    </row>
    <row r="5613" spans="2:20" ht="63.75" hidden="1">
      <c r="B5613" s="828" t="s">
        <v>6575</v>
      </c>
      <c r="C5613" s="828">
        <v>93369</v>
      </c>
      <c r="D5613" s="630" t="s">
        <v>865</v>
      </c>
      <c r="E5613" s="630" t="s">
        <v>644</v>
      </c>
      <c r="F5613" s="829">
        <v>10.17</v>
      </c>
      <c r="G5613" s="830">
        <v>3.14</v>
      </c>
      <c r="H5613" s="831">
        <v>13.31</v>
      </c>
      <c r="I5613" s="846"/>
      <c r="J5613" s="846"/>
      <c r="K5613" s="846"/>
      <c r="L5613" s="846"/>
      <c r="M5613" s="846"/>
      <c r="N5613" s="846"/>
      <c r="O5613" s="846"/>
      <c r="P5613" s="846"/>
      <c r="Q5613" s="846"/>
      <c r="R5613" s="846"/>
      <c r="S5613" s="846"/>
      <c r="T5613" s="846"/>
    </row>
    <row r="5614" spans="2:20" ht="51" hidden="1">
      <c r="B5614" s="828" t="s">
        <v>6575</v>
      </c>
      <c r="C5614" s="828">
        <v>93370</v>
      </c>
      <c r="D5614" s="630" t="s">
        <v>3069</v>
      </c>
      <c r="E5614" s="630" t="s">
        <v>644</v>
      </c>
      <c r="F5614" s="829">
        <v>10.9</v>
      </c>
      <c r="G5614" s="830">
        <v>3.67</v>
      </c>
      <c r="H5614" s="831">
        <v>14.57</v>
      </c>
      <c r="I5614" s="846"/>
      <c r="J5614" s="846"/>
      <c r="K5614" s="846"/>
      <c r="L5614" s="846"/>
      <c r="M5614" s="846"/>
      <c r="N5614" s="846"/>
      <c r="O5614" s="846"/>
      <c r="P5614" s="846"/>
      <c r="Q5614" s="846"/>
      <c r="R5614" s="846"/>
      <c r="S5614" s="846"/>
      <c r="T5614" s="846"/>
    </row>
    <row r="5615" spans="2:20" ht="63.75" hidden="1">
      <c r="B5615" s="828" t="s">
        <v>6575</v>
      </c>
      <c r="C5615" s="828">
        <v>93371</v>
      </c>
      <c r="D5615" s="630" t="s">
        <v>866</v>
      </c>
      <c r="E5615" s="630" t="s">
        <v>644</v>
      </c>
      <c r="F5615" s="829">
        <v>8.8000000000000007</v>
      </c>
      <c r="G5615" s="830">
        <v>2.39</v>
      </c>
      <c r="H5615" s="831">
        <v>11.19</v>
      </c>
      <c r="I5615" s="846"/>
      <c r="J5615" s="846"/>
      <c r="K5615" s="846"/>
      <c r="L5615" s="846"/>
      <c r="M5615" s="846"/>
      <c r="N5615" s="846"/>
      <c r="O5615" s="846"/>
      <c r="P5615" s="846"/>
      <c r="Q5615" s="846"/>
      <c r="R5615" s="846"/>
      <c r="S5615" s="846"/>
      <c r="T5615" s="846"/>
    </row>
    <row r="5616" spans="2:20" ht="51" hidden="1">
      <c r="B5616" s="828" t="s">
        <v>6575</v>
      </c>
      <c r="C5616" s="828">
        <v>93372</v>
      </c>
      <c r="D5616" s="630" t="s">
        <v>3070</v>
      </c>
      <c r="E5616" s="630" t="s">
        <v>644</v>
      </c>
      <c r="F5616" s="829">
        <v>9.81</v>
      </c>
      <c r="G5616" s="830">
        <v>2.91</v>
      </c>
      <c r="H5616" s="831">
        <v>12.72</v>
      </c>
      <c r="I5616" s="846"/>
      <c r="J5616" s="846"/>
      <c r="K5616" s="846"/>
      <c r="L5616" s="846"/>
      <c r="M5616" s="846"/>
      <c r="N5616" s="846"/>
      <c r="O5616" s="846"/>
      <c r="P5616" s="846"/>
      <c r="Q5616" s="846"/>
      <c r="R5616" s="846"/>
      <c r="S5616" s="846"/>
      <c r="T5616" s="846"/>
    </row>
    <row r="5617" spans="1:36" ht="63.75" hidden="1">
      <c r="B5617" s="828" t="s">
        <v>6575</v>
      </c>
      <c r="C5617" s="828">
        <v>93373</v>
      </c>
      <c r="D5617" s="630" t="s">
        <v>867</v>
      </c>
      <c r="E5617" s="630" t="s">
        <v>644</v>
      </c>
      <c r="F5617" s="829">
        <v>8.1000000000000014</v>
      </c>
      <c r="G5617" s="830">
        <v>2.04</v>
      </c>
      <c r="H5617" s="831">
        <v>10.14</v>
      </c>
      <c r="I5617" s="846"/>
      <c r="J5617" s="846"/>
      <c r="K5617" s="846"/>
      <c r="L5617" s="846"/>
      <c r="M5617" s="846"/>
      <c r="N5617" s="846"/>
      <c r="O5617" s="846"/>
      <c r="P5617" s="846"/>
      <c r="Q5617" s="846"/>
      <c r="R5617" s="846"/>
      <c r="S5617" s="846"/>
      <c r="T5617" s="846"/>
    </row>
    <row r="5618" spans="1:36" ht="51" hidden="1">
      <c r="A5618" s="451"/>
      <c r="B5618" s="612" t="s">
        <v>6575</v>
      </c>
      <c r="C5618" s="612">
        <v>93374</v>
      </c>
      <c r="D5618" s="630" t="s">
        <v>868</v>
      </c>
      <c r="E5618" s="630" t="s">
        <v>644</v>
      </c>
      <c r="F5618" s="834">
        <v>15.02</v>
      </c>
      <c r="G5618" s="835">
        <v>13.58</v>
      </c>
      <c r="H5618" s="831">
        <v>28.6</v>
      </c>
      <c r="I5618" s="816"/>
      <c r="J5618" s="816"/>
      <c r="K5618" s="816"/>
      <c r="L5618" s="816"/>
      <c r="M5618" s="816"/>
      <c r="N5618" s="816"/>
      <c r="O5618" s="816"/>
      <c r="P5618" s="816"/>
      <c r="Q5618" s="816"/>
      <c r="R5618" s="816"/>
      <c r="S5618" s="816"/>
      <c r="T5618" s="816"/>
      <c r="U5618" s="816"/>
      <c r="V5618" s="816"/>
      <c r="W5618" s="816"/>
      <c r="X5618" s="816"/>
      <c r="Y5618" s="816"/>
      <c r="Z5618" s="816"/>
      <c r="AA5618" s="816"/>
      <c r="AB5618" s="816"/>
      <c r="AC5618" s="816"/>
      <c r="AD5618" s="816"/>
      <c r="AE5618" s="816"/>
      <c r="AF5618" s="816"/>
      <c r="AG5618" s="816"/>
      <c r="AH5618" s="816"/>
      <c r="AI5618" s="816"/>
      <c r="AJ5618" s="816"/>
    </row>
    <row r="5619" spans="1:36" ht="51" hidden="1">
      <c r="A5619" s="451"/>
      <c r="B5619" s="612" t="s">
        <v>6575</v>
      </c>
      <c r="C5619" s="612">
        <v>93375</v>
      </c>
      <c r="D5619" s="630" t="s">
        <v>3071</v>
      </c>
      <c r="E5619" s="630" t="s">
        <v>644</v>
      </c>
      <c r="F5619" s="834">
        <v>11.67</v>
      </c>
      <c r="G5619" s="835">
        <v>10.4</v>
      </c>
      <c r="H5619" s="831">
        <v>22.07</v>
      </c>
      <c r="I5619" s="816"/>
      <c r="J5619" s="816"/>
      <c r="K5619" s="816"/>
      <c r="L5619" s="816"/>
      <c r="M5619" s="816"/>
      <c r="N5619" s="816"/>
      <c r="O5619" s="816"/>
      <c r="P5619" s="816"/>
      <c r="Q5619" s="816"/>
      <c r="R5619" s="816"/>
      <c r="S5619" s="816"/>
      <c r="T5619" s="816"/>
      <c r="U5619" s="816"/>
      <c r="V5619" s="816"/>
      <c r="W5619" s="816"/>
      <c r="X5619" s="816"/>
      <c r="Y5619" s="816"/>
      <c r="Z5619" s="816"/>
      <c r="AA5619" s="816"/>
      <c r="AB5619" s="816"/>
      <c r="AC5619" s="816"/>
      <c r="AD5619" s="816"/>
      <c r="AE5619" s="816"/>
      <c r="AF5619" s="816"/>
      <c r="AG5619" s="816"/>
      <c r="AH5619" s="816"/>
      <c r="AI5619" s="816"/>
      <c r="AJ5619" s="816"/>
    </row>
    <row r="5620" spans="1:36" ht="51" hidden="1">
      <c r="A5620" s="451"/>
      <c r="B5620" s="612" t="s">
        <v>6575</v>
      </c>
      <c r="C5620" s="612">
        <v>93376</v>
      </c>
      <c r="D5620" s="630" t="s">
        <v>3072</v>
      </c>
      <c r="E5620" s="630" t="s">
        <v>644</v>
      </c>
      <c r="F5620" s="834">
        <v>9.84</v>
      </c>
      <c r="G5620" s="835">
        <v>8.2200000000000006</v>
      </c>
      <c r="H5620" s="831">
        <v>18.059999999999999</v>
      </c>
      <c r="I5620" s="816"/>
      <c r="J5620" s="816"/>
      <c r="K5620" s="816"/>
      <c r="L5620" s="816"/>
      <c r="M5620" s="816"/>
      <c r="N5620" s="816"/>
      <c r="O5620" s="816"/>
      <c r="P5620" s="816"/>
      <c r="Q5620" s="816"/>
      <c r="R5620" s="816"/>
      <c r="S5620" s="816"/>
      <c r="T5620" s="816"/>
      <c r="U5620" s="816"/>
      <c r="V5620" s="816"/>
      <c r="W5620" s="816"/>
      <c r="X5620" s="816"/>
      <c r="Y5620" s="816"/>
      <c r="Z5620" s="816"/>
      <c r="AA5620" s="816"/>
      <c r="AB5620" s="816"/>
      <c r="AC5620" s="816"/>
      <c r="AD5620" s="816"/>
      <c r="AE5620" s="816"/>
      <c r="AF5620" s="816"/>
      <c r="AG5620" s="816"/>
      <c r="AH5620" s="816"/>
      <c r="AI5620" s="816"/>
      <c r="AJ5620" s="816"/>
    </row>
    <row r="5621" spans="1:36" ht="51" hidden="1">
      <c r="B5621" s="828" t="s">
        <v>6575</v>
      </c>
      <c r="C5621" s="828">
        <v>93377</v>
      </c>
      <c r="D5621" s="630" t="s">
        <v>951</v>
      </c>
      <c r="E5621" s="630" t="s">
        <v>644</v>
      </c>
      <c r="F5621" s="829">
        <v>7.2900000000000009</v>
      </c>
      <c r="G5621" s="830">
        <v>4.8</v>
      </c>
      <c r="H5621" s="831">
        <v>12.09</v>
      </c>
      <c r="I5621" s="846"/>
      <c r="J5621" s="846"/>
      <c r="K5621" s="846"/>
      <c r="L5621" s="846"/>
      <c r="M5621" s="846"/>
      <c r="N5621" s="846"/>
      <c r="O5621" s="846"/>
      <c r="P5621" s="846"/>
      <c r="Q5621" s="846"/>
      <c r="R5621" s="846"/>
      <c r="S5621" s="846"/>
      <c r="T5621" s="846"/>
    </row>
    <row r="5622" spans="1:36" ht="51" hidden="1">
      <c r="A5622" s="451"/>
      <c r="B5622" s="612" t="s">
        <v>6575</v>
      </c>
      <c r="C5622" s="612">
        <v>93378</v>
      </c>
      <c r="D5622" s="630" t="s">
        <v>3073</v>
      </c>
      <c r="E5622" s="630" t="s">
        <v>644</v>
      </c>
      <c r="F5622" s="834">
        <v>13.719999999999999</v>
      </c>
      <c r="G5622" s="835">
        <v>13.08</v>
      </c>
      <c r="H5622" s="831">
        <v>26.8</v>
      </c>
      <c r="I5622" s="816"/>
      <c r="J5622" s="816"/>
      <c r="K5622" s="816"/>
      <c r="L5622" s="816"/>
      <c r="M5622" s="816"/>
      <c r="N5622" s="816"/>
      <c r="O5622" s="816"/>
      <c r="P5622" s="816"/>
      <c r="Q5622" s="816"/>
      <c r="R5622" s="816"/>
      <c r="S5622" s="816"/>
      <c r="T5622" s="816"/>
      <c r="U5622" s="816"/>
      <c r="V5622" s="816"/>
      <c r="W5622" s="816"/>
      <c r="X5622" s="816"/>
      <c r="Y5622" s="816"/>
      <c r="Z5622" s="816"/>
      <c r="AA5622" s="816"/>
      <c r="AB5622" s="816"/>
      <c r="AC5622" s="816"/>
      <c r="AD5622" s="816"/>
      <c r="AE5622" s="816"/>
      <c r="AF5622" s="816"/>
      <c r="AG5622" s="816"/>
      <c r="AH5622" s="816"/>
      <c r="AI5622" s="816"/>
      <c r="AJ5622" s="816"/>
    </row>
    <row r="5623" spans="1:36" ht="51" hidden="1">
      <c r="A5623" s="451"/>
      <c r="B5623" s="612" t="s">
        <v>6575</v>
      </c>
      <c r="C5623" s="847">
        <v>93379</v>
      </c>
      <c r="D5623" s="630" t="s">
        <v>3074</v>
      </c>
      <c r="E5623" s="630" t="s">
        <v>644</v>
      </c>
      <c r="F5623" s="834">
        <v>10.690000000000001</v>
      </c>
      <c r="G5623" s="835">
        <v>10</v>
      </c>
      <c r="H5623" s="831">
        <v>20.69</v>
      </c>
      <c r="I5623" s="816"/>
      <c r="J5623" s="816"/>
      <c r="K5623" s="816"/>
      <c r="L5623" s="816"/>
      <c r="M5623" s="816"/>
      <c r="N5623" s="816"/>
      <c r="O5623" s="816"/>
      <c r="P5623" s="816"/>
      <c r="Q5623" s="816"/>
      <c r="R5623" s="816"/>
      <c r="S5623" s="816"/>
      <c r="T5623" s="816"/>
      <c r="U5623" s="816"/>
      <c r="V5623" s="816"/>
      <c r="W5623" s="816"/>
      <c r="X5623" s="816"/>
      <c r="Y5623" s="816"/>
      <c r="Z5623" s="816"/>
      <c r="AA5623" s="816"/>
      <c r="AB5623" s="816"/>
      <c r="AC5623" s="816"/>
      <c r="AD5623" s="816"/>
      <c r="AE5623" s="816"/>
      <c r="AF5623" s="816"/>
      <c r="AG5623" s="816"/>
      <c r="AH5623" s="816"/>
      <c r="AI5623" s="816"/>
      <c r="AJ5623" s="816"/>
    </row>
    <row r="5624" spans="1:36" ht="51" hidden="1">
      <c r="B5624" s="828" t="s">
        <v>6575</v>
      </c>
      <c r="C5624" s="828">
        <v>93380</v>
      </c>
      <c r="D5624" s="630" t="s">
        <v>3075</v>
      </c>
      <c r="E5624" s="630" t="s">
        <v>644</v>
      </c>
      <c r="F5624" s="829">
        <v>9.07</v>
      </c>
      <c r="G5624" s="830">
        <v>7.93</v>
      </c>
      <c r="H5624" s="831">
        <v>17</v>
      </c>
      <c r="I5624" s="846"/>
      <c r="J5624" s="846"/>
      <c r="K5624" s="846"/>
      <c r="L5624" s="846"/>
      <c r="M5624" s="846"/>
      <c r="N5624" s="846"/>
      <c r="O5624" s="846"/>
      <c r="P5624" s="846"/>
      <c r="Q5624" s="846"/>
      <c r="R5624" s="846"/>
      <c r="S5624" s="846"/>
      <c r="T5624" s="846"/>
    </row>
    <row r="5625" spans="1:36" ht="51" hidden="1">
      <c r="B5625" s="828" t="s">
        <v>6575</v>
      </c>
      <c r="C5625" s="828">
        <v>93381</v>
      </c>
      <c r="D5625" s="630" t="s">
        <v>952</v>
      </c>
      <c r="E5625" s="630" t="s">
        <v>644</v>
      </c>
      <c r="F5625" s="829">
        <v>6.74</v>
      </c>
      <c r="G5625" s="830">
        <v>4.59</v>
      </c>
      <c r="H5625" s="831">
        <v>11.33</v>
      </c>
      <c r="I5625" s="846"/>
      <c r="J5625" s="846"/>
      <c r="K5625" s="846"/>
      <c r="L5625" s="846"/>
      <c r="M5625" s="846"/>
      <c r="N5625" s="846"/>
      <c r="O5625" s="846"/>
      <c r="P5625" s="846"/>
      <c r="Q5625" s="846"/>
      <c r="R5625" s="846"/>
      <c r="S5625" s="846"/>
      <c r="T5625" s="846"/>
    </row>
    <row r="5626" spans="1:36" ht="25.5" hidden="1">
      <c r="B5626" s="828" t="s">
        <v>6575</v>
      </c>
      <c r="C5626" s="828">
        <v>93382</v>
      </c>
      <c r="D5626" s="630" t="s">
        <v>953</v>
      </c>
      <c r="E5626" s="630" t="s">
        <v>644</v>
      </c>
      <c r="F5626" s="829">
        <v>11.47</v>
      </c>
      <c r="G5626" s="830">
        <v>24.44</v>
      </c>
      <c r="H5626" s="831">
        <v>35.909999999999997</v>
      </c>
      <c r="I5626" s="846"/>
      <c r="J5626" s="846"/>
      <c r="K5626" s="846"/>
      <c r="L5626" s="846"/>
      <c r="M5626" s="846"/>
      <c r="N5626" s="846"/>
      <c r="O5626" s="846"/>
      <c r="P5626" s="846"/>
      <c r="Q5626" s="846"/>
      <c r="R5626" s="846"/>
      <c r="S5626" s="846"/>
      <c r="T5626" s="846"/>
    </row>
    <row r="5627" spans="1:36" ht="25.5" hidden="1">
      <c r="B5627" s="828" t="s">
        <v>6575</v>
      </c>
      <c r="C5627" s="828">
        <v>96995</v>
      </c>
      <c r="D5627" s="630" t="s">
        <v>2708</v>
      </c>
      <c r="E5627" s="630" t="s">
        <v>644</v>
      </c>
      <c r="F5627" s="829">
        <v>15.62</v>
      </c>
      <c r="G5627" s="830">
        <v>41.25</v>
      </c>
      <c r="H5627" s="831">
        <v>56.87</v>
      </c>
      <c r="I5627" s="846"/>
      <c r="J5627" s="846"/>
      <c r="K5627" s="846"/>
      <c r="L5627" s="846"/>
      <c r="M5627" s="846"/>
      <c r="N5627" s="846"/>
      <c r="O5627" s="846"/>
      <c r="P5627" s="846"/>
      <c r="Q5627" s="846"/>
      <c r="R5627" s="846"/>
      <c r="S5627" s="846"/>
      <c r="T5627" s="846"/>
    </row>
    <row r="5628" spans="1:36" ht="25.5" hidden="1">
      <c r="B5628" s="828" t="s">
        <v>6614</v>
      </c>
      <c r="C5628" s="828">
        <v>97916</v>
      </c>
      <c r="D5628" s="630" t="s">
        <v>4453</v>
      </c>
      <c r="E5628" s="630" t="s">
        <v>83</v>
      </c>
      <c r="F5628" s="829">
        <v>2.11</v>
      </c>
      <c r="G5628" s="830">
        <v>0.32</v>
      </c>
      <c r="H5628" s="831">
        <v>2.4300000000000002</v>
      </c>
      <c r="I5628" s="846"/>
      <c r="J5628" s="846"/>
      <c r="K5628" s="846"/>
      <c r="L5628" s="846"/>
      <c r="M5628" s="846"/>
      <c r="N5628" s="846"/>
      <c r="O5628" s="846"/>
      <c r="P5628" s="846"/>
      <c r="Q5628" s="846"/>
      <c r="R5628" s="846"/>
      <c r="S5628" s="846"/>
      <c r="T5628" s="846"/>
    </row>
    <row r="5629" spans="1:36" ht="25.5" hidden="1">
      <c r="B5629" s="828" t="s">
        <v>6614</v>
      </c>
      <c r="C5629" s="828">
        <v>97917</v>
      </c>
      <c r="D5629" s="630" t="s">
        <v>4454</v>
      </c>
      <c r="E5629" s="630" t="s">
        <v>83</v>
      </c>
      <c r="F5629" s="829">
        <v>1.82</v>
      </c>
      <c r="G5629" s="830">
        <v>0.28000000000000003</v>
      </c>
      <c r="H5629" s="831">
        <v>2.1</v>
      </c>
      <c r="I5629" s="846"/>
      <c r="J5629" s="846"/>
      <c r="K5629" s="846"/>
      <c r="L5629" s="846"/>
      <c r="M5629" s="846"/>
      <c r="N5629" s="846"/>
      <c r="O5629" s="846"/>
      <c r="P5629" s="846"/>
      <c r="Q5629" s="846"/>
      <c r="R5629" s="846"/>
      <c r="S5629" s="846"/>
      <c r="T5629" s="846"/>
    </row>
    <row r="5630" spans="1:36" ht="25.5" hidden="1">
      <c r="B5630" s="828" t="s">
        <v>6614</v>
      </c>
      <c r="C5630" s="828">
        <v>97918</v>
      </c>
      <c r="D5630" s="630" t="s">
        <v>4455</v>
      </c>
      <c r="E5630" s="630" t="s">
        <v>83</v>
      </c>
      <c r="F5630" s="829">
        <v>1.6800000000000002</v>
      </c>
      <c r="G5630" s="830">
        <v>0.25</v>
      </c>
      <c r="H5630" s="831">
        <v>1.93</v>
      </c>
      <c r="I5630" s="846"/>
      <c r="J5630" s="846"/>
      <c r="K5630" s="846"/>
      <c r="L5630" s="846"/>
      <c r="M5630" s="846"/>
      <c r="N5630" s="846"/>
      <c r="O5630" s="846"/>
      <c r="P5630" s="846"/>
      <c r="Q5630" s="846"/>
      <c r="R5630" s="846"/>
      <c r="S5630" s="846"/>
      <c r="T5630" s="846"/>
    </row>
    <row r="5631" spans="1:36" ht="38.25" hidden="1">
      <c r="B5631" s="828" t="s">
        <v>6614</v>
      </c>
      <c r="C5631" s="828">
        <v>97919</v>
      </c>
      <c r="D5631" s="630" t="s">
        <v>4456</v>
      </c>
      <c r="E5631" s="630" t="s">
        <v>83</v>
      </c>
      <c r="F5631" s="829">
        <v>0.66</v>
      </c>
      <c r="G5631" s="830">
        <v>0.11</v>
      </c>
      <c r="H5631" s="831">
        <v>0.77</v>
      </c>
      <c r="I5631" s="846"/>
      <c r="J5631" s="846"/>
      <c r="K5631" s="846"/>
      <c r="L5631" s="846"/>
      <c r="M5631" s="846"/>
      <c r="N5631" s="846"/>
      <c r="O5631" s="846"/>
      <c r="P5631" s="846"/>
      <c r="Q5631" s="846"/>
      <c r="R5631" s="846"/>
      <c r="S5631" s="846"/>
      <c r="T5631" s="846"/>
    </row>
    <row r="5632" spans="1:36" ht="25.5" hidden="1">
      <c r="B5632" s="828" t="s">
        <v>6655</v>
      </c>
      <c r="C5632" s="828">
        <v>101616</v>
      </c>
      <c r="D5632" s="630" t="s">
        <v>4457</v>
      </c>
      <c r="E5632" s="630" t="s">
        <v>649</v>
      </c>
      <c r="F5632" s="829">
        <v>1.68</v>
      </c>
      <c r="G5632" s="830">
        <v>5.35</v>
      </c>
      <c r="H5632" s="831">
        <v>7.03</v>
      </c>
      <c r="I5632" s="846"/>
      <c r="J5632" s="846"/>
      <c r="K5632" s="846"/>
      <c r="L5632" s="846"/>
      <c r="M5632" s="846"/>
      <c r="N5632" s="846"/>
      <c r="O5632" s="846"/>
      <c r="P5632" s="846"/>
      <c r="Q5632" s="846"/>
      <c r="R5632" s="846"/>
      <c r="S5632" s="846"/>
      <c r="T5632" s="846"/>
    </row>
    <row r="5633" spans="2:20" ht="25.5" hidden="1">
      <c r="B5633" s="828" t="s">
        <v>6655</v>
      </c>
      <c r="C5633" s="828">
        <v>101617</v>
      </c>
      <c r="D5633" s="630" t="s">
        <v>4458</v>
      </c>
      <c r="E5633" s="630" t="s">
        <v>649</v>
      </c>
      <c r="F5633" s="829">
        <v>0.8</v>
      </c>
      <c r="G5633" s="830">
        <v>2.67</v>
      </c>
      <c r="H5633" s="831">
        <v>3.47</v>
      </c>
      <c r="I5633" s="846"/>
      <c r="J5633" s="846"/>
      <c r="K5633" s="846"/>
      <c r="L5633" s="846"/>
      <c r="M5633" s="846"/>
      <c r="N5633" s="846"/>
      <c r="O5633" s="846"/>
      <c r="P5633" s="846"/>
      <c r="Q5633" s="846"/>
      <c r="R5633" s="846"/>
      <c r="S5633" s="846"/>
      <c r="T5633" s="846"/>
    </row>
    <row r="5634" spans="2:20" ht="25.5" hidden="1">
      <c r="B5634" s="828" t="s">
        <v>6655</v>
      </c>
      <c r="C5634" s="828">
        <v>101618</v>
      </c>
      <c r="D5634" s="630" t="s">
        <v>4459</v>
      </c>
      <c r="E5634" s="630" t="s">
        <v>644</v>
      </c>
      <c r="F5634" s="829">
        <v>124.36</v>
      </c>
      <c r="G5634" s="830">
        <v>104.75</v>
      </c>
      <c r="H5634" s="831">
        <v>229.11</v>
      </c>
      <c r="I5634" s="846"/>
      <c r="J5634" s="846"/>
      <c r="K5634" s="846"/>
      <c r="L5634" s="846"/>
      <c r="M5634" s="846"/>
      <c r="N5634" s="846"/>
      <c r="O5634" s="846"/>
      <c r="P5634" s="846"/>
      <c r="Q5634" s="846"/>
      <c r="R5634" s="846"/>
      <c r="S5634" s="846"/>
      <c r="T5634" s="846"/>
    </row>
    <row r="5635" spans="2:20" ht="25.5" hidden="1">
      <c r="B5635" s="828" t="s">
        <v>6655</v>
      </c>
      <c r="C5635" s="828">
        <v>101619</v>
      </c>
      <c r="D5635" s="630" t="s">
        <v>4460</v>
      </c>
      <c r="E5635" s="630" t="s">
        <v>644</v>
      </c>
      <c r="F5635" s="829">
        <v>113</v>
      </c>
      <c r="G5635" s="830">
        <v>128.44999999999999</v>
      </c>
      <c r="H5635" s="831">
        <v>241.45</v>
      </c>
      <c r="I5635" s="846"/>
      <c r="J5635" s="846"/>
      <c r="K5635" s="846"/>
      <c r="L5635" s="846"/>
      <c r="M5635" s="846"/>
      <c r="N5635" s="846"/>
      <c r="O5635" s="846"/>
      <c r="P5635" s="846"/>
      <c r="Q5635" s="846"/>
      <c r="R5635" s="846"/>
      <c r="S5635" s="846"/>
      <c r="T5635" s="846"/>
    </row>
    <row r="5636" spans="2:20" ht="38.25" hidden="1">
      <c r="B5636" s="828" t="s">
        <v>6655</v>
      </c>
      <c r="C5636" s="828">
        <v>101620</v>
      </c>
      <c r="D5636" s="630" t="s">
        <v>4461</v>
      </c>
      <c r="E5636" s="630" t="s">
        <v>644</v>
      </c>
      <c r="F5636" s="829">
        <v>117.28999999999999</v>
      </c>
      <c r="G5636" s="830">
        <v>83.62</v>
      </c>
      <c r="H5636" s="832">
        <v>200.91</v>
      </c>
      <c r="I5636" s="846"/>
      <c r="J5636" s="846"/>
      <c r="K5636" s="846"/>
      <c r="L5636" s="846"/>
      <c r="M5636" s="846"/>
      <c r="N5636" s="846"/>
      <c r="O5636" s="846"/>
      <c r="P5636" s="846"/>
      <c r="Q5636" s="846"/>
      <c r="R5636" s="846"/>
      <c r="S5636" s="846"/>
      <c r="T5636" s="846"/>
    </row>
    <row r="5637" spans="2:20" ht="38.25" hidden="1">
      <c r="B5637" s="828" t="s">
        <v>6655</v>
      </c>
      <c r="C5637" s="828">
        <v>101621</v>
      </c>
      <c r="D5637" s="630" t="s">
        <v>4462</v>
      </c>
      <c r="E5637" s="630" t="s">
        <v>644</v>
      </c>
      <c r="F5637" s="829">
        <v>105.94</v>
      </c>
      <c r="G5637" s="830">
        <v>107.31</v>
      </c>
      <c r="H5637" s="832">
        <v>213.25</v>
      </c>
      <c r="I5637" s="846"/>
      <c r="J5637" s="846"/>
      <c r="K5637" s="846"/>
      <c r="L5637" s="846"/>
      <c r="M5637" s="846"/>
      <c r="N5637" s="846"/>
      <c r="O5637" s="846"/>
      <c r="P5637" s="846"/>
      <c r="Q5637" s="846"/>
      <c r="R5637" s="846"/>
      <c r="S5637" s="846"/>
      <c r="T5637" s="846"/>
    </row>
    <row r="5638" spans="2:20" ht="25.5" hidden="1">
      <c r="B5638" s="828" t="s">
        <v>6655</v>
      </c>
      <c r="C5638" s="828">
        <v>101622</v>
      </c>
      <c r="D5638" s="630" t="s">
        <v>4463</v>
      </c>
      <c r="E5638" s="630" t="s">
        <v>644</v>
      </c>
      <c r="F5638" s="829">
        <v>136.76</v>
      </c>
      <c r="G5638" s="830">
        <v>56.14</v>
      </c>
      <c r="H5638" s="831">
        <v>192.9</v>
      </c>
      <c r="I5638" s="846"/>
      <c r="J5638" s="846"/>
      <c r="K5638" s="846"/>
      <c r="L5638" s="846"/>
      <c r="M5638" s="846"/>
      <c r="N5638" s="846"/>
      <c r="O5638" s="846"/>
      <c r="P5638" s="846"/>
      <c r="Q5638" s="846"/>
      <c r="R5638" s="846"/>
      <c r="S5638" s="846"/>
      <c r="T5638" s="846"/>
    </row>
    <row r="5639" spans="2:20" ht="25.5" hidden="1">
      <c r="B5639" s="828" t="s">
        <v>6655</v>
      </c>
      <c r="C5639" s="828">
        <v>101623</v>
      </c>
      <c r="D5639" s="630" t="s">
        <v>4464</v>
      </c>
      <c r="E5639" s="630" t="s">
        <v>644</v>
      </c>
      <c r="F5639" s="829">
        <v>128.32999999999998</v>
      </c>
      <c r="G5639" s="830">
        <v>68.48</v>
      </c>
      <c r="H5639" s="831">
        <v>196.81</v>
      </c>
      <c r="I5639" s="846"/>
      <c r="J5639" s="846"/>
      <c r="K5639" s="846"/>
      <c r="L5639" s="846"/>
      <c r="M5639" s="846"/>
      <c r="N5639" s="846"/>
      <c r="O5639" s="846"/>
      <c r="P5639" s="846"/>
      <c r="Q5639" s="846"/>
      <c r="R5639" s="846"/>
      <c r="S5639" s="846"/>
      <c r="T5639" s="846"/>
    </row>
    <row r="5640" spans="2:20" ht="38.25" hidden="1">
      <c r="B5640" s="828" t="s">
        <v>6655</v>
      </c>
      <c r="C5640" s="828">
        <v>101624</v>
      </c>
      <c r="D5640" s="630" t="s">
        <v>4465</v>
      </c>
      <c r="E5640" s="630" t="s">
        <v>644</v>
      </c>
      <c r="F5640" s="829">
        <v>106.27000000000001</v>
      </c>
      <c r="G5640" s="830">
        <v>41.92</v>
      </c>
      <c r="H5640" s="831">
        <v>148.19</v>
      </c>
      <c r="I5640" s="846"/>
      <c r="J5640" s="846"/>
      <c r="K5640" s="846"/>
      <c r="L5640" s="846"/>
      <c r="M5640" s="846"/>
      <c r="N5640" s="846"/>
      <c r="O5640" s="846"/>
      <c r="P5640" s="846"/>
      <c r="Q5640" s="846"/>
      <c r="R5640" s="846"/>
      <c r="S5640" s="846"/>
      <c r="T5640" s="846"/>
    </row>
    <row r="5641" spans="2:20" ht="38.25" hidden="1">
      <c r="B5641" s="828" t="s">
        <v>6655</v>
      </c>
      <c r="C5641" s="828">
        <v>101625</v>
      </c>
      <c r="D5641" s="630" t="s">
        <v>4466</v>
      </c>
      <c r="E5641" s="630" t="s">
        <v>644</v>
      </c>
      <c r="F5641" s="829">
        <v>117.53</v>
      </c>
      <c r="G5641" s="830">
        <v>32.880000000000003</v>
      </c>
      <c r="H5641" s="831">
        <v>150.41</v>
      </c>
      <c r="I5641" s="846"/>
      <c r="J5641" s="846"/>
      <c r="K5641" s="846"/>
      <c r="L5641" s="846"/>
      <c r="M5641" s="846"/>
      <c r="N5641" s="846"/>
      <c r="O5641" s="846"/>
      <c r="P5641" s="846"/>
      <c r="Q5641" s="846"/>
      <c r="R5641" s="846"/>
      <c r="S5641" s="846"/>
      <c r="T5641" s="846"/>
    </row>
    <row r="5642" spans="2:20" ht="25.5" hidden="1">
      <c r="B5642" s="828" t="s">
        <v>6594</v>
      </c>
      <c r="C5642" s="828">
        <v>95606</v>
      </c>
      <c r="D5642" s="630" t="s">
        <v>845</v>
      </c>
      <c r="E5642" s="630" t="s">
        <v>644</v>
      </c>
      <c r="F5642" s="829">
        <v>2.0700000000000003</v>
      </c>
      <c r="G5642" s="830">
        <v>0.34</v>
      </c>
      <c r="H5642" s="831">
        <v>2.41</v>
      </c>
      <c r="I5642" s="846"/>
      <c r="J5642" s="846"/>
      <c r="K5642" s="846"/>
      <c r="L5642" s="846"/>
      <c r="M5642" s="846"/>
      <c r="N5642" s="846"/>
      <c r="O5642" s="846"/>
      <c r="P5642" s="846"/>
      <c r="Q5642" s="846"/>
      <c r="R5642" s="846"/>
      <c r="S5642" s="846"/>
      <c r="T5642" s="846"/>
    </row>
    <row r="5643" spans="2:20" ht="38.25" hidden="1">
      <c r="B5643" s="828" t="s">
        <v>6538</v>
      </c>
      <c r="C5643" s="828">
        <v>101159</v>
      </c>
      <c r="D5643" s="630" t="s">
        <v>4467</v>
      </c>
      <c r="E5643" s="630" t="s">
        <v>649</v>
      </c>
      <c r="F5643" s="829">
        <v>79.45</v>
      </c>
      <c r="G5643" s="830">
        <v>66.13</v>
      </c>
      <c r="H5643" s="831">
        <v>145.58000000000001</v>
      </c>
      <c r="I5643" s="846"/>
      <c r="J5643" s="846"/>
      <c r="K5643" s="846"/>
      <c r="L5643" s="846"/>
      <c r="M5643" s="846"/>
      <c r="N5643" s="846"/>
      <c r="O5643" s="846"/>
      <c r="P5643" s="846"/>
      <c r="Q5643" s="846"/>
      <c r="R5643" s="846"/>
      <c r="S5643" s="846"/>
      <c r="T5643" s="846"/>
    </row>
    <row r="5644" spans="2:20" ht="38.25" hidden="1">
      <c r="B5644" s="828" t="s">
        <v>6538</v>
      </c>
      <c r="C5644" s="828">
        <v>103322</v>
      </c>
      <c r="D5644" s="630" t="s">
        <v>7135</v>
      </c>
      <c r="E5644" s="630" t="s">
        <v>649</v>
      </c>
      <c r="F5644" s="829">
        <v>39.389999999999993</v>
      </c>
      <c r="G5644" s="830">
        <v>20.27</v>
      </c>
      <c r="H5644" s="831">
        <v>59.66</v>
      </c>
      <c r="I5644" s="846"/>
      <c r="J5644" s="846"/>
      <c r="K5644" s="846"/>
      <c r="L5644" s="846"/>
      <c r="M5644" s="846"/>
      <c r="N5644" s="846"/>
      <c r="O5644" s="846"/>
      <c r="P5644" s="846"/>
      <c r="Q5644" s="846"/>
      <c r="R5644" s="846"/>
      <c r="S5644" s="846"/>
      <c r="T5644" s="846"/>
    </row>
    <row r="5645" spans="2:20" ht="38.25" hidden="1">
      <c r="B5645" s="828" t="s">
        <v>6538</v>
      </c>
      <c r="C5645" s="828">
        <v>103323</v>
      </c>
      <c r="D5645" s="630" t="s">
        <v>7136</v>
      </c>
      <c r="E5645" s="630" t="s">
        <v>649</v>
      </c>
      <c r="F5645" s="829">
        <v>39.79</v>
      </c>
      <c r="G5645" s="830">
        <v>21.44</v>
      </c>
      <c r="H5645" s="831">
        <v>61.23</v>
      </c>
      <c r="I5645" s="846"/>
      <c r="J5645" s="846"/>
      <c r="K5645" s="846"/>
      <c r="L5645" s="846"/>
      <c r="M5645" s="846"/>
      <c r="N5645" s="846"/>
      <c r="O5645" s="846"/>
      <c r="P5645" s="846"/>
      <c r="Q5645" s="846"/>
      <c r="R5645" s="846"/>
      <c r="S5645" s="846"/>
      <c r="T5645" s="846"/>
    </row>
    <row r="5646" spans="2:20" ht="38.25" hidden="1">
      <c r="B5646" s="828" t="s">
        <v>6538</v>
      </c>
      <c r="C5646" s="828">
        <v>103324</v>
      </c>
      <c r="D5646" s="630" t="s">
        <v>7137</v>
      </c>
      <c r="E5646" s="630" t="s">
        <v>649</v>
      </c>
      <c r="F5646" s="829">
        <v>51.209999999999994</v>
      </c>
      <c r="G5646" s="830">
        <v>29.27</v>
      </c>
      <c r="H5646" s="831">
        <v>80.48</v>
      </c>
      <c r="I5646" s="846"/>
      <c r="J5646" s="846"/>
      <c r="K5646" s="846"/>
      <c r="L5646" s="846"/>
      <c r="M5646" s="846"/>
      <c r="N5646" s="846"/>
      <c r="O5646" s="846"/>
      <c r="P5646" s="846"/>
      <c r="Q5646" s="846"/>
      <c r="R5646" s="846"/>
      <c r="S5646" s="846"/>
      <c r="T5646" s="846"/>
    </row>
    <row r="5647" spans="2:20" ht="38.25" hidden="1">
      <c r="B5647" s="828" t="s">
        <v>6538</v>
      </c>
      <c r="C5647" s="828">
        <v>103325</v>
      </c>
      <c r="D5647" s="630" t="s">
        <v>7138</v>
      </c>
      <c r="E5647" s="630" t="s">
        <v>649</v>
      </c>
      <c r="F5647" s="829">
        <v>51.66</v>
      </c>
      <c r="G5647" s="830">
        <v>30.59</v>
      </c>
      <c r="H5647" s="831">
        <v>82.25</v>
      </c>
      <c r="I5647" s="846"/>
      <c r="J5647" s="846"/>
      <c r="K5647" s="846"/>
      <c r="L5647" s="846"/>
      <c r="M5647" s="846"/>
      <c r="N5647" s="846"/>
      <c r="O5647" s="846"/>
      <c r="P5647" s="846"/>
      <c r="Q5647" s="846"/>
      <c r="R5647" s="846"/>
      <c r="S5647" s="846"/>
      <c r="T5647" s="846"/>
    </row>
    <row r="5648" spans="2:20" ht="38.25" hidden="1">
      <c r="B5648" s="828" t="s">
        <v>6538</v>
      </c>
      <c r="C5648" s="828">
        <v>103326</v>
      </c>
      <c r="D5648" s="630" t="s">
        <v>7139</v>
      </c>
      <c r="E5648" s="630" t="s">
        <v>649</v>
      </c>
      <c r="F5648" s="829">
        <v>63.36</v>
      </c>
      <c r="G5648" s="830">
        <v>33.72</v>
      </c>
      <c r="H5648" s="831">
        <v>97.08</v>
      </c>
      <c r="I5648" s="846"/>
      <c r="J5648" s="846"/>
      <c r="K5648" s="846"/>
      <c r="L5648" s="846"/>
      <c r="M5648" s="846"/>
      <c r="N5648" s="846"/>
      <c r="O5648" s="846"/>
      <c r="P5648" s="846"/>
      <c r="Q5648" s="846"/>
      <c r="R5648" s="846"/>
      <c r="S5648" s="846"/>
      <c r="T5648" s="846"/>
    </row>
    <row r="5649" spans="2:20" ht="38.25" hidden="1">
      <c r="B5649" s="828" t="s">
        <v>6538</v>
      </c>
      <c r="C5649" s="828">
        <v>103327</v>
      </c>
      <c r="D5649" s="630" t="s">
        <v>7140</v>
      </c>
      <c r="E5649" s="630" t="s">
        <v>649</v>
      </c>
      <c r="F5649" s="829">
        <v>63.89</v>
      </c>
      <c r="G5649" s="830">
        <v>35.26</v>
      </c>
      <c r="H5649" s="831">
        <v>99.15</v>
      </c>
      <c r="I5649" s="846"/>
      <c r="J5649" s="846"/>
      <c r="K5649" s="846"/>
      <c r="L5649" s="846"/>
      <c r="M5649" s="846"/>
      <c r="N5649" s="846"/>
      <c r="O5649" s="846"/>
      <c r="P5649" s="846"/>
      <c r="Q5649" s="846"/>
      <c r="R5649" s="846"/>
      <c r="S5649" s="846"/>
      <c r="T5649" s="846"/>
    </row>
    <row r="5650" spans="2:20" ht="38.25" hidden="1">
      <c r="B5650" s="828" t="s">
        <v>6538</v>
      </c>
      <c r="C5650" s="828">
        <v>103328</v>
      </c>
      <c r="D5650" s="630" t="s">
        <v>7141</v>
      </c>
      <c r="E5650" s="630" t="s">
        <v>649</v>
      </c>
      <c r="F5650" s="829">
        <v>43.48</v>
      </c>
      <c r="G5650" s="830">
        <v>53.79</v>
      </c>
      <c r="H5650" s="831">
        <v>97.27</v>
      </c>
      <c r="I5650" s="846"/>
      <c r="J5650" s="846"/>
      <c r="K5650" s="846"/>
      <c r="L5650" s="846"/>
      <c r="M5650" s="846"/>
      <c r="N5650" s="846"/>
      <c r="O5650" s="846"/>
      <c r="P5650" s="846"/>
      <c r="Q5650" s="846"/>
      <c r="R5650" s="846"/>
      <c r="S5650" s="846"/>
      <c r="T5650" s="846"/>
    </row>
    <row r="5651" spans="2:20" ht="38.25" hidden="1">
      <c r="B5651" s="828" t="s">
        <v>6538</v>
      </c>
      <c r="C5651" s="828">
        <v>103329</v>
      </c>
      <c r="D5651" s="630" t="s">
        <v>7142</v>
      </c>
      <c r="E5651" s="630" t="s">
        <v>649</v>
      </c>
      <c r="F5651" s="829">
        <v>43.83</v>
      </c>
      <c r="G5651" s="830">
        <v>54.81</v>
      </c>
      <c r="H5651" s="831">
        <v>98.64</v>
      </c>
      <c r="I5651" s="846"/>
      <c r="J5651" s="846"/>
      <c r="K5651" s="846"/>
      <c r="L5651" s="846"/>
      <c r="M5651" s="846"/>
      <c r="N5651" s="846"/>
      <c r="O5651" s="846"/>
      <c r="P5651" s="846"/>
      <c r="Q5651" s="846"/>
      <c r="R5651" s="846"/>
      <c r="S5651" s="846"/>
      <c r="T5651" s="846"/>
    </row>
    <row r="5652" spans="2:20" ht="38.25" hidden="1">
      <c r="B5652" s="828" t="s">
        <v>6538</v>
      </c>
      <c r="C5652" s="828">
        <v>103330</v>
      </c>
      <c r="D5652" s="630" t="s">
        <v>7143</v>
      </c>
      <c r="E5652" s="630" t="s">
        <v>649</v>
      </c>
      <c r="F5652" s="829">
        <v>47.929999999999993</v>
      </c>
      <c r="G5652" s="830">
        <v>40.33</v>
      </c>
      <c r="H5652" s="831">
        <v>88.26</v>
      </c>
      <c r="I5652" s="846"/>
      <c r="J5652" s="846"/>
      <c r="K5652" s="846"/>
      <c r="L5652" s="846"/>
      <c r="M5652" s="846"/>
      <c r="N5652" s="846"/>
      <c r="O5652" s="846"/>
      <c r="P5652" s="846"/>
      <c r="Q5652" s="846"/>
      <c r="R5652" s="846"/>
      <c r="S5652" s="846"/>
      <c r="T5652" s="846"/>
    </row>
    <row r="5653" spans="2:20" ht="38.25" hidden="1">
      <c r="B5653" s="828" t="s">
        <v>6538</v>
      </c>
      <c r="C5653" s="828">
        <v>103331</v>
      </c>
      <c r="D5653" s="630" t="s">
        <v>7144</v>
      </c>
      <c r="E5653" s="630" t="s">
        <v>649</v>
      </c>
      <c r="F5653" s="829">
        <v>48.31</v>
      </c>
      <c r="G5653" s="830">
        <v>41.43</v>
      </c>
      <c r="H5653" s="831">
        <v>89.74</v>
      </c>
      <c r="I5653" s="846"/>
      <c r="J5653" s="846"/>
      <c r="K5653" s="846"/>
      <c r="L5653" s="846"/>
      <c r="M5653" s="846"/>
      <c r="N5653" s="846"/>
      <c r="O5653" s="846"/>
      <c r="P5653" s="846"/>
      <c r="Q5653" s="846"/>
      <c r="R5653" s="846"/>
      <c r="S5653" s="846"/>
      <c r="T5653" s="846"/>
    </row>
    <row r="5654" spans="2:20" ht="38.25" hidden="1">
      <c r="B5654" s="828" t="s">
        <v>6538</v>
      </c>
      <c r="C5654" s="828">
        <v>103332</v>
      </c>
      <c r="D5654" s="630" t="s">
        <v>7145</v>
      </c>
      <c r="E5654" s="630" t="s">
        <v>649</v>
      </c>
      <c r="F5654" s="829">
        <v>54.959999999999994</v>
      </c>
      <c r="G5654" s="830">
        <v>73.36</v>
      </c>
      <c r="H5654" s="831">
        <v>128.32</v>
      </c>
      <c r="I5654" s="846"/>
      <c r="J5654" s="846"/>
      <c r="K5654" s="846"/>
      <c r="L5654" s="846"/>
      <c r="M5654" s="846"/>
      <c r="N5654" s="846"/>
      <c r="O5654" s="846"/>
      <c r="P5654" s="846"/>
      <c r="Q5654" s="846"/>
      <c r="R5654" s="846"/>
      <c r="S5654" s="846"/>
      <c r="T5654" s="846"/>
    </row>
    <row r="5655" spans="2:20" ht="38.25" hidden="1">
      <c r="B5655" s="828" t="s">
        <v>6538</v>
      </c>
      <c r="C5655" s="828">
        <v>103333</v>
      </c>
      <c r="D5655" s="630" t="s">
        <v>7146</v>
      </c>
      <c r="E5655" s="630" t="s">
        <v>649</v>
      </c>
      <c r="F5655" s="829">
        <v>55.37</v>
      </c>
      <c r="G5655" s="830">
        <v>74.53</v>
      </c>
      <c r="H5655" s="831">
        <v>129.9</v>
      </c>
      <c r="I5655" s="846"/>
      <c r="J5655" s="846"/>
      <c r="K5655" s="846"/>
      <c r="L5655" s="846"/>
      <c r="M5655" s="846"/>
      <c r="N5655" s="846"/>
      <c r="O5655" s="846"/>
      <c r="P5655" s="846"/>
      <c r="Q5655" s="846"/>
      <c r="R5655" s="846"/>
      <c r="S5655" s="846"/>
      <c r="T5655" s="846"/>
    </row>
    <row r="5656" spans="2:20" ht="38.25" hidden="1">
      <c r="B5656" s="828" t="s">
        <v>6538</v>
      </c>
      <c r="C5656" s="828">
        <v>103334</v>
      </c>
      <c r="D5656" s="630" t="s">
        <v>7147</v>
      </c>
      <c r="E5656" s="630" t="s">
        <v>649</v>
      </c>
      <c r="F5656" s="829">
        <v>75.41</v>
      </c>
      <c r="G5656" s="830">
        <v>77.930000000000007</v>
      </c>
      <c r="H5656" s="831">
        <v>153.34</v>
      </c>
      <c r="I5656" s="846"/>
      <c r="J5656" s="846"/>
      <c r="K5656" s="846"/>
      <c r="L5656" s="846"/>
      <c r="M5656" s="846"/>
      <c r="N5656" s="846"/>
      <c r="O5656" s="846"/>
      <c r="P5656" s="846"/>
      <c r="Q5656" s="846"/>
      <c r="R5656" s="846"/>
      <c r="S5656" s="846"/>
      <c r="T5656" s="846"/>
    </row>
    <row r="5657" spans="2:20" ht="38.25" hidden="1">
      <c r="B5657" s="828" t="s">
        <v>6538</v>
      </c>
      <c r="C5657" s="828">
        <v>103335</v>
      </c>
      <c r="D5657" s="630" t="s">
        <v>7148</v>
      </c>
      <c r="E5657" s="630" t="s">
        <v>649</v>
      </c>
      <c r="F5657" s="829">
        <v>76.12</v>
      </c>
      <c r="G5657" s="830">
        <v>79.97</v>
      </c>
      <c r="H5657" s="831">
        <v>156.09</v>
      </c>
      <c r="I5657" s="846"/>
      <c r="J5657" s="846"/>
      <c r="K5657" s="846"/>
      <c r="L5657" s="846"/>
      <c r="M5657" s="846"/>
      <c r="N5657" s="846"/>
      <c r="O5657" s="846"/>
      <c r="P5657" s="846"/>
      <c r="Q5657" s="846"/>
      <c r="R5657" s="846"/>
      <c r="S5657" s="846"/>
      <c r="T5657" s="846"/>
    </row>
    <row r="5658" spans="2:20" ht="38.25" hidden="1">
      <c r="B5658" s="828" t="s">
        <v>6538</v>
      </c>
      <c r="C5658" s="828">
        <v>103350</v>
      </c>
      <c r="D5658" s="630" t="s">
        <v>7149</v>
      </c>
      <c r="E5658" s="630" t="s">
        <v>649</v>
      </c>
      <c r="F5658" s="829">
        <v>90.030000000000015</v>
      </c>
      <c r="G5658" s="830">
        <v>100.94</v>
      </c>
      <c r="H5658" s="831">
        <v>190.97</v>
      </c>
      <c r="I5658" s="846"/>
      <c r="J5658" s="846"/>
      <c r="K5658" s="846"/>
      <c r="L5658" s="846"/>
      <c r="M5658" s="846"/>
      <c r="N5658" s="846"/>
      <c r="O5658" s="846"/>
      <c r="P5658" s="846"/>
      <c r="Q5658" s="846"/>
      <c r="R5658" s="846"/>
      <c r="S5658" s="846"/>
      <c r="T5658" s="846"/>
    </row>
    <row r="5659" spans="2:20" ht="38.25" hidden="1">
      <c r="B5659" s="828" t="s">
        <v>6538</v>
      </c>
      <c r="C5659" s="828">
        <v>103351</v>
      </c>
      <c r="D5659" s="630" t="s">
        <v>7150</v>
      </c>
      <c r="E5659" s="630" t="s">
        <v>649</v>
      </c>
      <c r="F5659" s="829">
        <v>90.56</v>
      </c>
      <c r="G5659" s="830">
        <v>102.42</v>
      </c>
      <c r="H5659" s="831">
        <v>192.98</v>
      </c>
      <c r="I5659" s="846"/>
      <c r="J5659" s="846"/>
      <c r="K5659" s="846"/>
      <c r="L5659" s="846"/>
      <c r="M5659" s="846"/>
      <c r="N5659" s="846"/>
      <c r="O5659" s="846"/>
      <c r="P5659" s="846"/>
      <c r="Q5659" s="846"/>
      <c r="R5659" s="846"/>
      <c r="S5659" s="846"/>
      <c r="T5659" s="846"/>
    </row>
    <row r="5660" spans="2:20" ht="38.25" hidden="1">
      <c r="B5660" s="828" t="s">
        <v>6538</v>
      </c>
      <c r="C5660" s="828">
        <v>103356</v>
      </c>
      <c r="D5660" s="630" t="s">
        <v>7151</v>
      </c>
      <c r="E5660" s="630" t="s">
        <v>649</v>
      </c>
      <c r="F5660" s="829">
        <v>32.950000000000003</v>
      </c>
      <c r="G5660" s="830">
        <v>26</v>
      </c>
      <c r="H5660" s="831">
        <v>58.95</v>
      </c>
      <c r="I5660" s="846"/>
      <c r="J5660" s="846"/>
      <c r="K5660" s="846"/>
      <c r="L5660" s="846"/>
      <c r="M5660" s="846"/>
      <c r="N5660" s="846"/>
      <c r="O5660" s="846"/>
      <c r="P5660" s="846"/>
      <c r="Q5660" s="846"/>
      <c r="R5660" s="846"/>
      <c r="S5660" s="846"/>
      <c r="T5660" s="846"/>
    </row>
    <row r="5661" spans="2:20" ht="38.25" hidden="1">
      <c r="B5661" s="828" t="s">
        <v>6538</v>
      </c>
      <c r="C5661" s="828">
        <v>103357</v>
      </c>
      <c r="D5661" s="630" t="s">
        <v>7152</v>
      </c>
      <c r="E5661" s="630" t="s">
        <v>649</v>
      </c>
      <c r="F5661" s="829">
        <v>33.25</v>
      </c>
      <c r="G5661" s="830">
        <v>26.86</v>
      </c>
      <c r="H5661" s="831">
        <v>60.11</v>
      </c>
      <c r="I5661" s="846"/>
      <c r="J5661" s="846"/>
      <c r="K5661" s="846"/>
      <c r="L5661" s="846"/>
      <c r="M5661" s="846"/>
      <c r="N5661" s="846"/>
      <c r="O5661" s="846"/>
      <c r="P5661" s="846"/>
      <c r="Q5661" s="846"/>
      <c r="R5661" s="846"/>
      <c r="S5661" s="846"/>
      <c r="T5661" s="846"/>
    </row>
    <row r="5662" spans="2:20" ht="51" hidden="1">
      <c r="B5662" s="828" t="s">
        <v>6544</v>
      </c>
      <c r="C5662" s="828">
        <v>89282</v>
      </c>
      <c r="D5662" s="630" t="s">
        <v>32</v>
      </c>
      <c r="E5662" s="630" t="s">
        <v>649</v>
      </c>
      <c r="F5662" s="829">
        <v>55.04</v>
      </c>
      <c r="G5662" s="830">
        <v>22.91</v>
      </c>
      <c r="H5662" s="831">
        <v>77.95</v>
      </c>
      <c r="I5662" s="846"/>
      <c r="J5662" s="846"/>
      <c r="K5662" s="846"/>
      <c r="L5662" s="846"/>
      <c r="M5662" s="846"/>
      <c r="N5662" s="846"/>
      <c r="O5662" s="846"/>
      <c r="P5662" s="846"/>
      <c r="Q5662" s="846"/>
      <c r="R5662" s="846"/>
      <c r="S5662" s="846"/>
      <c r="T5662" s="846"/>
    </row>
    <row r="5663" spans="2:20" ht="51" hidden="1">
      <c r="B5663" s="828" t="s">
        <v>6544</v>
      </c>
      <c r="C5663" s="828">
        <v>89283</v>
      </c>
      <c r="D5663" s="630" t="s">
        <v>33</v>
      </c>
      <c r="E5663" s="630" t="s">
        <v>649</v>
      </c>
      <c r="F5663" s="829">
        <v>55.52</v>
      </c>
      <c r="G5663" s="830">
        <v>24.22</v>
      </c>
      <c r="H5663" s="831">
        <v>79.739999999999995</v>
      </c>
      <c r="I5663" s="846"/>
      <c r="J5663" s="846"/>
      <c r="K5663" s="846"/>
      <c r="L5663" s="846"/>
      <c r="M5663" s="846"/>
      <c r="N5663" s="846"/>
      <c r="O5663" s="846"/>
      <c r="P5663" s="846"/>
      <c r="Q5663" s="846"/>
      <c r="R5663" s="846"/>
      <c r="S5663" s="846"/>
      <c r="T5663" s="846"/>
    </row>
    <row r="5664" spans="2:20" ht="51" hidden="1">
      <c r="B5664" s="828" t="s">
        <v>6544</v>
      </c>
      <c r="C5664" s="828">
        <v>89284</v>
      </c>
      <c r="D5664" s="630" t="s">
        <v>34</v>
      </c>
      <c r="E5664" s="630" t="s">
        <v>649</v>
      </c>
      <c r="F5664" s="829">
        <v>51.099999999999994</v>
      </c>
      <c r="G5664" s="830">
        <v>19.36</v>
      </c>
      <c r="H5664" s="831">
        <v>70.459999999999994</v>
      </c>
      <c r="I5664" s="846"/>
      <c r="J5664" s="846"/>
      <c r="K5664" s="846"/>
      <c r="L5664" s="846"/>
      <c r="M5664" s="846"/>
      <c r="N5664" s="846"/>
      <c r="O5664" s="846"/>
      <c r="P5664" s="846"/>
      <c r="Q5664" s="846"/>
      <c r="R5664" s="846"/>
      <c r="S5664" s="846"/>
      <c r="T5664" s="846"/>
    </row>
    <row r="5665" spans="2:20" ht="51" hidden="1">
      <c r="B5665" s="828" t="s">
        <v>6544</v>
      </c>
      <c r="C5665" s="828">
        <v>89285</v>
      </c>
      <c r="D5665" s="630" t="s">
        <v>35</v>
      </c>
      <c r="E5665" s="630" t="s">
        <v>649</v>
      </c>
      <c r="F5665" s="829">
        <v>51.58</v>
      </c>
      <c r="G5665" s="830">
        <v>20.67</v>
      </c>
      <c r="H5665" s="831">
        <v>72.25</v>
      </c>
      <c r="I5665" s="846"/>
      <c r="J5665" s="846"/>
      <c r="K5665" s="846"/>
      <c r="L5665" s="846"/>
      <c r="M5665" s="846"/>
      <c r="N5665" s="846"/>
      <c r="O5665" s="846"/>
      <c r="P5665" s="846"/>
      <c r="Q5665" s="846"/>
      <c r="R5665" s="846"/>
      <c r="S5665" s="846"/>
      <c r="T5665" s="846"/>
    </row>
    <row r="5666" spans="2:20" ht="51" hidden="1">
      <c r="B5666" s="828" t="s">
        <v>6544</v>
      </c>
      <c r="C5666" s="828">
        <v>89286</v>
      </c>
      <c r="D5666" s="630" t="s">
        <v>36</v>
      </c>
      <c r="E5666" s="630" t="s">
        <v>649</v>
      </c>
      <c r="F5666" s="829">
        <v>57.37</v>
      </c>
      <c r="G5666" s="830">
        <v>26.45</v>
      </c>
      <c r="H5666" s="831">
        <v>83.82</v>
      </c>
      <c r="I5666" s="846"/>
      <c r="J5666" s="846"/>
      <c r="K5666" s="846"/>
      <c r="L5666" s="846"/>
      <c r="M5666" s="846"/>
      <c r="N5666" s="846"/>
      <c r="O5666" s="846"/>
      <c r="P5666" s="846"/>
      <c r="Q5666" s="846"/>
      <c r="R5666" s="846"/>
      <c r="S5666" s="846"/>
      <c r="T5666" s="846"/>
    </row>
    <row r="5667" spans="2:20" ht="51" hidden="1">
      <c r="B5667" s="828" t="s">
        <v>6544</v>
      </c>
      <c r="C5667" s="828">
        <v>89287</v>
      </c>
      <c r="D5667" s="630" t="s">
        <v>1079</v>
      </c>
      <c r="E5667" s="630" t="s">
        <v>649</v>
      </c>
      <c r="F5667" s="829">
        <v>57.86</v>
      </c>
      <c r="G5667" s="830">
        <v>27.75</v>
      </c>
      <c r="H5667" s="831">
        <v>85.61</v>
      </c>
      <c r="I5667" s="846"/>
      <c r="J5667" s="846"/>
      <c r="K5667" s="846"/>
      <c r="L5667" s="846"/>
      <c r="M5667" s="846"/>
      <c r="N5667" s="846"/>
      <c r="O5667" s="846"/>
      <c r="P5667" s="846"/>
      <c r="Q5667" s="846"/>
      <c r="R5667" s="846"/>
      <c r="S5667" s="846"/>
      <c r="T5667" s="846"/>
    </row>
    <row r="5668" spans="2:20" ht="51" hidden="1">
      <c r="B5668" s="828" t="s">
        <v>6544</v>
      </c>
      <c r="C5668" s="828">
        <v>89288</v>
      </c>
      <c r="D5668" s="630" t="s">
        <v>37</v>
      </c>
      <c r="E5668" s="630" t="s">
        <v>649</v>
      </c>
      <c r="F5668" s="829">
        <v>52.499999999999993</v>
      </c>
      <c r="G5668" s="830">
        <v>21.17</v>
      </c>
      <c r="H5668" s="831">
        <v>73.67</v>
      </c>
      <c r="I5668" s="846"/>
      <c r="J5668" s="846"/>
      <c r="K5668" s="846"/>
      <c r="L5668" s="846"/>
      <c r="M5668" s="846"/>
      <c r="N5668" s="846"/>
      <c r="O5668" s="846"/>
      <c r="P5668" s="846"/>
      <c r="Q5668" s="846"/>
      <c r="R5668" s="846"/>
      <c r="S5668" s="846"/>
      <c r="T5668" s="846"/>
    </row>
    <row r="5669" spans="2:20" ht="51" hidden="1">
      <c r="B5669" s="828" t="s">
        <v>6544</v>
      </c>
      <c r="C5669" s="828">
        <v>89289</v>
      </c>
      <c r="D5669" s="630" t="s">
        <v>38</v>
      </c>
      <c r="E5669" s="630" t="s">
        <v>649</v>
      </c>
      <c r="F5669" s="829">
        <v>52.98</v>
      </c>
      <c r="G5669" s="830">
        <v>22.48</v>
      </c>
      <c r="H5669" s="831">
        <v>75.459999999999994</v>
      </c>
      <c r="I5669" s="846"/>
      <c r="J5669" s="846"/>
      <c r="K5669" s="846"/>
      <c r="L5669" s="846"/>
      <c r="M5669" s="846"/>
      <c r="N5669" s="846"/>
      <c r="O5669" s="846"/>
      <c r="P5669" s="846"/>
      <c r="Q5669" s="846"/>
      <c r="R5669" s="846"/>
      <c r="S5669" s="846"/>
      <c r="T5669" s="846"/>
    </row>
    <row r="5670" spans="2:20" ht="51" hidden="1">
      <c r="B5670" s="828" t="s">
        <v>6544</v>
      </c>
      <c r="C5670" s="828">
        <v>89290</v>
      </c>
      <c r="D5670" s="630" t="s">
        <v>39</v>
      </c>
      <c r="E5670" s="630" t="s">
        <v>649</v>
      </c>
      <c r="F5670" s="829">
        <v>58.86</v>
      </c>
      <c r="G5670" s="830">
        <v>31.61</v>
      </c>
      <c r="H5670" s="831">
        <v>90.47</v>
      </c>
      <c r="I5670" s="846"/>
      <c r="J5670" s="846"/>
      <c r="K5670" s="846"/>
      <c r="L5670" s="846"/>
      <c r="M5670" s="846"/>
      <c r="N5670" s="846"/>
      <c r="O5670" s="846"/>
      <c r="P5670" s="846"/>
      <c r="Q5670" s="846"/>
      <c r="R5670" s="846"/>
      <c r="S5670" s="846"/>
      <c r="T5670" s="846"/>
    </row>
    <row r="5671" spans="2:20" ht="51" hidden="1">
      <c r="B5671" s="828" t="s">
        <v>6544</v>
      </c>
      <c r="C5671" s="828">
        <v>89291</v>
      </c>
      <c r="D5671" s="630" t="s">
        <v>40</v>
      </c>
      <c r="E5671" s="630" t="s">
        <v>649</v>
      </c>
      <c r="F5671" s="829">
        <v>59.4</v>
      </c>
      <c r="G5671" s="830">
        <v>33.049999999999997</v>
      </c>
      <c r="H5671" s="831">
        <v>92.45</v>
      </c>
      <c r="I5671" s="846"/>
      <c r="J5671" s="846"/>
      <c r="K5671" s="846"/>
      <c r="L5671" s="846"/>
      <c r="M5671" s="846"/>
      <c r="N5671" s="846"/>
      <c r="O5671" s="846"/>
      <c r="P5671" s="846"/>
      <c r="Q5671" s="846"/>
      <c r="R5671" s="846"/>
      <c r="S5671" s="846"/>
      <c r="T5671" s="846"/>
    </row>
    <row r="5672" spans="2:20" ht="51" hidden="1">
      <c r="B5672" s="828" t="s">
        <v>6544</v>
      </c>
      <c r="C5672" s="828">
        <v>89292</v>
      </c>
      <c r="D5672" s="630" t="s">
        <v>187</v>
      </c>
      <c r="E5672" s="630" t="s">
        <v>649</v>
      </c>
      <c r="F5672" s="829">
        <v>54.9</v>
      </c>
      <c r="G5672" s="830">
        <v>28.07</v>
      </c>
      <c r="H5672" s="831">
        <v>82.97</v>
      </c>
      <c r="I5672" s="846"/>
      <c r="J5672" s="846"/>
      <c r="K5672" s="846"/>
      <c r="L5672" s="846"/>
      <c r="M5672" s="846"/>
      <c r="N5672" s="846"/>
      <c r="O5672" s="846"/>
      <c r="P5672" s="846"/>
      <c r="Q5672" s="846"/>
      <c r="R5672" s="846"/>
      <c r="S5672" s="846"/>
      <c r="T5672" s="846"/>
    </row>
    <row r="5673" spans="2:20" ht="51" hidden="1">
      <c r="B5673" s="828" t="s">
        <v>6544</v>
      </c>
      <c r="C5673" s="828">
        <v>89293</v>
      </c>
      <c r="D5673" s="630" t="s">
        <v>188</v>
      </c>
      <c r="E5673" s="630" t="s">
        <v>649</v>
      </c>
      <c r="F5673" s="829">
        <v>55.45</v>
      </c>
      <c r="G5673" s="830">
        <v>29.5</v>
      </c>
      <c r="H5673" s="831">
        <v>84.95</v>
      </c>
      <c r="I5673" s="846"/>
      <c r="J5673" s="846"/>
      <c r="K5673" s="846"/>
      <c r="L5673" s="846"/>
      <c r="M5673" s="846"/>
      <c r="N5673" s="846"/>
      <c r="O5673" s="846"/>
      <c r="P5673" s="846"/>
      <c r="Q5673" s="846"/>
      <c r="R5673" s="846"/>
      <c r="S5673" s="846"/>
      <c r="T5673" s="846"/>
    </row>
    <row r="5674" spans="2:20" ht="51" hidden="1">
      <c r="B5674" s="828" t="s">
        <v>6544</v>
      </c>
      <c r="C5674" s="828">
        <v>89294</v>
      </c>
      <c r="D5674" s="630" t="s">
        <v>189</v>
      </c>
      <c r="E5674" s="630" t="s">
        <v>649</v>
      </c>
      <c r="F5674" s="829">
        <v>62.12</v>
      </c>
      <c r="G5674" s="830">
        <v>36.880000000000003</v>
      </c>
      <c r="H5674" s="831">
        <v>99</v>
      </c>
      <c r="I5674" s="846"/>
      <c r="J5674" s="846"/>
      <c r="K5674" s="846"/>
      <c r="L5674" s="846"/>
      <c r="M5674" s="846"/>
      <c r="N5674" s="846"/>
      <c r="O5674" s="846"/>
      <c r="P5674" s="846"/>
      <c r="Q5674" s="846"/>
      <c r="R5674" s="846"/>
      <c r="S5674" s="846"/>
      <c r="T5674" s="846"/>
    </row>
    <row r="5675" spans="2:20" ht="51" hidden="1">
      <c r="B5675" s="828" t="s">
        <v>6544</v>
      </c>
      <c r="C5675" s="828">
        <v>89295</v>
      </c>
      <c r="D5675" s="630" t="s">
        <v>190</v>
      </c>
      <c r="E5675" s="630" t="s">
        <v>649</v>
      </c>
      <c r="F5675" s="829">
        <v>62.67</v>
      </c>
      <c r="G5675" s="830">
        <v>38.31</v>
      </c>
      <c r="H5675" s="831">
        <v>100.98</v>
      </c>
      <c r="I5675" s="846"/>
      <c r="J5675" s="846"/>
      <c r="K5675" s="846"/>
      <c r="L5675" s="846"/>
      <c r="M5675" s="846"/>
      <c r="N5675" s="846"/>
      <c r="O5675" s="846"/>
      <c r="P5675" s="846"/>
      <c r="Q5675" s="846"/>
      <c r="R5675" s="846"/>
      <c r="S5675" s="846"/>
      <c r="T5675" s="846"/>
    </row>
    <row r="5676" spans="2:20" ht="51" hidden="1">
      <c r="B5676" s="828" t="s">
        <v>6544</v>
      </c>
      <c r="C5676" s="828">
        <v>89296</v>
      </c>
      <c r="D5676" s="630" t="s">
        <v>191</v>
      </c>
      <c r="E5676" s="630" t="s">
        <v>649</v>
      </c>
      <c r="F5676" s="829">
        <v>56.61</v>
      </c>
      <c r="G5676" s="830">
        <v>30.95</v>
      </c>
      <c r="H5676" s="831">
        <v>87.56</v>
      </c>
      <c r="I5676" s="846"/>
      <c r="J5676" s="846"/>
      <c r="K5676" s="846"/>
      <c r="L5676" s="846"/>
      <c r="M5676" s="846"/>
      <c r="N5676" s="846"/>
      <c r="O5676" s="846"/>
      <c r="P5676" s="846"/>
      <c r="Q5676" s="846"/>
      <c r="R5676" s="846"/>
      <c r="S5676" s="846"/>
      <c r="T5676" s="846"/>
    </row>
    <row r="5677" spans="2:20" ht="51" hidden="1">
      <c r="B5677" s="828" t="s">
        <v>6544</v>
      </c>
      <c r="C5677" s="828">
        <v>89297</v>
      </c>
      <c r="D5677" s="630" t="s">
        <v>192</v>
      </c>
      <c r="E5677" s="630" t="s">
        <v>649</v>
      </c>
      <c r="F5677" s="829">
        <v>57.16</v>
      </c>
      <c r="G5677" s="830">
        <v>32.380000000000003</v>
      </c>
      <c r="H5677" s="831">
        <v>89.54</v>
      </c>
      <c r="I5677" s="846"/>
      <c r="J5677" s="846"/>
      <c r="K5677" s="846"/>
      <c r="L5677" s="846"/>
      <c r="M5677" s="846"/>
      <c r="N5677" s="846"/>
      <c r="O5677" s="846"/>
      <c r="P5677" s="846"/>
      <c r="Q5677" s="846"/>
      <c r="R5677" s="846"/>
      <c r="S5677" s="846"/>
      <c r="T5677" s="846"/>
    </row>
    <row r="5678" spans="2:20" ht="51" hidden="1">
      <c r="B5678" s="828" t="s">
        <v>6544</v>
      </c>
      <c r="C5678" s="828">
        <v>89298</v>
      </c>
      <c r="D5678" s="630" t="s">
        <v>193</v>
      </c>
      <c r="E5678" s="630" t="s">
        <v>649</v>
      </c>
      <c r="F5678" s="829">
        <v>59.910000000000004</v>
      </c>
      <c r="G5678" s="830">
        <v>32.86</v>
      </c>
      <c r="H5678" s="831">
        <v>92.77</v>
      </c>
      <c r="I5678" s="846"/>
      <c r="J5678" s="846"/>
      <c r="K5678" s="846"/>
      <c r="L5678" s="846"/>
      <c r="M5678" s="846"/>
      <c r="N5678" s="846"/>
      <c r="O5678" s="846"/>
      <c r="P5678" s="846"/>
      <c r="Q5678" s="846"/>
      <c r="R5678" s="846"/>
      <c r="S5678" s="846"/>
      <c r="T5678" s="846"/>
    </row>
    <row r="5679" spans="2:20" ht="51" hidden="1">
      <c r="B5679" s="828" t="s">
        <v>6544</v>
      </c>
      <c r="C5679" s="828">
        <v>89299</v>
      </c>
      <c r="D5679" s="630" t="s">
        <v>194</v>
      </c>
      <c r="E5679" s="630" t="s">
        <v>649</v>
      </c>
      <c r="F5679" s="829">
        <v>60.61</v>
      </c>
      <c r="G5679" s="830">
        <v>34.69</v>
      </c>
      <c r="H5679" s="831">
        <v>95.3</v>
      </c>
      <c r="I5679" s="846"/>
      <c r="J5679" s="846"/>
      <c r="K5679" s="846"/>
      <c r="L5679" s="846"/>
      <c r="M5679" s="846"/>
      <c r="N5679" s="846"/>
      <c r="O5679" s="846"/>
      <c r="P5679" s="846"/>
      <c r="Q5679" s="846"/>
      <c r="R5679" s="846"/>
      <c r="S5679" s="846"/>
      <c r="T5679" s="846"/>
    </row>
    <row r="5680" spans="2:20" ht="51" hidden="1">
      <c r="B5680" s="828" t="s">
        <v>6544</v>
      </c>
      <c r="C5680" s="828">
        <v>89300</v>
      </c>
      <c r="D5680" s="630" t="s">
        <v>195</v>
      </c>
      <c r="E5680" s="630" t="s">
        <v>649</v>
      </c>
      <c r="F5680" s="829">
        <v>55.970000000000006</v>
      </c>
      <c r="G5680" s="830">
        <v>29.31</v>
      </c>
      <c r="H5680" s="831">
        <v>85.28</v>
      </c>
      <c r="I5680" s="846"/>
      <c r="J5680" s="846"/>
      <c r="K5680" s="846"/>
      <c r="L5680" s="846"/>
      <c r="M5680" s="846"/>
      <c r="N5680" s="846"/>
      <c r="O5680" s="846"/>
      <c r="P5680" s="846"/>
      <c r="Q5680" s="846"/>
      <c r="R5680" s="846"/>
      <c r="S5680" s="846"/>
      <c r="T5680" s="846"/>
    </row>
    <row r="5681" spans="2:20" ht="51" hidden="1">
      <c r="B5681" s="828" t="s">
        <v>6544</v>
      </c>
      <c r="C5681" s="828">
        <v>89301</v>
      </c>
      <c r="D5681" s="630" t="s">
        <v>196</v>
      </c>
      <c r="E5681" s="630" t="s">
        <v>649</v>
      </c>
      <c r="F5681" s="829">
        <v>56.67</v>
      </c>
      <c r="G5681" s="830">
        <v>31.14</v>
      </c>
      <c r="H5681" s="831">
        <v>87.81</v>
      </c>
      <c r="I5681" s="846"/>
      <c r="J5681" s="846"/>
      <c r="K5681" s="846"/>
      <c r="L5681" s="846"/>
      <c r="M5681" s="846"/>
      <c r="N5681" s="846"/>
      <c r="O5681" s="846"/>
      <c r="P5681" s="846"/>
      <c r="Q5681" s="846"/>
      <c r="R5681" s="846"/>
      <c r="S5681" s="846"/>
      <c r="T5681" s="846"/>
    </row>
    <row r="5682" spans="2:20" ht="51" hidden="1">
      <c r="B5682" s="828" t="s">
        <v>6544</v>
      </c>
      <c r="C5682" s="828">
        <v>89302</v>
      </c>
      <c r="D5682" s="630" t="s">
        <v>197</v>
      </c>
      <c r="E5682" s="630" t="s">
        <v>649</v>
      </c>
      <c r="F5682" s="829">
        <v>63.280000000000008</v>
      </c>
      <c r="G5682" s="830">
        <v>39.880000000000003</v>
      </c>
      <c r="H5682" s="831">
        <v>103.16</v>
      </c>
      <c r="I5682" s="846"/>
      <c r="J5682" s="846"/>
      <c r="K5682" s="846"/>
      <c r="L5682" s="846"/>
      <c r="M5682" s="846"/>
      <c r="N5682" s="846"/>
      <c r="O5682" s="846"/>
      <c r="P5682" s="846"/>
      <c r="Q5682" s="846"/>
      <c r="R5682" s="846"/>
      <c r="S5682" s="846"/>
      <c r="T5682" s="846"/>
    </row>
    <row r="5683" spans="2:20" ht="51" hidden="1">
      <c r="B5683" s="828" t="s">
        <v>6544</v>
      </c>
      <c r="C5683" s="828">
        <v>89303</v>
      </c>
      <c r="D5683" s="630" t="s">
        <v>198</v>
      </c>
      <c r="E5683" s="630" t="s">
        <v>649</v>
      </c>
      <c r="F5683" s="829">
        <v>63.99</v>
      </c>
      <c r="G5683" s="830">
        <v>41.7</v>
      </c>
      <c r="H5683" s="831">
        <v>105.69</v>
      </c>
      <c r="I5683" s="846"/>
      <c r="J5683" s="846"/>
      <c r="K5683" s="846"/>
      <c r="L5683" s="846"/>
      <c r="M5683" s="846"/>
      <c r="N5683" s="846"/>
      <c r="O5683" s="846"/>
      <c r="P5683" s="846"/>
      <c r="Q5683" s="846"/>
      <c r="R5683" s="846"/>
      <c r="S5683" s="846"/>
      <c r="T5683" s="846"/>
    </row>
    <row r="5684" spans="2:20" ht="51" hidden="1">
      <c r="B5684" s="828" t="s">
        <v>6544</v>
      </c>
      <c r="C5684" s="828">
        <v>89304</v>
      </c>
      <c r="D5684" s="630" t="s">
        <v>199</v>
      </c>
      <c r="E5684" s="630" t="s">
        <v>649</v>
      </c>
      <c r="F5684" s="829">
        <v>58.010000000000005</v>
      </c>
      <c r="G5684" s="830">
        <v>33.29</v>
      </c>
      <c r="H5684" s="831">
        <v>91.3</v>
      </c>
      <c r="I5684" s="846"/>
      <c r="J5684" s="846"/>
      <c r="K5684" s="846"/>
      <c r="L5684" s="846"/>
      <c r="M5684" s="846"/>
      <c r="N5684" s="846"/>
      <c r="O5684" s="846"/>
      <c r="P5684" s="846"/>
      <c r="Q5684" s="846"/>
      <c r="R5684" s="846"/>
      <c r="S5684" s="846"/>
      <c r="T5684" s="846"/>
    </row>
    <row r="5685" spans="2:20" ht="51" hidden="1">
      <c r="B5685" s="828" t="s">
        <v>6544</v>
      </c>
      <c r="C5685" s="828">
        <v>89305</v>
      </c>
      <c r="D5685" s="630" t="s">
        <v>200</v>
      </c>
      <c r="E5685" s="630" t="s">
        <v>649</v>
      </c>
      <c r="F5685" s="829">
        <v>58.72</v>
      </c>
      <c r="G5685" s="830">
        <v>35.11</v>
      </c>
      <c r="H5685" s="831">
        <v>93.83</v>
      </c>
      <c r="I5685" s="846"/>
      <c r="J5685" s="846"/>
      <c r="K5685" s="846"/>
      <c r="L5685" s="846"/>
      <c r="M5685" s="846"/>
      <c r="N5685" s="846"/>
      <c r="O5685" s="846"/>
      <c r="P5685" s="846"/>
      <c r="Q5685" s="846"/>
      <c r="R5685" s="846"/>
      <c r="S5685" s="846"/>
      <c r="T5685" s="846"/>
    </row>
    <row r="5686" spans="2:20" ht="51" hidden="1">
      <c r="B5686" s="828" t="s">
        <v>6544</v>
      </c>
      <c r="C5686" s="828">
        <v>89306</v>
      </c>
      <c r="D5686" s="630" t="s">
        <v>201</v>
      </c>
      <c r="E5686" s="630" t="s">
        <v>649</v>
      </c>
      <c r="F5686" s="829">
        <v>63.930000000000007</v>
      </c>
      <c r="G5686" s="830">
        <v>41.62</v>
      </c>
      <c r="H5686" s="831">
        <v>105.55</v>
      </c>
      <c r="I5686" s="846"/>
      <c r="J5686" s="846"/>
      <c r="K5686" s="846"/>
      <c r="L5686" s="846"/>
      <c r="M5686" s="846"/>
      <c r="N5686" s="846"/>
      <c r="O5686" s="846"/>
      <c r="P5686" s="846"/>
      <c r="Q5686" s="846"/>
      <c r="R5686" s="846"/>
      <c r="S5686" s="846"/>
      <c r="T5686" s="846"/>
    </row>
    <row r="5687" spans="2:20" ht="51" hidden="1">
      <c r="B5687" s="828" t="s">
        <v>6544</v>
      </c>
      <c r="C5687" s="828">
        <v>89307</v>
      </c>
      <c r="D5687" s="630" t="s">
        <v>202</v>
      </c>
      <c r="E5687" s="630" t="s">
        <v>649</v>
      </c>
      <c r="F5687" s="829">
        <v>64.709999999999994</v>
      </c>
      <c r="G5687" s="830">
        <v>43.66</v>
      </c>
      <c r="H5687" s="831">
        <v>108.37</v>
      </c>
      <c r="I5687" s="846"/>
      <c r="J5687" s="846"/>
      <c r="K5687" s="846"/>
      <c r="L5687" s="846"/>
      <c r="M5687" s="846"/>
      <c r="N5687" s="846"/>
      <c r="O5687" s="846"/>
      <c r="P5687" s="846"/>
      <c r="Q5687" s="846"/>
      <c r="R5687" s="846"/>
      <c r="S5687" s="846"/>
      <c r="T5687" s="846"/>
    </row>
    <row r="5688" spans="2:20" ht="51" hidden="1">
      <c r="B5688" s="828" t="s">
        <v>6544</v>
      </c>
      <c r="C5688" s="828">
        <v>89308</v>
      </c>
      <c r="D5688" s="630" t="s">
        <v>203</v>
      </c>
      <c r="E5688" s="630" t="s">
        <v>649</v>
      </c>
      <c r="F5688" s="829">
        <v>59.970000000000006</v>
      </c>
      <c r="G5688" s="830">
        <v>38.08</v>
      </c>
      <c r="H5688" s="831">
        <v>98.05</v>
      </c>
      <c r="I5688" s="846"/>
      <c r="J5688" s="846"/>
      <c r="K5688" s="846"/>
      <c r="L5688" s="846"/>
      <c r="M5688" s="846"/>
      <c r="N5688" s="846"/>
      <c r="O5688" s="846"/>
      <c r="P5688" s="846"/>
      <c r="Q5688" s="846"/>
      <c r="R5688" s="846"/>
      <c r="S5688" s="846"/>
      <c r="T5688" s="846"/>
    </row>
    <row r="5689" spans="2:20" ht="51" hidden="1">
      <c r="B5689" s="828" t="s">
        <v>6544</v>
      </c>
      <c r="C5689" s="828">
        <v>89309</v>
      </c>
      <c r="D5689" s="630" t="s">
        <v>41</v>
      </c>
      <c r="E5689" s="630" t="s">
        <v>649</v>
      </c>
      <c r="F5689" s="829">
        <v>60.75</v>
      </c>
      <c r="G5689" s="830">
        <v>40.119999999999997</v>
      </c>
      <c r="H5689" s="831">
        <v>100.87</v>
      </c>
      <c r="I5689" s="846"/>
      <c r="J5689" s="846"/>
      <c r="K5689" s="846"/>
      <c r="L5689" s="846"/>
      <c r="M5689" s="846"/>
      <c r="N5689" s="846"/>
      <c r="O5689" s="846"/>
      <c r="P5689" s="846"/>
      <c r="Q5689" s="846"/>
      <c r="R5689" s="846"/>
      <c r="S5689" s="846"/>
      <c r="T5689" s="846"/>
    </row>
    <row r="5690" spans="2:20" ht="51" hidden="1">
      <c r="B5690" s="828" t="s">
        <v>6544</v>
      </c>
      <c r="C5690" s="828">
        <v>89310</v>
      </c>
      <c r="D5690" s="630" t="s">
        <v>42</v>
      </c>
      <c r="E5690" s="630" t="s">
        <v>649</v>
      </c>
      <c r="F5690" s="829">
        <v>71.179999999999993</v>
      </c>
      <c r="G5690" s="830">
        <v>50.36</v>
      </c>
      <c r="H5690" s="831">
        <v>121.54</v>
      </c>
      <c r="I5690" s="846"/>
      <c r="J5690" s="846"/>
      <c r="K5690" s="846"/>
      <c r="L5690" s="846"/>
      <c r="M5690" s="846"/>
      <c r="N5690" s="846"/>
      <c r="O5690" s="846"/>
      <c r="P5690" s="846"/>
      <c r="Q5690" s="846"/>
      <c r="R5690" s="846"/>
      <c r="S5690" s="846"/>
      <c r="T5690" s="846"/>
    </row>
    <row r="5691" spans="2:20" ht="51" hidden="1">
      <c r="B5691" s="828" t="s">
        <v>6544</v>
      </c>
      <c r="C5691" s="828">
        <v>89311</v>
      </c>
      <c r="D5691" s="630" t="s">
        <v>43</v>
      </c>
      <c r="E5691" s="630" t="s">
        <v>649</v>
      </c>
      <c r="F5691" s="829">
        <v>71.959999999999994</v>
      </c>
      <c r="G5691" s="830">
        <v>52.4</v>
      </c>
      <c r="H5691" s="831">
        <v>124.36</v>
      </c>
      <c r="I5691" s="846"/>
      <c r="J5691" s="846"/>
      <c r="K5691" s="846"/>
      <c r="L5691" s="846"/>
      <c r="M5691" s="846"/>
      <c r="N5691" s="846"/>
      <c r="O5691" s="846"/>
      <c r="P5691" s="846"/>
      <c r="Q5691" s="846"/>
      <c r="R5691" s="846"/>
      <c r="S5691" s="846"/>
      <c r="T5691" s="846"/>
    </row>
    <row r="5692" spans="2:20" ht="51" hidden="1">
      <c r="B5692" s="828" t="s">
        <v>6544</v>
      </c>
      <c r="C5692" s="828">
        <v>89312</v>
      </c>
      <c r="D5692" s="630" t="s">
        <v>44</v>
      </c>
      <c r="E5692" s="630" t="s">
        <v>649</v>
      </c>
      <c r="F5692" s="829">
        <v>62.350000000000009</v>
      </c>
      <c r="G5692" s="830">
        <v>43.1</v>
      </c>
      <c r="H5692" s="831">
        <v>105.45</v>
      </c>
      <c r="I5692" s="846"/>
      <c r="J5692" s="846"/>
      <c r="K5692" s="846"/>
      <c r="L5692" s="846"/>
      <c r="M5692" s="846"/>
      <c r="N5692" s="846"/>
      <c r="O5692" s="846"/>
      <c r="P5692" s="846"/>
      <c r="Q5692" s="846"/>
      <c r="R5692" s="846"/>
      <c r="S5692" s="846"/>
      <c r="T5692" s="846"/>
    </row>
    <row r="5693" spans="2:20" ht="51" hidden="1">
      <c r="B5693" s="828" t="s">
        <v>6544</v>
      </c>
      <c r="C5693" s="828">
        <v>89313</v>
      </c>
      <c r="D5693" s="630" t="s">
        <v>61</v>
      </c>
      <c r="E5693" s="630" t="s">
        <v>649</v>
      </c>
      <c r="F5693" s="829">
        <v>63.13</v>
      </c>
      <c r="G5693" s="830">
        <v>45.14</v>
      </c>
      <c r="H5693" s="831">
        <v>108.27</v>
      </c>
      <c r="I5693" s="846"/>
      <c r="J5693" s="846"/>
      <c r="K5693" s="846"/>
      <c r="L5693" s="846"/>
      <c r="M5693" s="846"/>
      <c r="N5693" s="846"/>
      <c r="O5693" s="846"/>
      <c r="P5693" s="846"/>
      <c r="Q5693" s="846"/>
      <c r="R5693" s="846"/>
      <c r="S5693" s="846"/>
      <c r="T5693" s="846"/>
    </row>
    <row r="5694" spans="2:20" ht="25.5" hidden="1">
      <c r="B5694" s="828" t="s">
        <v>6544</v>
      </c>
      <c r="C5694" s="828">
        <v>101157</v>
      </c>
      <c r="D5694" s="630" t="s">
        <v>5841</v>
      </c>
      <c r="E5694" s="630" t="s">
        <v>649</v>
      </c>
      <c r="F5694" s="829">
        <v>46.79</v>
      </c>
      <c r="G5694" s="830">
        <v>15.94</v>
      </c>
      <c r="H5694" s="831">
        <v>62.73</v>
      </c>
      <c r="I5694" s="846"/>
      <c r="J5694" s="846"/>
      <c r="K5694" s="846"/>
      <c r="L5694" s="846"/>
      <c r="M5694" s="846"/>
      <c r="N5694" s="846"/>
      <c r="O5694" s="846"/>
      <c r="P5694" s="846"/>
      <c r="Q5694" s="846"/>
      <c r="R5694" s="846"/>
      <c r="S5694" s="846"/>
      <c r="T5694" s="846"/>
    </row>
    <row r="5695" spans="2:20" ht="25.5" hidden="1">
      <c r="B5695" s="828" t="s">
        <v>6544</v>
      </c>
      <c r="C5695" s="828">
        <v>101158</v>
      </c>
      <c r="D5695" s="630" t="s">
        <v>5842</v>
      </c>
      <c r="E5695" s="630" t="s">
        <v>649</v>
      </c>
      <c r="F5695" s="829">
        <v>62.89</v>
      </c>
      <c r="G5695" s="830">
        <v>18.690000000000001</v>
      </c>
      <c r="H5695" s="831">
        <v>81.58</v>
      </c>
      <c r="I5695" s="846"/>
      <c r="J5695" s="846"/>
      <c r="K5695" s="846"/>
      <c r="L5695" s="846"/>
      <c r="M5695" s="846"/>
      <c r="N5695" s="846"/>
      <c r="O5695" s="846"/>
      <c r="P5695" s="846"/>
      <c r="Q5695" s="846"/>
      <c r="R5695" s="846"/>
      <c r="S5695" s="846"/>
      <c r="T5695" s="846"/>
    </row>
    <row r="5696" spans="2:20" ht="38.25" hidden="1">
      <c r="B5696" s="828" t="s">
        <v>6544</v>
      </c>
      <c r="C5696" s="828">
        <v>101162</v>
      </c>
      <c r="D5696" s="630" t="s">
        <v>4468</v>
      </c>
      <c r="E5696" s="630" t="s">
        <v>649</v>
      </c>
      <c r="F5696" s="829">
        <v>90.61999999999999</v>
      </c>
      <c r="G5696" s="830">
        <v>74.459999999999994</v>
      </c>
      <c r="H5696" s="831">
        <v>165.08</v>
      </c>
      <c r="I5696" s="846"/>
      <c r="J5696" s="846"/>
      <c r="K5696" s="846"/>
      <c r="L5696" s="846"/>
      <c r="M5696" s="846"/>
      <c r="N5696" s="846"/>
      <c r="O5696" s="846"/>
      <c r="P5696" s="846"/>
      <c r="Q5696" s="846"/>
      <c r="R5696" s="846"/>
      <c r="S5696" s="846"/>
      <c r="T5696" s="846"/>
    </row>
    <row r="5697" spans="2:20" ht="38.25" hidden="1">
      <c r="B5697" s="828" t="s">
        <v>6537</v>
      </c>
      <c r="C5697" s="828">
        <v>103316</v>
      </c>
      <c r="D5697" s="630" t="s">
        <v>7153</v>
      </c>
      <c r="E5697" s="630" t="s">
        <v>649</v>
      </c>
      <c r="F5697" s="829">
        <v>43.82</v>
      </c>
      <c r="G5697" s="830">
        <v>24.75</v>
      </c>
      <c r="H5697" s="831">
        <v>68.569999999999993</v>
      </c>
      <c r="I5697" s="846"/>
      <c r="J5697" s="846"/>
      <c r="K5697" s="846"/>
      <c r="L5697" s="846"/>
      <c r="M5697" s="846"/>
      <c r="N5697" s="846"/>
      <c r="O5697" s="846"/>
      <c r="P5697" s="846"/>
      <c r="Q5697" s="846"/>
      <c r="R5697" s="846"/>
      <c r="S5697" s="846"/>
      <c r="T5697" s="846"/>
    </row>
    <row r="5698" spans="2:20" ht="38.25" hidden="1">
      <c r="B5698" s="828" t="s">
        <v>6537</v>
      </c>
      <c r="C5698" s="828">
        <v>103317</v>
      </c>
      <c r="D5698" s="630" t="s">
        <v>7154</v>
      </c>
      <c r="E5698" s="630" t="s">
        <v>649</v>
      </c>
      <c r="F5698" s="829">
        <v>44.17</v>
      </c>
      <c r="G5698" s="830">
        <v>25.71</v>
      </c>
      <c r="H5698" s="831">
        <v>69.88</v>
      </c>
      <c r="I5698" s="846"/>
      <c r="J5698" s="846"/>
      <c r="K5698" s="846"/>
      <c r="L5698" s="846"/>
      <c r="M5698" s="846"/>
      <c r="N5698" s="846"/>
      <c r="O5698" s="846"/>
      <c r="P5698" s="846"/>
      <c r="Q5698" s="846"/>
      <c r="R5698" s="846"/>
      <c r="S5698" s="846"/>
      <c r="T5698" s="846"/>
    </row>
    <row r="5699" spans="2:20" ht="38.25" hidden="1">
      <c r="B5699" s="828" t="s">
        <v>6537</v>
      </c>
      <c r="C5699" s="828">
        <v>103318</v>
      </c>
      <c r="D5699" s="630" t="s">
        <v>7155</v>
      </c>
      <c r="E5699" s="630" t="s">
        <v>649</v>
      </c>
      <c r="F5699" s="829">
        <v>55.959999999999994</v>
      </c>
      <c r="G5699" s="830">
        <v>33.75</v>
      </c>
      <c r="H5699" s="831">
        <v>89.71</v>
      </c>
      <c r="I5699" s="846"/>
      <c r="J5699" s="846"/>
      <c r="K5699" s="846"/>
      <c r="L5699" s="846"/>
      <c r="M5699" s="846"/>
      <c r="N5699" s="846"/>
      <c r="O5699" s="846"/>
      <c r="P5699" s="846"/>
      <c r="Q5699" s="846"/>
      <c r="R5699" s="846"/>
      <c r="S5699" s="846"/>
      <c r="T5699" s="846"/>
    </row>
    <row r="5700" spans="2:20" ht="38.25" hidden="1">
      <c r="B5700" s="828" t="s">
        <v>6537</v>
      </c>
      <c r="C5700" s="828">
        <v>103319</v>
      </c>
      <c r="D5700" s="630" t="s">
        <v>7156</v>
      </c>
      <c r="E5700" s="630" t="s">
        <v>649</v>
      </c>
      <c r="F5700" s="829">
        <v>56.36</v>
      </c>
      <c r="G5700" s="830">
        <v>34.89</v>
      </c>
      <c r="H5700" s="831">
        <v>91.25</v>
      </c>
      <c r="I5700" s="846"/>
      <c r="J5700" s="846"/>
      <c r="K5700" s="846"/>
      <c r="L5700" s="846"/>
      <c r="M5700" s="846"/>
      <c r="N5700" s="846"/>
      <c r="O5700" s="846"/>
      <c r="P5700" s="846"/>
      <c r="Q5700" s="846"/>
      <c r="R5700" s="846"/>
      <c r="S5700" s="846"/>
      <c r="T5700" s="846"/>
    </row>
    <row r="5701" spans="2:20" ht="38.25" hidden="1">
      <c r="B5701" s="828" t="s">
        <v>6537</v>
      </c>
      <c r="C5701" s="828">
        <v>103320</v>
      </c>
      <c r="D5701" s="630" t="s">
        <v>7157</v>
      </c>
      <c r="E5701" s="630" t="s">
        <v>649</v>
      </c>
      <c r="F5701" s="829">
        <v>69.13000000000001</v>
      </c>
      <c r="G5701" s="830">
        <v>38.25</v>
      </c>
      <c r="H5701" s="831">
        <v>107.38</v>
      </c>
      <c r="I5701" s="846"/>
      <c r="J5701" s="846"/>
      <c r="K5701" s="846"/>
      <c r="L5701" s="846"/>
      <c r="M5701" s="846"/>
      <c r="N5701" s="846"/>
      <c r="O5701" s="846"/>
      <c r="P5701" s="846"/>
      <c r="Q5701" s="846"/>
      <c r="R5701" s="846"/>
      <c r="S5701" s="846"/>
      <c r="T5701" s="846"/>
    </row>
    <row r="5702" spans="2:20" ht="38.25" hidden="1">
      <c r="B5702" s="828" t="s">
        <v>6537</v>
      </c>
      <c r="C5702" s="828">
        <v>103321</v>
      </c>
      <c r="D5702" s="630" t="s">
        <v>7158</v>
      </c>
      <c r="E5702" s="630" t="s">
        <v>649</v>
      </c>
      <c r="F5702" s="829">
        <v>69.62</v>
      </c>
      <c r="G5702" s="830">
        <v>39.68</v>
      </c>
      <c r="H5702" s="831">
        <v>109.3</v>
      </c>
      <c r="I5702" s="846"/>
      <c r="J5702" s="846"/>
      <c r="K5702" s="846"/>
      <c r="L5702" s="846"/>
      <c r="M5702" s="846"/>
      <c r="N5702" s="846"/>
      <c r="O5702" s="846"/>
      <c r="P5702" s="846"/>
      <c r="Q5702" s="846"/>
      <c r="R5702" s="846"/>
      <c r="S5702" s="846"/>
      <c r="T5702" s="846"/>
    </row>
    <row r="5703" spans="2:20" ht="38.25" hidden="1">
      <c r="B5703" s="828" t="s">
        <v>6537</v>
      </c>
      <c r="C5703" s="828">
        <v>103336</v>
      </c>
      <c r="D5703" s="630" t="s">
        <v>7159</v>
      </c>
      <c r="E5703" s="630" t="s">
        <v>649</v>
      </c>
      <c r="F5703" s="829">
        <v>46.53</v>
      </c>
      <c r="G5703" s="830">
        <v>32.01</v>
      </c>
      <c r="H5703" s="831">
        <v>78.540000000000006</v>
      </c>
      <c r="I5703" s="846"/>
      <c r="J5703" s="846"/>
      <c r="K5703" s="846"/>
      <c r="L5703" s="846"/>
      <c r="M5703" s="846"/>
      <c r="N5703" s="846"/>
      <c r="O5703" s="846"/>
      <c r="P5703" s="846"/>
      <c r="Q5703" s="846"/>
      <c r="R5703" s="846"/>
      <c r="S5703" s="846"/>
      <c r="T5703" s="846"/>
    </row>
    <row r="5704" spans="2:20" ht="38.25" hidden="1">
      <c r="B5704" s="828" t="s">
        <v>6537</v>
      </c>
      <c r="C5704" s="828">
        <v>103337</v>
      </c>
      <c r="D5704" s="630" t="s">
        <v>7160</v>
      </c>
      <c r="E5704" s="630" t="s">
        <v>649</v>
      </c>
      <c r="F5704" s="829">
        <v>46.87</v>
      </c>
      <c r="G5704" s="830">
        <v>32.979999999999997</v>
      </c>
      <c r="H5704" s="831">
        <v>79.849999999999994</v>
      </c>
      <c r="I5704" s="846"/>
      <c r="J5704" s="846"/>
      <c r="K5704" s="846"/>
      <c r="L5704" s="846"/>
      <c r="M5704" s="846"/>
      <c r="N5704" s="846"/>
      <c r="O5704" s="846"/>
      <c r="P5704" s="846"/>
      <c r="Q5704" s="846"/>
      <c r="R5704" s="846"/>
      <c r="S5704" s="846"/>
      <c r="T5704" s="846"/>
    </row>
    <row r="5705" spans="2:20" ht="38.25" hidden="1">
      <c r="B5705" s="828" t="s">
        <v>6537</v>
      </c>
      <c r="C5705" s="828">
        <v>103338</v>
      </c>
      <c r="D5705" s="630" t="s">
        <v>7161</v>
      </c>
      <c r="E5705" s="630" t="s">
        <v>649</v>
      </c>
      <c r="F5705" s="829">
        <v>60.529999999999994</v>
      </c>
      <c r="G5705" s="830">
        <v>43.66</v>
      </c>
      <c r="H5705" s="831">
        <v>104.19</v>
      </c>
      <c r="I5705" s="846"/>
      <c r="J5705" s="846"/>
      <c r="K5705" s="846"/>
      <c r="L5705" s="846"/>
      <c r="M5705" s="846"/>
      <c r="N5705" s="846"/>
      <c r="O5705" s="846"/>
      <c r="P5705" s="846"/>
      <c r="Q5705" s="846"/>
      <c r="R5705" s="846"/>
      <c r="S5705" s="846"/>
      <c r="T5705" s="846"/>
    </row>
    <row r="5706" spans="2:20" ht="38.25" hidden="1">
      <c r="B5706" s="828" t="s">
        <v>6537</v>
      </c>
      <c r="C5706" s="828">
        <v>103339</v>
      </c>
      <c r="D5706" s="630" t="s">
        <v>7162</v>
      </c>
      <c r="E5706" s="630" t="s">
        <v>649</v>
      </c>
      <c r="F5706" s="829">
        <v>60.93</v>
      </c>
      <c r="G5706" s="830">
        <v>44.8</v>
      </c>
      <c r="H5706" s="831">
        <v>105.73</v>
      </c>
      <c r="I5706" s="846"/>
      <c r="J5706" s="846"/>
      <c r="K5706" s="846"/>
      <c r="L5706" s="846"/>
      <c r="M5706" s="846"/>
      <c r="N5706" s="846"/>
      <c r="O5706" s="846"/>
      <c r="P5706" s="846"/>
      <c r="Q5706" s="846"/>
      <c r="R5706" s="846"/>
      <c r="S5706" s="846"/>
      <c r="T5706" s="846"/>
    </row>
    <row r="5707" spans="2:20" ht="38.25" hidden="1">
      <c r="B5707" s="828" t="s">
        <v>6537</v>
      </c>
      <c r="C5707" s="828">
        <v>103340</v>
      </c>
      <c r="D5707" s="630" t="s">
        <v>7163</v>
      </c>
      <c r="E5707" s="630" t="s">
        <v>649</v>
      </c>
      <c r="F5707" s="829">
        <v>75.750000000000014</v>
      </c>
      <c r="G5707" s="830">
        <v>49.46</v>
      </c>
      <c r="H5707" s="831">
        <v>125.21</v>
      </c>
      <c r="I5707" s="846"/>
      <c r="J5707" s="846"/>
      <c r="K5707" s="846"/>
      <c r="L5707" s="846"/>
      <c r="M5707" s="846"/>
      <c r="N5707" s="846"/>
      <c r="O5707" s="846"/>
      <c r="P5707" s="846"/>
      <c r="Q5707" s="846"/>
      <c r="R5707" s="846"/>
      <c r="S5707" s="846"/>
      <c r="T5707" s="846"/>
    </row>
    <row r="5708" spans="2:20" ht="38.25" hidden="1">
      <c r="B5708" s="828" t="s">
        <v>6537</v>
      </c>
      <c r="C5708" s="828">
        <v>103341</v>
      </c>
      <c r="D5708" s="630" t="s">
        <v>7164</v>
      </c>
      <c r="E5708" s="630" t="s">
        <v>649</v>
      </c>
      <c r="F5708" s="829">
        <v>76.239999999999995</v>
      </c>
      <c r="G5708" s="830">
        <v>50.89</v>
      </c>
      <c r="H5708" s="831">
        <v>127.13</v>
      </c>
      <c r="I5708" s="846"/>
      <c r="J5708" s="846"/>
      <c r="K5708" s="846"/>
      <c r="L5708" s="846"/>
      <c r="M5708" s="846"/>
      <c r="N5708" s="846"/>
      <c r="O5708" s="846"/>
      <c r="P5708" s="846"/>
      <c r="Q5708" s="846"/>
      <c r="R5708" s="846"/>
      <c r="S5708" s="846"/>
      <c r="T5708" s="846"/>
    </row>
    <row r="5709" spans="2:20" ht="38.25" hidden="1">
      <c r="B5709" s="828" t="s">
        <v>6537</v>
      </c>
      <c r="C5709" s="828">
        <v>103342</v>
      </c>
      <c r="D5709" s="630" t="s">
        <v>7165</v>
      </c>
      <c r="E5709" s="630" t="s">
        <v>649</v>
      </c>
      <c r="F5709" s="829">
        <v>66.000000000000014</v>
      </c>
      <c r="G5709" s="830">
        <v>38.130000000000003</v>
      </c>
      <c r="H5709" s="831">
        <v>104.13</v>
      </c>
      <c r="I5709" s="846"/>
      <c r="J5709" s="846"/>
      <c r="K5709" s="846"/>
      <c r="L5709" s="846"/>
      <c r="M5709" s="846"/>
      <c r="N5709" s="846"/>
      <c r="O5709" s="846"/>
      <c r="P5709" s="846"/>
      <c r="Q5709" s="846"/>
      <c r="R5709" s="846"/>
      <c r="S5709" s="846"/>
      <c r="T5709" s="846"/>
    </row>
    <row r="5710" spans="2:20" ht="38.25" hidden="1">
      <c r="B5710" s="828" t="s">
        <v>6537</v>
      </c>
      <c r="C5710" s="828">
        <v>103343</v>
      </c>
      <c r="D5710" s="630" t="s">
        <v>7166</v>
      </c>
      <c r="E5710" s="630" t="s">
        <v>649</v>
      </c>
      <c r="F5710" s="829">
        <v>66.430000000000007</v>
      </c>
      <c r="G5710" s="830">
        <v>39.39</v>
      </c>
      <c r="H5710" s="831">
        <v>105.82</v>
      </c>
      <c r="I5710" s="846"/>
      <c r="J5710" s="846"/>
      <c r="K5710" s="846"/>
      <c r="L5710" s="846"/>
      <c r="M5710" s="846"/>
      <c r="N5710" s="846"/>
      <c r="O5710" s="846"/>
      <c r="P5710" s="846"/>
      <c r="Q5710" s="846"/>
      <c r="R5710" s="846"/>
      <c r="S5710" s="846"/>
      <c r="T5710" s="846"/>
    </row>
    <row r="5711" spans="2:20" ht="38.25" hidden="1">
      <c r="B5711" s="828" t="s">
        <v>6548</v>
      </c>
      <c r="C5711" s="828">
        <v>89453</v>
      </c>
      <c r="D5711" s="630" t="s">
        <v>250</v>
      </c>
      <c r="E5711" s="630" t="s">
        <v>649</v>
      </c>
      <c r="F5711" s="829">
        <v>58.849999999999994</v>
      </c>
      <c r="G5711" s="830">
        <v>19.07</v>
      </c>
      <c r="H5711" s="831">
        <v>77.92</v>
      </c>
      <c r="I5711" s="846"/>
      <c r="J5711" s="846"/>
      <c r="K5711" s="846"/>
      <c r="L5711" s="846"/>
      <c r="M5711" s="846"/>
      <c r="N5711" s="846"/>
      <c r="O5711" s="846"/>
      <c r="P5711" s="846"/>
      <c r="Q5711" s="846"/>
      <c r="R5711" s="846"/>
      <c r="S5711" s="846"/>
      <c r="T5711" s="846"/>
    </row>
    <row r="5712" spans="2:20" ht="38.25" hidden="1">
      <c r="B5712" s="828" t="s">
        <v>6548</v>
      </c>
      <c r="C5712" s="828">
        <v>89454</v>
      </c>
      <c r="D5712" s="630" t="s">
        <v>251</v>
      </c>
      <c r="E5712" s="630" t="s">
        <v>649</v>
      </c>
      <c r="F5712" s="829">
        <v>55.679999999999993</v>
      </c>
      <c r="G5712" s="830">
        <v>17.989999999999998</v>
      </c>
      <c r="H5712" s="831">
        <v>73.67</v>
      </c>
      <c r="I5712" s="846"/>
      <c r="J5712" s="846"/>
      <c r="K5712" s="846"/>
      <c r="L5712" s="846"/>
      <c r="M5712" s="846"/>
      <c r="N5712" s="846"/>
      <c r="O5712" s="846"/>
      <c r="P5712" s="846"/>
      <c r="Q5712" s="846"/>
      <c r="R5712" s="846"/>
      <c r="S5712" s="846"/>
      <c r="T5712" s="846"/>
    </row>
    <row r="5713" spans="2:20" ht="38.25" hidden="1">
      <c r="B5713" s="828" t="s">
        <v>6548</v>
      </c>
      <c r="C5713" s="828">
        <v>89455</v>
      </c>
      <c r="D5713" s="630" t="s">
        <v>62</v>
      </c>
      <c r="E5713" s="630" t="s">
        <v>649</v>
      </c>
      <c r="F5713" s="829">
        <v>73.400000000000006</v>
      </c>
      <c r="G5713" s="830">
        <v>23.06</v>
      </c>
      <c r="H5713" s="831">
        <v>96.46</v>
      </c>
      <c r="I5713" s="846"/>
      <c r="J5713" s="846"/>
      <c r="K5713" s="846"/>
      <c r="L5713" s="846"/>
      <c r="M5713" s="846"/>
      <c r="N5713" s="846"/>
      <c r="O5713" s="846"/>
      <c r="P5713" s="846"/>
      <c r="Q5713" s="846"/>
      <c r="R5713" s="846"/>
      <c r="S5713" s="846"/>
      <c r="T5713" s="846"/>
    </row>
    <row r="5714" spans="2:20" ht="38.25" hidden="1">
      <c r="B5714" s="828" t="s">
        <v>6548</v>
      </c>
      <c r="C5714" s="828">
        <v>89456</v>
      </c>
      <c r="D5714" s="630" t="s">
        <v>63</v>
      </c>
      <c r="E5714" s="630" t="s">
        <v>649</v>
      </c>
      <c r="F5714" s="829">
        <v>70.02</v>
      </c>
      <c r="G5714" s="830">
        <v>21.56</v>
      </c>
      <c r="H5714" s="831">
        <v>91.58</v>
      </c>
      <c r="I5714" s="846"/>
      <c r="J5714" s="846"/>
      <c r="K5714" s="846"/>
      <c r="L5714" s="846"/>
      <c r="M5714" s="846"/>
      <c r="N5714" s="846"/>
      <c r="O5714" s="846"/>
      <c r="P5714" s="846"/>
      <c r="Q5714" s="846"/>
      <c r="R5714" s="846"/>
      <c r="S5714" s="846"/>
      <c r="T5714" s="846"/>
    </row>
    <row r="5715" spans="2:20" ht="38.25" hidden="1">
      <c r="B5715" s="828" t="s">
        <v>6548</v>
      </c>
      <c r="C5715" s="828">
        <v>89457</v>
      </c>
      <c r="D5715" s="630" t="s">
        <v>64</v>
      </c>
      <c r="E5715" s="630" t="s">
        <v>649</v>
      </c>
      <c r="F5715" s="829">
        <v>61.059999999999995</v>
      </c>
      <c r="G5715" s="830">
        <v>22.04</v>
      </c>
      <c r="H5715" s="831">
        <v>83.1</v>
      </c>
      <c r="I5715" s="846"/>
      <c r="J5715" s="846"/>
      <c r="K5715" s="846"/>
      <c r="L5715" s="846"/>
      <c r="M5715" s="846"/>
      <c r="N5715" s="846"/>
      <c r="O5715" s="846"/>
      <c r="P5715" s="846"/>
      <c r="Q5715" s="846"/>
      <c r="R5715" s="846"/>
      <c r="S5715" s="846"/>
      <c r="T5715" s="846"/>
    </row>
    <row r="5716" spans="2:20" ht="38.25" hidden="1">
      <c r="B5716" s="828" t="s">
        <v>6548</v>
      </c>
      <c r="C5716" s="828">
        <v>89458</v>
      </c>
      <c r="D5716" s="630" t="s">
        <v>65</v>
      </c>
      <c r="E5716" s="630" t="s">
        <v>649</v>
      </c>
      <c r="F5716" s="829">
        <v>56.94</v>
      </c>
      <c r="G5716" s="830">
        <v>19.72</v>
      </c>
      <c r="H5716" s="831">
        <v>76.66</v>
      </c>
      <c r="I5716" s="846"/>
      <c r="J5716" s="846"/>
      <c r="K5716" s="846"/>
      <c r="L5716" s="846"/>
      <c r="M5716" s="846"/>
      <c r="N5716" s="846"/>
      <c r="O5716" s="846"/>
      <c r="P5716" s="846"/>
      <c r="Q5716" s="846"/>
      <c r="R5716" s="846"/>
      <c r="S5716" s="846"/>
      <c r="T5716" s="846"/>
    </row>
    <row r="5717" spans="2:20" ht="38.25" hidden="1">
      <c r="B5717" s="828" t="s">
        <v>6548</v>
      </c>
      <c r="C5717" s="828">
        <v>89459</v>
      </c>
      <c r="D5717" s="630" t="s">
        <v>66</v>
      </c>
      <c r="E5717" s="630" t="s">
        <v>649</v>
      </c>
      <c r="F5717" s="829">
        <v>75.7</v>
      </c>
      <c r="G5717" s="830">
        <v>26.45</v>
      </c>
      <c r="H5717" s="831">
        <v>102.15</v>
      </c>
      <c r="I5717" s="846"/>
      <c r="J5717" s="846"/>
      <c r="K5717" s="846"/>
      <c r="L5717" s="846"/>
      <c r="M5717" s="846"/>
      <c r="N5717" s="846"/>
      <c r="O5717" s="846"/>
      <c r="P5717" s="846"/>
      <c r="Q5717" s="846"/>
      <c r="R5717" s="846"/>
      <c r="S5717" s="846"/>
      <c r="T5717" s="846"/>
    </row>
    <row r="5718" spans="2:20" ht="38.25" hidden="1">
      <c r="B5718" s="828" t="s">
        <v>6548</v>
      </c>
      <c r="C5718" s="828">
        <v>89460</v>
      </c>
      <c r="D5718" s="630" t="s">
        <v>67</v>
      </c>
      <c r="E5718" s="630" t="s">
        <v>649</v>
      </c>
      <c r="F5718" s="829">
        <v>71.31</v>
      </c>
      <c r="G5718" s="830">
        <v>23.72</v>
      </c>
      <c r="H5718" s="831">
        <v>95.03</v>
      </c>
      <c r="I5718" s="846"/>
      <c r="J5718" s="846"/>
      <c r="K5718" s="846"/>
      <c r="L5718" s="846"/>
      <c r="M5718" s="846"/>
      <c r="N5718" s="846"/>
      <c r="O5718" s="846"/>
      <c r="P5718" s="846"/>
      <c r="Q5718" s="846"/>
      <c r="R5718" s="846"/>
      <c r="S5718" s="846"/>
      <c r="T5718" s="846"/>
    </row>
    <row r="5719" spans="2:20" ht="38.25" hidden="1">
      <c r="B5719" s="828" t="s">
        <v>6548</v>
      </c>
      <c r="C5719" s="828">
        <v>89462</v>
      </c>
      <c r="D5719" s="630" t="s">
        <v>68</v>
      </c>
      <c r="E5719" s="630" t="s">
        <v>649</v>
      </c>
      <c r="F5719" s="829">
        <v>70.080000000000013</v>
      </c>
      <c r="G5719" s="830">
        <v>23.21</v>
      </c>
      <c r="H5719" s="832">
        <v>93.29</v>
      </c>
      <c r="I5719" s="846"/>
      <c r="J5719" s="846"/>
      <c r="K5719" s="846"/>
      <c r="L5719" s="846"/>
      <c r="M5719" s="846"/>
      <c r="N5719" s="846"/>
      <c r="O5719" s="846"/>
      <c r="P5719" s="846"/>
      <c r="Q5719" s="846"/>
      <c r="R5719" s="846"/>
      <c r="S5719" s="846"/>
      <c r="T5719" s="846"/>
    </row>
    <row r="5720" spans="2:20" ht="38.25" hidden="1">
      <c r="B5720" s="828" t="s">
        <v>6548</v>
      </c>
      <c r="C5720" s="828">
        <v>89463</v>
      </c>
      <c r="D5720" s="630" t="s">
        <v>69</v>
      </c>
      <c r="E5720" s="630" t="s">
        <v>649</v>
      </c>
      <c r="F5720" s="829">
        <v>66.850000000000009</v>
      </c>
      <c r="G5720" s="830">
        <v>22.13</v>
      </c>
      <c r="H5720" s="832">
        <v>88.98</v>
      </c>
      <c r="I5720" s="846"/>
      <c r="J5720" s="846"/>
      <c r="K5720" s="846"/>
      <c r="L5720" s="846"/>
      <c r="M5720" s="846"/>
      <c r="N5720" s="846"/>
      <c r="O5720" s="846"/>
      <c r="P5720" s="846"/>
      <c r="Q5720" s="846"/>
      <c r="R5720" s="846"/>
      <c r="S5720" s="846"/>
      <c r="T5720" s="846"/>
    </row>
    <row r="5721" spans="2:20" ht="38.25" hidden="1">
      <c r="B5721" s="828" t="s">
        <v>6548</v>
      </c>
      <c r="C5721" s="828">
        <v>89464</v>
      </c>
      <c r="D5721" s="630" t="s">
        <v>70</v>
      </c>
      <c r="E5721" s="630" t="s">
        <v>649</v>
      </c>
      <c r="F5721" s="829">
        <v>84.740000000000009</v>
      </c>
      <c r="G5721" s="830">
        <v>27.19</v>
      </c>
      <c r="H5721" s="831">
        <v>111.93</v>
      </c>
      <c r="I5721" s="846"/>
      <c r="J5721" s="846"/>
      <c r="K5721" s="846"/>
      <c r="L5721" s="846"/>
      <c r="M5721" s="846"/>
      <c r="N5721" s="846"/>
      <c r="O5721" s="846"/>
      <c r="P5721" s="846"/>
      <c r="Q5721" s="846"/>
      <c r="R5721" s="846"/>
      <c r="S5721" s="846"/>
      <c r="T5721" s="846"/>
    </row>
    <row r="5722" spans="2:20" ht="38.25" hidden="1">
      <c r="B5722" s="828" t="s">
        <v>6548</v>
      </c>
      <c r="C5722" s="828">
        <v>89465</v>
      </c>
      <c r="D5722" s="630" t="s">
        <v>71</v>
      </c>
      <c r="E5722" s="630" t="s">
        <v>649</v>
      </c>
      <c r="F5722" s="829">
        <v>81.34</v>
      </c>
      <c r="G5722" s="830">
        <v>25.86</v>
      </c>
      <c r="H5722" s="831">
        <v>107.2</v>
      </c>
      <c r="I5722" s="846"/>
      <c r="J5722" s="846"/>
      <c r="K5722" s="846"/>
      <c r="L5722" s="846"/>
      <c r="M5722" s="846"/>
      <c r="N5722" s="846"/>
      <c r="O5722" s="846"/>
      <c r="P5722" s="846"/>
      <c r="Q5722" s="846"/>
      <c r="R5722" s="846"/>
      <c r="S5722" s="846"/>
      <c r="T5722" s="846"/>
    </row>
    <row r="5723" spans="2:20" ht="38.25" hidden="1">
      <c r="B5723" s="828" t="s">
        <v>6548</v>
      </c>
      <c r="C5723" s="828">
        <v>89466</v>
      </c>
      <c r="D5723" s="630" t="s">
        <v>72</v>
      </c>
      <c r="E5723" s="630" t="s">
        <v>649</v>
      </c>
      <c r="F5723" s="829">
        <v>73.360000000000014</v>
      </c>
      <c r="G5723" s="830">
        <v>27.02</v>
      </c>
      <c r="H5723" s="831">
        <v>100.38</v>
      </c>
      <c r="I5723" s="846"/>
      <c r="J5723" s="846"/>
      <c r="K5723" s="846"/>
      <c r="L5723" s="846"/>
      <c r="M5723" s="846"/>
      <c r="N5723" s="846"/>
      <c r="O5723" s="846"/>
      <c r="P5723" s="846"/>
      <c r="Q5723" s="846"/>
      <c r="R5723" s="846"/>
      <c r="S5723" s="846"/>
      <c r="T5723" s="846"/>
    </row>
    <row r="5724" spans="2:20" ht="38.25" hidden="1">
      <c r="B5724" s="828" t="s">
        <v>6548</v>
      </c>
      <c r="C5724" s="828">
        <v>89467</v>
      </c>
      <c r="D5724" s="630" t="s">
        <v>73</v>
      </c>
      <c r="E5724" s="630" t="s">
        <v>649</v>
      </c>
      <c r="F5724" s="829">
        <v>68.820000000000007</v>
      </c>
      <c r="G5724" s="830">
        <v>24.28</v>
      </c>
      <c r="H5724" s="831">
        <v>93.1</v>
      </c>
      <c r="I5724" s="846"/>
      <c r="J5724" s="846"/>
      <c r="K5724" s="846"/>
      <c r="L5724" s="846"/>
      <c r="M5724" s="846"/>
      <c r="N5724" s="846"/>
      <c r="O5724" s="846"/>
      <c r="P5724" s="846"/>
      <c r="Q5724" s="846"/>
      <c r="R5724" s="846"/>
      <c r="S5724" s="846"/>
      <c r="T5724" s="846"/>
    </row>
    <row r="5725" spans="2:20" ht="38.25" hidden="1">
      <c r="B5725" s="828" t="s">
        <v>6548</v>
      </c>
      <c r="C5725" s="828">
        <v>89468</v>
      </c>
      <c r="D5725" s="630" t="s">
        <v>74</v>
      </c>
      <c r="E5725" s="630" t="s">
        <v>649</v>
      </c>
      <c r="F5725" s="829">
        <v>88.030000000000015</v>
      </c>
      <c r="G5725" s="830">
        <v>31.41</v>
      </c>
      <c r="H5725" s="831">
        <v>119.44</v>
      </c>
      <c r="I5725" s="846"/>
      <c r="J5725" s="846"/>
      <c r="K5725" s="846"/>
      <c r="L5725" s="846"/>
      <c r="M5725" s="846"/>
      <c r="N5725" s="846"/>
      <c r="O5725" s="846"/>
      <c r="P5725" s="846"/>
      <c r="Q5725" s="846"/>
      <c r="R5725" s="846"/>
      <c r="S5725" s="846"/>
      <c r="T5725" s="846"/>
    </row>
    <row r="5726" spans="2:20" ht="38.25" hidden="1">
      <c r="B5726" s="828" t="s">
        <v>6548</v>
      </c>
      <c r="C5726" s="828">
        <v>89469</v>
      </c>
      <c r="D5726" s="630" t="s">
        <v>75</v>
      </c>
      <c r="E5726" s="630" t="s">
        <v>649</v>
      </c>
      <c r="F5726" s="829">
        <v>83.300000000000011</v>
      </c>
      <c r="G5726" s="830">
        <v>28.44</v>
      </c>
      <c r="H5726" s="831">
        <v>111.74</v>
      </c>
      <c r="I5726" s="846"/>
      <c r="J5726" s="846"/>
      <c r="K5726" s="846"/>
      <c r="L5726" s="846"/>
      <c r="M5726" s="846"/>
      <c r="N5726" s="846"/>
      <c r="O5726" s="846"/>
      <c r="P5726" s="846"/>
      <c r="Q5726" s="846"/>
      <c r="R5726" s="846"/>
      <c r="S5726" s="846"/>
      <c r="T5726" s="846"/>
    </row>
    <row r="5727" spans="2:20" ht="51" hidden="1">
      <c r="B5727" s="828" t="s">
        <v>6548</v>
      </c>
      <c r="C5727" s="828">
        <v>89470</v>
      </c>
      <c r="D5727" s="630" t="s">
        <v>76</v>
      </c>
      <c r="E5727" s="630" t="s">
        <v>649</v>
      </c>
      <c r="F5727" s="829">
        <v>64.350000000000009</v>
      </c>
      <c r="G5727" s="830">
        <v>30.62</v>
      </c>
      <c r="H5727" s="831">
        <v>94.97</v>
      </c>
      <c r="I5727" s="846"/>
      <c r="J5727" s="846"/>
      <c r="K5727" s="846"/>
      <c r="L5727" s="846"/>
      <c r="M5727" s="846"/>
      <c r="N5727" s="846"/>
      <c r="O5727" s="846"/>
      <c r="P5727" s="846"/>
      <c r="Q5727" s="846"/>
      <c r="R5727" s="846"/>
      <c r="S5727" s="846"/>
      <c r="T5727" s="846"/>
    </row>
    <row r="5728" spans="2:20" ht="51" hidden="1">
      <c r="B5728" s="828" t="s">
        <v>6548</v>
      </c>
      <c r="C5728" s="828">
        <v>89471</v>
      </c>
      <c r="D5728" s="630" t="s">
        <v>77</v>
      </c>
      <c r="E5728" s="630" t="s">
        <v>649</v>
      </c>
      <c r="F5728" s="829">
        <v>61.19</v>
      </c>
      <c r="G5728" s="830">
        <v>29.54</v>
      </c>
      <c r="H5728" s="831">
        <v>90.73</v>
      </c>
      <c r="I5728" s="846"/>
      <c r="J5728" s="846"/>
      <c r="K5728" s="846"/>
      <c r="L5728" s="846"/>
      <c r="M5728" s="846"/>
      <c r="N5728" s="846"/>
      <c r="O5728" s="846"/>
      <c r="P5728" s="846"/>
      <c r="Q5728" s="846"/>
      <c r="R5728" s="846"/>
      <c r="S5728" s="846"/>
      <c r="T5728" s="846"/>
    </row>
    <row r="5729" spans="2:20" ht="51" hidden="1">
      <c r="B5729" s="828" t="s">
        <v>6548</v>
      </c>
      <c r="C5729" s="828">
        <v>89472</v>
      </c>
      <c r="D5729" s="630" t="s">
        <v>78</v>
      </c>
      <c r="E5729" s="630" t="s">
        <v>649</v>
      </c>
      <c r="F5729" s="829">
        <v>79.13000000000001</v>
      </c>
      <c r="G5729" s="830">
        <v>34.31</v>
      </c>
      <c r="H5729" s="831">
        <v>113.44</v>
      </c>
      <c r="I5729" s="846"/>
      <c r="J5729" s="846"/>
      <c r="K5729" s="846"/>
      <c r="L5729" s="846"/>
      <c r="M5729" s="846"/>
      <c r="N5729" s="846"/>
      <c r="O5729" s="846"/>
      <c r="P5729" s="846"/>
      <c r="Q5729" s="846"/>
      <c r="R5729" s="846"/>
      <c r="S5729" s="846"/>
      <c r="T5729" s="846"/>
    </row>
    <row r="5730" spans="2:20" ht="51" hidden="1">
      <c r="B5730" s="828" t="s">
        <v>6548</v>
      </c>
      <c r="C5730" s="828">
        <v>89473</v>
      </c>
      <c r="D5730" s="630" t="s">
        <v>79</v>
      </c>
      <c r="E5730" s="630" t="s">
        <v>649</v>
      </c>
      <c r="F5730" s="829">
        <v>75.800000000000011</v>
      </c>
      <c r="G5730" s="830">
        <v>33.07</v>
      </c>
      <c r="H5730" s="831">
        <v>108.87</v>
      </c>
      <c r="I5730" s="846"/>
      <c r="J5730" s="846"/>
      <c r="K5730" s="846"/>
      <c r="L5730" s="846"/>
      <c r="M5730" s="846"/>
      <c r="N5730" s="846"/>
      <c r="O5730" s="846"/>
      <c r="P5730" s="846"/>
      <c r="Q5730" s="846"/>
      <c r="R5730" s="846"/>
      <c r="S5730" s="846"/>
      <c r="T5730" s="846"/>
    </row>
    <row r="5731" spans="2:20" ht="51" hidden="1">
      <c r="B5731" s="828" t="s">
        <v>6548</v>
      </c>
      <c r="C5731" s="828">
        <v>89474</v>
      </c>
      <c r="D5731" s="630" t="s">
        <v>80</v>
      </c>
      <c r="E5731" s="630" t="s">
        <v>649</v>
      </c>
      <c r="F5731" s="829">
        <v>67.740000000000009</v>
      </c>
      <c r="G5731" s="830">
        <v>37.409999999999997</v>
      </c>
      <c r="H5731" s="831">
        <v>105.15</v>
      </c>
      <c r="I5731" s="846"/>
      <c r="J5731" s="846"/>
      <c r="K5731" s="846"/>
      <c r="L5731" s="846"/>
      <c r="M5731" s="846"/>
      <c r="N5731" s="846"/>
      <c r="O5731" s="846"/>
      <c r="P5731" s="846"/>
      <c r="Q5731" s="846"/>
      <c r="R5731" s="846"/>
      <c r="S5731" s="846"/>
      <c r="T5731" s="846"/>
    </row>
    <row r="5732" spans="2:20" ht="51" hidden="1">
      <c r="B5732" s="828" t="s">
        <v>6548</v>
      </c>
      <c r="C5732" s="828">
        <v>89475</v>
      </c>
      <c r="D5732" s="630" t="s">
        <v>81</v>
      </c>
      <c r="E5732" s="630" t="s">
        <v>649</v>
      </c>
      <c r="F5732" s="829">
        <v>63.11</v>
      </c>
      <c r="G5732" s="830">
        <v>33.35</v>
      </c>
      <c r="H5732" s="831">
        <v>96.46</v>
      </c>
      <c r="I5732" s="846"/>
      <c r="J5732" s="846"/>
      <c r="K5732" s="846"/>
      <c r="L5732" s="846"/>
      <c r="M5732" s="846"/>
      <c r="N5732" s="846"/>
      <c r="O5732" s="846"/>
      <c r="P5732" s="846"/>
      <c r="Q5732" s="846"/>
      <c r="R5732" s="846"/>
      <c r="S5732" s="846"/>
      <c r="T5732" s="846"/>
    </row>
    <row r="5733" spans="2:20" ht="51" hidden="1">
      <c r="B5733" s="828" t="s">
        <v>6548</v>
      </c>
      <c r="C5733" s="828">
        <v>89476</v>
      </c>
      <c r="D5733" s="630" t="s">
        <v>82</v>
      </c>
      <c r="E5733" s="630" t="s">
        <v>649</v>
      </c>
      <c r="F5733" s="829">
        <v>82.660000000000011</v>
      </c>
      <c r="G5733" s="830">
        <v>41.77</v>
      </c>
      <c r="H5733" s="831">
        <v>124.43</v>
      </c>
      <c r="I5733" s="846"/>
      <c r="J5733" s="846"/>
      <c r="K5733" s="846"/>
      <c r="L5733" s="846"/>
      <c r="M5733" s="846"/>
      <c r="N5733" s="846"/>
      <c r="O5733" s="846"/>
      <c r="P5733" s="846"/>
      <c r="Q5733" s="846"/>
      <c r="R5733" s="846"/>
      <c r="S5733" s="846"/>
      <c r="T5733" s="846"/>
    </row>
    <row r="5734" spans="2:20" ht="51" hidden="1">
      <c r="B5734" s="828" t="s">
        <v>6548</v>
      </c>
      <c r="C5734" s="828">
        <v>89477</v>
      </c>
      <c r="D5734" s="630" t="s">
        <v>274</v>
      </c>
      <c r="E5734" s="630" t="s">
        <v>649</v>
      </c>
      <c r="F5734" s="829">
        <v>77.810000000000016</v>
      </c>
      <c r="G5734" s="830">
        <v>37.549999999999997</v>
      </c>
      <c r="H5734" s="831">
        <v>115.36</v>
      </c>
      <c r="I5734" s="846"/>
      <c r="J5734" s="846"/>
      <c r="K5734" s="846"/>
      <c r="L5734" s="846"/>
      <c r="M5734" s="846"/>
      <c r="N5734" s="846"/>
      <c r="O5734" s="846"/>
      <c r="P5734" s="846"/>
      <c r="Q5734" s="846"/>
      <c r="R5734" s="846"/>
      <c r="S5734" s="846"/>
      <c r="T5734" s="846"/>
    </row>
    <row r="5735" spans="2:20" ht="51" hidden="1">
      <c r="B5735" s="828" t="s">
        <v>6548</v>
      </c>
      <c r="C5735" s="828">
        <v>89478</v>
      </c>
      <c r="D5735" s="630" t="s">
        <v>275</v>
      </c>
      <c r="E5735" s="630" t="s">
        <v>649</v>
      </c>
      <c r="F5735" s="829">
        <v>75.810000000000016</v>
      </c>
      <c r="G5735" s="830">
        <v>34.799999999999997</v>
      </c>
      <c r="H5735" s="831">
        <v>110.61</v>
      </c>
      <c r="I5735" s="846"/>
      <c r="J5735" s="846"/>
      <c r="K5735" s="846"/>
      <c r="L5735" s="846"/>
      <c r="M5735" s="846"/>
      <c r="N5735" s="846"/>
      <c r="O5735" s="846"/>
      <c r="P5735" s="846"/>
      <c r="Q5735" s="846"/>
      <c r="R5735" s="846"/>
      <c r="S5735" s="846"/>
      <c r="T5735" s="846"/>
    </row>
    <row r="5736" spans="2:20" ht="51" hidden="1">
      <c r="B5736" s="828" t="s">
        <v>6548</v>
      </c>
      <c r="C5736" s="828">
        <v>89479</v>
      </c>
      <c r="D5736" s="630" t="s">
        <v>276</v>
      </c>
      <c r="E5736" s="630" t="s">
        <v>649</v>
      </c>
      <c r="F5736" s="829">
        <v>72.570000000000007</v>
      </c>
      <c r="G5736" s="830">
        <v>33.729999999999997</v>
      </c>
      <c r="H5736" s="831">
        <v>106.3</v>
      </c>
      <c r="I5736" s="846"/>
      <c r="J5736" s="846"/>
      <c r="K5736" s="846"/>
      <c r="L5736" s="846"/>
      <c r="M5736" s="846"/>
      <c r="N5736" s="846"/>
      <c r="O5736" s="846"/>
      <c r="P5736" s="846"/>
      <c r="Q5736" s="846"/>
      <c r="R5736" s="846"/>
      <c r="S5736" s="846"/>
      <c r="T5736" s="846"/>
    </row>
    <row r="5737" spans="2:20" ht="51" hidden="1">
      <c r="B5737" s="828" t="s">
        <v>6548</v>
      </c>
      <c r="C5737" s="828">
        <v>89480</v>
      </c>
      <c r="D5737" s="630" t="s">
        <v>277</v>
      </c>
      <c r="E5737" s="630" t="s">
        <v>649</v>
      </c>
      <c r="F5737" s="829">
        <v>90.710000000000008</v>
      </c>
      <c r="G5737" s="830">
        <v>38.479999999999997</v>
      </c>
      <c r="H5737" s="831">
        <v>129.19</v>
      </c>
      <c r="I5737" s="846"/>
      <c r="J5737" s="846"/>
      <c r="K5737" s="846"/>
      <c r="L5737" s="846"/>
      <c r="M5737" s="846"/>
      <c r="N5737" s="846"/>
      <c r="O5737" s="846"/>
      <c r="P5737" s="846"/>
      <c r="Q5737" s="846"/>
      <c r="R5737" s="846"/>
      <c r="S5737" s="846"/>
      <c r="T5737" s="846"/>
    </row>
    <row r="5738" spans="2:20" ht="51" hidden="1">
      <c r="B5738" s="828" t="s">
        <v>6548</v>
      </c>
      <c r="C5738" s="828">
        <v>89483</v>
      </c>
      <c r="D5738" s="630" t="s">
        <v>278</v>
      </c>
      <c r="E5738" s="630" t="s">
        <v>649</v>
      </c>
      <c r="F5738" s="829">
        <v>87.34</v>
      </c>
      <c r="G5738" s="830">
        <v>37.42</v>
      </c>
      <c r="H5738" s="831">
        <v>124.76</v>
      </c>
      <c r="I5738" s="846"/>
      <c r="J5738" s="846"/>
      <c r="K5738" s="846"/>
      <c r="L5738" s="846"/>
      <c r="M5738" s="846"/>
      <c r="N5738" s="846"/>
      <c r="O5738" s="846"/>
      <c r="P5738" s="846"/>
      <c r="Q5738" s="846"/>
      <c r="R5738" s="846"/>
      <c r="S5738" s="846"/>
      <c r="T5738" s="846"/>
    </row>
    <row r="5739" spans="2:20" ht="51" hidden="1">
      <c r="B5739" s="828" t="s">
        <v>6548</v>
      </c>
      <c r="C5739" s="828">
        <v>89484</v>
      </c>
      <c r="D5739" s="630" t="s">
        <v>279</v>
      </c>
      <c r="E5739" s="630" t="s">
        <v>649</v>
      </c>
      <c r="F5739" s="829">
        <v>80.250000000000014</v>
      </c>
      <c r="G5739" s="830">
        <v>42.43</v>
      </c>
      <c r="H5739" s="831">
        <v>122.68</v>
      </c>
      <c r="I5739" s="846"/>
      <c r="J5739" s="846"/>
      <c r="K5739" s="846"/>
      <c r="L5739" s="846"/>
      <c r="M5739" s="846"/>
      <c r="N5739" s="846"/>
      <c r="O5739" s="846"/>
      <c r="P5739" s="846"/>
      <c r="Q5739" s="846"/>
      <c r="R5739" s="846"/>
      <c r="S5739" s="846"/>
      <c r="T5739" s="846"/>
    </row>
    <row r="5740" spans="2:20" ht="51" hidden="1">
      <c r="B5740" s="828" t="s">
        <v>6548</v>
      </c>
      <c r="C5740" s="828">
        <v>89486</v>
      </c>
      <c r="D5740" s="630" t="s">
        <v>280</v>
      </c>
      <c r="E5740" s="630" t="s">
        <v>649</v>
      </c>
      <c r="F5740" s="829">
        <v>75.250000000000014</v>
      </c>
      <c r="G5740" s="830">
        <v>38.21</v>
      </c>
      <c r="H5740" s="831">
        <v>113.46</v>
      </c>
      <c r="I5740" s="846"/>
      <c r="J5740" s="846"/>
      <c r="K5740" s="846"/>
      <c r="L5740" s="846"/>
      <c r="M5740" s="846"/>
      <c r="N5740" s="846"/>
      <c r="O5740" s="846"/>
      <c r="P5740" s="846"/>
      <c r="Q5740" s="846"/>
      <c r="R5740" s="846"/>
      <c r="S5740" s="846"/>
      <c r="T5740" s="846"/>
    </row>
    <row r="5741" spans="2:20" ht="51" hidden="1">
      <c r="B5741" s="828" t="s">
        <v>6548</v>
      </c>
      <c r="C5741" s="828">
        <v>89487</v>
      </c>
      <c r="D5741" s="630" t="s">
        <v>281</v>
      </c>
      <c r="E5741" s="630" t="s">
        <v>649</v>
      </c>
      <c r="F5741" s="829">
        <v>95.220000000000013</v>
      </c>
      <c r="G5741" s="830">
        <v>46.77</v>
      </c>
      <c r="H5741" s="831">
        <v>141.99</v>
      </c>
      <c r="I5741" s="846"/>
      <c r="J5741" s="846"/>
      <c r="K5741" s="846"/>
      <c r="L5741" s="846"/>
      <c r="M5741" s="846"/>
      <c r="N5741" s="846"/>
      <c r="O5741" s="846"/>
      <c r="P5741" s="846"/>
      <c r="Q5741" s="846"/>
      <c r="R5741" s="846"/>
      <c r="S5741" s="846"/>
      <c r="T5741" s="846"/>
    </row>
    <row r="5742" spans="2:20" ht="51" hidden="1">
      <c r="B5742" s="828" t="s">
        <v>6548</v>
      </c>
      <c r="C5742" s="828">
        <v>89488</v>
      </c>
      <c r="D5742" s="630" t="s">
        <v>282</v>
      </c>
      <c r="E5742" s="630" t="s">
        <v>649</v>
      </c>
      <c r="F5742" s="829">
        <v>90.030000000000015</v>
      </c>
      <c r="G5742" s="830">
        <v>42.31</v>
      </c>
      <c r="H5742" s="831">
        <v>132.34</v>
      </c>
      <c r="I5742" s="846"/>
      <c r="J5742" s="846"/>
      <c r="K5742" s="846"/>
      <c r="L5742" s="846"/>
      <c r="M5742" s="846"/>
      <c r="N5742" s="846"/>
      <c r="O5742" s="846"/>
      <c r="P5742" s="846"/>
      <c r="Q5742" s="846"/>
      <c r="R5742" s="846"/>
      <c r="S5742" s="846"/>
      <c r="T5742" s="846"/>
    </row>
    <row r="5743" spans="2:20" ht="38.25" hidden="1">
      <c r="B5743" s="828" t="s">
        <v>6548</v>
      </c>
      <c r="C5743" s="828">
        <v>91815</v>
      </c>
      <c r="D5743" s="630" t="s">
        <v>961</v>
      </c>
      <c r="E5743" s="630" t="s">
        <v>649</v>
      </c>
      <c r="F5743" s="829">
        <v>58.07</v>
      </c>
      <c r="G5743" s="830">
        <v>19.63</v>
      </c>
      <c r="H5743" s="831">
        <v>77.7</v>
      </c>
      <c r="I5743" s="846"/>
      <c r="J5743" s="846"/>
      <c r="K5743" s="846"/>
      <c r="L5743" s="846"/>
      <c r="M5743" s="846"/>
      <c r="N5743" s="846"/>
      <c r="O5743" s="846"/>
      <c r="P5743" s="846"/>
      <c r="Q5743" s="846"/>
      <c r="R5743" s="846"/>
      <c r="S5743" s="846"/>
      <c r="T5743" s="846"/>
    </row>
    <row r="5744" spans="2:20" ht="38.25" hidden="1">
      <c r="B5744" s="828" t="s">
        <v>6548</v>
      </c>
      <c r="C5744" s="828">
        <v>91816</v>
      </c>
      <c r="D5744" s="630" t="s">
        <v>1078</v>
      </c>
      <c r="E5744" s="630" t="s">
        <v>649</v>
      </c>
      <c r="F5744" s="829">
        <v>69.66</v>
      </c>
      <c r="G5744" s="830">
        <v>24.02</v>
      </c>
      <c r="H5744" s="831">
        <v>93.68</v>
      </c>
      <c r="I5744" s="846"/>
      <c r="J5744" s="846"/>
      <c r="K5744" s="846"/>
      <c r="L5744" s="846"/>
      <c r="M5744" s="846"/>
      <c r="N5744" s="846"/>
      <c r="O5744" s="846"/>
      <c r="P5744" s="846"/>
      <c r="Q5744" s="846"/>
      <c r="R5744" s="846"/>
      <c r="S5744" s="846"/>
      <c r="T5744" s="846"/>
    </row>
    <row r="5745" spans="2:20" ht="38.25" hidden="1">
      <c r="B5745" s="828" t="s">
        <v>6548</v>
      </c>
      <c r="C5745" s="828">
        <v>101161</v>
      </c>
      <c r="D5745" s="630" t="s">
        <v>4469</v>
      </c>
      <c r="E5745" s="630" t="s">
        <v>649</v>
      </c>
      <c r="F5745" s="829">
        <v>133.1</v>
      </c>
      <c r="G5745" s="830">
        <v>68.28</v>
      </c>
      <c r="H5745" s="831">
        <v>201.38</v>
      </c>
      <c r="I5745" s="846"/>
      <c r="J5745" s="846"/>
      <c r="K5745" s="846"/>
      <c r="L5745" s="846"/>
      <c r="M5745" s="846"/>
      <c r="N5745" s="846"/>
      <c r="O5745" s="846"/>
      <c r="P5745" s="846"/>
      <c r="Q5745" s="846"/>
      <c r="R5745" s="846"/>
      <c r="S5745" s="846"/>
      <c r="T5745" s="846"/>
    </row>
    <row r="5746" spans="2:20" ht="38.25" hidden="1">
      <c r="B5746" s="828" t="s">
        <v>6649</v>
      </c>
      <c r="C5746" s="828">
        <v>101163</v>
      </c>
      <c r="D5746" s="630" t="s">
        <v>4470</v>
      </c>
      <c r="E5746" s="630" t="s">
        <v>649</v>
      </c>
      <c r="F5746" s="829">
        <v>555</v>
      </c>
      <c r="G5746" s="830">
        <v>139.13</v>
      </c>
      <c r="H5746" s="831">
        <v>694.13</v>
      </c>
      <c r="I5746" s="846"/>
      <c r="J5746" s="846"/>
      <c r="K5746" s="846"/>
      <c r="L5746" s="846"/>
      <c r="M5746" s="846"/>
      <c r="N5746" s="846"/>
      <c r="O5746" s="846"/>
      <c r="P5746" s="846"/>
      <c r="Q5746" s="846"/>
      <c r="R5746" s="846"/>
      <c r="S5746" s="846"/>
      <c r="T5746" s="846"/>
    </row>
    <row r="5747" spans="2:20" ht="38.25" hidden="1">
      <c r="B5747" s="828" t="s">
        <v>6649</v>
      </c>
      <c r="C5747" s="828">
        <v>101164</v>
      </c>
      <c r="D5747" s="630" t="s">
        <v>4471</v>
      </c>
      <c r="E5747" s="630" t="s">
        <v>649</v>
      </c>
      <c r="F5747" s="829">
        <v>563.76</v>
      </c>
      <c r="G5747" s="830">
        <v>139.68</v>
      </c>
      <c r="H5747" s="831">
        <v>703.44</v>
      </c>
      <c r="I5747" s="846"/>
      <c r="J5747" s="846"/>
      <c r="K5747" s="846"/>
      <c r="L5747" s="846"/>
      <c r="M5747" s="846"/>
      <c r="N5747" s="846"/>
      <c r="O5747" s="846"/>
      <c r="P5747" s="846"/>
      <c r="Q5747" s="846"/>
      <c r="R5747" s="846"/>
      <c r="S5747" s="846"/>
      <c r="T5747" s="846"/>
    </row>
    <row r="5748" spans="2:20" ht="38.25" hidden="1">
      <c r="B5748" s="828" t="s">
        <v>6602</v>
      </c>
      <c r="C5748" s="828">
        <v>96358</v>
      </c>
      <c r="D5748" s="630" t="s">
        <v>2593</v>
      </c>
      <c r="E5748" s="630" t="s">
        <v>649</v>
      </c>
      <c r="F5748" s="829">
        <v>88.97</v>
      </c>
      <c r="G5748" s="830">
        <v>14.61</v>
      </c>
      <c r="H5748" s="831">
        <v>103.58</v>
      </c>
      <c r="I5748" s="846"/>
      <c r="J5748" s="846"/>
      <c r="K5748" s="846"/>
      <c r="L5748" s="846"/>
      <c r="M5748" s="846"/>
      <c r="N5748" s="846"/>
      <c r="O5748" s="846"/>
      <c r="P5748" s="846"/>
      <c r="Q5748" s="846"/>
      <c r="R5748" s="846"/>
      <c r="S5748" s="846"/>
      <c r="T5748" s="846"/>
    </row>
    <row r="5749" spans="2:20" ht="38.25" hidden="1">
      <c r="B5749" s="828" t="s">
        <v>6602</v>
      </c>
      <c r="C5749" s="828">
        <v>96359</v>
      </c>
      <c r="D5749" s="630" t="s">
        <v>2594</v>
      </c>
      <c r="E5749" s="630" t="s">
        <v>649</v>
      </c>
      <c r="F5749" s="829">
        <v>103.49</v>
      </c>
      <c r="G5749" s="830">
        <v>16.84</v>
      </c>
      <c r="H5749" s="831">
        <v>120.33</v>
      </c>
      <c r="I5749" s="846"/>
      <c r="J5749" s="846"/>
      <c r="K5749" s="846"/>
      <c r="L5749" s="846"/>
      <c r="M5749" s="846"/>
      <c r="N5749" s="846"/>
      <c r="O5749" s="846"/>
      <c r="P5749" s="846"/>
      <c r="Q5749" s="846"/>
      <c r="R5749" s="846"/>
      <c r="S5749" s="846"/>
      <c r="T5749" s="846"/>
    </row>
    <row r="5750" spans="2:20" ht="38.25" hidden="1">
      <c r="B5750" s="828" t="s">
        <v>6602</v>
      </c>
      <c r="C5750" s="828">
        <v>96360</v>
      </c>
      <c r="D5750" s="630" t="s">
        <v>2595</v>
      </c>
      <c r="E5750" s="630" t="s">
        <v>649</v>
      </c>
      <c r="F5750" s="829">
        <v>127.79</v>
      </c>
      <c r="G5750" s="830">
        <v>18.5</v>
      </c>
      <c r="H5750" s="831">
        <v>146.29</v>
      </c>
      <c r="I5750" s="846"/>
      <c r="J5750" s="846"/>
      <c r="K5750" s="846"/>
      <c r="L5750" s="846"/>
      <c r="M5750" s="846"/>
      <c r="N5750" s="846"/>
      <c r="O5750" s="846"/>
      <c r="P5750" s="846"/>
      <c r="Q5750" s="846"/>
      <c r="R5750" s="846"/>
      <c r="S5750" s="846"/>
      <c r="T5750" s="846"/>
    </row>
    <row r="5751" spans="2:20" ht="38.25" hidden="1">
      <c r="B5751" s="828" t="s">
        <v>6602</v>
      </c>
      <c r="C5751" s="828">
        <v>96361</v>
      </c>
      <c r="D5751" s="630" t="s">
        <v>2596</v>
      </c>
      <c r="E5751" s="630" t="s">
        <v>649</v>
      </c>
      <c r="F5751" s="829">
        <v>156.66</v>
      </c>
      <c r="G5751" s="830">
        <v>22.41</v>
      </c>
      <c r="H5751" s="831">
        <v>179.07</v>
      </c>
      <c r="I5751" s="846"/>
      <c r="J5751" s="846"/>
      <c r="K5751" s="846"/>
      <c r="L5751" s="846"/>
      <c r="M5751" s="846"/>
      <c r="N5751" s="846"/>
      <c r="O5751" s="846"/>
      <c r="P5751" s="846"/>
      <c r="Q5751" s="846"/>
      <c r="R5751" s="846"/>
      <c r="S5751" s="846"/>
      <c r="T5751" s="846"/>
    </row>
    <row r="5752" spans="2:20" ht="38.25" hidden="1">
      <c r="B5752" s="828" t="s">
        <v>6602</v>
      </c>
      <c r="C5752" s="828">
        <v>96362</v>
      </c>
      <c r="D5752" s="630" t="s">
        <v>2597</v>
      </c>
      <c r="E5752" s="630" t="s">
        <v>649</v>
      </c>
      <c r="F5752" s="829">
        <v>112.22</v>
      </c>
      <c r="G5752" s="830">
        <v>17.18</v>
      </c>
      <c r="H5752" s="831">
        <v>129.4</v>
      </c>
      <c r="I5752" s="846"/>
      <c r="J5752" s="846"/>
      <c r="K5752" s="846"/>
      <c r="L5752" s="846"/>
      <c r="M5752" s="846"/>
      <c r="N5752" s="846"/>
      <c r="O5752" s="846"/>
      <c r="P5752" s="846"/>
      <c r="Q5752" s="846"/>
      <c r="R5752" s="846"/>
      <c r="S5752" s="846"/>
      <c r="T5752" s="846"/>
    </row>
    <row r="5753" spans="2:20" ht="38.25" hidden="1">
      <c r="B5753" s="828" t="s">
        <v>6602</v>
      </c>
      <c r="C5753" s="828">
        <v>96363</v>
      </c>
      <c r="D5753" s="630" t="s">
        <v>2598</v>
      </c>
      <c r="E5753" s="630" t="s">
        <v>649</v>
      </c>
      <c r="F5753" s="829">
        <v>126.87</v>
      </c>
      <c r="G5753" s="830">
        <v>19.78</v>
      </c>
      <c r="H5753" s="831">
        <v>146.65</v>
      </c>
      <c r="I5753" s="846"/>
      <c r="J5753" s="846"/>
      <c r="K5753" s="846"/>
      <c r="L5753" s="846"/>
      <c r="M5753" s="846"/>
      <c r="N5753" s="846"/>
      <c r="O5753" s="846"/>
      <c r="P5753" s="846"/>
      <c r="Q5753" s="846"/>
      <c r="R5753" s="846"/>
      <c r="S5753" s="846"/>
      <c r="T5753" s="846"/>
    </row>
    <row r="5754" spans="2:20" ht="38.25" hidden="1">
      <c r="B5754" s="828" t="s">
        <v>6602</v>
      </c>
      <c r="C5754" s="828">
        <v>96364</v>
      </c>
      <c r="D5754" s="630" t="s">
        <v>2599</v>
      </c>
      <c r="E5754" s="630" t="s">
        <v>649</v>
      </c>
      <c r="F5754" s="829">
        <v>151.04</v>
      </c>
      <c r="G5754" s="830">
        <v>21.08</v>
      </c>
      <c r="H5754" s="831">
        <v>172.12</v>
      </c>
      <c r="I5754" s="846"/>
      <c r="J5754" s="846"/>
      <c r="K5754" s="846"/>
      <c r="L5754" s="846"/>
      <c r="M5754" s="846"/>
      <c r="N5754" s="846"/>
      <c r="O5754" s="846"/>
      <c r="P5754" s="846"/>
      <c r="Q5754" s="846"/>
      <c r="R5754" s="846"/>
      <c r="S5754" s="846"/>
      <c r="T5754" s="846"/>
    </row>
    <row r="5755" spans="2:20" ht="38.25" hidden="1">
      <c r="B5755" s="828" t="s">
        <v>6602</v>
      </c>
      <c r="C5755" s="828">
        <v>96365</v>
      </c>
      <c r="D5755" s="630" t="s">
        <v>2600</v>
      </c>
      <c r="E5755" s="630" t="s">
        <v>649</v>
      </c>
      <c r="F5755" s="829">
        <v>180.02</v>
      </c>
      <c r="G5755" s="830">
        <v>25.34</v>
      </c>
      <c r="H5755" s="831">
        <v>205.36</v>
      </c>
      <c r="I5755" s="846"/>
      <c r="J5755" s="846"/>
      <c r="K5755" s="846"/>
      <c r="L5755" s="846"/>
      <c r="M5755" s="846"/>
      <c r="N5755" s="846"/>
      <c r="O5755" s="846"/>
      <c r="P5755" s="846"/>
      <c r="Q5755" s="846"/>
      <c r="R5755" s="846"/>
      <c r="S5755" s="846"/>
      <c r="T5755" s="846"/>
    </row>
    <row r="5756" spans="2:20" ht="38.25" hidden="1">
      <c r="B5756" s="828" t="s">
        <v>6602</v>
      </c>
      <c r="C5756" s="828">
        <v>96366</v>
      </c>
      <c r="D5756" s="630" t="s">
        <v>2601</v>
      </c>
      <c r="E5756" s="630" t="s">
        <v>649</v>
      </c>
      <c r="F5756" s="829">
        <v>135.46</v>
      </c>
      <c r="G5756" s="830">
        <v>19.760000000000002</v>
      </c>
      <c r="H5756" s="831">
        <v>155.22</v>
      </c>
      <c r="I5756" s="846"/>
      <c r="J5756" s="846"/>
      <c r="K5756" s="846"/>
      <c r="L5756" s="846"/>
      <c r="M5756" s="846"/>
      <c r="N5756" s="846"/>
      <c r="O5756" s="846"/>
      <c r="P5756" s="846"/>
      <c r="Q5756" s="846"/>
      <c r="R5756" s="846"/>
      <c r="S5756" s="846"/>
      <c r="T5756" s="846"/>
    </row>
    <row r="5757" spans="2:20" ht="38.25" hidden="1">
      <c r="B5757" s="828" t="s">
        <v>6602</v>
      </c>
      <c r="C5757" s="828">
        <v>96367</v>
      </c>
      <c r="D5757" s="630" t="s">
        <v>2602</v>
      </c>
      <c r="E5757" s="630" t="s">
        <v>649</v>
      </c>
      <c r="F5757" s="829">
        <v>150.19</v>
      </c>
      <c r="G5757" s="830">
        <v>22.72</v>
      </c>
      <c r="H5757" s="831">
        <v>172.91</v>
      </c>
      <c r="I5757" s="846"/>
      <c r="J5757" s="846"/>
      <c r="K5757" s="846"/>
      <c r="L5757" s="846"/>
      <c r="M5757" s="846"/>
      <c r="N5757" s="846"/>
      <c r="O5757" s="846"/>
      <c r="P5757" s="846"/>
      <c r="Q5757" s="846"/>
      <c r="R5757" s="846"/>
      <c r="S5757" s="846"/>
      <c r="T5757" s="846"/>
    </row>
    <row r="5758" spans="2:20" ht="38.25" hidden="1">
      <c r="B5758" s="828" t="s">
        <v>6602</v>
      </c>
      <c r="C5758" s="828">
        <v>96368</v>
      </c>
      <c r="D5758" s="630" t="s">
        <v>2603</v>
      </c>
      <c r="E5758" s="630" t="s">
        <v>649</v>
      </c>
      <c r="F5758" s="829">
        <v>174.29</v>
      </c>
      <c r="G5758" s="830">
        <v>23.65</v>
      </c>
      <c r="H5758" s="831">
        <v>197.94</v>
      </c>
      <c r="I5758" s="846"/>
      <c r="J5758" s="846"/>
      <c r="K5758" s="846"/>
      <c r="L5758" s="846"/>
      <c r="M5758" s="846"/>
      <c r="N5758" s="846"/>
      <c r="O5758" s="846"/>
      <c r="P5758" s="846"/>
      <c r="Q5758" s="846"/>
      <c r="R5758" s="846"/>
      <c r="S5758" s="846"/>
      <c r="T5758" s="846"/>
    </row>
    <row r="5759" spans="2:20" ht="38.25" hidden="1">
      <c r="B5759" s="828" t="s">
        <v>6602</v>
      </c>
      <c r="C5759" s="828">
        <v>96369</v>
      </c>
      <c r="D5759" s="630" t="s">
        <v>2604</v>
      </c>
      <c r="E5759" s="630" t="s">
        <v>649</v>
      </c>
      <c r="F5759" s="829">
        <v>203.36</v>
      </c>
      <c r="G5759" s="830">
        <v>28.29</v>
      </c>
      <c r="H5759" s="831">
        <v>231.65</v>
      </c>
      <c r="I5759" s="846"/>
      <c r="J5759" s="846"/>
      <c r="K5759" s="846"/>
      <c r="L5759" s="846"/>
      <c r="M5759" s="846"/>
      <c r="N5759" s="846"/>
      <c r="O5759" s="846"/>
      <c r="P5759" s="846"/>
      <c r="Q5759" s="846"/>
      <c r="R5759" s="846"/>
      <c r="S5759" s="846"/>
      <c r="T5759" s="846"/>
    </row>
    <row r="5760" spans="2:20" ht="38.25" hidden="1">
      <c r="B5760" s="828" t="s">
        <v>6602</v>
      </c>
      <c r="C5760" s="828">
        <v>96370</v>
      </c>
      <c r="D5760" s="630" t="s">
        <v>2605</v>
      </c>
      <c r="E5760" s="630" t="s">
        <v>649</v>
      </c>
      <c r="F5760" s="829">
        <v>64.09</v>
      </c>
      <c r="G5760" s="830">
        <v>9.74</v>
      </c>
      <c r="H5760" s="831">
        <v>73.83</v>
      </c>
      <c r="I5760" s="846"/>
      <c r="J5760" s="846"/>
      <c r="K5760" s="846"/>
      <c r="L5760" s="846"/>
      <c r="M5760" s="846"/>
      <c r="N5760" s="846"/>
      <c r="O5760" s="846"/>
      <c r="P5760" s="846"/>
      <c r="Q5760" s="846"/>
      <c r="R5760" s="846"/>
      <c r="S5760" s="846"/>
      <c r="T5760" s="846"/>
    </row>
    <row r="5761" spans="2:20" ht="38.25" hidden="1">
      <c r="B5761" s="828" t="s">
        <v>6602</v>
      </c>
      <c r="C5761" s="828">
        <v>96371</v>
      </c>
      <c r="D5761" s="630" t="s">
        <v>2606</v>
      </c>
      <c r="E5761" s="630" t="s">
        <v>649</v>
      </c>
      <c r="F5761" s="829">
        <v>78.55</v>
      </c>
      <c r="G5761" s="830">
        <v>11.77</v>
      </c>
      <c r="H5761" s="831">
        <v>90.32</v>
      </c>
      <c r="I5761" s="846"/>
      <c r="J5761" s="846"/>
      <c r="K5761" s="846"/>
      <c r="L5761" s="846"/>
      <c r="M5761" s="846"/>
      <c r="N5761" s="846"/>
      <c r="O5761" s="846"/>
      <c r="P5761" s="846"/>
      <c r="Q5761" s="846"/>
      <c r="R5761" s="846"/>
      <c r="S5761" s="846"/>
      <c r="T5761" s="846"/>
    </row>
    <row r="5762" spans="2:20" ht="25.5" hidden="1">
      <c r="B5762" s="828" t="s">
        <v>6602</v>
      </c>
      <c r="C5762" s="828">
        <v>96373</v>
      </c>
      <c r="D5762" s="630" t="s">
        <v>2607</v>
      </c>
      <c r="E5762" s="630" t="s">
        <v>648</v>
      </c>
      <c r="F5762" s="829">
        <v>13.83</v>
      </c>
      <c r="G5762" s="830">
        <v>1.67</v>
      </c>
      <c r="H5762" s="831">
        <v>15.5</v>
      </c>
      <c r="I5762" s="846"/>
      <c r="J5762" s="846"/>
      <c r="K5762" s="846"/>
      <c r="L5762" s="846"/>
      <c r="M5762" s="846"/>
      <c r="N5762" s="846"/>
      <c r="O5762" s="846"/>
      <c r="P5762" s="846"/>
      <c r="Q5762" s="846"/>
      <c r="R5762" s="846"/>
      <c r="S5762" s="846"/>
      <c r="T5762" s="846"/>
    </row>
    <row r="5763" spans="2:20" ht="25.5" hidden="1">
      <c r="B5763" s="828" t="s">
        <v>6602</v>
      </c>
      <c r="C5763" s="828">
        <v>96374</v>
      </c>
      <c r="D5763" s="630" t="s">
        <v>2608</v>
      </c>
      <c r="E5763" s="630" t="s">
        <v>648</v>
      </c>
      <c r="F5763" s="829">
        <v>34.93</v>
      </c>
      <c r="G5763" s="830">
        <v>2.25</v>
      </c>
      <c r="H5763" s="831">
        <v>37.18</v>
      </c>
      <c r="I5763" s="846"/>
      <c r="J5763" s="846"/>
      <c r="K5763" s="846"/>
      <c r="L5763" s="846"/>
      <c r="M5763" s="846"/>
      <c r="N5763" s="846"/>
      <c r="O5763" s="846"/>
      <c r="P5763" s="846"/>
      <c r="Q5763" s="846"/>
      <c r="R5763" s="846"/>
      <c r="S5763" s="846"/>
      <c r="T5763" s="846"/>
    </row>
    <row r="5764" spans="2:20" ht="25.5" hidden="1">
      <c r="B5764" s="828" t="s">
        <v>6602</v>
      </c>
      <c r="C5764" s="828">
        <v>102235</v>
      </c>
      <c r="D5764" s="630" t="s">
        <v>6096</v>
      </c>
      <c r="E5764" s="630" t="s">
        <v>649</v>
      </c>
      <c r="F5764" s="829">
        <v>404.55</v>
      </c>
      <c r="G5764" s="830">
        <v>62.42</v>
      </c>
      <c r="H5764" s="831">
        <v>466.97</v>
      </c>
      <c r="I5764" s="846"/>
      <c r="J5764" s="846"/>
      <c r="K5764" s="846"/>
      <c r="L5764" s="846"/>
      <c r="M5764" s="846"/>
      <c r="N5764" s="846"/>
      <c r="O5764" s="846"/>
      <c r="P5764" s="846"/>
      <c r="Q5764" s="846"/>
      <c r="R5764" s="846"/>
      <c r="S5764" s="846"/>
      <c r="T5764" s="846"/>
    </row>
    <row r="5765" spans="2:20" ht="38.25" hidden="1">
      <c r="B5765" s="828" t="s">
        <v>6602</v>
      </c>
      <c r="C5765" s="828">
        <v>102253</v>
      </c>
      <c r="D5765" s="630" t="s">
        <v>6097</v>
      </c>
      <c r="E5765" s="630" t="s">
        <v>649</v>
      </c>
      <c r="F5765" s="829">
        <v>864.13</v>
      </c>
      <c r="G5765" s="830">
        <v>84.69</v>
      </c>
      <c r="H5765" s="831">
        <v>948.82</v>
      </c>
      <c r="I5765" s="846"/>
      <c r="J5765" s="846"/>
      <c r="K5765" s="846"/>
      <c r="L5765" s="846"/>
      <c r="M5765" s="846"/>
      <c r="N5765" s="846"/>
      <c r="O5765" s="846"/>
      <c r="P5765" s="846"/>
      <c r="Q5765" s="846"/>
      <c r="R5765" s="846"/>
      <c r="S5765" s="846"/>
      <c r="T5765" s="846"/>
    </row>
    <row r="5766" spans="2:20" ht="38.25" hidden="1">
      <c r="B5766" s="828" t="s">
        <v>6602</v>
      </c>
      <c r="C5766" s="828">
        <v>102254</v>
      </c>
      <c r="D5766" s="630" t="s">
        <v>6098</v>
      </c>
      <c r="E5766" s="630" t="s">
        <v>649</v>
      </c>
      <c r="F5766" s="829">
        <v>974</v>
      </c>
      <c r="G5766" s="830">
        <v>84.69</v>
      </c>
      <c r="H5766" s="831">
        <v>1058.69</v>
      </c>
      <c r="I5766" s="846"/>
      <c r="J5766" s="846"/>
      <c r="K5766" s="846"/>
      <c r="L5766" s="846"/>
      <c r="M5766" s="846"/>
      <c r="N5766" s="846"/>
      <c r="O5766" s="846"/>
      <c r="P5766" s="846"/>
      <c r="Q5766" s="846"/>
      <c r="R5766" s="846"/>
      <c r="S5766" s="846"/>
      <c r="T5766" s="846"/>
    </row>
    <row r="5767" spans="2:20" ht="25.5" hidden="1">
      <c r="B5767" s="828" t="s">
        <v>6602</v>
      </c>
      <c r="C5767" s="828">
        <v>102255</v>
      </c>
      <c r="D5767" s="630" t="s">
        <v>6099</v>
      </c>
      <c r="E5767" s="630" t="s">
        <v>649</v>
      </c>
      <c r="F5767" s="829">
        <v>822.71</v>
      </c>
      <c r="G5767" s="830">
        <v>163.68</v>
      </c>
      <c r="H5767" s="831">
        <v>986.39</v>
      </c>
      <c r="I5767" s="846"/>
      <c r="J5767" s="846"/>
      <c r="K5767" s="846"/>
      <c r="L5767" s="846"/>
      <c r="M5767" s="846"/>
      <c r="N5767" s="846"/>
      <c r="O5767" s="846"/>
      <c r="P5767" s="846"/>
      <c r="Q5767" s="846"/>
      <c r="R5767" s="846"/>
      <c r="S5767" s="846"/>
      <c r="T5767" s="846"/>
    </row>
    <row r="5768" spans="2:20" ht="25.5" hidden="1">
      <c r="B5768" s="828" t="s">
        <v>6602</v>
      </c>
      <c r="C5768" s="828">
        <v>102256</v>
      </c>
      <c r="D5768" s="630" t="s">
        <v>6100</v>
      </c>
      <c r="E5768" s="630" t="s">
        <v>649</v>
      </c>
      <c r="F5768" s="829">
        <v>1037.94</v>
      </c>
      <c r="G5768" s="830">
        <v>190.78</v>
      </c>
      <c r="H5768" s="831">
        <v>1228.72</v>
      </c>
      <c r="I5768" s="846"/>
      <c r="J5768" s="846"/>
      <c r="K5768" s="846"/>
      <c r="L5768" s="846"/>
      <c r="M5768" s="846"/>
      <c r="N5768" s="846"/>
      <c r="O5768" s="846"/>
      <c r="P5768" s="846"/>
      <c r="Q5768" s="846"/>
      <c r="R5768" s="846"/>
      <c r="S5768" s="846"/>
      <c r="T5768" s="846"/>
    </row>
    <row r="5769" spans="2:20" ht="38.25" hidden="1">
      <c r="B5769" s="828" t="s">
        <v>6602</v>
      </c>
      <c r="C5769" s="828">
        <v>102257</v>
      </c>
      <c r="D5769" s="630" t="s">
        <v>6101</v>
      </c>
      <c r="E5769" s="630" t="s">
        <v>649</v>
      </c>
      <c r="F5769" s="829">
        <v>232.85</v>
      </c>
      <c r="G5769" s="830">
        <v>76.3</v>
      </c>
      <c r="H5769" s="831">
        <v>309.14999999999998</v>
      </c>
      <c r="I5769" s="846"/>
      <c r="J5769" s="846"/>
      <c r="K5769" s="846"/>
      <c r="L5769" s="846"/>
      <c r="M5769" s="846"/>
      <c r="N5769" s="846"/>
      <c r="O5769" s="846"/>
      <c r="P5769" s="846"/>
      <c r="Q5769" s="846"/>
      <c r="R5769" s="846"/>
      <c r="S5769" s="846"/>
      <c r="T5769" s="846"/>
    </row>
    <row r="5770" spans="2:20" ht="25.5" hidden="1">
      <c r="B5770" s="828" t="s">
        <v>6602</v>
      </c>
      <c r="C5770" s="828">
        <v>102258</v>
      </c>
      <c r="D5770" s="630" t="s">
        <v>6102</v>
      </c>
      <c r="E5770" s="630" t="s">
        <v>649</v>
      </c>
      <c r="F5770" s="829">
        <v>219.65</v>
      </c>
      <c r="G5770" s="830">
        <v>148.72999999999999</v>
      </c>
      <c r="H5770" s="831">
        <v>368.38</v>
      </c>
      <c r="I5770" s="846"/>
      <c r="J5770" s="846"/>
      <c r="K5770" s="846"/>
      <c r="L5770" s="846"/>
      <c r="M5770" s="846"/>
      <c r="N5770" s="846"/>
      <c r="O5770" s="846"/>
      <c r="P5770" s="846"/>
      <c r="Q5770" s="846"/>
      <c r="R5770" s="846"/>
      <c r="S5770" s="846"/>
      <c r="T5770" s="846"/>
    </row>
    <row r="5771" spans="2:20" ht="38.25" hidden="1">
      <c r="B5771" s="828" t="s">
        <v>6648</v>
      </c>
      <c r="C5771" s="828">
        <v>101154</v>
      </c>
      <c r="D5771" s="630" t="s">
        <v>4472</v>
      </c>
      <c r="E5771" s="630" t="s">
        <v>649</v>
      </c>
      <c r="F5771" s="829">
        <v>95.080000000000013</v>
      </c>
      <c r="G5771" s="830">
        <v>27.72</v>
      </c>
      <c r="H5771" s="831">
        <v>122.8</v>
      </c>
      <c r="I5771" s="846"/>
      <c r="J5771" s="846"/>
      <c r="K5771" s="846"/>
      <c r="L5771" s="846"/>
      <c r="M5771" s="846"/>
      <c r="N5771" s="846"/>
      <c r="O5771" s="846"/>
      <c r="P5771" s="846"/>
      <c r="Q5771" s="846"/>
      <c r="R5771" s="846"/>
      <c r="S5771" s="846"/>
      <c r="T5771" s="846"/>
    </row>
    <row r="5772" spans="2:20" ht="38.25" hidden="1">
      <c r="B5772" s="828" t="s">
        <v>6648</v>
      </c>
      <c r="C5772" s="828">
        <v>101155</v>
      </c>
      <c r="D5772" s="630" t="s">
        <v>4473</v>
      </c>
      <c r="E5772" s="630" t="s">
        <v>649</v>
      </c>
      <c r="F5772" s="829">
        <v>136.01</v>
      </c>
      <c r="G5772" s="830">
        <v>36.69</v>
      </c>
      <c r="H5772" s="831">
        <v>172.7</v>
      </c>
      <c r="I5772" s="846"/>
      <c r="J5772" s="846"/>
      <c r="K5772" s="846"/>
      <c r="L5772" s="846"/>
      <c r="M5772" s="846"/>
      <c r="N5772" s="846"/>
      <c r="O5772" s="846"/>
      <c r="P5772" s="846"/>
      <c r="Q5772" s="846"/>
      <c r="R5772" s="846"/>
      <c r="S5772" s="846"/>
      <c r="T5772" s="846"/>
    </row>
    <row r="5773" spans="2:20" ht="38.25" hidden="1">
      <c r="B5773" s="828" t="s">
        <v>6648</v>
      </c>
      <c r="C5773" s="828">
        <v>101156</v>
      </c>
      <c r="D5773" s="630" t="s">
        <v>4474</v>
      </c>
      <c r="E5773" s="630" t="s">
        <v>649</v>
      </c>
      <c r="F5773" s="829">
        <v>203.49999999999997</v>
      </c>
      <c r="G5773" s="830">
        <v>50.13</v>
      </c>
      <c r="H5773" s="831">
        <v>253.63</v>
      </c>
      <c r="I5773" s="846"/>
      <c r="J5773" s="846"/>
      <c r="K5773" s="846"/>
      <c r="L5773" s="846"/>
      <c r="M5773" s="846"/>
      <c r="N5773" s="846"/>
      <c r="O5773" s="846"/>
      <c r="P5773" s="846"/>
      <c r="Q5773" s="846"/>
      <c r="R5773" s="846"/>
      <c r="S5773" s="846"/>
      <c r="T5773" s="846"/>
    </row>
    <row r="5774" spans="2:20" ht="25.5" hidden="1">
      <c r="B5774" s="828" t="s">
        <v>6662</v>
      </c>
      <c r="C5774" s="828">
        <v>101810</v>
      </c>
      <c r="D5774" s="630" t="s">
        <v>5854</v>
      </c>
      <c r="E5774" s="630" t="s">
        <v>644</v>
      </c>
      <c r="F5774" s="829">
        <v>1242.1200000000001</v>
      </c>
      <c r="G5774" s="830">
        <v>246.75</v>
      </c>
      <c r="H5774" s="831">
        <v>1488.87</v>
      </c>
      <c r="I5774" s="846"/>
      <c r="J5774" s="846"/>
      <c r="K5774" s="846"/>
      <c r="L5774" s="846"/>
      <c r="M5774" s="846"/>
      <c r="N5774" s="846"/>
      <c r="O5774" s="846"/>
      <c r="P5774" s="846"/>
      <c r="Q5774" s="846"/>
      <c r="R5774" s="846"/>
      <c r="S5774" s="846"/>
      <c r="T5774" s="846"/>
    </row>
    <row r="5775" spans="2:20" ht="25.5" hidden="1">
      <c r="B5775" s="828" t="s">
        <v>6662</v>
      </c>
      <c r="C5775" s="828">
        <v>101811</v>
      </c>
      <c r="D5775" s="630" t="s">
        <v>5855</v>
      </c>
      <c r="E5775" s="630" t="s">
        <v>644</v>
      </c>
      <c r="F5775" s="829">
        <v>1065.67</v>
      </c>
      <c r="G5775" s="830">
        <v>256.55</v>
      </c>
      <c r="H5775" s="831">
        <v>1322.22</v>
      </c>
      <c r="I5775" s="846"/>
      <c r="J5775" s="846"/>
      <c r="K5775" s="846"/>
      <c r="L5775" s="846"/>
      <c r="M5775" s="846"/>
      <c r="N5775" s="846"/>
      <c r="O5775" s="846"/>
      <c r="P5775" s="846"/>
      <c r="Q5775" s="846"/>
      <c r="R5775" s="846"/>
      <c r="S5775" s="846"/>
      <c r="T5775" s="846"/>
    </row>
    <row r="5776" spans="2:20" ht="38.25" hidden="1">
      <c r="B5776" s="828" t="s">
        <v>6662</v>
      </c>
      <c r="C5776" s="828">
        <v>101812</v>
      </c>
      <c r="D5776" s="630" t="s">
        <v>5856</v>
      </c>
      <c r="E5776" s="630" t="s">
        <v>644</v>
      </c>
      <c r="F5776" s="829">
        <v>1440.67</v>
      </c>
      <c r="G5776" s="830">
        <v>199.94</v>
      </c>
      <c r="H5776" s="831">
        <v>1640.61</v>
      </c>
      <c r="I5776" s="846"/>
      <c r="J5776" s="846"/>
      <c r="K5776" s="846"/>
      <c r="L5776" s="846"/>
      <c r="M5776" s="846"/>
      <c r="N5776" s="846"/>
      <c r="O5776" s="846"/>
      <c r="P5776" s="846"/>
      <c r="Q5776" s="846"/>
      <c r="R5776" s="846"/>
      <c r="S5776" s="846"/>
      <c r="T5776" s="846"/>
    </row>
    <row r="5777" spans="2:20" ht="38.25" hidden="1">
      <c r="B5777" s="828" t="s">
        <v>6662</v>
      </c>
      <c r="C5777" s="828">
        <v>101813</v>
      </c>
      <c r="D5777" s="630" t="s">
        <v>5857</v>
      </c>
      <c r="E5777" s="630" t="s">
        <v>644</v>
      </c>
      <c r="F5777" s="829">
        <v>1264.17</v>
      </c>
      <c r="G5777" s="830">
        <v>209.79</v>
      </c>
      <c r="H5777" s="831">
        <v>1473.96</v>
      </c>
      <c r="I5777" s="846"/>
      <c r="J5777" s="846"/>
      <c r="K5777" s="846"/>
      <c r="L5777" s="846"/>
      <c r="M5777" s="846"/>
      <c r="N5777" s="846"/>
      <c r="O5777" s="846"/>
      <c r="P5777" s="846"/>
      <c r="Q5777" s="846"/>
      <c r="R5777" s="846"/>
      <c r="S5777" s="846"/>
      <c r="T5777" s="846"/>
    </row>
    <row r="5778" spans="2:20" ht="51" hidden="1">
      <c r="B5778" s="828" t="s">
        <v>6662</v>
      </c>
      <c r="C5778" s="828">
        <v>101814</v>
      </c>
      <c r="D5778" s="630" t="s">
        <v>5858</v>
      </c>
      <c r="E5778" s="630" t="s">
        <v>649</v>
      </c>
      <c r="F5778" s="829">
        <v>21.1</v>
      </c>
      <c r="G5778" s="830">
        <v>23.99</v>
      </c>
      <c r="H5778" s="831">
        <v>45.09</v>
      </c>
      <c r="I5778" s="846"/>
      <c r="J5778" s="846"/>
      <c r="K5778" s="846"/>
      <c r="L5778" s="846"/>
      <c r="M5778" s="846"/>
      <c r="N5778" s="846"/>
      <c r="O5778" s="846"/>
      <c r="P5778" s="846"/>
      <c r="Q5778" s="846"/>
      <c r="R5778" s="846"/>
      <c r="S5778" s="846"/>
      <c r="T5778" s="846"/>
    </row>
    <row r="5779" spans="2:20" ht="51" hidden="1">
      <c r="B5779" s="828" t="s">
        <v>6662</v>
      </c>
      <c r="C5779" s="828">
        <v>101815</v>
      </c>
      <c r="D5779" s="630" t="s">
        <v>5859</v>
      </c>
      <c r="E5779" s="630" t="s">
        <v>649</v>
      </c>
      <c r="F5779" s="829">
        <v>56.220000000000006</v>
      </c>
      <c r="G5779" s="830">
        <v>26.09</v>
      </c>
      <c r="H5779" s="831">
        <v>82.31</v>
      </c>
      <c r="I5779" s="846"/>
      <c r="J5779" s="846"/>
      <c r="K5779" s="846"/>
      <c r="L5779" s="846"/>
      <c r="M5779" s="846"/>
      <c r="N5779" s="846"/>
      <c r="O5779" s="846"/>
      <c r="P5779" s="846"/>
      <c r="Q5779" s="846"/>
      <c r="R5779" s="846"/>
      <c r="S5779" s="846"/>
      <c r="T5779" s="846"/>
    </row>
    <row r="5780" spans="2:20" ht="51" hidden="1">
      <c r="B5780" s="828" t="s">
        <v>6662</v>
      </c>
      <c r="C5780" s="828">
        <v>101816</v>
      </c>
      <c r="D5780" s="630" t="s">
        <v>5860</v>
      </c>
      <c r="E5780" s="630" t="s">
        <v>649</v>
      </c>
      <c r="F5780" s="829">
        <v>39.17</v>
      </c>
      <c r="G5780" s="830">
        <v>30.15</v>
      </c>
      <c r="H5780" s="831">
        <v>69.319999999999993</v>
      </c>
      <c r="I5780" s="846"/>
      <c r="J5780" s="846"/>
      <c r="K5780" s="846"/>
      <c r="L5780" s="846"/>
      <c r="M5780" s="846"/>
      <c r="N5780" s="846"/>
      <c r="O5780" s="846"/>
      <c r="P5780" s="846"/>
      <c r="Q5780" s="846"/>
      <c r="R5780" s="846"/>
      <c r="S5780" s="846"/>
      <c r="T5780" s="846"/>
    </row>
    <row r="5781" spans="2:20" ht="51" hidden="1">
      <c r="B5781" s="828" t="s">
        <v>6662</v>
      </c>
      <c r="C5781" s="828">
        <v>101817</v>
      </c>
      <c r="D5781" s="630" t="s">
        <v>5861</v>
      </c>
      <c r="E5781" s="630" t="s">
        <v>649</v>
      </c>
      <c r="F5781" s="829">
        <v>21.87</v>
      </c>
      <c r="G5781" s="830">
        <v>29.2</v>
      </c>
      <c r="H5781" s="831">
        <v>51.07</v>
      </c>
      <c r="I5781" s="846"/>
      <c r="J5781" s="846"/>
      <c r="K5781" s="846"/>
      <c r="L5781" s="846"/>
      <c r="M5781" s="846"/>
      <c r="N5781" s="846"/>
      <c r="O5781" s="846"/>
      <c r="P5781" s="846"/>
      <c r="Q5781" s="846"/>
      <c r="R5781" s="846"/>
      <c r="S5781" s="846"/>
      <c r="T5781" s="846"/>
    </row>
    <row r="5782" spans="2:20" ht="51" hidden="1">
      <c r="B5782" s="828" t="s">
        <v>6662</v>
      </c>
      <c r="C5782" s="828">
        <v>101818</v>
      </c>
      <c r="D5782" s="630" t="s">
        <v>5862</v>
      </c>
      <c r="E5782" s="630" t="s">
        <v>649</v>
      </c>
      <c r="F5782" s="829">
        <v>38.659999999999997</v>
      </c>
      <c r="G5782" s="830">
        <v>31.29</v>
      </c>
      <c r="H5782" s="831">
        <v>69.95</v>
      </c>
      <c r="I5782" s="846"/>
      <c r="J5782" s="846"/>
      <c r="K5782" s="846"/>
      <c r="L5782" s="846"/>
      <c r="M5782" s="846"/>
      <c r="N5782" s="846"/>
      <c r="O5782" s="846"/>
      <c r="P5782" s="846"/>
      <c r="Q5782" s="846"/>
      <c r="R5782" s="846"/>
      <c r="S5782" s="846"/>
      <c r="T5782" s="846"/>
    </row>
    <row r="5783" spans="2:20" ht="51" hidden="1">
      <c r="B5783" s="828" t="s">
        <v>6662</v>
      </c>
      <c r="C5783" s="828">
        <v>101819</v>
      </c>
      <c r="D5783" s="630" t="s">
        <v>5863</v>
      </c>
      <c r="E5783" s="630" t="s">
        <v>649</v>
      </c>
      <c r="F5783" s="829">
        <v>30.950000000000003</v>
      </c>
      <c r="G5783" s="830">
        <v>33.950000000000003</v>
      </c>
      <c r="H5783" s="831">
        <v>64.900000000000006</v>
      </c>
      <c r="I5783" s="846"/>
      <c r="J5783" s="846"/>
      <c r="K5783" s="846"/>
      <c r="L5783" s="846"/>
      <c r="M5783" s="846"/>
      <c r="N5783" s="846"/>
      <c r="O5783" s="846"/>
      <c r="P5783" s="846"/>
      <c r="Q5783" s="846"/>
      <c r="R5783" s="846"/>
      <c r="S5783" s="846"/>
      <c r="T5783" s="846"/>
    </row>
    <row r="5784" spans="2:20" ht="38.25" hidden="1">
      <c r="B5784" s="828" t="s">
        <v>6662</v>
      </c>
      <c r="C5784" s="828">
        <v>101820</v>
      </c>
      <c r="D5784" s="630" t="s">
        <v>5864</v>
      </c>
      <c r="E5784" s="630" t="s">
        <v>649</v>
      </c>
      <c r="F5784" s="829">
        <v>15.08</v>
      </c>
      <c r="G5784" s="830">
        <v>27.75</v>
      </c>
      <c r="H5784" s="831">
        <v>42.83</v>
      </c>
      <c r="I5784" s="846"/>
      <c r="J5784" s="846"/>
      <c r="K5784" s="846"/>
      <c r="L5784" s="846"/>
      <c r="M5784" s="846"/>
      <c r="N5784" s="846"/>
      <c r="O5784" s="846"/>
      <c r="P5784" s="846"/>
      <c r="Q5784" s="846"/>
      <c r="R5784" s="846"/>
      <c r="S5784" s="846"/>
      <c r="T5784" s="846"/>
    </row>
    <row r="5785" spans="2:20" ht="38.25" hidden="1">
      <c r="B5785" s="828" t="s">
        <v>6662</v>
      </c>
      <c r="C5785" s="828">
        <v>101822</v>
      </c>
      <c r="D5785" s="630" t="s">
        <v>5865</v>
      </c>
      <c r="E5785" s="630" t="s">
        <v>644</v>
      </c>
      <c r="F5785" s="829">
        <v>35.51</v>
      </c>
      <c r="G5785" s="830">
        <v>97.68</v>
      </c>
      <c r="H5785" s="831">
        <v>133.19</v>
      </c>
      <c r="I5785" s="846"/>
      <c r="J5785" s="846"/>
      <c r="K5785" s="846"/>
      <c r="L5785" s="846"/>
      <c r="M5785" s="846"/>
      <c r="N5785" s="846"/>
      <c r="O5785" s="846"/>
      <c r="P5785" s="846"/>
      <c r="Q5785" s="846"/>
      <c r="R5785" s="846"/>
      <c r="S5785" s="846"/>
      <c r="T5785" s="846"/>
    </row>
    <row r="5786" spans="2:20" ht="38.25" hidden="1">
      <c r="B5786" s="828" t="s">
        <v>6662</v>
      </c>
      <c r="C5786" s="828">
        <v>101823</v>
      </c>
      <c r="D5786" s="630" t="s">
        <v>5866</v>
      </c>
      <c r="E5786" s="630" t="s">
        <v>644</v>
      </c>
      <c r="F5786" s="829">
        <v>67.789999999999992</v>
      </c>
      <c r="G5786" s="830">
        <v>97.67</v>
      </c>
      <c r="H5786" s="831">
        <v>165.46</v>
      </c>
      <c r="I5786" s="846"/>
      <c r="J5786" s="846"/>
      <c r="K5786" s="846"/>
      <c r="L5786" s="846"/>
      <c r="M5786" s="846"/>
      <c r="N5786" s="846"/>
      <c r="O5786" s="846"/>
      <c r="P5786" s="846"/>
      <c r="Q5786" s="846"/>
      <c r="R5786" s="846"/>
      <c r="S5786" s="846"/>
      <c r="T5786" s="846"/>
    </row>
    <row r="5787" spans="2:20" ht="38.25" hidden="1">
      <c r="B5787" s="828" t="s">
        <v>6662</v>
      </c>
      <c r="C5787" s="828">
        <v>101824</v>
      </c>
      <c r="D5787" s="838" t="s">
        <v>5867</v>
      </c>
      <c r="E5787" s="630" t="s">
        <v>644</v>
      </c>
      <c r="F5787" s="829">
        <v>97.85</v>
      </c>
      <c r="G5787" s="830">
        <v>97.66</v>
      </c>
      <c r="H5787" s="831">
        <v>195.51</v>
      </c>
      <c r="I5787" s="846"/>
      <c r="J5787" s="846"/>
      <c r="K5787" s="846"/>
      <c r="L5787" s="846"/>
      <c r="M5787" s="846"/>
      <c r="N5787" s="846"/>
      <c r="O5787" s="846"/>
      <c r="P5787" s="846"/>
      <c r="Q5787" s="846"/>
      <c r="R5787" s="846"/>
      <c r="S5787" s="846"/>
      <c r="T5787" s="846"/>
    </row>
    <row r="5788" spans="2:20" ht="38.25" hidden="1">
      <c r="B5788" s="828" t="s">
        <v>6662</v>
      </c>
      <c r="C5788" s="828">
        <v>101825</v>
      </c>
      <c r="D5788" s="838" t="s">
        <v>5868</v>
      </c>
      <c r="E5788" s="630" t="s">
        <v>644</v>
      </c>
      <c r="F5788" s="829">
        <v>127.11</v>
      </c>
      <c r="G5788" s="830">
        <v>97.64</v>
      </c>
      <c r="H5788" s="831">
        <v>224.75</v>
      </c>
      <c r="I5788" s="846"/>
      <c r="J5788" s="846"/>
      <c r="K5788" s="846"/>
      <c r="L5788" s="846"/>
      <c r="M5788" s="846"/>
      <c r="N5788" s="846"/>
      <c r="O5788" s="846"/>
      <c r="P5788" s="846"/>
      <c r="Q5788" s="846"/>
      <c r="R5788" s="846"/>
      <c r="S5788" s="846"/>
      <c r="T5788" s="846"/>
    </row>
    <row r="5789" spans="2:20" ht="38.25" hidden="1">
      <c r="B5789" s="828" t="s">
        <v>6662</v>
      </c>
      <c r="C5789" s="828">
        <v>101826</v>
      </c>
      <c r="D5789" s="838" t="s">
        <v>5869</v>
      </c>
      <c r="E5789" s="630" t="s">
        <v>644</v>
      </c>
      <c r="F5789" s="829">
        <v>155.96</v>
      </c>
      <c r="G5789" s="830">
        <v>97.64</v>
      </c>
      <c r="H5789" s="831">
        <v>253.6</v>
      </c>
      <c r="I5789" s="846"/>
      <c r="J5789" s="846"/>
      <c r="K5789" s="846"/>
      <c r="L5789" s="846"/>
      <c r="M5789" s="846"/>
      <c r="N5789" s="846"/>
      <c r="O5789" s="846"/>
      <c r="P5789" s="846"/>
      <c r="Q5789" s="846"/>
      <c r="R5789" s="846"/>
      <c r="S5789" s="846"/>
      <c r="T5789" s="846"/>
    </row>
    <row r="5790" spans="2:20" ht="38.25" hidden="1">
      <c r="B5790" s="828" t="s">
        <v>6662</v>
      </c>
      <c r="C5790" s="828">
        <v>101827</v>
      </c>
      <c r="D5790" s="838" t="s">
        <v>5870</v>
      </c>
      <c r="E5790" s="630" t="s">
        <v>644</v>
      </c>
      <c r="F5790" s="829">
        <v>81.489999999999995</v>
      </c>
      <c r="G5790" s="830">
        <v>97.66</v>
      </c>
      <c r="H5790" s="831">
        <v>179.15</v>
      </c>
      <c r="I5790" s="846"/>
      <c r="J5790" s="846"/>
      <c r="K5790" s="846"/>
      <c r="L5790" s="846"/>
      <c r="M5790" s="846"/>
      <c r="N5790" s="846"/>
      <c r="O5790" s="846"/>
      <c r="P5790" s="846"/>
      <c r="Q5790" s="846"/>
      <c r="R5790" s="846"/>
      <c r="S5790" s="846"/>
      <c r="T5790" s="846"/>
    </row>
    <row r="5791" spans="2:20" ht="38.25" hidden="1">
      <c r="B5791" s="828" t="s">
        <v>6662</v>
      </c>
      <c r="C5791" s="828">
        <v>101828</v>
      </c>
      <c r="D5791" s="838" t="s">
        <v>5871</v>
      </c>
      <c r="E5791" s="630" t="s">
        <v>644</v>
      </c>
      <c r="F5791" s="829">
        <v>73.819999999999993</v>
      </c>
      <c r="G5791" s="830">
        <v>97.67</v>
      </c>
      <c r="H5791" s="831">
        <v>171.49</v>
      </c>
      <c r="I5791" s="846"/>
      <c r="J5791" s="846"/>
      <c r="K5791" s="846"/>
      <c r="L5791" s="846"/>
      <c r="M5791" s="846"/>
      <c r="N5791" s="846"/>
      <c r="O5791" s="846"/>
      <c r="P5791" s="846"/>
      <c r="Q5791" s="846"/>
      <c r="R5791" s="846"/>
      <c r="S5791" s="846"/>
      <c r="T5791" s="846"/>
    </row>
    <row r="5792" spans="2:20" ht="38.25" hidden="1">
      <c r="B5792" s="828" t="s">
        <v>6662</v>
      </c>
      <c r="C5792" s="828">
        <v>101829</v>
      </c>
      <c r="D5792" s="838" t="s">
        <v>6663</v>
      </c>
      <c r="E5792" s="630" t="s">
        <v>644</v>
      </c>
      <c r="F5792" s="829">
        <v>141.99</v>
      </c>
      <c r="G5792" s="830">
        <v>97.64</v>
      </c>
      <c r="H5792" s="831">
        <v>239.63</v>
      </c>
      <c r="I5792" s="846"/>
      <c r="J5792" s="846"/>
      <c r="K5792" s="846"/>
      <c r="L5792" s="846"/>
      <c r="M5792" s="846"/>
      <c r="N5792" s="846"/>
      <c r="O5792" s="846"/>
      <c r="P5792" s="846"/>
      <c r="Q5792" s="846"/>
      <c r="R5792" s="846"/>
      <c r="S5792" s="846"/>
      <c r="T5792" s="846"/>
    </row>
    <row r="5793" spans="2:20" ht="38.25" hidden="1">
      <c r="B5793" s="828" t="s">
        <v>6662</v>
      </c>
      <c r="C5793" s="828">
        <v>101830</v>
      </c>
      <c r="D5793" s="630" t="s">
        <v>6664</v>
      </c>
      <c r="E5793" s="630" t="s">
        <v>644</v>
      </c>
      <c r="F5793" s="829">
        <v>170.31</v>
      </c>
      <c r="G5793" s="830">
        <v>97.64</v>
      </c>
      <c r="H5793" s="831">
        <v>267.95</v>
      </c>
      <c r="I5793" s="846"/>
      <c r="J5793" s="846"/>
      <c r="K5793" s="846"/>
      <c r="L5793" s="846"/>
      <c r="M5793" s="846"/>
      <c r="N5793" s="846"/>
      <c r="O5793" s="846"/>
      <c r="P5793" s="846"/>
      <c r="Q5793" s="846"/>
      <c r="R5793" s="846"/>
      <c r="S5793" s="846"/>
      <c r="T5793" s="846"/>
    </row>
    <row r="5794" spans="2:20" ht="38.25" hidden="1">
      <c r="B5794" s="828" t="s">
        <v>6662</v>
      </c>
      <c r="C5794" s="828">
        <v>101831</v>
      </c>
      <c r="D5794" s="630" t="s">
        <v>6665</v>
      </c>
      <c r="E5794" s="630" t="s">
        <v>644</v>
      </c>
      <c r="F5794" s="829">
        <v>198.25</v>
      </c>
      <c r="G5794" s="830">
        <v>97.63</v>
      </c>
      <c r="H5794" s="831">
        <v>295.88</v>
      </c>
      <c r="I5794" s="846"/>
      <c r="J5794" s="846"/>
      <c r="K5794" s="846"/>
      <c r="L5794" s="846"/>
      <c r="M5794" s="846"/>
      <c r="N5794" s="846"/>
      <c r="O5794" s="846"/>
      <c r="P5794" s="846"/>
      <c r="Q5794" s="846"/>
      <c r="R5794" s="846"/>
      <c r="S5794" s="846"/>
      <c r="T5794" s="846"/>
    </row>
    <row r="5795" spans="2:20" ht="38.25" hidden="1">
      <c r="B5795" s="828" t="s">
        <v>6662</v>
      </c>
      <c r="C5795" s="828">
        <v>101832</v>
      </c>
      <c r="D5795" s="630" t="s">
        <v>5872</v>
      </c>
      <c r="E5795" s="630" t="s">
        <v>644</v>
      </c>
      <c r="F5795" s="829">
        <v>134.64000000000001</v>
      </c>
      <c r="G5795" s="830">
        <v>97.64</v>
      </c>
      <c r="H5795" s="831">
        <v>232.28</v>
      </c>
      <c r="I5795" s="846"/>
      <c r="J5795" s="846"/>
      <c r="K5795" s="846"/>
      <c r="L5795" s="846"/>
      <c r="M5795" s="846"/>
      <c r="N5795" s="846"/>
      <c r="O5795" s="846"/>
      <c r="P5795" s="846"/>
      <c r="Q5795" s="846"/>
      <c r="R5795" s="846"/>
      <c r="S5795" s="846"/>
      <c r="T5795" s="846"/>
    </row>
    <row r="5796" spans="2:20" ht="38.25" hidden="1">
      <c r="B5796" s="828" t="s">
        <v>6662</v>
      </c>
      <c r="C5796" s="828">
        <v>101833</v>
      </c>
      <c r="D5796" s="630" t="s">
        <v>5873</v>
      </c>
      <c r="E5796" s="630" t="s">
        <v>644</v>
      </c>
      <c r="F5796" s="829">
        <v>163.11000000000001</v>
      </c>
      <c r="G5796" s="830">
        <v>97.64</v>
      </c>
      <c r="H5796" s="831">
        <v>260.75</v>
      </c>
      <c r="I5796" s="846"/>
      <c r="J5796" s="846"/>
      <c r="K5796" s="846"/>
      <c r="L5796" s="846"/>
      <c r="M5796" s="846"/>
      <c r="N5796" s="846"/>
      <c r="O5796" s="846"/>
      <c r="P5796" s="846"/>
      <c r="Q5796" s="846"/>
      <c r="R5796" s="846"/>
      <c r="S5796" s="846"/>
      <c r="T5796" s="846"/>
    </row>
    <row r="5797" spans="2:20" ht="38.25" hidden="1">
      <c r="B5797" s="828" t="s">
        <v>6662</v>
      </c>
      <c r="C5797" s="828">
        <v>101834</v>
      </c>
      <c r="D5797" s="630" t="s">
        <v>5874</v>
      </c>
      <c r="E5797" s="630" t="s">
        <v>644</v>
      </c>
      <c r="F5797" s="829">
        <v>191.20000000000002</v>
      </c>
      <c r="G5797" s="830">
        <v>97.64</v>
      </c>
      <c r="H5797" s="831">
        <v>288.83999999999997</v>
      </c>
      <c r="I5797" s="846"/>
      <c r="J5797" s="846"/>
      <c r="K5797" s="846"/>
      <c r="L5797" s="846"/>
      <c r="M5797" s="846"/>
      <c r="N5797" s="846"/>
      <c r="O5797" s="846"/>
      <c r="P5797" s="846"/>
      <c r="Q5797" s="846"/>
      <c r="R5797" s="846"/>
      <c r="S5797" s="846"/>
      <c r="T5797" s="846"/>
    </row>
    <row r="5798" spans="2:20" ht="38.25" hidden="1">
      <c r="B5798" s="828" t="s">
        <v>6662</v>
      </c>
      <c r="C5798" s="828">
        <v>101835</v>
      </c>
      <c r="D5798" s="630" t="s">
        <v>5875</v>
      </c>
      <c r="E5798" s="630" t="s">
        <v>644</v>
      </c>
      <c r="F5798" s="829">
        <v>125.51</v>
      </c>
      <c r="G5798" s="830">
        <v>99.39</v>
      </c>
      <c r="H5798" s="831">
        <v>224.9</v>
      </c>
      <c r="I5798" s="846"/>
      <c r="J5798" s="846"/>
      <c r="K5798" s="846"/>
      <c r="L5798" s="846"/>
      <c r="M5798" s="846"/>
      <c r="N5798" s="846"/>
      <c r="O5798" s="846"/>
      <c r="P5798" s="846"/>
      <c r="Q5798" s="846"/>
      <c r="R5798" s="846"/>
      <c r="S5798" s="846"/>
      <c r="T5798" s="846"/>
    </row>
    <row r="5799" spans="2:20" ht="38.25" hidden="1">
      <c r="B5799" s="828" t="s">
        <v>6662</v>
      </c>
      <c r="C5799" s="828">
        <v>101836</v>
      </c>
      <c r="D5799" s="630" t="s">
        <v>5876</v>
      </c>
      <c r="E5799" s="630" t="s">
        <v>644</v>
      </c>
      <c r="F5799" s="829">
        <v>18.259999999999998</v>
      </c>
      <c r="G5799" s="830">
        <v>8.34</v>
      </c>
      <c r="H5799" s="831">
        <v>26.6</v>
      </c>
      <c r="I5799" s="846"/>
      <c r="J5799" s="846"/>
      <c r="K5799" s="846"/>
      <c r="L5799" s="846"/>
      <c r="M5799" s="846"/>
      <c r="N5799" s="846"/>
      <c r="O5799" s="846"/>
      <c r="P5799" s="846"/>
      <c r="Q5799" s="846"/>
      <c r="R5799" s="846"/>
      <c r="S5799" s="846"/>
      <c r="T5799" s="846"/>
    </row>
    <row r="5800" spans="2:20" ht="38.25" hidden="1">
      <c r="B5800" s="828" t="s">
        <v>6662</v>
      </c>
      <c r="C5800" s="828">
        <v>101837</v>
      </c>
      <c r="D5800" s="630" t="s">
        <v>5877</v>
      </c>
      <c r="E5800" s="630" t="s">
        <v>644</v>
      </c>
      <c r="F5800" s="829">
        <v>50.57</v>
      </c>
      <c r="G5800" s="830">
        <v>8.3000000000000007</v>
      </c>
      <c r="H5800" s="831">
        <v>58.87</v>
      </c>
      <c r="I5800" s="846"/>
      <c r="J5800" s="846"/>
      <c r="K5800" s="846"/>
      <c r="L5800" s="846"/>
      <c r="M5800" s="846"/>
      <c r="N5800" s="846"/>
      <c r="O5800" s="846"/>
      <c r="P5800" s="846"/>
      <c r="Q5800" s="846"/>
      <c r="R5800" s="846"/>
      <c r="S5800" s="846"/>
      <c r="T5800" s="846"/>
    </row>
    <row r="5801" spans="2:20" ht="38.25" hidden="1">
      <c r="B5801" s="828" t="s">
        <v>6662</v>
      </c>
      <c r="C5801" s="828">
        <v>101838</v>
      </c>
      <c r="D5801" s="630" t="s">
        <v>5878</v>
      </c>
      <c r="E5801" s="630" t="s">
        <v>644</v>
      </c>
      <c r="F5801" s="829">
        <v>80.63</v>
      </c>
      <c r="G5801" s="830">
        <v>8.2899999999999991</v>
      </c>
      <c r="H5801" s="831">
        <v>88.92</v>
      </c>
      <c r="I5801" s="846"/>
      <c r="J5801" s="846"/>
      <c r="K5801" s="846"/>
      <c r="L5801" s="846"/>
      <c r="M5801" s="846"/>
      <c r="N5801" s="846"/>
      <c r="O5801" s="846"/>
      <c r="P5801" s="846"/>
      <c r="Q5801" s="846"/>
      <c r="R5801" s="846"/>
      <c r="S5801" s="846"/>
      <c r="T5801" s="846"/>
    </row>
    <row r="5802" spans="2:20" ht="38.25" hidden="1">
      <c r="B5802" s="828" t="s">
        <v>6662</v>
      </c>
      <c r="C5802" s="828">
        <v>101839</v>
      </c>
      <c r="D5802" s="630" t="s">
        <v>5879</v>
      </c>
      <c r="E5802" s="630" t="s">
        <v>644</v>
      </c>
      <c r="F5802" s="829">
        <v>109.88</v>
      </c>
      <c r="G5802" s="830">
        <v>8.27</v>
      </c>
      <c r="H5802" s="831">
        <v>118.15</v>
      </c>
      <c r="I5802" s="846"/>
      <c r="J5802" s="846"/>
      <c r="K5802" s="846"/>
      <c r="L5802" s="846"/>
      <c r="M5802" s="846"/>
      <c r="N5802" s="846"/>
      <c r="O5802" s="846"/>
      <c r="P5802" s="846"/>
      <c r="Q5802" s="846"/>
      <c r="R5802" s="846"/>
      <c r="S5802" s="846"/>
      <c r="T5802" s="846"/>
    </row>
    <row r="5803" spans="2:20" ht="38.25" hidden="1">
      <c r="B5803" s="828" t="s">
        <v>6662</v>
      </c>
      <c r="C5803" s="828">
        <v>101840</v>
      </c>
      <c r="D5803" s="630" t="s">
        <v>5880</v>
      </c>
      <c r="E5803" s="630" t="s">
        <v>644</v>
      </c>
      <c r="F5803" s="829">
        <v>167.38</v>
      </c>
      <c r="G5803" s="830">
        <v>27.21</v>
      </c>
      <c r="H5803" s="831">
        <v>194.59</v>
      </c>
      <c r="I5803" s="846"/>
      <c r="J5803" s="846"/>
      <c r="K5803" s="846"/>
      <c r="L5803" s="846"/>
      <c r="M5803" s="846"/>
      <c r="N5803" s="846"/>
      <c r="O5803" s="846"/>
      <c r="P5803" s="846"/>
      <c r="Q5803" s="846"/>
      <c r="R5803" s="846"/>
      <c r="S5803" s="846"/>
      <c r="T5803" s="846"/>
    </row>
    <row r="5804" spans="2:20" ht="38.25" hidden="1">
      <c r="B5804" s="828" t="s">
        <v>6662</v>
      </c>
      <c r="C5804" s="828">
        <v>101841</v>
      </c>
      <c r="D5804" s="630" t="s">
        <v>5881</v>
      </c>
      <c r="E5804" s="630" t="s">
        <v>644</v>
      </c>
      <c r="F5804" s="829">
        <v>64.27</v>
      </c>
      <c r="G5804" s="830">
        <v>8.2899999999999991</v>
      </c>
      <c r="H5804" s="831">
        <v>72.56</v>
      </c>
      <c r="I5804" s="846"/>
      <c r="J5804" s="846"/>
      <c r="K5804" s="846"/>
      <c r="L5804" s="846"/>
      <c r="M5804" s="846"/>
      <c r="N5804" s="846"/>
      <c r="O5804" s="846"/>
      <c r="P5804" s="846"/>
      <c r="Q5804" s="846"/>
      <c r="R5804" s="846"/>
      <c r="S5804" s="846"/>
      <c r="T5804" s="846"/>
    </row>
    <row r="5805" spans="2:20" ht="38.25" hidden="1">
      <c r="B5805" s="828" t="s">
        <v>6662</v>
      </c>
      <c r="C5805" s="828">
        <v>101842</v>
      </c>
      <c r="D5805" s="630" t="s">
        <v>5882</v>
      </c>
      <c r="E5805" s="630" t="s">
        <v>644</v>
      </c>
      <c r="F5805" s="829">
        <v>56.61</v>
      </c>
      <c r="G5805" s="830">
        <v>8.2899999999999991</v>
      </c>
      <c r="H5805" s="831">
        <v>64.900000000000006</v>
      </c>
      <c r="I5805" s="846"/>
      <c r="J5805" s="846"/>
      <c r="K5805" s="846"/>
      <c r="L5805" s="846"/>
      <c r="M5805" s="846"/>
      <c r="N5805" s="846"/>
      <c r="O5805" s="846"/>
      <c r="P5805" s="846"/>
      <c r="Q5805" s="846"/>
      <c r="R5805" s="846"/>
      <c r="S5805" s="846"/>
      <c r="T5805" s="846"/>
    </row>
    <row r="5806" spans="2:20" ht="38.25" hidden="1">
      <c r="B5806" s="828" t="s">
        <v>6662</v>
      </c>
      <c r="C5806" s="828">
        <v>101843</v>
      </c>
      <c r="D5806" s="630" t="s">
        <v>6666</v>
      </c>
      <c r="E5806" s="630" t="s">
        <v>644</v>
      </c>
      <c r="F5806" s="829">
        <v>124.75999999999999</v>
      </c>
      <c r="G5806" s="830">
        <v>8.2799999999999994</v>
      </c>
      <c r="H5806" s="831">
        <v>133.04</v>
      </c>
      <c r="I5806" s="846"/>
      <c r="J5806" s="846"/>
      <c r="K5806" s="846"/>
      <c r="L5806" s="846"/>
      <c r="M5806" s="846"/>
      <c r="N5806" s="846"/>
      <c r="O5806" s="846"/>
      <c r="P5806" s="846"/>
      <c r="Q5806" s="846"/>
      <c r="R5806" s="846"/>
      <c r="S5806" s="846"/>
      <c r="T5806" s="846"/>
    </row>
    <row r="5807" spans="2:20" ht="38.25" hidden="1">
      <c r="B5807" s="828" t="s">
        <v>6662</v>
      </c>
      <c r="C5807" s="828">
        <v>101844</v>
      </c>
      <c r="D5807" s="630" t="s">
        <v>6667</v>
      </c>
      <c r="E5807" s="630" t="s">
        <v>644</v>
      </c>
      <c r="F5807" s="829">
        <v>153.08000000000001</v>
      </c>
      <c r="G5807" s="830">
        <v>8.2799999999999994</v>
      </c>
      <c r="H5807" s="831">
        <v>161.36000000000001</v>
      </c>
      <c r="I5807" s="846"/>
      <c r="J5807" s="846"/>
      <c r="K5807" s="846"/>
      <c r="L5807" s="846"/>
      <c r="M5807" s="846"/>
      <c r="N5807" s="846"/>
      <c r="O5807" s="846"/>
      <c r="P5807" s="846"/>
      <c r="Q5807" s="846"/>
      <c r="R5807" s="846"/>
      <c r="S5807" s="846"/>
      <c r="T5807" s="846"/>
    </row>
    <row r="5808" spans="2:20" ht="38.25" hidden="1">
      <c r="B5808" s="828" t="s">
        <v>6662</v>
      </c>
      <c r="C5808" s="828">
        <v>101845</v>
      </c>
      <c r="D5808" s="630" t="s">
        <v>6668</v>
      </c>
      <c r="E5808" s="630" t="s">
        <v>644</v>
      </c>
      <c r="F5808" s="829">
        <v>181.01000000000002</v>
      </c>
      <c r="G5808" s="830">
        <v>8.2799999999999994</v>
      </c>
      <c r="H5808" s="831">
        <v>189.29</v>
      </c>
      <c r="I5808" s="846"/>
      <c r="J5808" s="846"/>
      <c r="K5808" s="846"/>
      <c r="L5808" s="846"/>
      <c r="M5808" s="846"/>
      <c r="N5808" s="846"/>
      <c r="O5808" s="846"/>
      <c r="P5808" s="846"/>
      <c r="Q5808" s="846"/>
      <c r="R5808" s="846"/>
      <c r="S5808" s="846"/>
      <c r="T5808" s="846"/>
    </row>
    <row r="5809" spans="2:20" ht="38.25" hidden="1">
      <c r="B5809" s="828" t="s">
        <v>6662</v>
      </c>
      <c r="C5809" s="828">
        <v>101846</v>
      </c>
      <c r="D5809" s="630" t="s">
        <v>5883</v>
      </c>
      <c r="E5809" s="630" t="s">
        <v>644</v>
      </c>
      <c r="F5809" s="829">
        <v>117.41</v>
      </c>
      <c r="G5809" s="830">
        <v>8.2799999999999994</v>
      </c>
      <c r="H5809" s="831">
        <v>125.69</v>
      </c>
      <c r="I5809" s="846"/>
      <c r="J5809" s="846"/>
      <c r="K5809" s="846"/>
      <c r="L5809" s="846"/>
      <c r="M5809" s="846"/>
      <c r="N5809" s="846"/>
      <c r="O5809" s="846"/>
      <c r="P5809" s="846"/>
      <c r="Q5809" s="846"/>
      <c r="R5809" s="846"/>
      <c r="S5809" s="846"/>
      <c r="T5809" s="846"/>
    </row>
    <row r="5810" spans="2:20" ht="38.25" hidden="1">
      <c r="B5810" s="828" t="s">
        <v>6662</v>
      </c>
      <c r="C5810" s="828">
        <v>101847</v>
      </c>
      <c r="D5810" s="630" t="s">
        <v>5884</v>
      </c>
      <c r="E5810" s="630" t="s">
        <v>644</v>
      </c>
      <c r="F5810" s="829">
        <v>145.88</v>
      </c>
      <c r="G5810" s="830">
        <v>8.2799999999999994</v>
      </c>
      <c r="H5810" s="831">
        <v>154.16</v>
      </c>
      <c r="I5810" s="846"/>
      <c r="J5810" s="846"/>
      <c r="K5810" s="846"/>
      <c r="L5810" s="846"/>
      <c r="M5810" s="846"/>
      <c r="N5810" s="846"/>
      <c r="O5810" s="846"/>
      <c r="P5810" s="846"/>
      <c r="Q5810" s="846"/>
      <c r="R5810" s="846"/>
      <c r="S5810" s="846"/>
      <c r="T5810" s="846"/>
    </row>
    <row r="5811" spans="2:20" ht="38.25" hidden="1">
      <c r="B5811" s="828" t="s">
        <v>6662</v>
      </c>
      <c r="C5811" s="828">
        <v>101848</v>
      </c>
      <c r="D5811" s="630" t="s">
        <v>5885</v>
      </c>
      <c r="E5811" s="630" t="s">
        <v>644</v>
      </c>
      <c r="F5811" s="829">
        <v>173.97</v>
      </c>
      <c r="G5811" s="830">
        <v>8.2799999999999994</v>
      </c>
      <c r="H5811" s="831">
        <v>182.25</v>
      </c>
      <c r="I5811" s="846"/>
      <c r="J5811" s="846"/>
      <c r="K5811" s="846"/>
      <c r="L5811" s="846"/>
      <c r="M5811" s="846"/>
      <c r="N5811" s="846"/>
      <c r="O5811" s="846"/>
      <c r="P5811" s="846"/>
      <c r="Q5811" s="846"/>
      <c r="R5811" s="846"/>
      <c r="S5811" s="846"/>
      <c r="T5811" s="846"/>
    </row>
    <row r="5812" spans="2:20" ht="38.25" hidden="1">
      <c r="B5812" s="828" t="s">
        <v>6662</v>
      </c>
      <c r="C5812" s="828">
        <v>101849</v>
      </c>
      <c r="D5812" s="630" t="s">
        <v>5886</v>
      </c>
      <c r="E5812" s="630" t="s">
        <v>644</v>
      </c>
      <c r="F5812" s="829">
        <v>108.36999999999999</v>
      </c>
      <c r="G5812" s="830">
        <v>9.94</v>
      </c>
      <c r="H5812" s="831">
        <v>118.31</v>
      </c>
      <c r="I5812" s="846"/>
      <c r="J5812" s="846"/>
      <c r="K5812" s="846"/>
      <c r="L5812" s="846"/>
      <c r="M5812" s="846"/>
      <c r="N5812" s="846"/>
      <c r="O5812" s="846"/>
      <c r="P5812" s="846"/>
      <c r="Q5812" s="846"/>
      <c r="R5812" s="846"/>
      <c r="S5812" s="846"/>
      <c r="T5812" s="846"/>
    </row>
    <row r="5813" spans="2:20" ht="38.25" hidden="1">
      <c r="B5813" s="828" t="s">
        <v>6662</v>
      </c>
      <c r="C5813" s="828">
        <v>101850</v>
      </c>
      <c r="D5813" s="630" t="s">
        <v>5887</v>
      </c>
      <c r="E5813" s="630" t="s">
        <v>649</v>
      </c>
      <c r="F5813" s="829">
        <v>28.52</v>
      </c>
      <c r="G5813" s="830">
        <v>30.07</v>
      </c>
      <c r="H5813" s="831">
        <v>58.59</v>
      </c>
      <c r="I5813" s="846"/>
      <c r="J5813" s="846"/>
      <c r="K5813" s="846"/>
      <c r="L5813" s="846"/>
      <c r="M5813" s="846"/>
      <c r="N5813" s="846"/>
      <c r="O5813" s="846"/>
      <c r="P5813" s="846"/>
      <c r="Q5813" s="846"/>
      <c r="R5813" s="846"/>
      <c r="S5813" s="846"/>
      <c r="T5813" s="846"/>
    </row>
    <row r="5814" spans="2:20" ht="38.25" hidden="1">
      <c r="B5814" s="828" t="s">
        <v>6662</v>
      </c>
      <c r="C5814" s="828">
        <v>101851</v>
      </c>
      <c r="D5814" s="630" t="s">
        <v>5888</v>
      </c>
      <c r="E5814" s="630" t="s">
        <v>649</v>
      </c>
      <c r="F5814" s="829">
        <v>123.05</v>
      </c>
      <c r="G5814" s="830">
        <v>31.94</v>
      </c>
      <c r="H5814" s="831">
        <v>154.99</v>
      </c>
      <c r="I5814" s="846"/>
      <c r="J5814" s="846"/>
      <c r="K5814" s="846"/>
      <c r="L5814" s="846"/>
      <c r="M5814" s="846"/>
      <c r="N5814" s="846"/>
      <c r="O5814" s="846"/>
      <c r="P5814" s="846"/>
      <c r="Q5814" s="846"/>
      <c r="R5814" s="846"/>
      <c r="S5814" s="846"/>
      <c r="T5814" s="846"/>
    </row>
    <row r="5815" spans="2:20" ht="38.25" hidden="1">
      <c r="B5815" s="828" t="s">
        <v>6662</v>
      </c>
      <c r="C5815" s="828">
        <v>101852</v>
      </c>
      <c r="D5815" s="630" t="s">
        <v>5889</v>
      </c>
      <c r="E5815" s="630" t="s">
        <v>649</v>
      </c>
      <c r="F5815" s="829">
        <v>38.1</v>
      </c>
      <c r="G5815" s="830">
        <v>34.5</v>
      </c>
      <c r="H5815" s="831">
        <v>72.599999999999994</v>
      </c>
      <c r="I5815" s="846"/>
      <c r="J5815" s="846"/>
      <c r="K5815" s="846"/>
      <c r="L5815" s="846"/>
      <c r="M5815" s="846"/>
      <c r="N5815" s="846"/>
      <c r="O5815" s="846"/>
      <c r="P5815" s="846"/>
      <c r="Q5815" s="846"/>
      <c r="R5815" s="846"/>
      <c r="S5815" s="846"/>
      <c r="T5815" s="846"/>
    </row>
    <row r="5816" spans="2:20" ht="38.25" hidden="1">
      <c r="B5816" s="828" t="s">
        <v>6662</v>
      </c>
      <c r="C5816" s="828">
        <v>101853</v>
      </c>
      <c r="D5816" s="630" t="s">
        <v>5890</v>
      </c>
      <c r="E5816" s="630" t="s">
        <v>649</v>
      </c>
      <c r="F5816" s="829">
        <v>26.48</v>
      </c>
      <c r="G5816" s="830">
        <v>24.54</v>
      </c>
      <c r="H5816" s="831">
        <v>51.02</v>
      </c>
      <c r="I5816" s="846"/>
      <c r="J5816" s="846"/>
      <c r="K5816" s="846"/>
      <c r="L5816" s="846"/>
      <c r="M5816" s="846"/>
      <c r="N5816" s="846"/>
      <c r="O5816" s="846"/>
      <c r="P5816" s="846"/>
      <c r="Q5816" s="846"/>
      <c r="R5816" s="846"/>
      <c r="S5816" s="846"/>
      <c r="T5816" s="846"/>
    </row>
    <row r="5817" spans="2:20" ht="51" hidden="1">
      <c r="B5817" s="828" t="s">
        <v>6662</v>
      </c>
      <c r="C5817" s="828">
        <v>101854</v>
      </c>
      <c r="D5817" s="630" t="s">
        <v>5891</v>
      </c>
      <c r="E5817" s="630" t="s">
        <v>649</v>
      </c>
      <c r="F5817" s="829">
        <v>125.96</v>
      </c>
      <c r="G5817" s="830">
        <v>26.41</v>
      </c>
      <c r="H5817" s="831">
        <v>152.37</v>
      </c>
      <c r="I5817" s="846"/>
      <c r="J5817" s="846"/>
      <c r="K5817" s="846"/>
      <c r="L5817" s="846"/>
      <c r="M5817" s="846"/>
      <c r="N5817" s="846"/>
      <c r="O5817" s="846"/>
      <c r="P5817" s="846"/>
      <c r="Q5817" s="846"/>
      <c r="R5817" s="846"/>
      <c r="S5817" s="846"/>
      <c r="T5817" s="846"/>
    </row>
    <row r="5818" spans="2:20" ht="38.25" hidden="1">
      <c r="B5818" s="828" t="s">
        <v>6662</v>
      </c>
      <c r="C5818" s="828">
        <v>101855</v>
      </c>
      <c r="D5818" s="630" t="s">
        <v>5892</v>
      </c>
      <c r="E5818" s="630" t="s">
        <v>649</v>
      </c>
      <c r="F5818" s="829">
        <v>44.99</v>
      </c>
      <c r="G5818" s="830">
        <v>30.35</v>
      </c>
      <c r="H5818" s="831">
        <v>75.34</v>
      </c>
      <c r="I5818" s="846"/>
      <c r="J5818" s="846"/>
      <c r="K5818" s="846"/>
      <c r="L5818" s="846"/>
      <c r="M5818" s="846"/>
      <c r="N5818" s="846"/>
      <c r="O5818" s="846"/>
      <c r="P5818" s="846"/>
      <c r="Q5818" s="846"/>
      <c r="R5818" s="846"/>
      <c r="S5818" s="846"/>
      <c r="T5818" s="846"/>
    </row>
    <row r="5819" spans="2:20" ht="38.25" hidden="1">
      <c r="B5819" s="828" t="s">
        <v>6662</v>
      </c>
      <c r="C5819" s="828">
        <v>101856</v>
      </c>
      <c r="D5819" s="630" t="s">
        <v>5893</v>
      </c>
      <c r="E5819" s="630" t="s">
        <v>649</v>
      </c>
      <c r="F5819" s="829">
        <v>10.209999999999999</v>
      </c>
      <c r="G5819" s="830">
        <v>15.6</v>
      </c>
      <c r="H5819" s="831">
        <v>25.81</v>
      </c>
      <c r="I5819" s="846"/>
      <c r="J5819" s="846"/>
      <c r="K5819" s="846"/>
      <c r="L5819" s="846"/>
      <c r="M5819" s="846"/>
      <c r="N5819" s="846"/>
      <c r="O5819" s="846"/>
      <c r="P5819" s="846"/>
      <c r="Q5819" s="846"/>
      <c r="R5819" s="846"/>
      <c r="S5819" s="846"/>
      <c r="T5819" s="846"/>
    </row>
    <row r="5820" spans="2:20" ht="38.25" hidden="1">
      <c r="B5820" s="828" t="s">
        <v>6662</v>
      </c>
      <c r="C5820" s="828">
        <v>101857</v>
      </c>
      <c r="D5820" s="630" t="s">
        <v>5894</v>
      </c>
      <c r="E5820" s="630" t="s">
        <v>649</v>
      </c>
      <c r="F5820" s="829">
        <v>12.07</v>
      </c>
      <c r="G5820" s="830">
        <v>20.84</v>
      </c>
      <c r="H5820" s="831">
        <v>32.909999999999997</v>
      </c>
      <c r="I5820" s="846"/>
      <c r="J5820" s="846"/>
      <c r="K5820" s="846"/>
      <c r="L5820" s="846"/>
      <c r="M5820" s="846"/>
      <c r="N5820" s="846"/>
      <c r="O5820" s="846"/>
      <c r="P5820" s="846"/>
      <c r="Q5820" s="846"/>
      <c r="R5820" s="846"/>
      <c r="S5820" s="846"/>
      <c r="T5820" s="846"/>
    </row>
    <row r="5821" spans="2:20" ht="51" hidden="1">
      <c r="B5821" s="828" t="s">
        <v>6662</v>
      </c>
      <c r="C5821" s="828">
        <v>101858</v>
      </c>
      <c r="D5821" s="630" t="s">
        <v>5895</v>
      </c>
      <c r="E5821" s="630" t="s">
        <v>649</v>
      </c>
      <c r="F5821" s="829">
        <v>10.37</v>
      </c>
      <c r="G5821" s="830">
        <v>16.04</v>
      </c>
      <c r="H5821" s="831">
        <v>26.41</v>
      </c>
      <c r="I5821" s="846"/>
      <c r="J5821" s="846"/>
      <c r="K5821" s="846"/>
      <c r="L5821" s="846"/>
      <c r="M5821" s="846"/>
      <c r="N5821" s="846"/>
      <c r="O5821" s="846"/>
      <c r="P5821" s="846"/>
      <c r="Q5821" s="846"/>
      <c r="R5821" s="846"/>
      <c r="S5821" s="846"/>
      <c r="T5821" s="846"/>
    </row>
    <row r="5822" spans="2:20" ht="51" hidden="1">
      <c r="B5822" s="828" t="s">
        <v>6662</v>
      </c>
      <c r="C5822" s="828">
        <v>101859</v>
      </c>
      <c r="D5822" s="630" t="s">
        <v>5896</v>
      </c>
      <c r="E5822" s="630" t="s">
        <v>649</v>
      </c>
      <c r="F5822" s="829">
        <v>11.17</v>
      </c>
      <c r="G5822" s="830">
        <v>18.3</v>
      </c>
      <c r="H5822" s="831">
        <v>29.47</v>
      </c>
      <c r="I5822" s="846"/>
      <c r="J5822" s="846"/>
      <c r="K5822" s="846"/>
      <c r="L5822" s="846"/>
      <c r="M5822" s="846"/>
      <c r="N5822" s="846"/>
      <c r="O5822" s="846"/>
      <c r="P5822" s="846"/>
      <c r="Q5822" s="846"/>
      <c r="R5822" s="846"/>
      <c r="S5822" s="846"/>
      <c r="T5822" s="846"/>
    </row>
    <row r="5823" spans="2:20" ht="51" hidden="1">
      <c r="B5823" s="828" t="s">
        <v>6662</v>
      </c>
      <c r="C5823" s="828">
        <v>101860</v>
      </c>
      <c r="D5823" s="630" t="s">
        <v>5897</v>
      </c>
      <c r="E5823" s="630" t="s">
        <v>649</v>
      </c>
      <c r="F5823" s="829">
        <v>12.43</v>
      </c>
      <c r="G5823" s="830">
        <v>21.84</v>
      </c>
      <c r="H5823" s="831">
        <v>34.270000000000003</v>
      </c>
      <c r="I5823" s="846"/>
      <c r="J5823" s="846"/>
      <c r="K5823" s="846"/>
      <c r="L5823" s="846"/>
      <c r="M5823" s="846"/>
      <c r="N5823" s="846"/>
      <c r="O5823" s="846"/>
      <c r="P5823" s="846"/>
      <c r="Q5823" s="846"/>
      <c r="R5823" s="846"/>
      <c r="S5823" s="846"/>
      <c r="T5823" s="846"/>
    </row>
    <row r="5824" spans="2:20" ht="38.25" hidden="1">
      <c r="B5824" s="828" t="s">
        <v>6662</v>
      </c>
      <c r="C5824" s="828">
        <v>101861</v>
      </c>
      <c r="D5824" s="630" t="s">
        <v>5898</v>
      </c>
      <c r="E5824" s="630" t="s">
        <v>649</v>
      </c>
      <c r="F5824" s="829">
        <v>11.780000000000001</v>
      </c>
      <c r="G5824" s="830">
        <v>20.100000000000001</v>
      </c>
      <c r="H5824" s="831">
        <v>31.88</v>
      </c>
      <c r="I5824" s="846"/>
      <c r="J5824" s="846"/>
      <c r="K5824" s="846"/>
      <c r="L5824" s="846"/>
      <c r="M5824" s="846"/>
      <c r="N5824" s="846"/>
      <c r="O5824" s="846"/>
      <c r="P5824" s="846"/>
      <c r="Q5824" s="846"/>
      <c r="R5824" s="846"/>
      <c r="S5824" s="846"/>
      <c r="T5824" s="846"/>
    </row>
    <row r="5825" spans="2:20" ht="38.25" hidden="1">
      <c r="B5825" s="828" t="s">
        <v>6662</v>
      </c>
      <c r="C5825" s="828">
        <v>101862</v>
      </c>
      <c r="D5825" s="630" t="s">
        <v>5899</v>
      </c>
      <c r="E5825" s="630" t="s">
        <v>649</v>
      </c>
      <c r="F5825" s="829">
        <v>12.6</v>
      </c>
      <c r="G5825" s="830">
        <v>22.38</v>
      </c>
      <c r="H5825" s="831">
        <v>34.979999999999997</v>
      </c>
      <c r="I5825" s="846"/>
      <c r="J5825" s="846"/>
      <c r="K5825" s="846"/>
      <c r="L5825" s="846"/>
      <c r="M5825" s="846"/>
      <c r="N5825" s="846"/>
      <c r="O5825" s="846"/>
      <c r="P5825" s="846"/>
      <c r="Q5825" s="846"/>
      <c r="R5825" s="846"/>
      <c r="S5825" s="846"/>
      <c r="T5825" s="846"/>
    </row>
    <row r="5826" spans="2:20" ht="51" hidden="1">
      <c r="B5826" s="828" t="s">
        <v>6662</v>
      </c>
      <c r="C5826" s="828">
        <v>101863</v>
      </c>
      <c r="D5826" s="630" t="s">
        <v>5900</v>
      </c>
      <c r="E5826" s="630" t="s">
        <v>649</v>
      </c>
      <c r="F5826" s="829">
        <v>10.469999999999999</v>
      </c>
      <c r="G5826" s="830">
        <v>16.36</v>
      </c>
      <c r="H5826" s="831">
        <v>26.83</v>
      </c>
      <c r="I5826" s="846"/>
      <c r="J5826" s="846"/>
      <c r="K5826" s="846"/>
      <c r="L5826" s="846"/>
      <c r="M5826" s="846"/>
      <c r="N5826" s="846"/>
      <c r="O5826" s="846"/>
      <c r="P5826" s="846"/>
      <c r="Q5826" s="846"/>
      <c r="R5826" s="846"/>
      <c r="S5826" s="846"/>
      <c r="T5826" s="846"/>
    </row>
    <row r="5827" spans="2:20" ht="51" hidden="1">
      <c r="B5827" s="828" t="s">
        <v>6662</v>
      </c>
      <c r="C5827" s="828">
        <v>101864</v>
      </c>
      <c r="D5827" s="630" t="s">
        <v>5901</v>
      </c>
      <c r="E5827" s="630" t="s">
        <v>649</v>
      </c>
      <c r="F5827" s="829">
        <v>11.75</v>
      </c>
      <c r="G5827" s="830">
        <v>19.89</v>
      </c>
      <c r="H5827" s="831">
        <v>31.64</v>
      </c>
      <c r="I5827" s="846"/>
      <c r="J5827" s="846"/>
      <c r="K5827" s="846"/>
      <c r="L5827" s="846"/>
      <c r="M5827" s="846"/>
      <c r="N5827" s="846"/>
      <c r="O5827" s="846"/>
      <c r="P5827" s="846"/>
      <c r="Q5827" s="846"/>
      <c r="R5827" s="846"/>
      <c r="S5827" s="846"/>
      <c r="T5827" s="846"/>
    </row>
    <row r="5828" spans="2:20" ht="51" hidden="1">
      <c r="B5828" s="828" t="s">
        <v>6662</v>
      </c>
      <c r="C5828" s="828">
        <v>101865</v>
      </c>
      <c r="D5828" s="630" t="s">
        <v>5902</v>
      </c>
      <c r="E5828" s="630" t="s">
        <v>649</v>
      </c>
      <c r="F5828" s="829">
        <v>13.01</v>
      </c>
      <c r="G5828" s="830">
        <v>23.42</v>
      </c>
      <c r="H5828" s="831">
        <v>36.43</v>
      </c>
      <c r="I5828" s="846"/>
      <c r="J5828" s="846"/>
      <c r="K5828" s="846"/>
      <c r="L5828" s="846"/>
      <c r="M5828" s="846"/>
      <c r="N5828" s="846"/>
      <c r="O5828" s="846"/>
      <c r="P5828" s="846"/>
      <c r="Q5828" s="846"/>
      <c r="R5828" s="846"/>
      <c r="S5828" s="846"/>
      <c r="T5828" s="846"/>
    </row>
    <row r="5829" spans="2:20" ht="38.25" hidden="1">
      <c r="B5829" s="828" t="s">
        <v>6662</v>
      </c>
      <c r="C5829" s="828">
        <v>101866</v>
      </c>
      <c r="D5829" s="630" t="s">
        <v>5903</v>
      </c>
      <c r="E5829" s="630" t="s">
        <v>649</v>
      </c>
      <c r="F5829" s="829">
        <v>11.860000000000001</v>
      </c>
      <c r="G5829" s="830">
        <v>20.27</v>
      </c>
      <c r="H5829" s="831">
        <v>32.130000000000003</v>
      </c>
      <c r="I5829" s="846"/>
      <c r="J5829" s="846"/>
      <c r="K5829" s="846"/>
      <c r="L5829" s="846"/>
      <c r="M5829" s="846"/>
      <c r="N5829" s="846"/>
      <c r="O5829" s="846"/>
      <c r="P5829" s="846"/>
      <c r="Q5829" s="846"/>
      <c r="R5829" s="846"/>
      <c r="S5829" s="846"/>
      <c r="T5829" s="846"/>
    </row>
    <row r="5830" spans="2:20" ht="38.25" hidden="1">
      <c r="B5830" s="828" t="s">
        <v>6662</v>
      </c>
      <c r="C5830" s="828">
        <v>101867</v>
      </c>
      <c r="D5830" s="630" t="s">
        <v>5904</v>
      </c>
      <c r="E5830" s="630" t="s">
        <v>649</v>
      </c>
      <c r="F5830" s="829">
        <v>13.11</v>
      </c>
      <c r="G5830" s="830">
        <v>23.81</v>
      </c>
      <c r="H5830" s="831">
        <v>36.92</v>
      </c>
      <c r="I5830" s="846"/>
      <c r="J5830" s="846"/>
      <c r="K5830" s="846"/>
      <c r="L5830" s="846"/>
      <c r="M5830" s="846"/>
      <c r="N5830" s="846"/>
      <c r="O5830" s="846"/>
      <c r="P5830" s="846"/>
      <c r="Q5830" s="846"/>
      <c r="R5830" s="846"/>
      <c r="S5830" s="846"/>
      <c r="T5830" s="846"/>
    </row>
    <row r="5831" spans="2:20" ht="51" hidden="1">
      <c r="B5831" s="828" t="s">
        <v>6662</v>
      </c>
      <c r="C5831" s="828">
        <v>101868</v>
      </c>
      <c r="D5831" s="630" t="s">
        <v>5905</v>
      </c>
      <c r="E5831" s="630" t="s">
        <v>649</v>
      </c>
      <c r="F5831" s="829">
        <v>10.979999999999999</v>
      </c>
      <c r="G5831" s="830">
        <v>17.79</v>
      </c>
      <c r="H5831" s="831">
        <v>28.77</v>
      </c>
      <c r="I5831" s="846"/>
      <c r="J5831" s="846"/>
      <c r="K5831" s="846"/>
      <c r="L5831" s="846"/>
      <c r="M5831" s="846"/>
      <c r="N5831" s="846"/>
      <c r="O5831" s="846"/>
      <c r="P5831" s="846"/>
      <c r="Q5831" s="846"/>
      <c r="R5831" s="846"/>
      <c r="S5831" s="846"/>
      <c r="T5831" s="846"/>
    </row>
    <row r="5832" spans="2:20" ht="51" hidden="1">
      <c r="B5832" s="828" t="s">
        <v>6662</v>
      </c>
      <c r="C5832" s="828">
        <v>101869</v>
      </c>
      <c r="D5832" s="630" t="s">
        <v>5906</v>
      </c>
      <c r="E5832" s="630" t="s">
        <v>649</v>
      </c>
      <c r="F5832" s="829">
        <v>12.23</v>
      </c>
      <c r="G5832" s="830">
        <v>21.34</v>
      </c>
      <c r="H5832" s="831">
        <v>33.57</v>
      </c>
      <c r="I5832" s="846"/>
      <c r="J5832" s="846"/>
      <c r="K5832" s="846"/>
      <c r="L5832" s="846"/>
      <c r="M5832" s="846"/>
      <c r="N5832" s="846"/>
      <c r="O5832" s="846"/>
      <c r="P5832" s="846"/>
      <c r="Q5832" s="846"/>
      <c r="R5832" s="846"/>
      <c r="S5832" s="846"/>
      <c r="T5832" s="846"/>
    </row>
    <row r="5833" spans="2:20" ht="51" hidden="1">
      <c r="B5833" s="828" t="s">
        <v>6662</v>
      </c>
      <c r="C5833" s="828">
        <v>101870</v>
      </c>
      <c r="D5833" s="630" t="s">
        <v>5907</v>
      </c>
      <c r="E5833" s="630" t="s">
        <v>649</v>
      </c>
      <c r="F5833" s="829">
        <v>13.52</v>
      </c>
      <c r="G5833" s="830">
        <v>24.84</v>
      </c>
      <c r="H5833" s="831">
        <v>38.36</v>
      </c>
      <c r="I5833" s="846"/>
      <c r="J5833" s="846"/>
      <c r="K5833" s="846"/>
      <c r="L5833" s="846"/>
      <c r="M5833" s="846"/>
      <c r="N5833" s="846"/>
      <c r="O5833" s="846"/>
      <c r="P5833" s="846"/>
      <c r="Q5833" s="846"/>
      <c r="R5833" s="846"/>
      <c r="S5833" s="846"/>
      <c r="T5833" s="846"/>
    </row>
    <row r="5834" spans="2:20" ht="25.5" hidden="1">
      <c r="B5834" s="828" t="s">
        <v>6662</v>
      </c>
      <c r="C5834" s="828">
        <v>102096</v>
      </c>
      <c r="D5834" s="630" t="s">
        <v>6004</v>
      </c>
      <c r="E5834" s="630" t="s">
        <v>644</v>
      </c>
      <c r="F5834" s="829">
        <v>1399.94</v>
      </c>
      <c r="G5834" s="830">
        <v>242.83</v>
      </c>
      <c r="H5834" s="831">
        <v>1642.77</v>
      </c>
      <c r="I5834" s="846"/>
      <c r="J5834" s="846"/>
      <c r="K5834" s="846"/>
      <c r="L5834" s="846"/>
      <c r="M5834" s="846"/>
      <c r="N5834" s="846"/>
      <c r="O5834" s="846"/>
      <c r="P5834" s="846"/>
      <c r="Q5834" s="846"/>
      <c r="R5834" s="846"/>
      <c r="S5834" s="846"/>
      <c r="T5834" s="846"/>
    </row>
    <row r="5835" spans="2:20" ht="38.25" hidden="1">
      <c r="B5835" s="828" t="s">
        <v>6662</v>
      </c>
      <c r="C5835" s="828">
        <v>102098</v>
      </c>
      <c r="D5835" s="630" t="s">
        <v>6005</v>
      </c>
      <c r="E5835" s="630" t="s">
        <v>644</v>
      </c>
      <c r="F5835" s="829">
        <v>1598.5</v>
      </c>
      <c r="G5835" s="830">
        <v>196.01</v>
      </c>
      <c r="H5835" s="831">
        <v>1794.51</v>
      </c>
      <c r="I5835" s="846"/>
      <c r="J5835" s="846"/>
      <c r="K5835" s="846"/>
      <c r="L5835" s="846"/>
      <c r="M5835" s="846"/>
      <c r="N5835" s="846"/>
      <c r="O5835" s="846"/>
      <c r="P5835" s="846"/>
      <c r="Q5835" s="846"/>
      <c r="R5835" s="846"/>
      <c r="S5835" s="846"/>
      <c r="T5835" s="846"/>
    </row>
    <row r="5836" spans="2:20" ht="25.5" hidden="1">
      <c r="B5836" s="828" t="s">
        <v>6662</v>
      </c>
      <c r="C5836" s="828">
        <v>102101</v>
      </c>
      <c r="D5836" s="630" t="s">
        <v>6006</v>
      </c>
      <c r="E5836" s="630" t="s">
        <v>649</v>
      </c>
      <c r="F5836" s="829">
        <v>2.4</v>
      </c>
      <c r="G5836" s="830">
        <v>1.69</v>
      </c>
      <c r="H5836" s="831">
        <v>4.09</v>
      </c>
      <c r="I5836" s="846"/>
      <c r="J5836" s="846"/>
      <c r="K5836" s="846"/>
      <c r="L5836" s="846"/>
      <c r="M5836" s="846"/>
      <c r="N5836" s="846"/>
      <c r="O5836" s="846"/>
      <c r="P5836" s="846"/>
      <c r="Q5836" s="846"/>
      <c r="R5836" s="846"/>
      <c r="S5836" s="846"/>
      <c r="T5836" s="846"/>
    </row>
    <row r="5837" spans="2:20" ht="38.25" hidden="1">
      <c r="B5837" s="828" t="s">
        <v>6662</v>
      </c>
      <c r="C5837" s="828">
        <v>102988</v>
      </c>
      <c r="D5837" s="630" t="s">
        <v>6365</v>
      </c>
      <c r="E5837" s="630" t="s">
        <v>649</v>
      </c>
      <c r="F5837" s="829">
        <v>19.350000000000001</v>
      </c>
      <c r="G5837" s="830">
        <v>38.729999999999997</v>
      </c>
      <c r="H5837" s="831">
        <v>58.08</v>
      </c>
      <c r="I5837" s="846"/>
      <c r="J5837" s="846"/>
      <c r="K5837" s="846"/>
      <c r="L5837" s="846"/>
      <c r="M5837" s="846"/>
      <c r="N5837" s="846"/>
      <c r="O5837" s="846"/>
      <c r="P5837" s="846"/>
      <c r="Q5837" s="846"/>
      <c r="R5837" s="846"/>
      <c r="S5837" s="846"/>
      <c r="T5837" s="846"/>
    </row>
    <row r="5838" spans="2:20" ht="25.5" hidden="1">
      <c r="B5838" s="828" t="s">
        <v>6635</v>
      </c>
      <c r="C5838" s="828">
        <v>100576</v>
      </c>
      <c r="D5838" s="630" t="s">
        <v>3407</v>
      </c>
      <c r="E5838" s="630" t="s">
        <v>649</v>
      </c>
      <c r="F5838" s="829">
        <v>1.7</v>
      </c>
      <c r="G5838" s="830">
        <v>0.81</v>
      </c>
      <c r="H5838" s="831">
        <v>2.5099999999999998</v>
      </c>
      <c r="I5838" s="846"/>
      <c r="J5838" s="846"/>
      <c r="K5838" s="846"/>
      <c r="L5838" s="846"/>
      <c r="M5838" s="846"/>
      <c r="N5838" s="846"/>
      <c r="O5838" s="846"/>
      <c r="P5838" s="846"/>
      <c r="Q5838" s="846"/>
      <c r="R5838" s="846"/>
      <c r="S5838" s="846"/>
      <c r="T5838" s="846"/>
    </row>
    <row r="5839" spans="2:20" ht="25.5" hidden="1">
      <c r="B5839" s="828" t="s">
        <v>6635</v>
      </c>
      <c r="C5839" s="828">
        <v>100577</v>
      </c>
      <c r="D5839" s="630" t="s">
        <v>3408</v>
      </c>
      <c r="E5839" s="630" t="s">
        <v>649</v>
      </c>
      <c r="F5839" s="829">
        <v>0.91</v>
      </c>
      <c r="G5839" s="830">
        <v>0.28999999999999998</v>
      </c>
      <c r="H5839" s="831">
        <v>1.2</v>
      </c>
      <c r="I5839" s="846"/>
      <c r="J5839" s="846"/>
      <c r="K5839" s="846"/>
      <c r="L5839" s="846"/>
      <c r="M5839" s="846"/>
      <c r="N5839" s="846"/>
      <c r="O5839" s="846"/>
      <c r="P5839" s="846"/>
      <c r="Q5839" s="846"/>
      <c r="R5839" s="846"/>
      <c r="S5839" s="846"/>
      <c r="T5839" s="846"/>
    </row>
    <row r="5840" spans="2:20" ht="38.25" hidden="1">
      <c r="B5840" s="828" t="s">
        <v>6603</v>
      </c>
      <c r="C5840" s="828">
        <v>96388</v>
      </c>
      <c r="D5840" s="630" t="s">
        <v>3409</v>
      </c>
      <c r="E5840" s="630" t="s">
        <v>644</v>
      </c>
      <c r="F5840" s="829">
        <v>9.17</v>
      </c>
      <c r="G5840" s="830">
        <v>2.81</v>
      </c>
      <c r="H5840" s="831">
        <v>11.98</v>
      </c>
      <c r="I5840" s="846"/>
      <c r="J5840" s="846"/>
      <c r="K5840" s="846"/>
      <c r="L5840" s="846"/>
      <c r="M5840" s="846"/>
      <c r="N5840" s="846"/>
      <c r="O5840" s="846"/>
      <c r="P5840" s="846"/>
      <c r="Q5840" s="846"/>
      <c r="R5840" s="846"/>
      <c r="S5840" s="846"/>
      <c r="T5840" s="846"/>
    </row>
    <row r="5841" spans="2:20" ht="38.25" hidden="1">
      <c r="B5841" s="828" t="s">
        <v>6603</v>
      </c>
      <c r="C5841" s="828">
        <v>96389</v>
      </c>
      <c r="D5841" s="630" t="s">
        <v>4475</v>
      </c>
      <c r="E5841" s="630" t="s">
        <v>644</v>
      </c>
      <c r="F5841" s="829">
        <v>45.24</v>
      </c>
      <c r="G5841" s="830">
        <v>4.57</v>
      </c>
      <c r="H5841" s="831">
        <v>49.81</v>
      </c>
      <c r="I5841" s="846"/>
      <c r="J5841" s="846"/>
      <c r="K5841" s="846"/>
      <c r="L5841" s="846"/>
      <c r="M5841" s="846"/>
      <c r="N5841" s="846"/>
      <c r="O5841" s="846"/>
      <c r="P5841" s="846"/>
      <c r="Q5841" s="846"/>
      <c r="R5841" s="846"/>
      <c r="S5841" s="846"/>
      <c r="T5841" s="846"/>
    </row>
    <row r="5842" spans="2:20" ht="38.25" hidden="1">
      <c r="B5842" s="828" t="s">
        <v>6603</v>
      </c>
      <c r="C5842" s="828">
        <v>96390</v>
      </c>
      <c r="D5842" s="630" t="s">
        <v>4476</v>
      </c>
      <c r="E5842" s="630" t="s">
        <v>644</v>
      </c>
      <c r="F5842" s="829">
        <v>73.320000000000007</v>
      </c>
      <c r="G5842" s="830">
        <v>4.3600000000000003</v>
      </c>
      <c r="H5842" s="831">
        <v>77.680000000000007</v>
      </c>
      <c r="I5842" s="846"/>
      <c r="J5842" s="846"/>
      <c r="K5842" s="846"/>
      <c r="L5842" s="846"/>
      <c r="M5842" s="846"/>
      <c r="N5842" s="846"/>
      <c r="O5842" s="846"/>
      <c r="P5842" s="846"/>
      <c r="Q5842" s="846"/>
      <c r="R5842" s="846"/>
      <c r="S5842" s="846"/>
      <c r="T5842" s="846"/>
    </row>
    <row r="5843" spans="2:20" ht="38.25" hidden="1">
      <c r="B5843" s="828" t="s">
        <v>6603</v>
      </c>
      <c r="C5843" s="828">
        <v>96391</v>
      </c>
      <c r="D5843" s="630" t="s">
        <v>3410</v>
      </c>
      <c r="E5843" s="630" t="s">
        <v>644</v>
      </c>
      <c r="F5843" s="829">
        <v>103</v>
      </c>
      <c r="G5843" s="830">
        <v>4.78</v>
      </c>
      <c r="H5843" s="831">
        <v>107.78</v>
      </c>
      <c r="I5843" s="846"/>
      <c r="J5843" s="846"/>
      <c r="K5843" s="846"/>
      <c r="L5843" s="846"/>
      <c r="M5843" s="846"/>
      <c r="N5843" s="846"/>
      <c r="O5843" s="846"/>
      <c r="P5843" s="846"/>
      <c r="Q5843" s="846"/>
      <c r="R5843" s="846"/>
      <c r="S5843" s="846"/>
      <c r="T5843" s="846"/>
    </row>
    <row r="5844" spans="2:20" ht="38.25" hidden="1">
      <c r="B5844" s="828" t="s">
        <v>6603</v>
      </c>
      <c r="C5844" s="828">
        <v>96392</v>
      </c>
      <c r="D5844" s="630" t="s">
        <v>3411</v>
      </c>
      <c r="E5844" s="630" t="s">
        <v>644</v>
      </c>
      <c r="F5844" s="829">
        <v>131.86000000000001</v>
      </c>
      <c r="G5844" s="830">
        <v>4.7699999999999996</v>
      </c>
      <c r="H5844" s="831">
        <v>136.63</v>
      </c>
      <c r="I5844" s="846"/>
      <c r="J5844" s="846"/>
      <c r="K5844" s="846"/>
      <c r="L5844" s="846"/>
      <c r="M5844" s="846"/>
      <c r="N5844" s="846"/>
      <c r="O5844" s="846"/>
      <c r="P5844" s="846"/>
      <c r="Q5844" s="846"/>
      <c r="R5844" s="846"/>
      <c r="S5844" s="846"/>
      <c r="T5844" s="846"/>
    </row>
    <row r="5845" spans="2:20" ht="38.25" hidden="1">
      <c r="B5845" s="828" t="s">
        <v>6603</v>
      </c>
      <c r="C5845" s="828">
        <v>96396</v>
      </c>
      <c r="D5845" s="630" t="s">
        <v>3412</v>
      </c>
      <c r="E5845" s="630" t="s">
        <v>644</v>
      </c>
      <c r="F5845" s="829">
        <v>100.16</v>
      </c>
      <c r="G5845" s="830">
        <v>4.8</v>
      </c>
      <c r="H5845" s="831">
        <v>104.96</v>
      </c>
      <c r="I5845" s="846"/>
      <c r="J5845" s="846"/>
      <c r="K5845" s="846"/>
      <c r="L5845" s="846"/>
      <c r="M5845" s="846"/>
      <c r="N5845" s="846"/>
      <c r="O5845" s="846"/>
      <c r="P5845" s="846"/>
      <c r="Q5845" s="846"/>
      <c r="R5845" s="846"/>
      <c r="S5845" s="846"/>
      <c r="T5845" s="846"/>
    </row>
    <row r="5846" spans="2:20" ht="38.25" hidden="1">
      <c r="B5846" s="828" t="s">
        <v>6603</v>
      </c>
      <c r="C5846" s="828">
        <v>96397</v>
      </c>
      <c r="D5846" s="630" t="s">
        <v>3413</v>
      </c>
      <c r="E5846" s="630" t="s">
        <v>644</v>
      </c>
      <c r="F5846" s="829">
        <v>158.49</v>
      </c>
      <c r="G5846" s="830">
        <v>5.32</v>
      </c>
      <c r="H5846" s="831">
        <v>163.81</v>
      </c>
      <c r="I5846" s="846"/>
      <c r="J5846" s="846"/>
      <c r="K5846" s="846"/>
      <c r="L5846" s="846"/>
      <c r="M5846" s="846"/>
      <c r="N5846" s="846"/>
      <c r="O5846" s="846"/>
      <c r="P5846" s="846"/>
      <c r="Q5846" s="846"/>
      <c r="R5846" s="846"/>
      <c r="S5846" s="846"/>
      <c r="T5846" s="846"/>
    </row>
    <row r="5847" spans="2:20" ht="38.25" hidden="1">
      <c r="B5847" s="828" t="s">
        <v>6603</v>
      </c>
      <c r="C5847" s="828">
        <v>96398</v>
      </c>
      <c r="D5847" s="630" t="s">
        <v>3414</v>
      </c>
      <c r="E5847" s="630" t="s">
        <v>644</v>
      </c>
      <c r="F5847" s="829">
        <v>235.07</v>
      </c>
      <c r="G5847" s="830">
        <v>5.9</v>
      </c>
      <c r="H5847" s="831">
        <v>240.97</v>
      </c>
      <c r="I5847" s="846"/>
      <c r="J5847" s="846"/>
      <c r="K5847" s="846"/>
      <c r="L5847" s="846"/>
      <c r="M5847" s="846"/>
      <c r="N5847" s="846"/>
      <c r="O5847" s="846"/>
      <c r="P5847" s="846"/>
      <c r="Q5847" s="846"/>
      <c r="R5847" s="846"/>
      <c r="S5847" s="846"/>
      <c r="T5847" s="846"/>
    </row>
    <row r="5848" spans="2:20" ht="25.5" hidden="1">
      <c r="B5848" s="828" t="s">
        <v>6603</v>
      </c>
      <c r="C5848" s="828">
        <v>96399</v>
      </c>
      <c r="D5848" s="630" t="s">
        <v>4477</v>
      </c>
      <c r="E5848" s="630" t="s">
        <v>644</v>
      </c>
      <c r="F5848" s="829">
        <v>68.28</v>
      </c>
      <c r="G5848" s="830">
        <v>4.33</v>
      </c>
      <c r="H5848" s="831">
        <v>72.61</v>
      </c>
      <c r="I5848" s="846"/>
      <c r="J5848" s="846"/>
      <c r="K5848" s="846"/>
      <c r="L5848" s="846"/>
      <c r="M5848" s="846"/>
      <c r="N5848" s="846"/>
      <c r="O5848" s="846"/>
      <c r="P5848" s="846"/>
      <c r="Q5848" s="846"/>
      <c r="R5848" s="846"/>
      <c r="S5848" s="846"/>
      <c r="T5848" s="846"/>
    </row>
    <row r="5849" spans="2:20" ht="25.5" hidden="1">
      <c r="B5849" s="828" t="s">
        <v>6603</v>
      </c>
      <c r="C5849" s="828">
        <v>96400</v>
      </c>
      <c r="D5849" s="630" t="s">
        <v>3415</v>
      </c>
      <c r="E5849" s="630" t="s">
        <v>644</v>
      </c>
      <c r="F5849" s="829">
        <v>90.66</v>
      </c>
      <c r="G5849" s="830">
        <v>5.72</v>
      </c>
      <c r="H5849" s="831">
        <v>96.38</v>
      </c>
      <c r="I5849" s="846"/>
      <c r="J5849" s="846"/>
      <c r="K5849" s="846"/>
      <c r="L5849" s="846"/>
      <c r="M5849" s="846"/>
      <c r="N5849" s="846"/>
      <c r="O5849" s="846"/>
      <c r="P5849" s="846"/>
      <c r="Q5849" s="846"/>
      <c r="R5849" s="846"/>
      <c r="S5849" s="846"/>
      <c r="T5849" s="846"/>
    </row>
    <row r="5850" spans="2:20" ht="25.5" hidden="1">
      <c r="B5850" s="828" t="s">
        <v>6603</v>
      </c>
      <c r="C5850" s="828">
        <v>96402</v>
      </c>
      <c r="D5850" s="630" t="s">
        <v>3416</v>
      </c>
      <c r="E5850" s="630" t="s">
        <v>649</v>
      </c>
      <c r="F5850" s="829">
        <v>2.41</v>
      </c>
      <c r="G5850" s="830">
        <v>0.34</v>
      </c>
      <c r="H5850" s="831">
        <v>2.75</v>
      </c>
      <c r="I5850" s="846"/>
      <c r="J5850" s="846"/>
      <c r="K5850" s="846"/>
      <c r="L5850" s="846"/>
      <c r="M5850" s="846"/>
      <c r="N5850" s="846"/>
      <c r="O5850" s="846"/>
      <c r="P5850" s="846"/>
      <c r="Q5850" s="846"/>
      <c r="R5850" s="846"/>
      <c r="S5850" s="846"/>
      <c r="T5850" s="846"/>
    </row>
    <row r="5851" spans="2:20" ht="38.25" hidden="1">
      <c r="B5851" s="828" t="s">
        <v>6603</v>
      </c>
      <c r="C5851" s="828">
        <v>100564</v>
      </c>
      <c r="D5851" s="630" t="s">
        <v>3417</v>
      </c>
      <c r="E5851" s="630" t="s">
        <v>644</v>
      </c>
      <c r="F5851" s="829">
        <v>61.79</v>
      </c>
      <c r="G5851" s="830">
        <v>7.33</v>
      </c>
      <c r="H5851" s="831">
        <v>69.12</v>
      </c>
      <c r="I5851" s="846"/>
      <c r="J5851" s="846"/>
      <c r="K5851" s="846"/>
      <c r="L5851" s="846"/>
      <c r="M5851" s="846"/>
      <c r="N5851" s="846"/>
      <c r="O5851" s="846"/>
      <c r="P5851" s="846"/>
      <c r="Q5851" s="846"/>
      <c r="R5851" s="846"/>
      <c r="S5851" s="846"/>
      <c r="T5851" s="846"/>
    </row>
    <row r="5852" spans="2:20" ht="38.25" hidden="1">
      <c r="B5852" s="828" t="s">
        <v>6603</v>
      </c>
      <c r="C5852" s="828">
        <v>100565</v>
      </c>
      <c r="D5852" s="630" t="s">
        <v>3418</v>
      </c>
      <c r="E5852" s="630" t="s">
        <v>644</v>
      </c>
      <c r="F5852" s="829">
        <v>54.16</v>
      </c>
      <c r="G5852" s="830">
        <v>7.33</v>
      </c>
      <c r="H5852" s="831">
        <v>61.49</v>
      </c>
      <c r="I5852" s="846"/>
      <c r="J5852" s="846"/>
      <c r="K5852" s="846"/>
      <c r="L5852" s="846"/>
      <c r="M5852" s="846"/>
      <c r="N5852" s="846"/>
      <c r="O5852" s="846"/>
      <c r="P5852" s="846"/>
      <c r="Q5852" s="846"/>
      <c r="R5852" s="846"/>
      <c r="S5852" s="846"/>
      <c r="T5852" s="846"/>
    </row>
    <row r="5853" spans="2:20" ht="51" hidden="1">
      <c r="B5853" s="828" t="s">
        <v>6603</v>
      </c>
      <c r="C5853" s="828">
        <v>100566</v>
      </c>
      <c r="D5853" s="630" t="s">
        <v>3419</v>
      </c>
      <c r="E5853" s="630" t="s">
        <v>644</v>
      </c>
      <c r="F5853" s="829">
        <v>122.3</v>
      </c>
      <c r="G5853" s="830">
        <v>7.3</v>
      </c>
      <c r="H5853" s="831">
        <v>129.6</v>
      </c>
      <c r="I5853" s="846"/>
      <c r="J5853" s="846"/>
      <c r="K5853" s="846"/>
      <c r="L5853" s="846"/>
      <c r="M5853" s="846"/>
      <c r="N5853" s="846"/>
      <c r="O5853" s="846"/>
      <c r="P5853" s="846"/>
      <c r="Q5853" s="846"/>
      <c r="R5853" s="846"/>
      <c r="S5853" s="846"/>
      <c r="T5853" s="846"/>
    </row>
    <row r="5854" spans="2:20" ht="51" hidden="1">
      <c r="B5854" s="828" t="s">
        <v>6603</v>
      </c>
      <c r="C5854" s="828">
        <v>100567</v>
      </c>
      <c r="D5854" s="630" t="s">
        <v>3420</v>
      </c>
      <c r="E5854" s="630" t="s">
        <v>644</v>
      </c>
      <c r="F5854" s="829">
        <v>150.64999999999998</v>
      </c>
      <c r="G5854" s="830">
        <v>7.3</v>
      </c>
      <c r="H5854" s="831">
        <v>157.94999999999999</v>
      </c>
      <c r="I5854" s="846"/>
      <c r="J5854" s="846"/>
      <c r="K5854" s="846"/>
      <c r="L5854" s="846"/>
      <c r="M5854" s="846"/>
      <c r="N5854" s="846"/>
      <c r="O5854" s="846"/>
      <c r="P5854" s="846"/>
      <c r="Q5854" s="846"/>
      <c r="R5854" s="846"/>
      <c r="S5854" s="846"/>
      <c r="T5854" s="846"/>
    </row>
    <row r="5855" spans="2:20" ht="51" hidden="1">
      <c r="B5855" s="828" t="s">
        <v>6603</v>
      </c>
      <c r="C5855" s="828">
        <v>100568</v>
      </c>
      <c r="D5855" s="630" t="s">
        <v>3421</v>
      </c>
      <c r="E5855" s="630" t="s">
        <v>644</v>
      </c>
      <c r="F5855" s="829">
        <v>178.56</v>
      </c>
      <c r="G5855" s="830">
        <v>7.29</v>
      </c>
      <c r="H5855" s="831">
        <v>185.85</v>
      </c>
      <c r="I5855" s="846"/>
      <c r="J5855" s="846"/>
      <c r="K5855" s="846"/>
      <c r="L5855" s="846"/>
      <c r="M5855" s="846"/>
      <c r="N5855" s="846"/>
      <c r="O5855" s="846"/>
      <c r="P5855" s="846"/>
      <c r="Q5855" s="846"/>
      <c r="R5855" s="846"/>
      <c r="S5855" s="846"/>
      <c r="T5855" s="846"/>
    </row>
    <row r="5856" spans="2:20" ht="51" hidden="1">
      <c r="B5856" s="828" t="s">
        <v>6603</v>
      </c>
      <c r="C5856" s="828">
        <v>100569</v>
      </c>
      <c r="D5856" s="630" t="s">
        <v>3422</v>
      </c>
      <c r="E5856" s="630" t="s">
        <v>644</v>
      </c>
      <c r="F5856" s="829">
        <v>114.94999999999999</v>
      </c>
      <c r="G5856" s="830">
        <v>7.3</v>
      </c>
      <c r="H5856" s="831">
        <v>122.25</v>
      </c>
      <c r="I5856" s="846"/>
      <c r="J5856" s="846"/>
      <c r="K5856" s="846"/>
      <c r="L5856" s="846"/>
      <c r="M5856" s="846"/>
      <c r="N5856" s="846"/>
      <c r="O5856" s="846"/>
      <c r="P5856" s="846"/>
      <c r="Q5856" s="846"/>
      <c r="R5856" s="846"/>
      <c r="S5856" s="846"/>
      <c r="T5856" s="846"/>
    </row>
    <row r="5857" spans="2:20" ht="51" hidden="1">
      <c r="B5857" s="828" t="s">
        <v>6603</v>
      </c>
      <c r="C5857" s="828">
        <v>100570</v>
      </c>
      <c r="D5857" s="630" t="s">
        <v>3423</v>
      </c>
      <c r="E5857" s="630" t="s">
        <v>644</v>
      </c>
      <c r="F5857" s="829">
        <v>145.6</v>
      </c>
      <c r="G5857" s="830">
        <v>7.55</v>
      </c>
      <c r="H5857" s="831">
        <v>153.15</v>
      </c>
      <c r="I5857" s="846"/>
      <c r="J5857" s="846"/>
      <c r="K5857" s="846"/>
      <c r="L5857" s="846"/>
      <c r="M5857" s="846"/>
      <c r="N5857" s="846"/>
      <c r="O5857" s="846"/>
      <c r="P5857" s="846"/>
      <c r="Q5857" s="846"/>
      <c r="R5857" s="846"/>
      <c r="S5857" s="846"/>
      <c r="T5857" s="846"/>
    </row>
    <row r="5858" spans="2:20" ht="51" hidden="1">
      <c r="B5858" s="828" t="s">
        <v>6603</v>
      </c>
      <c r="C5858" s="828">
        <v>100571</v>
      </c>
      <c r="D5858" s="630" t="s">
        <v>3424</v>
      </c>
      <c r="E5858" s="630" t="s">
        <v>644</v>
      </c>
      <c r="F5858" s="829">
        <v>171.53</v>
      </c>
      <c r="G5858" s="830">
        <v>7.3</v>
      </c>
      <c r="H5858" s="831">
        <v>178.83</v>
      </c>
      <c r="I5858" s="846"/>
      <c r="J5858" s="846"/>
      <c r="K5858" s="846"/>
      <c r="L5858" s="846"/>
      <c r="M5858" s="846"/>
      <c r="N5858" s="846"/>
      <c r="O5858" s="846"/>
      <c r="P5858" s="846"/>
      <c r="Q5858" s="846"/>
      <c r="R5858" s="846"/>
      <c r="S5858" s="846"/>
      <c r="T5858" s="846"/>
    </row>
    <row r="5859" spans="2:20" ht="38.25" hidden="1">
      <c r="B5859" s="828" t="s">
        <v>6603</v>
      </c>
      <c r="C5859" s="828">
        <v>100572</v>
      </c>
      <c r="D5859" s="630" t="s">
        <v>3425</v>
      </c>
      <c r="E5859" s="630" t="s">
        <v>644</v>
      </c>
      <c r="F5859" s="829">
        <v>64.86</v>
      </c>
      <c r="G5859" s="830">
        <v>9.7899999999999991</v>
      </c>
      <c r="H5859" s="831">
        <v>74.650000000000006</v>
      </c>
      <c r="I5859" s="846"/>
      <c r="J5859" s="846"/>
      <c r="K5859" s="846"/>
      <c r="L5859" s="846"/>
      <c r="M5859" s="846"/>
      <c r="N5859" s="846"/>
      <c r="O5859" s="846"/>
      <c r="P5859" s="846"/>
      <c r="Q5859" s="846"/>
      <c r="R5859" s="846"/>
      <c r="S5859" s="846"/>
      <c r="T5859" s="846"/>
    </row>
    <row r="5860" spans="2:20" ht="38.25" hidden="1">
      <c r="B5860" s="828" t="s">
        <v>6603</v>
      </c>
      <c r="C5860" s="828">
        <v>100573</v>
      </c>
      <c r="D5860" s="630" t="s">
        <v>3426</v>
      </c>
      <c r="E5860" s="630" t="s">
        <v>644</v>
      </c>
      <c r="F5860" s="829">
        <v>57.22</v>
      </c>
      <c r="G5860" s="830">
        <v>9.8000000000000007</v>
      </c>
      <c r="H5860" s="831">
        <v>67.02</v>
      </c>
      <c r="I5860" s="846"/>
      <c r="J5860" s="846"/>
      <c r="K5860" s="846"/>
      <c r="L5860" s="846"/>
      <c r="M5860" s="846"/>
      <c r="N5860" s="846"/>
      <c r="O5860" s="846"/>
      <c r="P5860" s="846"/>
      <c r="Q5860" s="846"/>
      <c r="R5860" s="846"/>
      <c r="S5860" s="846"/>
      <c r="T5860" s="846"/>
    </row>
    <row r="5861" spans="2:20" ht="25.5" hidden="1">
      <c r="B5861" s="828" t="s">
        <v>6603</v>
      </c>
      <c r="C5861" s="828">
        <v>100574</v>
      </c>
      <c r="D5861" s="630" t="s">
        <v>3427</v>
      </c>
      <c r="E5861" s="630" t="s">
        <v>644</v>
      </c>
      <c r="F5861" s="829">
        <v>1.07</v>
      </c>
      <c r="G5861" s="830">
        <v>0.39</v>
      </c>
      <c r="H5861" s="831">
        <v>1.46</v>
      </c>
      <c r="I5861" s="846"/>
      <c r="J5861" s="846"/>
      <c r="K5861" s="846"/>
      <c r="L5861" s="846"/>
      <c r="M5861" s="846"/>
      <c r="N5861" s="846"/>
      <c r="O5861" s="846"/>
      <c r="P5861" s="846"/>
      <c r="Q5861" s="846"/>
      <c r="R5861" s="846"/>
      <c r="S5861" s="846"/>
      <c r="T5861" s="846"/>
    </row>
    <row r="5862" spans="2:20" ht="25.5" hidden="1">
      <c r="B5862" s="828" t="s">
        <v>6603</v>
      </c>
      <c r="C5862" s="828">
        <v>100575</v>
      </c>
      <c r="D5862" s="630" t="s">
        <v>3428</v>
      </c>
      <c r="E5862" s="630" t="s">
        <v>649</v>
      </c>
      <c r="F5862" s="829">
        <v>0.09</v>
      </c>
      <c r="G5862" s="830">
        <v>0.04</v>
      </c>
      <c r="H5862" s="831">
        <v>0.13</v>
      </c>
      <c r="I5862" s="846"/>
      <c r="J5862" s="846"/>
      <c r="K5862" s="846"/>
      <c r="L5862" s="846"/>
      <c r="M5862" s="846"/>
      <c r="N5862" s="846"/>
      <c r="O5862" s="846"/>
      <c r="P5862" s="846"/>
      <c r="Q5862" s="846"/>
      <c r="R5862" s="846"/>
      <c r="S5862" s="846"/>
      <c r="T5862" s="846"/>
    </row>
    <row r="5863" spans="2:20" ht="51" hidden="1">
      <c r="B5863" s="828" t="s">
        <v>6603</v>
      </c>
      <c r="C5863" s="828">
        <v>101767</v>
      </c>
      <c r="D5863" s="630" t="s">
        <v>4478</v>
      </c>
      <c r="E5863" s="630" t="s">
        <v>644</v>
      </c>
      <c r="F5863" s="829">
        <v>18.759999999999998</v>
      </c>
      <c r="G5863" s="830">
        <v>9.8800000000000008</v>
      </c>
      <c r="H5863" s="831">
        <v>28.64</v>
      </c>
      <c r="I5863" s="846"/>
      <c r="J5863" s="846"/>
      <c r="K5863" s="846"/>
      <c r="L5863" s="846"/>
      <c r="M5863" s="846"/>
      <c r="N5863" s="846"/>
      <c r="O5863" s="846"/>
      <c r="P5863" s="846"/>
      <c r="Q5863" s="846"/>
      <c r="R5863" s="846"/>
      <c r="S5863" s="846"/>
      <c r="T5863" s="846"/>
    </row>
    <row r="5864" spans="2:20" ht="38.25" hidden="1">
      <c r="B5864" s="828" t="s">
        <v>6603</v>
      </c>
      <c r="C5864" s="828">
        <v>101768</v>
      </c>
      <c r="D5864" s="630" t="s">
        <v>4479</v>
      </c>
      <c r="E5864" s="630" t="s">
        <v>644</v>
      </c>
      <c r="F5864" s="829">
        <v>36.200000000000003</v>
      </c>
      <c r="G5864" s="830">
        <v>9.2799999999999994</v>
      </c>
      <c r="H5864" s="831">
        <v>45.48</v>
      </c>
      <c r="I5864" s="846"/>
      <c r="J5864" s="846"/>
      <c r="K5864" s="846"/>
      <c r="L5864" s="846"/>
      <c r="M5864" s="846"/>
      <c r="N5864" s="846"/>
      <c r="O5864" s="846"/>
      <c r="P5864" s="846"/>
      <c r="Q5864" s="846"/>
      <c r="R5864" s="846"/>
      <c r="S5864" s="846"/>
      <c r="T5864" s="846"/>
    </row>
    <row r="5865" spans="2:20" ht="25.5" hidden="1">
      <c r="B5865" s="828" t="s">
        <v>6568</v>
      </c>
      <c r="C5865" s="828">
        <v>92391</v>
      </c>
      <c r="D5865" s="630" t="s">
        <v>1519</v>
      </c>
      <c r="E5865" s="630" t="s">
        <v>649</v>
      </c>
      <c r="F5865" s="829">
        <v>44.089999999999996</v>
      </c>
      <c r="G5865" s="830">
        <v>3.63</v>
      </c>
      <c r="H5865" s="831">
        <v>47.72</v>
      </c>
      <c r="I5865" s="846"/>
      <c r="J5865" s="846"/>
      <c r="K5865" s="846"/>
      <c r="L5865" s="846"/>
      <c r="M5865" s="846"/>
      <c r="N5865" s="846"/>
      <c r="O5865" s="846"/>
      <c r="P5865" s="846"/>
      <c r="Q5865" s="846"/>
      <c r="R5865" s="846"/>
      <c r="S5865" s="846"/>
      <c r="T5865" s="846"/>
    </row>
    <row r="5866" spans="2:20" ht="25.5" hidden="1">
      <c r="B5866" s="828" t="s">
        <v>6568</v>
      </c>
      <c r="C5866" s="828">
        <v>92392</v>
      </c>
      <c r="D5866" s="630" t="s">
        <v>1520</v>
      </c>
      <c r="E5866" s="630" t="s">
        <v>649</v>
      </c>
      <c r="F5866" s="829">
        <v>91.679999999999993</v>
      </c>
      <c r="G5866" s="830">
        <v>4.0599999999999996</v>
      </c>
      <c r="H5866" s="831">
        <v>95.74</v>
      </c>
      <c r="I5866" s="846"/>
      <c r="J5866" s="846"/>
      <c r="K5866" s="846"/>
      <c r="L5866" s="846"/>
      <c r="M5866" s="846"/>
      <c r="N5866" s="846"/>
      <c r="O5866" s="846"/>
      <c r="P5866" s="846"/>
      <c r="Q5866" s="846"/>
      <c r="R5866" s="846"/>
      <c r="S5866" s="846"/>
      <c r="T5866" s="846"/>
    </row>
    <row r="5867" spans="2:20" ht="25.5" hidden="1">
      <c r="B5867" s="828" t="s">
        <v>6568</v>
      </c>
      <c r="C5867" s="828">
        <v>92393</v>
      </c>
      <c r="D5867" s="630" t="s">
        <v>1521</v>
      </c>
      <c r="E5867" s="630" t="s">
        <v>649</v>
      </c>
      <c r="F5867" s="829">
        <v>43.34</v>
      </c>
      <c r="G5867" s="830">
        <v>4.72</v>
      </c>
      <c r="H5867" s="831">
        <v>48.06</v>
      </c>
      <c r="I5867" s="846"/>
      <c r="J5867" s="846"/>
      <c r="K5867" s="846"/>
      <c r="L5867" s="846"/>
      <c r="M5867" s="846"/>
      <c r="N5867" s="846"/>
      <c r="O5867" s="846"/>
      <c r="P5867" s="846"/>
      <c r="Q5867" s="846"/>
      <c r="R5867" s="846"/>
      <c r="S5867" s="846"/>
      <c r="T5867" s="846"/>
    </row>
    <row r="5868" spans="2:20" ht="25.5" hidden="1">
      <c r="B5868" s="828" t="s">
        <v>6568</v>
      </c>
      <c r="C5868" s="828">
        <v>92394</v>
      </c>
      <c r="D5868" s="630" t="s">
        <v>1522</v>
      </c>
      <c r="E5868" s="630" t="s">
        <v>649</v>
      </c>
      <c r="F5868" s="829">
        <v>53.660000000000004</v>
      </c>
      <c r="G5868" s="830">
        <v>6.97</v>
      </c>
      <c r="H5868" s="831">
        <v>60.63</v>
      </c>
      <c r="I5868" s="846"/>
      <c r="J5868" s="846"/>
      <c r="K5868" s="846"/>
      <c r="L5868" s="846"/>
      <c r="M5868" s="846"/>
      <c r="N5868" s="846"/>
      <c r="O5868" s="846"/>
      <c r="P5868" s="846"/>
      <c r="Q5868" s="846"/>
      <c r="R5868" s="846"/>
      <c r="S5868" s="846"/>
      <c r="T5868" s="846"/>
    </row>
    <row r="5869" spans="2:20" ht="25.5" hidden="1">
      <c r="B5869" s="828" t="s">
        <v>6568</v>
      </c>
      <c r="C5869" s="828">
        <v>92395</v>
      </c>
      <c r="D5869" s="630" t="s">
        <v>1523</v>
      </c>
      <c r="E5869" s="630" t="s">
        <v>649</v>
      </c>
      <c r="F5869" s="829">
        <v>64.150000000000006</v>
      </c>
      <c r="G5869" s="830">
        <v>10.51</v>
      </c>
      <c r="H5869" s="831">
        <v>74.66</v>
      </c>
      <c r="I5869" s="846"/>
      <c r="J5869" s="846"/>
      <c r="K5869" s="846"/>
      <c r="L5869" s="846"/>
      <c r="M5869" s="846"/>
      <c r="N5869" s="846"/>
      <c r="O5869" s="846"/>
      <c r="P5869" s="846"/>
      <c r="Q5869" s="846"/>
      <c r="R5869" s="846"/>
      <c r="S5869" s="846"/>
      <c r="T5869" s="846"/>
    </row>
    <row r="5870" spans="2:20" ht="25.5" hidden="1">
      <c r="B5870" s="828" t="s">
        <v>6568</v>
      </c>
      <c r="C5870" s="828">
        <v>92396</v>
      </c>
      <c r="D5870" s="630" t="s">
        <v>1524</v>
      </c>
      <c r="E5870" s="630" t="s">
        <v>649</v>
      </c>
      <c r="F5870" s="829">
        <v>48.28</v>
      </c>
      <c r="G5870" s="830">
        <v>14.98</v>
      </c>
      <c r="H5870" s="831">
        <v>63.26</v>
      </c>
      <c r="I5870" s="846"/>
      <c r="J5870" s="846"/>
      <c r="K5870" s="846"/>
      <c r="L5870" s="846"/>
      <c r="M5870" s="846"/>
      <c r="N5870" s="846"/>
      <c r="O5870" s="846"/>
      <c r="P5870" s="846"/>
      <c r="Q5870" s="846"/>
      <c r="R5870" s="846"/>
      <c r="S5870" s="846"/>
      <c r="T5870" s="846"/>
    </row>
    <row r="5871" spans="2:20" ht="38.25" hidden="1">
      <c r="B5871" s="828" t="s">
        <v>6568</v>
      </c>
      <c r="C5871" s="828">
        <v>92397</v>
      </c>
      <c r="D5871" s="630" t="s">
        <v>1525</v>
      </c>
      <c r="E5871" s="630" t="s">
        <v>649</v>
      </c>
      <c r="F5871" s="829">
        <v>42.95</v>
      </c>
      <c r="G5871" s="830">
        <v>6.01</v>
      </c>
      <c r="H5871" s="831">
        <v>48.96</v>
      </c>
      <c r="I5871" s="846"/>
      <c r="J5871" s="846"/>
      <c r="K5871" s="846"/>
      <c r="L5871" s="846"/>
      <c r="M5871" s="846"/>
      <c r="N5871" s="846"/>
      <c r="O5871" s="846"/>
      <c r="P5871" s="846"/>
      <c r="Q5871" s="846"/>
      <c r="R5871" s="846"/>
      <c r="S5871" s="846"/>
      <c r="T5871" s="846"/>
    </row>
    <row r="5872" spans="2:20" ht="38.25" hidden="1">
      <c r="B5872" s="828" t="s">
        <v>6568</v>
      </c>
      <c r="C5872" s="828">
        <v>92398</v>
      </c>
      <c r="D5872" s="630" t="s">
        <v>1526</v>
      </c>
      <c r="E5872" s="630" t="s">
        <v>649</v>
      </c>
      <c r="F5872" s="829">
        <v>53.79</v>
      </c>
      <c r="G5872" s="830">
        <v>9.5299999999999994</v>
      </c>
      <c r="H5872" s="831">
        <v>63.32</v>
      </c>
      <c r="I5872" s="846"/>
      <c r="J5872" s="846"/>
      <c r="K5872" s="846"/>
      <c r="L5872" s="846"/>
      <c r="M5872" s="846"/>
      <c r="N5872" s="846"/>
      <c r="O5872" s="846"/>
      <c r="P5872" s="846"/>
      <c r="Q5872" s="846"/>
      <c r="R5872" s="846"/>
      <c r="S5872" s="846"/>
      <c r="T5872" s="846"/>
    </row>
    <row r="5873" spans="2:20" ht="25.5" hidden="1">
      <c r="B5873" s="828" t="s">
        <v>6568</v>
      </c>
      <c r="C5873" s="828">
        <v>92399</v>
      </c>
      <c r="D5873" s="630" t="s">
        <v>1654</v>
      </c>
      <c r="E5873" s="630" t="s">
        <v>649</v>
      </c>
      <c r="F5873" s="829">
        <v>54.55</v>
      </c>
      <c r="G5873" s="830">
        <v>10.18</v>
      </c>
      <c r="H5873" s="831">
        <v>64.73</v>
      </c>
      <c r="I5873" s="846"/>
      <c r="J5873" s="846"/>
      <c r="K5873" s="846"/>
      <c r="L5873" s="846"/>
      <c r="M5873" s="846"/>
      <c r="N5873" s="846"/>
      <c r="O5873" s="846"/>
      <c r="P5873" s="846"/>
      <c r="Q5873" s="846"/>
      <c r="R5873" s="846"/>
      <c r="S5873" s="846"/>
      <c r="T5873" s="846"/>
    </row>
    <row r="5874" spans="2:20" ht="25.5" hidden="1">
      <c r="B5874" s="828" t="s">
        <v>6568</v>
      </c>
      <c r="C5874" s="828">
        <v>92400</v>
      </c>
      <c r="D5874" s="630" t="s">
        <v>1655</v>
      </c>
      <c r="E5874" s="630" t="s">
        <v>649</v>
      </c>
      <c r="F5874" s="829">
        <v>63.28</v>
      </c>
      <c r="G5874" s="830">
        <v>13.06</v>
      </c>
      <c r="H5874" s="831">
        <v>76.34</v>
      </c>
      <c r="I5874" s="846"/>
      <c r="J5874" s="846"/>
      <c r="K5874" s="846"/>
      <c r="L5874" s="846"/>
      <c r="M5874" s="846"/>
      <c r="N5874" s="846"/>
      <c r="O5874" s="846"/>
      <c r="P5874" s="846"/>
      <c r="Q5874" s="846"/>
      <c r="R5874" s="846"/>
      <c r="S5874" s="846"/>
      <c r="T5874" s="846"/>
    </row>
    <row r="5875" spans="2:20" ht="25.5" hidden="1">
      <c r="B5875" s="828" t="s">
        <v>6568</v>
      </c>
      <c r="C5875" s="828">
        <v>92401</v>
      </c>
      <c r="D5875" s="630" t="s">
        <v>1656</v>
      </c>
      <c r="E5875" s="630" t="s">
        <v>649</v>
      </c>
      <c r="F5875" s="829">
        <v>64.14</v>
      </c>
      <c r="G5875" s="830">
        <v>13.7</v>
      </c>
      <c r="H5875" s="831">
        <v>77.84</v>
      </c>
      <c r="I5875" s="846"/>
      <c r="J5875" s="846"/>
      <c r="K5875" s="846"/>
      <c r="L5875" s="846"/>
      <c r="M5875" s="846"/>
      <c r="N5875" s="846"/>
      <c r="O5875" s="846"/>
      <c r="P5875" s="846"/>
      <c r="Q5875" s="846"/>
      <c r="R5875" s="846"/>
      <c r="S5875" s="846"/>
      <c r="T5875" s="846"/>
    </row>
    <row r="5876" spans="2:20" ht="25.5" hidden="1">
      <c r="B5876" s="828" t="s">
        <v>6568</v>
      </c>
      <c r="C5876" s="828">
        <v>92402</v>
      </c>
      <c r="D5876" s="630" t="s">
        <v>1657</v>
      </c>
      <c r="E5876" s="630" t="s">
        <v>649</v>
      </c>
      <c r="F5876" s="829">
        <v>48.93</v>
      </c>
      <c r="G5876" s="830">
        <v>16.41</v>
      </c>
      <c r="H5876" s="831">
        <v>65.34</v>
      </c>
      <c r="I5876" s="846"/>
      <c r="J5876" s="846"/>
      <c r="K5876" s="846"/>
      <c r="L5876" s="846"/>
      <c r="M5876" s="846"/>
      <c r="N5876" s="846"/>
      <c r="O5876" s="846"/>
      <c r="P5876" s="846"/>
      <c r="Q5876" s="846"/>
      <c r="R5876" s="846"/>
      <c r="S5876" s="846"/>
      <c r="T5876" s="846"/>
    </row>
    <row r="5877" spans="2:20" ht="25.5" hidden="1">
      <c r="B5877" s="828" t="s">
        <v>6568</v>
      </c>
      <c r="C5877" s="828">
        <v>92403</v>
      </c>
      <c r="D5877" s="630" t="s">
        <v>1658</v>
      </c>
      <c r="E5877" s="630" t="s">
        <v>649</v>
      </c>
      <c r="F5877" s="829">
        <v>43.53</v>
      </c>
      <c r="G5877" s="830">
        <v>7.42</v>
      </c>
      <c r="H5877" s="831">
        <v>50.95</v>
      </c>
      <c r="I5877" s="846"/>
      <c r="J5877" s="846"/>
      <c r="K5877" s="846"/>
      <c r="L5877" s="846"/>
      <c r="M5877" s="846"/>
      <c r="N5877" s="846"/>
      <c r="O5877" s="846"/>
      <c r="P5877" s="846"/>
      <c r="Q5877" s="846"/>
      <c r="R5877" s="846"/>
      <c r="S5877" s="846"/>
      <c r="T5877" s="846"/>
    </row>
    <row r="5878" spans="2:20" ht="25.5" hidden="1">
      <c r="B5878" s="828" t="s">
        <v>6568</v>
      </c>
      <c r="C5878" s="828">
        <v>92404</v>
      </c>
      <c r="D5878" s="630" t="s">
        <v>1659</v>
      </c>
      <c r="E5878" s="630" t="s">
        <v>649</v>
      </c>
      <c r="F5878" s="829">
        <v>54.379999999999995</v>
      </c>
      <c r="G5878" s="830">
        <v>10.95</v>
      </c>
      <c r="H5878" s="831">
        <v>65.33</v>
      </c>
      <c r="I5878" s="846"/>
      <c r="J5878" s="846"/>
      <c r="K5878" s="846"/>
      <c r="L5878" s="846"/>
      <c r="M5878" s="846"/>
      <c r="N5878" s="846"/>
      <c r="O5878" s="846"/>
      <c r="P5878" s="846"/>
      <c r="Q5878" s="846"/>
      <c r="R5878" s="846"/>
      <c r="S5878" s="846"/>
      <c r="T5878" s="846"/>
    </row>
    <row r="5879" spans="2:20" ht="25.5" hidden="1">
      <c r="B5879" s="828" t="s">
        <v>6568</v>
      </c>
      <c r="C5879" s="828">
        <v>92405</v>
      </c>
      <c r="D5879" s="630" t="s">
        <v>1660</v>
      </c>
      <c r="E5879" s="630" t="s">
        <v>649</v>
      </c>
      <c r="F5879" s="829">
        <v>55.13</v>
      </c>
      <c r="G5879" s="830">
        <v>11.6</v>
      </c>
      <c r="H5879" s="831">
        <v>66.73</v>
      </c>
      <c r="I5879" s="846"/>
      <c r="J5879" s="846"/>
      <c r="K5879" s="846"/>
      <c r="L5879" s="846"/>
      <c r="M5879" s="846"/>
      <c r="N5879" s="846"/>
      <c r="O5879" s="846"/>
      <c r="P5879" s="846"/>
      <c r="Q5879" s="846"/>
      <c r="R5879" s="846"/>
      <c r="S5879" s="846"/>
      <c r="T5879" s="846"/>
    </row>
    <row r="5880" spans="2:20" ht="25.5" hidden="1">
      <c r="B5880" s="828" t="s">
        <v>6568</v>
      </c>
      <c r="C5880" s="828">
        <v>92406</v>
      </c>
      <c r="D5880" s="630" t="s">
        <v>1661</v>
      </c>
      <c r="E5880" s="630" t="s">
        <v>649</v>
      </c>
      <c r="F5880" s="829">
        <v>63.86</v>
      </c>
      <c r="G5880" s="830">
        <v>14.49</v>
      </c>
      <c r="H5880" s="831">
        <v>78.349999999999994</v>
      </c>
      <c r="I5880" s="846"/>
      <c r="J5880" s="846"/>
      <c r="K5880" s="846"/>
      <c r="L5880" s="846"/>
      <c r="M5880" s="846"/>
      <c r="N5880" s="846"/>
      <c r="O5880" s="846"/>
      <c r="P5880" s="846"/>
      <c r="Q5880" s="846"/>
      <c r="R5880" s="846"/>
      <c r="S5880" s="846"/>
      <c r="T5880" s="846"/>
    </row>
    <row r="5881" spans="2:20" ht="25.5" hidden="1">
      <c r="B5881" s="828" t="s">
        <v>6568</v>
      </c>
      <c r="C5881" s="828">
        <v>92407</v>
      </c>
      <c r="D5881" s="630" t="s">
        <v>1662</v>
      </c>
      <c r="E5881" s="630" t="s">
        <v>649</v>
      </c>
      <c r="F5881" s="829">
        <v>64.709999999999994</v>
      </c>
      <c r="G5881" s="830">
        <v>15.14</v>
      </c>
      <c r="H5881" s="831">
        <v>79.849999999999994</v>
      </c>
      <c r="I5881" s="846"/>
      <c r="J5881" s="846"/>
      <c r="K5881" s="846"/>
      <c r="L5881" s="846"/>
      <c r="M5881" s="846"/>
      <c r="N5881" s="846"/>
      <c r="O5881" s="846"/>
      <c r="P5881" s="846"/>
      <c r="Q5881" s="846"/>
      <c r="R5881" s="846"/>
      <c r="S5881" s="846"/>
      <c r="T5881" s="846"/>
    </row>
    <row r="5882" spans="2:20" ht="25.5" hidden="1">
      <c r="B5882" s="828" t="s">
        <v>6568</v>
      </c>
      <c r="C5882" s="828">
        <v>93679</v>
      </c>
      <c r="D5882" s="630" t="s">
        <v>1663</v>
      </c>
      <c r="E5882" s="630" t="s">
        <v>649</v>
      </c>
      <c r="F5882" s="829">
        <v>54.199999999999996</v>
      </c>
      <c r="G5882" s="830">
        <v>14.97</v>
      </c>
      <c r="H5882" s="831">
        <v>69.17</v>
      </c>
      <c r="I5882" s="846"/>
      <c r="J5882" s="846"/>
      <c r="K5882" s="846"/>
      <c r="L5882" s="846"/>
      <c r="M5882" s="846"/>
      <c r="N5882" s="846"/>
      <c r="O5882" s="846"/>
      <c r="P5882" s="846"/>
      <c r="Q5882" s="846"/>
      <c r="R5882" s="846"/>
      <c r="S5882" s="846"/>
      <c r="T5882" s="846"/>
    </row>
    <row r="5883" spans="2:20" ht="38.25" hidden="1">
      <c r="B5883" s="828" t="s">
        <v>6568</v>
      </c>
      <c r="C5883" s="828">
        <v>93680</v>
      </c>
      <c r="D5883" s="630" t="s">
        <v>1664</v>
      </c>
      <c r="E5883" s="630" t="s">
        <v>649</v>
      </c>
      <c r="F5883" s="829">
        <v>48.6</v>
      </c>
      <c r="G5883" s="830">
        <v>6.01</v>
      </c>
      <c r="H5883" s="831">
        <v>54.61</v>
      </c>
      <c r="I5883" s="846"/>
      <c r="J5883" s="846"/>
      <c r="K5883" s="846"/>
      <c r="L5883" s="846"/>
      <c r="M5883" s="846"/>
      <c r="N5883" s="846"/>
      <c r="O5883" s="846"/>
      <c r="P5883" s="846"/>
      <c r="Q5883" s="846"/>
      <c r="R5883" s="846"/>
      <c r="S5883" s="846"/>
      <c r="T5883" s="846"/>
    </row>
    <row r="5884" spans="2:20" ht="38.25" hidden="1">
      <c r="B5884" s="828" t="s">
        <v>6568</v>
      </c>
      <c r="C5884" s="828">
        <v>93681</v>
      </c>
      <c r="D5884" s="630" t="s">
        <v>1665</v>
      </c>
      <c r="E5884" s="630" t="s">
        <v>649</v>
      </c>
      <c r="F5884" s="829">
        <v>58.330000000000005</v>
      </c>
      <c r="G5884" s="830">
        <v>9.5299999999999994</v>
      </c>
      <c r="H5884" s="831">
        <v>67.86</v>
      </c>
      <c r="I5884" s="846"/>
      <c r="J5884" s="846"/>
      <c r="K5884" s="846"/>
      <c r="L5884" s="846"/>
      <c r="M5884" s="846"/>
      <c r="N5884" s="846"/>
      <c r="O5884" s="846"/>
      <c r="P5884" s="846"/>
      <c r="Q5884" s="846"/>
      <c r="R5884" s="846"/>
      <c r="S5884" s="846"/>
      <c r="T5884" s="846"/>
    </row>
    <row r="5885" spans="2:20" ht="25.5" hidden="1">
      <c r="B5885" s="828" t="s">
        <v>6568</v>
      </c>
      <c r="C5885" s="828">
        <v>93682</v>
      </c>
      <c r="D5885" s="630" t="s">
        <v>1666</v>
      </c>
      <c r="E5885" s="630" t="s">
        <v>649</v>
      </c>
      <c r="F5885" s="829">
        <v>59.13</v>
      </c>
      <c r="G5885" s="830">
        <v>10.18</v>
      </c>
      <c r="H5885" s="831">
        <v>69.31</v>
      </c>
      <c r="I5885" s="846"/>
      <c r="J5885" s="846"/>
      <c r="K5885" s="846"/>
      <c r="L5885" s="846"/>
      <c r="M5885" s="846"/>
      <c r="N5885" s="846"/>
      <c r="O5885" s="846"/>
      <c r="P5885" s="846"/>
      <c r="Q5885" s="846"/>
      <c r="R5885" s="846"/>
      <c r="S5885" s="846"/>
      <c r="T5885" s="846"/>
    </row>
    <row r="5886" spans="2:20" ht="25.5" hidden="1">
      <c r="B5886" s="828" t="s">
        <v>6568</v>
      </c>
      <c r="C5886" s="828">
        <v>97104</v>
      </c>
      <c r="D5886" s="630" t="s">
        <v>7443</v>
      </c>
      <c r="E5886" s="630" t="s">
        <v>649</v>
      </c>
      <c r="F5886" s="829">
        <v>103.61</v>
      </c>
      <c r="G5886" s="830">
        <v>14.05</v>
      </c>
      <c r="H5886" s="831">
        <v>117.66</v>
      </c>
      <c r="I5886" s="846"/>
      <c r="J5886" s="846"/>
      <c r="K5886" s="846"/>
      <c r="L5886" s="846"/>
      <c r="M5886" s="846"/>
      <c r="N5886" s="846"/>
      <c r="O5886" s="846"/>
      <c r="P5886" s="846"/>
      <c r="Q5886" s="846"/>
      <c r="R5886" s="846"/>
      <c r="S5886" s="846"/>
      <c r="T5886" s="846"/>
    </row>
    <row r="5887" spans="2:20" ht="25.5" hidden="1">
      <c r="B5887" s="828" t="s">
        <v>6568</v>
      </c>
      <c r="C5887" s="828">
        <v>97105</v>
      </c>
      <c r="D5887" s="630" t="s">
        <v>7444</v>
      </c>
      <c r="E5887" s="630" t="s">
        <v>649</v>
      </c>
      <c r="F5887" s="829">
        <v>117.00999999999999</v>
      </c>
      <c r="G5887" s="830">
        <v>15.08</v>
      </c>
      <c r="H5887" s="831">
        <v>132.09</v>
      </c>
      <c r="I5887" s="846"/>
      <c r="J5887" s="846"/>
      <c r="K5887" s="846"/>
      <c r="L5887" s="846"/>
      <c r="M5887" s="846"/>
      <c r="N5887" s="846"/>
      <c r="O5887" s="846"/>
      <c r="P5887" s="846"/>
      <c r="Q5887" s="846"/>
      <c r="R5887" s="846"/>
      <c r="S5887" s="846"/>
      <c r="T5887" s="846"/>
    </row>
    <row r="5888" spans="2:20" ht="25.5" hidden="1">
      <c r="B5888" s="828" t="s">
        <v>6568</v>
      </c>
      <c r="C5888" s="828">
        <v>97106</v>
      </c>
      <c r="D5888" s="630" t="s">
        <v>7445</v>
      </c>
      <c r="E5888" s="630" t="s">
        <v>649</v>
      </c>
      <c r="F5888" s="829">
        <v>129.5</v>
      </c>
      <c r="G5888" s="830">
        <v>15.99</v>
      </c>
      <c r="H5888" s="831">
        <v>145.49</v>
      </c>
      <c r="I5888" s="846"/>
      <c r="J5888" s="846"/>
      <c r="K5888" s="846"/>
      <c r="L5888" s="846"/>
      <c r="M5888" s="846"/>
      <c r="N5888" s="846"/>
      <c r="O5888" s="846"/>
      <c r="P5888" s="846"/>
      <c r="Q5888" s="846"/>
      <c r="R5888" s="846"/>
      <c r="S5888" s="846"/>
      <c r="T5888" s="846"/>
    </row>
    <row r="5889" spans="2:20" ht="25.5" hidden="1">
      <c r="B5889" s="828" t="s">
        <v>6568</v>
      </c>
      <c r="C5889" s="828">
        <v>97107</v>
      </c>
      <c r="D5889" s="630" t="s">
        <v>7446</v>
      </c>
      <c r="E5889" s="630" t="s">
        <v>649</v>
      </c>
      <c r="F5889" s="829">
        <v>149.80000000000001</v>
      </c>
      <c r="G5889" s="830">
        <v>16.940000000000001</v>
      </c>
      <c r="H5889" s="831">
        <v>166.74</v>
      </c>
      <c r="I5889" s="846"/>
      <c r="J5889" s="846"/>
      <c r="K5889" s="846"/>
      <c r="L5889" s="846"/>
      <c r="M5889" s="846"/>
      <c r="N5889" s="846"/>
      <c r="O5889" s="846"/>
      <c r="P5889" s="846"/>
      <c r="Q5889" s="846"/>
      <c r="R5889" s="846"/>
      <c r="S5889" s="846"/>
      <c r="T5889" s="846"/>
    </row>
    <row r="5890" spans="2:20" ht="25.5" hidden="1">
      <c r="B5890" s="828" t="s">
        <v>6568</v>
      </c>
      <c r="C5890" s="828">
        <v>97108</v>
      </c>
      <c r="D5890" s="630" t="s">
        <v>7447</v>
      </c>
      <c r="E5890" s="630" t="s">
        <v>649</v>
      </c>
      <c r="F5890" s="829">
        <v>173.86</v>
      </c>
      <c r="G5890" s="830">
        <v>17.850000000000001</v>
      </c>
      <c r="H5890" s="831">
        <v>191.71</v>
      </c>
      <c r="I5890" s="846"/>
      <c r="J5890" s="846"/>
      <c r="K5890" s="846"/>
      <c r="L5890" s="846"/>
      <c r="M5890" s="846"/>
      <c r="N5890" s="846"/>
      <c r="O5890" s="846"/>
      <c r="P5890" s="846"/>
      <c r="Q5890" s="846"/>
      <c r="R5890" s="846"/>
      <c r="S5890" s="846"/>
      <c r="T5890" s="846"/>
    </row>
    <row r="5891" spans="2:20" ht="25.5" hidden="1">
      <c r="B5891" s="828" t="s">
        <v>6568</v>
      </c>
      <c r="C5891" s="828">
        <v>97109</v>
      </c>
      <c r="D5891" s="630" t="s">
        <v>7448</v>
      </c>
      <c r="E5891" s="630" t="s">
        <v>649</v>
      </c>
      <c r="F5891" s="829">
        <v>192.8</v>
      </c>
      <c r="G5891" s="830">
        <v>19.48</v>
      </c>
      <c r="H5891" s="831">
        <v>212.28</v>
      </c>
      <c r="I5891" s="846"/>
      <c r="J5891" s="846"/>
      <c r="K5891" s="846"/>
      <c r="L5891" s="846"/>
      <c r="M5891" s="846"/>
      <c r="N5891" s="846"/>
      <c r="O5891" s="846"/>
      <c r="P5891" s="846"/>
      <c r="Q5891" s="846"/>
      <c r="R5891" s="846"/>
      <c r="S5891" s="846"/>
      <c r="T5891" s="846"/>
    </row>
    <row r="5892" spans="2:20" ht="25.5" hidden="1">
      <c r="B5892" s="828" t="s">
        <v>6568</v>
      </c>
      <c r="C5892" s="828">
        <v>97111</v>
      </c>
      <c r="D5892" s="630" t="s">
        <v>7449</v>
      </c>
      <c r="E5892" s="630" t="s">
        <v>649</v>
      </c>
      <c r="F5892" s="829">
        <v>263.16000000000003</v>
      </c>
      <c r="G5892" s="830">
        <v>18.52</v>
      </c>
      <c r="H5892" s="831">
        <v>281.68</v>
      </c>
      <c r="I5892" s="846"/>
      <c r="J5892" s="846"/>
      <c r="K5892" s="846"/>
      <c r="L5892" s="846"/>
      <c r="M5892" s="846"/>
      <c r="N5892" s="846"/>
      <c r="O5892" s="846"/>
      <c r="P5892" s="846"/>
      <c r="Q5892" s="846"/>
      <c r="R5892" s="846"/>
      <c r="S5892" s="846"/>
      <c r="T5892" s="846"/>
    </row>
    <row r="5893" spans="2:20" ht="25.5" hidden="1">
      <c r="B5893" s="828" t="s">
        <v>6568</v>
      </c>
      <c r="C5893" s="828">
        <v>97112</v>
      </c>
      <c r="D5893" s="630" t="s">
        <v>7450</v>
      </c>
      <c r="E5893" s="630" t="s">
        <v>649</v>
      </c>
      <c r="F5893" s="829">
        <v>215.96</v>
      </c>
      <c r="G5893" s="830">
        <v>17.34</v>
      </c>
      <c r="H5893" s="831">
        <v>233.3</v>
      </c>
      <c r="I5893" s="846"/>
      <c r="J5893" s="846"/>
      <c r="K5893" s="846"/>
      <c r="L5893" s="846"/>
      <c r="M5893" s="846"/>
      <c r="N5893" s="846"/>
      <c r="O5893" s="846"/>
      <c r="P5893" s="846"/>
      <c r="Q5893" s="846"/>
      <c r="R5893" s="846"/>
      <c r="S5893" s="846"/>
      <c r="T5893" s="846"/>
    </row>
    <row r="5894" spans="2:20" ht="25.5" hidden="1">
      <c r="B5894" s="828" t="s">
        <v>6568</v>
      </c>
      <c r="C5894" s="828">
        <v>97113</v>
      </c>
      <c r="D5894" s="630" t="s">
        <v>7451</v>
      </c>
      <c r="E5894" s="630" t="s">
        <v>649</v>
      </c>
      <c r="F5894" s="829">
        <v>2.52</v>
      </c>
      <c r="G5894" s="830">
        <v>0.2</v>
      </c>
      <c r="H5894" s="831">
        <v>2.72</v>
      </c>
      <c r="I5894" s="846"/>
      <c r="J5894" s="846"/>
      <c r="K5894" s="846"/>
      <c r="L5894" s="846"/>
      <c r="M5894" s="846"/>
      <c r="N5894" s="846"/>
      <c r="O5894" s="846"/>
      <c r="P5894" s="846"/>
      <c r="Q5894" s="846"/>
      <c r="R5894" s="846"/>
      <c r="S5894" s="846"/>
      <c r="T5894" s="846"/>
    </row>
    <row r="5895" spans="2:20" ht="25.5" hidden="1">
      <c r="B5895" s="828" t="s">
        <v>6568</v>
      </c>
      <c r="C5895" s="828">
        <v>97114</v>
      </c>
      <c r="D5895" s="630" t="s">
        <v>7452</v>
      </c>
      <c r="E5895" s="630" t="s">
        <v>648</v>
      </c>
      <c r="F5895" s="829">
        <v>0.06</v>
      </c>
      <c r="G5895" s="830">
        <v>0.36</v>
      </c>
      <c r="H5895" s="831">
        <v>0.42</v>
      </c>
      <c r="I5895" s="846"/>
      <c r="J5895" s="846"/>
      <c r="K5895" s="846"/>
      <c r="L5895" s="846"/>
      <c r="M5895" s="846"/>
      <c r="N5895" s="846"/>
      <c r="O5895" s="846"/>
      <c r="P5895" s="846"/>
      <c r="Q5895" s="846"/>
      <c r="R5895" s="846"/>
      <c r="S5895" s="846"/>
      <c r="T5895" s="846"/>
    </row>
    <row r="5896" spans="2:20" ht="25.5" hidden="1">
      <c r="B5896" s="828" t="s">
        <v>6568</v>
      </c>
      <c r="C5896" s="828">
        <v>97115</v>
      </c>
      <c r="D5896" s="630" t="s">
        <v>7453</v>
      </c>
      <c r="E5896" s="630" t="s">
        <v>645</v>
      </c>
      <c r="F5896" s="829">
        <v>49.57</v>
      </c>
      <c r="G5896" s="830">
        <v>11.09</v>
      </c>
      <c r="H5896" s="831">
        <v>60.66</v>
      </c>
      <c r="I5896" s="846"/>
      <c r="J5896" s="846"/>
      <c r="K5896" s="846"/>
      <c r="L5896" s="846"/>
      <c r="M5896" s="846"/>
      <c r="N5896" s="846"/>
      <c r="O5896" s="846"/>
      <c r="P5896" s="846"/>
      <c r="Q5896" s="846"/>
      <c r="R5896" s="846"/>
      <c r="S5896" s="846"/>
      <c r="T5896" s="846"/>
    </row>
    <row r="5897" spans="2:20" ht="25.5" hidden="1">
      <c r="B5897" s="828" t="s">
        <v>6568</v>
      </c>
      <c r="C5897" s="828">
        <v>97116</v>
      </c>
      <c r="D5897" s="630" t="s">
        <v>7454</v>
      </c>
      <c r="E5897" s="630" t="s">
        <v>645</v>
      </c>
      <c r="F5897" s="829">
        <v>18.61</v>
      </c>
      <c r="G5897" s="830">
        <v>8.43</v>
      </c>
      <c r="H5897" s="831">
        <v>27.04</v>
      </c>
      <c r="I5897" s="846"/>
      <c r="J5897" s="846"/>
      <c r="K5897" s="846"/>
      <c r="L5897" s="846"/>
      <c r="M5897" s="846"/>
      <c r="N5897" s="846"/>
      <c r="O5897" s="846"/>
      <c r="P5897" s="846"/>
      <c r="Q5897" s="846"/>
      <c r="R5897" s="846"/>
      <c r="S5897" s="846"/>
      <c r="T5897" s="846"/>
    </row>
    <row r="5898" spans="2:20" ht="25.5" hidden="1">
      <c r="B5898" s="828" t="s">
        <v>6568</v>
      </c>
      <c r="C5898" s="828">
        <v>97117</v>
      </c>
      <c r="D5898" s="630" t="s">
        <v>7455</v>
      </c>
      <c r="E5898" s="630" t="s">
        <v>645</v>
      </c>
      <c r="F5898" s="829">
        <v>18.170000000000002</v>
      </c>
      <c r="G5898" s="830">
        <v>5.39</v>
      </c>
      <c r="H5898" s="831">
        <v>23.56</v>
      </c>
      <c r="I5898" s="846"/>
      <c r="J5898" s="846"/>
      <c r="K5898" s="846"/>
      <c r="L5898" s="846"/>
      <c r="M5898" s="846"/>
      <c r="N5898" s="846"/>
      <c r="O5898" s="846"/>
      <c r="P5898" s="846"/>
      <c r="Q5898" s="846"/>
      <c r="R5898" s="846"/>
      <c r="S5898" s="846"/>
      <c r="T5898" s="846"/>
    </row>
    <row r="5899" spans="2:20" ht="25.5" hidden="1">
      <c r="B5899" s="828" t="s">
        <v>6568</v>
      </c>
      <c r="C5899" s="828">
        <v>97118</v>
      </c>
      <c r="D5899" s="630" t="s">
        <v>7456</v>
      </c>
      <c r="E5899" s="630" t="s">
        <v>645</v>
      </c>
      <c r="F5899" s="829">
        <v>16.059999999999999</v>
      </c>
      <c r="G5899" s="830">
        <v>3.45</v>
      </c>
      <c r="H5899" s="831">
        <v>19.510000000000002</v>
      </c>
      <c r="I5899" s="846"/>
      <c r="J5899" s="846"/>
      <c r="K5899" s="846"/>
      <c r="L5899" s="846"/>
      <c r="M5899" s="846"/>
      <c r="N5899" s="846"/>
      <c r="O5899" s="846"/>
      <c r="P5899" s="846"/>
      <c r="Q5899" s="846"/>
      <c r="R5899" s="846"/>
      <c r="S5899" s="846"/>
      <c r="T5899" s="846"/>
    </row>
    <row r="5900" spans="2:20" ht="25.5" hidden="1">
      <c r="B5900" s="828" t="s">
        <v>6568</v>
      </c>
      <c r="C5900" s="828">
        <v>97119</v>
      </c>
      <c r="D5900" s="630" t="s">
        <v>7457</v>
      </c>
      <c r="E5900" s="630" t="s">
        <v>645</v>
      </c>
      <c r="F5900" s="829">
        <v>15.47</v>
      </c>
      <c r="G5900" s="830">
        <v>2.09</v>
      </c>
      <c r="H5900" s="831">
        <v>17.559999999999999</v>
      </c>
      <c r="I5900" s="846"/>
      <c r="J5900" s="846"/>
      <c r="K5900" s="846"/>
      <c r="L5900" s="846"/>
      <c r="M5900" s="846"/>
      <c r="N5900" s="846"/>
      <c r="O5900" s="846"/>
      <c r="P5900" s="846"/>
      <c r="Q5900" s="846"/>
      <c r="R5900" s="846"/>
      <c r="S5900" s="846"/>
      <c r="T5900" s="846"/>
    </row>
    <row r="5901" spans="2:20" ht="25.5" hidden="1">
      <c r="B5901" s="828" t="s">
        <v>6568</v>
      </c>
      <c r="C5901" s="828">
        <v>97120</v>
      </c>
      <c r="D5901" s="630" t="s">
        <v>7458</v>
      </c>
      <c r="E5901" s="630" t="s">
        <v>645</v>
      </c>
      <c r="F5901" s="829">
        <v>9.9600000000000009</v>
      </c>
      <c r="G5901" s="830">
        <v>1.31</v>
      </c>
      <c r="H5901" s="831">
        <v>11.27</v>
      </c>
      <c r="I5901" s="846"/>
      <c r="J5901" s="846"/>
      <c r="K5901" s="846"/>
      <c r="L5901" s="846"/>
      <c r="M5901" s="846"/>
      <c r="N5901" s="846"/>
      <c r="O5901" s="846"/>
      <c r="P5901" s="846"/>
      <c r="Q5901" s="846"/>
      <c r="R5901" s="846"/>
      <c r="S5901" s="846"/>
      <c r="T5901" s="846"/>
    </row>
    <row r="5902" spans="2:20" ht="25.5" hidden="1">
      <c r="B5902" s="828" t="s">
        <v>6568</v>
      </c>
      <c r="C5902" s="828">
        <v>97802</v>
      </c>
      <c r="D5902" s="630" t="s">
        <v>4480</v>
      </c>
      <c r="E5902" s="630" t="s">
        <v>649</v>
      </c>
      <c r="F5902" s="829">
        <v>6.7799999999999994</v>
      </c>
      <c r="G5902" s="830">
        <v>0.23</v>
      </c>
      <c r="H5902" s="831">
        <v>7.01</v>
      </c>
      <c r="I5902" s="846"/>
      <c r="J5902" s="846"/>
      <c r="K5902" s="846"/>
      <c r="L5902" s="846"/>
      <c r="M5902" s="846"/>
      <c r="N5902" s="846"/>
      <c r="O5902" s="846"/>
      <c r="P5902" s="846"/>
      <c r="Q5902" s="846"/>
      <c r="R5902" s="846"/>
      <c r="S5902" s="846"/>
      <c r="T5902" s="846"/>
    </row>
    <row r="5903" spans="2:20" ht="25.5" hidden="1">
      <c r="B5903" s="828" t="s">
        <v>6568</v>
      </c>
      <c r="C5903" s="828">
        <v>97803</v>
      </c>
      <c r="D5903" s="630" t="s">
        <v>4481</v>
      </c>
      <c r="E5903" s="630" t="s">
        <v>649</v>
      </c>
      <c r="F5903" s="829">
        <v>10.32</v>
      </c>
      <c r="G5903" s="830">
        <v>0.5</v>
      </c>
      <c r="H5903" s="831">
        <v>10.82</v>
      </c>
      <c r="I5903" s="846"/>
      <c r="J5903" s="846"/>
      <c r="K5903" s="846"/>
      <c r="L5903" s="846"/>
      <c r="M5903" s="846"/>
      <c r="N5903" s="846"/>
      <c r="O5903" s="846"/>
      <c r="P5903" s="846"/>
      <c r="Q5903" s="846"/>
      <c r="R5903" s="846"/>
      <c r="S5903" s="846"/>
      <c r="T5903" s="846"/>
    </row>
    <row r="5904" spans="2:20" ht="25.5" hidden="1">
      <c r="B5904" s="828" t="s">
        <v>6568</v>
      </c>
      <c r="C5904" s="828">
        <v>97805</v>
      </c>
      <c r="D5904" s="630" t="s">
        <v>4482</v>
      </c>
      <c r="E5904" s="630" t="s">
        <v>649</v>
      </c>
      <c r="F5904" s="829">
        <v>16.88</v>
      </c>
      <c r="G5904" s="830">
        <v>0.5</v>
      </c>
      <c r="H5904" s="831">
        <v>17.38</v>
      </c>
      <c r="I5904" s="846"/>
      <c r="J5904" s="846"/>
      <c r="K5904" s="846"/>
      <c r="L5904" s="846"/>
      <c r="M5904" s="846"/>
      <c r="N5904" s="846"/>
      <c r="O5904" s="846"/>
      <c r="P5904" s="846"/>
      <c r="Q5904" s="846"/>
      <c r="R5904" s="846"/>
      <c r="S5904" s="846"/>
      <c r="T5904" s="846"/>
    </row>
    <row r="5905" spans="2:20" ht="25.5" hidden="1">
      <c r="B5905" s="828" t="s">
        <v>6568</v>
      </c>
      <c r="C5905" s="828">
        <v>97806</v>
      </c>
      <c r="D5905" s="630" t="s">
        <v>4483</v>
      </c>
      <c r="E5905" s="630" t="s">
        <v>649</v>
      </c>
      <c r="F5905" s="829">
        <v>20.360000000000003</v>
      </c>
      <c r="G5905" s="830">
        <v>0.78</v>
      </c>
      <c r="H5905" s="831">
        <v>21.14</v>
      </c>
      <c r="I5905" s="846"/>
      <c r="J5905" s="846"/>
      <c r="K5905" s="846"/>
      <c r="L5905" s="846"/>
      <c r="M5905" s="846"/>
      <c r="N5905" s="846"/>
      <c r="O5905" s="846"/>
      <c r="P5905" s="846"/>
      <c r="Q5905" s="846"/>
      <c r="R5905" s="846"/>
      <c r="S5905" s="846"/>
      <c r="T5905" s="846"/>
    </row>
    <row r="5906" spans="2:20" ht="25.5" hidden="1">
      <c r="B5906" s="828" t="s">
        <v>6568</v>
      </c>
      <c r="C5906" s="828">
        <v>97807</v>
      </c>
      <c r="D5906" s="630" t="s">
        <v>4484</v>
      </c>
      <c r="E5906" s="630" t="s">
        <v>649</v>
      </c>
      <c r="F5906" s="829">
        <v>23.25</v>
      </c>
      <c r="G5906" s="830">
        <v>0.8</v>
      </c>
      <c r="H5906" s="831">
        <v>24.05</v>
      </c>
      <c r="I5906" s="846"/>
      <c r="J5906" s="846"/>
      <c r="K5906" s="846"/>
      <c r="L5906" s="846"/>
      <c r="M5906" s="846"/>
      <c r="N5906" s="846"/>
      <c r="O5906" s="846"/>
      <c r="P5906" s="846"/>
      <c r="Q5906" s="846"/>
      <c r="R5906" s="846"/>
      <c r="S5906" s="846"/>
      <c r="T5906" s="846"/>
    </row>
    <row r="5907" spans="2:20" ht="25.5" hidden="1">
      <c r="B5907" s="828" t="s">
        <v>6568</v>
      </c>
      <c r="C5907" s="828">
        <v>97809</v>
      </c>
      <c r="D5907" s="630" t="s">
        <v>4485</v>
      </c>
      <c r="E5907" s="630" t="s">
        <v>649</v>
      </c>
      <c r="F5907" s="829">
        <v>18.68</v>
      </c>
      <c r="G5907" s="830">
        <v>0.93</v>
      </c>
      <c r="H5907" s="831">
        <v>19.61</v>
      </c>
      <c r="I5907" s="846"/>
      <c r="J5907" s="846"/>
      <c r="K5907" s="846"/>
      <c r="L5907" s="846"/>
      <c r="M5907" s="846"/>
      <c r="N5907" s="846"/>
      <c r="O5907" s="846"/>
      <c r="P5907" s="846"/>
      <c r="Q5907" s="846"/>
      <c r="R5907" s="846"/>
      <c r="S5907" s="846"/>
      <c r="T5907" s="846"/>
    </row>
    <row r="5908" spans="2:20" ht="25.5" hidden="1">
      <c r="B5908" s="828" t="s">
        <v>6568</v>
      </c>
      <c r="C5908" s="828">
        <v>97810</v>
      </c>
      <c r="D5908" s="630" t="s">
        <v>4486</v>
      </c>
      <c r="E5908" s="630" t="s">
        <v>649</v>
      </c>
      <c r="F5908" s="829">
        <v>20.309999999999999</v>
      </c>
      <c r="G5908" s="830">
        <v>1.08</v>
      </c>
      <c r="H5908" s="831">
        <v>21.39</v>
      </c>
      <c r="I5908" s="846"/>
      <c r="J5908" s="846"/>
      <c r="K5908" s="846"/>
      <c r="L5908" s="846"/>
      <c r="M5908" s="846"/>
      <c r="N5908" s="846"/>
      <c r="O5908" s="846"/>
      <c r="P5908" s="846"/>
      <c r="Q5908" s="846"/>
      <c r="R5908" s="846"/>
      <c r="S5908" s="846"/>
      <c r="T5908" s="846"/>
    </row>
    <row r="5909" spans="2:20" ht="25.5" hidden="1">
      <c r="B5909" s="828" t="s">
        <v>6568</v>
      </c>
      <c r="C5909" s="828">
        <v>97811</v>
      </c>
      <c r="D5909" s="630" t="s">
        <v>4487</v>
      </c>
      <c r="E5909" s="630" t="s">
        <v>649</v>
      </c>
      <c r="F5909" s="829">
        <v>23.32</v>
      </c>
      <c r="G5909" s="830">
        <v>1.0900000000000001</v>
      </c>
      <c r="H5909" s="831">
        <v>24.41</v>
      </c>
      <c r="I5909" s="846"/>
      <c r="J5909" s="846"/>
      <c r="K5909" s="846"/>
      <c r="L5909" s="846"/>
      <c r="M5909" s="846"/>
      <c r="N5909" s="846"/>
      <c r="O5909" s="846"/>
      <c r="P5909" s="846"/>
      <c r="Q5909" s="846"/>
      <c r="R5909" s="846"/>
      <c r="S5909" s="846"/>
      <c r="T5909" s="846"/>
    </row>
    <row r="5910" spans="2:20" ht="25.5" hidden="1">
      <c r="B5910" s="828" t="s">
        <v>6568</v>
      </c>
      <c r="C5910" s="828">
        <v>101167</v>
      </c>
      <c r="D5910" s="630" t="s">
        <v>4488</v>
      </c>
      <c r="E5910" s="630" t="s">
        <v>649</v>
      </c>
      <c r="F5910" s="829">
        <v>69.900000000000006</v>
      </c>
      <c r="G5910" s="830">
        <v>14.71</v>
      </c>
      <c r="H5910" s="831">
        <v>84.61</v>
      </c>
      <c r="I5910" s="846"/>
      <c r="J5910" s="846"/>
      <c r="K5910" s="846"/>
      <c r="L5910" s="846"/>
      <c r="M5910" s="846"/>
      <c r="N5910" s="846"/>
      <c r="O5910" s="846"/>
      <c r="P5910" s="846"/>
      <c r="Q5910" s="846"/>
      <c r="R5910" s="846"/>
      <c r="S5910" s="846"/>
      <c r="T5910" s="846"/>
    </row>
    <row r="5911" spans="2:20" ht="25.5" hidden="1">
      <c r="B5911" s="828" t="s">
        <v>6568</v>
      </c>
      <c r="C5911" s="828">
        <v>101168</v>
      </c>
      <c r="D5911" s="630" t="s">
        <v>4489</v>
      </c>
      <c r="E5911" s="630" t="s">
        <v>649</v>
      </c>
      <c r="F5911" s="829">
        <v>127.3</v>
      </c>
      <c r="G5911" s="830">
        <v>16.61</v>
      </c>
      <c r="H5911" s="831">
        <v>143.91</v>
      </c>
      <c r="I5911" s="846"/>
      <c r="J5911" s="846"/>
      <c r="K5911" s="846"/>
      <c r="L5911" s="846"/>
      <c r="M5911" s="846"/>
      <c r="N5911" s="846"/>
      <c r="O5911" s="846"/>
      <c r="P5911" s="846"/>
      <c r="Q5911" s="846"/>
      <c r="R5911" s="846"/>
      <c r="S5911" s="846"/>
      <c r="T5911" s="846"/>
    </row>
    <row r="5912" spans="2:20" ht="25.5" hidden="1">
      <c r="B5912" s="828" t="s">
        <v>6568</v>
      </c>
      <c r="C5912" s="828">
        <v>101169</v>
      </c>
      <c r="D5912" s="630" t="s">
        <v>4490</v>
      </c>
      <c r="E5912" s="630" t="s">
        <v>649</v>
      </c>
      <c r="F5912" s="829">
        <v>79.540000000000006</v>
      </c>
      <c r="G5912" s="830">
        <v>19.12</v>
      </c>
      <c r="H5912" s="831">
        <v>98.66</v>
      </c>
      <c r="I5912" s="846"/>
      <c r="J5912" s="846"/>
      <c r="K5912" s="846"/>
      <c r="L5912" s="846"/>
      <c r="M5912" s="846"/>
      <c r="N5912" s="846"/>
      <c r="O5912" s="846"/>
      <c r="P5912" s="846"/>
      <c r="Q5912" s="846"/>
      <c r="R5912" s="846"/>
      <c r="S5912" s="846"/>
      <c r="T5912" s="846"/>
    </row>
    <row r="5913" spans="2:20" ht="25.5" hidden="1">
      <c r="B5913" s="828" t="s">
        <v>6568</v>
      </c>
      <c r="C5913" s="828">
        <v>101170</v>
      </c>
      <c r="D5913" s="630" t="s">
        <v>4491</v>
      </c>
      <c r="E5913" s="630" t="s">
        <v>649</v>
      </c>
      <c r="F5913" s="829">
        <v>26.1</v>
      </c>
      <c r="G5913" s="830">
        <v>11.62</v>
      </c>
      <c r="H5913" s="831">
        <v>37.72</v>
      </c>
      <c r="I5913" s="846"/>
      <c r="J5913" s="846"/>
      <c r="K5913" s="846"/>
      <c r="L5913" s="846"/>
      <c r="M5913" s="846"/>
      <c r="N5913" s="846"/>
      <c r="O5913" s="846"/>
      <c r="P5913" s="846"/>
      <c r="Q5913" s="846"/>
      <c r="R5913" s="846"/>
      <c r="S5913" s="846"/>
      <c r="T5913" s="846"/>
    </row>
    <row r="5914" spans="2:20" ht="25.5" hidden="1">
      <c r="B5914" s="828" t="s">
        <v>6568</v>
      </c>
      <c r="C5914" s="828">
        <v>101171</v>
      </c>
      <c r="D5914" s="630" t="s">
        <v>4492</v>
      </c>
      <c r="E5914" s="630" t="s">
        <v>649</v>
      </c>
      <c r="F5914" s="829">
        <v>94.330000000000013</v>
      </c>
      <c r="G5914" s="830">
        <v>13.52</v>
      </c>
      <c r="H5914" s="831">
        <v>107.85</v>
      </c>
      <c r="I5914" s="846"/>
      <c r="J5914" s="846"/>
      <c r="K5914" s="846"/>
      <c r="L5914" s="846"/>
      <c r="M5914" s="846"/>
      <c r="N5914" s="846"/>
      <c r="O5914" s="846"/>
      <c r="P5914" s="846"/>
      <c r="Q5914" s="846"/>
      <c r="R5914" s="846"/>
      <c r="S5914" s="846"/>
      <c r="T5914" s="846"/>
    </row>
    <row r="5915" spans="2:20" ht="25.5" hidden="1">
      <c r="B5915" s="828" t="s">
        <v>6568</v>
      </c>
      <c r="C5915" s="828">
        <v>101172</v>
      </c>
      <c r="D5915" s="630" t="s">
        <v>4493</v>
      </c>
      <c r="E5915" s="630" t="s">
        <v>649</v>
      </c>
      <c r="F5915" s="829">
        <v>44.7</v>
      </c>
      <c r="G5915" s="830">
        <v>17.46</v>
      </c>
      <c r="H5915" s="831">
        <v>62.16</v>
      </c>
      <c r="I5915" s="846"/>
      <c r="J5915" s="846"/>
      <c r="K5915" s="846"/>
      <c r="L5915" s="846"/>
      <c r="M5915" s="846"/>
      <c r="N5915" s="846"/>
      <c r="O5915" s="846"/>
      <c r="P5915" s="846"/>
      <c r="Q5915" s="846"/>
      <c r="R5915" s="846"/>
      <c r="S5915" s="846"/>
      <c r="T5915" s="846"/>
    </row>
    <row r="5916" spans="2:20" ht="25.5" hidden="1">
      <c r="B5916" s="828" t="s">
        <v>6568</v>
      </c>
      <c r="C5916" s="828">
        <v>103904</v>
      </c>
      <c r="D5916" s="630" t="s">
        <v>7459</v>
      </c>
      <c r="E5916" s="630" t="s">
        <v>649</v>
      </c>
      <c r="F5916" s="829">
        <v>100.71</v>
      </c>
      <c r="G5916" s="830">
        <v>14.05</v>
      </c>
      <c r="H5916" s="831">
        <v>114.76</v>
      </c>
      <c r="I5916" s="846"/>
      <c r="J5916" s="846"/>
      <c r="K5916" s="846"/>
      <c r="L5916" s="846"/>
      <c r="M5916" s="846"/>
      <c r="N5916" s="846"/>
      <c r="O5916" s="846"/>
      <c r="P5916" s="846"/>
      <c r="Q5916" s="846"/>
      <c r="R5916" s="846"/>
      <c r="S5916" s="846"/>
      <c r="T5916" s="846"/>
    </row>
    <row r="5917" spans="2:20" ht="25.5" hidden="1">
      <c r="B5917" s="828" t="s">
        <v>6568</v>
      </c>
      <c r="C5917" s="828">
        <v>103905</v>
      </c>
      <c r="D5917" s="630" t="s">
        <v>7460</v>
      </c>
      <c r="E5917" s="630" t="s">
        <v>649</v>
      </c>
      <c r="F5917" s="829">
        <v>106.4</v>
      </c>
      <c r="G5917" s="830">
        <v>14.49</v>
      </c>
      <c r="H5917" s="831">
        <v>120.89</v>
      </c>
      <c r="I5917" s="846"/>
      <c r="J5917" s="846"/>
      <c r="K5917" s="846"/>
      <c r="L5917" s="846"/>
      <c r="M5917" s="846"/>
      <c r="N5917" s="846"/>
      <c r="O5917" s="846"/>
      <c r="P5917" s="846"/>
      <c r="Q5917" s="846"/>
      <c r="R5917" s="846"/>
      <c r="S5917" s="846"/>
      <c r="T5917" s="846"/>
    </row>
    <row r="5918" spans="2:20" ht="25.5" hidden="1">
      <c r="B5918" s="828" t="s">
        <v>6568</v>
      </c>
      <c r="C5918" s="828">
        <v>103906</v>
      </c>
      <c r="D5918" s="630" t="s">
        <v>7461</v>
      </c>
      <c r="E5918" s="630" t="s">
        <v>649</v>
      </c>
      <c r="F5918" s="829">
        <v>130.71</v>
      </c>
      <c r="G5918" s="830">
        <v>19.25</v>
      </c>
      <c r="H5918" s="831">
        <v>149.96</v>
      </c>
      <c r="I5918" s="846"/>
      <c r="J5918" s="846"/>
      <c r="K5918" s="846"/>
      <c r="L5918" s="846"/>
      <c r="M5918" s="846"/>
      <c r="N5918" s="846"/>
      <c r="O5918" s="846"/>
      <c r="P5918" s="846"/>
      <c r="Q5918" s="846"/>
      <c r="R5918" s="846"/>
      <c r="S5918" s="846"/>
      <c r="T5918" s="846"/>
    </row>
    <row r="5919" spans="2:20" ht="25.5" hidden="1">
      <c r="B5919" s="828" t="s">
        <v>6568</v>
      </c>
      <c r="C5919" s="828">
        <v>103907</v>
      </c>
      <c r="D5919" s="630" t="s">
        <v>7462</v>
      </c>
      <c r="E5919" s="630" t="s">
        <v>649</v>
      </c>
      <c r="F5919" s="829">
        <v>111.22999999999999</v>
      </c>
      <c r="G5919" s="830">
        <v>14.88</v>
      </c>
      <c r="H5919" s="831">
        <v>126.11</v>
      </c>
      <c r="I5919" s="846"/>
      <c r="J5919" s="846"/>
      <c r="K5919" s="846"/>
      <c r="L5919" s="846"/>
      <c r="M5919" s="846"/>
      <c r="N5919" s="846"/>
      <c r="O5919" s="846"/>
      <c r="P5919" s="846"/>
      <c r="Q5919" s="846"/>
      <c r="R5919" s="846"/>
      <c r="S5919" s="846"/>
      <c r="T5919" s="846"/>
    </row>
    <row r="5920" spans="2:20" ht="25.5" hidden="1">
      <c r="B5920" s="828" t="s">
        <v>6568</v>
      </c>
      <c r="C5920" s="828">
        <v>103908</v>
      </c>
      <c r="D5920" s="630" t="s">
        <v>7463</v>
      </c>
      <c r="E5920" s="630" t="s">
        <v>649</v>
      </c>
      <c r="F5920" s="829">
        <v>125.63</v>
      </c>
      <c r="G5920" s="830">
        <v>16</v>
      </c>
      <c r="H5920" s="831">
        <v>141.63</v>
      </c>
      <c r="I5920" s="846"/>
      <c r="J5920" s="846"/>
      <c r="K5920" s="846"/>
      <c r="L5920" s="846"/>
      <c r="M5920" s="846"/>
      <c r="N5920" s="846"/>
      <c r="O5920" s="846"/>
      <c r="P5920" s="846"/>
      <c r="Q5920" s="846"/>
      <c r="R5920" s="846"/>
      <c r="S5920" s="846"/>
      <c r="T5920" s="846"/>
    </row>
    <row r="5921" spans="2:20" ht="25.5" hidden="1">
      <c r="B5921" s="828" t="s">
        <v>6568</v>
      </c>
      <c r="C5921" s="828">
        <v>103909</v>
      </c>
      <c r="D5921" s="630" t="s">
        <v>7464</v>
      </c>
      <c r="E5921" s="630" t="s">
        <v>649</v>
      </c>
      <c r="F5921" s="829">
        <v>145.46</v>
      </c>
      <c r="G5921" s="830">
        <v>16.940000000000001</v>
      </c>
      <c r="H5921" s="831">
        <v>162.4</v>
      </c>
      <c r="I5921" s="846"/>
      <c r="J5921" s="846"/>
      <c r="K5921" s="846"/>
      <c r="L5921" s="846"/>
      <c r="M5921" s="846"/>
      <c r="N5921" s="846"/>
      <c r="O5921" s="846"/>
      <c r="P5921" s="846"/>
      <c r="Q5921" s="846"/>
      <c r="R5921" s="846"/>
      <c r="S5921" s="846"/>
      <c r="T5921" s="846"/>
    </row>
    <row r="5922" spans="2:20" ht="25.5" hidden="1">
      <c r="B5922" s="828" t="s">
        <v>6568</v>
      </c>
      <c r="C5922" s="828">
        <v>103911</v>
      </c>
      <c r="D5922" s="630" t="s">
        <v>7465</v>
      </c>
      <c r="E5922" s="630" t="s">
        <v>649</v>
      </c>
      <c r="F5922" s="829">
        <v>169.03</v>
      </c>
      <c r="G5922" s="830">
        <v>17.850000000000001</v>
      </c>
      <c r="H5922" s="831">
        <v>186.88</v>
      </c>
      <c r="I5922" s="846"/>
      <c r="J5922" s="846"/>
      <c r="K5922" s="846"/>
      <c r="L5922" s="846"/>
      <c r="M5922" s="846"/>
      <c r="N5922" s="846"/>
      <c r="O5922" s="846"/>
      <c r="P5922" s="846"/>
      <c r="Q5922" s="846"/>
      <c r="R5922" s="846"/>
      <c r="S5922" s="846"/>
      <c r="T5922" s="846"/>
    </row>
    <row r="5923" spans="2:20" ht="25.5" hidden="1">
      <c r="B5923" s="828" t="s">
        <v>6568</v>
      </c>
      <c r="C5923" s="828">
        <v>103912</v>
      </c>
      <c r="D5923" s="630" t="s">
        <v>7466</v>
      </c>
      <c r="E5923" s="630" t="s">
        <v>649</v>
      </c>
      <c r="F5923" s="829">
        <v>76.69</v>
      </c>
      <c r="G5923" s="830">
        <v>19.54</v>
      </c>
      <c r="H5923" s="831">
        <v>96.23</v>
      </c>
      <c r="I5923" s="846"/>
      <c r="J5923" s="846"/>
      <c r="K5923" s="846"/>
      <c r="L5923" s="846"/>
      <c r="M5923" s="846"/>
      <c r="N5923" s="846"/>
      <c r="O5923" s="846"/>
      <c r="P5923" s="846"/>
      <c r="Q5923" s="846"/>
      <c r="R5923" s="846"/>
      <c r="S5923" s="846"/>
      <c r="T5923" s="846"/>
    </row>
    <row r="5924" spans="2:20" ht="25.5" hidden="1">
      <c r="B5924" s="828" t="s">
        <v>6568</v>
      </c>
      <c r="C5924" s="828">
        <v>103913</v>
      </c>
      <c r="D5924" s="630" t="s">
        <v>7467</v>
      </c>
      <c r="E5924" s="630" t="s">
        <v>649</v>
      </c>
      <c r="F5924" s="829">
        <v>111.5</v>
      </c>
      <c r="G5924" s="830">
        <v>10.88</v>
      </c>
      <c r="H5924" s="831">
        <v>122.38</v>
      </c>
      <c r="I5924" s="846"/>
      <c r="J5924" s="846"/>
      <c r="K5924" s="846"/>
      <c r="L5924" s="846"/>
      <c r="M5924" s="846"/>
      <c r="N5924" s="846"/>
      <c r="O5924" s="846"/>
      <c r="P5924" s="846"/>
      <c r="Q5924" s="846"/>
      <c r="R5924" s="846"/>
      <c r="S5924" s="846"/>
      <c r="T5924" s="846"/>
    </row>
    <row r="5925" spans="2:20" ht="25.5" hidden="1">
      <c r="B5925" s="828" t="s">
        <v>6568</v>
      </c>
      <c r="C5925" s="828">
        <v>103914</v>
      </c>
      <c r="D5925" s="630" t="s">
        <v>7468</v>
      </c>
      <c r="E5925" s="630" t="s">
        <v>649</v>
      </c>
      <c r="F5925" s="829">
        <v>130.22999999999999</v>
      </c>
      <c r="G5925" s="830">
        <v>12.18</v>
      </c>
      <c r="H5925" s="831">
        <v>142.41</v>
      </c>
      <c r="I5925" s="846"/>
      <c r="J5925" s="846"/>
      <c r="K5925" s="846"/>
      <c r="L5925" s="846"/>
      <c r="M5925" s="846"/>
      <c r="N5925" s="846"/>
      <c r="O5925" s="846"/>
      <c r="P5925" s="846"/>
      <c r="Q5925" s="846"/>
      <c r="R5925" s="846"/>
      <c r="S5925" s="846"/>
      <c r="T5925" s="846"/>
    </row>
    <row r="5926" spans="2:20" ht="25.5" hidden="1">
      <c r="B5926" s="828" t="s">
        <v>6568</v>
      </c>
      <c r="C5926" s="828">
        <v>103915</v>
      </c>
      <c r="D5926" s="630" t="s">
        <v>7469</v>
      </c>
      <c r="E5926" s="630" t="s">
        <v>649</v>
      </c>
      <c r="F5926" s="829">
        <v>143.88999999999999</v>
      </c>
      <c r="G5926" s="830">
        <v>12.78</v>
      </c>
      <c r="H5926" s="831">
        <v>156.66999999999999</v>
      </c>
      <c r="I5926" s="846"/>
      <c r="J5926" s="846"/>
      <c r="K5926" s="846"/>
      <c r="L5926" s="846"/>
      <c r="M5926" s="846"/>
      <c r="N5926" s="846"/>
      <c r="O5926" s="846"/>
      <c r="P5926" s="846"/>
      <c r="Q5926" s="846"/>
      <c r="R5926" s="846"/>
      <c r="S5926" s="846"/>
      <c r="T5926" s="846"/>
    </row>
    <row r="5927" spans="2:20" ht="25.5" hidden="1">
      <c r="B5927" s="828" t="s">
        <v>6568</v>
      </c>
      <c r="C5927" s="828">
        <v>103916</v>
      </c>
      <c r="D5927" s="630" t="s">
        <v>7470</v>
      </c>
      <c r="E5927" s="630" t="s">
        <v>649</v>
      </c>
      <c r="F5927" s="829">
        <v>162.9</v>
      </c>
      <c r="G5927" s="830">
        <v>14.29</v>
      </c>
      <c r="H5927" s="831">
        <v>177.19</v>
      </c>
      <c r="I5927" s="846"/>
      <c r="J5927" s="846"/>
      <c r="K5927" s="846"/>
      <c r="L5927" s="846"/>
      <c r="M5927" s="846"/>
      <c r="N5927" s="846"/>
      <c r="O5927" s="846"/>
      <c r="P5927" s="846"/>
      <c r="Q5927" s="846"/>
      <c r="R5927" s="846"/>
      <c r="S5927" s="846"/>
      <c r="T5927" s="846"/>
    </row>
    <row r="5928" spans="2:20" ht="25.5" hidden="1">
      <c r="B5928" s="828" t="s">
        <v>6568</v>
      </c>
      <c r="C5928" s="828">
        <v>103917</v>
      </c>
      <c r="D5928" s="630" t="s">
        <v>7471</v>
      </c>
      <c r="E5928" s="630" t="s">
        <v>649</v>
      </c>
      <c r="F5928" s="829">
        <v>191.53</v>
      </c>
      <c r="G5928" s="830">
        <v>15.33</v>
      </c>
      <c r="H5928" s="831">
        <v>206.86</v>
      </c>
      <c r="I5928" s="846"/>
      <c r="J5928" s="846"/>
      <c r="K5928" s="846"/>
      <c r="L5928" s="846"/>
      <c r="M5928" s="846"/>
      <c r="N5928" s="846"/>
      <c r="O5928" s="846"/>
      <c r="P5928" s="846"/>
      <c r="Q5928" s="846"/>
      <c r="R5928" s="846"/>
      <c r="S5928" s="846"/>
      <c r="T5928" s="846"/>
    </row>
    <row r="5929" spans="2:20" ht="25.5" hidden="1">
      <c r="B5929" s="828" t="s">
        <v>6568</v>
      </c>
      <c r="C5929" s="828">
        <v>103918</v>
      </c>
      <c r="D5929" s="630" t="s">
        <v>7472</v>
      </c>
      <c r="E5929" s="630" t="s">
        <v>649</v>
      </c>
      <c r="F5929" s="829">
        <v>200.65</v>
      </c>
      <c r="G5929" s="830">
        <v>16.07</v>
      </c>
      <c r="H5929" s="831">
        <v>216.72</v>
      </c>
      <c r="I5929" s="846"/>
      <c r="J5929" s="846"/>
      <c r="K5929" s="846"/>
      <c r="L5929" s="846"/>
      <c r="M5929" s="846"/>
      <c r="N5929" s="846"/>
      <c r="O5929" s="846"/>
      <c r="P5929" s="846"/>
      <c r="Q5929" s="846"/>
      <c r="R5929" s="846"/>
      <c r="S5929" s="846"/>
      <c r="T5929" s="846"/>
    </row>
    <row r="5930" spans="2:20" ht="38.25" hidden="1">
      <c r="B5930" s="828" t="s">
        <v>7473</v>
      </c>
      <c r="C5930" s="828">
        <v>103694</v>
      </c>
      <c r="D5930" s="630" t="s">
        <v>7474</v>
      </c>
      <c r="E5930" s="630" t="s">
        <v>646</v>
      </c>
      <c r="F5930" s="829">
        <v>74.73</v>
      </c>
      <c r="G5930" s="830">
        <v>34.450000000000003</v>
      </c>
      <c r="H5930" s="831">
        <v>109.18</v>
      </c>
      <c r="I5930" s="846"/>
      <c r="J5930" s="846"/>
      <c r="K5930" s="846"/>
      <c r="L5930" s="846"/>
      <c r="M5930" s="846"/>
      <c r="N5930" s="846"/>
      <c r="O5930" s="846"/>
      <c r="P5930" s="846"/>
      <c r="Q5930" s="846"/>
      <c r="R5930" s="846"/>
      <c r="S5930" s="846"/>
      <c r="T5930" s="846"/>
    </row>
    <row r="5931" spans="2:20" ht="38.25" hidden="1">
      <c r="B5931" s="828" t="s">
        <v>7473</v>
      </c>
      <c r="C5931" s="828">
        <v>103695</v>
      </c>
      <c r="D5931" s="630" t="s">
        <v>7475</v>
      </c>
      <c r="E5931" s="630" t="s">
        <v>646</v>
      </c>
      <c r="F5931" s="829">
        <v>65.63</v>
      </c>
      <c r="G5931" s="830">
        <v>32.04</v>
      </c>
      <c r="H5931" s="831">
        <v>97.67</v>
      </c>
      <c r="I5931" s="846"/>
      <c r="J5931" s="846"/>
      <c r="K5931" s="846"/>
      <c r="L5931" s="846"/>
      <c r="M5931" s="846"/>
      <c r="N5931" s="846"/>
      <c r="O5931" s="846"/>
      <c r="P5931" s="846"/>
      <c r="Q5931" s="846"/>
      <c r="R5931" s="846"/>
      <c r="S5931" s="846"/>
      <c r="T5931" s="846"/>
    </row>
    <row r="5932" spans="2:20" ht="38.25" hidden="1">
      <c r="B5932" s="828" t="s">
        <v>7473</v>
      </c>
      <c r="C5932" s="828">
        <v>103696</v>
      </c>
      <c r="D5932" s="630" t="s">
        <v>7476</v>
      </c>
      <c r="E5932" s="630" t="s">
        <v>646</v>
      </c>
      <c r="F5932" s="829">
        <v>82.57</v>
      </c>
      <c r="G5932" s="830">
        <v>57.3</v>
      </c>
      <c r="H5932" s="831">
        <v>139.87</v>
      </c>
      <c r="I5932" s="846"/>
      <c r="J5932" s="846"/>
      <c r="K5932" s="846"/>
      <c r="L5932" s="846"/>
      <c r="M5932" s="846"/>
      <c r="N5932" s="846"/>
      <c r="O5932" s="846"/>
      <c r="P5932" s="846"/>
      <c r="Q5932" s="846"/>
      <c r="R5932" s="846"/>
      <c r="S5932" s="846"/>
      <c r="T5932" s="846"/>
    </row>
    <row r="5933" spans="2:20" ht="38.25" hidden="1">
      <c r="B5933" s="828" t="s">
        <v>7473</v>
      </c>
      <c r="C5933" s="828">
        <v>103697</v>
      </c>
      <c r="D5933" s="630" t="s">
        <v>7477</v>
      </c>
      <c r="E5933" s="630" t="s">
        <v>646</v>
      </c>
      <c r="F5933" s="829">
        <v>73.459999999999994</v>
      </c>
      <c r="G5933" s="830">
        <v>54.9</v>
      </c>
      <c r="H5933" s="831">
        <v>128.36000000000001</v>
      </c>
      <c r="I5933" s="846"/>
      <c r="J5933" s="846"/>
      <c r="K5933" s="846"/>
      <c r="L5933" s="846"/>
      <c r="M5933" s="846"/>
      <c r="N5933" s="846"/>
      <c r="O5933" s="846"/>
      <c r="P5933" s="846"/>
      <c r="Q5933" s="846"/>
      <c r="R5933" s="846"/>
      <c r="S5933" s="846"/>
      <c r="T5933" s="846"/>
    </row>
    <row r="5934" spans="2:20" ht="25.5" hidden="1">
      <c r="B5934" s="828" t="s">
        <v>6598</v>
      </c>
      <c r="C5934" s="828">
        <v>95995</v>
      </c>
      <c r="D5934" s="630" t="s">
        <v>3429</v>
      </c>
      <c r="E5934" s="630" t="s">
        <v>644</v>
      </c>
      <c r="F5934" s="829">
        <v>1343.25</v>
      </c>
      <c r="G5934" s="830">
        <v>31.49</v>
      </c>
      <c r="H5934" s="831">
        <v>1374.74</v>
      </c>
      <c r="I5934" s="846"/>
      <c r="J5934" s="846"/>
      <c r="K5934" s="846"/>
      <c r="L5934" s="846"/>
      <c r="M5934" s="846"/>
      <c r="N5934" s="846"/>
      <c r="O5934" s="846"/>
      <c r="P5934" s="846"/>
      <c r="Q5934" s="846"/>
      <c r="R5934" s="846"/>
      <c r="S5934" s="846"/>
      <c r="T5934" s="846"/>
    </row>
    <row r="5935" spans="2:20" ht="25.5" hidden="1">
      <c r="B5935" s="828" t="s">
        <v>6598</v>
      </c>
      <c r="C5935" s="828">
        <v>95996</v>
      </c>
      <c r="D5935" s="630" t="s">
        <v>3430</v>
      </c>
      <c r="E5935" s="630" t="s">
        <v>644</v>
      </c>
      <c r="F5935" s="829">
        <v>1163.9599999999998</v>
      </c>
      <c r="G5935" s="830">
        <v>22.46</v>
      </c>
      <c r="H5935" s="831">
        <v>1186.42</v>
      </c>
      <c r="I5935" s="846"/>
      <c r="J5935" s="846"/>
      <c r="K5935" s="846"/>
      <c r="L5935" s="846"/>
      <c r="M5935" s="846"/>
      <c r="N5935" s="846"/>
      <c r="O5935" s="846"/>
      <c r="P5935" s="846"/>
      <c r="Q5935" s="846"/>
      <c r="R5935" s="846"/>
      <c r="S5935" s="846"/>
      <c r="T5935" s="846"/>
    </row>
    <row r="5936" spans="2:20" ht="25.5" hidden="1">
      <c r="B5936" s="828" t="s">
        <v>6598</v>
      </c>
      <c r="C5936" s="828">
        <v>96001</v>
      </c>
      <c r="D5936" s="630" t="s">
        <v>3431</v>
      </c>
      <c r="E5936" s="630" t="s">
        <v>649</v>
      </c>
      <c r="F5936" s="829">
        <v>7.14</v>
      </c>
      <c r="G5936" s="830">
        <v>0.89</v>
      </c>
      <c r="H5936" s="831">
        <v>8.0299999999999994</v>
      </c>
      <c r="I5936" s="846"/>
      <c r="J5936" s="846"/>
      <c r="K5936" s="846"/>
      <c r="L5936" s="846"/>
      <c r="M5936" s="846"/>
      <c r="N5936" s="846"/>
      <c r="O5936" s="846"/>
      <c r="P5936" s="846"/>
      <c r="Q5936" s="846"/>
      <c r="R5936" s="846"/>
      <c r="S5936" s="846"/>
      <c r="T5936" s="846"/>
    </row>
    <row r="5937" spans="2:20" ht="25.5" hidden="1">
      <c r="B5937" s="828" t="s">
        <v>6598</v>
      </c>
      <c r="C5937" s="828">
        <v>96393</v>
      </c>
      <c r="D5937" s="630" t="s">
        <v>4494</v>
      </c>
      <c r="E5937" s="630" t="s">
        <v>644</v>
      </c>
      <c r="F5937" s="829">
        <v>90.08</v>
      </c>
      <c r="G5937" s="830">
        <v>1.63</v>
      </c>
      <c r="H5937" s="831">
        <v>91.71</v>
      </c>
      <c r="I5937" s="846"/>
      <c r="J5937" s="846"/>
      <c r="K5937" s="846"/>
      <c r="L5937" s="846"/>
      <c r="M5937" s="846"/>
      <c r="N5937" s="846"/>
      <c r="O5937" s="846"/>
      <c r="P5937" s="846"/>
      <c r="Q5937" s="846"/>
      <c r="R5937" s="846"/>
      <c r="S5937" s="846"/>
      <c r="T5937" s="846"/>
    </row>
    <row r="5938" spans="2:20" ht="25.5" hidden="1">
      <c r="B5938" s="828" t="s">
        <v>6598</v>
      </c>
      <c r="C5938" s="828">
        <v>96394</v>
      </c>
      <c r="D5938" s="630" t="s">
        <v>4495</v>
      </c>
      <c r="E5938" s="630" t="s">
        <v>644</v>
      </c>
      <c r="F5938" s="829">
        <v>147.21</v>
      </c>
      <c r="G5938" s="830">
        <v>1.63</v>
      </c>
      <c r="H5938" s="831">
        <v>148.84</v>
      </c>
      <c r="I5938" s="846"/>
      <c r="J5938" s="846"/>
      <c r="K5938" s="846"/>
      <c r="L5938" s="846"/>
      <c r="M5938" s="846"/>
      <c r="N5938" s="846"/>
      <c r="O5938" s="846"/>
      <c r="P5938" s="846"/>
      <c r="Q5938" s="846"/>
      <c r="R5938" s="846"/>
      <c r="S5938" s="846"/>
      <c r="T5938" s="846"/>
    </row>
    <row r="5939" spans="2:20" ht="25.5" hidden="1">
      <c r="B5939" s="828" t="s">
        <v>6598</v>
      </c>
      <c r="C5939" s="828">
        <v>96395</v>
      </c>
      <c r="D5939" s="630" t="s">
        <v>4496</v>
      </c>
      <c r="E5939" s="630" t="s">
        <v>644</v>
      </c>
      <c r="F5939" s="829">
        <v>224.97</v>
      </c>
      <c r="G5939" s="830">
        <v>2.75</v>
      </c>
      <c r="H5939" s="831">
        <v>227.72</v>
      </c>
      <c r="I5939" s="846"/>
      <c r="J5939" s="846"/>
      <c r="K5939" s="846"/>
      <c r="L5939" s="846"/>
      <c r="M5939" s="846"/>
      <c r="N5939" s="846"/>
      <c r="O5939" s="846"/>
      <c r="P5939" s="846"/>
      <c r="Q5939" s="846"/>
      <c r="R5939" s="846"/>
      <c r="S5939" s="846"/>
      <c r="T5939" s="846"/>
    </row>
    <row r="5940" spans="2:20" ht="25.5" hidden="1">
      <c r="B5940" s="828" t="s">
        <v>6598</v>
      </c>
      <c r="C5940" s="828">
        <v>100624</v>
      </c>
      <c r="D5940" s="630" t="s">
        <v>4497</v>
      </c>
      <c r="E5940" s="630" t="s">
        <v>644</v>
      </c>
      <c r="F5940" s="829">
        <v>974.13</v>
      </c>
      <c r="G5940" s="830">
        <v>32.619999999999997</v>
      </c>
      <c r="H5940" s="831">
        <v>1006.75</v>
      </c>
      <c r="I5940" s="846"/>
      <c r="J5940" s="846"/>
      <c r="K5940" s="846"/>
      <c r="L5940" s="846"/>
      <c r="M5940" s="846"/>
      <c r="N5940" s="846"/>
      <c r="O5940" s="846"/>
      <c r="P5940" s="846"/>
      <c r="Q5940" s="846"/>
      <c r="R5940" s="846"/>
      <c r="S5940" s="846"/>
      <c r="T5940" s="846"/>
    </row>
    <row r="5941" spans="2:20" ht="25.5" hidden="1">
      <c r="B5941" s="828" t="s">
        <v>6598</v>
      </c>
      <c r="C5941" s="828">
        <v>100625</v>
      </c>
      <c r="D5941" s="630" t="s">
        <v>4498</v>
      </c>
      <c r="E5941" s="630" t="s">
        <v>644</v>
      </c>
      <c r="F5941" s="829">
        <v>940.15000000000009</v>
      </c>
      <c r="G5941" s="830">
        <v>27.08</v>
      </c>
      <c r="H5941" s="831">
        <v>967.23</v>
      </c>
      <c r="I5941" s="846"/>
      <c r="J5941" s="846"/>
      <c r="K5941" s="846"/>
      <c r="L5941" s="846"/>
      <c r="M5941" s="846"/>
      <c r="N5941" s="846"/>
      <c r="O5941" s="846"/>
      <c r="P5941" s="846"/>
      <c r="Q5941" s="846"/>
      <c r="R5941" s="846"/>
      <c r="S5941" s="846"/>
      <c r="T5941" s="846"/>
    </row>
    <row r="5942" spans="2:20" ht="38.25" hidden="1">
      <c r="B5942" s="828" t="s">
        <v>6598</v>
      </c>
      <c r="C5942" s="828">
        <v>101020</v>
      </c>
      <c r="D5942" s="630" t="s">
        <v>4499</v>
      </c>
      <c r="E5942" s="630" t="s">
        <v>647</v>
      </c>
      <c r="F5942" s="829">
        <v>460.63</v>
      </c>
      <c r="G5942" s="830">
        <v>4.16</v>
      </c>
      <c r="H5942" s="831">
        <v>464.79</v>
      </c>
      <c r="I5942" s="846"/>
      <c r="J5942" s="846"/>
      <c r="K5942" s="846"/>
      <c r="L5942" s="846"/>
      <c r="M5942" s="846"/>
      <c r="N5942" s="846"/>
      <c r="O5942" s="846"/>
      <c r="P5942" s="846"/>
      <c r="Q5942" s="846"/>
      <c r="R5942" s="846"/>
      <c r="S5942" s="846"/>
      <c r="T5942" s="846"/>
    </row>
    <row r="5943" spans="2:20" ht="38.25" hidden="1">
      <c r="B5943" s="828" t="s">
        <v>6598</v>
      </c>
      <c r="C5943" s="828">
        <v>101021</v>
      </c>
      <c r="D5943" s="630" t="s">
        <v>4500</v>
      </c>
      <c r="E5943" s="630" t="s">
        <v>647</v>
      </c>
      <c r="F5943" s="829">
        <v>499.89</v>
      </c>
      <c r="G5943" s="830">
        <v>4.16</v>
      </c>
      <c r="H5943" s="831">
        <v>504.05</v>
      </c>
      <c r="I5943" s="846"/>
      <c r="J5943" s="846"/>
      <c r="K5943" s="846"/>
      <c r="L5943" s="846"/>
      <c r="M5943" s="846"/>
      <c r="N5943" s="846"/>
      <c r="O5943" s="846"/>
      <c r="P5943" s="846"/>
      <c r="Q5943" s="846"/>
      <c r="R5943" s="846"/>
      <c r="S5943" s="846"/>
      <c r="T5943" s="846"/>
    </row>
    <row r="5944" spans="2:20" ht="38.25" hidden="1">
      <c r="B5944" s="828" t="s">
        <v>6598</v>
      </c>
      <c r="C5944" s="828">
        <v>101022</v>
      </c>
      <c r="D5944" s="630" t="s">
        <v>4501</v>
      </c>
      <c r="E5944" s="630" t="s">
        <v>647</v>
      </c>
      <c r="F5944" s="829">
        <v>389.01</v>
      </c>
      <c r="G5944" s="830">
        <v>1.48</v>
      </c>
      <c r="H5944" s="831">
        <v>390.49</v>
      </c>
      <c r="I5944" s="846"/>
      <c r="J5944" s="846"/>
      <c r="K5944" s="846"/>
      <c r="L5944" s="846"/>
      <c r="M5944" s="846"/>
      <c r="N5944" s="846"/>
      <c r="O5944" s="846"/>
      <c r="P5944" s="846"/>
      <c r="Q5944" s="846"/>
      <c r="R5944" s="846"/>
      <c r="S5944" s="846"/>
      <c r="T5944" s="846"/>
    </row>
    <row r="5945" spans="2:20" ht="38.25" hidden="1">
      <c r="B5945" s="828" t="s">
        <v>6598</v>
      </c>
      <c r="C5945" s="828">
        <v>101023</v>
      </c>
      <c r="D5945" s="630" t="s">
        <v>4502</v>
      </c>
      <c r="E5945" s="630" t="s">
        <v>647</v>
      </c>
      <c r="F5945" s="829">
        <v>428.27</v>
      </c>
      <c r="G5945" s="830">
        <v>1.49</v>
      </c>
      <c r="H5945" s="831">
        <v>429.76</v>
      </c>
      <c r="I5945" s="846"/>
      <c r="J5945" s="846"/>
      <c r="K5945" s="846"/>
      <c r="L5945" s="846"/>
      <c r="M5945" s="846"/>
      <c r="N5945" s="846"/>
      <c r="O5945" s="846"/>
      <c r="P5945" s="846"/>
      <c r="Q5945" s="846"/>
      <c r="R5945" s="846"/>
      <c r="S5945" s="846"/>
      <c r="T5945" s="846"/>
    </row>
    <row r="5946" spans="2:20" ht="38.25" hidden="1">
      <c r="B5946" s="828" t="s">
        <v>6598</v>
      </c>
      <c r="C5946" s="828">
        <v>101024</v>
      </c>
      <c r="D5946" s="630" t="s">
        <v>4503</v>
      </c>
      <c r="E5946" s="630" t="s">
        <v>647</v>
      </c>
      <c r="F5946" s="829">
        <v>394.89</v>
      </c>
      <c r="G5946" s="830">
        <v>1.39</v>
      </c>
      <c r="H5946" s="831">
        <v>396.28</v>
      </c>
      <c r="I5946" s="846"/>
      <c r="J5946" s="846"/>
      <c r="K5946" s="846"/>
      <c r="L5946" s="846"/>
      <c r="M5946" s="846"/>
      <c r="N5946" s="846"/>
      <c r="O5946" s="846"/>
      <c r="P5946" s="846"/>
      <c r="Q5946" s="846"/>
      <c r="R5946" s="846"/>
      <c r="S5946" s="846"/>
      <c r="T5946" s="846"/>
    </row>
    <row r="5947" spans="2:20" ht="38.25" hidden="1">
      <c r="B5947" s="828" t="s">
        <v>6598</v>
      </c>
      <c r="C5947" s="828">
        <v>101025</v>
      </c>
      <c r="D5947" s="630" t="s">
        <v>4504</v>
      </c>
      <c r="E5947" s="630" t="s">
        <v>647</v>
      </c>
      <c r="F5947" s="829">
        <v>434.15</v>
      </c>
      <c r="G5947" s="830">
        <v>1.39</v>
      </c>
      <c r="H5947" s="831">
        <v>435.54</v>
      </c>
      <c r="I5947" s="846"/>
      <c r="J5947" s="846"/>
      <c r="K5947" s="846"/>
      <c r="L5947" s="846"/>
      <c r="M5947" s="846"/>
      <c r="N5947" s="846"/>
      <c r="O5947" s="846"/>
      <c r="P5947" s="846"/>
      <c r="Q5947" s="846"/>
      <c r="R5947" s="846"/>
      <c r="S5947" s="846"/>
      <c r="T5947" s="846"/>
    </row>
    <row r="5948" spans="2:20" ht="25.5" hidden="1">
      <c r="B5948" s="828" t="s">
        <v>6598</v>
      </c>
      <c r="C5948" s="828">
        <v>101026</v>
      </c>
      <c r="D5948" s="630" t="s">
        <v>4505</v>
      </c>
      <c r="E5948" s="630" t="s">
        <v>647</v>
      </c>
      <c r="F5948" s="829">
        <v>367.2</v>
      </c>
      <c r="G5948" s="830">
        <v>5.52</v>
      </c>
      <c r="H5948" s="831">
        <v>372.72</v>
      </c>
      <c r="I5948" s="846"/>
      <c r="J5948" s="846"/>
      <c r="K5948" s="846"/>
      <c r="L5948" s="846"/>
      <c r="M5948" s="846"/>
      <c r="N5948" s="846"/>
      <c r="O5948" s="846"/>
      <c r="P5948" s="846"/>
      <c r="Q5948" s="846"/>
      <c r="R5948" s="846"/>
      <c r="S5948" s="846"/>
      <c r="T5948" s="846"/>
    </row>
    <row r="5949" spans="2:20" ht="25.5" hidden="1">
      <c r="B5949" s="828" t="s">
        <v>6598</v>
      </c>
      <c r="C5949" s="828">
        <v>101027</v>
      </c>
      <c r="D5949" s="630" t="s">
        <v>4506</v>
      </c>
      <c r="E5949" s="630" t="s">
        <v>647</v>
      </c>
      <c r="F5949" s="829">
        <v>374.86</v>
      </c>
      <c r="G5949" s="830">
        <v>5.53</v>
      </c>
      <c r="H5949" s="831">
        <v>380.39</v>
      </c>
      <c r="I5949" s="846"/>
      <c r="J5949" s="846"/>
      <c r="K5949" s="846"/>
      <c r="L5949" s="846"/>
      <c r="M5949" s="846"/>
      <c r="N5949" s="846"/>
      <c r="O5949" s="846"/>
      <c r="P5949" s="846"/>
      <c r="Q5949" s="846"/>
      <c r="R5949" s="846"/>
      <c r="S5949" s="846"/>
      <c r="T5949" s="846"/>
    </row>
    <row r="5950" spans="2:20" ht="25.5" hidden="1">
      <c r="B5950" s="828" t="s">
        <v>6542</v>
      </c>
      <c r="C5950" s="828">
        <v>88411</v>
      </c>
      <c r="D5950" s="630" t="s">
        <v>93</v>
      </c>
      <c r="E5950" s="630" t="s">
        <v>649</v>
      </c>
      <c r="F5950" s="829">
        <v>2.11</v>
      </c>
      <c r="G5950" s="830">
        <v>1.35</v>
      </c>
      <c r="H5950" s="831">
        <v>3.46</v>
      </c>
      <c r="I5950" s="846"/>
      <c r="J5950" s="846"/>
      <c r="K5950" s="846"/>
      <c r="L5950" s="846"/>
      <c r="M5950" s="846"/>
      <c r="N5950" s="846"/>
      <c r="O5950" s="846"/>
      <c r="P5950" s="846"/>
      <c r="Q5950" s="846"/>
      <c r="R5950" s="846"/>
      <c r="S5950" s="846"/>
      <c r="T5950" s="846"/>
    </row>
    <row r="5951" spans="2:20" ht="38.25" hidden="1">
      <c r="B5951" s="828" t="s">
        <v>6542</v>
      </c>
      <c r="C5951" s="828">
        <v>88412</v>
      </c>
      <c r="D5951" s="630" t="s">
        <v>94</v>
      </c>
      <c r="E5951" s="630" t="s">
        <v>649</v>
      </c>
      <c r="F5951" s="829">
        <v>1.92</v>
      </c>
      <c r="G5951" s="830">
        <v>0.7</v>
      </c>
      <c r="H5951" s="831">
        <v>2.62</v>
      </c>
      <c r="I5951" s="846"/>
      <c r="J5951" s="846"/>
      <c r="K5951" s="846"/>
      <c r="L5951" s="846"/>
      <c r="M5951" s="846"/>
      <c r="N5951" s="846"/>
      <c r="O5951" s="846"/>
      <c r="P5951" s="846"/>
      <c r="Q5951" s="846"/>
      <c r="R5951" s="846"/>
      <c r="S5951" s="846"/>
      <c r="T5951" s="846"/>
    </row>
    <row r="5952" spans="2:20" ht="38.25" hidden="1">
      <c r="B5952" s="828" t="s">
        <v>6542</v>
      </c>
      <c r="C5952" s="828">
        <v>88413</v>
      </c>
      <c r="D5952" s="630" t="s">
        <v>95</v>
      </c>
      <c r="E5952" s="630" t="s">
        <v>649</v>
      </c>
      <c r="F5952" s="829">
        <v>2.52</v>
      </c>
      <c r="G5952" s="830">
        <v>2.64</v>
      </c>
      <c r="H5952" s="831">
        <v>5.16</v>
      </c>
      <c r="I5952" s="846"/>
      <c r="J5952" s="846"/>
      <c r="K5952" s="846"/>
      <c r="L5952" s="846"/>
      <c r="M5952" s="846"/>
      <c r="N5952" s="846"/>
      <c r="O5952" s="846"/>
      <c r="P5952" s="846"/>
      <c r="Q5952" s="846"/>
      <c r="R5952" s="846"/>
      <c r="S5952" s="846"/>
      <c r="T5952" s="846"/>
    </row>
    <row r="5953" spans="2:20" ht="38.25" hidden="1">
      <c r="B5953" s="828" t="s">
        <v>6542</v>
      </c>
      <c r="C5953" s="828">
        <v>88414</v>
      </c>
      <c r="D5953" s="630" t="s">
        <v>96</v>
      </c>
      <c r="E5953" s="630" t="s">
        <v>649</v>
      </c>
      <c r="F5953" s="829">
        <v>2.65</v>
      </c>
      <c r="G5953" s="830">
        <v>3.06</v>
      </c>
      <c r="H5953" s="831">
        <v>5.71</v>
      </c>
      <c r="I5953" s="846"/>
      <c r="J5953" s="846"/>
      <c r="K5953" s="846"/>
      <c r="L5953" s="846"/>
      <c r="M5953" s="846"/>
      <c r="N5953" s="846"/>
      <c r="O5953" s="846"/>
      <c r="P5953" s="846"/>
      <c r="Q5953" s="846"/>
      <c r="R5953" s="846"/>
      <c r="S5953" s="846"/>
      <c r="T5953" s="846"/>
    </row>
    <row r="5954" spans="2:20" ht="25.5" hidden="1">
      <c r="B5954" s="828" t="s">
        <v>6542</v>
      </c>
      <c r="C5954" s="828">
        <v>88415</v>
      </c>
      <c r="D5954" s="630" t="s">
        <v>97</v>
      </c>
      <c r="E5954" s="630" t="s">
        <v>649</v>
      </c>
      <c r="F5954" s="829">
        <v>2.1800000000000002</v>
      </c>
      <c r="G5954" s="830">
        <v>1.55</v>
      </c>
      <c r="H5954" s="831">
        <v>3.73</v>
      </c>
      <c r="I5954" s="846"/>
      <c r="J5954" s="846"/>
      <c r="K5954" s="846"/>
      <c r="L5954" s="846"/>
      <c r="M5954" s="846"/>
      <c r="N5954" s="846"/>
      <c r="O5954" s="846"/>
      <c r="P5954" s="846"/>
      <c r="Q5954" s="846"/>
      <c r="R5954" s="846"/>
      <c r="S5954" s="846"/>
      <c r="T5954" s="846"/>
    </row>
    <row r="5955" spans="2:20" ht="38.25" hidden="1">
      <c r="B5955" s="828" t="s">
        <v>6542</v>
      </c>
      <c r="C5955" s="828">
        <v>88416</v>
      </c>
      <c r="D5955" s="630" t="s">
        <v>98</v>
      </c>
      <c r="E5955" s="630" t="s">
        <v>649</v>
      </c>
      <c r="F5955" s="829">
        <v>13.55</v>
      </c>
      <c r="G5955" s="830">
        <v>4.3099999999999996</v>
      </c>
      <c r="H5955" s="831">
        <v>17.86</v>
      </c>
      <c r="I5955" s="846"/>
      <c r="J5955" s="846"/>
      <c r="K5955" s="846"/>
      <c r="L5955" s="846"/>
      <c r="M5955" s="846"/>
      <c r="N5955" s="846"/>
      <c r="O5955" s="846"/>
      <c r="P5955" s="846"/>
      <c r="Q5955" s="846"/>
      <c r="R5955" s="846"/>
      <c r="S5955" s="846"/>
      <c r="T5955" s="846"/>
    </row>
    <row r="5956" spans="2:20" ht="38.25" hidden="1">
      <c r="B5956" s="828" t="s">
        <v>6542</v>
      </c>
      <c r="C5956" s="828">
        <v>88417</v>
      </c>
      <c r="D5956" s="630" t="s">
        <v>99</v>
      </c>
      <c r="E5956" s="630" t="s">
        <v>649</v>
      </c>
      <c r="F5956" s="829">
        <v>12.81</v>
      </c>
      <c r="G5956" s="830">
        <v>2.04</v>
      </c>
      <c r="H5956" s="831">
        <v>14.85</v>
      </c>
      <c r="I5956" s="846"/>
      <c r="J5956" s="846"/>
      <c r="K5956" s="846"/>
      <c r="L5956" s="846"/>
      <c r="M5956" s="846"/>
      <c r="N5956" s="846"/>
      <c r="O5956" s="846"/>
      <c r="P5956" s="846"/>
      <c r="Q5956" s="846"/>
      <c r="R5956" s="846"/>
      <c r="S5956" s="846"/>
      <c r="T5956" s="846"/>
    </row>
    <row r="5957" spans="2:20" ht="38.25" hidden="1">
      <c r="B5957" s="828" t="s">
        <v>6542</v>
      </c>
      <c r="C5957" s="828">
        <v>88420</v>
      </c>
      <c r="D5957" s="630" t="s">
        <v>100</v>
      </c>
      <c r="E5957" s="630" t="s">
        <v>649</v>
      </c>
      <c r="F5957" s="829">
        <v>15.05</v>
      </c>
      <c r="G5957" s="830">
        <v>8.8699999999999992</v>
      </c>
      <c r="H5957" s="831">
        <v>23.92</v>
      </c>
      <c r="I5957" s="846"/>
      <c r="J5957" s="846"/>
      <c r="K5957" s="846"/>
      <c r="L5957" s="846"/>
      <c r="M5957" s="846"/>
      <c r="N5957" s="846"/>
      <c r="O5957" s="846"/>
      <c r="P5957" s="846"/>
      <c r="Q5957" s="846"/>
      <c r="R5957" s="846"/>
      <c r="S5957" s="846"/>
      <c r="T5957" s="846"/>
    </row>
    <row r="5958" spans="2:20" ht="38.25" hidden="1">
      <c r="B5958" s="828" t="s">
        <v>6542</v>
      </c>
      <c r="C5958" s="828">
        <v>88421</v>
      </c>
      <c r="D5958" s="630" t="s">
        <v>101</v>
      </c>
      <c r="E5958" s="630" t="s">
        <v>649</v>
      </c>
      <c r="F5958" s="829">
        <v>15.52</v>
      </c>
      <c r="G5958" s="830">
        <v>10.32</v>
      </c>
      <c r="H5958" s="831">
        <v>25.84</v>
      </c>
      <c r="I5958" s="846"/>
      <c r="J5958" s="846"/>
      <c r="K5958" s="846"/>
      <c r="L5958" s="846"/>
      <c r="M5958" s="846"/>
      <c r="N5958" s="846"/>
      <c r="O5958" s="846"/>
      <c r="P5958" s="846"/>
      <c r="Q5958" s="846"/>
      <c r="R5958" s="846"/>
      <c r="S5958" s="846"/>
      <c r="T5958" s="846"/>
    </row>
    <row r="5959" spans="2:20" ht="25.5" hidden="1">
      <c r="B5959" s="828" t="s">
        <v>6542</v>
      </c>
      <c r="C5959" s="828">
        <v>88423</v>
      </c>
      <c r="D5959" s="630" t="s">
        <v>102</v>
      </c>
      <c r="E5959" s="630" t="s">
        <v>649</v>
      </c>
      <c r="F5959" s="829">
        <v>13.79</v>
      </c>
      <c r="G5959" s="830">
        <v>5.01</v>
      </c>
      <c r="H5959" s="831">
        <v>18.8</v>
      </c>
      <c r="I5959" s="846"/>
      <c r="J5959" s="846"/>
      <c r="K5959" s="846"/>
      <c r="L5959" s="846"/>
      <c r="M5959" s="846"/>
      <c r="N5959" s="846"/>
      <c r="O5959" s="846"/>
      <c r="P5959" s="846"/>
      <c r="Q5959" s="846"/>
      <c r="R5959" s="846"/>
      <c r="S5959" s="846"/>
      <c r="T5959" s="846"/>
    </row>
    <row r="5960" spans="2:20" ht="38.25" hidden="1">
      <c r="B5960" s="828" t="s">
        <v>6542</v>
      </c>
      <c r="C5960" s="828">
        <v>88424</v>
      </c>
      <c r="D5960" s="630" t="s">
        <v>103</v>
      </c>
      <c r="E5960" s="630" t="s">
        <v>649</v>
      </c>
      <c r="F5960" s="829">
        <v>14.58</v>
      </c>
      <c r="G5960" s="830">
        <v>7.41</v>
      </c>
      <c r="H5960" s="831">
        <v>21.99</v>
      </c>
      <c r="I5960" s="846"/>
      <c r="J5960" s="846"/>
      <c r="K5960" s="846"/>
      <c r="L5960" s="846"/>
      <c r="M5960" s="846"/>
      <c r="N5960" s="846"/>
      <c r="O5960" s="846"/>
      <c r="P5960" s="846"/>
      <c r="Q5960" s="846"/>
      <c r="R5960" s="846"/>
      <c r="S5960" s="846"/>
      <c r="T5960" s="846"/>
    </row>
    <row r="5961" spans="2:20" ht="38.25" hidden="1">
      <c r="B5961" s="828" t="s">
        <v>6542</v>
      </c>
      <c r="C5961" s="828">
        <v>88426</v>
      </c>
      <c r="D5961" s="630" t="s">
        <v>104</v>
      </c>
      <c r="E5961" s="630" t="s">
        <v>649</v>
      </c>
      <c r="F5961" s="829">
        <v>13.29</v>
      </c>
      <c r="G5961" s="830">
        <v>3.5</v>
      </c>
      <c r="H5961" s="831">
        <v>16.79</v>
      </c>
      <c r="I5961" s="846"/>
      <c r="J5961" s="846"/>
      <c r="K5961" s="846"/>
      <c r="L5961" s="846"/>
      <c r="M5961" s="846"/>
      <c r="N5961" s="846"/>
      <c r="O5961" s="846"/>
      <c r="P5961" s="846"/>
      <c r="Q5961" s="846"/>
      <c r="R5961" s="846"/>
      <c r="S5961" s="846"/>
      <c r="T5961" s="846"/>
    </row>
    <row r="5962" spans="2:20" ht="38.25" hidden="1">
      <c r="B5962" s="828" t="s">
        <v>6542</v>
      </c>
      <c r="C5962" s="828">
        <v>88428</v>
      </c>
      <c r="D5962" s="630" t="s">
        <v>105</v>
      </c>
      <c r="E5962" s="630" t="s">
        <v>649</v>
      </c>
      <c r="F5962" s="829">
        <v>17.16</v>
      </c>
      <c r="G5962" s="830">
        <v>15.26</v>
      </c>
      <c r="H5962" s="831">
        <v>32.42</v>
      </c>
      <c r="I5962" s="846"/>
      <c r="J5962" s="846"/>
      <c r="K5962" s="846"/>
      <c r="L5962" s="846"/>
      <c r="M5962" s="846"/>
      <c r="N5962" s="846"/>
      <c r="O5962" s="846"/>
      <c r="P5962" s="846"/>
      <c r="Q5962" s="846"/>
      <c r="R5962" s="846"/>
      <c r="S5962" s="846"/>
      <c r="T5962" s="846"/>
    </row>
    <row r="5963" spans="2:20" ht="38.25" hidden="1">
      <c r="B5963" s="828" t="s">
        <v>6542</v>
      </c>
      <c r="C5963" s="828">
        <v>88429</v>
      </c>
      <c r="D5963" s="630" t="s">
        <v>106</v>
      </c>
      <c r="E5963" s="630" t="s">
        <v>649</v>
      </c>
      <c r="F5963" s="829">
        <v>17.98</v>
      </c>
      <c r="G5963" s="830">
        <v>17.78</v>
      </c>
      <c r="H5963" s="831">
        <v>35.76</v>
      </c>
      <c r="I5963" s="846"/>
      <c r="J5963" s="846"/>
      <c r="K5963" s="846"/>
      <c r="L5963" s="846"/>
      <c r="M5963" s="846"/>
      <c r="N5963" s="846"/>
      <c r="O5963" s="846"/>
      <c r="P5963" s="846"/>
      <c r="Q5963" s="846"/>
      <c r="R5963" s="846"/>
      <c r="S5963" s="846"/>
      <c r="T5963" s="846"/>
    </row>
    <row r="5964" spans="2:20" ht="25.5" hidden="1">
      <c r="B5964" s="828" t="s">
        <v>6542</v>
      </c>
      <c r="C5964" s="828">
        <v>88431</v>
      </c>
      <c r="D5964" s="630" t="s">
        <v>107</v>
      </c>
      <c r="E5964" s="630" t="s">
        <v>649</v>
      </c>
      <c r="F5964" s="829">
        <v>14.97</v>
      </c>
      <c r="G5964" s="830">
        <v>8.65</v>
      </c>
      <c r="H5964" s="831">
        <v>23.62</v>
      </c>
      <c r="I5964" s="846"/>
      <c r="J5964" s="846"/>
      <c r="K5964" s="846"/>
      <c r="L5964" s="846"/>
      <c r="M5964" s="846"/>
      <c r="N5964" s="846"/>
      <c r="O5964" s="846"/>
      <c r="P5964" s="846"/>
      <c r="Q5964" s="846"/>
      <c r="R5964" s="846"/>
      <c r="S5964" s="846"/>
      <c r="T5964" s="846"/>
    </row>
    <row r="5965" spans="2:20" ht="25.5" hidden="1">
      <c r="B5965" s="828" t="s">
        <v>6542</v>
      </c>
      <c r="C5965" s="828">
        <v>88432</v>
      </c>
      <c r="D5965" s="630" t="s">
        <v>310</v>
      </c>
      <c r="E5965" s="630" t="s">
        <v>649</v>
      </c>
      <c r="F5965" s="829">
        <v>8.3800000000000008</v>
      </c>
      <c r="G5965" s="830">
        <v>10.68</v>
      </c>
      <c r="H5965" s="831">
        <v>19.059999999999999</v>
      </c>
      <c r="I5965" s="846"/>
      <c r="J5965" s="846"/>
      <c r="K5965" s="846"/>
      <c r="L5965" s="846"/>
      <c r="M5965" s="846"/>
      <c r="N5965" s="846"/>
      <c r="O5965" s="846"/>
      <c r="P5965" s="846"/>
      <c r="Q5965" s="846"/>
      <c r="R5965" s="846"/>
      <c r="S5965" s="846"/>
      <c r="T5965" s="846"/>
    </row>
    <row r="5966" spans="2:20" ht="25.5" hidden="1">
      <c r="B5966" s="828" t="s">
        <v>6542</v>
      </c>
      <c r="C5966" s="828">
        <v>88484</v>
      </c>
      <c r="D5966" s="630" t="s">
        <v>311</v>
      </c>
      <c r="E5966" s="630" t="s">
        <v>649</v>
      </c>
      <c r="F5966" s="829">
        <v>2.19</v>
      </c>
      <c r="G5966" s="830">
        <v>1.57</v>
      </c>
      <c r="H5966" s="831">
        <v>3.76</v>
      </c>
      <c r="I5966" s="846"/>
      <c r="J5966" s="846"/>
      <c r="K5966" s="846"/>
      <c r="L5966" s="846"/>
      <c r="M5966" s="846"/>
      <c r="N5966" s="846"/>
      <c r="O5966" s="846"/>
      <c r="P5966" s="846"/>
      <c r="Q5966" s="846"/>
      <c r="R5966" s="846"/>
      <c r="S5966" s="846"/>
      <c r="T5966" s="846"/>
    </row>
    <row r="5967" spans="2:20" ht="25.5" hidden="1">
      <c r="B5967" s="828" t="s">
        <v>6542</v>
      </c>
      <c r="C5967" s="828">
        <v>88485</v>
      </c>
      <c r="D5967" s="630" t="s">
        <v>312</v>
      </c>
      <c r="E5967" s="630" t="s">
        <v>649</v>
      </c>
      <c r="F5967" s="829">
        <v>2.06</v>
      </c>
      <c r="G5967" s="830">
        <v>1.19</v>
      </c>
      <c r="H5967" s="831">
        <v>3.25</v>
      </c>
      <c r="I5967" s="846"/>
      <c r="J5967" s="846"/>
      <c r="K5967" s="846"/>
      <c r="L5967" s="846"/>
      <c r="M5967" s="846"/>
      <c r="N5967" s="846"/>
      <c r="O5967" s="846"/>
      <c r="P5967" s="846"/>
      <c r="Q5967" s="846"/>
      <c r="R5967" s="846"/>
      <c r="S5967" s="846"/>
      <c r="T5967" s="846"/>
    </row>
    <row r="5968" spans="2:20" ht="25.5" hidden="1">
      <c r="B5968" s="828" t="s">
        <v>6542</v>
      </c>
      <c r="C5968" s="828">
        <v>88488</v>
      </c>
      <c r="D5968" s="630" t="s">
        <v>313</v>
      </c>
      <c r="E5968" s="630" t="s">
        <v>649</v>
      </c>
      <c r="F5968" s="829">
        <v>11.14</v>
      </c>
      <c r="G5968" s="830">
        <v>7.44</v>
      </c>
      <c r="H5968" s="831">
        <v>18.579999999999998</v>
      </c>
      <c r="I5968" s="846"/>
      <c r="J5968" s="846"/>
      <c r="K5968" s="846"/>
      <c r="L5968" s="846"/>
      <c r="M5968" s="846"/>
      <c r="N5968" s="846"/>
      <c r="O5968" s="846"/>
      <c r="P5968" s="846"/>
      <c r="Q5968" s="846"/>
      <c r="R5968" s="846"/>
      <c r="S5968" s="846"/>
      <c r="T5968" s="846"/>
    </row>
    <row r="5969" spans="2:20" ht="25.5" hidden="1">
      <c r="B5969" s="828" t="s">
        <v>6542</v>
      </c>
      <c r="C5969" s="828">
        <v>88489</v>
      </c>
      <c r="D5969" s="630" t="s">
        <v>314</v>
      </c>
      <c r="E5969" s="630" t="s">
        <v>649</v>
      </c>
      <c r="F5969" s="829">
        <v>10.55</v>
      </c>
      <c r="G5969" s="830">
        <v>5.72</v>
      </c>
      <c r="H5969" s="831">
        <v>16.27</v>
      </c>
      <c r="I5969" s="846"/>
      <c r="J5969" s="846"/>
      <c r="K5969" s="846"/>
      <c r="L5969" s="846"/>
      <c r="M5969" s="846"/>
      <c r="N5969" s="846"/>
      <c r="O5969" s="846"/>
      <c r="P5969" s="846"/>
      <c r="Q5969" s="846"/>
      <c r="R5969" s="846"/>
      <c r="S5969" s="846"/>
      <c r="T5969" s="846"/>
    </row>
    <row r="5970" spans="2:20" ht="25.5" hidden="1">
      <c r="B5970" s="828" t="s">
        <v>6542</v>
      </c>
      <c r="C5970" s="828">
        <v>88494</v>
      </c>
      <c r="D5970" s="630" t="s">
        <v>315</v>
      </c>
      <c r="E5970" s="630" t="s">
        <v>649</v>
      </c>
      <c r="F5970" s="829">
        <v>10.31</v>
      </c>
      <c r="G5970" s="830">
        <v>15.41</v>
      </c>
      <c r="H5970" s="831">
        <v>25.72</v>
      </c>
      <c r="I5970" s="846"/>
      <c r="J5970" s="846"/>
      <c r="K5970" s="846"/>
      <c r="L5970" s="846"/>
      <c r="M5970" s="846"/>
      <c r="N5970" s="846"/>
      <c r="O5970" s="846"/>
      <c r="P5970" s="846"/>
      <c r="Q5970" s="846"/>
      <c r="R5970" s="846"/>
      <c r="S5970" s="846"/>
      <c r="T5970" s="846"/>
    </row>
    <row r="5971" spans="2:20" ht="25.5" hidden="1">
      <c r="B5971" s="828" t="s">
        <v>6542</v>
      </c>
      <c r="C5971" s="828">
        <v>88495</v>
      </c>
      <c r="D5971" s="630" t="s">
        <v>316</v>
      </c>
      <c r="E5971" s="630" t="s">
        <v>649</v>
      </c>
      <c r="F5971" s="829">
        <v>7.57</v>
      </c>
      <c r="G5971" s="830">
        <v>7.16</v>
      </c>
      <c r="H5971" s="831">
        <v>14.73</v>
      </c>
      <c r="I5971" s="846"/>
      <c r="J5971" s="846"/>
      <c r="K5971" s="846"/>
      <c r="L5971" s="846"/>
      <c r="M5971" s="846"/>
      <c r="N5971" s="846"/>
      <c r="O5971" s="846"/>
      <c r="P5971" s="846"/>
      <c r="Q5971" s="846"/>
      <c r="R5971" s="846"/>
      <c r="S5971" s="846"/>
      <c r="T5971" s="846"/>
    </row>
    <row r="5972" spans="2:20" ht="25.5" hidden="1">
      <c r="B5972" s="828" t="s">
        <v>6542</v>
      </c>
      <c r="C5972" s="828">
        <v>88496</v>
      </c>
      <c r="D5972" s="630" t="s">
        <v>317</v>
      </c>
      <c r="E5972" s="630" t="s">
        <v>649</v>
      </c>
      <c r="F5972" s="829">
        <v>14.61</v>
      </c>
      <c r="G5972" s="830">
        <v>20.54</v>
      </c>
      <c r="H5972" s="831">
        <v>35.15</v>
      </c>
      <c r="I5972" s="846"/>
      <c r="J5972" s="846"/>
      <c r="K5972" s="846"/>
      <c r="L5972" s="846"/>
      <c r="M5972" s="846"/>
      <c r="N5972" s="846"/>
      <c r="O5972" s="846"/>
      <c r="P5972" s="846"/>
      <c r="Q5972" s="846"/>
      <c r="R5972" s="846"/>
      <c r="S5972" s="846"/>
      <c r="T5972" s="846"/>
    </row>
    <row r="5973" spans="2:20" ht="25.5" hidden="1">
      <c r="B5973" s="828" t="s">
        <v>6542</v>
      </c>
      <c r="C5973" s="828">
        <v>88497</v>
      </c>
      <c r="D5973" s="630" t="s">
        <v>318</v>
      </c>
      <c r="E5973" s="630" t="s">
        <v>649</v>
      </c>
      <c r="F5973" s="829">
        <v>10.95</v>
      </c>
      <c r="G5973" s="830">
        <v>9.52</v>
      </c>
      <c r="H5973" s="831">
        <v>20.47</v>
      </c>
      <c r="I5973" s="846"/>
      <c r="J5973" s="846"/>
      <c r="K5973" s="846"/>
      <c r="L5973" s="846"/>
      <c r="M5973" s="846"/>
      <c r="N5973" s="846"/>
      <c r="O5973" s="846"/>
      <c r="P5973" s="846"/>
      <c r="Q5973" s="846"/>
      <c r="R5973" s="846"/>
      <c r="S5973" s="846"/>
      <c r="T5973" s="846"/>
    </row>
    <row r="5974" spans="2:20" ht="25.5" hidden="1">
      <c r="B5974" s="828" t="s">
        <v>6542</v>
      </c>
      <c r="C5974" s="828">
        <v>95305</v>
      </c>
      <c r="D5974" s="630" t="s">
        <v>1972</v>
      </c>
      <c r="E5974" s="630" t="s">
        <v>649</v>
      </c>
      <c r="F5974" s="829">
        <v>9.02</v>
      </c>
      <c r="G5974" s="830">
        <v>5.75</v>
      </c>
      <c r="H5974" s="831">
        <v>14.77</v>
      </c>
      <c r="I5974" s="846"/>
      <c r="J5974" s="846"/>
      <c r="K5974" s="846"/>
      <c r="L5974" s="846"/>
      <c r="M5974" s="846"/>
      <c r="N5974" s="846"/>
      <c r="O5974" s="846"/>
      <c r="P5974" s="846"/>
      <c r="Q5974" s="846"/>
      <c r="R5974" s="846"/>
      <c r="S5974" s="846"/>
      <c r="T5974" s="846"/>
    </row>
    <row r="5975" spans="2:20" ht="25.5" hidden="1">
      <c r="B5975" s="828" t="s">
        <v>6542</v>
      </c>
      <c r="C5975" s="828">
        <v>95306</v>
      </c>
      <c r="D5975" s="630" t="s">
        <v>1973</v>
      </c>
      <c r="E5975" s="630" t="s">
        <v>649</v>
      </c>
      <c r="F5975" s="829">
        <v>9.75</v>
      </c>
      <c r="G5975" s="830">
        <v>7.94</v>
      </c>
      <c r="H5975" s="831">
        <v>17.690000000000001</v>
      </c>
      <c r="I5975" s="846"/>
      <c r="J5975" s="846"/>
      <c r="K5975" s="846"/>
      <c r="L5975" s="846"/>
      <c r="M5975" s="846"/>
      <c r="N5975" s="846"/>
      <c r="O5975" s="846"/>
      <c r="P5975" s="846"/>
      <c r="Q5975" s="846"/>
      <c r="R5975" s="846"/>
      <c r="S5975" s="846"/>
      <c r="T5975" s="846"/>
    </row>
    <row r="5976" spans="2:20" ht="38.25" hidden="1">
      <c r="B5976" s="828" t="s">
        <v>6542</v>
      </c>
      <c r="C5976" s="828">
        <v>95622</v>
      </c>
      <c r="D5976" s="630" t="s">
        <v>1705</v>
      </c>
      <c r="E5976" s="630" t="s">
        <v>649</v>
      </c>
      <c r="F5976" s="829">
        <v>8.1300000000000008</v>
      </c>
      <c r="G5976" s="830">
        <v>8.83</v>
      </c>
      <c r="H5976" s="831">
        <v>16.96</v>
      </c>
      <c r="I5976" s="846"/>
      <c r="J5976" s="846"/>
      <c r="K5976" s="846"/>
      <c r="L5976" s="846"/>
      <c r="M5976" s="846"/>
      <c r="N5976" s="846"/>
      <c r="O5976" s="846"/>
      <c r="P5976" s="846"/>
      <c r="Q5976" s="846"/>
      <c r="R5976" s="846"/>
      <c r="S5976" s="846"/>
      <c r="T5976" s="846"/>
    </row>
    <row r="5977" spans="2:20" ht="38.25" hidden="1">
      <c r="B5977" s="828" t="s">
        <v>6542</v>
      </c>
      <c r="C5977" s="828">
        <v>95623</v>
      </c>
      <c r="D5977" s="630" t="s">
        <v>1996</v>
      </c>
      <c r="E5977" s="630" t="s">
        <v>649</v>
      </c>
      <c r="F5977" s="829">
        <v>7.13</v>
      </c>
      <c r="G5977" s="830">
        <v>5.73</v>
      </c>
      <c r="H5977" s="831">
        <v>12.86</v>
      </c>
      <c r="I5977" s="846"/>
      <c r="J5977" s="846"/>
      <c r="K5977" s="846"/>
      <c r="L5977" s="846"/>
      <c r="M5977" s="846"/>
      <c r="N5977" s="846"/>
      <c r="O5977" s="846"/>
      <c r="P5977" s="846"/>
      <c r="Q5977" s="846"/>
      <c r="R5977" s="846"/>
      <c r="S5977" s="846"/>
      <c r="T5977" s="846"/>
    </row>
    <row r="5978" spans="2:20" ht="38.25" hidden="1">
      <c r="B5978" s="828" t="s">
        <v>6542</v>
      </c>
      <c r="C5978" s="828">
        <v>95624</v>
      </c>
      <c r="D5978" s="630" t="s">
        <v>1999</v>
      </c>
      <c r="E5978" s="630" t="s">
        <v>649</v>
      </c>
      <c r="F5978" s="829">
        <v>10.19</v>
      </c>
      <c r="G5978" s="830">
        <v>15.11</v>
      </c>
      <c r="H5978" s="831">
        <v>25.3</v>
      </c>
      <c r="I5978" s="846"/>
      <c r="J5978" s="846"/>
      <c r="K5978" s="846"/>
      <c r="L5978" s="846"/>
      <c r="M5978" s="846"/>
      <c r="N5978" s="846"/>
      <c r="O5978" s="846"/>
      <c r="P5978" s="846"/>
      <c r="Q5978" s="846"/>
      <c r="R5978" s="846"/>
      <c r="S5978" s="846"/>
      <c r="T5978" s="846"/>
    </row>
    <row r="5979" spans="2:20" ht="38.25" hidden="1">
      <c r="B5979" s="828" t="s">
        <v>6542</v>
      </c>
      <c r="C5979" s="828">
        <v>95625</v>
      </c>
      <c r="D5979" s="630" t="s">
        <v>1997</v>
      </c>
      <c r="E5979" s="630" t="s">
        <v>649</v>
      </c>
      <c r="F5979" s="829">
        <v>10.85</v>
      </c>
      <c r="G5979" s="830">
        <v>17.09</v>
      </c>
      <c r="H5979" s="831">
        <v>27.94</v>
      </c>
      <c r="I5979" s="846"/>
      <c r="J5979" s="846"/>
      <c r="K5979" s="846"/>
      <c r="L5979" s="846"/>
      <c r="M5979" s="846"/>
      <c r="N5979" s="846"/>
      <c r="O5979" s="846"/>
      <c r="P5979" s="846"/>
      <c r="Q5979" s="846"/>
      <c r="R5979" s="846"/>
      <c r="S5979" s="846"/>
      <c r="T5979" s="846"/>
    </row>
    <row r="5980" spans="2:20" ht="25.5" hidden="1">
      <c r="B5980" s="828" t="s">
        <v>6542</v>
      </c>
      <c r="C5980" s="828">
        <v>95626</v>
      </c>
      <c r="D5980" s="630" t="s">
        <v>1998</v>
      </c>
      <c r="E5980" s="630" t="s">
        <v>649</v>
      </c>
      <c r="F5980" s="829">
        <v>8.4499999999999993</v>
      </c>
      <c r="G5980" s="830">
        <v>9.84</v>
      </c>
      <c r="H5980" s="831">
        <v>18.29</v>
      </c>
      <c r="I5980" s="846"/>
      <c r="J5980" s="846"/>
      <c r="K5980" s="846"/>
      <c r="L5980" s="846"/>
      <c r="M5980" s="846"/>
      <c r="N5980" s="846"/>
      <c r="O5980" s="846"/>
      <c r="P5980" s="846"/>
      <c r="Q5980" s="846"/>
      <c r="R5980" s="846"/>
      <c r="S5980" s="846"/>
      <c r="T5980" s="846"/>
    </row>
    <row r="5981" spans="2:20" ht="38.25" hidden="1">
      <c r="B5981" s="828" t="s">
        <v>6542</v>
      </c>
      <c r="C5981" s="828">
        <v>96126</v>
      </c>
      <c r="D5981" s="630" t="s">
        <v>2609</v>
      </c>
      <c r="E5981" s="630" t="s">
        <v>649</v>
      </c>
      <c r="F5981" s="829">
        <v>12.92</v>
      </c>
      <c r="G5981" s="830">
        <v>11.02</v>
      </c>
      <c r="H5981" s="831">
        <v>23.94</v>
      </c>
      <c r="I5981" s="846"/>
      <c r="J5981" s="846"/>
      <c r="K5981" s="846"/>
      <c r="L5981" s="846"/>
      <c r="M5981" s="846"/>
      <c r="N5981" s="846"/>
      <c r="O5981" s="846"/>
      <c r="P5981" s="846"/>
      <c r="Q5981" s="846"/>
      <c r="R5981" s="846"/>
      <c r="S5981" s="846"/>
      <c r="T5981" s="846"/>
    </row>
    <row r="5982" spans="2:20" ht="38.25" hidden="1">
      <c r="B5982" s="828" t="s">
        <v>6542</v>
      </c>
      <c r="C5982" s="828">
        <v>96127</v>
      </c>
      <c r="D5982" s="630" t="s">
        <v>2610</v>
      </c>
      <c r="E5982" s="630" t="s">
        <v>649</v>
      </c>
      <c r="F5982" s="829">
        <v>11.66</v>
      </c>
      <c r="G5982" s="830">
        <v>7.16</v>
      </c>
      <c r="H5982" s="831">
        <v>18.82</v>
      </c>
      <c r="I5982" s="846"/>
      <c r="J5982" s="846"/>
      <c r="K5982" s="846"/>
      <c r="L5982" s="846"/>
      <c r="M5982" s="846"/>
      <c r="N5982" s="846"/>
      <c r="O5982" s="846"/>
      <c r="P5982" s="846"/>
      <c r="Q5982" s="846"/>
      <c r="R5982" s="846"/>
      <c r="S5982" s="846"/>
      <c r="T5982" s="846"/>
    </row>
    <row r="5983" spans="2:20" ht="38.25" hidden="1">
      <c r="B5983" s="828" t="s">
        <v>6542</v>
      </c>
      <c r="C5983" s="828">
        <v>96128</v>
      </c>
      <c r="D5983" s="630" t="s">
        <v>2611</v>
      </c>
      <c r="E5983" s="630" t="s">
        <v>649</v>
      </c>
      <c r="F5983" s="829">
        <v>15.48</v>
      </c>
      <c r="G5983" s="830">
        <v>18.850000000000001</v>
      </c>
      <c r="H5983" s="831">
        <v>34.33</v>
      </c>
      <c r="I5983" s="846"/>
      <c r="J5983" s="846"/>
      <c r="K5983" s="846"/>
      <c r="L5983" s="846"/>
      <c r="M5983" s="846"/>
      <c r="N5983" s="846"/>
      <c r="O5983" s="846"/>
      <c r="P5983" s="846"/>
      <c r="Q5983" s="846"/>
      <c r="R5983" s="846"/>
      <c r="S5983" s="846"/>
      <c r="T5983" s="846"/>
    </row>
    <row r="5984" spans="2:20" ht="38.25" hidden="1">
      <c r="B5984" s="828" t="s">
        <v>6542</v>
      </c>
      <c r="C5984" s="828">
        <v>96129</v>
      </c>
      <c r="D5984" s="630" t="s">
        <v>2612</v>
      </c>
      <c r="E5984" s="630" t="s">
        <v>649</v>
      </c>
      <c r="F5984" s="829">
        <v>16.32</v>
      </c>
      <c r="G5984" s="830">
        <v>21.32</v>
      </c>
      <c r="H5984" s="831">
        <v>37.64</v>
      </c>
      <c r="I5984" s="846"/>
      <c r="J5984" s="846"/>
      <c r="K5984" s="846"/>
      <c r="L5984" s="846"/>
      <c r="M5984" s="846"/>
      <c r="N5984" s="846"/>
      <c r="O5984" s="846"/>
      <c r="P5984" s="846"/>
      <c r="Q5984" s="846"/>
      <c r="R5984" s="846"/>
      <c r="S5984" s="846"/>
      <c r="T5984" s="846"/>
    </row>
    <row r="5985" spans="2:20" ht="25.5" hidden="1">
      <c r="B5985" s="828" t="s">
        <v>6542</v>
      </c>
      <c r="C5985" s="828">
        <v>96130</v>
      </c>
      <c r="D5985" s="630" t="s">
        <v>2613</v>
      </c>
      <c r="E5985" s="630" t="s">
        <v>649</v>
      </c>
      <c r="F5985" s="829">
        <v>13.32</v>
      </c>
      <c r="G5985" s="830">
        <v>12.24</v>
      </c>
      <c r="H5985" s="831">
        <v>25.56</v>
      </c>
      <c r="I5985" s="846"/>
      <c r="J5985" s="846"/>
      <c r="K5985" s="846"/>
      <c r="L5985" s="846"/>
      <c r="M5985" s="846"/>
      <c r="N5985" s="846"/>
      <c r="O5985" s="846"/>
      <c r="P5985" s="846"/>
      <c r="Q5985" s="846"/>
      <c r="R5985" s="846"/>
      <c r="S5985" s="846"/>
      <c r="T5985" s="846"/>
    </row>
    <row r="5986" spans="2:20" ht="38.25" hidden="1">
      <c r="B5986" s="828" t="s">
        <v>6542</v>
      </c>
      <c r="C5986" s="828">
        <v>96131</v>
      </c>
      <c r="D5986" s="630" t="s">
        <v>2614</v>
      </c>
      <c r="E5986" s="630" t="s">
        <v>649</v>
      </c>
      <c r="F5986" s="829">
        <v>18.68</v>
      </c>
      <c r="G5986" s="830">
        <v>14.66</v>
      </c>
      <c r="H5986" s="831">
        <v>33.340000000000003</v>
      </c>
      <c r="I5986" s="846"/>
      <c r="J5986" s="846"/>
      <c r="K5986" s="846"/>
      <c r="L5986" s="846"/>
      <c r="M5986" s="846"/>
      <c r="N5986" s="846"/>
      <c r="O5986" s="846"/>
      <c r="P5986" s="846"/>
      <c r="Q5986" s="846"/>
      <c r="R5986" s="846"/>
      <c r="S5986" s="846"/>
      <c r="T5986" s="846"/>
    </row>
    <row r="5987" spans="2:20" ht="38.25" hidden="1">
      <c r="B5987" s="828" t="s">
        <v>6542</v>
      </c>
      <c r="C5987" s="828">
        <v>96132</v>
      </c>
      <c r="D5987" s="630" t="s">
        <v>2615</v>
      </c>
      <c r="E5987" s="630" t="s">
        <v>649</v>
      </c>
      <c r="F5987" s="829">
        <v>17</v>
      </c>
      <c r="G5987" s="830">
        <v>9.51</v>
      </c>
      <c r="H5987" s="831">
        <v>26.51</v>
      </c>
      <c r="I5987" s="846"/>
      <c r="J5987" s="846"/>
      <c r="K5987" s="846"/>
      <c r="L5987" s="846"/>
      <c r="M5987" s="846"/>
      <c r="N5987" s="846"/>
      <c r="O5987" s="846"/>
      <c r="P5987" s="846"/>
      <c r="Q5987" s="846"/>
      <c r="R5987" s="846"/>
      <c r="S5987" s="846"/>
      <c r="T5987" s="846"/>
    </row>
    <row r="5988" spans="2:20" ht="38.25" hidden="1">
      <c r="B5988" s="828" t="s">
        <v>6542</v>
      </c>
      <c r="C5988" s="828">
        <v>96133</v>
      </c>
      <c r="D5988" s="630" t="s">
        <v>2616</v>
      </c>
      <c r="E5988" s="630" t="s">
        <v>649</v>
      </c>
      <c r="F5988" s="829">
        <v>22.09</v>
      </c>
      <c r="G5988" s="830">
        <v>25.06</v>
      </c>
      <c r="H5988" s="831">
        <v>47.15</v>
      </c>
      <c r="I5988" s="846"/>
      <c r="J5988" s="846"/>
      <c r="K5988" s="846"/>
      <c r="L5988" s="846"/>
      <c r="M5988" s="846"/>
      <c r="N5988" s="846"/>
      <c r="O5988" s="846"/>
      <c r="P5988" s="846"/>
      <c r="Q5988" s="846"/>
      <c r="R5988" s="846"/>
      <c r="S5988" s="846"/>
      <c r="T5988" s="846"/>
    </row>
    <row r="5989" spans="2:20" ht="38.25" hidden="1">
      <c r="B5989" s="828" t="s">
        <v>6542</v>
      </c>
      <c r="C5989" s="828">
        <v>96134</v>
      </c>
      <c r="D5989" s="630" t="s">
        <v>2617</v>
      </c>
      <c r="E5989" s="630" t="s">
        <v>649</v>
      </c>
      <c r="F5989" s="829">
        <v>23.19</v>
      </c>
      <c r="G5989" s="830">
        <v>28.36</v>
      </c>
      <c r="H5989" s="831">
        <v>51.55</v>
      </c>
      <c r="I5989" s="846"/>
      <c r="J5989" s="846"/>
      <c r="K5989" s="846"/>
      <c r="L5989" s="846"/>
      <c r="M5989" s="846"/>
      <c r="N5989" s="846"/>
      <c r="O5989" s="846"/>
      <c r="P5989" s="846"/>
      <c r="Q5989" s="846"/>
      <c r="R5989" s="846"/>
      <c r="S5989" s="846"/>
      <c r="T5989" s="846"/>
    </row>
    <row r="5990" spans="2:20" ht="25.5" hidden="1">
      <c r="B5990" s="828" t="s">
        <v>6542</v>
      </c>
      <c r="C5990" s="828">
        <v>96135</v>
      </c>
      <c r="D5990" s="630" t="s">
        <v>2618</v>
      </c>
      <c r="E5990" s="630" t="s">
        <v>649</v>
      </c>
      <c r="F5990" s="829">
        <v>19.23</v>
      </c>
      <c r="G5990" s="830">
        <v>16.29</v>
      </c>
      <c r="H5990" s="831">
        <v>35.520000000000003</v>
      </c>
      <c r="I5990" s="846"/>
      <c r="J5990" s="846"/>
      <c r="K5990" s="846"/>
      <c r="L5990" s="846"/>
      <c r="M5990" s="846"/>
      <c r="N5990" s="846"/>
      <c r="O5990" s="846"/>
      <c r="P5990" s="846"/>
      <c r="Q5990" s="846"/>
      <c r="R5990" s="846"/>
      <c r="S5990" s="846"/>
      <c r="T5990" s="846"/>
    </row>
    <row r="5991" spans="2:20" ht="25.5" hidden="1">
      <c r="B5991" s="828" t="s">
        <v>6676</v>
      </c>
      <c r="C5991" s="828">
        <v>102193</v>
      </c>
      <c r="D5991" s="630" t="s">
        <v>6068</v>
      </c>
      <c r="E5991" s="630" t="s">
        <v>649</v>
      </c>
      <c r="F5991" s="829">
        <v>1.07</v>
      </c>
      <c r="G5991" s="830">
        <v>1.32</v>
      </c>
      <c r="H5991" s="831">
        <v>2.39</v>
      </c>
      <c r="I5991" s="846"/>
      <c r="J5991" s="846"/>
      <c r="K5991" s="846"/>
      <c r="L5991" s="846"/>
      <c r="M5991" s="846"/>
      <c r="N5991" s="846"/>
      <c r="O5991" s="846"/>
      <c r="P5991" s="846"/>
      <c r="Q5991" s="846"/>
      <c r="R5991" s="846"/>
      <c r="S5991" s="846"/>
      <c r="T5991" s="846"/>
    </row>
    <row r="5992" spans="2:20" hidden="1">
      <c r="B5992" s="828" t="s">
        <v>6676</v>
      </c>
      <c r="C5992" s="828">
        <v>102194</v>
      </c>
      <c r="D5992" s="630" t="s">
        <v>6069</v>
      </c>
      <c r="E5992" s="630" t="s">
        <v>649</v>
      </c>
      <c r="F5992" s="829">
        <v>2.84</v>
      </c>
      <c r="G5992" s="830">
        <v>6.33</v>
      </c>
      <c r="H5992" s="831">
        <v>9.17</v>
      </c>
      <c r="I5992" s="846"/>
      <c r="J5992" s="846"/>
      <c r="K5992" s="846"/>
      <c r="L5992" s="846"/>
      <c r="M5992" s="846"/>
      <c r="N5992" s="846"/>
      <c r="O5992" s="846"/>
      <c r="P5992" s="846"/>
      <c r="Q5992" s="846"/>
      <c r="R5992" s="846"/>
      <c r="S5992" s="846"/>
      <c r="T5992" s="846"/>
    </row>
    <row r="5993" spans="2:20" ht="25.5" hidden="1">
      <c r="B5993" s="828" t="s">
        <v>6676</v>
      </c>
      <c r="C5993" s="828">
        <v>102197</v>
      </c>
      <c r="D5993" s="630" t="s">
        <v>6070</v>
      </c>
      <c r="E5993" s="630" t="s">
        <v>649</v>
      </c>
      <c r="F5993" s="829">
        <v>27.35</v>
      </c>
      <c r="G5993" s="830">
        <v>6.78</v>
      </c>
      <c r="H5993" s="831">
        <v>34.130000000000003</v>
      </c>
      <c r="I5993" s="846"/>
      <c r="J5993" s="846"/>
      <c r="K5993" s="846"/>
      <c r="L5993" s="846"/>
      <c r="M5993" s="846"/>
      <c r="N5993" s="846"/>
      <c r="O5993" s="846"/>
      <c r="P5993" s="846"/>
      <c r="Q5993" s="846"/>
      <c r="R5993" s="846"/>
      <c r="S5993" s="846"/>
      <c r="T5993" s="846"/>
    </row>
    <row r="5994" spans="2:20" ht="25.5" hidden="1">
      <c r="B5994" s="828" t="s">
        <v>6676</v>
      </c>
      <c r="C5994" s="828">
        <v>102200</v>
      </c>
      <c r="D5994" s="630" t="s">
        <v>6071</v>
      </c>
      <c r="E5994" s="630" t="s">
        <v>649</v>
      </c>
      <c r="F5994" s="829">
        <v>16.829999999999998</v>
      </c>
      <c r="G5994" s="830">
        <v>8.9</v>
      </c>
      <c r="H5994" s="831">
        <v>25.73</v>
      </c>
      <c r="I5994" s="846"/>
      <c r="J5994" s="846"/>
      <c r="K5994" s="846"/>
      <c r="L5994" s="846"/>
      <c r="M5994" s="846"/>
      <c r="N5994" s="846"/>
      <c r="O5994" s="846"/>
      <c r="P5994" s="846"/>
      <c r="Q5994" s="846"/>
      <c r="R5994" s="846"/>
      <c r="S5994" s="846"/>
      <c r="T5994" s="846"/>
    </row>
    <row r="5995" spans="2:20" ht="25.5" hidden="1">
      <c r="B5995" s="828" t="s">
        <v>6676</v>
      </c>
      <c r="C5995" s="828">
        <v>102201</v>
      </c>
      <c r="D5995" s="630" t="s">
        <v>7167</v>
      </c>
      <c r="E5995" s="630" t="s">
        <v>649</v>
      </c>
      <c r="F5995" s="829">
        <v>11.77</v>
      </c>
      <c r="G5995" s="830">
        <v>10.95</v>
      </c>
      <c r="H5995" s="831">
        <v>22.72</v>
      </c>
      <c r="I5995" s="846"/>
      <c r="J5995" s="846"/>
      <c r="K5995" s="846"/>
      <c r="L5995" s="846"/>
      <c r="M5995" s="846"/>
      <c r="N5995" s="846"/>
      <c r="O5995" s="846"/>
      <c r="P5995" s="846"/>
      <c r="Q5995" s="846"/>
      <c r="R5995" s="846"/>
      <c r="S5995" s="846"/>
      <c r="T5995" s="846"/>
    </row>
    <row r="5996" spans="2:20" ht="25.5" hidden="1">
      <c r="B5996" s="828" t="s">
        <v>6676</v>
      </c>
      <c r="C5996" s="828">
        <v>102202</v>
      </c>
      <c r="D5996" s="630" t="s">
        <v>6072</v>
      </c>
      <c r="E5996" s="630" t="s">
        <v>649</v>
      </c>
      <c r="F5996" s="829">
        <v>58.02</v>
      </c>
      <c r="G5996" s="830">
        <v>8.89</v>
      </c>
      <c r="H5996" s="831">
        <v>66.91</v>
      </c>
      <c r="I5996" s="846"/>
      <c r="J5996" s="846"/>
      <c r="K5996" s="846"/>
      <c r="L5996" s="846"/>
      <c r="M5996" s="846"/>
      <c r="N5996" s="846"/>
      <c r="O5996" s="846"/>
      <c r="P5996" s="846"/>
      <c r="Q5996" s="846"/>
      <c r="R5996" s="846"/>
      <c r="S5996" s="846"/>
      <c r="T5996" s="846"/>
    </row>
    <row r="5997" spans="2:20" ht="25.5" hidden="1">
      <c r="B5997" s="828" t="s">
        <v>6676</v>
      </c>
      <c r="C5997" s="828">
        <v>102203</v>
      </c>
      <c r="D5997" s="630" t="s">
        <v>6073</v>
      </c>
      <c r="E5997" s="630" t="s">
        <v>649</v>
      </c>
      <c r="F5997" s="829">
        <v>4.7699999999999996</v>
      </c>
      <c r="G5997" s="830">
        <v>5.73</v>
      </c>
      <c r="H5997" s="831">
        <v>10.5</v>
      </c>
      <c r="I5997" s="846"/>
      <c r="J5997" s="846"/>
      <c r="K5997" s="846"/>
      <c r="L5997" s="846"/>
      <c r="M5997" s="846"/>
      <c r="N5997" s="846"/>
      <c r="O5997" s="846"/>
      <c r="P5997" s="846"/>
      <c r="Q5997" s="846"/>
      <c r="R5997" s="846"/>
      <c r="S5997" s="846"/>
      <c r="T5997" s="846"/>
    </row>
    <row r="5998" spans="2:20" ht="25.5" hidden="1">
      <c r="B5998" s="828" t="s">
        <v>6676</v>
      </c>
      <c r="C5998" s="828">
        <v>102204</v>
      </c>
      <c r="D5998" s="630" t="s">
        <v>6074</v>
      </c>
      <c r="E5998" s="630" t="s">
        <v>649</v>
      </c>
      <c r="F5998" s="829">
        <v>5.04</v>
      </c>
      <c r="G5998" s="830">
        <v>5.73</v>
      </c>
      <c r="H5998" s="831">
        <v>10.77</v>
      </c>
      <c r="I5998" s="846"/>
      <c r="J5998" s="846"/>
      <c r="K5998" s="846"/>
      <c r="L5998" s="846"/>
      <c r="M5998" s="846"/>
      <c r="N5998" s="846"/>
      <c r="O5998" s="846"/>
      <c r="P5998" s="846"/>
      <c r="Q5998" s="846"/>
      <c r="R5998" s="846"/>
      <c r="S5998" s="846"/>
      <c r="T5998" s="846"/>
    </row>
    <row r="5999" spans="2:20" ht="25.5" hidden="1">
      <c r="B5999" s="828" t="s">
        <v>6676</v>
      </c>
      <c r="C5999" s="828">
        <v>102205</v>
      </c>
      <c r="D5999" s="630" t="s">
        <v>6075</v>
      </c>
      <c r="E5999" s="630" t="s">
        <v>649</v>
      </c>
      <c r="F5999" s="829">
        <v>4.17</v>
      </c>
      <c r="G5999" s="830">
        <v>5.73</v>
      </c>
      <c r="H5999" s="831">
        <v>9.9</v>
      </c>
      <c r="I5999" s="846"/>
      <c r="J5999" s="846"/>
      <c r="K5999" s="846"/>
      <c r="L5999" s="846"/>
      <c r="M5999" s="846"/>
      <c r="N5999" s="846"/>
      <c r="O5999" s="846"/>
      <c r="P5999" s="846"/>
      <c r="Q5999" s="846"/>
      <c r="R5999" s="846"/>
      <c r="S5999" s="846"/>
      <c r="T5999" s="846"/>
    </row>
    <row r="6000" spans="2:20" ht="25.5" hidden="1">
      <c r="B6000" s="828" t="s">
        <v>6676</v>
      </c>
      <c r="C6000" s="828">
        <v>102207</v>
      </c>
      <c r="D6000" s="630" t="s">
        <v>6076</v>
      </c>
      <c r="E6000" s="630" t="s">
        <v>649</v>
      </c>
      <c r="F6000" s="829">
        <v>4.24</v>
      </c>
      <c r="G6000" s="830">
        <v>4.62</v>
      </c>
      <c r="H6000" s="831">
        <v>8.86</v>
      </c>
      <c r="I6000" s="846"/>
      <c r="J6000" s="846"/>
      <c r="K6000" s="846"/>
      <c r="L6000" s="846"/>
      <c r="M6000" s="846"/>
      <c r="N6000" s="846"/>
      <c r="O6000" s="846"/>
      <c r="P6000" s="846"/>
      <c r="Q6000" s="846"/>
      <c r="R6000" s="846"/>
      <c r="S6000" s="846"/>
      <c r="T6000" s="846"/>
    </row>
    <row r="6001" spans="2:20" ht="25.5" hidden="1">
      <c r="B6001" s="828" t="s">
        <v>6676</v>
      </c>
      <c r="C6001" s="828">
        <v>102208</v>
      </c>
      <c r="D6001" s="630" t="s">
        <v>6077</v>
      </c>
      <c r="E6001" s="630" t="s">
        <v>649</v>
      </c>
      <c r="F6001" s="829">
        <v>3.88</v>
      </c>
      <c r="G6001" s="830">
        <v>4.62</v>
      </c>
      <c r="H6001" s="831">
        <v>8.5</v>
      </c>
      <c r="I6001" s="846"/>
      <c r="J6001" s="846"/>
      <c r="K6001" s="846"/>
      <c r="L6001" s="846"/>
      <c r="M6001" s="846"/>
      <c r="N6001" s="846"/>
      <c r="O6001" s="846"/>
      <c r="P6001" s="846"/>
      <c r="Q6001" s="846"/>
      <c r="R6001" s="846"/>
      <c r="S6001" s="846"/>
      <c r="T6001" s="846"/>
    </row>
    <row r="6002" spans="2:20" ht="25.5" hidden="1">
      <c r="B6002" s="828" t="s">
        <v>6676</v>
      </c>
      <c r="C6002" s="828">
        <v>102209</v>
      </c>
      <c r="D6002" s="630" t="s">
        <v>6078</v>
      </c>
      <c r="E6002" s="630" t="s">
        <v>649</v>
      </c>
      <c r="F6002" s="829">
        <v>4.1100000000000003</v>
      </c>
      <c r="G6002" s="830">
        <v>4.62</v>
      </c>
      <c r="H6002" s="831">
        <v>8.73</v>
      </c>
      <c r="I6002" s="846"/>
      <c r="J6002" s="846"/>
      <c r="K6002" s="846"/>
      <c r="L6002" s="846"/>
      <c r="M6002" s="846"/>
      <c r="N6002" s="846"/>
      <c r="O6002" s="846"/>
      <c r="P6002" s="846"/>
      <c r="Q6002" s="846"/>
      <c r="R6002" s="846"/>
      <c r="S6002" s="846"/>
      <c r="T6002" s="846"/>
    </row>
    <row r="6003" spans="2:20" ht="25.5" hidden="1">
      <c r="B6003" s="828" t="s">
        <v>6676</v>
      </c>
      <c r="C6003" s="828">
        <v>102210</v>
      </c>
      <c r="D6003" s="630" t="s">
        <v>6079</v>
      </c>
      <c r="E6003" s="630" t="s">
        <v>649</v>
      </c>
      <c r="F6003" s="829">
        <v>3.76</v>
      </c>
      <c r="G6003" s="830">
        <v>4.62</v>
      </c>
      <c r="H6003" s="831">
        <v>8.3800000000000008</v>
      </c>
      <c r="I6003" s="846"/>
      <c r="J6003" s="846"/>
      <c r="K6003" s="846"/>
      <c r="L6003" s="846"/>
      <c r="M6003" s="846"/>
      <c r="N6003" s="846"/>
      <c r="O6003" s="846"/>
      <c r="P6003" s="846"/>
      <c r="Q6003" s="846"/>
      <c r="R6003" s="846"/>
      <c r="S6003" s="846"/>
      <c r="T6003" s="846"/>
    </row>
    <row r="6004" spans="2:20" ht="25.5" hidden="1">
      <c r="B6004" s="828" t="s">
        <v>6676</v>
      </c>
      <c r="C6004" s="828">
        <v>102213</v>
      </c>
      <c r="D6004" s="630" t="s">
        <v>6080</v>
      </c>
      <c r="E6004" s="630" t="s">
        <v>649</v>
      </c>
      <c r="F6004" s="829">
        <v>9.56</v>
      </c>
      <c r="G6004" s="830">
        <v>11.45</v>
      </c>
      <c r="H6004" s="831">
        <v>21.01</v>
      </c>
      <c r="I6004" s="846"/>
      <c r="J6004" s="846"/>
      <c r="K6004" s="846"/>
      <c r="L6004" s="846"/>
      <c r="M6004" s="846"/>
      <c r="N6004" s="846"/>
      <c r="O6004" s="846"/>
      <c r="P6004" s="846"/>
      <c r="Q6004" s="846"/>
      <c r="R6004" s="846"/>
      <c r="S6004" s="846"/>
      <c r="T6004" s="846"/>
    </row>
    <row r="6005" spans="2:20" ht="25.5" hidden="1">
      <c r="B6005" s="828" t="s">
        <v>6676</v>
      </c>
      <c r="C6005" s="828">
        <v>102214</v>
      </c>
      <c r="D6005" s="630" t="s">
        <v>6081</v>
      </c>
      <c r="E6005" s="630" t="s">
        <v>649</v>
      </c>
      <c r="F6005" s="829">
        <v>10.09</v>
      </c>
      <c r="G6005" s="830">
        <v>11.45</v>
      </c>
      <c r="H6005" s="831">
        <v>21.54</v>
      </c>
      <c r="I6005" s="846"/>
      <c r="J6005" s="846"/>
      <c r="K6005" s="846"/>
      <c r="L6005" s="846"/>
      <c r="M6005" s="846"/>
      <c r="N6005" s="846"/>
      <c r="O6005" s="846"/>
      <c r="P6005" s="846"/>
      <c r="Q6005" s="846"/>
      <c r="R6005" s="846"/>
      <c r="S6005" s="846"/>
      <c r="T6005" s="846"/>
    </row>
    <row r="6006" spans="2:20" ht="25.5" hidden="1">
      <c r="B6006" s="828" t="s">
        <v>6676</v>
      </c>
      <c r="C6006" s="828">
        <v>102215</v>
      </c>
      <c r="D6006" s="630" t="s">
        <v>6082</v>
      </c>
      <c r="E6006" s="630" t="s">
        <v>649</v>
      </c>
      <c r="F6006" s="829">
        <v>8.36</v>
      </c>
      <c r="G6006" s="830">
        <v>11.45</v>
      </c>
      <c r="H6006" s="831">
        <v>19.809999999999999</v>
      </c>
      <c r="I6006" s="846"/>
      <c r="J6006" s="846"/>
      <c r="K6006" s="846"/>
      <c r="L6006" s="846"/>
      <c r="M6006" s="846"/>
      <c r="N6006" s="846"/>
      <c r="O6006" s="846"/>
      <c r="P6006" s="846"/>
      <c r="Q6006" s="846"/>
      <c r="R6006" s="846"/>
      <c r="S6006" s="846"/>
      <c r="T6006" s="846"/>
    </row>
    <row r="6007" spans="2:20" ht="25.5" hidden="1">
      <c r="B6007" s="828" t="s">
        <v>6676</v>
      </c>
      <c r="C6007" s="828">
        <v>102217</v>
      </c>
      <c r="D6007" s="630" t="s">
        <v>6083</v>
      </c>
      <c r="E6007" s="630" t="s">
        <v>649</v>
      </c>
      <c r="F6007" s="829">
        <v>8.51</v>
      </c>
      <c r="G6007" s="830">
        <v>9.2200000000000006</v>
      </c>
      <c r="H6007" s="831">
        <v>17.73</v>
      </c>
      <c r="I6007" s="846"/>
      <c r="J6007" s="846"/>
      <c r="K6007" s="846"/>
      <c r="L6007" s="846"/>
      <c r="M6007" s="846"/>
      <c r="N6007" s="846"/>
      <c r="O6007" s="846"/>
      <c r="P6007" s="846"/>
      <c r="Q6007" s="846"/>
      <c r="R6007" s="846"/>
      <c r="S6007" s="846"/>
      <c r="T6007" s="846"/>
    </row>
    <row r="6008" spans="2:20" ht="25.5" hidden="1">
      <c r="B6008" s="828" t="s">
        <v>6676</v>
      </c>
      <c r="C6008" s="828">
        <v>102218</v>
      </c>
      <c r="D6008" s="630" t="s">
        <v>6084</v>
      </c>
      <c r="E6008" s="630" t="s">
        <v>649</v>
      </c>
      <c r="F6008" s="829">
        <v>7.77</v>
      </c>
      <c r="G6008" s="830">
        <v>9.2200000000000006</v>
      </c>
      <c r="H6008" s="831">
        <v>16.989999999999998</v>
      </c>
      <c r="I6008" s="846"/>
      <c r="J6008" s="846"/>
      <c r="K6008" s="846"/>
      <c r="L6008" s="846"/>
      <c r="M6008" s="846"/>
      <c r="N6008" s="846"/>
      <c r="O6008" s="846"/>
      <c r="P6008" s="846"/>
      <c r="Q6008" s="846"/>
      <c r="R6008" s="846"/>
      <c r="S6008" s="846"/>
      <c r="T6008" s="846"/>
    </row>
    <row r="6009" spans="2:20" ht="25.5" hidden="1">
      <c r="B6009" s="828" t="s">
        <v>6676</v>
      </c>
      <c r="C6009" s="828">
        <v>102219</v>
      </c>
      <c r="D6009" s="630" t="s">
        <v>6085</v>
      </c>
      <c r="E6009" s="630" t="s">
        <v>649</v>
      </c>
      <c r="F6009" s="829">
        <v>8.24</v>
      </c>
      <c r="G6009" s="830">
        <v>9.2200000000000006</v>
      </c>
      <c r="H6009" s="831">
        <v>17.46</v>
      </c>
      <c r="I6009" s="846"/>
      <c r="J6009" s="846"/>
      <c r="K6009" s="846"/>
      <c r="L6009" s="846"/>
      <c r="M6009" s="846"/>
      <c r="N6009" s="846"/>
      <c r="O6009" s="846"/>
      <c r="P6009" s="846"/>
      <c r="Q6009" s="846"/>
      <c r="R6009" s="846"/>
      <c r="S6009" s="846"/>
      <c r="T6009" s="846"/>
    </row>
    <row r="6010" spans="2:20" ht="25.5" hidden="1">
      <c r="B6010" s="828" t="s">
        <v>6676</v>
      </c>
      <c r="C6010" s="828">
        <v>102220</v>
      </c>
      <c r="D6010" s="630" t="s">
        <v>6086</v>
      </c>
      <c r="E6010" s="630" t="s">
        <v>649</v>
      </c>
      <c r="F6010" s="829">
        <v>7.54</v>
      </c>
      <c r="G6010" s="830">
        <v>9.2200000000000006</v>
      </c>
      <c r="H6010" s="831">
        <v>16.760000000000002</v>
      </c>
      <c r="I6010" s="846"/>
      <c r="J6010" s="846"/>
      <c r="K6010" s="846"/>
      <c r="L6010" s="846"/>
      <c r="M6010" s="846"/>
      <c r="N6010" s="846"/>
      <c r="O6010" s="846"/>
      <c r="P6010" s="846"/>
      <c r="Q6010" s="846"/>
      <c r="R6010" s="846"/>
      <c r="S6010" s="846"/>
      <c r="T6010" s="846"/>
    </row>
    <row r="6011" spans="2:20" ht="25.5" hidden="1">
      <c r="B6011" s="828" t="s">
        <v>6676</v>
      </c>
      <c r="C6011" s="828">
        <v>102223</v>
      </c>
      <c r="D6011" s="630" t="s">
        <v>6087</v>
      </c>
      <c r="E6011" s="630" t="s">
        <v>649</v>
      </c>
      <c r="F6011" s="829">
        <v>14.36</v>
      </c>
      <c r="G6011" s="830">
        <v>17.149999999999999</v>
      </c>
      <c r="H6011" s="831">
        <v>31.51</v>
      </c>
      <c r="I6011" s="846"/>
      <c r="J6011" s="846"/>
      <c r="K6011" s="846"/>
      <c r="L6011" s="846"/>
      <c r="M6011" s="846"/>
      <c r="N6011" s="846"/>
      <c r="O6011" s="846"/>
      <c r="P6011" s="846"/>
      <c r="Q6011" s="846"/>
      <c r="R6011" s="846"/>
      <c r="S6011" s="846"/>
      <c r="T6011" s="846"/>
    </row>
    <row r="6012" spans="2:20" ht="25.5" hidden="1">
      <c r="B6012" s="828" t="s">
        <v>6676</v>
      </c>
      <c r="C6012" s="828">
        <v>102224</v>
      </c>
      <c r="D6012" s="630" t="s">
        <v>6088</v>
      </c>
      <c r="E6012" s="630" t="s">
        <v>649</v>
      </c>
      <c r="F6012" s="829">
        <v>15.18</v>
      </c>
      <c r="G6012" s="830">
        <v>17.149999999999999</v>
      </c>
      <c r="H6012" s="831">
        <v>32.33</v>
      </c>
      <c r="I6012" s="846"/>
      <c r="J6012" s="846"/>
      <c r="K6012" s="846"/>
      <c r="L6012" s="846"/>
      <c r="M6012" s="846"/>
      <c r="N6012" s="846"/>
      <c r="O6012" s="846"/>
      <c r="P6012" s="846"/>
      <c r="Q6012" s="846"/>
      <c r="R6012" s="846"/>
      <c r="S6012" s="846"/>
      <c r="T6012" s="846"/>
    </row>
    <row r="6013" spans="2:20" ht="25.5" hidden="1">
      <c r="B6013" s="828" t="s">
        <v>6676</v>
      </c>
      <c r="C6013" s="828">
        <v>102225</v>
      </c>
      <c r="D6013" s="630" t="s">
        <v>6089</v>
      </c>
      <c r="E6013" s="630" t="s">
        <v>649</v>
      </c>
      <c r="F6013" s="829">
        <v>12.57</v>
      </c>
      <c r="G6013" s="830">
        <v>17.149999999999999</v>
      </c>
      <c r="H6013" s="831">
        <v>29.72</v>
      </c>
      <c r="I6013" s="846"/>
      <c r="J6013" s="846"/>
      <c r="K6013" s="846"/>
      <c r="L6013" s="846"/>
      <c r="M6013" s="846"/>
      <c r="N6013" s="846"/>
      <c r="O6013" s="846"/>
      <c r="P6013" s="846"/>
      <c r="Q6013" s="846"/>
      <c r="R6013" s="846"/>
      <c r="S6013" s="846"/>
      <c r="T6013" s="846"/>
    </row>
    <row r="6014" spans="2:20" ht="25.5" hidden="1">
      <c r="B6014" s="828" t="s">
        <v>6676</v>
      </c>
      <c r="C6014" s="828">
        <v>102227</v>
      </c>
      <c r="D6014" s="630" t="s">
        <v>6090</v>
      </c>
      <c r="E6014" s="630" t="s">
        <v>649</v>
      </c>
      <c r="F6014" s="829">
        <v>12.76</v>
      </c>
      <c r="G6014" s="830">
        <v>13.84</v>
      </c>
      <c r="H6014" s="831">
        <v>26.6</v>
      </c>
      <c r="I6014" s="846"/>
      <c r="J6014" s="846"/>
      <c r="K6014" s="846"/>
      <c r="L6014" s="846"/>
      <c r="M6014" s="846"/>
      <c r="N6014" s="846"/>
      <c r="O6014" s="846"/>
      <c r="P6014" s="846"/>
      <c r="Q6014" s="846"/>
      <c r="R6014" s="846"/>
      <c r="S6014" s="846"/>
      <c r="T6014" s="846"/>
    </row>
    <row r="6015" spans="2:20" ht="25.5" hidden="1">
      <c r="B6015" s="828" t="s">
        <v>6676</v>
      </c>
      <c r="C6015" s="828">
        <v>102228</v>
      </c>
      <c r="D6015" s="630" t="s">
        <v>6091</v>
      </c>
      <c r="E6015" s="630" t="s">
        <v>649</v>
      </c>
      <c r="F6015" s="829">
        <v>11.68</v>
      </c>
      <c r="G6015" s="830">
        <v>13.84</v>
      </c>
      <c r="H6015" s="831">
        <v>25.52</v>
      </c>
      <c r="I6015" s="846"/>
      <c r="J6015" s="846"/>
      <c r="K6015" s="846"/>
      <c r="L6015" s="846"/>
      <c r="M6015" s="846"/>
      <c r="N6015" s="846"/>
      <c r="O6015" s="846"/>
      <c r="P6015" s="846"/>
      <c r="Q6015" s="846"/>
      <c r="R6015" s="846"/>
      <c r="S6015" s="846"/>
      <c r="T6015" s="846"/>
    </row>
    <row r="6016" spans="2:20" ht="25.5" hidden="1">
      <c r="B6016" s="828" t="s">
        <v>6676</v>
      </c>
      <c r="C6016" s="828">
        <v>102229</v>
      </c>
      <c r="D6016" s="630" t="s">
        <v>6092</v>
      </c>
      <c r="E6016" s="630" t="s">
        <v>649</v>
      </c>
      <c r="F6016" s="829">
        <v>12.38</v>
      </c>
      <c r="G6016" s="830">
        <v>13.84</v>
      </c>
      <c r="H6016" s="831">
        <v>26.22</v>
      </c>
      <c r="I6016" s="846"/>
      <c r="J6016" s="846"/>
      <c r="K6016" s="846"/>
      <c r="L6016" s="846"/>
      <c r="M6016" s="846"/>
      <c r="N6016" s="846"/>
      <c r="O6016" s="846"/>
      <c r="P6016" s="846"/>
      <c r="Q6016" s="846"/>
      <c r="R6016" s="846"/>
      <c r="S6016" s="846"/>
      <c r="T6016" s="846"/>
    </row>
    <row r="6017" spans="2:20" ht="25.5" hidden="1">
      <c r="B6017" s="828" t="s">
        <v>6676</v>
      </c>
      <c r="C6017" s="828">
        <v>102230</v>
      </c>
      <c r="D6017" s="630" t="s">
        <v>6093</v>
      </c>
      <c r="E6017" s="630" t="s">
        <v>649</v>
      </c>
      <c r="F6017" s="829">
        <v>11.31</v>
      </c>
      <c r="G6017" s="830">
        <v>13.84</v>
      </c>
      <c r="H6017" s="831">
        <v>25.15</v>
      </c>
      <c r="I6017" s="846"/>
      <c r="J6017" s="846"/>
      <c r="K6017" s="846"/>
      <c r="L6017" s="846"/>
      <c r="M6017" s="846"/>
      <c r="N6017" s="846"/>
      <c r="O6017" s="846"/>
      <c r="P6017" s="846"/>
      <c r="Q6017" s="846"/>
      <c r="R6017" s="846"/>
      <c r="S6017" s="846"/>
      <c r="T6017" s="846"/>
    </row>
    <row r="6018" spans="2:20" hidden="1">
      <c r="B6018" s="828" t="s">
        <v>6676</v>
      </c>
      <c r="C6018" s="828">
        <v>102233</v>
      </c>
      <c r="D6018" s="630" t="s">
        <v>6094</v>
      </c>
      <c r="E6018" s="630" t="s">
        <v>649</v>
      </c>
      <c r="F6018" s="829">
        <v>6.37</v>
      </c>
      <c r="G6018" s="830">
        <v>5.49</v>
      </c>
      <c r="H6018" s="831">
        <v>11.86</v>
      </c>
      <c r="I6018" s="846"/>
      <c r="J6018" s="846"/>
      <c r="K6018" s="846"/>
      <c r="L6018" s="846"/>
      <c r="M6018" s="846"/>
      <c r="N6018" s="846"/>
      <c r="O6018" s="846"/>
      <c r="P6018" s="846"/>
      <c r="Q6018" s="846"/>
      <c r="R6018" s="846"/>
      <c r="S6018" s="846"/>
      <c r="T6018" s="846"/>
    </row>
    <row r="6019" spans="2:20" hidden="1">
      <c r="B6019" s="828" t="s">
        <v>6676</v>
      </c>
      <c r="C6019" s="828">
        <v>102234</v>
      </c>
      <c r="D6019" s="630" t="s">
        <v>6095</v>
      </c>
      <c r="E6019" s="630" t="s">
        <v>649</v>
      </c>
      <c r="F6019" s="829">
        <v>12.74</v>
      </c>
      <c r="G6019" s="830">
        <v>10.97</v>
      </c>
      <c r="H6019" s="831">
        <v>23.71</v>
      </c>
      <c r="I6019" s="846"/>
      <c r="J6019" s="846"/>
      <c r="K6019" s="846"/>
      <c r="L6019" s="846"/>
      <c r="M6019" s="846"/>
      <c r="N6019" s="846"/>
      <c r="O6019" s="846"/>
      <c r="P6019" s="846"/>
      <c r="Q6019" s="846"/>
      <c r="R6019" s="846"/>
      <c r="S6019" s="846"/>
      <c r="T6019" s="846"/>
    </row>
    <row r="6020" spans="2:20" ht="25.5" hidden="1">
      <c r="B6020" s="828" t="s">
        <v>6641</v>
      </c>
      <c r="C6020" s="828">
        <v>100716</v>
      </c>
      <c r="D6020" s="630" t="s">
        <v>4507</v>
      </c>
      <c r="E6020" s="630" t="s">
        <v>649</v>
      </c>
      <c r="F6020" s="829">
        <v>25.64</v>
      </c>
      <c r="G6020" s="830">
        <v>3.27</v>
      </c>
      <c r="H6020" s="831">
        <v>28.91</v>
      </c>
      <c r="I6020" s="846"/>
      <c r="J6020" s="846"/>
      <c r="K6020" s="846"/>
      <c r="L6020" s="846"/>
      <c r="M6020" s="846"/>
      <c r="N6020" s="846"/>
      <c r="O6020" s="846"/>
      <c r="P6020" s="846"/>
      <c r="Q6020" s="846"/>
      <c r="R6020" s="846"/>
      <c r="S6020" s="846"/>
      <c r="T6020" s="846"/>
    </row>
    <row r="6021" spans="2:20" hidden="1">
      <c r="B6021" s="828" t="s">
        <v>6641</v>
      </c>
      <c r="C6021" s="828">
        <v>100717</v>
      </c>
      <c r="D6021" s="630" t="s">
        <v>4508</v>
      </c>
      <c r="E6021" s="630" t="s">
        <v>649</v>
      </c>
      <c r="F6021" s="829">
        <v>3.78</v>
      </c>
      <c r="G6021" s="830">
        <v>7.25</v>
      </c>
      <c r="H6021" s="831">
        <v>11.03</v>
      </c>
      <c r="I6021" s="846"/>
      <c r="J6021" s="846"/>
      <c r="K6021" s="846"/>
      <c r="L6021" s="846"/>
      <c r="M6021" s="846"/>
      <c r="N6021" s="846"/>
      <c r="O6021" s="846"/>
      <c r="P6021" s="846"/>
      <c r="Q6021" s="846"/>
      <c r="R6021" s="846"/>
      <c r="S6021" s="846"/>
      <c r="T6021" s="846"/>
    </row>
    <row r="6022" spans="2:20" hidden="1">
      <c r="B6022" s="828" t="s">
        <v>6641</v>
      </c>
      <c r="C6022" s="828">
        <v>100718</v>
      </c>
      <c r="D6022" s="630" t="s">
        <v>4509</v>
      </c>
      <c r="E6022" s="630" t="s">
        <v>648</v>
      </c>
      <c r="F6022" s="829">
        <v>0.45</v>
      </c>
      <c r="G6022" s="830">
        <v>1.01</v>
      </c>
      <c r="H6022" s="831">
        <v>1.46</v>
      </c>
      <c r="I6022" s="846"/>
      <c r="J6022" s="846"/>
      <c r="K6022" s="846"/>
      <c r="L6022" s="846"/>
      <c r="M6022" s="846"/>
      <c r="N6022" s="846"/>
      <c r="O6022" s="846"/>
      <c r="P6022" s="846"/>
      <c r="Q6022" s="846"/>
      <c r="R6022" s="846"/>
      <c r="S6022" s="846"/>
      <c r="T6022" s="846"/>
    </row>
    <row r="6023" spans="2:20" ht="38.25" hidden="1">
      <c r="B6023" s="828" t="s">
        <v>6641</v>
      </c>
      <c r="C6023" s="828">
        <v>100719</v>
      </c>
      <c r="D6023" s="630" t="s">
        <v>5807</v>
      </c>
      <c r="E6023" s="630" t="s">
        <v>649</v>
      </c>
      <c r="F6023" s="829">
        <v>8.74</v>
      </c>
      <c r="G6023" s="830">
        <v>1.53</v>
      </c>
      <c r="H6023" s="831">
        <v>10.27</v>
      </c>
      <c r="I6023" s="846"/>
      <c r="J6023" s="846"/>
      <c r="K6023" s="846"/>
      <c r="L6023" s="846"/>
      <c r="M6023" s="846"/>
      <c r="N6023" s="846"/>
      <c r="O6023" s="846"/>
      <c r="P6023" s="846"/>
      <c r="Q6023" s="846"/>
      <c r="R6023" s="846"/>
      <c r="S6023" s="846"/>
      <c r="T6023" s="846"/>
    </row>
    <row r="6024" spans="2:20" ht="38.25" hidden="1">
      <c r="B6024" s="828" t="s">
        <v>6641</v>
      </c>
      <c r="C6024" s="828">
        <v>100720</v>
      </c>
      <c r="D6024" s="630" t="s">
        <v>4510</v>
      </c>
      <c r="E6024" s="630" t="s">
        <v>649</v>
      </c>
      <c r="F6024" s="829">
        <v>5.84</v>
      </c>
      <c r="G6024" s="830">
        <v>5.2</v>
      </c>
      <c r="H6024" s="831">
        <v>11.04</v>
      </c>
      <c r="I6024" s="846"/>
      <c r="J6024" s="846"/>
      <c r="K6024" s="846"/>
      <c r="L6024" s="846"/>
      <c r="M6024" s="846"/>
      <c r="N6024" s="846"/>
      <c r="O6024" s="846"/>
      <c r="P6024" s="846"/>
      <c r="Q6024" s="846"/>
      <c r="R6024" s="846"/>
      <c r="S6024" s="846"/>
      <c r="T6024" s="846"/>
    </row>
    <row r="6025" spans="2:20" ht="38.25" hidden="1">
      <c r="B6025" s="828" t="s">
        <v>6641</v>
      </c>
      <c r="C6025" s="828">
        <v>100721</v>
      </c>
      <c r="D6025" s="630" t="s">
        <v>5808</v>
      </c>
      <c r="E6025" s="630" t="s">
        <v>649</v>
      </c>
      <c r="F6025" s="829">
        <v>13.03</v>
      </c>
      <c r="G6025" s="830">
        <v>12.76</v>
      </c>
      <c r="H6025" s="831">
        <v>25.79</v>
      </c>
      <c r="I6025" s="846"/>
      <c r="J6025" s="846"/>
      <c r="K6025" s="846"/>
      <c r="L6025" s="846"/>
      <c r="M6025" s="846"/>
      <c r="N6025" s="846"/>
      <c r="O6025" s="846"/>
      <c r="P6025" s="846"/>
      <c r="Q6025" s="846"/>
      <c r="R6025" s="846"/>
      <c r="S6025" s="846"/>
      <c r="T6025" s="846"/>
    </row>
    <row r="6026" spans="2:20" ht="38.25" hidden="1">
      <c r="B6026" s="828" t="s">
        <v>6641</v>
      </c>
      <c r="C6026" s="828">
        <v>100722</v>
      </c>
      <c r="D6026" s="630" t="s">
        <v>4511</v>
      </c>
      <c r="E6026" s="630" t="s">
        <v>649</v>
      </c>
      <c r="F6026" s="829">
        <v>9.58</v>
      </c>
      <c r="G6026" s="830">
        <v>16.43</v>
      </c>
      <c r="H6026" s="831">
        <v>26.01</v>
      </c>
      <c r="I6026" s="846"/>
      <c r="J6026" s="846"/>
      <c r="K6026" s="846"/>
      <c r="L6026" s="846"/>
      <c r="M6026" s="846"/>
      <c r="N6026" s="846"/>
      <c r="O6026" s="846"/>
      <c r="P6026" s="846"/>
      <c r="Q6026" s="846"/>
      <c r="R6026" s="846"/>
      <c r="S6026" s="846"/>
      <c r="T6026" s="846"/>
    </row>
    <row r="6027" spans="2:20" ht="38.25" hidden="1">
      <c r="B6027" s="828" t="s">
        <v>6641</v>
      </c>
      <c r="C6027" s="828">
        <v>100723</v>
      </c>
      <c r="D6027" s="630" t="s">
        <v>5809</v>
      </c>
      <c r="E6027" s="630" t="s">
        <v>649</v>
      </c>
      <c r="F6027" s="829">
        <v>9.4700000000000006</v>
      </c>
      <c r="G6027" s="830">
        <v>1.53</v>
      </c>
      <c r="H6027" s="831">
        <v>11</v>
      </c>
      <c r="I6027" s="846"/>
      <c r="J6027" s="846"/>
      <c r="K6027" s="846"/>
      <c r="L6027" s="846"/>
      <c r="M6027" s="846"/>
      <c r="N6027" s="846"/>
      <c r="O6027" s="846"/>
      <c r="P6027" s="846"/>
      <c r="Q6027" s="846"/>
      <c r="R6027" s="846"/>
      <c r="S6027" s="846"/>
      <c r="T6027" s="846"/>
    </row>
    <row r="6028" spans="2:20" ht="38.25" hidden="1">
      <c r="B6028" s="828" t="s">
        <v>6641</v>
      </c>
      <c r="C6028" s="828">
        <v>100724</v>
      </c>
      <c r="D6028" s="630" t="s">
        <v>4512</v>
      </c>
      <c r="E6028" s="630" t="s">
        <v>649</v>
      </c>
      <c r="F6028" s="829">
        <v>8.77</v>
      </c>
      <c r="G6028" s="830">
        <v>5.2</v>
      </c>
      <c r="H6028" s="831">
        <v>13.97</v>
      </c>
      <c r="I6028" s="846"/>
      <c r="J6028" s="846"/>
      <c r="K6028" s="846"/>
      <c r="L6028" s="846"/>
      <c r="M6028" s="846"/>
      <c r="N6028" s="846"/>
      <c r="O6028" s="846"/>
      <c r="P6028" s="846"/>
      <c r="Q6028" s="846"/>
      <c r="R6028" s="846"/>
      <c r="S6028" s="846"/>
      <c r="T6028" s="846"/>
    </row>
    <row r="6029" spans="2:20" ht="38.25" hidden="1">
      <c r="B6029" s="828" t="s">
        <v>6641</v>
      </c>
      <c r="C6029" s="828">
        <v>100725</v>
      </c>
      <c r="D6029" s="630" t="s">
        <v>5810</v>
      </c>
      <c r="E6029" s="630" t="s">
        <v>649</v>
      </c>
      <c r="F6029" s="829">
        <v>13.27</v>
      </c>
      <c r="G6029" s="830">
        <v>12.76</v>
      </c>
      <c r="H6029" s="831">
        <v>26.03</v>
      </c>
      <c r="I6029" s="846"/>
      <c r="J6029" s="846"/>
      <c r="K6029" s="846"/>
      <c r="L6029" s="846"/>
      <c r="M6029" s="846"/>
      <c r="N6029" s="846"/>
      <c r="O6029" s="846"/>
      <c r="P6029" s="846"/>
      <c r="Q6029" s="846"/>
      <c r="R6029" s="846"/>
      <c r="S6029" s="846"/>
      <c r="T6029" s="846"/>
    </row>
    <row r="6030" spans="2:20" ht="51" hidden="1">
      <c r="B6030" s="828" t="s">
        <v>6641</v>
      </c>
      <c r="C6030" s="828">
        <v>100726</v>
      </c>
      <c r="D6030" s="630" t="s">
        <v>4513</v>
      </c>
      <c r="E6030" s="630" t="s">
        <v>649</v>
      </c>
      <c r="F6030" s="829">
        <v>12.42</v>
      </c>
      <c r="G6030" s="830">
        <v>16.43</v>
      </c>
      <c r="H6030" s="831">
        <v>28.85</v>
      </c>
      <c r="I6030" s="846"/>
      <c r="J6030" s="846"/>
      <c r="K6030" s="846"/>
      <c r="L6030" s="846"/>
      <c r="M6030" s="846"/>
      <c r="N6030" s="846"/>
      <c r="O6030" s="846"/>
      <c r="P6030" s="846"/>
      <c r="Q6030" s="846"/>
      <c r="R6030" s="846"/>
      <c r="S6030" s="846"/>
      <c r="T6030" s="846"/>
    </row>
    <row r="6031" spans="2:20" ht="25.5" hidden="1">
      <c r="B6031" s="828" t="s">
        <v>6641</v>
      </c>
      <c r="C6031" s="828">
        <v>100727</v>
      </c>
      <c r="D6031" s="630" t="s">
        <v>5811</v>
      </c>
      <c r="E6031" s="630" t="s">
        <v>649</v>
      </c>
      <c r="F6031" s="829">
        <v>23.08</v>
      </c>
      <c r="G6031" s="830">
        <v>1.53</v>
      </c>
      <c r="H6031" s="831">
        <v>24.61</v>
      </c>
      <c r="I6031" s="846"/>
      <c r="J6031" s="846"/>
      <c r="K6031" s="846"/>
      <c r="L6031" s="846"/>
      <c r="M6031" s="846"/>
      <c r="N6031" s="846"/>
      <c r="O6031" s="846"/>
      <c r="P6031" s="846"/>
      <c r="Q6031" s="846"/>
      <c r="R6031" s="846"/>
      <c r="S6031" s="846"/>
      <c r="T6031" s="846"/>
    </row>
    <row r="6032" spans="2:20" ht="38.25" hidden="1">
      <c r="B6032" s="828" t="s">
        <v>6641</v>
      </c>
      <c r="C6032" s="828">
        <v>100728</v>
      </c>
      <c r="D6032" s="630" t="s">
        <v>4514</v>
      </c>
      <c r="E6032" s="630" t="s">
        <v>649</v>
      </c>
      <c r="F6032" s="829">
        <v>17.82</v>
      </c>
      <c r="G6032" s="830">
        <v>5.2</v>
      </c>
      <c r="H6032" s="831">
        <v>23.02</v>
      </c>
      <c r="I6032" s="846"/>
      <c r="J6032" s="846"/>
      <c r="K6032" s="846"/>
      <c r="L6032" s="846"/>
      <c r="M6032" s="846"/>
      <c r="N6032" s="846"/>
      <c r="O6032" s="846"/>
      <c r="P6032" s="846"/>
      <c r="Q6032" s="846"/>
      <c r="R6032" s="846"/>
      <c r="S6032" s="846"/>
      <c r="T6032" s="846"/>
    </row>
    <row r="6033" spans="2:20" ht="25.5" hidden="1">
      <c r="B6033" s="828" t="s">
        <v>6641</v>
      </c>
      <c r="C6033" s="828">
        <v>100729</v>
      </c>
      <c r="D6033" s="630" t="s">
        <v>5812</v>
      </c>
      <c r="E6033" s="630" t="s">
        <v>649</v>
      </c>
      <c r="F6033" s="829">
        <v>17.18</v>
      </c>
      <c r="G6033" s="830">
        <v>1.53</v>
      </c>
      <c r="H6033" s="831">
        <v>18.71</v>
      </c>
      <c r="I6033" s="846"/>
      <c r="J6033" s="846"/>
      <c r="K6033" s="846"/>
      <c r="L6033" s="846"/>
      <c r="M6033" s="846"/>
      <c r="N6033" s="846"/>
      <c r="O6033" s="846"/>
      <c r="P6033" s="846"/>
      <c r="Q6033" s="846"/>
      <c r="R6033" s="846"/>
      <c r="S6033" s="846"/>
      <c r="T6033" s="846"/>
    </row>
    <row r="6034" spans="2:20" ht="38.25" hidden="1">
      <c r="B6034" s="828" t="s">
        <v>6641</v>
      </c>
      <c r="C6034" s="828">
        <v>100730</v>
      </c>
      <c r="D6034" s="630" t="s">
        <v>4515</v>
      </c>
      <c r="E6034" s="630" t="s">
        <v>649</v>
      </c>
      <c r="F6034" s="829">
        <v>17.47</v>
      </c>
      <c r="G6034" s="830">
        <v>5.2</v>
      </c>
      <c r="H6034" s="831">
        <v>22.67</v>
      </c>
      <c r="I6034" s="846"/>
      <c r="J6034" s="846"/>
      <c r="K6034" s="846"/>
      <c r="L6034" s="846"/>
      <c r="M6034" s="846"/>
      <c r="N6034" s="846"/>
      <c r="O6034" s="846"/>
      <c r="P6034" s="846"/>
      <c r="Q6034" s="846"/>
      <c r="R6034" s="846"/>
      <c r="S6034" s="846"/>
      <c r="T6034" s="846"/>
    </row>
    <row r="6035" spans="2:20" ht="38.25" hidden="1">
      <c r="B6035" s="828" t="s">
        <v>6641</v>
      </c>
      <c r="C6035" s="828">
        <v>100733</v>
      </c>
      <c r="D6035" s="630" t="s">
        <v>5813</v>
      </c>
      <c r="E6035" s="630" t="s">
        <v>649</v>
      </c>
      <c r="F6035" s="829">
        <v>6.25</v>
      </c>
      <c r="G6035" s="830">
        <v>7.37</v>
      </c>
      <c r="H6035" s="831">
        <v>13.62</v>
      </c>
      <c r="I6035" s="846"/>
      <c r="J6035" s="846"/>
      <c r="K6035" s="846"/>
      <c r="L6035" s="846"/>
      <c r="M6035" s="846"/>
      <c r="N6035" s="846"/>
      <c r="O6035" s="846"/>
      <c r="P6035" s="846"/>
      <c r="Q6035" s="846"/>
      <c r="R6035" s="846"/>
      <c r="S6035" s="846"/>
      <c r="T6035" s="846"/>
    </row>
    <row r="6036" spans="2:20" ht="38.25" hidden="1">
      <c r="B6036" s="828" t="s">
        <v>6641</v>
      </c>
      <c r="C6036" s="828">
        <v>100734</v>
      </c>
      <c r="D6036" s="630" t="s">
        <v>4516</v>
      </c>
      <c r="E6036" s="630" t="s">
        <v>649</v>
      </c>
      <c r="F6036" s="829">
        <v>6.45</v>
      </c>
      <c r="G6036" s="830">
        <v>11.02</v>
      </c>
      <c r="H6036" s="831">
        <v>17.47</v>
      </c>
      <c r="I6036" s="846"/>
      <c r="J6036" s="846"/>
      <c r="K6036" s="846"/>
      <c r="L6036" s="846"/>
      <c r="M6036" s="846"/>
      <c r="N6036" s="846"/>
      <c r="O6036" s="846"/>
      <c r="P6036" s="846"/>
      <c r="Q6036" s="846"/>
      <c r="R6036" s="846"/>
      <c r="S6036" s="846"/>
      <c r="T6036" s="846"/>
    </row>
    <row r="6037" spans="2:20" ht="38.25" hidden="1">
      <c r="B6037" s="828" t="s">
        <v>6641</v>
      </c>
      <c r="C6037" s="828">
        <v>100735</v>
      </c>
      <c r="D6037" s="630" t="s">
        <v>5814</v>
      </c>
      <c r="E6037" s="630" t="s">
        <v>649</v>
      </c>
      <c r="F6037" s="829">
        <v>4.47</v>
      </c>
      <c r="G6037" s="830">
        <v>7.37</v>
      </c>
      <c r="H6037" s="831">
        <v>11.84</v>
      </c>
      <c r="I6037" s="846"/>
      <c r="J6037" s="846"/>
      <c r="K6037" s="846"/>
      <c r="L6037" s="846"/>
      <c r="M6037" s="846"/>
      <c r="N6037" s="846"/>
      <c r="O6037" s="846"/>
      <c r="P6037" s="846"/>
      <c r="Q6037" s="846"/>
      <c r="R6037" s="846"/>
      <c r="S6037" s="846"/>
      <c r="T6037" s="846"/>
    </row>
    <row r="6038" spans="2:20" ht="38.25" hidden="1">
      <c r="B6038" s="828" t="s">
        <v>6641</v>
      </c>
      <c r="C6038" s="828">
        <v>100736</v>
      </c>
      <c r="D6038" s="630" t="s">
        <v>4517</v>
      </c>
      <c r="E6038" s="630" t="s">
        <v>649</v>
      </c>
      <c r="F6038" s="829">
        <v>4.9800000000000004</v>
      </c>
      <c r="G6038" s="830">
        <v>11.03</v>
      </c>
      <c r="H6038" s="831">
        <v>16.010000000000002</v>
      </c>
      <c r="I6038" s="846"/>
      <c r="J6038" s="846"/>
      <c r="K6038" s="846"/>
      <c r="L6038" s="846"/>
      <c r="M6038" s="846"/>
      <c r="N6038" s="846"/>
      <c r="O6038" s="846"/>
      <c r="P6038" s="846"/>
      <c r="Q6038" s="846"/>
      <c r="R6038" s="846"/>
      <c r="S6038" s="846"/>
      <c r="T6038" s="846"/>
    </row>
    <row r="6039" spans="2:20" ht="38.25" hidden="1">
      <c r="B6039" s="828" t="s">
        <v>6641</v>
      </c>
      <c r="C6039" s="828">
        <v>100739</v>
      </c>
      <c r="D6039" s="630" t="s">
        <v>5815</v>
      </c>
      <c r="E6039" s="630" t="s">
        <v>649</v>
      </c>
      <c r="F6039" s="829">
        <v>8.59</v>
      </c>
      <c r="G6039" s="830">
        <v>1.53</v>
      </c>
      <c r="H6039" s="831">
        <v>10.119999999999999</v>
      </c>
      <c r="I6039" s="846"/>
      <c r="J6039" s="846"/>
      <c r="K6039" s="846"/>
      <c r="L6039" s="846"/>
      <c r="M6039" s="846"/>
      <c r="N6039" s="846"/>
      <c r="O6039" s="846"/>
      <c r="P6039" s="846"/>
      <c r="Q6039" s="846"/>
      <c r="R6039" s="846"/>
      <c r="S6039" s="846"/>
      <c r="T6039" s="846"/>
    </row>
    <row r="6040" spans="2:20" ht="38.25" hidden="1">
      <c r="B6040" s="828" t="s">
        <v>6641</v>
      </c>
      <c r="C6040" s="828">
        <v>100740</v>
      </c>
      <c r="D6040" s="630" t="s">
        <v>4518</v>
      </c>
      <c r="E6040" s="630" t="s">
        <v>649</v>
      </c>
      <c r="F6040" s="829">
        <v>6.35</v>
      </c>
      <c r="G6040" s="830">
        <v>5.2</v>
      </c>
      <c r="H6040" s="831">
        <v>11.55</v>
      </c>
      <c r="I6040" s="846"/>
      <c r="J6040" s="846"/>
      <c r="K6040" s="846"/>
      <c r="L6040" s="846"/>
      <c r="M6040" s="846"/>
      <c r="N6040" s="846"/>
      <c r="O6040" s="846"/>
      <c r="P6040" s="846"/>
      <c r="Q6040" s="846"/>
      <c r="R6040" s="846"/>
      <c r="S6040" s="846"/>
      <c r="T6040" s="846"/>
    </row>
    <row r="6041" spans="2:20" ht="38.25" hidden="1">
      <c r="B6041" s="828" t="s">
        <v>6641</v>
      </c>
      <c r="C6041" s="828">
        <v>100741</v>
      </c>
      <c r="D6041" s="630" t="s">
        <v>5816</v>
      </c>
      <c r="E6041" s="630" t="s">
        <v>649</v>
      </c>
      <c r="F6041" s="829">
        <v>12.68</v>
      </c>
      <c r="G6041" s="830">
        <v>12.77</v>
      </c>
      <c r="H6041" s="831">
        <v>25.45</v>
      </c>
      <c r="I6041" s="846"/>
      <c r="J6041" s="846"/>
      <c r="K6041" s="846"/>
      <c r="L6041" s="846"/>
      <c r="M6041" s="846"/>
      <c r="N6041" s="846"/>
      <c r="O6041" s="846"/>
      <c r="P6041" s="846"/>
      <c r="Q6041" s="846"/>
      <c r="R6041" s="846"/>
      <c r="S6041" s="846"/>
      <c r="T6041" s="846"/>
    </row>
    <row r="6042" spans="2:20" ht="38.25" hidden="1">
      <c r="B6042" s="828" t="s">
        <v>6641</v>
      </c>
      <c r="C6042" s="828">
        <v>100742</v>
      </c>
      <c r="D6042" s="630" t="s">
        <v>4519</v>
      </c>
      <c r="E6042" s="630" t="s">
        <v>649</v>
      </c>
      <c r="F6042" s="829">
        <v>10.06</v>
      </c>
      <c r="G6042" s="830">
        <v>16.43</v>
      </c>
      <c r="H6042" s="831">
        <v>26.49</v>
      </c>
      <c r="I6042" s="846"/>
      <c r="J6042" s="846"/>
      <c r="K6042" s="846"/>
      <c r="L6042" s="846"/>
      <c r="M6042" s="846"/>
      <c r="N6042" s="846"/>
      <c r="O6042" s="846"/>
      <c r="P6042" s="846"/>
      <c r="Q6042" s="846"/>
      <c r="R6042" s="846"/>
      <c r="S6042" s="846"/>
      <c r="T6042" s="846"/>
    </row>
    <row r="6043" spans="2:20" ht="38.25" hidden="1">
      <c r="B6043" s="828" t="s">
        <v>6641</v>
      </c>
      <c r="C6043" s="828">
        <v>100743</v>
      </c>
      <c r="D6043" s="630" t="s">
        <v>5817</v>
      </c>
      <c r="E6043" s="630" t="s">
        <v>649</v>
      </c>
      <c r="F6043" s="829">
        <v>8.3699999999999992</v>
      </c>
      <c r="G6043" s="830">
        <v>1.53</v>
      </c>
      <c r="H6043" s="831">
        <v>9.9</v>
      </c>
      <c r="I6043" s="846"/>
      <c r="J6043" s="846"/>
      <c r="K6043" s="846"/>
      <c r="L6043" s="846"/>
      <c r="M6043" s="846"/>
      <c r="N6043" s="846"/>
      <c r="O6043" s="846"/>
      <c r="P6043" s="846"/>
      <c r="Q6043" s="846"/>
      <c r="R6043" s="846"/>
      <c r="S6043" s="846"/>
      <c r="T6043" s="846"/>
    </row>
    <row r="6044" spans="2:20" ht="38.25" hidden="1">
      <c r="B6044" s="828" t="s">
        <v>6641</v>
      </c>
      <c r="C6044" s="828">
        <v>100744</v>
      </c>
      <c r="D6044" s="630" t="s">
        <v>4520</v>
      </c>
      <c r="E6044" s="630" t="s">
        <v>649</v>
      </c>
      <c r="F6044" s="829">
        <v>6.21</v>
      </c>
      <c r="G6044" s="830">
        <v>5.2</v>
      </c>
      <c r="H6044" s="831">
        <v>11.41</v>
      </c>
      <c r="I6044" s="846"/>
      <c r="J6044" s="846"/>
      <c r="K6044" s="846"/>
      <c r="L6044" s="846"/>
      <c r="M6044" s="846"/>
      <c r="N6044" s="846"/>
      <c r="O6044" s="846"/>
      <c r="P6044" s="846"/>
      <c r="Q6044" s="846"/>
      <c r="R6044" s="846"/>
      <c r="S6044" s="846"/>
      <c r="T6044" s="846"/>
    </row>
    <row r="6045" spans="2:20" ht="38.25" hidden="1">
      <c r="B6045" s="828" t="s">
        <v>6641</v>
      </c>
      <c r="C6045" s="828">
        <v>100745</v>
      </c>
      <c r="D6045" s="630" t="s">
        <v>5818</v>
      </c>
      <c r="E6045" s="630" t="s">
        <v>649</v>
      </c>
      <c r="F6045" s="829">
        <v>12.44</v>
      </c>
      <c r="G6045" s="830">
        <v>12.77</v>
      </c>
      <c r="H6045" s="831">
        <v>25.21</v>
      </c>
      <c r="I6045" s="846"/>
      <c r="J6045" s="846"/>
      <c r="K6045" s="846"/>
      <c r="L6045" s="846"/>
      <c r="M6045" s="846"/>
      <c r="N6045" s="846"/>
      <c r="O6045" s="846"/>
      <c r="P6045" s="846"/>
      <c r="Q6045" s="846"/>
      <c r="R6045" s="846"/>
      <c r="S6045" s="846"/>
      <c r="T6045" s="846"/>
    </row>
    <row r="6046" spans="2:20" ht="38.25" hidden="1">
      <c r="B6046" s="828" t="s">
        <v>6641</v>
      </c>
      <c r="C6046" s="828">
        <v>100746</v>
      </c>
      <c r="D6046" s="630" t="s">
        <v>4521</v>
      </c>
      <c r="E6046" s="630" t="s">
        <v>649</v>
      </c>
      <c r="F6046" s="829">
        <v>9.92</v>
      </c>
      <c r="G6046" s="830">
        <v>16.43</v>
      </c>
      <c r="H6046" s="831">
        <v>26.35</v>
      </c>
      <c r="I6046" s="846"/>
      <c r="J6046" s="846"/>
      <c r="K6046" s="846"/>
      <c r="L6046" s="846"/>
      <c r="M6046" s="846"/>
      <c r="N6046" s="846"/>
      <c r="O6046" s="846"/>
      <c r="P6046" s="846"/>
      <c r="Q6046" s="846"/>
      <c r="R6046" s="846"/>
      <c r="S6046" s="846"/>
      <c r="T6046" s="846"/>
    </row>
    <row r="6047" spans="2:20" ht="38.25" hidden="1">
      <c r="B6047" s="828" t="s">
        <v>6641</v>
      </c>
      <c r="C6047" s="828">
        <v>100747</v>
      </c>
      <c r="D6047" s="630" t="s">
        <v>5819</v>
      </c>
      <c r="E6047" s="630" t="s">
        <v>649</v>
      </c>
      <c r="F6047" s="829">
        <v>8.4600000000000009</v>
      </c>
      <c r="G6047" s="830">
        <v>1.53</v>
      </c>
      <c r="H6047" s="831">
        <v>9.99</v>
      </c>
      <c r="I6047" s="846"/>
      <c r="J6047" s="846"/>
      <c r="K6047" s="846"/>
      <c r="L6047" s="846"/>
      <c r="M6047" s="846"/>
      <c r="N6047" s="846"/>
      <c r="O6047" s="846"/>
      <c r="P6047" s="846"/>
      <c r="Q6047" s="846"/>
      <c r="R6047" s="846"/>
      <c r="S6047" s="846"/>
      <c r="T6047" s="846"/>
    </row>
    <row r="6048" spans="2:20" ht="38.25" hidden="1">
      <c r="B6048" s="828" t="s">
        <v>6641</v>
      </c>
      <c r="C6048" s="828">
        <v>100748</v>
      </c>
      <c r="D6048" s="630" t="s">
        <v>4522</v>
      </c>
      <c r="E6048" s="630" t="s">
        <v>649</v>
      </c>
      <c r="F6048" s="829">
        <v>6.27</v>
      </c>
      <c r="G6048" s="830">
        <v>5.2</v>
      </c>
      <c r="H6048" s="831">
        <v>11.47</v>
      </c>
      <c r="I6048" s="846"/>
      <c r="J6048" s="846"/>
      <c r="K6048" s="846"/>
      <c r="L6048" s="846"/>
      <c r="M6048" s="846"/>
      <c r="N6048" s="846"/>
      <c r="O6048" s="846"/>
      <c r="P6048" s="846"/>
      <c r="Q6048" s="846"/>
      <c r="R6048" s="846"/>
      <c r="S6048" s="846"/>
      <c r="T6048" s="846"/>
    </row>
    <row r="6049" spans="2:20" ht="38.25" hidden="1">
      <c r="B6049" s="828" t="s">
        <v>6641</v>
      </c>
      <c r="C6049" s="828">
        <v>100749</v>
      </c>
      <c r="D6049" s="630" t="s">
        <v>5820</v>
      </c>
      <c r="E6049" s="630" t="s">
        <v>649</v>
      </c>
      <c r="F6049" s="829">
        <v>12.54</v>
      </c>
      <c r="G6049" s="830">
        <v>12.77</v>
      </c>
      <c r="H6049" s="831">
        <v>25.31</v>
      </c>
      <c r="I6049" s="846"/>
      <c r="J6049" s="846"/>
      <c r="K6049" s="846"/>
      <c r="L6049" s="846"/>
      <c r="M6049" s="846"/>
      <c r="N6049" s="846"/>
      <c r="O6049" s="846"/>
      <c r="P6049" s="846"/>
      <c r="Q6049" s="846"/>
      <c r="R6049" s="846"/>
      <c r="S6049" s="846"/>
      <c r="T6049" s="846"/>
    </row>
    <row r="6050" spans="2:20" ht="38.25" hidden="1">
      <c r="B6050" s="828" t="s">
        <v>6641</v>
      </c>
      <c r="C6050" s="828">
        <v>100750</v>
      </c>
      <c r="D6050" s="630" t="s">
        <v>4523</v>
      </c>
      <c r="E6050" s="630" t="s">
        <v>649</v>
      </c>
      <c r="F6050" s="829">
        <v>9.98</v>
      </c>
      <c r="G6050" s="830">
        <v>16.43</v>
      </c>
      <c r="H6050" s="831">
        <v>26.41</v>
      </c>
      <c r="I6050" s="846"/>
      <c r="J6050" s="846"/>
      <c r="K6050" s="846"/>
      <c r="L6050" s="846"/>
      <c r="M6050" s="846"/>
      <c r="N6050" s="846"/>
      <c r="O6050" s="846"/>
      <c r="P6050" s="846"/>
      <c r="Q6050" s="846"/>
      <c r="R6050" s="846"/>
      <c r="S6050" s="846"/>
      <c r="T6050" s="846"/>
    </row>
    <row r="6051" spans="2:20" ht="25.5" hidden="1">
      <c r="B6051" s="828" t="s">
        <v>6641</v>
      </c>
      <c r="C6051" s="828">
        <v>100751</v>
      </c>
      <c r="D6051" s="630" t="s">
        <v>5821</v>
      </c>
      <c r="E6051" s="630" t="s">
        <v>649</v>
      </c>
      <c r="F6051" s="829">
        <v>34.35</v>
      </c>
      <c r="G6051" s="830">
        <v>3.07</v>
      </c>
      <c r="H6051" s="831">
        <v>37.42</v>
      </c>
      <c r="I6051" s="846"/>
      <c r="J6051" s="846"/>
      <c r="K6051" s="846"/>
      <c r="L6051" s="846"/>
      <c r="M6051" s="846"/>
      <c r="N6051" s="846"/>
      <c r="O6051" s="846"/>
      <c r="P6051" s="846"/>
      <c r="Q6051" s="846"/>
      <c r="R6051" s="846"/>
      <c r="S6051" s="846"/>
      <c r="T6051" s="846"/>
    </row>
    <row r="6052" spans="2:20" ht="38.25" hidden="1">
      <c r="B6052" s="828" t="s">
        <v>6641</v>
      </c>
      <c r="C6052" s="828">
        <v>100752</v>
      </c>
      <c r="D6052" s="630" t="s">
        <v>4524</v>
      </c>
      <c r="E6052" s="630" t="s">
        <v>649</v>
      </c>
      <c r="F6052" s="829">
        <v>34.94</v>
      </c>
      <c r="G6052" s="830">
        <v>10.4</v>
      </c>
      <c r="H6052" s="831">
        <v>45.34</v>
      </c>
      <c r="I6052" s="846"/>
      <c r="J6052" s="846"/>
      <c r="K6052" s="846"/>
      <c r="L6052" s="846"/>
      <c r="M6052" s="846"/>
      <c r="N6052" s="846"/>
      <c r="O6052" s="846"/>
      <c r="P6052" s="846"/>
      <c r="Q6052" s="846"/>
      <c r="R6052" s="846"/>
      <c r="S6052" s="846"/>
      <c r="T6052" s="846"/>
    </row>
    <row r="6053" spans="2:20" ht="38.25" hidden="1">
      <c r="B6053" s="828" t="s">
        <v>6641</v>
      </c>
      <c r="C6053" s="828">
        <v>100753</v>
      </c>
      <c r="D6053" s="630" t="s">
        <v>5822</v>
      </c>
      <c r="E6053" s="630" t="s">
        <v>649</v>
      </c>
      <c r="F6053" s="829">
        <v>8.98</v>
      </c>
      <c r="G6053" s="830">
        <v>14.7</v>
      </c>
      <c r="H6053" s="831">
        <v>23.68</v>
      </c>
      <c r="I6053" s="846"/>
      <c r="J6053" s="846"/>
      <c r="K6053" s="846"/>
      <c r="L6053" s="846"/>
      <c r="M6053" s="846"/>
      <c r="N6053" s="846"/>
      <c r="O6053" s="846"/>
      <c r="P6053" s="846"/>
      <c r="Q6053" s="846"/>
      <c r="R6053" s="846"/>
      <c r="S6053" s="846"/>
      <c r="T6053" s="846"/>
    </row>
    <row r="6054" spans="2:20" ht="38.25" hidden="1">
      <c r="B6054" s="828" t="s">
        <v>6641</v>
      </c>
      <c r="C6054" s="828">
        <v>100754</v>
      </c>
      <c r="D6054" s="630" t="s">
        <v>4525</v>
      </c>
      <c r="E6054" s="630" t="s">
        <v>649</v>
      </c>
      <c r="F6054" s="829">
        <v>9.99</v>
      </c>
      <c r="G6054" s="830">
        <v>22.05</v>
      </c>
      <c r="H6054" s="831">
        <v>32.04</v>
      </c>
      <c r="I6054" s="846"/>
      <c r="J6054" s="846"/>
      <c r="K6054" s="846"/>
      <c r="L6054" s="846"/>
      <c r="M6054" s="846"/>
      <c r="N6054" s="846"/>
      <c r="O6054" s="846"/>
      <c r="P6054" s="846"/>
      <c r="Q6054" s="846"/>
      <c r="R6054" s="846"/>
      <c r="S6054" s="846"/>
      <c r="T6054" s="846"/>
    </row>
    <row r="6055" spans="2:20" ht="38.25" hidden="1">
      <c r="B6055" s="828" t="s">
        <v>6641</v>
      </c>
      <c r="C6055" s="828">
        <v>100757</v>
      </c>
      <c r="D6055" s="630" t="s">
        <v>5823</v>
      </c>
      <c r="E6055" s="630" t="s">
        <v>649</v>
      </c>
      <c r="F6055" s="829">
        <v>25.39</v>
      </c>
      <c r="G6055" s="830">
        <v>25.52</v>
      </c>
      <c r="H6055" s="831">
        <v>50.91</v>
      </c>
      <c r="I6055" s="846"/>
      <c r="J6055" s="846"/>
      <c r="K6055" s="846"/>
      <c r="L6055" s="846"/>
      <c r="M6055" s="846"/>
      <c r="N6055" s="846"/>
      <c r="O6055" s="846"/>
      <c r="P6055" s="846"/>
      <c r="Q6055" s="846"/>
      <c r="R6055" s="846"/>
      <c r="S6055" s="846"/>
      <c r="T6055" s="846"/>
    </row>
    <row r="6056" spans="2:20" ht="38.25" hidden="1">
      <c r="B6056" s="828" t="s">
        <v>6641</v>
      </c>
      <c r="C6056" s="828">
        <v>100758</v>
      </c>
      <c r="D6056" s="630" t="s">
        <v>4526</v>
      </c>
      <c r="E6056" s="630" t="s">
        <v>649</v>
      </c>
      <c r="F6056" s="829">
        <v>20.170000000000002</v>
      </c>
      <c r="G6056" s="830">
        <v>32.86</v>
      </c>
      <c r="H6056" s="831">
        <v>53.03</v>
      </c>
      <c r="I6056" s="846"/>
      <c r="J6056" s="846"/>
      <c r="K6056" s="846"/>
      <c r="L6056" s="846"/>
      <c r="M6056" s="846"/>
      <c r="N6056" s="846"/>
      <c r="O6056" s="846"/>
      <c r="P6056" s="846"/>
      <c r="Q6056" s="846"/>
      <c r="R6056" s="846"/>
      <c r="S6056" s="846"/>
      <c r="T6056" s="846"/>
    </row>
    <row r="6057" spans="2:20" ht="38.25" hidden="1">
      <c r="B6057" s="828" t="s">
        <v>6641</v>
      </c>
      <c r="C6057" s="828">
        <v>100759</v>
      </c>
      <c r="D6057" s="630" t="s">
        <v>5824</v>
      </c>
      <c r="E6057" s="630" t="s">
        <v>649</v>
      </c>
      <c r="F6057" s="829">
        <v>24.92</v>
      </c>
      <c r="G6057" s="830">
        <v>25.52</v>
      </c>
      <c r="H6057" s="831">
        <v>50.44</v>
      </c>
      <c r="I6057" s="846"/>
      <c r="J6057" s="846"/>
      <c r="K6057" s="846"/>
      <c r="L6057" s="846"/>
      <c r="M6057" s="846"/>
      <c r="N6057" s="846"/>
      <c r="O6057" s="846"/>
      <c r="P6057" s="846"/>
      <c r="Q6057" s="846"/>
      <c r="R6057" s="846"/>
      <c r="S6057" s="846"/>
      <c r="T6057" s="846"/>
    </row>
    <row r="6058" spans="2:20" ht="38.25" hidden="1">
      <c r="B6058" s="828" t="s">
        <v>6641</v>
      </c>
      <c r="C6058" s="828">
        <v>100760</v>
      </c>
      <c r="D6058" s="630" t="s">
        <v>4527</v>
      </c>
      <c r="E6058" s="630" t="s">
        <v>649</v>
      </c>
      <c r="F6058" s="829">
        <v>19.88</v>
      </c>
      <c r="G6058" s="830">
        <v>32.86</v>
      </c>
      <c r="H6058" s="831">
        <v>52.74</v>
      </c>
      <c r="I6058" s="846"/>
      <c r="J6058" s="846"/>
      <c r="K6058" s="846"/>
      <c r="L6058" s="846"/>
      <c r="M6058" s="846"/>
      <c r="N6058" s="846"/>
      <c r="O6058" s="846"/>
      <c r="P6058" s="846"/>
      <c r="Q6058" s="846"/>
      <c r="R6058" s="846"/>
      <c r="S6058" s="846"/>
      <c r="T6058" s="846"/>
    </row>
    <row r="6059" spans="2:20" ht="38.25" hidden="1">
      <c r="B6059" s="828" t="s">
        <v>6641</v>
      </c>
      <c r="C6059" s="828">
        <v>100761</v>
      </c>
      <c r="D6059" s="630" t="s">
        <v>5825</v>
      </c>
      <c r="E6059" s="630" t="s">
        <v>649</v>
      </c>
      <c r="F6059" s="829">
        <v>25.12</v>
      </c>
      <c r="G6059" s="830">
        <v>25.52</v>
      </c>
      <c r="H6059" s="831">
        <v>50.64</v>
      </c>
      <c r="I6059" s="846"/>
      <c r="J6059" s="846"/>
      <c r="K6059" s="846"/>
      <c r="L6059" s="846"/>
      <c r="M6059" s="846"/>
      <c r="N6059" s="846"/>
      <c r="O6059" s="846"/>
      <c r="P6059" s="846"/>
      <c r="Q6059" s="846"/>
      <c r="R6059" s="846"/>
      <c r="S6059" s="846"/>
      <c r="T6059" s="846"/>
    </row>
    <row r="6060" spans="2:20" ht="38.25" hidden="1">
      <c r="B6060" s="828" t="s">
        <v>6641</v>
      </c>
      <c r="C6060" s="828">
        <v>100762</v>
      </c>
      <c r="D6060" s="630" t="s">
        <v>4528</v>
      </c>
      <c r="E6060" s="630" t="s">
        <v>649</v>
      </c>
      <c r="F6060" s="829">
        <v>20</v>
      </c>
      <c r="G6060" s="830">
        <v>32.86</v>
      </c>
      <c r="H6060" s="831">
        <v>52.86</v>
      </c>
      <c r="I6060" s="846"/>
      <c r="J6060" s="846"/>
      <c r="K6060" s="846"/>
      <c r="L6060" s="846"/>
      <c r="M6060" s="846"/>
      <c r="N6060" s="846"/>
      <c r="O6060" s="846"/>
      <c r="P6060" s="846"/>
      <c r="Q6060" s="846"/>
      <c r="R6060" s="846"/>
      <c r="S6060" s="846"/>
      <c r="T6060" s="846"/>
    </row>
    <row r="6061" spans="2:20" ht="25.5" hidden="1">
      <c r="B6061" s="828" t="s">
        <v>6678</v>
      </c>
      <c r="C6061" s="828">
        <v>102488</v>
      </c>
      <c r="D6061" s="630" t="s">
        <v>6191</v>
      </c>
      <c r="E6061" s="630" t="s">
        <v>649</v>
      </c>
      <c r="F6061" s="829">
        <v>0.91</v>
      </c>
      <c r="G6061" s="830">
        <v>3.07</v>
      </c>
      <c r="H6061" s="831">
        <v>3.98</v>
      </c>
      <c r="I6061" s="846"/>
      <c r="J6061" s="846"/>
      <c r="K6061" s="846"/>
      <c r="L6061" s="846"/>
      <c r="M6061" s="846"/>
      <c r="N6061" s="846"/>
      <c r="O6061" s="846"/>
      <c r="P6061" s="846"/>
      <c r="Q6061" s="846"/>
      <c r="R6061" s="846"/>
      <c r="S6061" s="846"/>
      <c r="T6061" s="846"/>
    </row>
    <row r="6062" spans="2:20" ht="25.5" hidden="1">
      <c r="B6062" s="828" t="s">
        <v>6678</v>
      </c>
      <c r="C6062" s="828">
        <v>102489</v>
      </c>
      <c r="D6062" s="630" t="s">
        <v>6192</v>
      </c>
      <c r="E6062" s="630" t="s">
        <v>649</v>
      </c>
      <c r="F6062" s="829">
        <v>17.14</v>
      </c>
      <c r="G6062" s="830">
        <v>11.29</v>
      </c>
      <c r="H6062" s="831">
        <v>28.43</v>
      </c>
      <c r="I6062" s="846"/>
      <c r="J6062" s="846"/>
      <c r="K6062" s="846"/>
      <c r="L6062" s="846"/>
      <c r="M6062" s="846"/>
      <c r="N6062" s="846"/>
      <c r="O6062" s="846"/>
      <c r="P6062" s="846"/>
      <c r="Q6062" s="846"/>
      <c r="R6062" s="846"/>
      <c r="S6062" s="846"/>
      <c r="T6062" s="846"/>
    </row>
    <row r="6063" spans="2:20" ht="25.5" hidden="1">
      <c r="B6063" s="828" t="s">
        <v>6678</v>
      </c>
      <c r="C6063" s="828">
        <v>102491</v>
      </c>
      <c r="D6063" s="630" t="s">
        <v>6193</v>
      </c>
      <c r="E6063" s="630" t="s">
        <v>649</v>
      </c>
      <c r="F6063" s="829">
        <v>12.14</v>
      </c>
      <c r="G6063" s="830">
        <v>8.64</v>
      </c>
      <c r="H6063" s="831">
        <v>20.78</v>
      </c>
      <c r="I6063" s="846"/>
      <c r="J6063" s="846"/>
      <c r="K6063" s="846"/>
      <c r="L6063" s="846"/>
      <c r="M6063" s="846"/>
      <c r="N6063" s="846"/>
      <c r="O6063" s="846"/>
      <c r="P6063" s="846"/>
      <c r="Q6063" s="846"/>
      <c r="R6063" s="846"/>
      <c r="S6063" s="846"/>
      <c r="T6063" s="846"/>
    </row>
    <row r="6064" spans="2:20" ht="25.5" hidden="1">
      <c r="B6064" s="828" t="s">
        <v>6678</v>
      </c>
      <c r="C6064" s="828">
        <v>102492</v>
      </c>
      <c r="D6064" s="630" t="s">
        <v>6194</v>
      </c>
      <c r="E6064" s="630" t="s">
        <v>649</v>
      </c>
      <c r="F6064" s="829">
        <v>13.08</v>
      </c>
      <c r="G6064" s="830">
        <v>11.46</v>
      </c>
      <c r="H6064" s="831">
        <v>24.54</v>
      </c>
      <c r="I6064" s="846"/>
      <c r="J6064" s="846"/>
      <c r="K6064" s="846"/>
      <c r="L6064" s="846"/>
      <c r="M6064" s="846"/>
      <c r="N6064" s="846"/>
      <c r="O6064" s="846"/>
      <c r="P6064" s="846"/>
      <c r="Q6064" s="846"/>
      <c r="R6064" s="846"/>
      <c r="S6064" s="846"/>
      <c r="T6064" s="846"/>
    </row>
    <row r="6065" spans="2:20" ht="25.5" hidden="1">
      <c r="B6065" s="828" t="s">
        <v>6678</v>
      </c>
      <c r="C6065" s="828">
        <v>102494</v>
      </c>
      <c r="D6065" s="630" t="s">
        <v>6195</v>
      </c>
      <c r="E6065" s="630" t="s">
        <v>649</v>
      </c>
      <c r="F6065" s="829">
        <v>50.59</v>
      </c>
      <c r="G6065" s="830">
        <v>8.6199999999999992</v>
      </c>
      <c r="H6065" s="831">
        <v>59.21</v>
      </c>
      <c r="I6065" s="846"/>
      <c r="J6065" s="846"/>
      <c r="K6065" s="846"/>
      <c r="L6065" s="846"/>
      <c r="M6065" s="846"/>
      <c r="N6065" s="846"/>
      <c r="O6065" s="846"/>
      <c r="P6065" s="846"/>
      <c r="Q6065" s="846"/>
      <c r="R6065" s="846"/>
      <c r="S6065" s="846"/>
      <c r="T6065" s="846"/>
    </row>
    <row r="6066" spans="2:20" ht="25.5" hidden="1">
      <c r="B6066" s="828" t="s">
        <v>6678</v>
      </c>
      <c r="C6066" s="828">
        <v>102496</v>
      </c>
      <c r="D6066" s="630" t="s">
        <v>6196</v>
      </c>
      <c r="E6066" s="630" t="s">
        <v>648</v>
      </c>
      <c r="F6066" s="829">
        <v>8.8800000000000008</v>
      </c>
      <c r="G6066" s="830">
        <v>4.08</v>
      </c>
      <c r="H6066" s="831">
        <v>12.96</v>
      </c>
      <c r="I6066" s="846"/>
      <c r="J6066" s="846"/>
      <c r="K6066" s="846"/>
      <c r="L6066" s="846"/>
      <c r="M6066" s="846"/>
      <c r="N6066" s="846"/>
      <c r="O6066" s="846"/>
      <c r="P6066" s="846"/>
      <c r="Q6066" s="846"/>
      <c r="R6066" s="846"/>
      <c r="S6066" s="846"/>
      <c r="T6066" s="846"/>
    </row>
    <row r="6067" spans="2:20" ht="25.5" hidden="1">
      <c r="B6067" s="828" t="s">
        <v>6678</v>
      </c>
      <c r="C6067" s="828">
        <v>102497</v>
      </c>
      <c r="D6067" s="630" t="s">
        <v>6197</v>
      </c>
      <c r="E6067" s="630" t="s">
        <v>648</v>
      </c>
      <c r="F6067" s="829">
        <v>2.29</v>
      </c>
      <c r="G6067" s="830">
        <v>2.73</v>
      </c>
      <c r="H6067" s="831">
        <v>5.0199999999999996</v>
      </c>
      <c r="I6067" s="846"/>
      <c r="J6067" s="846"/>
      <c r="K6067" s="846"/>
      <c r="L6067" s="846"/>
      <c r="M6067" s="846"/>
      <c r="N6067" s="846"/>
      <c r="O6067" s="846"/>
      <c r="P6067" s="846"/>
      <c r="Q6067" s="846"/>
      <c r="R6067" s="846"/>
      <c r="S6067" s="846"/>
      <c r="T6067" s="846"/>
    </row>
    <row r="6068" spans="2:20" ht="25.5" hidden="1">
      <c r="B6068" s="828" t="s">
        <v>6678</v>
      </c>
      <c r="C6068" s="828">
        <v>102498</v>
      </c>
      <c r="D6068" s="630" t="s">
        <v>6198</v>
      </c>
      <c r="E6068" s="630" t="s">
        <v>648</v>
      </c>
      <c r="F6068" s="829">
        <v>0.46</v>
      </c>
      <c r="G6068" s="830">
        <v>1.2</v>
      </c>
      <c r="H6068" s="831">
        <v>1.66</v>
      </c>
      <c r="I6068" s="846"/>
      <c r="J6068" s="846"/>
      <c r="K6068" s="846"/>
      <c r="L6068" s="846"/>
      <c r="M6068" s="846"/>
      <c r="N6068" s="846"/>
      <c r="O6068" s="846"/>
      <c r="P6068" s="846"/>
      <c r="Q6068" s="846"/>
      <c r="R6068" s="846"/>
      <c r="S6068" s="846"/>
      <c r="T6068" s="846"/>
    </row>
    <row r="6069" spans="2:20" hidden="1">
      <c r="B6069" s="828" t="s">
        <v>6678</v>
      </c>
      <c r="C6069" s="828">
        <v>102499</v>
      </c>
      <c r="D6069" s="630" t="s">
        <v>6199</v>
      </c>
      <c r="E6069" s="630" t="s">
        <v>649</v>
      </c>
      <c r="F6069" s="829">
        <v>2.04</v>
      </c>
      <c r="G6069" s="830">
        <v>1.21</v>
      </c>
      <c r="H6069" s="831">
        <v>3.25</v>
      </c>
      <c r="I6069" s="846"/>
      <c r="J6069" s="846"/>
      <c r="K6069" s="846"/>
      <c r="L6069" s="846"/>
      <c r="M6069" s="846"/>
      <c r="N6069" s="846"/>
      <c r="O6069" s="846"/>
      <c r="P6069" s="846"/>
      <c r="Q6069" s="846"/>
      <c r="R6069" s="846"/>
      <c r="S6069" s="846"/>
      <c r="T6069" s="846"/>
    </row>
    <row r="6070" spans="2:20" ht="25.5" hidden="1">
      <c r="B6070" s="828" t="s">
        <v>6678</v>
      </c>
      <c r="C6070" s="828">
        <v>102500</v>
      </c>
      <c r="D6070" s="630" t="s">
        <v>6200</v>
      </c>
      <c r="E6070" s="630" t="s">
        <v>648</v>
      </c>
      <c r="F6070" s="829">
        <v>1.9</v>
      </c>
      <c r="G6070" s="830">
        <v>2.63</v>
      </c>
      <c r="H6070" s="831">
        <v>4.53</v>
      </c>
      <c r="I6070" s="846"/>
      <c r="J6070" s="846"/>
      <c r="K6070" s="846"/>
      <c r="L6070" s="846"/>
      <c r="M6070" s="846"/>
      <c r="N6070" s="846"/>
      <c r="O6070" s="846"/>
      <c r="P6070" s="846"/>
      <c r="Q6070" s="846"/>
      <c r="R6070" s="846"/>
      <c r="S6070" s="846"/>
      <c r="T6070" s="846"/>
    </row>
    <row r="6071" spans="2:20" ht="25.5" hidden="1">
      <c r="B6071" s="828" t="s">
        <v>6678</v>
      </c>
      <c r="C6071" s="828">
        <v>102501</v>
      </c>
      <c r="D6071" s="630" t="s">
        <v>6201</v>
      </c>
      <c r="E6071" s="630" t="s">
        <v>649</v>
      </c>
      <c r="F6071" s="829">
        <v>12.09</v>
      </c>
      <c r="G6071" s="830">
        <v>13.59</v>
      </c>
      <c r="H6071" s="831">
        <v>25.68</v>
      </c>
      <c r="I6071" s="846"/>
      <c r="J6071" s="846"/>
      <c r="K6071" s="846"/>
      <c r="L6071" s="846"/>
      <c r="M6071" s="846"/>
      <c r="N6071" s="846"/>
      <c r="O6071" s="846"/>
      <c r="P6071" s="846"/>
      <c r="Q6071" s="846"/>
      <c r="R6071" s="846"/>
      <c r="S6071" s="846"/>
      <c r="T6071" s="846"/>
    </row>
    <row r="6072" spans="2:20" ht="25.5" hidden="1">
      <c r="B6072" s="828" t="s">
        <v>6678</v>
      </c>
      <c r="C6072" s="828">
        <v>102504</v>
      </c>
      <c r="D6072" s="630" t="s">
        <v>6202</v>
      </c>
      <c r="E6072" s="630" t="s">
        <v>648</v>
      </c>
      <c r="F6072" s="829">
        <v>3.14</v>
      </c>
      <c r="G6072" s="830">
        <v>7.55</v>
      </c>
      <c r="H6072" s="831">
        <v>10.69</v>
      </c>
      <c r="I6072" s="846"/>
      <c r="J6072" s="846"/>
      <c r="K6072" s="846"/>
      <c r="L6072" s="846"/>
      <c r="M6072" s="846"/>
      <c r="N6072" s="846"/>
      <c r="O6072" s="846"/>
      <c r="P6072" s="846"/>
      <c r="Q6072" s="846"/>
      <c r="R6072" s="846"/>
      <c r="S6072" s="846"/>
      <c r="T6072" s="846"/>
    </row>
    <row r="6073" spans="2:20" ht="25.5" hidden="1">
      <c r="B6073" s="828" t="s">
        <v>6678</v>
      </c>
      <c r="C6073" s="828">
        <v>102505</v>
      </c>
      <c r="D6073" s="630" t="s">
        <v>6203</v>
      </c>
      <c r="E6073" s="630" t="s">
        <v>648</v>
      </c>
      <c r="F6073" s="829">
        <v>3.7</v>
      </c>
      <c r="G6073" s="830">
        <v>7.55</v>
      </c>
      <c r="H6073" s="831">
        <v>11.25</v>
      </c>
      <c r="I6073" s="846"/>
      <c r="J6073" s="846"/>
      <c r="K6073" s="846"/>
      <c r="L6073" s="846"/>
      <c r="M6073" s="846"/>
      <c r="N6073" s="846"/>
      <c r="O6073" s="846"/>
      <c r="P6073" s="846"/>
      <c r="Q6073" s="846"/>
      <c r="R6073" s="846"/>
      <c r="S6073" s="846"/>
      <c r="T6073" s="846"/>
    </row>
    <row r="6074" spans="2:20" ht="25.5" hidden="1">
      <c r="B6074" s="828" t="s">
        <v>6678</v>
      </c>
      <c r="C6074" s="828">
        <v>102506</v>
      </c>
      <c r="D6074" s="630" t="s">
        <v>6204</v>
      </c>
      <c r="E6074" s="630" t="s">
        <v>648</v>
      </c>
      <c r="F6074" s="829">
        <v>4.05</v>
      </c>
      <c r="G6074" s="830">
        <v>7.55</v>
      </c>
      <c r="H6074" s="831">
        <v>11.6</v>
      </c>
      <c r="I6074" s="846"/>
      <c r="J6074" s="846"/>
      <c r="K6074" s="846"/>
      <c r="L6074" s="846"/>
      <c r="M6074" s="846"/>
      <c r="N6074" s="846"/>
      <c r="O6074" s="846"/>
      <c r="P6074" s="846"/>
      <c r="Q6074" s="846"/>
      <c r="R6074" s="846"/>
      <c r="S6074" s="846"/>
      <c r="T6074" s="846"/>
    </row>
    <row r="6075" spans="2:20" ht="25.5" hidden="1">
      <c r="B6075" s="828" t="s">
        <v>6678</v>
      </c>
      <c r="C6075" s="828">
        <v>102507</v>
      </c>
      <c r="D6075" s="630" t="s">
        <v>6205</v>
      </c>
      <c r="E6075" s="630" t="s">
        <v>648</v>
      </c>
      <c r="F6075" s="829">
        <v>3.71</v>
      </c>
      <c r="G6075" s="830">
        <v>2.62</v>
      </c>
      <c r="H6075" s="831">
        <v>6.33</v>
      </c>
      <c r="I6075" s="846"/>
      <c r="J6075" s="846"/>
      <c r="K6075" s="846"/>
      <c r="L6075" s="846"/>
      <c r="M6075" s="846"/>
      <c r="N6075" s="846"/>
      <c r="O6075" s="846"/>
      <c r="P6075" s="846"/>
      <c r="Q6075" s="846"/>
      <c r="R6075" s="846"/>
      <c r="S6075" s="846"/>
      <c r="T6075" s="846"/>
    </row>
    <row r="6076" spans="2:20" ht="25.5" hidden="1">
      <c r="B6076" s="828" t="s">
        <v>6678</v>
      </c>
      <c r="C6076" s="828">
        <v>102508</v>
      </c>
      <c r="D6076" s="630" t="s">
        <v>6206</v>
      </c>
      <c r="E6076" s="630" t="s">
        <v>649</v>
      </c>
      <c r="F6076" s="829">
        <v>30.49</v>
      </c>
      <c r="G6076" s="830">
        <v>13.56</v>
      </c>
      <c r="H6076" s="831">
        <v>44.05</v>
      </c>
      <c r="I6076" s="846"/>
      <c r="J6076" s="846"/>
      <c r="K6076" s="846"/>
      <c r="L6076" s="846"/>
      <c r="M6076" s="846"/>
      <c r="N6076" s="846"/>
      <c r="O6076" s="846"/>
      <c r="P6076" s="846"/>
      <c r="Q6076" s="846"/>
      <c r="R6076" s="846"/>
      <c r="S6076" s="846"/>
      <c r="T6076" s="846"/>
    </row>
    <row r="6077" spans="2:20" ht="38.25" hidden="1">
      <c r="B6077" s="828" t="s">
        <v>6678</v>
      </c>
      <c r="C6077" s="828">
        <v>102509</v>
      </c>
      <c r="D6077" s="630" t="s">
        <v>6207</v>
      </c>
      <c r="E6077" s="630" t="s">
        <v>649</v>
      </c>
      <c r="F6077" s="829">
        <v>17.04</v>
      </c>
      <c r="G6077" s="830">
        <v>11.42</v>
      </c>
      <c r="H6077" s="831">
        <v>28.46</v>
      </c>
      <c r="I6077" s="846"/>
      <c r="J6077" s="846"/>
      <c r="K6077" s="846"/>
      <c r="L6077" s="846"/>
      <c r="M6077" s="846"/>
      <c r="N6077" s="846"/>
      <c r="O6077" s="846"/>
      <c r="P6077" s="846"/>
      <c r="Q6077" s="846"/>
      <c r="R6077" s="846"/>
      <c r="S6077" s="846"/>
      <c r="T6077" s="846"/>
    </row>
    <row r="6078" spans="2:20" ht="38.25" hidden="1">
      <c r="B6078" s="828" t="s">
        <v>6678</v>
      </c>
      <c r="C6078" s="828">
        <v>102512</v>
      </c>
      <c r="D6078" s="630" t="s">
        <v>6208</v>
      </c>
      <c r="E6078" s="630" t="s">
        <v>648</v>
      </c>
      <c r="F6078" s="829">
        <v>3.89</v>
      </c>
      <c r="G6078" s="830">
        <v>1.81</v>
      </c>
      <c r="H6078" s="831">
        <v>5.7</v>
      </c>
      <c r="I6078" s="846"/>
      <c r="J6078" s="846"/>
      <c r="K6078" s="846"/>
      <c r="L6078" s="846"/>
      <c r="M6078" s="846"/>
      <c r="N6078" s="846"/>
      <c r="O6078" s="846"/>
      <c r="P6078" s="846"/>
      <c r="Q6078" s="846"/>
      <c r="R6078" s="846"/>
      <c r="S6078" s="846"/>
      <c r="T6078" s="846"/>
    </row>
    <row r="6079" spans="2:20" ht="25.5" hidden="1">
      <c r="B6079" s="828" t="s">
        <v>6678</v>
      </c>
      <c r="C6079" s="828">
        <v>102513</v>
      </c>
      <c r="D6079" s="630" t="s">
        <v>6209</v>
      </c>
      <c r="E6079" s="630" t="s">
        <v>649</v>
      </c>
      <c r="F6079" s="829">
        <v>19.37</v>
      </c>
      <c r="G6079" s="830">
        <v>30.15</v>
      </c>
      <c r="H6079" s="831">
        <v>49.52</v>
      </c>
      <c r="I6079" s="846"/>
      <c r="J6079" s="846"/>
      <c r="K6079" s="846"/>
      <c r="L6079" s="846"/>
      <c r="M6079" s="846"/>
      <c r="N6079" s="846"/>
      <c r="O6079" s="846"/>
      <c r="P6079" s="846"/>
      <c r="Q6079" s="846"/>
      <c r="R6079" s="846"/>
      <c r="S6079" s="846"/>
      <c r="T6079" s="846"/>
    </row>
    <row r="6080" spans="2:20" ht="25.5" hidden="1">
      <c r="B6080" s="828" t="s">
        <v>6678</v>
      </c>
      <c r="C6080" s="828">
        <v>102520</v>
      </c>
      <c r="D6080" s="630" t="s">
        <v>6210</v>
      </c>
      <c r="E6080" s="630" t="s">
        <v>649</v>
      </c>
      <c r="F6080" s="829">
        <v>32.56</v>
      </c>
      <c r="G6080" s="830">
        <v>54.12</v>
      </c>
      <c r="H6080" s="831">
        <v>86.68</v>
      </c>
      <c r="I6080" s="846"/>
      <c r="J6080" s="846"/>
      <c r="K6080" s="846"/>
      <c r="L6080" s="846"/>
      <c r="M6080" s="846"/>
      <c r="N6080" s="846"/>
      <c r="O6080" s="846"/>
      <c r="P6080" s="846"/>
      <c r="Q6080" s="846"/>
      <c r="R6080" s="846"/>
      <c r="S6080" s="846"/>
      <c r="T6080" s="846"/>
    </row>
    <row r="6081" spans="2:20" ht="25.5" hidden="1">
      <c r="B6081" s="828" t="s">
        <v>6661</v>
      </c>
      <c r="C6081" s="828">
        <v>101749</v>
      </c>
      <c r="D6081" s="630" t="s">
        <v>4529</v>
      </c>
      <c r="E6081" s="630" t="s">
        <v>649</v>
      </c>
      <c r="F6081" s="829">
        <v>35.97</v>
      </c>
      <c r="G6081" s="830">
        <v>17.91</v>
      </c>
      <c r="H6081" s="831">
        <v>53.88</v>
      </c>
      <c r="I6081" s="846"/>
      <c r="J6081" s="846"/>
      <c r="K6081" s="846"/>
      <c r="L6081" s="846"/>
      <c r="M6081" s="846"/>
      <c r="N6081" s="846"/>
      <c r="O6081" s="846"/>
      <c r="P6081" s="846"/>
      <c r="Q6081" s="846"/>
      <c r="R6081" s="846"/>
      <c r="S6081" s="846"/>
      <c r="T6081" s="846"/>
    </row>
    <row r="6082" spans="2:20" ht="25.5" hidden="1">
      <c r="B6082" s="828" t="s">
        <v>6661</v>
      </c>
      <c r="C6082" s="828">
        <v>101750</v>
      </c>
      <c r="D6082" s="630" t="s">
        <v>4530</v>
      </c>
      <c r="E6082" s="630" t="s">
        <v>649</v>
      </c>
      <c r="F6082" s="829">
        <v>35.089999999999996</v>
      </c>
      <c r="G6082" s="830">
        <v>16.059999999999999</v>
      </c>
      <c r="H6082" s="831">
        <v>51.15</v>
      </c>
      <c r="I6082" s="846"/>
      <c r="J6082" s="846"/>
      <c r="K6082" s="846"/>
      <c r="L6082" s="846"/>
      <c r="M6082" s="846"/>
      <c r="N6082" s="846"/>
      <c r="O6082" s="846"/>
      <c r="P6082" s="846"/>
      <c r="Q6082" s="846"/>
      <c r="R6082" s="846"/>
      <c r="S6082" s="846"/>
      <c r="T6082" s="846"/>
    </row>
    <row r="6083" spans="2:20" ht="25.5" hidden="1">
      <c r="B6083" s="828" t="s">
        <v>6656</v>
      </c>
      <c r="C6083" s="828">
        <v>101729</v>
      </c>
      <c r="D6083" s="630" t="s">
        <v>4531</v>
      </c>
      <c r="E6083" s="630" t="s">
        <v>649</v>
      </c>
      <c r="F6083" s="829">
        <v>161.38999999999999</v>
      </c>
      <c r="G6083" s="830">
        <v>12.4</v>
      </c>
      <c r="H6083" s="831">
        <v>173.79</v>
      </c>
      <c r="I6083" s="846"/>
      <c r="J6083" s="846"/>
      <c r="K6083" s="846"/>
      <c r="L6083" s="846"/>
      <c r="M6083" s="846"/>
      <c r="N6083" s="846"/>
      <c r="O6083" s="846"/>
      <c r="P6083" s="846"/>
      <c r="Q6083" s="846"/>
      <c r="R6083" s="846"/>
      <c r="S6083" s="846"/>
      <c r="T6083" s="846"/>
    </row>
    <row r="6084" spans="2:20" hidden="1">
      <c r="B6084" s="828" t="s">
        <v>6656</v>
      </c>
      <c r="C6084" s="828">
        <v>101746</v>
      </c>
      <c r="D6084" s="630" t="s">
        <v>4532</v>
      </c>
      <c r="E6084" s="630" t="s">
        <v>649</v>
      </c>
      <c r="F6084" s="829">
        <v>247.37</v>
      </c>
      <c r="G6084" s="830">
        <v>14.46</v>
      </c>
      <c r="H6084" s="831">
        <v>261.83</v>
      </c>
      <c r="I6084" s="846"/>
      <c r="J6084" s="846"/>
      <c r="K6084" s="846"/>
      <c r="L6084" s="846"/>
      <c r="M6084" s="846"/>
      <c r="N6084" s="846"/>
      <c r="O6084" s="846"/>
      <c r="P6084" s="846"/>
      <c r="Q6084" s="846"/>
      <c r="R6084" s="846"/>
      <c r="S6084" s="846"/>
      <c r="T6084" s="846"/>
    </row>
    <row r="6085" spans="2:20" ht="25.5" hidden="1">
      <c r="B6085" s="828" t="s">
        <v>6656</v>
      </c>
      <c r="C6085" s="828">
        <v>101751</v>
      </c>
      <c r="D6085" s="630" t="s">
        <v>4533</v>
      </c>
      <c r="E6085" s="630" t="s">
        <v>649</v>
      </c>
      <c r="F6085" s="829">
        <v>163.04</v>
      </c>
      <c r="G6085" s="830">
        <v>18.010000000000002</v>
      </c>
      <c r="H6085" s="831">
        <v>181.05</v>
      </c>
      <c r="I6085" s="846"/>
      <c r="J6085" s="846"/>
      <c r="K6085" s="846"/>
      <c r="L6085" s="846"/>
      <c r="M6085" s="846"/>
      <c r="N6085" s="846"/>
      <c r="O6085" s="846"/>
      <c r="P6085" s="846"/>
      <c r="Q6085" s="846"/>
      <c r="R6085" s="846"/>
      <c r="S6085" s="846"/>
      <c r="T6085" s="846"/>
    </row>
    <row r="6086" spans="2:20" ht="38.25" hidden="1">
      <c r="B6086" s="828" t="s">
        <v>6534</v>
      </c>
      <c r="C6086" s="828">
        <v>87246</v>
      </c>
      <c r="D6086" s="630" t="s">
        <v>2619</v>
      </c>
      <c r="E6086" s="630" t="s">
        <v>649</v>
      </c>
      <c r="F6086" s="829">
        <v>43.8</v>
      </c>
      <c r="G6086" s="830">
        <v>19.97</v>
      </c>
      <c r="H6086" s="831">
        <v>63.77</v>
      </c>
      <c r="I6086" s="846"/>
      <c r="J6086" s="846"/>
      <c r="K6086" s="846"/>
      <c r="L6086" s="846"/>
      <c r="M6086" s="846"/>
      <c r="N6086" s="846"/>
      <c r="O6086" s="846"/>
      <c r="P6086" s="846"/>
      <c r="Q6086" s="846"/>
      <c r="R6086" s="846"/>
      <c r="S6086" s="846"/>
      <c r="T6086" s="846"/>
    </row>
    <row r="6087" spans="2:20" ht="38.25" hidden="1">
      <c r="B6087" s="828" t="s">
        <v>6534</v>
      </c>
      <c r="C6087" s="828">
        <v>87247</v>
      </c>
      <c r="D6087" s="630" t="s">
        <v>2620</v>
      </c>
      <c r="E6087" s="630" t="s">
        <v>649</v>
      </c>
      <c r="F6087" s="829">
        <v>41.39</v>
      </c>
      <c r="G6087" s="830">
        <v>13.85</v>
      </c>
      <c r="H6087" s="831">
        <v>55.24</v>
      </c>
      <c r="I6087" s="846"/>
      <c r="J6087" s="846"/>
      <c r="K6087" s="846"/>
      <c r="L6087" s="846"/>
      <c r="M6087" s="846"/>
      <c r="N6087" s="846"/>
      <c r="O6087" s="846"/>
      <c r="P6087" s="846"/>
      <c r="Q6087" s="846"/>
      <c r="R6087" s="846"/>
      <c r="S6087" s="846"/>
      <c r="T6087" s="846"/>
    </row>
    <row r="6088" spans="2:20" ht="38.25" hidden="1">
      <c r="B6088" s="828" t="s">
        <v>6534</v>
      </c>
      <c r="C6088" s="828">
        <v>87248</v>
      </c>
      <c r="D6088" s="630" t="s">
        <v>2621</v>
      </c>
      <c r="E6088" s="630" t="s">
        <v>649</v>
      </c>
      <c r="F6088" s="829">
        <v>39.81</v>
      </c>
      <c r="G6088" s="830">
        <v>8.3800000000000008</v>
      </c>
      <c r="H6088" s="831">
        <v>48.19</v>
      </c>
      <c r="I6088" s="846"/>
      <c r="J6088" s="846"/>
      <c r="K6088" s="846"/>
      <c r="L6088" s="846"/>
      <c r="M6088" s="846"/>
      <c r="N6088" s="846"/>
      <c r="O6088" s="846"/>
      <c r="P6088" s="846"/>
      <c r="Q6088" s="846"/>
      <c r="R6088" s="846"/>
      <c r="S6088" s="846"/>
      <c r="T6088" s="846"/>
    </row>
    <row r="6089" spans="2:20" ht="38.25" hidden="1">
      <c r="B6089" s="828" t="s">
        <v>6534</v>
      </c>
      <c r="C6089" s="828">
        <v>87249</v>
      </c>
      <c r="D6089" s="630" t="s">
        <v>2622</v>
      </c>
      <c r="E6089" s="630" t="s">
        <v>649</v>
      </c>
      <c r="F6089" s="829">
        <v>46.63</v>
      </c>
      <c r="G6089" s="830">
        <v>25.19</v>
      </c>
      <c r="H6089" s="831">
        <v>71.819999999999993</v>
      </c>
      <c r="I6089" s="846"/>
      <c r="J6089" s="846"/>
      <c r="K6089" s="846"/>
      <c r="L6089" s="846"/>
      <c r="M6089" s="846"/>
      <c r="N6089" s="846"/>
      <c r="O6089" s="846"/>
      <c r="P6089" s="846"/>
      <c r="Q6089" s="846"/>
      <c r="R6089" s="846"/>
      <c r="S6089" s="846"/>
      <c r="T6089" s="846"/>
    </row>
    <row r="6090" spans="2:20" ht="38.25" hidden="1">
      <c r="B6090" s="828" t="s">
        <v>6534</v>
      </c>
      <c r="C6090" s="828">
        <v>87250</v>
      </c>
      <c r="D6090" s="630" t="s">
        <v>2623</v>
      </c>
      <c r="E6090" s="630" t="s">
        <v>649</v>
      </c>
      <c r="F6090" s="829">
        <v>42.86</v>
      </c>
      <c r="G6090" s="830">
        <v>15.47</v>
      </c>
      <c r="H6090" s="831">
        <v>58.33</v>
      </c>
      <c r="I6090" s="846"/>
      <c r="J6090" s="846"/>
      <c r="K6090" s="846"/>
      <c r="L6090" s="846"/>
      <c r="M6090" s="846"/>
      <c r="N6090" s="846"/>
      <c r="O6090" s="846"/>
      <c r="P6090" s="846"/>
      <c r="Q6090" s="846"/>
      <c r="R6090" s="846"/>
      <c r="S6090" s="846"/>
      <c r="T6090" s="846"/>
    </row>
    <row r="6091" spans="2:20" ht="38.25" hidden="1">
      <c r="B6091" s="828" t="s">
        <v>6534</v>
      </c>
      <c r="C6091" s="828">
        <v>87251</v>
      </c>
      <c r="D6091" s="630" t="s">
        <v>2624</v>
      </c>
      <c r="E6091" s="630" t="s">
        <v>649</v>
      </c>
      <c r="F6091" s="829">
        <v>40.64</v>
      </c>
      <c r="G6091" s="830">
        <v>8.86</v>
      </c>
      <c r="H6091" s="831">
        <v>49.5</v>
      </c>
      <c r="I6091" s="846"/>
      <c r="J6091" s="846"/>
      <c r="K6091" s="846"/>
      <c r="L6091" s="846"/>
      <c r="M6091" s="846"/>
      <c r="N6091" s="846"/>
      <c r="O6091" s="846"/>
      <c r="P6091" s="846"/>
      <c r="Q6091" s="846"/>
      <c r="R6091" s="846"/>
      <c r="S6091" s="846"/>
      <c r="T6091" s="846"/>
    </row>
    <row r="6092" spans="2:20" ht="38.25" hidden="1">
      <c r="B6092" s="828" t="s">
        <v>6534</v>
      </c>
      <c r="C6092" s="828">
        <v>87255</v>
      </c>
      <c r="D6092" s="630" t="s">
        <v>2625</v>
      </c>
      <c r="E6092" s="630" t="s">
        <v>649</v>
      </c>
      <c r="F6092" s="829">
        <v>85.76</v>
      </c>
      <c r="G6092" s="830">
        <v>28.36</v>
      </c>
      <c r="H6092" s="831">
        <v>114.12</v>
      </c>
      <c r="I6092" s="846"/>
      <c r="J6092" s="846"/>
      <c r="K6092" s="846"/>
      <c r="L6092" s="846"/>
      <c r="M6092" s="846"/>
      <c r="N6092" s="846"/>
      <c r="O6092" s="846"/>
      <c r="P6092" s="846"/>
      <c r="Q6092" s="846"/>
      <c r="R6092" s="846"/>
      <c r="S6092" s="846"/>
      <c r="T6092" s="846"/>
    </row>
    <row r="6093" spans="2:20" ht="38.25" hidden="1">
      <c r="B6093" s="828" t="s">
        <v>6534</v>
      </c>
      <c r="C6093" s="828">
        <v>87256</v>
      </c>
      <c r="D6093" s="630" t="s">
        <v>2626</v>
      </c>
      <c r="E6093" s="630" t="s">
        <v>649</v>
      </c>
      <c r="F6093" s="829">
        <v>80.209999999999994</v>
      </c>
      <c r="G6093" s="830">
        <v>17.91</v>
      </c>
      <c r="H6093" s="831">
        <v>98.12</v>
      </c>
      <c r="I6093" s="846"/>
      <c r="J6093" s="846"/>
      <c r="K6093" s="846"/>
      <c r="L6093" s="846"/>
      <c r="M6093" s="846"/>
      <c r="N6093" s="846"/>
      <c r="O6093" s="846"/>
      <c r="P6093" s="846"/>
      <c r="Q6093" s="846"/>
      <c r="R6093" s="846"/>
      <c r="S6093" s="846"/>
      <c r="T6093" s="846"/>
    </row>
    <row r="6094" spans="2:20" ht="38.25" hidden="1">
      <c r="B6094" s="828" t="s">
        <v>6534</v>
      </c>
      <c r="C6094" s="828">
        <v>87257</v>
      </c>
      <c r="D6094" s="630" t="s">
        <v>2627</v>
      </c>
      <c r="E6094" s="630" t="s">
        <v>649</v>
      </c>
      <c r="F6094" s="829">
        <v>77.39</v>
      </c>
      <c r="G6094" s="830">
        <v>10.41</v>
      </c>
      <c r="H6094" s="831">
        <v>87.8</v>
      </c>
      <c r="I6094" s="846"/>
      <c r="J6094" s="846"/>
      <c r="K6094" s="846"/>
      <c r="L6094" s="846"/>
      <c r="M6094" s="846"/>
      <c r="N6094" s="846"/>
      <c r="O6094" s="846"/>
      <c r="P6094" s="846"/>
      <c r="Q6094" s="846"/>
      <c r="R6094" s="846"/>
      <c r="S6094" s="846"/>
      <c r="T6094" s="846"/>
    </row>
    <row r="6095" spans="2:20" ht="38.25" hidden="1">
      <c r="B6095" s="828" t="s">
        <v>6534</v>
      </c>
      <c r="C6095" s="828">
        <v>87258</v>
      </c>
      <c r="D6095" s="630" t="s">
        <v>217</v>
      </c>
      <c r="E6095" s="630" t="s">
        <v>649</v>
      </c>
      <c r="F6095" s="829">
        <v>120.68</v>
      </c>
      <c r="G6095" s="830">
        <v>28.84</v>
      </c>
      <c r="H6095" s="831">
        <v>149.52000000000001</v>
      </c>
      <c r="I6095" s="846"/>
      <c r="J6095" s="846"/>
      <c r="K6095" s="846"/>
      <c r="L6095" s="846"/>
      <c r="M6095" s="846"/>
      <c r="N6095" s="846"/>
      <c r="O6095" s="846"/>
      <c r="P6095" s="846"/>
      <c r="Q6095" s="846"/>
      <c r="R6095" s="846"/>
      <c r="S6095" s="846"/>
      <c r="T6095" s="846"/>
    </row>
    <row r="6096" spans="2:20" ht="38.25" hidden="1">
      <c r="B6096" s="828" t="s">
        <v>6534</v>
      </c>
      <c r="C6096" s="828">
        <v>87259</v>
      </c>
      <c r="D6096" s="630" t="s">
        <v>218</v>
      </c>
      <c r="E6096" s="630" t="s">
        <v>649</v>
      </c>
      <c r="F6096" s="829">
        <v>115.3</v>
      </c>
      <c r="G6096" s="830">
        <v>19.059999999999999</v>
      </c>
      <c r="H6096" s="831">
        <v>134.36000000000001</v>
      </c>
      <c r="I6096" s="846"/>
      <c r="J6096" s="846"/>
      <c r="K6096" s="846"/>
      <c r="L6096" s="846"/>
      <c r="M6096" s="846"/>
      <c r="N6096" s="846"/>
      <c r="O6096" s="846"/>
      <c r="P6096" s="846"/>
      <c r="Q6096" s="846"/>
      <c r="R6096" s="846"/>
      <c r="S6096" s="846"/>
      <c r="T6096" s="846"/>
    </row>
    <row r="6097" spans="2:20" ht="38.25" hidden="1">
      <c r="B6097" s="828" t="s">
        <v>6534</v>
      </c>
      <c r="C6097" s="828">
        <v>87260</v>
      </c>
      <c r="D6097" s="630" t="s">
        <v>219</v>
      </c>
      <c r="E6097" s="630" t="s">
        <v>649</v>
      </c>
      <c r="F6097" s="829">
        <v>112.62</v>
      </c>
      <c r="G6097" s="830">
        <v>12.69</v>
      </c>
      <c r="H6097" s="831">
        <v>125.31</v>
      </c>
      <c r="I6097" s="846"/>
      <c r="J6097" s="846"/>
      <c r="K6097" s="846"/>
      <c r="L6097" s="846"/>
      <c r="M6097" s="846"/>
      <c r="N6097" s="846"/>
      <c r="O6097" s="846"/>
      <c r="P6097" s="846"/>
      <c r="Q6097" s="846"/>
      <c r="R6097" s="846"/>
      <c r="S6097" s="846"/>
      <c r="T6097" s="846"/>
    </row>
    <row r="6098" spans="2:20" ht="38.25" hidden="1">
      <c r="B6098" s="828" t="s">
        <v>6534</v>
      </c>
      <c r="C6098" s="828">
        <v>87261</v>
      </c>
      <c r="D6098" s="630" t="s">
        <v>220</v>
      </c>
      <c r="E6098" s="630" t="s">
        <v>649</v>
      </c>
      <c r="F6098" s="829">
        <v>139.96</v>
      </c>
      <c r="G6098" s="830">
        <v>32.020000000000003</v>
      </c>
      <c r="H6098" s="831">
        <v>171.98</v>
      </c>
      <c r="I6098" s="846"/>
      <c r="J6098" s="846"/>
      <c r="K6098" s="846"/>
      <c r="L6098" s="846"/>
      <c r="M6098" s="846"/>
      <c r="N6098" s="846"/>
      <c r="O6098" s="846"/>
      <c r="P6098" s="846"/>
      <c r="Q6098" s="846"/>
      <c r="R6098" s="846"/>
      <c r="S6098" s="846"/>
      <c r="T6098" s="846"/>
    </row>
    <row r="6099" spans="2:20" ht="38.25" hidden="1">
      <c r="B6099" s="828" t="s">
        <v>6534</v>
      </c>
      <c r="C6099" s="828">
        <v>87262</v>
      </c>
      <c r="D6099" s="630" t="s">
        <v>221</v>
      </c>
      <c r="E6099" s="630" t="s">
        <v>649</v>
      </c>
      <c r="F6099" s="829">
        <v>132.94</v>
      </c>
      <c r="G6099" s="830">
        <v>21.58</v>
      </c>
      <c r="H6099" s="831">
        <v>154.52000000000001</v>
      </c>
      <c r="I6099" s="846"/>
      <c r="J6099" s="846"/>
      <c r="K6099" s="846"/>
      <c r="L6099" s="846"/>
      <c r="M6099" s="846"/>
      <c r="N6099" s="846"/>
      <c r="O6099" s="846"/>
      <c r="P6099" s="846"/>
      <c r="Q6099" s="846"/>
      <c r="R6099" s="846"/>
      <c r="S6099" s="846"/>
      <c r="T6099" s="846"/>
    </row>
    <row r="6100" spans="2:20" ht="38.25" hidden="1">
      <c r="B6100" s="828" t="s">
        <v>6534</v>
      </c>
      <c r="C6100" s="828">
        <v>87263</v>
      </c>
      <c r="D6100" s="630" t="s">
        <v>222</v>
      </c>
      <c r="E6100" s="630" t="s">
        <v>649</v>
      </c>
      <c r="F6100" s="829">
        <v>129.76</v>
      </c>
      <c r="G6100" s="830">
        <v>14.08</v>
      </c>
      <c r="H6100" s="831">
        <v>143.84</v>
      </c>
      <c r="I6100" s="846"/>
      <c r="J6100" s="846"/>
      <c r="K6100" s="846"/>
      <c r="L6100" s="846"/>
      <c r="M6100" s="846"/>
      <c r="N6100" s="846"/>
      <c r="O6100" s="846"/>
      <c r="P6100" s="846"/>
      <c r="Q6100" s="846"/>
      <c r="R6100" s="846"/>
      <c r="S6100" s="846"/>
      <c r="T6100" s="846"/>
    </row>
    <row r="6101" spans="2:20" ht="38.25" hidden="1">
      <c r="B6101" s="828" t="s">
        <v>6534</v>
      </c>
      <c r="C6101" s="828">
        <v>89046</v>
      </c>
      <c r="D6101" s="630" t="s">
        <v>4890</v>
      </c>
      <c r="E6101" s="630" t="s">
        <v>649</v>
      </c>
      <c r="F6101" s="829">
        <v>41.37</v>
      </c>
      <c r="G6101" s="830">
        <v>13.45</v>
      </c>
      <c r="H6101" s="831">
        <v>54.82</v>
      </c>
      <c r="I6101" s="846"/>
      <c r="J6101" s="846"/>
      <c r="K6101" s="846"/>
      <c r="L6101" s="846"/>
      <c r="M6101" s="846"/>
      <c r="N6101" s="846"/>
      <c r="O6101" s="846"/>
      <c r="P6101" s="846"/>
      <c r="Q6101" s="846"/>
      <c r="R6101" s="846"/>
      <c r="S6101" s="846"/>
      <c r="T6101" s="846"/>
    </row>
    <row r="6102" spans="2:20" ht="51" hidden="1">
      <c r="B6102" s="828" t="s">
        <v>6534</v>
      </c>
      <c r="C6102" s="828">
        <v>89171</v>
      </c>
      <c r="D6102" s="630" t="s">
        <v>4891</v>
      </c>
      <c r="E6102" s="630" t="s">
        <v>649</v>
      </c>
      <c r="F6102" s="829">
        <v>40.54</v>
      </c>
      <c r="G6102" s="830">
        <v>10.86</v>
      </c>
      <c r="H6102" s="831">
        <v>51.4</v>
      </c>
      <c r="I6102" s="846"/>
      <c r="J6102" s="846"/>
      <c r="K6102" s="846"/>
      <c r="L6102" s="846"/>
      <c r="M6102" s="846"/>
      <c r="N6102" s="846"/>
      <c r="O6102" s="846"/>
      <c r="P6102" s="846"/>
      <c r="Q6102" s="846"/>
      <c r="R6102" s="846"/>
      <c r="S6102" s="846"/>
      <c r="T6102" s="846"/>
    </row>
    <row r="6103" spans="2:20" ht="38.25" hidden="1">
      <c r="B6103" s="828" t="s">
        <v>6534</v>
      </c>
      <c r="C6103" s="828">
        <v>93389</v>
      </c>
      <c r="D6103" s="630" t="s">
        <v>2628</v>
      </c>
      <c r="E6103" s="630" t="s">
        <v>649</v>
      </c>
      <c r="F6103" s="829">
        <v>38.08</v>
      </c>
      <c r="G6103" s="830">
        <v>19.97</v>
      </c>
      <c r="H6103" s="831">
        <v>58.05</v>
      </c>
      <c r="I6103" s="846"/>
      <c r="J6103" s="846"/>
      <c r="K6103" s="846"/>
      <c r="L6103" s="846"/>
      <c r="M6103" s="846"/>
      <c r="N6103" s="846"/>
      <c r="O6103" s="846"/>
      <c r="P6103" s="846"/>
      <c r="Q6103" s="846"/>
      <c r="R6103" s="846"/>
      <c r="S6103" s="846"/>
      <c r="T6103" s="846"/>
    </row>
    <row r="6104" spans="2:20" ht="38.25" hidden="1">
      <c r="B6104" s="828" t="s">
        <v>6534</v>
      </c>
      <c r="C6104" s="828">
        <v>93390</v>
      </c>
      <c r="D6104" s="630" t="s">
        <v>2629</v>
      </c>
      <c r="E6104" s="630" t="s">
        <v>649</v>
      </c>
      <c r="F6104" s="829">
        <v>35.78</v>
      </c>
      <c r="G6104" s="830">
        <v>13.85</v>
      </c>
      <c r="H6104" s="831">
        <v>49.63</v>
      </c>
      <c r="I6104" s="846"/>
      <c r="J6104" s="846"/>
      <c r="K6104" s="846"/>
      <c r="L6104" s="846"/>
      <c r="M6104" s="846"/>
      <c r="N6104" s="846"/>
      <c r="O6104" s="846"/>
      <c r="P6104" s="846"/>
      <c r="Q6104" s="846"/>
      <c r="R6104" s="846"/>
      <c r="S6104" s="846"/>
      <c r="T6104" s="846"/>
    </row>
    <row r="6105" spans="2:20" ht="38.25" hidden="1">
      <c r="B6105" s="828" t="s">
        <v>6534</v>
      </c>
      <c r="C6105" s="828">
        <v>93391</v>
      </c>
      <c r="D6105" s="630" t="s">
        <v>2630</v>
      </c>
      <c r="E6105" s="630" t="s">
        <v>649</v>
      </c>
      <c r="F6105" s="829">
        <v>34.200000000000003</v>
      </c>
      <c r="G6105" s="830">
        <v>8.3800000000000008</v>
      </c>
      <c r="H6105" s="831">
        <v>42.58</v>
      </c>
      <c r="I6105" s="846"/>
      <c r="J6105" s="846"/>
      <c r="K6105" s="846"/>
      <c r="L6105" s="846"/>
      <c r="M6105" s="846"/>
      <c r="N6105" s="846"/>
      <c r="O6105" s="846"/>
      <c r="P6105" s="846"/>
      <c r="Q6105" s="846"/>
      <c r="R6105" s="846"/>
      <c r="S6105" s="846"/>
      <c r="T6105" s="846"/>
    </row>
    <row r="6106" spans="2:20" hidden="1">
      <c r="B6106" s="828" t="s">
        <v>6629</v>
      </c>
      <c r="C6106" s="828">
        <v>98671</v>
      </c>
      <c r="D6106" s="630" t="s">
        <v>4534</v>
      </c>
      <c r="E6106" s="630" t="s">
        <v>649</v>
      </c>
      <c r="F6106" s="829">
        <v>437.96</v>
      </c>
      <c r="G6106" s="830">
        <v>42.86</v>
      </c>
      <c r="H6106" s="831">
        <v>480.82</v>
      </c>
      <c r="I6106" s="846"/>
      <c r="J6106" s="846"/>
      <c r="K6106" s="846"/>
      <c r="L6106" s="846"/>
      <c r="M6106" s="846"/>
      <c r="N6106" s="846"/>
      <c r="O6106" s="846"/>
      <c r="P6106" s="846"/>
      <c r="Q6106" s="846"/>
      <c r="R6106" s="846"/>
      <c r="S6106" s="846"/>
      <c r="T6106" s="846"/>
    </row>
    <row r="6107" spans="2:20" hidden="1">
      <c r="B6107" s="828" t="s">
        <v>6629</v>
      </c>
      <c r="C6107" s="828">
        <v>98672</v>
      </c>
      <c r="D6107" s="630" t="s">
        <v>4535</v>
      </c>
      <c r="E6107" s="630" t="s">
        <v>649</v>
      </c>
      <c r="F6107" s="829">
        <v>702.51</v>
      </c>
      <c r="G6107" s="830">
        <v>42.86</v>
      </c>
      <c r="H6107" s="831">
        <v>745.37</v>
      </c>
      <c r="I6107" s="846"/>
      <c r="J6107" s="846"/>
      <c r="K6107" s="846"/>
      <c r="L6107" s="846"/>
      <c r="M6107" s="846"/>
      <c r="N6107" s="846"/>
      <c r="O6107" s="846"/>
      <c r="P6107" s="846"/>
      <c r="Q6107" s="846"/>
      <c r="R6107" s="846"/>
      <c r="S6107" s="846"/>
      <c r="T6107" s="846"/>
    </row>
    <row r="6108" spans="2:20" ht="25.5" hidden="1">
      <c r="B6108" s="828" t="s">
        <v>6629</v>
      </c>
      <c r="C6108" s="828">
        <v>98678</v>
      </c>
      <c r="D6108" s="630" t="s">
        <v>4536</v>
      </c>
      <c r="E6108" s="630" t="s">
        <v>649</v>
      </c>
      <c r="F6108" s="829">
        <v>458.77</v>
      </c>
      <c r="G6108" s="830">
        <v>13.44</v>
      </c>
      <c r="H6108" s="831">
        <v>472.21</v>
      </c>
      <c r="I6108" s="846"/>
      <c r="J6108" s="846"/>
      <c r="K6108" s="846"/>
      <c r="L6108" s="846"/>
      <c r="M6108" s="846"/>
      <c r="N6108" s="846"/>
      <c r="O6108" s="846"/>
      <c r="P6108" s="846"/>
      <c r="Q6108" s="846"/>
      <c r="R6108" s="846"/>
      <c r="S6108" s="846"/>
      <c r="T6108" s="846"/>
    </row>
    <row r="6109" spans="2:20" ht="25.5" hidden="1">
      <c r="B6109" s="828" t="s">
        <v>6629</v>
      </c>
      <c r="C6109" s="828">
        <v>98679</v>
      </c>
      <c r="D6109" s="630" t="s">
        <v>4537</v>
      </c>
      <c r="E6109" s="630" t="s">
        <v>649</v>
      </c>
      <c r="F6109" s="829">
        <v>24.01</v>
      </c>
      <c r="G6109" s="830">
        <v>14.08</v>
      </c>
      <c r="H6109" s="831">
        <v>38.090000000000003</v>
      </c>
      <c r="I6109" s="846"/>
      <c r="J6109" s="846"/>
      <c r="K6109" s="846"/>
      <c r="L6109" s="846"/>
      <c r="M6109" s="846"/>
      <c r="N6109" s="846"/>
      <c r="O6109" s="846"/>
      <c r="P6109" s="846"/>
      <c r="Q6109" s="846"/>
      <c r="R6109" s="846"/>
      <c r="S6109" s="846"/>
      <c r="T6109" s="846"/>
    </row>
    <row r="6110" spans="2:20" ht="25.5" hidden="1">
      <c r="B6110" s="828" t="s">
        <v>6629</v>
      </c>
      <c r="C6110" s="828">
        <v>98680</v>
      </c>
      <c r="D6110" s="630" t="s">
        <v>4538</v>
      </c>
      <c r="E6110" s="630" t="s">
        <v>649</v>
      </c>
      <c r="F6110" s="829">
        <v>30.589999999999996</v>
      </c>
      <c r="G6110" s="830">
        <v>16.190000000000001</v>
      </c>
      <c r="H6110" s="831">
        <v>46.78</v>
      </c>
      <c r="I6110" s="846"/>
      <c r="J6110" s="846"/>
      <c r="K6110" s="846"/>
      <c r="L6110" s="846"/>
      <c r="M6110" s="846"/>
      <c r="N6110" s="846"/>
      <c r="O6110" s="846"/>
      <c r="P6110" s="846"/>
      <c r="Q6110" s="846"/>
      <c r="R6110" s="846"/>
      <c r="S6110" s="846"/>
      <c r="T6110" s="846"/>
    </row>
    <row r="6111" spans="2:20" ht="25.5" hidden="1">
      <c r="B6111" s="828" t="s">
        <v>6629</v>
      </c>
      <c r="C6111" s="828">
        <v>98681</v>
      </c>
      <c r="D6111" s="630" t="s">
        <v>4539</v>
      </c>
      <c r="E6111" s="630" t="s">
        <v>649</v>
      </c>
      <c r="F6111" s="829">
        <v>23.12</v>
      </c>
      <c r="G6111" s="830">
        <v>12.24</v>
      </c>
      <c r="H6111" s="831">
        <v>35.36</v>
      </c>
      <c r="I6111" s="846"/>
      <c r="J6111" s="846"/>
      <c r="K6111" s="846"/>
      <c r="L6111" s="846"/>
      <c r="M6111" s="846"/>
      <c r="N6111" s="846"/>
      <c r="O6111" s="846"/>
      <c r="P6111" s="846"/>
      <c r="Q6111" s="846"/>
      <c r="R6111" s="846"/>
      <c r="S6111" s="846"/>
      <c r="T6111" s="846"/>
    </row>
    <row r="6112" spans="2:20" ht="25.5" hidden="1">
      <c r="B6112" s="828" t="s">
        <v>6629</v>
      </c>
      <c r="C6112" s="828">
        <v>98682</v>
      </c>
      <c r="D6112" s="630" t="s">
        <v>4540</v>
      </c>
      <c r="E6112" s="630" t="s">
        <v>649</v>
      </c>
      <c r="F6112" s="829">
        <v>29.709999999999997</v>
      </c>
      <c r="G6112" s="830">
        <v>14.33</v>
      </c>
      <c r="H6112" s="831">
        <v>44.04</v>
      </c>
      <c r="I6112" s="846"/>
      <c r="J6112" s="846"/>
      <c r="K6112" s="846"/>
      <c r="L6112" s="846"/>
      <c r="M6112" s="846"/>
      <c r="N6112" s="846"/>
      <c r="O6112" s="846"/>
      <c r="P6112" s="846"/>
      <c r="Q6112" s="846"/>
      <c r="R6112" s="846"/>
      <c r="S6112" s="846"/>
      <c r="T6112" s="846"/>
    </row>
    <row r="6113" spans="2:20" hidden="1">
      <c r="B6113" s="828" t="s">
        <v>6629</v>
      </c>
      <c r="C6113" s="828">
        <v>98685</v>
      </c>
      <c r="D6113" s="630" t="s">
        <v>4541</v>
      </c>
      <c r="E6113" s="630" t="s">
        <v>648</v>
      </c>
      <c r="F6113" s="829">
        <v>77.28</v>
      </c>
      <c r="G6113" s="830">
        <v>10.78</v>
      </c>
      <c r="H6113" s="831">
        <v>88.06</v>
      </c>
      <c r="I6113" s="846"/>
      <c r="J6113" s="846"/>
      <c r="K6113" s="846"/>
      <c r="L6113" s="846"/>
      <c r="M6113" s="846"/>
      <c r="N6113" s="846"/>
      <c r="O6113" s="846"/>
      <c r="P6113" s="846"/>
      <c r="Q6113" s="846"/>
      <c r="R6113" s="846"/>
      <c r="S6113" s="846"/>
      <c r="T6113" s="846"/>
    </row>
    <row r="6114" spans="2:20" hidden="1">
      <c r="B6114" s="828" t="s">
        <v>6629</v>
      </c>
      <c r="C6114" s="828">
        <v>98686</v>
      </c>
      <c r="D6114" s="630" t="s">
        <v>4542</v>
      </c>
      <c r="E6114" s="630" t="s">
        <v>648</v>
      </c>
      <c r="F6114" s="829">
        <v>16.59</v>
      </c>
      <c r="G6114" s="830">
        <v>26.95</v>
      </c>
      <c r="H6114" s="831">
        <v>43.54</v>
      </c>
      <c r="I6114" s="846"/>
      <c r="J6114" s="846"/>
      <c r="K6114" s="846"/>
      <c r="L6114" s="846"/>
      <c r="M6114" s="846"/>
      <c r="N6114" s="846"/>
      <c r="O6114" s="846"/>
      <c r="P6114" s="846"/>
      <c r="Q6114" s="846"/>
      <c r="R6114" s="846"/>
      <c r="S6114" s="846"/>
      <c r="T6114" s="846"/>
    </row>
    <row r="6115" spans="2:20" hidden="1">
      <c r="B6115" s="828" t="s">
        <v>6629</v>
      </c>
      <c r="C6115" s="828">
        <v>98688</v>
      </c>
      <c r="D6115" s="630" t="s">
        <v>4543</v>
      </c>
      <c r="E6115" s="630" t="s">
        <v>648</v>
      </c>
      <c r="F6115" s="829">
        <v>55.35</v>
      </c>
      <c r="G6115" s="830">
        <v>3.38</v>
      </c>
      <c r="H6115" s="831">
        <v>58.73</v>
      </c>
      <c r="I6115" s="846"/>
      <c r="J6115" s="846"/>
      <c r="K6115" s="846"/>
      <c r="L6115" s="846"/>
      <c r="M6115" s="846"/>
      <c r="N6115" s="846"/>
      <c r="O6115" s="846"/>
      <c r="P6115" s="846"/>
      <c r="Q6115" s="846"/>
      <c r="R6115" s="846"/>
      <c r="S6115" s="846"/>
      <c r="T6115" s="846"/>
    </row>
    <row r="6116" spans="2:20" hidden="1">
      <c r="B6116" s="828" t="s">
        <v>6629</v>
      </c>
      <c r="C6116" s="828">
        <v>98689</v>
      </c>
      <c r="D6116" s="630" t="s">
        <v>4544</v>
      </c>
      <c r="E6116" s="630" t="s">
        <v>648</v>
      </c>
      <c r="F6116" s="829">
        <v>106.17</v>
      </c>
      <c r="G6116" s="830">
        <v>19.71</v>
      </c>
      <c r="H6116" s="831">
        <v>125.88</v>
      </c>
      <c r="I6116" s="846"/>
      <c r="J6116" s="846"/>
      <c r="K6116" s="846"/>
      <c r="L6116" s="846"/>
      <c r="M6116" s="846"/>
      <c r="N6116" s="846"/>
      <c r="O6116" s="846"/>
      <c r="P6116" s="846"/>
      <c r="Q6116" s="846"/>
      <c r="R6116" s="846"/>
      <c r="S6116" s="846"/>
      <c r="T6116" s="846"/>
    </row>
    <row r="6117" spans="2:20" ht="38.25" hidden="1">
      <c r="B6117" s="828" t="s">
        <v>6629</v>
      </c>
      <c r="C6117" s="828">
        <v>101090</v>
      </c>
      <c r="D6117" s="630" t="s">
        <v>4545</v>
      </c>
      <c r="E6117" s="630" t="s">
        <v>649</v>
      </c>
      <c r="F6117" s="829">
        <v>160.28</v>
      </c>
      <c r="G6117" s="830">
        <v>24.48</v>
      </c>
      <c r="H6117" s="831">
        <v>184.76</v>
      </c>
      <c r="I6117" s="846"/>
      <c r="J6117" s="846"/>
      <c r="K6117" s="846"/>
      <c r="L6117" s="846"/>
      <c r="M6117" s="846"/>
      <c r="N6117" s="846"/>
      <c r="O6117" s="846"/>
      <c r="P6117" s="846"/>
      <c r="Q6117" s="846"/>
      <c r="R6117" s="846"/>
      <c r="S6117" s="846"/>
      <c r="T6117" s="846"/>
    </row>
    <row r="6118" spans="2:20" ht="25.5" hidden="1">
      <c r="B6118" s="828" t="s">
        <v>6629</v>
      </c>
      <c r="C6118" s="828">
        <v>101091</v>
      </c>
      <c r="D6118" s="630" t="s">
        <v>4546</v>
      </c>
      <c r="E6118" s="630" t="s">
        <v>649</v>
      </c>
      <c r="F6118" s="829">
        <v>86.4</v>
      </c>
      <c r="G6118" s="830">
        <v>40.549999999999997</v>
      </c>
      <c r="H6118" s="831">
        <v>126.95</v>
      </c>
      <c r="I6118" s="846"/>
      <c r="J6118" s="846"/>
      <c r="K6118" s="846"/>
      <c r="L6118" s="846"/>
      <c r="M6118" s="846"/>
      <c r="N6118" s="846"/>
      <c r="O6118" s="846"/>
      <c r="P6118" s="846"/>
      <c r="Q6118" s="846"/>
      <c r="R6118" s="846"/>
      <c r="S6118" s="846"/>
      <c r="T6118" s="846"/>
    </row>
    <row r="6119" spans="2:20" ht="25.5" hidden="1">
      <c r="B6119" s="828" t="s">
        <v>6629</v>
      </c>
      <c r="C6119" s="828">
        <v>101725</v>
      </c>
      <c r="D6119" s="630" t="s">
        <v>4547</v>
      </c>
      <c r="E6119" s="630" t="s">
        <v>649</v>
      </c>
      <c r="F6119" s="829">
        <v>123.92</v>
      </c>
      <c r="G6119" s="830">
        <v>150.78</v>
      </c>
      <c r="H6119" s="831">
        <v>274.7</v>
      </c>
      <c r="I6119" s="846"/>
      <c r="J6119" s="846"/>
      <c r="K6119" s="846"/>
      <c r="L6119" s="846"/>
      <c r="M6119" s="846"/>
      <c r="N6119" s="846"/>
      <c r="O6119" s="846"/>
      <c r="P6119" s="846"/>
      <c r="Q6119" s="846"/>
      <c r="R6119" s="846"/>
      <c r="S6119" s="846"/>
      <c r="T6119" s="846"/>
    </row>
    <row r="6120" spans="2:20" ht="25.5" hidden="1">
      <c r="B6120" s="828" t="s">
        <v>6629</v>
      </c>
      <c r="C6120" s="828">
        <v>101726</v>
      </c>
      <c r="D6120" s="630" t="s">
        <v>4548</v>
      </c>
      <c r="E6120" s="630" t="s">
        <v>649</v>
      </c>
      <c r="F6120" s="829">
        <v>100.24</v>
      </c>
      <c r="G6120" s="830">
        <v>72.17</v>
      </c>
      <c r="H6120" s="831">
        <v>172.41</v>
      </c>
      <c r="I6120" s="846"/>
      <c r="J6120" s="846"/>
      <c r="K6120" s="846"/>
      <c r="L6120" s="846"/>
      <c r="M6120" s="846"/>
      <c r="N6120" s="846"/>
      <c r="O6120" s="846"/>
      <c r="P6120" s="846"/>
      <c r="Q6120" s="846"/>
      <c r="R6120" s="846"/>
      <c r="S6120" s="846"/>
      <c r="T6120" s="846"/>
    </row>
    <row r="6121" spans="2:20" ht="25.5" hidden="1">
      <c r="B6121" s="828" t="s">
        <v>6629</v>
      </c>
      <c r="C6121" s="828">
        <v>101731</v>
      </c>
      <c r="D6121" s="630" t="s">
        <v>4549</v>
      </c>
      <c r="E6121" s="630" t="s">
        <v>649</v>
      </c>
      <c r="F6121" s="829">
        <v>230.66</v>
      </c>
      <c r="G6121" s="830">
        <v>43.92</v>
      </c>
      <c r="H6121" s="831">
        <v>274.58</v>
      </c>
      <c r="I6121" s="846"/>
      <c r="J6121" s="846"/>
      <c r="K6121" s="846"/>
      <c r="L6121" s="846"/>
      <c r="M6121" s="846"/>
      <c r="N6121" s="846"/>
      <c r="O6121" s="846"/>
      <c r="P6121" s="846"/>
      <c r="Q6121" s="846"/>
      <c r="R6121" s="846"/>
      <c r="S6121" s="846"/>
      <c r="T6121" s="846"/>
    </row>
    <row r="6122" spans="2:20" ht="25.5" hidden="1">
      <c r="B6122" s="828" t="s">
        <v>6629</v>
      </c>
      <c r="C6122" s="828">
        <v>101732</v>
      </c>
      <c r="D6122" s="630" t="s">
        <v>4550</v>
      </c>
      <c r="E6122" s="630" t="s">
        <v>649</v>
      </c>
      <c r="F6122" s="829">
        <v>60.44</v>
      </c>
      <c r="G6122" s="830">
        <v>29.83</v>
      </c>
      <c r="H6122" s="831">
        <v>90.27</v>
      </c>
      <c r="I6122" s="846"/>
      <c r="J6122" s="846"/>
      <c r="K6122" s="846"/>
      <c r="L6122" s="846"/>
      <c r="M6122" s="846"/>
      <c r="N6122" s="846"/>
      <c r="O6122" s="846"/>
      <c r="P6122" s="846"/>
      <c r="Q6122" s="846"/>
      <c r="R6122" s="846"/>
      <c r="S6122" s="846"/>
      <c r="T6122" s="846"/>
    </row>
    <row r="6123" spans="2:20" ht="25.5" hidden="1">
      <c r="B6123" s="828" t="s">
        <v>6646</v>
      </c>
      <c r="C6123" s="828">
        <v>101094</v>
      </c>
      <c r="D6123" s="630" t="s">
        <v>4551</v>
      </c>
      <c r="E6123" s="630" t="s">
        <v>648</v>
      </c>
      <c r="F6123" s="829">
        <v>176.93</v>
      </c>
      <c r="G6123" s="830">
        <v>14.37</v>
      </c>
      <c r="H6123" s="831">
        <v>191.3</v>
      </c>
      <c r="I6123" s="846"/>
      <c r="J6123" s="846"/>
      <c r="K6123" s="846"/>
      <c r="L6123" s="846"/>
      <c r="M6123" s="846"/>
      <c r="N6123" s="846"/>
      <c r="O6123" s="846"/>
      <c r="P6123" s="846"/>
      <c r="Q6123" s="846"/>
      <c r="R6123" s="846"/>
      <c r="S6123" s="846"/>
      <c r="T6123" s="846"/>
    </row>
    <row r="6124" spans="2:20" ht="25.5" hidden="1">
      <c r="B6124" s="828" t="s">
        <v>6646</v>
      </c>
      <c r="C6124" s="828">
        <v>101727</v>
      </c>
      <c r="D6124" s="630" t="s">
        <v>4552</v>
      </c>
      <c r="E6124" s="630" t="s">
        <v>649</v>
      </c>
      <c r="F6124" s="829">
        <v>220.16</v>
      </c>
      <c r="G6124" s="830">
        <v>5.61</v>
      </c>
      <c r="H6124" s="831">
        <v>225.77</v>
      </c>
      <c r="I6124" s="846"/>
      <c r="J6124" s="846"/>
      <c r="K6124" s="846"/>
      <c r="L6124" s="846"/>
      <c r="M6124" s="846"/>
      <c r="N6124" s="846"/>
      <c r="O6124" s="846"/>
      <c r="P6124" s="846"/>
      <c r="Q6124" s="846"/>
      <c r="R6124" s="846"/>
      <c r="S6124" s="846"/>
      <c r="T6124" s="846"/>
    </row>
    <row r="6125" spans="2:20" ht="25.5" hidden="1">
      <c r="B6125" s="828" t="s">
        <v>6646</v>
      </c>
      <c r="C6125" s="828">
        <v>101733</v>
      </c>
      <c r="D6125" s="630" t="s">
        <v>4553</v>
      </c>
      <c r="E6125" s="630" t="s">
        <v>649</v>
      </c>
      <c r="F6125" s="829">
        <v>282.95999999999998</v>
      </c>
      <c r="G6125" s="830">
        <v>23.72</v>
      </c>
      <c r="H6125" s="831">
        <v>306.68</v>
      </c>
      <c r="I6125" s="846"/>
      <c r="J6125" s="846"/>
      <c r="K6125" s="846"/>
      <c r="L6125" s="846"/>
      <c r="M6125" s="846"/>
      <c r="N6125" s="846"/>
      <c r="O6125" s="846"/>
      <c r="P6125" s="846"/>
      <c r="Q6125" s="846"/>
      <c r="R6125" s="846"/>
      <c r="S6125" s="846"/>
      <c r="T6125" s="846"/>
    </row>
    <row r="6126" spans="2:20" ht="25.5" hidden="1">
      <c r="B6126" s="828" t="s">
        <v>6646</v>
      </c>
      <c r="C6126" s="828">
        <v>101734</v>
      </c>
      <c r="D6126" s="630" t="s">
        <v>4554</v>
      </c>
      <c r="E6126" s="630" t="s">
        <v>649</v>
      </c>
      <c r="F6126" s="829">
        <v>442.44</v>
      </c>
      <c r="G6126" s="830">
        <v>23.72</v>
      </c>
      <c r="H6126" s="831">
        <v>466.16</v>
      </c>
      <c r="I6126" s="846"/>
      <c r="J6126" s="846"/>
      <c r="K6126" s="846"/>
      <c r="L6126" s="846"/>
      <c r="M6126" s="846"/>
      <c r="N6126" s="846"/>
      <c r="O6126" s="846"/>
      <c r="P6126" s="846"/>
      <c r="Q6126" s="846"/>
      <c r="R6126" s="846"/>
      <c r="S6126" s="846"/>
      <c r="T6126" s="846"/>
    </row>
    <row r="6127" spans="2:20" ht="25.5" hidden="1">
      <c r="B6127" s="828" t="s">
        <v>6646</v>
      </c>
      <c r="C6127" s="828">
        <v>101735</v>
      </c>
      <c r="D6127" s="630" t="s">
        <v>4555</v>
      </c>
      <c r="E6127" s="630" t="s">
        <v>649</v>
      </c>
      <c r="F6127" s="829">
        <v>454</v>
      </c>
      <c r="G6127" s="830">
        <v>23.72</v>
      </c>
      <c r="H6127" s="831">
        <v>477.72</v>
      </c>
      <c r="I6127" s="846"/>
      <c r="J6127" s="846"/>
      <c r="K6127" s="846"/>
      <c r="L6127" s="846"/>
      <c r="M6127" s="846"/>
      <c r="N6127" s="846"/>
      <c r="O6127" s="846"/>
      <c r="P6127" s="846"/>
      <c r="Q6127" s="846"/>
      <c r="R6127" s="846"/>
      <c r="S6127" s="846"/>
      <c r="T6127" s="846"/>
    </row>
    <row r="6128" spans="2:20" ht="25.5" hidden="1">
      <c r="B6128" s="828" t="s">
        <v>6646</v>
      </c>
      <c r="C6128" s="828">
        <v>101736</v>
      </c>
      <c r="D6128" s="630" t="s">
        <v>4556</v>
      </c>
      <c r="E6128" s="630" t="s">
        <v>649</v>
      </c>
      <c r="F6128" s="829">
        <v>102.94</v>
      </c>
      <c r="G6128" s="830">
        <v>15.21</v>
      </c>
      <c r="H6128" s="831">
        <v>118.15</v>
      </c>
      <c r="I6128" s="846"/>
      <c r="J6128" s="846"/>
      <c r="K6128" s="846"/>
      <c r="L6128" s="846"/>
      <c r="M6128" s="846"/>
      <c r="N6128" s="846"/>
      <c r="O6128" s="846"/>
      <c r="P6128" s="846"/>
      <c r="Q6128" s="846"/>
      <c r="R6128" s="846"/>
      <c r="S6128" s="846"/>
      <c r="T6128" s="846"/>
    </row>
    <row r="6129" spans="2:20" ht="25.5" hidden="1">
      <c r="B6129" s="828" t="s">
        <v>6646</v>
      </c>
      <c r="C6129" s="828">
        <v>101737</v>
      </c>
      <c r="D6129" s="630" t="s">
        <v>4557</v>
      </c>
      <c r="E6129" s="630" t="s">
        <v>649</v>
      </c>
      <c r="F6129" s="829">
        <v>125.83</v>
      </c>
      <c r="G6129" s="830">
        <v>15.21</v>
      </c>
      <c r="H6129" s="831">
        <v>141.04</v>
      </c>
      <c r="I6129" s="846"/>
      <c r="J6129" s="846"/>
      <c r="K6129" s="846"/>
      <c r="L6129" s="846"/>
      <c r="M6129" s="846"/>
      <c r="N6129" s="846"/>
      <c r="O6129" s="846"/>
      <c r="P6129" s="846"/>
      <c r="Q6129" s="846"/>
      <c r="R6129" s="846"/>
      <c r="S6129" s="846"/>
      <c r="T6129" s="846"/>
    </row>
    <row r="6130" spans="2:20" hidden="1">
      <c r="B6130" s="828" t="s">
        <v>6646</v>
      </c>
      <c r="C6130" s="828">
        <v>101748</v>
      </c>
      <c r="D6130" s="630" t="s">
        <v>4558</v>
      </c>
      <c r="E6130" s="630" t="s">
        <v>649</v>
      </c>
      <c r="F6130" s="829">
        <v>0.95</v>
      </c>
      <c r="G6130" s="830">
        <v>3.02</v>
      </c>
      <c r="H6130" s="831">
        <v>3.97</v>
      </c>
      <c r="I6130" s="846"/>
      <c r="J6130" s="846"/>
      <c r="K6130" s="846"/>
      <c r="L6130" s="846"/>
      <c r="M6130" s="846"/>
      <c r="N6130" s="846"/>
      <c r="O6130" s="846"/>
      <c r="P6130" s="846"/>
      <c r="Q6130" s="846"/>
      <c r="R6130" s="846"/>
      <c r="S6130" s="846"/>
      <c r="T6130" s="846"/>
    </row>
    <row r="6131" spans="2:20" ht="51" hidden="1">
      <c r="B6131" s="828" t="s">
        <v>8369</v>
      </c>
      <c r="C6131" s="828">
        <v>104162</v>
      </c>
      <c r="D6131" s="630" t="s">
        <v>8370</v>
      </c>
      <c r="E6131" s="630" t="s">
        <v>649</v>
      </c>
      <c r="F6131" s="829">
        <v>66.169999999999987</v>
      </c>
      <c r="G6131" s="830">
        <v>38.68</v>
      </c>
      <c r="H6131" s="831">
        <v>104.85</v>
      </c>
      <c r="I6131" s="846"/>
      <c r="J6131" s="846"/>
      <c r="K6131" s="846"/>
      <c r="L6131" s="846"/>
      <c r="M6131" s="846"/>
      <c r="N6131" s="846"/>
      <c r="O6131" s="846"/>
      <c r="P6131" s="846"/>
      <c r="Q6131" s="846"/>
      <c r="R6131" s="846"/>
      <c r="S6131" s="846"/>
      <c r="T6131" s="846"/>
    </row>
    <row r="6132" spans="2:20" ht="25.5" hidden="1">
      <c r="B6132" s="828" t="s">
        <v>6645</v>
      </c>
      <c r="C6132" s="828">
        <v>101092</v>
      </c>
      <c r="D6132" s="630" t="s">
        <v>4559</v>
      </c>
      <c r="E6132" s="630" t="s">
        <v>649</v>
      </c>
      <c r="F6132" s="829">
        <v>440.79</v>
      </c>
      <c r="G6132" s="830">
        <v>53.24</v>
      </c>
      <c r="H6132" s="831">
        <v>494.03</v>
      </c>
      <c r="I6132" s="846"/>
      <c r="J6132" s="846"/>
      <c r="K6132" s="846"/>
      <c r="L6132" s="846"/>
      <c r="M6132" s="846"/>
      <c r="N6132" s="846"/>
      <c r="O6132" s="846"/>
      <c r="P6132" s="846"/>
      <c r="Q6132" s="846"/>
      <c r="R6132" s="846"/>
      <c r="S6132" s="846"/>
      <c r="T6132" s="846"/>
    </row>
    <row r="6133" spans="2:20" ht="25.5" hidden="1">
      <c r="B6133" s="828" t="s">
        <v>6645</v>
      </c>
      <c r="C6133" s="828">
        <v>101093</v>
      </c>
      <c r="D6133" s="630" t="s">
        <v>4560</v>
      </c>
      <c r="E6133" s="630" t="s">
        <v>649</v>
      </c>
      <c r="F6133" s="829">
        <v>705.34</v>
      </c>
      <c r="G6133" s="830">
        <v>53.24</v>
      </c>
      <c r="H6133" s="831">
        <v>758.58</v>
      </c>
      <c r="I6133" s="846"/>
      <c r="J6133" s="846"/>
      <c r="K6133" s="846"/>
      <c r="L6133" s="846"/>
      <c r="M6133" s="846"/>
      <c r="N6133" s="846"/>
      <c r="O6133" s="846"/>
      <c r="P6133" s="846"/>
      <c r="Q6133" s="846"/>
      <c r="R6133" s="846"/>
      <c r="S6133" s="846"/>
      <c r="T6133" s="846"/>
    </row>
    <row r="6134" spans="2:20" hidden="1">
      <c r="B6134" s="828" t="s">
        <v>6630</v>
      </c>
      <c r="C6134" s="828">
        <v>98695</v>
      </c>
      <c r="D6134" s="630" t="s">
        <v>4561</v>
      </c>
      <c r="E6134" s="630" t="s">
        <v>648</v>
      </c>
      <c r="F6134" s="829">
        <v>111.08</v>
      </c>
      <c r="G6134" s="830">
        <v>19.71</v>
      </c>
      <c r="H6134" s="831">
        <v>130.79</v>
      </c>
      <c r="I6134" s="846"/>
      <c r="J6134" s="846"/>
      <c r="K6134" s="846"/>
      <c r="L6134" s="846"/>
      <c r="M6134" s="846"/>
      <c r="N6134" s="846"/>
      <c r="O6134" s="846"/>
      <c r="P6134" s="846"/>
      <c r="Q6134" s="846"/>
      <c r="R6134" s="846"/>
      <c r="S6134" s="846"/>
      <c r="T6134" s="846"/>
    </row>
    <row r="6135" spans="2:20" hidden="1">
      <c r="B6135" s="828" t="s">
        <v>6630</v>
      </c>
      <c r="C6135" s="828">
        <v>98697</v>
      </c>
      <c r="D6135" s="630" t="s">
        <v>4562</v>
      </c>
      <c r="E6135" s="630" t="s">
        <v>648</v>
      </c>
      <c r="F6135" s="829">
        <v>76.28</v>
      </c>
      <c r="G6135" s="830">
        <v>10.78</v>
      </c>
      <c r="H6135" s="831">
        <v>87.06</v>
      </c>
      <c r="I6135" s="846"/>
      <c r="J6135" s="846"/>
      <c r="K6135" s="846"/>
      <c r="L6135" s="846"/>
      <c r="M6135" s="846"/>
      <c r="N6135" s="846"/>
      <c r="O6135" s="846"/>
      <c r="P6135" s="846"/>
      <c r="Q6135" s="846"/>
      <c r="R6135" s="846"/>
      <c r="S6135" s="846"/>
      <c r="T6135" s="846"/>
    </row>
    <row r="6136" spans="2:20" hidden="1">
      <c r="B6136" s="828" t="s">
        <v>6657</v>
      </c>
      <c r="C6136" s="828">
        <v>101738</v>
      </c>
      <c r="D6136" s="630" t="s">
        <v>4563</v>
      </c>
      <c r="E6136" s="630" t="s">
        <v>648</v>
      </c>
      <c r="F6136" s="829">
        <v>17.63</v>
      </c>
      <c r="G6136" s="830">
        <v>11.39</v>
      </c>
      <c r="H6136" s="831">
        <v>29.02</v>
      </c>
      <c r="I6136" s="846"/>
      <c r="J6136" s="846"/>
      <c r="K6136" s="846"/>
      <c r="L6136" s="846"/>
      <c r="M6136" s="846"/>
      <c r="N6136" s="846"/>
      <c r="O6136" s="846"/>
      <c r="P6136" s="846"/>
      <c r="Q6136" s="846"/>
      <c r="R6136" s="846"/>
      <c r="S6136" s="846"/>
      <c r="T6136" s="846"/>
    </row>
    <row r="6137" spans="2:20" ht="25.5" hidden="1">
      <c r="B6137" s="828" t="s">
        <v>6657</v>
      </c>
      <c r="C6137" s="828">
        <v>101739</v>
      </c>
      <c r="D6137" s="630" t="s">
        <v>4564</v>
      </c>
      <c r="E6137" s="630" t="s">
        <v>648</v>
      </c>
      <c r="F6137" s="829">
        <v>19.03</v>
      </c>
      <c r="G6137" s="830">
        <v>13.27</v>
      </c>
      <c r="H6137" s="831">
        <v>32.299999999999997</v>
      </c>
      <c r="I6137" s="846"/>
      <c r="J6137" s="846"/>
      <c r="K6137" s="846"/>
      <c r="L6137" s="846"/>
      <c r="M6137" s="846"/>
      <c r="N6137" s="846"/>
      <c r="O6137" s="846"/>
      <c r="P6137" s="846"/>
      <c r="Q6137" s="846"/>
      <c r="R6137" s="846"/>
      <c r="S6137" s="846"/>
      <c r="T6137" s="846"/>
    </row>
    <row r="6138" spans="2:20" ht="25.5" hidden="1">
      <c r="B6138" s="828" t="s">
        <v>6543</v>
      </c>
      <c r="C6138" s="828">
        <v>88648</v>
      </c>
      <c r="D6138" s="630" t="s">
        <v>2631</v>
      </c>
      <c r="E6138" s="630" t="s">
        <v>648</v>
      </c>
      <c r="F6138" s="829">
        <v>5.24</v>
      </c>
      <c r="G6138" s="830">
        <v>2.2200000000000002</v>
      </c>
      <c r="H6138" s="831">
        <v>7.46</v>
      </c>
      <c r="I6138" s="846"/>
      <c r="J6138" s="846"/>
      <c r="K6138" s="846"/>
      <c r="L6138" s="846"/>
      <c r="M6138" s="846"/>
      <c r="N6138" s="846"/>
      <c r="O6138" s="846"/>
      <c r="P6138" s="846"/>
      <c r="Q6138" s="846"/>
      <c r="R6138" s="846"/>
      <c r="S6138" s="846"/>
      <c r="T6138" s="846"/>
    </row>
    <row r="6139" spans="2:20" ht="25.5" hidden="1">
      <c r="B6139" s="828" t="s">
        <v>6543</v>
      </c>
      <c r="C6139" s="828">
        <v>88649</v>
      </c>
      <c r="D6139" s="630" t="s">
        <v>2632</v>
      </c>
      <c r="E6139" s="630" t="s">
        <v>648</v>
      </c>
      <c r="F6139" s="829">
        <v>6.1</v>
      </c>
      <c r="G6139" s="830">
        <v>2.3199999999999998</v>
      </c>
      <c r="H6139" s="831">
        <v>8.42</v>
      </c>
      <c r="I6139" s="846"/>
      <c r="J6139" s="846"/>
      <c r="K6139" s="846"/>
      <c r="L6139" s="846"/>
      <c r="M6139" s="846"/>
      <c r="N6139" s="846"/>
      <c r="O6139" s="846"/>
      <c r="P6139" s="846"/>
      <c r="Q6139" s="846"/>
      <c r="R6139" s="846"/>
      <c r="S6139" s="846"/>
      <c r="T6139" s="846"/>
    </row>
    <row r="6140" spans="2:20" ht="25.5" hidden="1">
      <c r="B6140" s="828" t="s">
        <v>6543</v>
      </c>
      <c r="C6140" s="828">
        <v>88650</v>
      </c>
      <c r="D6140" s="630" t="s">
        <v>2633</v>
      </c>
      <c r="E6140" s="630" t="s">
        <v>648</v>
      </c>
      <c r="F6140" s="829">
        <v>13.4</v>
      </c>
      <c r="G6140" s="830">
        <v>2.58</v>
      </c>
      <c r="H6140" s="831">
        <v>15.98</v>
      </c>
      <c r="I6140" s="846"/>
      <c r="J6140" s="846"/>
      <c r="K6140" s="846"/>
      <c r="L6140" s="846"/>
      <c r="M6140" s="846"/>
      <c r="N6140" s="846"/>
      <c r="O6140" s="846"/>
      <c r="P6140" s="846"/>
      <c r="Q6140" s="846"/>
      <c r="R6140" s="846"/>
      <c r="S6140" s="846"/>
      <c r="T6140" s="846"/>
    </row>
    <row r="6141" spans="2:20" ht="25.5" hidden="1">
      <c r="B6141" s="828" t="s">
        <v>6543</v>
      </c>
      <c r="C6141" s="828">
        <v>96467</v>
      </c>
      <c r="D6141" s="630" t="s">
        <v>2634</v>
      </c>
      <c r="E6141" s="630" t="s">
        <v>648</v>
      </c>
      <c r="F6141" s="829">
        <v>4.59</v>
      </c>
      <c r="G6141" s="830">
        <v>2.2200000000000002</v>
      </c>
      <c r="H6141" s="831">
        <v>6.81</v>
      </c>
      <c r="I6141" s="846"/>
      <c r="J6141" s="846"/>
      <c r="K6141" s="846"/>
      <c r="L6141" s="846"/>
      <c r="M6141" s="846"/>
      <c r="N6141" s="846"/>
      <c r="O6141" s="846"/>
      <c r="P6141" s="846"/>
      <c r="Q6141" s="846"/>
      <c r="R6141" s="846"/>
      <c r="S6141" s="846"/>
      <c r="T6141" s="846"/>
    </row>
    <row r="6142" spans="2:20" ht="38.25" hidden="1">
      <c r="B6142" s="828" t="s">
        <v>6658</v>
      </c>
      <c r="C6142" s="828">
        <v>101740</v>
      </c>
      <c r="D6142" s="630" t="s">
        <v>4565</v>
      </c>
      <c r="E6142" s="630" t="s">
        <v>648</v>
      </c>
      <c r="F6142" s="829">
        <v>22.61</v>
      </c>
      <c r="G6142" s="830">
        <v>26.92</v>
      </c>
      <c r="H6142" s="831">
        <v>49.53</v>
      </c>
      <c r="I6142" s="846"/>
      <c r="J6142" s="846"/>
      <c r="K6142" s="846"/>
      <c r="L6142" s="846"/>
      <c r="M6142" s="846"/>
      <c r="N6142" s="846"/>
      <c r="O6142" s="846"/>
      <c r="P6142" s="846"/>
      <c r="Q6142" s="846"/>
      <c r="R6142" s="846"/>
      <c r="S6142" s="846"/>
      <c r="T6142" s="846"/>
    </row>
    <row r="6143" spans="2:20" ht="38.25" hidden="1">
      <c r="B6143" s="828" t="s">
        <v>6658</v>
      </c>
      <c r="C6143" s="828">
        <v>101741</v>
      </c>
      <c r="D6143" s="630" t="s">
        <v>4566</v>
      </c>
      <c r="E6143" s="630" t="s">
        <v>648</v>
      </c>
      <c r="F6143" s="829">
        <v>8.17</v>
      </c>
      <c r="G6143" s="830">
        <v>18.559999999999999</v>
      </c>
      <c r="H6143" s="831">
        <v>26.73</v>
      </c>
      <c r="I6143" s="846"/>
      <c r="J6143" s="846"/>
      <c r="K6143" s="846"/>
      <c r="L6143" s="846"/>
      <c r="M6143" s="846"/>
      <c r="N6143" s="846"/>
      <c r="O6143" s="846"/>
      <c r="P6143" s="846"/>
      <c r="Q6143" s="846"/>
      <c r="R6143" s="846"/>
      <c r="S6143" s="846"/>
      <c r="T6143" s="846"/>
    </row>
    <row r="6144" spans="2:20" ht="38.25" hidden="1">
      <c r="B6144" s="828" t="s">
        <v>6591</v>
      </c>
      <c r="C6144" s="828">
        <v>94990</v>
      </c>
      <c r="D6144" s="630" t="s">
        <v>1668</v>
      </c>
      <c r="E6144" s="630" t="s">
        <v>644</v>
      </c>
      <c r="F6144" s="829">
        <v>500.76000000000005</v>
      </c>
      <c r="G6144" s="830">
        <v>262.70999999999998</v>
      </c>
      <c r="H6144" s="831">
        <v>763.47</v>
      </c>
      <c r="I6144" s="846"/>
      <c r="J6144" s="846"/>
      <c r="K6144" s="846"/>
      <c r="L6144" s="846"/>
      <c r="M6144" s="846"/>
      <c r="N6144" s="846"/>
      <c r="O6144" s="846"/>
      <c r="P6144" s="846"/>
      <c r="Q6144" s="846"/>
      <c r="R6144" s="846"/>
      <c r="S6144" s="846"/>
      <c r="T6144" s="846"/>
    </row>
    <row r="6145" spans="2:20" ht="38.25" hidden="1">
      <c r="B6145" s="828" t="s">
        <v>6591</v>
      </c>
      <c r="C6145" s="828">
        <v>94991</v>
      </c>
      <c r="D6145" s="630" t="s">
        <v>1669</v>
      </c>
      <c r="E6145" s="630" t="s">
        <v>644</v>
      </c>
      <c r="F6145" s="829">
        <v>535.25</v>
      </c>
      <c r="G6145" s="830">
        <v>104.06</v>
      </c>
      <c r="H6145" s="831">
        <v>639.30999999999995</v>
      </c>
      <c r="I6145" s="846"/>
      <c r="J6145" s="846"/>
      <c r="K6145" s="846"/>
      <c r="L6145" s="846"/>
      <c r="M6145" s="846"/>
      <c r="N6145" s="846"/>
      <c r="O6145" s="846"/>
      <c r="P6145" s="846"/>
      <c r="Q6145" s="846"/>
      <c r="R6145" s="846"/>
      <c r="S6145" s="846"/>
      <c r="T6145" s="846"/>
    </row>
    <row r="6146" spans="2:20" ht="38.25" hidden="1">
      <c r="B6146" s="828" t="s">
        <v>6591</v>
      </c>
      <c r="C6146" s="828">
        <v>94992</v>
      </c>
      <c r="D6146" s="630" t="s">
        <v>1670</v>
      </c>
      <c r="E6146" s="630" t="s">
        <v>649</v>
      </c>
      <c r="F6146" s="829">
        <v>74.350000000000009</v>
      </c>
      <c r="G6146" s="830">
        <v>20.02</v>
      </c>
      <c r="H6146" s="831">
        <v>94.37</v>
      </c>
      <c r="I6146" s="846"/>
      <c r="J6146" s="846"/>
      <c r="K6146" s="846"/>
      <c r="L6146" s="846"/>
      <c r="M6146" s="846"/>
      <c r="N6146" s="846"/>
      <c r="O6146" s="846"/>
      <c r="P6146" s="846"/>
      <c r="Q6146" s="846"/>
      <c r="R6146" s="846"/>
      <c r="S6146" s="846"/>
      <c r="T6146" s="846"/>
    </row>
    <row r="6147" spans="2:20" ht="38.25" hidden="1">
      <c r="B6147" s="828" t="s">
        <v>6591</v>
      </c>
      <c r="C6147" s="828">
        <v>94993</v>
      </c>
      <c r="D6147" s="630" t="s">
        <v>1671</v>
      </c>
      <c r="E6147" s="630" t="s">
        <v>649</v>
      </c>
      <c r="F6147" s="829">
        <v>76.42</v>
      </c>
      <c r="G6147" s="830">
        <v>10.49</v>
      </c>
      <c r="H6147" s="831">
        <v>86.91</v>
      </c>
      <c r="I6147" s="846"/>
      <c r="J6147" s="846"/>
      <c r="K6147" s="846"/>
      <c r="L6147" s="846"/>
      <c r="M6147" s="846"/>
      <c r="N6147" s="846"/>
      <c r="O6147" s="846"/>
      <c r="P6147" s="846"/>
      <c r="Q6147" s="846"/>
      <c r="R6147" s="846"/>
      <c r="S6147" s="846"/>
      <c r="T6147" s="846"/>
    </row>
    <row r="6148" spans="2:20" ht="38.25" hidden="1">
      <c r="B6148" s="828" t="s">
        <v>6591</v>
      </c>
      <c r="C6148" s="828">
        <v>94994</v>
      </c>
      <c r="D6148" s="630" t="s">
        <v>1672</v>
      </c>
      <c r="E6148" s="630" t="s">
        <v>649</v>
      </c>
      <c r="F6148" s="829">
        <v>86.27</v>
      </c>
      <c r="G6148" s="830">
        <v>25.91</v>
      </c>
      <c r="H6148" s="831">
        <v>112.18</v>
      </c>
      <c r="I6148" s="846"/>
      <c r="J6148" s="846"/>
      <c r="K6148" s="846"/>
      <c r="L6148" s="846"/>
      <c r="M6148" s="846"/>
      <c r="N6148" s="846"/>
      <c r="O6148" s="846"/>
      <c r="P6148" s="846"/>
      <c r="Q6148" s="846"/>
      <c r="R6148" s="846"/>
      <c r="S6148" s="846"/>
      <c r="T6148" s="846"/>
    </row>
    <row r="6149" spans="2:20" ht="38.25" hidden="1">
      <c r="B6149" s="828" t="s">
        <v>6591</v>
      </c>
      <c r="C6149" s="828">
        <v>94995</v>
      </c>
      <c r="D6149" s="630" t="s">
        <v>1673</v>
      </c>
      <c r="E6149" s="630" t="s">
        <v>649</v>
      </c>
      <c r="F6149" s="829">
        <v>89.04</v>
      </c>
      <c r="G6149" s="830">
        <v>13.21</v>
      </c>
      <c r="H6149" s="831">
        <v>102.25</v>
      </c>
      <c r="I6149" s="846"/>
      <c r="J6149" s="846"/>
      <c r="K6149" s="846"/>
      <c r="L6149" s="846"/>
      <c r="M6149" s="846"/>
      <c r="N6149" s="846"/>
      <c r="O6149" s="846"/>
      <c r="P6149" s="846"/>
      <c r="Q6149" s="846"/>
      <c r="R6149" s="846"/>
      <c r="S6149" s="846"/>
      <c r="T6149" s="846"/>
    </row>
    <row r="6150" spans="2:20" ht="38.25" hidden="1">
      <c r="B6150" s="828" t="s">
        <v>6591</v>
      </c>
      <c r="C6150" s="828">
        <v>94996</v>
      </c>
      <c r="D6150" s="630" t="s">
        <v>1674</v>
      </c>
      <c r="E6150" s="630" t="s">
        <v>649</v>
      </c>
      <c r="F6150" s="829">
        <v>95.779999999999987</v>
      </c>
      <c r="G6150" s="830">
        <v>31.82</v>
      </c>
      <c r="H6150" s="831">
        <v>127.6</v>
      </c>
      <c r="I6150" s="846"/>
      <c r="J6150" s="846"/>
      <c r="K6150" s="846"/>
      <c r="L6150" s="846"/>
      <c r="M6150" s="846"/>
      <c r="N6150" s="846"/>
      <c r="O6150" s="846"/>
      <c r="P6150" s="846"/>
      <c r="Q6150" s="846"/>
      <c r="R6150" s="846"/>
      <c r="S6150" s="846"/>
      <c r="T6150" s="846"/>
    </row>
    <row r="6151" spans="2:20" ht="38.25" hidden="1">
      <c r="B6151" s="828" t="s">
        <v>6591</v>
      </c>
      <c r="C6151" s="828">
        <v>94997</v>
      </c>
      <c r="D6151" s="630" t="s">
        <v>1675</v>
      </c>
      <c r="E6151" s="630" t="s">
        <v>649</v>
      </c>
      <c r="F6151" s="829">
        <v>99.25</v>
      </c>
      <c r="G6151" s="830">
        <v>15.93</v>
      </c>
      <c r="H6151" s="831">
        <v>115.18</v>
      </c>
      <c r="I6151" s="846"/>
      <c r="J6151" s="846"/>
      <c r="K6151" s="846"/>
      <c r="L6151" s="846"/>
      <c r="M6151" s="846"/>
      <c r="N6151" s="846"/>
      <c r="O6151" s="846"/>
      <c r="P6151" s="846"/>
      <c r="Q6151" s="846"/>
      <c r="R6151" s="846"/>
      <c r="S6151" s="846"/>
      <c r="T6151" s="846"/>
    </row>
    <row r="6152" spans="2:20" ht="38.25" hidden="1">
      <c r="B6152" s="828" t="s">
        <v>6591</v>
      </c>
      <c r="C6152" s="828">
        <v>94998</v>
      </c>
      <c r="D6152" s="630" t="s">
        <v>1676</v>
      </c>
      <c r="E6152" s="630" t="s">
        <v>649</v>
      </c>
      <c r="F6152" s="829">
        <v>106.68</v>
      </c>
      <c r="G6152" s="830">
        <v>37.700000000000003</v>
      </c>
      <c r="H6152" s="831">
        <v>144.38</v>
      </c>
      <c r="I6152" s="846"/>
      <c r="J6152" s="846"/>
      <c r="K6152" s="846"/>
      <c r="L6152" s="846"/>
      <c r="M6152" s="846"/>
      <c r="N6152" s="846"/>
      <c r="O6152" s="846"/>
      <c r="P6152" s="846"/>
      <c r="Q6152" s="846"/>
      <c r="R6152" s="846"/>
      <c r="S6152" s="846"/>
      <c r="T6152" s="846"/>
    </row>
    <row r="6153" spans="2:20" ht="38.25" hidden="1">
      <c r="B6153" s="828" t="s">
        <v>6591</v>
      </c>
      <c r="C6153" s="828">
        <v>94999</v>
      </c>
      <c r="D6153" s="630" t="s">
        <v>1677</v>
      </c>
      <c r="E6153" s="630" t="s">
        <v>649</v>
      </c>
      <c r="F6153" s="829">
        <v>110.83</v>
      </c>
      <c r="G6153" s="830">
        <v>18.649999999999999</v>
      </c>
      <c r="H6153" s="831">
        <v>129.47999999999999</v>
      </c>
      <c r="I6153" s="846"/>
      <c r="J6153" s="846"/>
      <c r="K6153" s="846"/>
      <c r="L6153" s="846"/>
      <c r="M6153" s="846"/>
      <c r="N6153" s="846"/>
      <c r="O6153" s="846"/>
      <c r="P6153" s="846"/>
      <c r="Q6153" s="846"/>
      <c r="R6153" s="846"/>
      <c r="S6153" s="846"/>
      <c r="T6153" s="846"/>
    </row>
    <row r="6154" spans="2:20" ht="25.5" hidden="1">
      <c r="B6154" s="828" t="s">
        <v>6591</v>
      </c>
      <c r="C6154" s="828">
        <v>101747</v>
      </c>
      <c r="D6154" s="630" t="s">
        <v>4567</v>
      </c>
      <c r="E6154" s="630" t="s">
        <v>649</v>
      </c>
      <c r="F6154" s="829">
        <v>66.05</v>
      </c>
      <c r="G6154" s="830">
        <v>3.5</v>
      </c>
      <c r="H6154" s="831">
        <v>69.55</v>
      </c>
      <c r="I6154" s="846"/>
      <c r="J6154" s="846"/>
      <c r="K6154" s="846"/>
      <c r="L6154" s="846"/>
      <c r="M6154" s="846"/>
      <c r="N6154" s="846"/>
      <c r="O6154" s="846"/>
      <c r="P6154" s="846"/>
      <c r="Q6154" s="846"/>
      <c r="R6154" s="846"/>
      <c r="S6154" s="846"/>
      <c r="T6154" s="846"/>
    </row>
    <row r="6155" spans="2:20" hidden="1">
      <c r="B6155" s="828" t="s">
        <v>6660</v>
      </c>
      <c r="C6155" s="828">
        <v>101743</v>
      </c>
      <c r="D6155" s="630" t="s">
        <v>4568</v>
      </c>
      <c r="E6155" s="630" t="s">
        <v>649</v>
      </c>
      <c r="F6155" s="829">
        <v>170.49</v>
      </c>
      <c r="G6155" s="830">
        <v>0</v>
      </c>
      <c r="H6155" s="831">
        <v>170.49</v>
      </c>
      <c r="I6155" s="846"/>
      <c r="J6155" s="846"/>
      <c r="K6155" s="846"/>
      <c r="L6155" s="846"/>
      <c r="M6155" s="846"/>
      <c r="N6155" s="846"/>
      <c r="O6155" s="846"/>
      <c r="P6155" s="846"/>
      <c r="Q6155" s="846"/>
      <c r="R6155" s="846"/>
      <c r="S6155" s="846"/>
      <c r="T6155" s="846"/>
    </row>
    <row r="6156" spans="2:20" hidden="1">
      <c r="B6156" s="828" t="s">
        <v>6660</v>
      </c>
      <c r="C6156" s="828">
        <v>101744</v>
      </c>
      <c r="D6156" s="630" t="s">
        <v>4569</v>
      </c>
      <c r="E6156" s="630" t="s">
        <v>649</v>
      </c>
      <c r="F6156" s="829">
        <v>135.9</v>
      </c>
      <c r="G6156" s="830">
        <v>0</v>
      </c>
      <c r="H6156" s="831">
        <v>135.9</v>
      </c>
      <c r="I6156" s="846"/>
      <c r="J6156" s="846"/>
      <c r="K6156" s="846"/>
      <c r="L6156" s="846"/>
      <c r="M6156" s="846"/>
      <c r="N6156" s="846"/>
      <c r="O6156" s="846"/>
      <c r="P6156" s="846"/>
      <c r="Q6156" s="846"/>
      <c r="R6156" s="846"/>
      <c r="S6156" s="846"/>
      <c r="T6156" s="846"/>
    </row>
    <row r="6157" spans="2:20" hidden="1">
      <c r="B6157" s="828" t="s">
        <v>6660</v>
      </c>
      <c r="C6157" s="828">
        <v>101745</v>
      </c>
      <c r="D6157" s="630" t="s">
        <v>4570</v>
      </c>
      <c r="E6157" s="630" t="s">
        <v>649</v>
      </c>
      <c r="F6157" s="829">
        <v>166.96</v>
      </c>
      <c r="G6157" s="830">
        <v>0</v>
      </c>
      <c r="H6157" s="831">
        <v>166.96</v>
      </c>
      <c r="I6157" s="846"/>
      <c r="J6157" s="846"/>
      <c r="K6157" s="846"/>
      <c r="L6157" s="846"/>
      <c r="M6157" s="846"/>
      <c r="N6157" s="846"/>
      <c r="O6157" s="846"/>
      <c r="P6157" s="846"/>
      <c r="Q6157" s="846"/>
      <c r="R6157" s="846"/>
      <c r="S6157" s="846"/>
      <c r="T6157" s="846"/>
    </row>
    <row r="6158" spans="2:20" ht="38.25" hidden="1">
      <c r="B6158" s="828" t="s">
        <v>6539</v>
      </c>
      <c r="C6158" s="828">
        <v>87620</v>
      </c>
      <c r="D6158" s="630" t="s">
        <v>5341</v>
      </c>
      <c r="E6158" s="630" t="s">
        <v>649</v>
      </c>
      <c r="F6158" s="829">
        <v>19.55</v>
      </c>
      <c r="G6158" s="830">
        <v>9.69</v>
      </c>
      <c r="H6158" s="831">
        <v>29.24</v>
      </c>
      <c r="I6158" s="846"/>
      <c r="J6158" s="846"/>
      <c r="K6158" s="846"/>
      <c r="L6158" s="846"/>
      <c r="M6158" s="846"/>
      <c r="N6158" s="846"/>
      <c r="O6158" s="846"/>
      <c r="P6158" s="846"/>
      <c r="Q6158" s="846"/>
      <c r="R6158" s="846"/>
      <c r="S6158" s="846"/>
      <c r="T6158" s="846"/>
    </row>
    <row r="6159" spans="2:20" ht="38.25" hidden="1">
      <c r="B6159" s="828" t="s">
        <v>6539</v>
      </c>
      <c r="C6159" s="828">
        <v>87622</v>
      </c>
      <c r="D6159" s="630" t="s">
        <v>5342</v>
      </c>
      <c r="E6159" s="630" t="s">
        <v>649</v>
      </c>
      <c r="F6159" s="829">
        <v>20.7</v>
      </c>
      <c r="G6159" s="830">
        <v>12.92</v>
      </c>
      <c r="H6159" s="831">
        <v>33.619999999999997</v>
      </c>
      <c r="I6159" s="846"/>
      <c r="J6159" s="846"/>
      <c r="K6159" s="846"/>
      <c r="L6159" s="846"/>
      <c r="M6159" s="846"/>
      <c r="N6159" s="846"/>
      <c r="O6159" s="846"/>
      <c r="P6159" s="846"/>
      <c r="Q6159" s="846"/>
      <c r="R6159" s="846"/>
      <c r="S6159" s="846"/>
      <c r="T6159" s="846"/>
    </row>
    <row r="6160" spans="2:20" ht="38.25" hidden="1">
      <c r="B6160" s="828" t="s">
        <v>6539</v>
      </c>
      <c r="C6160" s="828">
        <v>87623</v>
      </c>
      <c r="D6160" s="630" t="s">
        <v>5343</v>
      </c>
      <c r="E6160" s="630" t="s">
        <v>649</v>
      </c>
      <c r="F6160" s="829">
        <v>57.339999999999996</v>
      </c>
      <c r="G6160" s="830">
        <v>9.2200000000000006</v>
      </c>
      <c r="H6160" s="831">
        <v>66.56</v>
      </c>
      <c r="I6160" s="846"/>
      <c r="J6160" s="846"/>
      <c r="K6160" s="846"/>
      <c r="L6160" s="846"/>
      <c r="M6160" s="846"/>
      <c r="N6160" s="846"/>
      <c r="O6160" s="846"/>
      <c r="P6160" s="846"/>
      <c r="Q6160" s="846"/>
      <c r="R6160" s="846"/>
      <c r="S6160" s="846"/>
      <c r="T6160" s="846"/>
    </row>
    <row r="6161" spans="2:8" ht="38.25" hidden="1">
      <c r="B6161" s="828" t="s">
        <v>6539</v>
      </c>
      <c r="C6161" s="828">
        <v>87624</v>
      </c>
      <c r="D6161" s="630" t="s">
        <v>5343</v>
      </c>
      <c r="E6161" s="630" t="s">
        <v>649</v>
      </c>
      <c r="F6161" s="829">
        <v>59.92</v>
      </c>
      <c r="G6161" s="830">
        <v>14.25</v>
      </c>
      <c r="H6161" s="831">
        <v>74.17</v>
      </c>
    </row>
    <row r="6162" spans="2:8" ht="38.25" hidden="1">
      <c r="B6162" s="828" t="s">
        <v>6539</v>
      </c>
      <c r="C6162" s="828">
        <v>87630</v>
      </c>
      <c r="D6162" s="630" t="s">
        <v>5344</v>
      </c>
      <c r="E6162" s="630" t="s">
        <v>649</v>
      </c>
      <c r="F6162" s="829">
        <v>25.28</v>
      </c>
      <c r="G6162" s="830">
        <v>11.76</v>
      </c>
      <c r="H6162" s="831">
        <v>37.04</v>
      </c>
    </row>
    <row r="6163" spans="2:8" ht="38.25" hidden="1">
      <c r="B6163" s="828" t="s">
        <v>6539</v>
      </c>
      <c r="C6163" s="828">
        <v>87632</v>
      </c>
      <c r="D6163" s="630" t="s">
        <v>5345</v>
      </c>
      <c r="E6163" s="630" t="s">
        <v>649</v>
      </c>
      <c r="F6163" s="829">
        <v>26.89</v>
      </c>
      <c r="G6163" s="830">
        <v>16.25</v>
      </c>
      <c r="H6163" s="831">
        <v>43.14</v>
      </c>
    </row>
    <row r="6164" spans="2:8" ht="38.25" hidden="1">
      <c r="B6164" s="828" t="s">
        <v>6539</v>
      </c>
      <c r="C6164" s="828">
        <v>87633</v>
      </c>
      <c r="D6164" s="630" t="s">
        <v>5346</v>
      </c>
      <c r="E6164" s="630" t="s">
        <v>649</v>
      </c>
      <c r="F6164" s="829">
        <v>77.839999999999989</v>
      </c>
      <c r="G6164" s="830">
        <v>11.1</v>
      </c>
      <c r="H6164" s="831">
        <v>88.94</v>
      </c>
    </row>
    <row r="6165" spans="2:8" ht="38.25" hidden="1">
      <c r="B6165" s="828" t="s">
        <v>6539</v>
      </c>
      <c r="C6165" s="828">
        <v>87634</v>
      </c>
      <c r="D6165" s="630" t="s">
        <v>5347</v>
      </c>
      <c r="E6165" s="630" t="s">
        <v>649</v>
      </c>
      <c r="F6165" s="829">
        <v>81.430000000000007</v>
      </c>
      <c r="G6165" s="830">
        <v>18.079999999999998</v>
      </c>
      <c r="H6165" s="831">
        <v>99.51</v>
      </c>
    </row>
    <row r="6166" spans="2:8" ht="38.25" hidden="1">
      <c r="B6166" s="828" t="s">
        <v>6539</v>
      </c>
      <c r="C6166" s="828">
        <v>87640</v>
      </c>
      <c r="D6166" s="630" t="s">
        <v>5348</v>
      </c>
      <c r="E6166" s="630" t="s">
        <v>649</v>
      </c>
      <c r="F6166" s="829">
        <v>29.99</v>
      </c>
      <c r="G6166" s="830">
        <v>13.46</v>
      </c>
      <c r="H6166" s="831">
        <v>43.45</v>
      </c>
    </row>
    <row r="6167" spans="2:8" ht="38.25" hidden="1">
      <c r="B6167" s="828" t="s">
        <v>6539</v>
      </c>
      <c r="C6167" s="828">
        <v>87642</v>
      </c>
      <c r="D6167" s="630" t="s">
        <v>5349</v>
      </c>
      <c r="E6167" s="630" t="s">
        <v>649</v>
      </c>
      <c r="F6167" s="829">
        <v>31.97</v>
      </c>
      <c r="G6167" s="830">
        <v>18.98</v>
      </c>
      <c r="H6167" s="831">
        <v>50.95</v>
      </c>
    </row>
    <row r="6168" spans="2:8" ht="38.25" hidden="1">
      <c r="B6168" s="828" t="s">
        <v>6539</v>
      </c>
      <c r="C6168" s="828">
        <v>87643</v>
      </c>
      <c r="D6168" s="630" t="s">
        <v>5350</v>
      </c>
      <c r="E6168" s="630" t="s">
        <v>649</v>
      </c>
      <c r="F6168" s="829">
        <v>94.61999999999999</v>
      </c>
      <c r="G6168" s="830">
        <v>12.65</v>
      </c>
      <c r="H6168" s="831">
        <v>107.27</v>
      </c>
    </row>
    <row r="6169" spans="2:8" ht="38.25" hidden="1">
      <c r="B6169" s="828" t="s">
        <v>6539</v>
      </c>
      <c r="C6169" s="828">
        <v>87644</v>
      </c>
      <c r="D6169" s="630" t="s">
        <v>5351</v>
      </c>
      <c r="E6169" s="630" t="s">
        <v>649</v>
      </c>
      <c r="F6169" s="829">
        <v>99.03</v>
      </c>
      <c r="G6169" s="830">
        <v>21.24</v>
      </c>
      <c r="H6169" s="831">
        <v>120.27</v>
      </c>
    </row>
    <row r="6170" spans="2:8" ht="51" hidden="1">
      <c r="B6170" s="828" t="s">
        <v>6539</v>
      </c>
      <c r="C6170" s="828">
        <v>87680</v>
      </c>
      <c r="D6170" s="630" t="s">
        <v>5352</v>
      </c>
      <c r="E6170" s="630" t="s">
        <v>649</v>
      </c>
      <c r="F6170" s="829">
        <v>26.25</v>
      </c>
      <c r="G6170" s="830">
        <v>12.7</v>
      </c>
      <c r="H6170" s="831">
        <v>38.950000000000003</v>
      </c>
    </row>
    <row r="6171" spans="2:8" ht="38.25" hidden="1">
      <c r="B6171" s="828" t="s">
        <v>6539</v>
      </c>
      <c r="C6171" s="828">
        <v>87682</v>
      </c>
      <c r="D6171" s="630" t="s">
        <v>5353</v>
      </c>
      <c r="E6171" s="630" t="s">
        <v>649</v>
      </c>
      <c r="F6171" s="829">
        <v>28.24</v>
      </c>
      <c r="G6171" s="830">
        <v>18.21</v>
      </c>
      <c r="H6171" s="831">
        <v>46.45</v>
      </c>
    </row>
    <row r="6172" spans="2:8" ht="38.25" hidden="1">
      <c r="B6172" s="828" t="s">
        <v>6539</v>
      </c>
      <c r="C6172" s="828">
        <v>87683</v>
      </c>
      <c r="D6172" s="630" t="s">
        <v>5354</v>
      </c>
      <c r="E6172" s="630" t="s">
        <v>649</v>
      </c>
      <c r="F6172" s="829">
        <v>90.88</v>
      </c>
      <c r="G6172" s="830">
        <v>11.89</v>
      </c>
      <c r="H6172" s="831">
        <v>102.77</v>
      </c>
    </row>
    <row r="6173" spans="2:8" ht="38.25" hidden="1">
      <c r="B6173" s="828" t="s">
        <v>6539</v>
      </c>
      <c r="C6173" s="828">
        <v>87684</v>
      </c>
      <c r="D6173" s="630" t="s">
        <v>5355</v>
      </c>
      <c r="E6173" s="630" t="s">
        <v>649</v>
      </c>
      <c r="F6173" s="829">
        <v>95.3</v>
      </c>
      <c r="G6173" s="830">
        <v>20.47</v>
      </c>
      <c r="H6173" s="831">
        <v>115.77</v>
      </c>
    </row>
    <row r="6174" spans="2:8" ht="51" hidden="1">
      <c r="B6174" s="828" t="s">
        <v>6539</v>
      </c>
      <c r="C6174" s="828">
        <v>87690</v>
      </c>
      <c r="D6174" s="630" t="s">
        <v>5356</v>
      </c>
      <c r="E6174" s="630" t="s">
        <v>649</v>
      </c>
      <c r="F6174" s="829">
        <v>30.07</v>
      </c>
      <c r="G6174" s="830">
        <v>14.56</v>
      </c>
      <c r="H6174" s="831">
        <v>44.63</v>
      </c>
    </row>
    <row r="6175" spans="2:8" ht="38.25" hidden="1">
      <c r="B6175" s="828" t="s">
        <v>6539</v>
      </c>
      <c r="C6175" s="828">
        <v>87692</v>
      </c>
      <c r="D6175" s="630" t="s">
        <v>5357</v>
      </c>
      <c r="E6175" s="630" t="s">
        <v>649</v>
      </c>
      <c r="F6175" s="829">
        <v>32.340000000000003</v>
      </c>
      <c r="G6175" s="830">
        <v>20.88</v>
      </c>
      <c r="H6175" s="831">
        <v>53.22</v>
      </c>
    </row>
    <row r="6176" spans="2:8" ht="38.25" hidden="1">
      <c r="B6176" s="828" t="s">
        <v>6539</v>
      </c>
      <c r="C6176" s="828">
        <v>87693</v>
      </c>
      <c r="D6176" s="630" t="s">
        <v>5358</v>
      </c>
      <c r="E6176" s="630" t="s">
        <v>649</v>
      </c>
      <c r="F6176" s="829">
        <v>104.08</v>
      </c>
      <c r="G6176" s="830">
        <v>13.64</v>
      </c>
      <c r="H6176" s="831">
        <v>117.72</v>
      </c>
    </row>
    <row r="6177" spans="2:8" ht="38.25" hidden="1">
      <c r="B6177" s="828" t="s">
        <v>6539</v>
      </c>
      <c r="C6177" s="828">
        <v>87694</v>
      </c>
      <c r="D6177" s="630" t="s">
        <v>5359</v>
      </c>
      <c r="E6177" s="630" t="s">
        <v>649</v>
      </c>
      <c r="F6177" s="829">
        <v>109.13</v>
      </c>
      <c r="G6177" s="830">
        <v>23.48</v>
      </c>
      <c r="H6177" s="831">
        <v>132.61000000000001</v>
      </c>
    </row>
    <row r="6178" spans="2:8" ht="51" hidden="1">
      <c r="B6178" s="828" t="s">
        <v>6539</v>
      </c>
      <c r="C6178" s="828">
        <v>87700</v>
      </c>
      <c r="D6178" s="630" t="s">
        <v>5360</v>
      </c>
      <c r="E6178" s="630" t="s">
        <v>649</v>
      </c>
      <c r="F6178" s="829">
        <v>32.64</v>
      </c>
      <c r="G6178" s="830">
        <v>15.48</v>
      </c>
      <c r="H6178" s="831">
        <v>48.12</v>
      </c>
    </row>
    <row r="6179" spans="2:8" ht="38.25" hidden="1">
      <c r="B6179" s="828" t="s">
        <v>6539</v>
      </c>
      <c r="C6179" s="828">
        <v>87702</v>
      </c>
      <c r="D6179" s="630" t="s">
        <v>5361</v>
      </c>
      <c r="E6179" s="630" t="s">
        <v>649</v>
      </c>
      <c r="F6179" s="829">
        <v>35.1</v>
      </c>
      <c r="G6179" s="830">
        <v>22.37</v>
      </c>
      <c r="H6179" s="831">
        <v>57.47</v>
      </c>
    </row>
    <row r="6180" spans="2:8" ht="38.25" hidden="1">
      <c r="B6180" s="828" t="s">
        <v>6539</v>
      </c>
      <c r="C6180" s="828">
        <v>87703</v>
      </c>
      <c r="D6180" s="630" t="s">
        <v>5362</v>
      </c>
      <c r="E6180" s="630" t="s">
        <v>649</v>
      </c>
      <c r="F6180" s="829">
        <v>113.22999999999999</v>
      </c>
      <c r="G6180" s="830">
        <v>14.48</v>
      </c>
      <c r="H6180" s="831">
        <v>127.71</v>
      </c>
    </row>
    <row r="6181" spans="2:8" ht="38.25" hidden="1">
      <c r="B6181" s="828" t="s">
        <v>6539</v>
      </c>
      <c r="C6181" s="828">
        <v>87704</v>
      </c>
      <c r="D6181" s="630" t="s">
        <v>5363</v>
      </c>
      <c r="E6181" s="630" t="s">
        <v>649</v>
      </c>
      <c r="F6181" s="829">
        <v>118.73</v>
      </c>
      <c r="G6181" s="830">
        <v>25.2</v>
      </c>
      <c r="H6181" s="831">
        <v>143.93</v>
      </c>
    </row>
    <row r="6182" spans="2:8" ht="51" hidden="1">
      <c r="B6182" s="828" t="s">
        <v>6539</v>
      </c>
      <c r="C6182" s="828">
        <v>87735</v>
      </c>
      <c r="D6182" s="630" t="s">
        <v>5364</v>
      </c>
      <c r="E6182" s="630" t="s">
        <v>649</v>
      </c>
      <c r="F6182" s="829">
        <v>22.64</v>
      </c>
      <c r="G6182" s="830">
        <v>20.11</v>
      </c>
      <c r="H6182" s="831">
        <v>42.75</v>
      </c>
    </row>
    <row r="6183" spans="2:8" ht="38.25" hidden="1">
      <c r="B6183" s="828" t="s">
        <v>6539</v>
      </c>
      <c r="C6183" s="828">
        <v>87737</v>
      </c>
      <c r="D6183" s="630" t="s">
        <v>5365</v>
      </c>
      <c r="E6183" s="630" t="s">
        <v>649</v>
      </c>
      <c r="F6183" s="829">
        <v>23.81</v>
      </c>
      <c r="G6183" s="830">
        <v>23.32</v>
      </c>
      <c r="H6183" s="831">
        <v>47.13</v>
      </c>
    </row>
    <row r="6184" spans="2:8" ht="38.25" hidden="1">
      <c r="B6184" s="828" t="s">
        <v>6539</v>
      </c>
      <c r="C6184" s="828">
        <v>87738</v>
      </c>
      <c r="D6184" s="630" t="s">
        <v>5366</v>
      </c>
      <c r="E6184" s="630" t="s">
        <v>649</v>
      </c>
      <c r="F6184" s="829">
        <v>60.45</v>
      </c>
      <c r="G6184" s="830">
        <v>19.62</v>
      </c>
      <c r="H6184" s="831">
        <v>80.069999999999993</v>
      </c>
    </row>
    <row r="6185" spans="2:8" ht="38.25" hidden="1">
      <c r="B6185" s="828" t="s">
        <v>6539</v>
      </c>
      <c r="C6185" s="828">
        <v>87739</v>
      </c>
      <c r="D6185" s="630" t="s">
        <v>5367</v>
      </c>
      <c r="E6185" s="630" t="s">
        <v>649</v>
      </c>
      <c r="F6185" s="829">
        <v>63.04</v>
      </c>
      <c r="G6185" s="830">
        <v>24.64</v>
      </c>
      <c r="H6185" s="831">
        <v>87.68</v>
      </c>
    </row>
    <row r="6186" spans="2:8" ht="51" hidden="1">
      <c r="B6186" s="828" t="s">
        <v>6539</v>
      </c>
      <c r="C6186" s="828">
        <v>87745</v>
      </c>
      <c r="D6186" s="630" t="s">
        <v>5368</v>
      </c>
      <c r="E6186" s="630" t="s">
        <v>649</v>
      </c>
      <c r="F6186" s="829">
        <v>28.37</v>
      </c>
      <c r="G6186" s="830">
        <v>22.18</v>
      </c>
      <c r="H6186" s="831">
        <v>50.55</v>
      </c>
    </row>
    <row r="6187" spans="2:8" ht="38.25" hidden="1">
      <c r="B6187" s="828" t="s">
        <v>6539</v>
      </c>
      <c r="C6187" s="828">
        <v>87747</v>
      </c>
      <c r="D6187" s="630" t="s">
        <v>5369</v>
      </c>
      <c r="E6187" s="630" t="s">
        <v>649</v>
      </c>
      <c r="F6187" s="829">
        <v>29.99</v>
      </c>
      <c r="G6187" s="830">
        <v>26.66</v>
      </c>
      <c r="H6187" s="831">
        <v>56.65</v>
      </c>
    </row>
    <row r="6188" spans="2:8" ht="38.25" hidden="1">
      <c r="B6188" s="828" t="s">
        <v>6539</v>
      </c>
      <c r="C6188" s="828">
        <v>87748</v>
      </c>
      <c r="D6188" s="630" t="s">
        <v>5370</v>
      </c>
      <c r="E6188" s="630" t="s">
        <v>649</v>
      </c>
      <c r="F6188" s="829">
        <v>80.929999999999993</v>
      </c>
      <c r="G6188" s="830">
        <v>21.52</v>
      </c>
      <c r="H6188" s="831">
        <v>102.45</v>
      </c>
    </row>
    <row r="6189" spans="2:8" ht="38.25" hidden="1">
      <c r="B6189" s="828" t="s">
        <v>6539</v>
      </c>
      <c r="C6189" s="828">
        <v>87749</v>
      </c>
      <c r="D6189" s="630" t="s">
        <v>5371</v>
      </c>
      <c r="E6189" s="630" t="s">
        <v>649</v>
      </c>
      <c r="F6189" s="829">
        <v>84.53</v>
      </c>
      <c r="G6189" s="830">
        <v>28.49</v>
      </c>
      <c r="H6189" s="831">
        <v>113.02</v>
      </c>
    </row>
    <row r="6190" spans="2:8" ht="51" hidden="1">
      <c r="B6190" s="828" t="s">
        <v>6539</v>
      </c>
      <c r="C6190" s="828">
        <v>87755</v>
      </c>
      <c r="D6190" s="630" t="s">
        <v>5372</v>
      </c>
      <c r="E6190" s="630" t="s">
        <v>649</v>
      </c>
      <c r="F6190" s="829">
        <v>25.47</v>
      </c>
      <c r="G6190" s="830">
        <v>23.11</v>
      </c>
      <c r="H6190" s="831">
        <v>48.58</v>
      </c>
    </row>
    <row r="6191" spans="2:8" ht="38.25" hidden="1">
      <c r="B6191" s="828" t="s">
        <v>6539</v>
      </c>
      <c r="C6191" s="828">
        <v>87757</v>
      </c>
      <c r="D6191" s="630" t="s">
        <v>5373</v>
      </c>
      <c r="E6191" s="630" t="s">
        <v>649</v>
      </c>
      <c r="F6191" s="829">
        <v>27.08</v>
      </c>
      <c r="G6191" s="830">
        <v>27.6</v>
      </c>
      <c r="H6191" s="831">
        <v>54.68</v>
      </c>
    </row>
    <row r="6192" spans="2:8" ht="51" hidden="1">
      <c r="B6192" s="828" t="s">
        <v>6539</v>
      </c>
      <c r="C6192" s="828">
        <v>87758</v>
      </c>
      <c r="D6192" s="630" t="s">
        <v>5374</v>
      </c>
      <c r="E6192" s="630" t="s">
        <v>649</v>
      </c>
      <c r="F6192" s="829">
        <v>78.039999999999992</v>
      </c>
      <c r="G6192" s="830">
        <v>22.44</v>
      </c>
      <c r="H6192" s="831">
        <v>100.48</v>
      </c>
    </row>
    <row r="6193" spans="2:8" ht="38.25" hidden="1">
      <c r="B6193" s="828" t="s">
        <v>6539</v>
      </c>
      <c r="C6193" s="828">
        <v>87759</v>
      </c>
      <c r="D6193" s="630" t="s">
        <v>5375</v>
      </c>
      <c r="E6193" s="630" t="s">
        <v>649</v>
      </c>
      <c r="F6193" s="829">
        <v>81.64</v>
      </c>
      <c r="G6193" s="830">
        <v>29.41</v>
      </c>
      <c r="H6193" s="831">
        <v>111.05</v>
      </c>
    </row>
    <row r="6194" spans="2:8" ht="51" hidden="1">
      <c r="B6194" s="828" t="s">
        <v>6539</v>
      </c>
      <c r="C6194" s="828">
        <v>87765</v>
      </c>
      <c r="D6194" s="630" t="s">
        <v>5376</v>
      </c>
      <c r="E6194" s="630" t="s">
        <v>649</v>
      </c>
      <c r="F6194" s="829">
        <v>30.2</v>
      </c>
      <c r="G6194" s="830">
        <v>24.84</v>
      </c>
      <c r="H6194" s="831">
        <v>55.04</v>
      </c>
    </row>
    <row r="6195" spans="2:8" ht="38.25" hidden="1">
      <c r="B6195" s="828" t="s">
        <v>6539</v>
      </c>
      <c r="C6195" s="828">
        <v>87767</v>
      </c>
      <c r="D6195" s="630" t="s">
        <v>5377</v>
      </c>
      <c r="E6195" s="630" t="s">
        <v>649</v>
      </c>
      <c r="F6195" s="829">
        <v>32.19</v>
      </c>
      <c r="G6195" s="830">
        <v>30.35</v>
      </c>
      <c r="H6195" s="831">
        <v>62.54</v>
      </c>
    </row>
    <row r="6196" spans="2:8" ht="51" hidden="1">
      <c r="B6196" s="828" t="s">
        <v>6539</v>
      </c>
      <c r="C6196" s="828">
        <v>87768</v>
      </c>
      <c r="D6196" s="630" t="s">
        <v>5378</v>
      </c>
      <c r="E6196" s="630" t="s">
        <v>649</v>
      </c>
      <c r="F6196" s="829">
        <v>94.839999999999989</v>
      </c>
      <c r="G6196" s="830">
        <v>24.02</v>
      </c>
      <c r="H6196" s="831">
        <v>118.86</v>
      </c>
    </row>
    <row r="6197" spans="2:8" ht="38.25" hidden="1">
      <c r="B6197" s="828" t="s">
        <v>6539</v>
      </c>
      <c r="C6197" s="828">
        <v>87769</v>
      </c>
      <c r="D6197" s="630" t="s">
        <v>5379</v>
      </c>
      <c r="E6197" s="630" t="s">
        <v>649</v>
      </c>
      <c r="F6197" s="829">
        <v>99.26</v>
      </c>
      <c r="G6197" s="830">
        <v>32.6</v>
      </c>
      <c r="H6197" s="831">
        <v>131.86000000000001</v>
      </c>
    </row>
    <row r="6198" spans="2:8" ht="25.5" hidden="1">
      <c r="B6198" s="828" t="s">
        <v>6539</v>
      </c>
      <c r="C6198" s="828">
        <v>88470</v>
      </c>
      <c r="D6198" s="630" t="s">
        <v>5380</v>
      </c>
      <c r="E6198" s="630" t="s">
        <v>649</v>
      </c>
      <c r="F6198" s="829">
        <v>18.899999999999999</v>
      </c>
      <c r="G6198" s="830">
        <v>2.72</v>
      </c>
      <c r="H6198" s="831">
        <v>21.62</v>
      </c>
    </row>
    <row r="6199" spans="2:8" ht="25.5" hidden="1">
      <c r="B6199" s="828" t="s">
        <v>6539</v>
      </c>
      <c r="C6199" s="828">
        <v>88471</v>
      </c>
      <c r="D6199" s="630" t="s">
        <v>5381</v>
      </c>
      <c r="E6199" s="630" t="s">
        <v>649</v>
      </c>
      <c r="F6199" s="829">
        <v>23.41</v>
      </c>
      <c r="G6199" s="830">
        <v>3.78</v>
      </c>
      <c r="H6199" s="831">
        <v>27.19</v>
      </c>
    </row>
    <row r="6200" spans="2:8" ht="25.5" hidden="1">
      <c r="B6200" s="828" t="s">
        <v>6539</v>
      </c>
      <c r="C6200" s="828">
        <v>88472</v>
      </c>
      <c r="D6200" s="630" t="s">
        <v>5382</v>
      </c>
      <c r="E6200" s="630" t="s">
        <v>649</v>
      </c>
      <c r="F6200" s="829">
        <v>27</v>
      </c>
      <c r="G6200" s="830">
        <v>4.5999999999999996</v>
      </c>
      <c r="H6200" s="831">
        <v>31.6</v>
      </c>
    </row>
    <row r="6201" spans="2:8" ht="25.5" hidden="1">
      <c r="B6201" s="828" t="s">
        <v>6539</v>
      </c>
      <c r="C6201" s="828">
        <v>88476</v>
      </c>
      <c r="D6201" s="630" t="s">
        <v>5383</v>
      </c>
      <c r="E6201" s="630" t="s">
        <v>649</v>
      </c>
      <c r="F6201" s="829">
        <v>16.739999999999998</v>
      </c>
      <c r="G6201" s="830">
        <v>1.71</v>
      </c>
      <c r="H6201" s="831">
        <v>18.45</v>
      </c>
    </row>
    <row r="6202" spans="2:8" ht="25.5" hidden="1">
      <c r="B6202" s="828" t="s">
        <v>6539</v>
      </c>
      <c r="C6202" s="828">
        <v>88477</v>
      </c>
      <c r="D6202" s="630" t="s">
        <v>5384</v>
      </c>
      <c r="E6202" s="630" t="s">
        <v>649</v>
      </c>
      <c r="F6202" s="829">
        <v>22.23</v>
      </c>
      <c r="G6202" s="830">
        <v>3.28</v>
      </c>
      <c r="H6202" s="831">
        <v>25.51</v>
      </c>
    </row>
    <row r="6203" spans="2:8" ht="25.5" hidden="1">
      <c r="B6203" s="828" t="s">
        <v>6539</v>
      </c>
      <c r="C6203" s="828">
        <v>88478</v>
      </c>
      <c r="D6203" s="630" t="s">
        <v>5385</v>
      </c>
      <c r="E6203" s="630" t="s">
        <v>649</v>
      </c>
      <c r="F6203" s="829">
        <v>26.81</v>
      </c>
      <c r="G6203" s="830">
        <v>4.53</v>
      </c>
      <c r="H6203" s="831">
        <v>31.34</v>
      </c>
    </row>
    <row r="6204" spans="2:8" ht="38.25" hidden="1">
      <c r="B6204" s="828" t="s">
        <v>6539</v>
      </c>
      <c r="C6204" s="828">
        <v>90930</v>
      </c>
      <c r="D6204" s="630" t="s">
        <v>5469</v>
      </c>
      <c r="E6204" s="630" t="s">
        <v>649</v>
      </c>
      <c r="F6204" s="829">
        <v>58.58</v>
      </c>
      <c r="G6204" s="830">
        <v>20.13</v>
      </c>
      <c r="H6204" s="831">
        <v>78.709999999999994</v>
      </c>
    </row>
    <row r="6205" spans="2:8" ht="38.25" hidden="1">
      <c r="B6205" s="828" t="s">
        <v>6539</v>
      </c>
      <c r="C6205" s="828">
        <v>90932</v>
      </c>
      <c r="D6205" s="630" t="s">
        <v>5470</v>
      </c>
      <c r="E6205" s="630" t="s">
        <v>649</v>
      </c>
      <c r="F6205" s="829">
        <v>60.85</v>
      </c>
      <c r="G6205" s="830">
        <v>26.45</v>
      </c>
      <c r="H6205" s="831">
        <v>87.3</v>
      </c>
    </row>
    <row r="6206" spans="2:8" ht="38.25" hidden="1">
      <c r="B6206" s="828" t="s">
        <v>6539</v>
      </c>
      <c r="C6206" s="828">
        <v>90933</v>
      </c>
      <c r="D6206" s="630" t="s">
        <v>5471</v>
      </c>
      <c r="E6206" s="630" t="s">
        <v>649</v>
      </c>
      <c r="F6206" s="829">
        <v>132.57999999999998</v>
      </c>
      <c r="G6206" s="830">
        <v>19.22</v>
      </c>
      <c r="H6206" s="831">
        <v>151.80000000000001</v>
      </c>
    </row>
    <row r="6207" spans="2:8" ht="38.25" hidden="1">
      <c r="B6207" s="828" t="s">
        <v>6539</v>
      </c>
      <c r="C6207" s="828">
        <v>90934</v>
      </c>
      <c r="D6207" s="630" t="s">
        <v>5472</v>
      </c>
      <c r="E6207" s="630" t="s">
        <v>649</v>
      </c>
      <c r="F6207" s="829">
        <v>137.63999999999999</v>
      </c>
      <c r="G6207" s="830">
        <v>29.05</v>
      </c>
      <c r="H6207" s="831">
        <v>166.69</v>
      </c>
    </row>
    <row r="6208" spans="2:8" ht="38.25" hidden="1">
      <c r="B6208" s="828" t="s">
        <v>6539</v>
      </c>
      <c r="C6208" s="828">
        <v>90940</v>
      </c>
      <c r="D6208" s="630" t="s">
        <v>5473</v>
      </c>
      <c r="E6208" s="630" t="s">
        <v>649</v>
      </c>
      <c r="F6208" s="829">
        <v>61.49</v>
      </c>
      <c r="G6208" s="830">
        <v>22.17</v>
      </c>
      <c r="H6208" s="831">
        <v>83.66</v>
      </c>
    </row>
    <row r="6209" spans="2:8" ht="38.25" hidden="1">
      <c r="B6209" s="828" t="s">
        <v>6539</v>
      </c>
      <c r="C6209" s="828">
        <v>90942</v>
      </c>
      <c r="D6209" s="630" t="s">
        <v>5474</v>
      </c>
      <c r="E6209" s="630" t="s">
        <v>649</v>
      </c>
      <c r="F6209" s="829">
        <v>63.95</v>
      </c>
      <c r="G6209" s="830">
        <v>29.06</v>
      </c>
      <c r="H6209" s="831">
        <v>93.01</v>
      </c>
    </row>
    <row r="6210" spans="2:8" ht="38.25" hidden="1">
      <c r="B6210" s="828" t="s">
        <v>6539</v>
      </c>
      <c r="C6210" s="828">
        <v>90943</v>
      </c>
      <c r="D6210" s="630" t="s">
        <v>5475</v>
      </c>
      <c r="E6210" s="630" t="s">
        <v>649</v>
      </c>
      <c r="F6210" s="829">
        <v>142.07</v>
      </c>
      <c r="G6210" s="830">
        <v>21.18</v>
      </c>
      <c r="H6210" s="831">
        <v>163.25</v>
      </c>
    </row>
    <row r="6211" spans="2:8" ht="38.25" hidden="1">
      <c r="B6211" s="828" t="s">
        <v>6539</v>
      </c>
      <c r="C6211" s="828">
        <v>90944</v>
      </c>
      <c r="D6211" s="630" t="s">
        <v>5476</v>
      </c>
      <c r="E6211" s="630" t="s">
        <v>649</v>
      </c>
      <c r="F6211" s="829">
        <v>147.58000000000001</v>
      </c>
      <c r="G6211" s="830">
        <v>31.89</v>
      </c>
      <c r="H6211" s="831">
        <v>179.47</v>
      </c>
    </row>
    <row r="6212" spans="2:8" ht="38.25" hidden="1">
      <c r="B6212" s="828" t="s">
        <v>6539</v>
      </c>
      <c r="C6212" s="828">
        <v>90950</v>
      </c>
      <c r="D6212" s="630" t="s">
        <v>5477</v>
      </c>
      <c r="E6212" s="630" t="s">
        <v>649</v>
      </c>
      <c r="F6212" s="829">
        <v>66.78</v>
      </c>
      <c r="G6212" s="830">
        <v>25.91</v>
      </c>
      <c r="H6212" s="831">
        <v>92.69</v>
      </c>
    </row>
    <row r="6213" spans="2:8" ht="38.25" hidden="1">
      <c r="B6213" s="828" t="s">
        <v>6539</v>
      </c>
      <c r="C6213" s="828">
        <v>90952</v>
      </c>
      <c r="D6213" s="630" t="s">
        <v>5478</v>
      </c>
      <c r="E6213" s="630" t="s">
        <v>649</v>
      </c>
      <c r="F6213" s="829">
        <v>69.62</v>
      </c>
      <c r="G6213" s="830">
        <v>33.83</v>
      </c>
      <c r="H6213" s="831">
        <v>103.45</v>
      </c>
    </row>
    <row r="6214" spans="2:8" ht="38.25" hidden="1">
      <c r="B6214" s="828" t="s">
        <v>6539</v>
      </c>
      <c r="C6214" s="828">
        <v>90953</v>
      </c>
      <c r="D6214" s="630" t="s">
        <v>5479</v>
      </c>
      <c r="E6214" s="630" t="s">
        <v>649</v>
      </c>
      <c r="F6214" s="829">
        <v>159.43</v>
      </c>
      <c r="G6214" s="830">
        <v>24.77</v>
      </c>
      <c r="H6214" s="831">
        <v>184.2</v>
      </c>
    </row>
    <row r="6215" spans="2:8" ht="38.25" hidden="1">
      <c r="B6215" s="828" t="s">
        <v>6539</v>
      </c>
      <c r="C6215" s="828">
        <v>90954</v>
      </c>
      <c r="D6215" s="630" t="s">
        <v>5480</v>
      </c>
      <c r="E6215" s="630" t="s">
        <v>649</v>
      </c>
      <c r="F6215" s="829">
        <v>165.77</v>
      </c>
      <c r="G6215" s="830">
        <v>37.08</v>
      </c>
      <c r="H6215" s="831">
        <v>202.85</v>
      </c>
    </row>
    <row r="6216" spans="2:8" ht="63.75" hidden="1">
      <c r="B6216" s="828" t="s">
        <v>6539</v>
      </c>
      <c r="C6216" s="828">
        <v>94438</v>
      </c>
      <c r="D6216" s="630" t="s">
        <v>1612</v>
      </c>
      <c r="E6216" s="630" t="s">
        <v>649</v>
      </c>
      <c r="F6216" s="829">
        <v>25.84</v>
      </c>
      <c r="G6216" s="830">
        <v>15.75</v>
      </c>
      <c r="H6216" s="831">
        <v>41.59</v>
      </c>
    </row>
    <row r="6217" spans="2:8" ht="51" hidden="1">
      <c r="B6217" s="828" t="s">
        <v>6539</v>
      </c>
      <c r="C6217" s="828">
        <v>94439</v>
      </c>
      <c r="D6217" s="630" t="s">
        <v>5488</v>
      </c>
      <c r="E6217" s="630" t="s">
        <v>649</v>
      </c>
      <c r="F6217" s="829">
        <v>29.6</v>
      </c>
      <c r="G6217" s="830">
        <v>17.13</v>
      </c>
      <c r="H6217" s="831">
        <v>46.73</v>
      </c>
    </row>
    <row r="6218" spans="2:8" ht="51" hidden="1">
      <c r="B6218" s="828" t="s">
        <v>6539</v>
      </c>
      <c r="C6218" s="828">
        <v>94779</v>
      </c>
      <c r="D6218" s="630" t="s">
        <v>1613</v>
      </c>
      <c r="E6218" s="630" t="s">
        <v>649</v>
      </c>
      <c r="F6218" s="829">
        <v>25.570000000000004</v>
      </c>
      <c r="G6218" s="830">
        <v>14.28</v>
      </c>
      <c r="H6218" s="831">
        <v>39.85</v>
      </c>
    </row>
    <row r="6219" spans="2:8" ht="51" hidden="1">
      <c r="B6219" s="828" t="s">
        <v>6539</v>
      </c>
      <c r="C6219" s="828">
        <v>94782</v>
      </c>
      <c r="D6219" s="630" t="s">
        <v>5503</v>
      </c>
      <c r="E6219" s="630" t="s">
        <v>649</v>
      </c>
      <c r="F6219" s="829">
        <v>29.76</v>
      </c>
      <c r="G6219" s="830">
        <v>15.78</v>
      </c>
      <c r="H6219" s="831">
        <v>45.54</v>
      </c>
    </row>
    <row r="6220" spans="2:8" ht="25.5" hidden="1">
      <c r="B6220" s="828" t="s">
        <v>6539</v>
      </c>
      <c r="C6220" s="828">
        <v>102803</v>
      </c>
      <c r="D6220" s="630" t="s">
        <v>6360</v>
      </c>
      <c r="E6220" s="630" t="s">
        <v>649</v>
      </c>
      <c r="F6220" s="829">
        <v>0.81</v>
      </c>
      <c r="G6220" s="830">
        <v>1.74</v>
      </c>
      <c r="H6220" s="831">
        <v>2.5499999999999998</v>
      </c>
    </row>
    <row r="6221" spans="2:8" ht="25.5" hidden="1">
      <c r="B6221" s="828" t="s">
        <v>6659</v>
      </c>
      <c r="C6221" s="828">
        <v>101742</v>
      </c>
      <c r="D6221" s="630" t="s">
        <v>4571</v>
      </c>
      <c r="E6221" s="630" t="s">
        <v>648</v>
      </c>
      <c r="F6221" s="829">
        <v>45.7</v>
      </c>
      <c r="G6221" s="830">
        <v>21.75</v>
      </c>
      <c r="H6221" s="831">
        <v>67.45</v>
      </c>
    </row>
    <row r="6222" spans="2:8" ht="38.25" hidden="1">
      <c r="B6222" s="828" t="s">
        <v>6540</v>
      </c>
      <c r="C6222" s="828">
        <v>87871</v>
      </c>
      <c r="D6222" s="630" t="s">
        <v>1467</v>
      </c>
      <c r="E6222" s="630" t="s">
        <v>649</v>
      </c>
      <c r="F6222" s="829">
        <v>10.47</v>
      </c>
      <c r="G6222" s="830">
        <v>4.54</v>
      </c>
      <c r="H6222" s="831">
        <v>15.01</v>
      </c>
    </row>
    <row r="6223" spans="2:8" ht="38.25" hidden="1">
      <c r="B6223" s="828" t="s">
        <v>6540</v>
      </c>
      <c r="C6223" s="828">
        <v>87872</v>
      </c>
      <c r="D6223" s="630" t="s">
        <v>1468</v>
      </c>
      <c r="E6223" s="630" t="s">
        <v>649</v>
      </c>
      <c r="F6223" s="829">
        <v>10.19</v>
      </c>
      <c r="G6223" s="830">
        <v>3.94</v>
      </c>
      <c r="H6223" s="831">
        <v>14.13</v>
      </c>
    </row>
    <row r="6224" spans="2:8" ht="38.25" hidden="1">
      <c r="B6224" s="828" t="s">
        <v>6540</v>
      </c>
      <c r="C6224" s="828">
        <v>87873</v>
      </c>
      <c r="D6224" s="630" t="s">
        <v>1469</v>
      </c>
      <c r="E6224" s="630" t="s">
        <v>649</v>
      </c>
      <c r="F6224" s="829">
        <v>5.07</v>
      </c>
      <c r="G6224" s="830">
        <v>1.35</v>
      </c>
      <c r="H6224" s="831">
        <v>6.42</v>
      </c>
    </row>
    <row r="6225" spans="2:8" ht="51" hidden="1">
      <c r="B6225" s="828" t="s">
        <v>6540</v>
      </c>
      <c r="C6225" s="828">
        <v>87874</v>
      </c>
      <c r="D6225" s="630" t="s">
        <v>1470</v>
      </c>
      <c r="E6225" s="630" t="s">
        <v>649</v>
      </c>
      <c r="F6225" s="829">
        <v>5.01</v>
      </c>
      <c r="G6225" s="830">
        <v>1.21</v>
      </c>
      <c r="H6225" s="831">
        <v>6.22</v>
      </c>
    </row>
    <row r="6226" spans="2:8" ht="38.25" hidden="1">
      <c r="B6226" s="828" t="s">
        <v>6540</v>
      </c>
      <c r="C6226" s="828">
        <v>87876</v>
      </c>
      <c r="D6226" s="630" t="s">
        <v>1471</v>
      </c>
      <c r="E6226" s="630" t="s">
        <v>649</v>
      </c>
      <c r="F6226" s="829">
        <v>7.34</v>
      </c>
      <c r="G6226" s="830">
        <v>1.49</v>
      </c>
      <c r="H6226" s="831">
        <v>8.83</v>
      </c>
    </row>
    <row r="6227" spans="2:8" ht="38.25" hidden="1">
      <c r="B6227" s="828" t="s">
        <v>6540</v>
      </c>
      <c r="C6227" s="828">
        <v>87877</v>
      </c>
      <c r="D6227" s="630" t="s">
        <v>1472</v>
      </c>
      <c r="E6227" s="630" t="s">
        <v>649</v>
      </c>
      <c r="F6227" s="829">
        <v>7.19</v>
      </c>
      <c r="G6227" s="830">
        <v>1.21</v>
      </c>
      <c r="H6227" s="831">
        <v>8.4</v>
      </c>
    </row>
    <row r="6228" spans="2:8" ht="38.25" hidden="1">
      <c r="B6228" s="828" t="s">
        <v>6540</v>
      </c>
      <c r="C6228" s="828">
        <v>87878</v>
      </c>
      <c r="D6228" s="630" t="s">
        <v>1473</v>
      </c>
      <c r="E6228" s="630" t="s">
        <v>649</v>
      </c>
      <c r="F6228" s="829">
        <v>2.2799999999999998</v>
      </c>
      <c r="G6228" s="830">
        <v>2.65</v>
      </c>
      <c r="H6228" s="831">
        <v>4.93</v>
      </c>
    </row>
    <row r="6229" spans="2:8" ht="38.25" hidden="1">
      <c r="B6229" s="828" t="s">
        <v>6540</v>
      </c>
      <c r="C6229" s="828">
        <v>87879</v>
      </c>
      <c r="D6229" s="630" t="s">
        <v>1474</v>
      </c>
      <c r="E6229" s="630" t="s">
        <v>649</v>
      </c>
      <c r="F6229" s="829">
        <v>2.1</v>
      </c>
      <c r="G6229" s="830">
        <v>2.1800000000000002</v>
      </c>
      <c r="H6229" s="831">
        <v>4.28</v>
      </c>
    </row>
    <row r="6230" spans="2:8" ht="38.25" hidden="1">
      <c r="B6230" s="828" t="s">
        <v>6540</v>
      </c>
      <c r="C6230" s="828">
        <v>87881</v>
      </c>
      <c r="D6230" s="630" t="s">
        <v>88</v>
      </c>
      <c r="E6230" s="630" t="s">
        <v>649</v>
      </c>
      <c r="F6230" s="829">
        <v>5.05</v>
      </c>
      <c r="G6230" s="830">
        <v>1.24</v>
      </c>
      <c r="H6230" s="831">
        <v>6.29</v>
      </c>
    </row>
    <row r="6231" spans="2:8" ht="38.25" hidden="1">
      <c r="B6231" s="828" t="s">
        <v>6540</v>
      </c>
      <c r="C6231" s="828">
        <v>87882</v>
      </c>
      <c r="D6231" s="630" t="s">
        <v>89</v>
      </c>
      <c r="E6231" s="630" t="s">
        <v>649</v>
      </c>
      <c r="F6231" s="829">
        <v>4.99</v>
      </c>
      <c r="G6231" s="830">
        <v>1.1000000000000001</v>
      </c>
      <c r="H6231" s="831">
        <v>6.09</v>
      </c>
    </row>
    <row r="6232" spans="2:8" ht="25.5" hidden="1">
      <c r="B6232" s="828" t="s">
        <v>6540</v>
      </c>
      <c r="C6232" s="828">
        <v>87884</v>
      </c>
      <c r="D6232" s="630" t="s">
        <v>90</v>
      </c>
      <c r="E6232" s="630" t="s">
        <v>649</v>
      </c>
      <c r="F6232" s="829">
        <v>7.32</v>
      </c>
      <c r="G6232" s="830">
        <v>1.38</v>
      </c>
      <c r="H6232" s="831">
        <v>8.6999999999999993</v>
      </c>
    </row>
    <row r="6233" spans="2:8" ht="38.25" hidden="1">
      <c r="B6233" s="828" t="s">
        <v>6540</v>
      </c>
      <c r="C6233" s="828">
        <v>87885</v>
      </c>
      <c r="D6233" s="630" t="s">
        <v>1475</v>
      </c>
      <c r="E6233" s="630" t="s">
        <v>649</v>
      </c>
      <c r="F6233" s="829">
        <v>7.17</v>
      </c>
      <c r="G6233" s="830">
        <v>1.1000000000000001</v>
      </c>
      <c r="H6233" s="831">
        <v>8.27</v>
      </c>
    </row>
    <row r="6234" spans="2:8" ht="25.5" hidden="1">
      <c r="B6234" s="828" t="s">
        <v>6540</v>
      </c>
      <c r="C6234" s="828">
        <v>87886</v>
      </c>
      <c r="D6234" s="630" t="s">
        <v>91</v>
      </c>
      <c r="E6234" s="630" t="s">
        <v>649</v>
      </c>
      <c r="F6234" s="829">
        <v>12.23</v>
      </c>
      <c r="G6234" s="830">
        <v>10.9</v>
      </c>
      <c r="H6234" s="831">
        <v>23.13</v>
      </c>
    </row>
    <row r="6235" spans="2:8" ht="38.25" hidden="1">
      <c r="B6235" s="828" t="s">
        <v>6540</v>
      </c>
      <c r="C6235" s="828">
        <v>87887</v>
      </c>
      <c r="D6235" s="630" t="s">
        <v>92</v>
      </c>
      <c r="E6235" s="630" t="s">
        <v>649</v>
      </c>
      <c r="F6235" s="829">
        <v>11.94</v>
      </c>
      <c r="G6235" s="830">
        <v>10.31</v>
      </c>
      <c r="H6235" s="831">
        <v>22.25</v>
      </c>
    </row>
    <row r="6236" spans="2:8" ht="51" hidden="1">
      <c r="B6236" s="828" t="s">
        <v>6540</v>
      </c>
      <c r="C6236" s="828">
        <v>87888</v>
      </c>
      <c r="D6236" s="630" t="s">
        <v>1476</v>
      </c>
      <c r="E6236" s="630" t="s">
        <v>649</v>
      </c>
      <c r="F6236" s="829">
        <v>5.47</v>
      </c>
      <c r="G6236" s="830">
        <v>2.67</v>
      </c>
      <c r="H6236" s="831">
        <v>8.14</v>
      </c>
    </row>
    <row r="6237" spans="2:8" ht="51" hidden="1">
      <c r="B6237" s="828" t="s">
        <v>6540</v>
      </c>
      <c r="C6237" s="828">
        <v>87889</v>
      </c>
      <c r="D6237" s="630" t="s">
        <v>1477</v>
      </c>
      <c r="E6237" s="630" t="s">
        <v>649</v>
      </c>
      <c r="F6237" s="829">
        <v>5.41</v>
      </c>
      <c r="G6237" s="830">
        <v>2.5299999999999998</v>
      </c>
      <c r="H6237" s="831">
        <v>7.94</v>
      </c>
    </row>
    <row r="6238" spans="2:8" ht="51" hidden="1">
      <c r="B6238" s="828" t="s">
        <v>6540</v>
      </c>
      <c r="C6238" s="828">
        <v>87891</v>
      </c>
      <c r="D6238" s="630" t="s">
        <v>1478</v>
      </c>
      <c r="E6238" s="630" t="s">
        <v>649</v>
      </c>
      <c r="F6238" s="829">
        <v>7.75</v>
      </c>
      <c r="G6238" s="830">
        <v>2.8</v>
      </c>
      <c r="H6238" s="831">
        <v>10.55</v>
      </c>
    </row>
    <row r="6239" spans="2:8" ht="51" hidden="1">
      <c r="B6239" s="828" t="s">
        <v>6540</v>
      </c>
      <c r="C6239" s="828">
        <v>87892</v>
      </c>
      <c r="D6239" s="630" t="s">
        <v>1479</v>
      </c>
      <c r="E6239" s="630" t="s">
        <v>649</v>
      </c>
      <c r="F6239" s="829">
        <v>7.6</v>
      </c>
      <c r="G6239" s="830">
        <v>2.52</v>
      </c>
      <c r="H6239" s="831">
        <v>10.119999999999999</v>
      </c>
    </row>
    <row r="6240" spans="2:8" ht="38.25" hidden="1">
      <c r="B6240" s="828" t="s">
        <v>6540</v>
      </c>
      <c r="C6240" s="828">
        <v>87893</v>
      </c>
      <c r="D6240" s="630" t="s">
        <v>1480</v>
      </c>
      <c r="E6240" s="630" t="s">
        <v>649</v>
      </c>
      <c r="F6240" s="829">
        <v>3</v>
      </c>
      <c r="G6240" s="830">
        <v>4.92</v>
      </c>
      <c r="H6240" s="831">
        <v>7.92</v>
      </c>
    </row>
    <row r="6241" spans="2:8" ht="38.25" hidden="1">
      <c r="B6241" s="828" t="s">
        <v>6540</v>
      </c>
      <c r="C6241" s="828">
        <v>87894</v>
      </c>
      <c r="D6241" s="630" t="s">
        <v>1481</v>
      </c>
      <c r="E6241" s="630" t="s">
        <v>649</v>
      </c>
      <c r="F6241" s="829">
        <v>2.83</v>
      </c>
      <c r="G6241" s="830">
        <v>4.4400000000000004</v>
      </c>
      <c r="H6241" s="831">
        <v>7.27</v>
      </c>
    </row>
    <row r="6242" spans="2:8" ht="38.25" hidden="1">
      <c r="B6242" s="828" t="s">
        <v>6540</v>
      </c>
      <c r="C6242" s="828">
        <v>87896</v>
      </c>
      <c r="D6242" s="630" t="s">
        <v>1482</v>
      </c>
      <c r="E6242" s="630" t="s">
        <v>649</v>
      </c>
      <c r="F6242" s="829">
        <v>3.2</v>
      </c>
      <c r="G6242" s="830">
        <v>3.82</v>
      </c>
      <c r="H6242" s="831">
        <v>7.02</v>
      </c>
    </row>
    <row r="6243" spans="2:8" ht="51" hidden="1">
      <c r="B6243" s="828" t="s">
        <v>6540</v>
      </c>
      <c r="C6243" s="828">
        <v>87897</v>
      </c>
      <c r="D6243" s="630" t="s">
        <v>1483</v>
      </c>
      <c r="E6243" s="630" t="s">
        <v>649</v>
      </c>
      <c r="F6243" s="829">
        <v>3.04</v>
      </c>
      <c r="G6243" s="830">
        <v>3.33</v>
      </c>
      <c r="H6243" s="831">
        <v>6.37</v>
      </c>
    </row>
    <row r="6244" spans="2:8" ht="51" hidden="1">
      <c r="B6244" s="828" t="s">
        <v>6540</v>
      </c>
      <c r="C6244" s="828">
        <v>87899</v>
      </c>
      <c r="D6244" s="630" t="s">
        <v>1484</v>
      </c>
      <c r="E6244" s="630" t="s">
        <v>649</v>
      </c>
      <c r="F6244" s="829">
        <v>5.81</v>
      </c>
      <c r="G6244" s="830">
        <v>3.84</v>
      </c>
      <c r="H6244" s="831">
        <v>9.65</v>
      </c>
    </row>
    <row r="6245" spans="2:8" ht="51" hidden="1">
      <c r="B6245" s="828" t="s">
        <v>6540</v>
      </c>
      <c r="C6245" s="828">
        <v>87900</v>
      </c>
      <c r="D6245" s="630" t="s">
        <v>1485</v>
      </c>
      <c r="E6245" s="630" t="s">
        <v>649</v>
      </c>
      <c r="F6245" s="829">
        <v>5.75</v>
      </c>
      <c r="G6245" s="830">
        <v>3.7</v>
      </c>
      <c r="H6245" s="831">
        <v>9.4499999999999993</v>
      </c>
    </row>
    <row r="6246" spans="2:8" ht="51" hidden="1">
      <c r="B6246" s="828" t="s">
        <v>6540</v>
      </c>
      <c r="C6246" s="828">
        <v>87902</v>
      </c>
      <c r="D6246" s="630" t="s">
        <v>1580</v>
      </c>
      <c r="E6246" s="630" t="s">
        <v>649</v>
      </c>
      <c r="F6246" s="829">
        <v>8.09</v>
      </c>
      <c r="G6246" s="830">
        <v>3.97</v>
      </c>
      <c r="H6246" s="831">
        <v>12.06</v>
      </c>
    </row>
    <row r="6247" spans="2:8" ht="51" hidden="1">
      <c r="B6247" s="828" t="s">
        <v>6540</v>
      </c>
      <c r="C6247" s="828">
        <v>87903</v>
      </c>
      <c r="D6247" s="630" t="s">
        <v>1581</v>
      </c>
      <c r="E6247" s="630" t="s">
        <v>649</v>
      </c>
      <c r="F6247" s="829">
        <v>7.94</v>
      </c>
      <c r="G6247" s="830">
        <v>3.69</v>
      </c>
      <c r="H6247" s="831">
        <v>11.63</v>
      </c>
    </row>
    <row r="6248" spans="2:8" ht="38.25" hidden="1">
      <c r="B6248" s="828" t="s">
        <v>6540</v>
      </c>
      <c r="C6248" s="828">
        <v>87904</v>
      </c>
      <c r="D6248" s="630" t="s">
        <v>1582</v>
      </c>
      <c r="E6248" s="630" t="s">
        <v>649</v>
      </c>
      <c r="F6248" s="829">
        <v>3.57</v>
      </c>
      <c r="G6248" s="830">
        <v>6.86</v>
      </c>
      <c r="H6248" s="831">
        <v>10.43</v>
      </c>
    </row>
    <row r="6249" spans="2:8" ht="38.25" hidden="1">
      <c r="B6249" s="828" t="s">
        <v>6540</v>
      </c>
      <c r="C6249" s="828">
        <v>87905</v>
      </c>
      <c r="D6249" s="630" t="s">
        <v>1583</v>
      </c>
      <c r="E6249" s="630" t="s">
        <v>649</v>
      </c>
      <c r="F6249" s="829">
        <v>3.39</v>
      </c>
      <c r="G6249" s="830">
        <v>6.39</v>
      </c>
      <c r="H6249" s="831">
        <v>9.7799999999999994</v>
      </c>
    </row>
    <row r="6250" spans="2:8" ht="38.25" hidden="1">
      <c r="B6250" s="828" t="s">
        <v>6540</v>
      </c>
      <c r="C6250" s="828">
        <v>87907</v>
      </c>
      <c r="D6250" s="630" t="s">
        <v>1584</v>
      </c>
      <c r="E6250" s="630" t="s">
        <v>649</v>
      </c>
      <c r="F6250" s="829">
        <v>3.9000000000000004</v>
      </c>
      <c r="G6250" s="830">
        <v>5.25</v>
      </c>
      <c r="H6250" s="831">
        <v>9.15</v>
      </c>
    </row>
    <row r="6251" spans="2:8" ht="51" hidden="1">
      <c r="B6251" s="828" t="s">
        <v>6540</v>
      </c>
      <c r="C6251" s="828">
        <v>87908</v>
      </c>
      <c r="D6251" s="630" t="s">
        <v>1585</v>
      </c>
      <c r="E6251" s="630" t="s">
        <v>649</v>
      </c>
      <c r="F6251" s="829">
        <v>3.7300000000000004</v>
      </c>
      <c r="G6251" s="830">
        <v>4.7699999999999996</v>
      </c>
      <c r="H6251" s="832">
        <v>8.5</v>
      </c>
    </row>
    <row r="6252" spans="2:8" ht="38.25" hidden="1">
      <c r="B6252" s="828" t="s">
        <v>6540</v>
      </c>
      <c r="C6252" s="828">
        <v>87910</v>
      </c>
      <c r="D6252" s="630" t="s">
        <v>108</v>
      </c>
      <c r="E6252" s="630" t="s">
        <v>649</v>
      </c>
      <c r="F6252" s="829">
        <v>12.31</v>
      </c>
      <c r="G6252" s="830">
        <v>10.51</v>
      </c>
      <c r="H6252" s="832">
        <v>22.82</v>
      </c>
    </row>
    <row r="6253" spans="2:8" ht="38.25" hidden="1">
      <c r="B6253" s="828" t="s">
        <v>6540</v>
      </c>
      <c r="C6253" s="828">
        <v>87911</v>
      </c>
      <c r="D6253" s="630" t="s">
        <v>109</v>
      </c>
      <c r="E6253" s="630" t="s">
        <v>649</v>
      </c>
      <c r="F6253" s="829">
        <v>12.02</v>
      </c>
      <c r="G6253" s="830">
        <v>9.92</v>
      </c>
      <c r="H6253" s="832">
        <v>21.94</v>
      </c>
    </row>
    <row r="6254" spans="2:8" ht="25.5" hidden="1">
      <c r="B6254" s="828" t="s">
        <v>6536</v>
      </c>
      <c r="C6254" s="828">
        <v>87411</v>
      </c>
      <c r="D6254" s="630" t="s">
        <v>110</v>
      </c>
      <c r="E6254" s="630" t="s">
        <v>649</v>
      </c>
      <c r="F6254" s="829">
        <v>9.7899999999999991</v>
      </c>
      <c r="G6254" s="830">
        <v>7.96</v>
      </c>
      <c r="H6254" s="832">
        <v>17.75</v>
      </c>
    </row>
    <row r="6255" spans="2:8" ht="25.5" hidden="1">
      <c r="B6255" s="828" t="s">
        <v>6536</v>
      </c>
      <c r="C6255" s="828">
        <v>87412</v>
      </c>
      <c r="D6255" s="630" t="s">
        <v>111</v>
      </c>
      <c r="E6255" s="630" t="s">
        <v>649</v>
      </c>
      <c r="F6255" s="829">
        <v>11.63</v>
      </c>
      <c r="G6255" s="830">
        <v>14.12</v>
      </c>
      <c r="H6255" s="832">
        <v>25.75</v>
      </c>
    </row>
    <row r="6256" spans="2:8" ht="25.5" hidden="1">
      <c r="B6256" s="828" t="s">
        <v>6536</v>
      </c>
      <c r="C6256" s="828">
        <v>87413</v>
      </c>
      <c r="D6256" s="630" t="s">
        <v>112</v>
      </c>
      <c r="E6256" s="630" t="s">
        <v>649</v>
      </c>
      <c r="F6256" s="829">
        <v>12.68</v>
      </c>
      <c r="G6256" s="830">
        <v>17.64</v>
      </c>
      <c r="H6256" s="832">
        <v>30.32</v>
      </c>
    </row>
    <row r="6257" spans="2:10" ht="25.5" hidden="1">
      <c r="B6257" s="828" t="s">
        <v>6536</v>
      </c>
      <c r="C6257" s="828">
        <v>87414</v>
      </c>
      <c r="D6257" s="630" t="s">
        <v>113</v>
      </c>
      <c r="E6257" s="630" t="s">
        <v>649</v>
      </c>
      <c r="F6257" s="829">
        <v>16.16</v>
      </c>
      <c r="G6257" s="830">
        <v>9.89</v>
      </c>
      <c r="H6257" s="831">
        <v>26.05</v>
      </c>
    </row>
    <row r="6258" spans="2:10" ht="25.5" hidden="1">
      <c r="B6258" s="828" t="s">
        <v>6536</v>
      </c>
      <c r="C6258" s="828">
        <v>87415</v>
      </c>
      <c r="D6258" s="630" t="s">
        <v>114</v>
      </c>
      <c r="E6258" s="630" t="s">
        <v>649</v>
      </c>
      <c r="F6258" s="829">
        <v>17.93</v>
      </c>
      <c r="G6258" s="830">
        <v>15.9</v>
      </c>
      <c r="H6258" s="831">
        <v>33.83</v>
      </c>
    </row>
    <row r="6259" spans="2:10" ht="25.5" hidden="1">
      <c r="B6259" s="828" t="s">
        <v>6536</v>
      </c>
      <c r="C6259" s="828">
        <v>87416</v>
      </c>
      <c r="D6259" s="630" t="s">
        <v>115</v>
      </c>
      <c r="E6259" s="630" t="s">
        <v>649</v>
      </c>
      <c r="F6259" s="829">
        <v>19.04</v>
      </c>
      <c r="G6259" s="830">
        <v>19.649999999999999</v>
      </c>
      <c r="H6259" s="831">
        <v>38.69</v>
      </c>
    </row>
    <row r="6260" spans="2:10" ht="38.25" hidden="1">
      <c r="B6260" s="828" t="s">
        <v>6536</v>
      </c>
      <c r="C6260" s="828">
        <v>87417</v>
      </c>
      <c r="D6260" s="630" t="s">
        <v>116</v>
      </c>
      <c r="E6260" s="630" t="s">
        <v>649</v>
      </c>
      <c r="F6260" s="829">
        <v>10.050000000000001</v>
      </c>
      <c r="G6260" s="830">
        <v>8.82</v>
      </c>
      <c r="H6260" s="831">
        <v>18.87</v>
      </c>
    </row>
    <row r="6261" spans="2:10" ht="38.25" hidden="1">
      <c r="B6261" s="828" t="s">
        <v>6536</v>
      </c>
      <c r="C6261" s="828">
        <v>87418</v>
      </c>
      <c r="D6261" s="630" t="s">
        <v>117</v>
      </c>
      <c r="E6261" s="630" t="s">
        <v>649</v>
      </c>
      <c r="F6261" s="829">
        <v>10.19</v>
      </c>
      <c r="G6261" s="830">
        <v>9.27</v>
      </c>
      <c r="H6261" s="831">
        <v>19.46</v>
      </c>
      <c r="J6261" s="449" t="s">
        <v>6945</v>
      </c>
    </row>
    <row r="6262" spans="2:10" ht="38.25" hidden="1">
      <c r="B6262" s="828" t="s">
        <v>6536</v>
      </c>
      <c r="C6262" s="828">
        <v>87419</v>
      </c>
      <c r="D6262" s="630" t="s">
        <v>118</v>
      </c>
      <c r="E6262" s="630" t="s">
        <v>649</v>
      </c>
      <c r="F6262" s="829">
        <v>10.58</v>
      </c>
      <c r="G6262" s="830">
        <v>10.6</v>
      </c>
      <c r="H6262" s="831">
        <v>21.18</v>
      </c>
    </row>
    <row r="6263" spans="2:10" ht="38.25" hidden="1">
      <c r="B6263" s="828" t="s">
        <v>6536</v>
      </c>
      <c r="C6263" s="828">
        <v>87420</v>
      </c>
      <c r="D6263" s="630" t="s">
        <v>119</v>
      </c>
      <c r="E6263" s="630" t="s">
        <v>649</v>
      </c>
      <c r="F6263" s="829">
        <v>16.61</v>
      </c>
      <c r="G6263" s="830">
        <v>11.46</v>
      </c>
      <c r="H6263" s="831">
        <v>28.07</v>
      </c>
    </row>
    <row r="6264" spans="2:10" ht="38.25" hidden="1">
      <c r="B6264" s="828" t="s">
        <v>6536</v>
      </c>
      <c r="C6264" s="828">
        <v>87421</v>
      </c>
      <c r="D6264" s="630" t="s">
        <v>120</v>
      </c>
      <c r="E6264" s="630" t="s">
        <v>649</v>
      </c>
      <c r="F6264" s="829">
        <v>16.760000000000002</v>
      </c>
      <c r="G6264" s="830">
        <v>11.91</v>
      </c>
      <c r="H6264" s="831">
        <v>28.67</v>
      </c>
    </row>
    <row r="6265" spans="2:10" ht="38.25" hidden="1">
      <c r="B6265" s="828" t="s">
        <v>6536</v>
      </c>
      <c r="C6265" s="828">
        <v>87422</v>
      </c>
      <c r="D6265" s="630" t="s">
        <v>121</v>
      </c>
      <c r="E6265" s="630" t="s">
        <v>649</v>
      </c>
      <c r="F6265" s="829">
        <v>17.149999999999999</v>
      </c>
      <c r="G6265" s="830">
        <v>13.24</v>
      </c>
      <c r="H6265" s="831">
        <v>30.39</v>
      </c>
    </row>
    <row r="6266" spans="2:10" ht="38.25" hidden="1">
      <c r="B6266" s="828" t="s">
        <v>6536</v>
      </c>
      <c r="C6266" s="828">
        <v>87423</v>
      </c>
      <c r="D6266" s="630" t="s">
        <v>122</v>
      </c>
      <c r="E6266" s="630" t="s">
        <v>649</v>
      </c>
      <c r="F6266" s="829">
        <v>18.850000000000001</v>
      </c>
      <c r="G6266" s="830">
        <v>18.95</v>
      </c>
      <c r="H6266" s="831">
        <v>37.799999999999997</v>
      </c>
    </row>
    <row r="6267" spans="2:10" ht="38.25" hidden="1">
      <c r="B6267" s="828" t="s">
        <v>6536</v>
      </c>
      <c r="C6267" s="828">
        <v>87424</v>
      </c>
      <c r="D6267" s="630" t="s">
        <v>123</v>
      </c>
      <c r="E6267" s="630" t="s">
        <v>649</v>
      </c>
      <c r="F6267" s="829">
        <v>19.04</v>
      </c>
      <c r="G6267" s="830">
        <v>19.649999999999999</v>
      </c>
      <c r="H6267" s="831">
        <v>38.69</v>
      </c>
    </row>
    <row r="6268" spans="2:10" ht="38.25" hidden="1">
      <c r="B6268" s="828" t="s">
        <v>6536</v>
      </c>
      <c r="C6268" s="828">
        <v>87425</v>
      </c>
      <c r="D6268" s="630" t="s">
        <v>124</v>
      </c>
      <c r="E6268" s="630" t="s">
        <v>649</v>
      </c>
      <c r="F6268" s="829">
        <v>19.38</v>
      </c>
      <c r="G6268" s="830">
        <v>20.74</v>
      </c>
      <c r="H6268" s="831">
        <v>40.119999999999997</v>
      </c>
    </row>
    <row r="6269" spans="2:10" ht="38.25" hidden="1">
      <c r="B6269" s="828" t="s">
        <v>6536</v>
      </c>
      <c r="C6269" s="828">
        <v>87426</v>
      </c>
      <c r="D6269" s="630" t="s">
        <v>125</v>
      </c>
      <c r="E6269" s="630" t="s">
        <v>649</v>
      </c>
      <c r="F6269" s="829">
        <v>23.47</v>
      </c>
      <c r="G6269" s="830">
        <v>20.73</v>
      </c>
      <c r="H6269" s="831">
        <v>44.2</v>
      </c>
    </row>
    <row r="6270" spans="2:10" ht="38.25" hidden="1">
      <c r="B6270" s="828" t="s">
        <v>6536</v>
      </c>
      <c r="C6270" s="828">
        <v>87427</v>
      </c>
      <c r="D6270" s="630" t="s">
        <v>126</v>
      </c>
      <c r="E6270" s="630" t="s">
        <v>649</v>
      </c>
      <c r="F6270" s="829">
        <v>23.66</v>
      </c>
      <c r="G6270" s="830">
        <v>21.43</v>
      </c>
      <c r="H6270" s="831">
        <v>45.09</v>
      </c>
    </row>
    <row r="6271" spans="2:10" ht="38.25" hidden="1">
      <c r="B6271" s="828" t="s">
        <v>6536</v>
      </c>
      <c r="C6271" s="828">
        <v>87428</v>
      </c>
      <c r="D6271" s="630" t="s">
        <v>127</v>
      </c>
      <c r="E6271" s="630" t="s">
        <v>649</v>
      </c>
      <c r="F6271" s="829">
        <v>24.01</v>
      </c>
      <c r="G6271" s="830">
        <v>22.5</v>
      </c>
      <c r="H6271" s="831">
        <v>46.51</v>
      </c>
    </row>
    <row r="6272" spans="2:10" ht="38.25" hidden="1">
      <c r="B6272" s="828" t="s">
        <v>6536</v>
      </c>
      <c r="C6272" s="828">
        <v>87429</v>
      </c>
      <c r="D6272" s="630" t="s">
        <v>128</v>
      </c>
      <c r="E6272" s="630" t="s">
        <v>649</v>
      </c>
      <c r="F6272" s="829">
        <v>9.629999999999999</v>
      </c>
      <c r="G6272" s="830">
        <v>9.8699999999999992</v>
      </c>
      <c r="H6272" s="831">
        <v>19.5</v>
      </c>
    </row>
    <row r="6273" spans="2:8" ht="38.25" hidden="1">
      <c r="B6273" s="828" t="s">
        <v>6536</v>
      </c>
      <c r="C6273" s="828">
        <v>87430</v>
      </c>
      <c r="D6273" s="630" t="s">
        <v>129</v>
      </c>
      <c r="E6273" s="630" t="s">
        <v>649</v>
      </c>
      <c r="F6273" s="829">
        <v>9.77</v>
      </c>
      <c r="G6273" s="830">
        <v>10.32</v>
      </c>
      <c r="H6273" s="831">
        <v>20.09</v>
      </c>
    </row>
    <row r="6274" spans="2:8" ht="38.25" hidden="1">
      <c r="B6274" s="828" t="s">
        <v>6536</v>
      </c>
      <c r="C6274" s="828">
        <v>87431</v>
      </c>
      <c r="D6274" s="630" t="s">
        <v>130</v>
      </c>
      <c r="E6274" s="630" t="s">
        <v>649</v>
      </c>
      <c r="F6274" s="829">
        <v>9.84</v>
      </c>
      <c r="G6274" s="830">
        <v>10.55</v>
      </c>
      <c r="H6274" s="831">
        <v>20.39</v>
      </c>
    </row>
    <row r="6275" spans="2:8" ht="38.25" hidden="1">
      <c r="B6275" s="828" t="s">
        <v>6536</v>
      </c>
      <c r="C6275" s="828">
        <v>87432</v>
      </c>
      <c r="D6275" s="630" t="s">
        <v>131</v>
      </c>
      <c r="E6275" s="630" t="s">
        <v>649</v>
      </c>
      <c r="F6275" s="829">
        <v>15.45</v>
      </c>
      <c r="G6275" s="830">
        <v>11.7</v>
      </c>
      <c r="H6275" s="831">
        <v>27.15</v>
      </c>
    </row>
    <row r="6276" spans="2:8" ht="38.25" hidden="1">
      <c r="B6276" s="828" t="s">
        <v>6536</v>
      </c>
      <c r="C6276" s="828">
        <v>87433</v>
      </c>
      <c r="D6276" s="630" t="s">
        <v>132</v>
      </c>
      <c r="E6276" s="630" t="s">
        <v>649</v>
      </c>
      <c r="F6276" s="829">
        <v>15.719999999999999</v>
      </c>
      <c r="G6276" s="830">
        <v>12.62</v>
      </c>
      <c r="H6276" s="831">
        <v>28.34</v>
      </c>
    </row>
    <row r="6277" spans="2:8" ht="38.25" hidden="1">
      <c r="B6277" s="828" t="s">
        <v>6536</v>
      </c>
      <c r="C6277" s="828">
        <v>87434</v>
      </c>
      <c r="D6277" s="630" t="s">
        <v>133</v>
      </c>
      <c r="E6277" s="630" t="s">
        <v>649</v>
      </c>
      <c r="F6277" s="829">
        <v>15.899999999999999</v>
      </c>
      <c r="G6277" s="830">
        <v>13.27</v>
      </c>
      <c r="H6277" s="831">
        <v>29.17</v>
      </c>
    </row>
    <row r="6278" spans="2:8" ht="38.25" hidden="1">
      <c r="B6278" s="828" t="s">
        <v>6536</v>
      </c>
      <c r="C6278" s="828">
        <v>87435</v>
      </c>
      <c r="D6278" s="630" t="s">
        <v>134</v>
      </c>
      <c r="E6278" s="630" t="s">
        <v>649</v>
      </c>
      <c r="F6278" s="829">
        <v>16.3</v>
      </c>
      <c r="G6278" s="830">
        <v>14.6</v>
      </c>
      <c r="H6278" s="831">
        <v>30.9</v>
      </c>
    </row>
    <row r="6279" spans="2:8" ht="38.25" hidden="1">
      <c r="B6279" s="828" t="s">
        <v>6536</v>
      </c>
      <c r="C6279" s="828">
        <v>87436</v>
      </c>
      <c r="D6279" s="630" t="s">
        <v>135</v>
      </c>
      <c r="E6279" s="630" t="s">
        <v>649</v>
      </c>
      <c r="F6279" s="829">
        <v>16.75</v>
      </c>
      <c r="G6279" s="830">
        <v>16.16</v>
      </c>
      <c r="H6279" s="831">
        <v>32.909999999999997</v>
      </c>
    </row>
    <row r="6280" spans="2:8" ht="38.25" hidden="1">
      <c r="B6280" s="828" t="s">
        <v>6536</v>
      </c>
      <c r="C6280" s="828">
        <v>87437</v>
      </c>
      <c r="D6280" s="630" t="s">
        <v>22</v>
      </c>
      <c r="E6280" s="630" t="s">
        <v>649</v>
      </c>
      <c r="F6280" s="829">
        <v>17.07</v>
      </c>
      <c r="G6280" s="830">
        <v>17.260000000000002</v>
      </c>
      <c r="H6280" s="831">
        <v>34.33</v>
      </c>
    </row>
    <row r="6281" spans="2:8" ht="38.25" hidden="1">
      <c r="B6281" s="828" t="s">
        <v>6536</v>
      </c>
      <c r="C6281" s="828">
        <v>87438</v>
      </c>
      <c r="D6281" s="630" t="s">
        <v>23</v>
      </c>
      <c r="E6281" s="630" t="s">
        <v>649</v>
      </c>
      <c r="F6281" s="829">
        <v>20.76</v>
      </c>
      <c r="G6281" s="830">
        <v>16.93</v>
      </c>
      <c r="H6281" s="831">
        <v>37.69</v>
      </c>
    </row>
    <row r="6282" spans="2:8" ht="38.25" hidden="1">
      <c r="B6282" s="828" t="s">
        <v>6536</v>
      </c>
      <c r="C6282" s="828">
        <v>87439</v>
      </c>
      <c r="D6282" s="630" t="s">
        <v>24</v>
      </c>
      <c r="E6282" s="630" t="s">
        <v>649</v>
      </c>
      <c r="F6282" s="829">
        <v>21.35</v>
      </c>
      <c r="G6282" s="830">
        <v>18.899999999999999</v>
      </c>
      <c r="H6282" s="831">
        <v>40.25</v>
      </c>
    </row>
    <row r="6283" spans="2:8" ht="38.25" hidden="1">
      <c r="B6283" s="828" t="s">
        <v>6536</v>
      </c>
      <c r="C6283" s="828">
        <v>87440</v>
      </c>
      <c r="D6283" s="630" t="s">
        <v>25</v>
      </c>
      <c r="E6283" s="630" t="s">
        <v>649</v>
      </c>
      <c r="F6283" s="829">
        <v>21.61</v>
      </c>
      <c r="G6283" s="830">
        <v>19.829999999999998</v>
      </c>
      <c r="H6283" s="831">
        <v>41.44</v>
      </c>
    </row>
    <row r="6284" spans="2:8" ht="51" hidden="1">
      <c r="B6284" s="828" t="s">
        <v>6536</v>
      </c>
      <c r="C6284" s="828">
        <v>87527</v>
      </c>
      <c r="D6284" s="630" t="s">
        <v>1586</v>
      </c>
      <c r="E6284" s="630" t="s">
        <v>649</v>
      </c>
      <c r="F6284" s="829">
        <v>19.05</v>
      </c>
      <c r="G6284" s="830">
        <v>20.76</v>
      </c>
      <c r="H6284" s="831">
        <v>39.81</v>
      </c>
    </row>
    <row r="6285" spans="2:8" ht="51" hidden="1">
      <c r="B6285" s="828" t="s">
        <v>6536</v>
      </c>
      <c r="C6285" s="828">
        <v>87528</v>
      </c>
      <c r="D6285" s="630" t="s">
        <v>1587</v>
      </c>
      <c r="E6285" s="630" t="s">
        <v>649</v>
      </c>
      <c r="F6285" s="829">
        <v>20.48</v>
      </c>
      <c r="G6285" s="830">
        <v>24.98</v>
      </c>
      <c r="H6285" s="831">
        <v>45.46</v>
      </c>
    </row>
    <row r="6286" spans="2:8" ht="51" hidden="1">
      <c r="B6286" s="828" t="s">
        <v>6536</v>
      </c>
      <c r="C6286" s="828">
        <v>87529</v>
      </c>
      <c r="D6286" s="630" t="s">
        <v>1536</v>
      </c>
      <c r="E6286" s="630" t="s">
        <v>649</v>
      </c>
      <c r="F6286" s="829">
        <v>18.079999999999998</v>
      </c>
      <c r="G6286" s="830">
        <v>17.37</v>
      </c>
      <c r="H6286" s="831">
        <v>35.450000000000003</v>
      </c>
    </row>
    <row r="6287" spans="2:8" ht="38.25" hidden="1">
      <c r="B6287" s="828" t="s">
        <v>6536</v>
      </c>
      <c r="C6287" s="828">
        <v>87530</v>
      </c>
      <c r="D6287" s="630" t="s">
        <v>1537</v>
      </c>
      <c r="E6287" s="630" t="s">
        <v>649</v>
      </c>
      <c r="F6287" s="829">
        <v>19.5</v>
      </c>
      <c r="G6287" s="830">
        <v>21.6</v>
      </c>
      <c r="H6287" s="831">
        <v>41.1</v>
      </c>
    </row>
    <row r="6288" spans="2:8" ht="51" hidden="1">
      <c r="B6288" s="828" t="s">
        <v>6536</v>
      </c>
      <c r="C6288" s="828">
        <v>87531</v>
      </c>
      <c r="D6288" s="630" t="s">
        <v>1588</v>
      </c>
      <c r="E6288" s="630" t="s">
        <v>649</v>
      </c>
      <c r="F6288" s="829">
        <v>17.71</v>
      </c>
      <c r="G6288" s="830">
        <v>16.190000000000001</v>
      </c>
      <c r="H6288" s="832">
        <v>33.9</v>
      </c>
    </row>
    <row r="6289" spans="2:8" ht="51" hidden="1">
      <c r="B6289" s="828" t="s">
        <v>6536</v>
      </c>
      <c r="C6289" s="828">
        <v>87532</v>
      </c>
      <c r="D6289" s="630" t="s">
        <v>1589</v>
      </c>
      <c r="E6289" s="630" t="s">
        <v>649</v>
      </c>
      <c r="F6289" s="829">
        <v>19.13</v>
      </c>
      <c r="G6289" s="830">
        <v>20.420000000000002</v>
      </c>
      <c r="H6289" s="832">
        <v>39.549999999999997</v>
      </c>
    </row>
    <row r="6290" spans="2:8" ht="51" hidden="1">
      <c r="B6290" s="828" t="s">
        <v>6536</v>
      </c>
      <c r="C6290" s="828">
        <v>87535</v>
      </c>
      <c r="D6290" s="630" t="s">
        <v>1590</v>
      </c>
      <c r="E6290" s="630" t="s">
        <v>649</v>
      </c>
      <c r="F6290" s="829">
        <v>16.71</v>
      </c>
      <c r="G6290" s="830">
        <v>12.83</v>
      </c>
      <c r="H6290" s="832">
        <v>29.54</v>
      </c>
    </row>
    <row r="6291" spans="2:8" ht="51" hidden="1">
      <c r="B6291" s="828" t="s">
        <v>6536</v>
      </c>
      <c r="C6291" s="828">
        <v>87536</v>
      </c>
      <c r="D6291" s="630" t="s">
        <v>1591</v>
      </c>
      <c r="E6291" s="630" t="s">
        <v>649</v>
      </c>
      <c r="F6291" s="829">
        <v>18.14</v>
      </c>
      <c r="G6291" s="830">
        <v>17.05</v>
      </c>
      <c r="H6291" s="832">
        <v>35.19</v>
      </c>
    </row>
    <row r="6292" spans="2:8" ht="63.75" hidden="1">
      <c r="B6292" s="828" t="s">
        <v>6536</v>
      </c>
      <c r="C6292" s="828">
        <v>87537</v>
      </c>
      <c r="D6292" s="630" t="s">
        <v>1592</v>
      </c>
      <c r="E6292" s="630" t="s">
        <v>649</v>
      </c>
      <c r="F6292" s="829">
        <v>59.03</v>
      </c>
      <c r="G6292" s="830">
        <v>17.100000000000001</v>
      </c>
      <c r="H6292" s="832">
        <v>76.13</v>
      </c>
    </row>
    <row r="6293" spans="2:8" ht="51" hidden="1">
      <c r="B6293" s="828" t="s">
        <v>6536</v>
      </c>
      <c r="C6293" s="828">
        <v>87538</v>
      </c>
      <c r="D6293" s="630" t="s">
        <v>1538</v>
      </c>
      <c r="E6293" s="630" t="s">
        <v>649</v>
      </c>
      <c r="F6293" s="829">
        <v>58.22</v>
      </c>
      <c r="G6293" s="830">
        <v>14.17</v>
      </c>
      <c r="H6293" s="832">
        <v>72.39</v>
      </c>
    </row>
    <row r="6294" spans="2:8" ht="63.75" hidden="1">
      <c r="B6294" s="828" t="s">
        <v>6536</v>
      </c>
      <c r="C6294" s="828">
        <v>87539</v>
      </c>
      <c r="D6294" s="630" t="s">
        <v>1593</v>
      </c>
      <c r="E6294" s="630" t="s">
        <v>649</v>
      </c>
      <c r="F6294" s="829">
        <v>57.93</v>
      </c>
      <c r="G6294" s="830">
        <v>13.13</v>
      </c>
      <c r="H6294" s="832">
        <v>71.06</v>
      </c>
    </row>
    <row r="6295" spans="2:8" ht="63.75" hidden="1">
      <c r="B6295" s="828" t="s">
        <v>6536</v>
      </c>
      <c r="C6295" s="828">
        <v>87541</v>
      </c>
      <c r="D6295" s="630" t="s">
        <v>1594</v>
      </c>
      <c r="E6295" s="630" t="s">
        <v>649</v>
      </c>
      <c r="F6295" s="829">
        <v>57.09</v>
      </c>
      <c r="G6295" s="830">
        <v>10.220000000000001</v>
      </c>
      <c r="H6295" s="831">
        <v>67.31</v>
      </c>
    </row>
    <row r="6296" spans="2:8" ht="51" hidden="1">
      <c r="B6296" s="828" t="s">
        <v>6536</v>
      </c>
      <c r="C6296" s="828">
        <v>87543</v>
      </c>
      <c r="D6296" s="630" t="s">
        <v>2801</v>
      </c>
      <c r="E6296" s="630" t="s">
        <v>649</v>
      </c>
      <c r="F6296" s="829">
        <v>18.009999999999998</v>
      </c>
      <c r="G6296" s="830">
        <v>6.14</v>
      </c>
      <c r="H6296" s="831">
        <v>24.15</v>
      </c>
    </row>
    <row r="6297" spans="2:8" ht="51" hidden="1">
      <c r="B6297" s="828" t="s">
        <v>6536</v>
      </c>
      <c r="C6297" s="828">
        <v>87545</v>
      </c>
      <c r="D6297" s="630" t="s">
        <v>1486</v>
      </c>
      <c r="E6297" s="630" t="s">
        <v>649</v>
      </c>
      <c r="F6297" s="829">
        <v>11.94</v>
      </c>
      <c r="G6297" s="830">
        <v>15.8</v>
      </c>
      <c r="H6297" s="831">
        <v>27.74</v>
      </c>
    </row>
    <row r="6298" spans="2:8" ht="51" hidden="1">
      <c r="B6298" s="828" t="s">
        <v>6536</v>
      </c>
      <c r="C6298" s="828">
        <v>87546</v>
      </c>
      <c r="D6298" s="630" t="s">
        <v>1487</v>
      </c>
      <c r="E6298" s="630" t="s">
        <v>649</v>
      </c>
      <c r="F6298" s="829">
        <v>12.78</v>
      </c>
      <c r="G6298" s="830">
        <v>18.16</v>
      </c>
      <c r="H6298" s="831">
        <v>30.94</v>
      </c>
    </row>
    <row r="6299" spans="2:8" ht="51" hidden="1">
      <c r="B6299" s="828" t="s">
        <v>6536</v>
      </c>
      <c r="C6299" s="828">
        <v>87547</v>
      </c>
      <c r="D6299" s="630" t="s">
        <v>1539</v>
      </c>
      <c r="E6299" s="630" t="s">
        <v>649</v>
      </c>
      <c r="F6299" s="829">
        <v>10.95</v>
      </c>
      <c r="G6299" s="830">
        <v>12.46</v>
      </c>
      <c r="H6299" s="831">
        <v>23.41</v>
      </c>
    </row>
    <row r="6300" spans="2:8" ht="38.25" hidden="1">
      <c r="B6300" s="828" t="s">
        <v>6536</v>
      </c>
      <c r="C6300" s="828">
        <v>87548</v>
      </c>
      <c r="D6300" s="630" t="s">
        <v>1540</v>
      </c>
      <c r="E6300" s="630" t="s">
        <v>649</v>
      </c>
      <c r="F6300" s="829">
        <v>11.79</v>
      </c>
      <c r="G6300" s="830">
        <v>14.82</v>
      </c>
      <c r="H6300" s="831">
        <v>26.61</v>
      </c>
    </row>
    <row r="6301" spans="2:8" ht="51" hidden="1">
      <c r="B6301" s="828" t="s">
        <v>6536</v>
      </c>
      <c r="C6301" s="828">
        <v>87549</v>
      </c>
      <c r="D6301" s="630" t="s">
        <v>1488</v>
      </c>
      <c r="E6301" s="630" t="s">
        <v>649</v>
      </c>
      <c r="F6301" s="829">
        <v>10.59</v>
      </c>
      <c r="G6301" s="830">
        <v>11.25</v>
      </c>
      <c r="H6301" s="831">
        <v>21.84</v>
      </c>
    </row>
    <row r="6302" spans="2:8" ht="51" hidden="1">
      <c r="B6302" s="828" t="s">
        <v>6536</v>
      </c>
      <c r="C6302" s="828">
        <v>87550</v>
      </c>
      <c r="D6302" s="630" t="s">
        <v>1489</v>
      </c>
      <c r="E6302" s="630" t="s">
        <v>649</v>
      </c>
      <c r="F6302" s="829">
        <v>11.43</v>
      </c>
      <c r="G6302" s="830">
        <v>13.61</v>
      </c>
      <c r="H6302" s="831">
        <v>25.04</v>
      </c>
    </row>
    <row r="6303" spans="2:8" ht="51" hidden="1">
      <c r="B6303" s="828" t="s">
        <v>6536</v>
      </c>
      <c r="C6303" s="828">
        <v>87553</v>
      </c>
      <c r="D6303" s="630" t="s">
        <v>1490</v>
      </c>
      <c r="E6303" s="630" t="s">
        <v>649</v>
      </c>
      <c r="F6303" s="829">
        <v>9.6199999999999992</v>
      </c>
      <c r="G6303" s="830">
        <v>7.86</v>
      </c>
      <c r="H6303" s="831">
        <v>17.48</v>
      </c>
    </row>
    <row r="6304" spans="2:8" ht="51" hidden="1">
      <c r="B6304" s="828" t="s">
        <v>6536</v>
      </c>
      <c r="C6304" s="828">
        <v>87554</v>
      </c>
      <c r="D6304" s="630" t="s">
        <v>1491</v>
      </c>
      <c r="E6304" s="630" t="s">
        <v>649</v>
      </c>
      <c r="F6304" s="829">
        <v>10.45</v>
      </c>
      <c r="G6304" s="830">
        <v>10.23</v>
      </c>
      <c r="H6304" s="831">
        <v>20.68</v>
      </c>
    </row>
    <row r="6305" spans="2:8" ht="63.75" hidden="1">
      <c r="B6305" s="828" t="s">
        <v>6536</v>
      </c>
      <c r="C6305" s="828">
        <v>87555</v>
      </c>
      <c r="D6305" s="630" t="s">
        <v>1492</v>
      </c>
      <c r="E6305" s="630" t="s">
        <v>649</v>
      </c>
      <c r="F6305" s="829">
        <v>34.28</v>
      </c>
      <c r="G6305" s="830">
        <v>12.71</v>
      </c>
      <c r="H6305" s="831">
        <v>46.99</v>
      </c>
    </row>
    <row r="6306" spans="2:8" ht="51" hidden="1">
      <c r="B6306" s="828" t="s">
        <v>6536</v>
      </c>
      <c r="C6306" s="828">
        <v>87556</v>
      </c>
      <c r="D6306" s="630" t="s">
        <v>1541</v>
      </c>
      <c r="E6306" s="630" t="s">
        <v>649</v>
      </c>
      <c r="F6306" s="829">
        <v>33.47</v>
      </c>
      <c r="G6306" s="830">
        <v>9.8000000000000007</v>
      </c>
      <c r="H6306" s="831">
        <v>43.27</v>
      </c>
    </row>
    <row r="6307" spans="2:8" ht="63.75" hidden="1">
      <c r="B6307" s="828" t="s">
        <v>6536</v>
      </c>
      <c r="C6307" s="828">
        <v>87557</v>
      </c>
      <c r="D6307" s="630" t="s">
        <v>1493</v>
      </c>
      <c r="E6307" s="630" t="s">
        <v>649</v>
      </c>
      <c r="F6307" s="829">
        <v>33.17</v>
      </c>
      <c r="G6307" s="830">
        <v>8.74</v>
      </c>
      <c r="H6307" s="831">
        <v>41.91</v>
      </c>
    </row>
    <row r="6308" spans="2:8" ht="63.75" hidden="1">
      <c r="B6308" s="828" t="s">
        <v>6536</v>
      </c>
      <c r="C6308" s="828">
        <v>87559</v>
      </c>
      <c r="D6308" s="630" t="s">
        <v>1494</v>
      </c>
      <c r="E6308" s="630" t="s">
        <v>649</v>
      </c>
      <c r="F6308" s="829">
        <v>32.36</v>
      </c>
      <c r="G6308" s="830">
        <v>5.81</v>
      </c>
      <c r="H6308" s="831">
        <v>38.17</v>
      </c>
    </row>
    <row r="6309" spans="2:8" ht="63.75" hidden="1">
      <c r="B6309" s="828" t="s">
        <v>6536</v>
      </c>
      <c r="C6309" s="828">
        <v>87561</v>
      </c>
      <c r="D6309" s="630" t="s">
        <v>1542</v>
      </c>
      <c r="E6309" s="630" t="s">
        <v>649</v>
      </c>
      <c r="F6309" s="829">
        <v>33.24</v>
      </c>
      <c r="G6309" s="830">
        <v>9</v>
      </c>
      <c r="H6309" s="832">
        <v>42.24</v>
      </c>
    </row>
    <row r="6310" spans="2:8" ht="38.25" hidden="1">
      <c r="B6310" s="828" t="s">
        <v>6536</v>
      </c>
      <c r="C6310" s="828">
        <v>87775</v>
      </c>
      <c r="D6310" s="630" t="s">
        <v>319</v>
      </c>
      <c r="E6310" s="630" t="s">
        <v>649</v>
      </c>
      <c r="F6310" s="829">
        <v>25.16</v>
      </c>
      <c r="G6310" s="830">
        <v>34.94</v>
      </c>
      <c r="H6310" s="832">
        <v>60.1</v>
      </c>
    </row>
    <row r="6311" spans="2:8" ht="38.25" hidden="1">
      <c r="B6311" s="828" t="s">
        <v>6536</v>
      </c>
      <c r="C6311" s="828">
        <v>87777</v>
      </c>
      <c r="D6311" s="630" t="s">
        <v>320</v>
      </c>
      <c r="E6311" s="630" t="s">
        <v>649</v>
      </c>
      <c r="F6311" s="829">
        <v>26.37</v>
      </c>
      <c r="G6311" s="830">
        <v>38.450000000000003</v>
      </c>
      <c r="H6311" s="832">
        <v>64.819999999999993</v>
      </c>
    </row>
    <row r="6312" spans="2:8" ht="51" hidden="1">
      <c r="B6312" s="828" t="s">
        <v>6536</v>
      </c>
      <c r="C6312" s="828">
        <v>87778</v>
      </c>
      <c r="D6312" s="630" t="s">
        <v>321</v>
      </c>
      <c r="E6312" s="630" t="s">
        <v>649</v>
      </c>
      <c r="F6312" s="829">
        <v>57.86</v>
      </c>
      <c r="G6312" s="830">
        <v>29.36</v>
      </c>
      <c r="H6312" s="832">
        <v>87.22</v>
      </c>
    </row>
    <row r="6313" spans="2:8" ht="38.25" hidden="1">
      <c r="B6313" s="828" t="s">
        <v>6536</v>
      </c>
      <c r="C6313" s="828">
        <v>87779</v>
      </c>
      <c r="D6313" s="630" t="s">
        <v>322</v>
      </c>
      <c r="E6313" s="630" t="s">
        <v>649</v>
      </c>
      <c r="F6313" s="829">
        <v>30.169999999999998</v>
      </c>
      <c r="G6313" s="830">
        <v>39.1</v>
      </c>
      <c r="H6313" s="832">
        <v>69.27</v>
      </c>
    </row>
    <row r="6314" spans="2:8" ht="38.25" hidden="1">
      <c r="B6314" s="828" t="s">
        <v>6536</v>
      </c>
      <c r="C6314" s="828">
        <v>87781</v>
      </c>
      <c r="D6314" s="630" t="s">
        <v>323</v>
      </c>
      <c r="E6314" s="630" t="s">
        <v>649</v>
      </c>
      <c r="F6314" s="829">
        <v>31.79</v>
      </c>
      <c r="G6314" s="830">
        <v>43.81</v>
      </c>
      <c r="H6314" s="832">
        <v>75.599999999999994</v>
      </c>
    </row>
    <row r="6315" spans="2:8" ht="51" hidden="1">
      <c r="B6315" s="828" t="s">
        <v>6536</v>
      </c>
      <c r="C6315" s="828">
        <v>87783</v>
      </c>
      <c r="D6315" s="630" t="s">
        <v>324</v>
      </c>
      <c r="E6315" s="630" t="s">
        <v>649</v>
      </c>
      <c r="F6315" s="829">
        <v>74.58</v>
      </c>
      <c r="G6315" s="830">
        <v>33.46</v>
      </c>
      <c r="H6315" s="832">
        <v>108.04</v>
      </c>
    </row>
    <row r="6316" spans="2:8" ht="38.25" hidden="1">
      <c r="B6316" s="828" t="s">
        <v>6536</v>
      </c>
      <c r="C6316" s="828">
        <v>87784</v>
      </c>
      <c r="D6316" s="630" t="s">
        <v>325</v>
      </c>
      <c r="E6316" s="630" t="s">
        <v>649</v>
      </c>
      <c r="F6316" s="829">
        <v>35.169999999999995</v>
      </c>
      <c r="G6316" s="830">
        <v>43.27</v>
      </c>
      <c r="H6316" s="832">
        <v>78.44</v>
      </c>
    </row>
    <row r="6317" spans="2:8" ht="38.25" hidden="1">
      <c r="B6317" s="828" t="s">
        <v>6536</v>
      </c>
      <c r="C6317" s="828">
        <v>87786</v>
      </c>
      <c r="D6317" s="630" t="s">
        <v>326</v>
      </c>
      <c r="E6317" s="630" t="s">
        <v>649</v>
      </c>
      <c r="F6317" s="829">
        <v>37.22</v>
      </c>
      <c r="G6317" s="830">
        <v>49.15</v>
      </c>
      <c r="H6317" s="832">
        <v>86.37</v>
      </c>
    </row>
    <row r="6318" spans="2:8" ht="51" hidden="1">
      <c r="B6318" s="828" t="s">
        <v>6536</v>
      </c>
      <c r="C6318" s="828">
        <v>87787</v>
      </c>
      <c r="D6318" s="630" t="s">
        <v>327</v>
      </c>
      <c r="E6318" s="630" t="s">
        <v>649</v>
      </c>
      <c r="F6318" s="829">
        <v>91.3</v>
      </c>
      <c r="G6318" s="830">
        <v>37.58</v>
      </c>
      <c r="H6318" s="832">
        <v>128.88</v>
      </c>
    </row>
    <row r="6319" spans="2:8" ht="51" hidden="1">
      <c r="B6319" s="828" t="s">
        <v>6536</v>
      </c>
      <c r="C6319" s="828">
        <v>87788</v>
      </c>
      <c r="D6319" s="630" t="s">
        <v>328</v>
      </c>
      <c r="E6319" s="630" t="s">
        <v>649</v>
      </c>
      <c r="F6319" s="829">
        <v>42.220000000000006</v>
      </c>
      <c r="G6319" s="830">
        <v>59.92</v>
      </c>
      <c r="H6319" s="832">
        <v>102.14</v>
      </c>
    </row>
    <row r="6320" spans="2:8" ht="38.25" hidden="1">
      <c r="B6320" s="828" t="s">
        <v>6536</v>
      </c>
      <c r="C6320" s="828">
        <v>87790</v>
      </c>
      <c r="D6320" s="630" t="s">
        <v>329</v>
      </c>
      <c r="E6320" s="630" t="s">
        <v>649</v>
      </c>
      <c r="F6320" s="829">
        <v>44.48</v>
      </c>
      <c r="G6320" s="830">
        <v>66.39</v>
      </c>
      <c r="H6320" s="832">
        <v>110.87</v>
      </c>
    </row>
    <row r="6321" spans="2:8" ht="51" hidden="1">
      <c r="B6321" s="828" t="s">
        <v>6536</v>
      </c>
      <c r="C6321" s="828">
        <v>87791</v>
      </c>
      <c r="D6321" s="630" t="s">
        <v>330</v>
      </c>
      <c r="E6321" s="630" t="s">
        <v>649</v>
      </c>
      <c r="F6321" s="829">
        <v>102.99</v>
      </c>
      <c r="G6321" s="830">
        <v>50.44</v>
      </c>
      <c r="H6321" s="832">
        <v>153.43</v>
      </c>
    </row>
    <row r="6322" spans="2:8" ht="51" hidden="1">
      <c r="B6322" s="828" t="s">
        <v>6536</v>
      </c>
      <c r="C6322" s="828">
        <v>87792</v>
      </c>
      <c r="D6322" s="630" t="s">
        <v>331</v>
      </c>
      <c r="E6322" s="630" t="s">
        <v>649</v>
      </c>
      <c r="F6322" s="829">
        <v>19.880000000000003</v>
      </c>
      <c r="G6322" s="830">
        <v>18.96</v>
      </c>
      <c r="H6322" s="832">
        <v>38.840000000000003</v>
      </c>
    </row>
    <row r="6323" spans="2:8" ht="38.25" hidden="1">
      <c r="B6323" s="828" t="s">
        <v>6536</v>
      </c>
      <c r="C6323" s="828">
        <v>87794</v>
      </c>
      <c r="D6323" s="630" t="s">
        <v>332</v>
      </c>
      <c r="E6323" s="630" t="s">
        <v>649</v>
      </c>
      <c r="F6323" s="829">
        <v>21</v>
      </c>
      <c r="G6323" s="830">
        <v>22.24</v>
      </c>
      <c r="H6323" s="832">
        <v>43.24</v>
      </c>
    </row>
    <row r="6324" spans="2:8" ht="51" hidden="1">
      <c r="B6324" s="828" t="s">
        <v>6536</v>
      </c>
      <c r="C6324" s="828">
        <v>87795</v>
      </c>
      <c r="D6324" s="630" t="s">
        <v>333</v>
      </c>
      <c r="E6324" s="630" t="s">
        <v>649</v>
      </c>
      <c r="F6324" s="829">
        <v>50.279999999999994</v>
      </c>
      <c r="G6324" s="830">
        <v>13.39</v>
      </c>
      <c r="H6324" s="832">
        <v>63.67</v>
      </c>
    </row>
    <row r="6325" spans="2:8" ht="51" hidden="1">
      <c r="B6325" s="828" t="s">
        <v>6536</v>
      </c>
      <c r="C6325" s="828">
        <v>87797</v>
      </c>
      <c r="D6325" s="630" t="s">
        <v>334</v>
      </c>
      <c r="E6325" s="630" t="s">
        <v>649</v>
      </c>
      <c r="F6325" s="829">
        <v>24.619999999999997</v>
      </c>
      <c r="G6325" s="830">
        <v>23.08</v>
      </c>
      <c r="H6325" s="832">
        <v>47.7</v>
      </c>
    </row>
    <row r="6326" spans="2:8" ht="38.25" hidden="1">
      <c r="B6326" s="828" t="s">
        <v>6536</v>
      </c>
      <c r="C6326" s="828">
        <v>87799</v>
      </c>
      <c r="D6326" s="630" t="s">
        <v>335</v>
      </c>
      <c r="E6326" s="630" t="s">
        <v>649</v>
      </c>
      <c r="F6326" s="829">
        <v>26.11</v>
      </c>
      <c r="G6326" s="830">
        <v>27.49</v>
      </c>
      <c r="H6326" s="832">
        <v>53.6</v>
      </c>
    </row>
    <row r="6327" spans="2:8" ht="51" hidden="1">
      <c r="B6327" s="828" t="s">
        <v>6536</v>
      </c>
      <c r="C6327" s="828">
        <v>87800</v>
      </c>
      <c r="D6327" s="630" t="s">
        <v>136</v>
      </c>
      <c r="E6327" s="630" t="s">
        <v>649</v>
      </c>
      <c r="F6327" s="829">
        <v>65.969999999999985</v>
      </c>
      <c r="G6327" s="830">
        <v>17.45</v>
      </c>
      <c r="H6327" s="832">
        <v>83.42</v>
      </c>
    </row>
    <row r="6328" spans="2:8" ht="51" hidden="1">
      <c r="B6328" s="828" t="s">
        <v>6536</v>
      </c>
      <c r="C6328" s="828">
        <v>87801</v>
      </c>
      <c r="D6328" s="630" t="s">
        <v>137</v>
      </c>
      <c r="E6328" s="630" t="s">
        <v>649</v>
      </c>
      <c r="F6328" s="829">
        <v>29.35</v>
      </c>
      <c r="G6328" s="830">
        <v>27.2</v>
      </c>
      <c r="H6328" s="832">
        <v>56.55</v>
      </c>
    </row>
    <row r="6329" spans="2:8" ht="38.25" hidden="1">
      <c r="B6329" s="828" t="s">
        <v>6536</v>
      </c>
      <c r="C6329" s="828">
        <v>87803</v>
      </c>
      <c r="D6329" s="630" t="s">
        <v>138</v>
      </c>
      <c r="E6329" s="630" t="s">
        <v>649</v>
      </c>
      <c r="F6329" s="829">
        <v>31.25</v>
      </c>
      <c r="G6329" s="830">
        <v>32.71</v>
      </c>
      <c r="H6329" s="832">
        <v>63.96</v>
      </c>
    </row>
    <row r="6330" spans="2:8" ht="51" hidden="1">
      <c r="B6330" s="828" t="s">
        <v>6536</v>
      </c>
      <c r="C6330" s="828">
        <v>87804</v>
      </c>
      <c r="D6330" s="630" t="s">
        <v>46</v>
      </c>
      <c r="E6330" s="630" t="s">
        <v>649</v>
      </c>
      <c r="F6330" s="829">
        <v>81.650000000000006</v>
      </c>
      <c r="G6330" s="830">
        <v>21.53</v>
      </c>
      <c r="H6330" s="832">
        <v>103.18</v>
      </c>
    </row>
    <row r="6331" spans="2:8" ht="51" hidden="1">
      <c r="B6331" s="828" t="s">
        <v>6536</v>
      </c>
      <c r="C6331" s="828">
        <v>87805</v>
      </c>
      <c r="D6331" s="630" t="s">
        <v>47</v>
      </c>
      <c r="E6331" s="630" t="s">
        <v>649</v>
      </c>
      <c r="F6331" s="829">
        <v>32.799999999999997</v>
      </c>
      <c r="G6331" s="830">
        <v>32.56</v>
      </c>
      <c r="H6331" s="832">
        <v>65.36</v>
      </c>
    </row>
    <row r="6332" spans="2:8" ht="38.25" hidden="1">
      <c r="B6332" s="828" t="s">
        <v>6536</v>
      </c>
      <c r="C6332" s="828">
        <v>87807</v>
      </c>
      <c r="D6332" s="630" t="s">
        <v>48</v>
      </c>
      <c r="E6332" s="630" t="s">
        <v>649</v>
      </c>
      <c r="F6332" s="829">
        <v>34.89</v>
      </c>
      <c r="G6332" s="830">
        <v>38.630000000000003</v>
      </c>
      <c r="H6332" s="832">
        <v>73.52</v>
      </c>
    </row>
    <row r="6333" spans="2:8" ht="51" hidden="1">
      <c r="B6333" s="828" t="s">
        <v>6536</v>
      </c>
      <c r="C6333" s="828">
        <v>87808</v>
      </c>
      <c r="D6333" s="630" t="s">
        <v>49</v>
      </c>
      <c r="E6333" s="630" t="s">
        <v>649</v>
      </c>
      <c r="F6333" s="829">
        <v>89.36999999999999</v>
      </c>
      <c r="G6333" s="830">
        <v>23.14</v>
      </c>
      <c r="H6333" s="832">
        <v>112.51</v>
      </c>
    </row>
    <row r="6334" spans="2:8" ht="51" hidden="1">
      <c r="B6334" s="828" t="s">
        <v>6536</v>
      </c>
      <c r="C6334" s="828">
        <v>87809</v>
      </c>
      <c r="D6334" s="630" t="s">
        <v>50</v>
      </c>
      <c r="E6334" s="630" t="s">
        <v>649</v>
      </c>
      <c r="F6334" s="829">
        <v>31.12</v>
      </c>
      <c r="G6334" s="830">
        <v>66.78</v>
      </c>
      <c r="H6334" s="832">
        <v>97.9</v>
      </c>
    </row>
    <row r="6335" spans="2:8" ht="51" hidden="1">
      <c r="B6335" s="828" t="s">
        <v>6536</v>
      </c>
      <c r="C6335" s="828">
        <v>87811</v>
      </c>
      <c r="D6335" s="630" t="s">
        <v>51</v>
      </c>
      <c r="E6335" s="630" t="s">
        <v>649</v>
      </c>
      <c r="F6335" s="829">
        <v>32.26</v>
      </c>
      <c r="G6335" s="830">
        <v>70.040000000000006</v>
      </c>
      <c r="H6335" s="831">
        <v>102.3</v>
      </c>
    </row>
    <row r="6336" spans="2:8" ht="51" hidden="1">
      <c r="B6336" s="828" t="s">
        <v>6536</v>
      </c>
      <c r="C6336" s="828">
        <v>87812</v>
      </c>
      <c r="D6336" s="630" t="s">
        <v>52</v>
      </c>
      <c r="E6336" s="630" t="s">
        <v>649</v>
      </c>
      <c r="F6336" s="829">
        <v>61.4</v>
      </c>
      <c r="G6336" s="830">
        <v>60.78</v>
      </c>
      <c r="H6336" s="831">
        <v>122.18</v>
      </c>
    </row>
    <row r="6337" spans="2:8" ht="51" hidden="1">
      <c r="B6337" s="828" t="s">
        <v>6536</v>
      </c>
      <c r="C6337" s="828">
        <v>87813</v>
      </c>
      <c r="D6337" s="630" t="s">
        <v>53</v>
      </c>
      <c r="E6337" s="630" t="s">
        <v>649</v>
      </c>
      <c r="F6337" s="829">
        <v>35.880000000000003</v>
      </c>
      <c r="G6337" s="830">
        <v>70.87</v>
      </c>
      <c r="H6337" s="831">
        <v>106.75</v>
      </c>
    </row>
    <row r="6338" spans="2:8" ht="51" hidden="1">
      <c r="B6338" s="828" t="s">
        <v>6536</v>
      </c>
      <c r="C6338" s="828">
        <v>87815</v>
      </c>
      <c r="D6338" s="630" t="s">
        <v>54</v>
      </c>
      <c r="E6338" s="630" t="s">
        <v>649</v>
      </c>
      <c r="F6338" s="829">
        <v>37.380000000000003</v>
      </c>
      <c r="G6338" s="830">
        <v>75.27</v>
      </c>
      <c r="H6338" s="831">
        <v>112.65</v>
      </c>
    </row>
    <row r="6339" spans="2:8" ht="51" hidden="1">
      <c r="B6339" s="828" t="s">
        <v>6536</v>
      </c>
      <c r="C6339" s="828">
        <v>87816</v>
      </c>
      <c r="D6339" s="630" t="s">
        <v>55</v>
      </c>
      <c r="E6339" s="630" t="s">
        <v>649</v>
      </c>
      <c r="F6339" s="829">
        <v>77.069999999999993</v>
      </c>
      <c r="G6339" s="830">
        <v>64.86</v>
      </c>
      <c r="H6339" s="831">
        <v>141.93</v>
      </c>
    </row>
    <row r="6340" spans="2:8" ht="51" hidden="1">
      <c r="B6340" s="828" t="s">
        <v>6536</v>
      </c>
      <c r="C6340" s="828">
        <v>87817</v>
      </c>
      <c r="D6340" s="630" t="s">
        <v>56</v>
      </c>
      <c r="E6340" s="630" t="s">
        <v>649</v>
      </c>
      <c r="F6340" s="829">
        <v>40.47</v>
      </c>
      <c r="G6340" s="830">
        <v>74.59</v>
      </c>
      <c r="H6340" s="831">
        <v>115.06</v>
      </c>
    </row>
    <row r="6341" spans="2:8" ht="51" hidden="1">
      <c r="B6341" s="828" t="s">
        <v>6536</v>
      </c>
      <c r="C6341" s="828">
        <v>87819</v>
      </c>
      <c r="D6341" s="630" t="s">
        <v>147</v>
      </c>
      <c r="E6341" s="630" t="s">
        <v>649</v>
      </c>
      <c r="F6341" s="829">
        <v>42.39</v>
      </c>
      <c r="G6341" s="830">
        <v>80.08</v>
      </c>
      <c r="H6341" s="831">
        <v>122.47</v>
      </c>
    </row>
    <row r="6342" spans="2:8" ht="51" hidden="1">
      <c r="B6342" s="828" t="s">
        <v>6536</v>
      </c>
      <c r="C6342" s="828">
        <v>87820</v>
      </c>
      <c r="D6342" s="630" t="s">
        <v>148</v>
      </c>
      <c r="E6342" s="630" t="s">
        <v>649</v>
      </c>
      <c r="F6342" s="829">
        <v>92.77</v>
      </c>
      <c r="G6342" s="830">
        <v>68.92</v>
      </c>
      <c r="H6342" s="831">
        <v>161.69</v>
      </c>
    </row>
    <row r="6343" spans="2:8" ht="51" hidden="1">
      <c r="B6343" s="828" t="s">
        <v>6536</v>
      </c>
      <c r="C6343" s="828">
        <v>87821</v>
      </c>
      <c r="D6343" s="630" t="s">
        <v>149</v>
      </c>
      <c r="E6343" s="630" t="s">
        <v>649</v>
      </c>
      <c r="F6343" s="829">
        <v>54.55</v>
      </c>
      <c r="G6343" s="830">
        <v>113.62</v>
      </c>
      <c r="H6343" s="831">
        <v>168.17</v>
      </c>
    </row>
    <row r="6344" spans="2:8" ht="51" hidden="1">
      <c r="B6344" s="828" t="s">
        <v>6536</v>
      </c>
      <c r="C6344" s="828">
        <v>87823</v>
      </c>
      <c r="D6344" s="630" t="s">
        <v>150</v>
      </c>
      <c r="E6344" s="630" t="s">
        <v>649</v>
      </c>
      <c r="F6344" s="829">
        <v>56.66</v>
      </c>
      <c r="G6344" s="830">
        <v>119.67</v>
      </c>
      <c r="H6344" s="831">
        <v>176.33</v>
      </c>
    </row>
    <row r="6345" spans="2:8" ht="51" hidden="1">
      <c r="B6345" s="828" t="s">
        <v>6536</v>
      </c>
      <c r="C6345" s="828">
        <v>87824</v>
      </c>
      <c r="D6345" s="630" t="s">
        <v>151</v>
      </c>
      <c r="E6345" s="630" t="s">
        <v>649</v>
      </c>
      <c r="F6345" s="829">
        <v>111.02</v>
      </c>
      <c r="G6345" s="830">
        <v>103.76</v>
      </c>
      <c r="H6345" s="831">
        <v>214.78</v>
      </c>
    </row>
    <row r="6346" spans="2:8" ht="51" hidden="1">
      <c r="B6346" s="828" t="s">
        <v>6536</v>
      </c>
      <c r="C6346" s="828">
        <v>87825</v>
      </c>
      <c r="D6346" s="630" t="s">
        <v>152</v>
      </c>
      <c r="E6346" s="630" t="s">
        <v>649</v>
      </c>
      <c r="F6346" s="829">
        <v>27.51</v>
      </c>
      <c r="G6346" s="830">
        <v>48.18</v>
      </c>
      <c r="H6346" s="831">
        <v>75.69</v>
      </c>
    </row>
    <row r="6347" spans="2:8" ht="51" hidden="1">
      <c r="B6347" s="828" t="s">
        <v>6536</v>
      </c>
      <c r="C6347" s="828">
        <v>87827</v>
      </c>
      <c r="D6347" s="630" t="s">
        <v>153</v>
      </c>
      <c r="E6347" s="630" t="s">
        <v>649</v>
      </c>
      <c r="F6347" s="829">
        <v>28.9</v>
      </c>
      <c r="G6347" s="830">
        <v>52.18</v>
      </c>
      <c r="H6347" s="831">
        <v>81.08</v>
      </c>
    </row>
    <row r="6348" spans="2:8" ht="51" hidden="1">
      <c r="B6348" s="828" t="s">
        <v>6536</v>
      </c>
      <c r="C6348" s="828">
        <v>87828</v>
      </c>
      <c r="D6348" s="630" t="s">
        <v>154</v>
      </c>
      <c r="E6348" s="630" t="s">
        <v>649</v>
      </c>
      <c r="F6348" s="829">
        <v>65.14</v>
      </c>
      <c r="G6348" s="830">
        <v>42.58</v>
      </c>
      <c r="H6348" s="831">
        <v>107.72</v>
      </c>
    </row>
    <row r="6349" spans="2:8" ht="51" hidden="1">
      <c r="B6349" s="828" t="s">
        <v>6536</v>
      </c>
      <c r="C6349" s="828">
        <v>87829</v>
      </c>
      <c r="D6349" s="630" t="s">
        <v>155</v>
      </c>
      <c r="E6349" s="630" t="s">
        <v>649</v>
      </c>
      <c r="F6349" s="829">
        <v>33.07</v>
      </c>
      <c r="G6349" s="830">
        <v>52.46</v>
      </c>
      <c r="H6349" s="831">
        <v>85.53</v>
      </c>
    </row>
    <row r="6350" spans="2:8" ht="51" hidden="1">
      <c r="B6350" s="828" t="s">
        <v>6536</v>
      </c>
      <c r="C6350" s="828">
        <v>87831</v>
      </c>
      <c r="D6350" s="630" t="s">
        <v>156</v>
      </c>
      <c r="E6350" s="630" t="s">
        <v>649</v>
      </c>
      <c r="F6350" s="829">
        <v>34.94</v>
      </c>
      <c r="G6350" s="830">
        <v>57.82</v>
      </c>
      <c r="H6350" s="831">
        <v>92.76</v>
      </c>
    </row>
    <row r="6351" spans="2:8" ht="51" hidden="1">
      <c r="B6351" s="828" t="s">
        <v>6536</v>
      </c>
      <c r="C6351" s="828">
        <v>87832</v>
      </c>
      <c r="D6351" s="630" t="s">
        <v>26</v>
      </c>
      <c r="E6351" s="630" t="s">
        <v>649</v>
      </c>
      <c r="F6351" s="829">
        <v>84.049999999999983</v>
      </c>
      <c r="G6351" s="830">
        <v>46.79</v>
      </c>
      <c r="H6351" s="831">
        <v>130.84</v>
      </c>
    </row>
    <row r="6352" spans="2:8" ht="38.25" hidden="1">
      <c r="B6352" s="828" t="s">
        <v>6536</v>
      </c>
      <c r="C6352" s="828">
        <v>87834</v>
      </c>
      <c r="D6352" s="630" t="s">
        <v>27</v>
      </c>
      <c r="E6352" s="630" t="s">
        <v>649</v>
      </c>
      <c r="F6352" s="829">
        <v>153.48000000000002</v>
      </c>
      <c r="G6352" s="830">
        <v>19.79</v>
      </c>
      <c r="H6352" s="831">
        <v>173.27</v>
      </c>
    </row>
    <row r="6353" spans="2:8" ht="38.25" hidden="1">
      <c r="B6353" s="828" t="s">
        <v>6536</v>
      </c>
      <c r="C6353" s="828">
        <v>87835</v>
      </c>
      <c r="D6353" s="630" t="s">
        <v>1543</v>
      </c>
      <c r="E6353" s="630" t="s">
        <v>649</v>
      </c>
      <c r="F6353" s="829">
        <v>105.50999999999999</v>
      </c>
      <c r="G6353" s="830">
        <v>16.16</v>
      </c>
      <c r="H6353" s="831">
        <v>121.67</v>
      </c>
    </row>
    <row r="6354" spans="2:8" ht="51" hidden="1">
      <c r="B6354" s="828" t="s">
        <v>6536</v>
      </c>
      <c r="C6354" s="828">
        <v>87836</v>
      </c>
      <c r="D6354" s="630" t="s">
        <v>1544</v>
      </c>
      <c r="E6354" s="630" t="s">
        <v>649</v>
      </c>
      <c r="F6354" s="829">
        <v>150.76999999999998</v>
      </c>
      <c r="G6354" s="830">
        <v>13.26</v>
      </c>
      <c r="H6354" s="831">
        <v>164.03</v>
      </c>
    </row>
    <row r="6355" spans="2:8" ht="51" hidden="1">
      <c r="B6355" s="828" t="s">
        <v>6536</v>
      </c>
      <c r="C6355" s="828">
        <v>87837</v>
      </c>
      <c r="D6355" s="630" t="s">
        <v>1545</v>
      </c>
      <c r="E6355" s="630" t="s">
        <v>649</v>
      </c>
      <c r="F6355" s="829">
        <v>103.26</v>
      </c>
      <c r="G6355" s="830">
        <v>10.18</v>
      </c>
      <c r="H6355" s="831">
        <v>113.44</v>
      </c>
    </row>
    <row r="6356" spans="2:8" ht="38.25" hidden="1">
      <c r="B6356" s="828" t="s">
        <v>6536</v>
      </c>
      <c r="C6356" s="828">
        <v>87838</v>
      </c>
      <c r="D6356" s="630" t="s">
        <v>1695</v>
      </c>
      <c r="E6356" s="630" t="s">
        <v>649</v>
      </c>
      <c r="F6356" s="829">
        <v>156.44</v>
      </c>
      <c r="G6356" s="830">
        <v>24.41</v>
      </c>
      <c r="H6356" s="831">
        <v>180.85</v>
      </c>
    </row>
    <row r="6357" spans="2:8" ht="38.25" hidden="1">
      <c r="B6357" s="828" t="s">
        <v>6536</v>
      </c>
      <c r="C6357" s="828">
        <v>87839</v>
      </c>
      <c r="D6357" s="630" t="s">
        <v>1696</v>
      </c>
      <c r="E6357" s="630" t="s">
        <v>649</v>
      </c>
      <c r="F6357" s="829">
        <v>107.25999999999999</v>
      </c>
      <c r="G6357" s="830">
        <v>20.81</v>
      </c>
      <c r="H6357" s="831">
        <v>128.07</v>
      </c>
    </row>
    <row r="6358" spans="2:8" ht="51" hidden="1">
      <c r="B6358" s="828" t="s">
        <v>6536</v>
      </c>
      <c r="C6358" s="828">
        <v>87840</v>
      </c>
      <c r="D6358" s="630" t="s">
        <v>1697</v>
      </c>
      <c r="E6358" s="630" t="s">
        <v>649</v>
      </c>
      <c r="F6358" s="829">
        <v>153.15</v>
      </c>
      <c r="G6358" s="830">
        <v>16.3</v>
      </c>
      <c r="H6358" s="831">
        <v>169.45</v>
      </c>
    </row>
    <row r="6359" spans="2:8" ht="51" hidden="1">
      <c r="B6359" s="828" t="s">
        <v>6536</v>
      </c>
      <c r="C6359" s="828">
        <v>87841</v>
      </c>
      <c r="D6359" s="630" t="s">
        <v>1698</v>
      </c>
      <c r="E6359" s="630" t="s">
        <v>649</v>
      </c>
      <c r="F6359" s="829">
        <v>104.42</v>
      </c>
      <c r="G6359" s="830">
        <v>13.23</v>
      </c>
      <c r="H6359" s="831">
        <v>117.65</v>
      </c>
    </row>
    <row r="6360" spans="2:8" ht="38.25" hidden="1">
      <c r="B6360" s="828" t="s">
        <v>6536</v>
      </c>
      <c r="C6360" s="828">
        <v>87842</v>
      </c>
      <c r="D6360" s="630" t="s">
        <v>1699</v>
      </c>
      <c r="E6360" s="630" t="s">
        <v>649</v>
      </c>
      <c r="F6360" s="829">
        <v>153.16</v>
      </c>
      <c r="G6360" s="830">
        <v>36.409999999999997</v>
      </c>
      <c r="H6360" s="831">
        <v>189.57</v>
      </c>
    </row>
    <row r="6361" spans="2:8" ht="38.25" hidden="1">
      <c r="B6361" s="828" t="s">
        <v>6536</v>
      </c>
      <c r="C6361" s="828">
        <v>87843</v>
      </c>
      <c r="D6361" s="630" t="s">
        <v>1700</v>
      </c>
      <c r="E6361" s="630" t="s">
        <v>649</v>
      </c>
      <c r="F6361" s="829">
        <v>109.1</v>
      </c>
      <c r="G6361" s="830">
        <v>32.799999999999997</v>
      </c>
      <c r="H6361" s="831">
        <v>141.9</v>
      </c>
    </row>
    <row r="6362" spans="2:8" ht="51" hidden="1">
      <c r="B6362" s="828" t="s">
        <v>6536</v>
      </c>
      <c r="C6362" s="828">
        <v>87844</v>
      </c>
      <c r="D6362" s="630" t="s">
        <v>1701</v>
      </c>
      <c r="E6362" s="630" t="s">
        <v>649</v>
      </c>
      <c r="F6362" s="829">
        <v>148.26</v>
      </c>
      <c r="G6362" s="830">
        <v>24.13</v>
      </c>
      <c r="H6362" s="831">
        <v>172.39</v>
      </c>
    </row>
    <row r="6363" spans="2:8" ht="38.25" hidden="1">
      <c r="B6363" s="828" t="s">
        <v>6536</v>
      </c>
      <c r="C6363" s="828">
        <v>87845</v>
      </c>
      <c r="D6363" s="630" t="s">
        <v>1702</v>
      </c>
      <c r="E6363" s="630" t="s">
        <v>649</v>
      </c>
      <c r="F6363" s="829">
        <v>104.67</v>
      </c>
      <c r="G6363" s="830">
        <v>21.09</v>
      </c>
      <c r="H6363" s="831">
        <v>125.76</v>
      </c>
    </row>
    <row r="6364" spans="2:8" ht="38.25" hidden="1">
      <c r="B6364" s="828" t="s">
        <v>6536</v>
      </c>
      <c r="C6364" s="828">
        <v>87846</v>
      </c>
      <c r="D6364" s="630" t="s">
        <v>1703</v>
      </c>
      <c r="E6364" s="630" t="s">
        <v>649</v>
      </c>
      <c r="F6364" s="829">
        <v>164.68</v>
      </c>
      <c r="G6364" s="830">
        <v>24.29</v>
      </c>
      <c r="H6364" s="831">
        <v>188.97</v>
      </c>
    </row>
    <row r="6365" spans="2:8" ht="38.25" hidden="1">
      <c r="B6365" s="828" t="s">
        <v>6536</v>
      </c>
      <c r="C6365" s="828">
        <v>87847</v>
      </c>
      <c r="D6365" s="630" t="s">
        <v>1704</v>
      </c>
      <c r="E6365" s="630" t="s">
        <v>649</v>
      </c>
      <c r="F6365" s="829">
        <v>116.69999999999999</v>
      </c>
      <c r="G6365" s="830">
        <v>20.68</v>
      </c>
      <c r="H6365" s="831">
        <v>137.38</v>
      </c>
    </row>
    <row r="6366" spans="2:8" ht="51" hidden="1">
      <c r="B6366" s="828" t="s">
        <v>6536</v>
      </c>
      <c r="C6366" s="828">
        <v>87848</v>
      </c>
      <c r="D6366" s="630" t="s">
        <v>1960</v>
      </c>
      <c r="E6366" s="630" t="s">
        <v>649</v>
      </c>
      <c r="F6366" s="829">
        <v>161.71</v>
      </c>
      <c r="G6366" s="830">
        <v>16.38</v>
      </c>
      <c r="H6366" s="831">
        <v>178.09</v>
      </c>
    </row>
    <row r="6367" spans="2:8" ht="51" hidden="1">
      <c r="B6367" s="828" t="s">
        <v>6536</v>
      </c>
      <c r="C6367" s="828">
        <v>87849</v>
      </c>
      <c r="D6367" s="630" t="s">
        <v>1961</v>
      </c>
      <c r="E6367" s="630" t="s">
        <v>649</v>
      </c>
      <c r="F6367" s="829">
        <v>114.17</v>
      </c>
      <c r="G6367" s="830">
        <v>13.33</v>
      </c>
      <c r="H6367" s="831">
        <v>127.5</v>
      </c>
    </row>
    <row r="6368" spans="2:8" ht="38.25" hidden="1">
      <c r="B6368" s="828" t="s">
        <v>6536</v>
      </c>
      <c r="C6368" s="828">
        <v>87850</v>
      </c>
      <c r="D6368" s="630" t="s">
        <v>1962</v>
      </c>
      <c r="E6368" s="630" t="s">
        <v>649</v>
      </c>
      <c r="F6368" s="829">
        <v>167.66</v>
      </c>
      <c r="G6368" s="830">
        <v>28.93</v>
      </c>
      <c r="H6368" s="831">
        <v>196.59</v>
      </c>
    </row>
    <row r="6369" spans="2:8" ht="38.25" hidden="1">
      <c r="B6369" s="828" t="s">
        <v>6536</v>
      </c>
      <c r="C6369" s="828">
        <v>87851</v>
      </c>
      <c r="D6369" s="630" t="s">
        <v>1963</v>
      </c>
      <c r="E6369" s="630" t="s">
        <v>649</v>
      </c>
      <c r="F6369" s="829">
        <v>118.47999999999999</v>
      </c>
      <c r="G6369" s="830">
        <v>25.34</v>
      </c>
      <c r="H6369" s="831">
        <v>143.82</v>
      </c>
    </row>
    <row r="6370" spans="2:8" ht="51" hidden="1">
      <c r="B6370" s="828" t="s">
        <v>6536</v>
      </c>
      <c r="C6370" s="828">
        <v>87852</v>
      </c>
      <c r="D6370" s="630" t="s">
        <v>1964</v>
      </c>
      <c r="E6370" s="630" t="s">
        <v>649</v>
      </c>
      <c r="F6370" s="829">
        <v>164.06</v>
      </c>
      <c r="G6370" s="830">
        <v>19.41</v>
      </c>
      <c r="H6370" s="831">
        <v>183.47</v>
      </c>
    </row>
    <row r="6371" spans="2:8" ht="51" hidden="1">
      <c r="B6371" s="828" t="s">
        <v>6536</v>
      </c>
      <c r="C6371" s="828">
        <v>87853</v>
      </c>
      <c r="D6371" s="630" t="s">
        <v>1965</v>
      </c>
      <c r="E6371" s="630" t="s">
        <v>649</v>
      </c>
      <c r="F6371" s="829">
        <v>115.32</v>
      </c>
      <c r="G6371" s="830">
        <v>16.350000000000001</v>
      </c>
      <c r="H6371" s="831">
        <v>131.66999999999999</v>
      </c>
    </row>
    <row r="6372" spans="2:8" ht="38.25" hidden="1">
      <c r="B6372" s="828" t="s">
        <v>6536</v>
      </c>
      <c r="C6372" s="828">
        <v>87854</v>
      </c>
      <c r="D6372" s="630" t="s">
        <v>1966</v>
      </c>
      <c r="E6372" s="630" t="s">
        <v>649</v>
      </c>
      <c r="F6372" s="829">
        <v>164.37</v>
      </c>
      <c r="G6372" s="830">
        <v>40.909999999999997</v>
      </c>
      <c r="H6372" s="831">
        <v>205.28</v>
      </c>
    </row>
    <row r="6373" spans="2:8" ht="38.25" hidden="1">
      <c r="B6373" s="828" t="s">
        <v>6536</v>
      </c>
      <c r="C6373" s="828">
        <v>87855</v>
      </c>
      <c r="D6373" s="630" t="s">
        <v>1967</v>
      </c>
      <c r="E6373" s="630" t="s">
        <v>649</v>
      </c>
      <c r="F6373" s="829">
        <v>120.28999999999999</v>
      </c>
      <c r="G6373" s="830">
        <v>37.340000000000003</v>
      </c>
      <c r="H6373" s="831">
        <v>157.63</v>
      </c>
    </row>
    <row r="6374" spans="2:8" ht="51" hidden="1">
      <c r="B6374" s="828" t="s">
        <v>6536</v>
      </c>
      <c r="C6374" s="828">
        <v>87856</v>
      </c>
      <c r="D6374" s="630" t="s">
        <v>1968</v>
      </c>
      <c r="E6374" s="630" t="s">
        <v>649</v>
      </c>
      <c r="F6374" s="829">
        <v>159.19000000000003</v>
      </c>
      <c r="G6374" s="830">
        <v>27.26</v>
      </c>
      <c r="H6374" s="831">
        <v>186.45</v>
      </c>
    </row>
    <row r="6375" spans="2:8" ht="51" hidden="1">
      <c r="B6375" s="828" t="s">
        <v>6536</v>
      </c>
      <c r="C6375" s="828">
        <v>87857</v>
      </c>
      <c r="D6375" s="630" t="s">
        <v>1969</v>
      </c>
      <c r="E6375" s="630" t="s">
        <v>649</v>
      </c>
      <c r="F6375" s="829">
        <v>115.58</v>
      </c>
      <c r="G6375" s="830">
        <v>24.2</v>
      </c>
      <c r="H6375" s="831">
        <v>139.78</v>
      </c>
    </row>
    <row r="6376" spans="2:8" ht="25.5" hidden="1">
      <c r="B6376" s="828" t="s">
        <v>6536</v>
      </c>
      <c r="C6376" s="828">
        <v>87858</v>
      </c>
      <c r="D6376" s="630" t="s">
        <v>1970</v>
      </c>
      <c r="E6376" s="630" t="s">
        <v>649</v>
      </c>
      <c r="F6376" s="829">
        <v>107.96</v>
      </c>
      <c r="G6376" s="830">
        <v>26.72</v>
      </c>
      <c r="H6376" s="831">
        <v>134.68</v>
      </c>
    </row>
    <row r="6377" spans="2:8" ht="38.25" hidden="1">
      <c r="B6377" s="828" t="s">
        <v>6536</v>
      </c>
      <c r="C6377" s="828">
        <v>87859</v>
      </c>
      <c r="D6377" s="630" t="s">
        <v>1971</v>
      </c>
      <c r="E6377" s="630" t="s">
        <v>649</v>
      </c>
      <c r="F6377" s="829">
        <v>120.83999999999999</v>
      </c>
      <c r="G6377" s="830">
        <v>36.72</v>
      </c>
      <c r="H6377" s="831">
        <v>157.56</v>
      </c>
    </row>
    <row r="6378" spans="2:8" ht="51" hidden="1">
      <c r="B6378" s="828" t="s">
        <v>6536</v>
      </c>
      <c r="C6378" s="828">
        <v>89048</v>
      </c>
      <c r="D6378" s="630" t="s">
        <v>28</v>
      </c>
      <c r="E6378" s="630" t="s">
        <v>649</v>
      </c>
      <c r="F6378" s="829">
        <v>18.13</v>
      </c>
      <c r="G6378" s="830">
        <v>18.25</v>
      </c>
      <c r="H6378" s="831">
        <v>36.380000000000003</v>
      </c>
    </row>
    <row r="6379" spans="2:8" ht="38.25" hidden="1">
      <c r="B6379" s="828" t="s">
        <v>6536</v>
      </c>
      <c r="C6379" s="828">
        <v>89049</v>
      </c>
      <c r="D6379" s="630" t="s">
        <v>12</v>
      </c>
      <c r="E6379" s="630" t="s">
        <v>649</v>
      </c>
      <c r="F6379" s="829">
        <v>11.4</v>
      </c>
      <c r="G6379" s="830">
        <v>13.68</v>
      </c>
      <c r="H6379" s="831">
        <v>25.08</v>
      </c>
    </row>
    <row r="6380" spans="2:8" ht="51" hidden="1">
      <c r="B6380" s="828" t="s">
        <v>6536</v>
      </c>
      <c r="C6380" s="828">
        <v>89173</v>
      </c>
      <c r="D6380" s="630" t="s">
        <v>13</v>
      </c>
      <c r="E6380" s="630" t="s">
        <v>649</v>
      </c>
      <c r="F6380" s="829">
        <v>18.009999999999998</v>
      </c>
      <c r="G6380" s="830">
        <v>17.68</v>
      </c>
      <c r="H6380" s="831">
        <v>35.69</v>
      </c>
    </row>
    <row r="6381" spans="2:8" ht="51" hidden="1">
      <c r="B6381" s="828" t="s">
        <v>6536</v>
      </c>
      <c r="C6381" s="828">
        <v>90406</v>
      </c>
      <c r="D6381" s="630" t="s">
        <v>14</v>
      </c>
      <c r="E6381" s="630" t="s">
        <v>649</v>
      </c>
      <c r="F6381" s="829">
        <v>20.95</v>
      </c>
      <c r="G6381" s="830">
        <v>27.22</v>
      </c>
      <c r="H6381" s="831">
        <v>48.17</v>
      </c>
    </row>
    <row r="6382" spans="2:8" ht="38.25" hidden="1">
      <c r="B6382" s="828" t="s">
        <v>6536</v>
      </c>
      <c r="C6382" s="828">
        <v>90407</v>
      </c>
      <c r="D6382" s="630" t="s">
        <v>15</v>
      </c>
      <c r="E6382" s="630" t="s">
        <v>649</v>
      </c>
      <c r="F6382" s="829">
        <v>22.38</v>
      </c>
      <c r="G6382" s="843">
        <v>31.44</v>
      </c>
      <c r="H6382" s="832">
        <v>53.82</v>
      </c>
    </row>
    <row r="6383" spans="2:8" ht="51" hidden="1">
      <c r="B6383" s="828" t="s">
        <v>6536</v>
      </c>
      <c r="C6383" s="828">
        <v>90408</v>
      </c>
      <c r="D6383" s="630" t="s">
        <v>16</v>
      </c>
      <c r="E6383" s="630" t="s">
        <v>649</v>
      </c>
      <c r="F6383" s="829">
        <v>13.729999999999999</v>
      </c>
      <c r="G6383" s="830">
        <v>22.02</v>
      </c>
      <c r="H6383" s="832">
        <v>35.75</v>
      </c>
    </row>
    <row r="6384" spans="2:8" ht="38.25" hidden="1">
      <c r="B6384" s="828" t="s">
        <v>6536</v>
      </c>
      <c r="C6384" s="828">
        <v>90409</v>
      </c>
      <c r="D6384" s="630" t="s">
        <v>17</v>
      </c>
      <c r="E6384" s="630" t="s">
        <v>649</v>
      </c>
      <c r="F6384" s="829">
        <v>14.57</v>
      </c>
      <c r="G6384" s="830">
        <v>24.38</v>
      </c>
      <c r="H6384" s="831">
        <v>38.950000000000003</v>
      </c>
    </row>
    <row r="6385" spans="2:8" ht="38.25" hidden="1">
      <c r="B6385" s="828" t="s">
        <v>6533</v>
      </c>
      <c r="C6385" s="828">
        <v>87242</v>
      </c>
      <c r="D6385" s="630" t="s">
        <v>18</v>
      </c>
      <c r="E6385" s="630" t="s">
        <v>649</v>
      </c>
      <c r="F6385" s="829">
        <v>188.27</v>
      </c>
      <c r="G6385" s="830">
        <v>42.41</v>
      </c>
      <c r="H6385" s="831">
        <v>230.68</v>
      </c>
    </row>
    <row r="6386" spans="2:8" ht="38.25" hidden="1">
      <c r="B6386" s="828" t="s">
        <v>6533</v>
      </c>
      <c r="C6386" s="828">
        <v>87243</v>
      </c>
      <c r="D6386" s="630" t="s">
        <v>19</v>
      </c>
      <c r="E6386" s="630" t="s">
        <v>649</v>
      </c>
      <c r="F6386" s="829">
        <v>176.21</v>
      </c>
      <c r="G6386" s="830">
        <v>33.69</v>
      </c>
      <c r="H6386" s="831">
        <v>209.9</v>
      </c>
    </row>
    <row r="6387" spans="2:8" ht="38.25" hidden="1">
      <c r="B6387" s="828" t="s">
        <v>6533</v>
      </c>
      <c r="C6387" s="828">
        <v>87244</v>
      </c>
      <c r="D6387" s="630" t="s">
        <v>20</v>
      </c>
      <c r="E6387" s="630" t="s">
        <v>649</v>
      </c>
      <c r="F6387" s="829">
        <v>179.68</v>
      </c>
      <c r="G6387" s="830">
        <v>45.28</v>
      </c>
      <c r="H6387" s="831">
        <v>224.96</v>
      </c>
    </row>
    <row r="6388" spans="2:8" ht="38.25" hidden="1">
      <c r="B6388" s="828" t="s">
        <v>6533</v>
      </c>
      <c r="C6388" s="828">
        <v>87245</v>
      </c>
      <c r="D6388" s="630" t="s">
        <v>21</v>
      </c>
      <c r="E6388" s="630" t="s">
        <v>649</v>
      </c>
      <c r="F6388" s="829">
        <v>215.24</v>
      </c>
      <c r="G6388" s="830">
        <v>55.77</v>
      </c>
      <c r="H6388" s="831">
        <v>271.01</v>
      </c>
    </row>
    <row r="6389" spans="2:8" ht="38.25" hidden="1">
      <c r="B6389" s="828" t="s">
        <v>6533</v>
      </c>
      <c r="C6389" s="828">
        <v>87264</v>
      </c>
      <c r="D6389" s="630" t="s">
        <v>2635</v>
      </c>
      <c r="E6389" s="630" t="s">
        <v>649</v>
      </c>
      <c r="F6389" s="829">
        <v>48.49</v>
      </c>
      <c r="G6389" s="830">
        <v>23.97</v>
      </c>
      <c r="H6389" s="831">
        <v>72.459999999999994</v>
      </c>
    </row>
    <row r="6390" spans="2:8" ht="38.25" hidden="1">
      <c r="B6390" s="828" t="s">
        <v>6533</v>
      </c>
      <c r="C6390" s="828">
        <v>87265</v>
      </c>
      <c r="D6390" s="630" t="s">
        <v>2636</v>
      </c>
      <c r="E6390" s="630" t="s">
        <v>649</v>
      </c>
      <c r="F6390" s="829">
        <v>46.05</v>
      </c>
      <c r="G6390" s="830">
        <v>16.850000000000001</v>
      </c>
      <c r="H6390" s="831">
        <v>62.9</v>
      </c>
    </row>
    <row r="6391" spans="2:8" ht="38.25" hidden="1">
      <c r="B6391" s="828" t="s">
        <v>6533</v>
      </c>
      <c r="C6391" s="828">
        <v>87266</v>
      </c>
      <c r="D6391" s="630" t="s">
        <v>2637</v>
      </c>
      <c r="E6391" s="630" t="s">
        <v>649</v>
      </c>
      <c r="F6391" s="829">
        <v>49.28</v>
      </c>
      <c r="G6391" s="830">
        <v>26.6</v>
      </c>
      <c r="H6391" s="831">
        <v>75.88</v>
      </c>
    </row>
    <row r="6392" spans="2:8" ht="38.25" hidden="1">
      <c r="B6392" s="828" t="s">
        <v>6533</v>
      </c>
      <c r="C6392" s="828">
        <v>87267</v>
      </c>
      <c r="D6392" s="630" t="s">
        <v>2638</v>
      </c>
      <c r="E6392" s="630" t="s">
        <v>649</v>
      </c>
      <c r="F6392" s="829">
        <v>48.31</v>
      </c>
      <c r="G6392" s="830">
        <v>23.31</v>
      </c>
      <c r="H6392" s="831">
        <v>71.62</v>
      </c>
    </row>
    <row r="6393" spans="2:8" ht="38.25" hidden="1">
      <c r="B6393" s="828" t="s">
        <v>6533</v>
      </c>
      <c r="C6393" s="828">
        <v>87268</v>
      </c>
      <c r="D6393" s="630" t="s">
        <v>2639</v>
      </c>
      <c r="E6393" s="630" t="s">
        <v>649</v>
      </c>
      <c r="F6393" s="829">
        <v>49.97</v>
      </c>
      <c r="G6393" s="830">
        <v>28.39</v>
      </c>
      <c r="H6393" s="831">
        <v>78.36</v>
      </c>
    </row>
    <row r="6394" spans="2:8" ht="38.25" hidden="1">
      <c r="B6394" s="828" t="s">
        <v>6533</v>
      </c>
      <c r="C6394" s="828">
        <v>87269</v>
      </c>
      <c r="D6394" s="630" t="s">
        <v>2640</v>
      </c>
      <c r="E6394" s="630" t="s">
        <v>649</v>
      </c>
      <c r="F6394" s="829">
        <v>47.33</v>
      </c>
      <c r="G6394" s="830">
        <v>20.61</v>
      </c>
      <c r="H6394" s="831">
        <v>67.94</v>
      </c>
    </row>
    <row r="6395" spans="2:8" ht="38.25" hidden="1">
      <c r="B6395" s="828" t="s">
        <v>6533</v>
      </c>
      <c r="C6395" s="828">
        <v>87270</v>
      </c>
      <c r="D6395" s="630" t="s">
        <v>2641</v>
      </c>
      <c r="E6395" s="630" t="s">
        <v>649</v>
      </c>
      <c r="F6395" s="829">
        <v>50.63</v>
      </c>
      <c r="G6395" s="830">
        <v>30.6</v>
      </c>
      <c r="H6395" s="831">
        <v>81.23</v>
      </c>
    </row>
    <row r="6396" spans="2:8" ht="38.25" hidden="1">
      <c r="B6396" s="828" t="s">
        <v>6533</v>
      </c>
      <c r="C6396" s="828">
        <v>87271</v>
      </c>
      <c r="D6396" s="630" t="s">
        <v>2642</v>
      </c>
      <c r="E6396" s="630" t="s">
        <v>649</v>
      </c>
      <c r="F6396" s="829">
        <v>49.23</v>
      </c>
      <c r="G6396" s="830">
        <v>27.08</v>
      </c>
      <c r="H6396" s="831">
        <v>76.31</v>
      </c>
    </row>
    <row r="6397" spans="2:8" ht="38.25" hidden="1">
      <c r="B6397" s="828" t="s">
        <v>6533</v>
      </c>
      <c r="C6397" s="828">
        <v>87272</v>
      </c>
      <c r="D6397" s="630" t="s">
        <v>2643</v>
      </c>
      <c r="E6397" s="630" t="s">
        <v>649</v>
      </c>
      <c r="F6397" s="829">
        <v>51.89</v>
      </c>
      <c r="G6397" s="830">
        <v>31.76</v>
      </c>
      <c r="H6397" s="831">
        <v>83.65</v>
      </c>
    </row>
    <row r="6398" spans="2:8" ht="38.25" hidden="1">
      <c r="B6398" s="828" t="s">
        <v>6533</v>
      </c>
      <c r="C6398" s="828">
        <v>87273</v>
      </c>
      <c r="D6398" s="630" t="s">
        <v>2644</v>
      </c>
      <c r="E6398" s="630" t="s">
        <v>649</v>
      </c>
      <c r="F6398" s="829">
        <v>48.72</v>
      </c>
      <c r="G6398" s="830">
        <v>22.17</v>
      </c>
      <c r="H6398" s="831">
        <v>70.89</v>
      </c>
    </row>
    <row r="6399" spans="2:8" ht="38.25" hidden="1">
      <c r="B6399" s="828" t="s">
        <v>6533</v>
      </c>
      <c r="C6399" s="828">
        <v>87274</v>
      </c>
      <c r="D6399" s="630" t="s">
        <v>2645</v>
      </c>
      <c r="E6399" s="630" t="s">
        <v>649</v>
      </c>
      <c r="F6399" s="829">
        <v>52.37</v>
      </c>
      <c r="G6399" s="830">
        <v>33.29</v>
      </c>
      <c r="H6399" s="831">
        <v>85.66</v>
      </c>
    </row>
    <row r="6400" spans="2:8" ht="38.25" hidden="1">
      <c r="B6400" s="828" t="s">
        <v>6533</v>
      </c>
      <c r="C6400" s="828">
        <v>87275</v>
      </c>
      <c r="D6400" s="630" t="s">
        <v>2646</v>
      </c>
      <c r="E6400" s="630" t="s">
        <v>649</v>
      </c>
      <c r="F6400" s="829">
        <v>51.37</v>
      </c>
      <c r="G6400" s="830">
        <v>29.95</v>
      </c>
      <c r="H6400" s="831">
        <v>81.319999999999993</v>
      </c>
    </row>
    <row r="6401" spans="2:8" ht="38.25" hidden="1">
      <c r="B6401" s="828" t="s">
        <v>6533</v>
      </c>
      <c r="C6401" s="828">
        <v>88786</v>
      </c>
      <c r="D6401" s="630" t="s">
        <v>0</v>
      </c>
      <c r="E6401" s="630" t="s">
        <v>649</v>
      </c>
      <c r="F6401" s="829">
        <v>280.08</v>
      </c>
      <c r="G6401" s="830">
        <v>42.4</v>
      </c>
      <c r="H6401" s="831">
        <v>322.48</v>
      </c>
    </row>
    <row r="6402" spans="2:8" ht="38.25" hidden="1">
      <c r="B6402" s="828" t="s">
        <v>6533</v>
      </c>
      <c r="C6402" s="828">
        <v>88787</v>
      </c>
      <c r="D6402" s="630" t="s">
        <v>1</v>
      </c>
      <c r="E6402" s="630" t="s">
        <v>649</v>
      </c>
      <c r="F6402" s="829">
        <v>262.8</v>
      </c>
      <c r="G6402" s="830">
        <v>33.68</v>
      </c>
      <c r="H6402" s="831">
        <v>296.48</v>
      </c>
    </row>
    <row r="6403" spans="2:8" ht="38.25" hidden="1">
      <c r="B6403" s="828" t="s">
        <v>6533</v>
      </c>
      <c r="C6403" s="828">
        <v>88788</v>
      </c>
      <c r="D6403" s="630" t="s">
        <v>2</v>
      </c>
      <c r="E6403" s="630" t="s">
        <v>649</v>
      </c>
      <c r="F6403" s="829">
        <v>266.27</v>
      </c>
      <c r="G6403" s="830">
        <v>45.27</v>
      </c>
      <c r="H6403" s="831">
        <v>311.54000000000002</v>
      </c>
    </row>
    <row r="6404" spans="2:8" ht="38.25" hidden="1">
      <c r="B6404" s="828" t="s">
        <v>6533</v>
      </c>
      <c r="C6404" s="828">
        <v>88789</v>
      </c>
      <c r="D6404" s="630" t="s">
        <v>3</v>
      </c>
      <c r="E6404" s="630" t="s">
        <v>649</v>
      </c>
      <c r="F6404" s="829">
        <v>319.72000000000003</v>
      </c>
      <c r="G6404" s="830">
        <v>55.77</v>
      </c>
      <c r="H6404" s="831">
        <v>375.49</v>
      </c>
    </row>
    <row r="6405" spans="2:8" ht="51" hidden="1">
      <c r="B6405" s="828" t="s">
        <v>6533</v>
      </c>
      <c r="C6405" s="828">
        <v>89045</v>
      </c>
      <c r="D6405" s="630" t="s">
        <v>4889</v>
      </c>
      <c r="E6405" s="630" t="s">
        <v>649</v>
      </c>
      <c r="F6405" s="829">
        <v>48.38</v>
      </c>
      <c r="G6405" s="830">
        <v>23.85</v>
      </c>
      <c r="H6405" s="831">
        <v>72.23</v>
      </c>
    </row>
    <row r="6406" spans="2:8" ht="51" hidden="1">
      <c r="B6406" s="828" t="s">
        <v>6533</v>
      </c>
      <c r="C6406" s="828">
        <v>89170</v>
      </c>
      <c r="D6406" s="630" t="s">
        <v>5386</v>
      </c>
      <c r="E6406" s="630" t="s">
        <v>649</v>
      </c>
      <c r="F6406" s="829">
        <v>47.76</v>
      </c>
      <c r="G6406" s="830">
        <v>22.06</v>
      </c>
      <c r="H6406" s="831">
        <v>69.819999999999993</v>
      </c>
    </row>
    <row r="6407" spans="2:8" ht="51" hidden="1">
      <c r="B6407" s="828" t="s">
        <v>6533</v>
      </c>
      <c r="C6407" s="828">
        <v>93392</v>
      </c>
      <c r="D6407" s="630" t="s">
        <v>3076</v>
      </c>
      <c r="E6407" s="630" t="s">
        <v>649</v>
      </c>
      <c r="F6407" s="829">
        <v>38.83</v>
      </c>
      <c r="G6407" s="830">
        <v>23.97</v>
      </c>
      <c r="H6407" s="831">
        <v>62.8</v>
      </c>
    </row>
    <row r="6408" spans="2:8" ht="51" hidden="1">
      <c r="B6408" s="828" t="s">
        <v>6533</v>
      </c>
      <c r="C6408" s="828">
        <v>93393</v>
      </c>
      <c r="D6408" s="630" t="s">
        <v>3077</v>
      </c>
      <c r="E6408" s="630" t="s">
        <v>649</v>
      </c>
      <c r="F6408" s="829">
        <v>36.479999999999997</v>
      </c>
      <c r="G6408" s="830">
        <v>16.850000000000001</v>
      </c>
      <c r="H6408" s="831">
        <v>53.33</v>
      </c>
    </row>
    <row r="6409" spans="2:8" ht="51" hidden="1">
      <c r="B6409" s="828" t="s">
        <v>6533</v>
      </c>
      <c r="C6409" s="828">
        <v>93394</v>
      </c>
      <c r="D6409" s="630" t="s">
        <v>3078</v>
      </c>
      <c r="E6409" s="630" t="s">
        <v>649</v>
      </c>
      <c r="F6409" s="829">
        <v>39.619999999999997</v>
      </c>
      <c r="G6409" s="830">
        <v>26.6</v>
      </c>
      <c r="H6409" s="831">
        <v>66.22</v>
      </c>
    </row>
    <row r="6410" spans="2:8" ht="51" hidden="1">
      <c r="B6410" s="828" t="s">
        <v>6533</v>
      </c>
      <c r="C6410" s="828">
        <v>93395</v>
      </c>
      <c r="D6410" s="630" t="s">
        <v>3079</v>
      </c>
      <c r="E6410" s="630" t="s">
        <v>649</v>
      </c>
      <c r="F6410" s="829">
        <v>38.64</v>
      </c>
      <c r="G6410" s="830">
        <v>23.32</v>
      </c>
      <c r="H6410" s="831">
        <v>61.96</v>
      </c>
    </row>
    <row r="6411" spans="2:8" ht="51" hidden="1">
      <c r="B6411" s="828" t="s">
        <v>6533</v>
      </c>
      <c r="C6411" s="828">
        <v>99194</v>
      </c>
      <c r="D6411" s="630" t="s">
        <v>3100</v>
      </c>
      <c r="E6411" s="630" t="s">
        <v>649</v>
      </c>
      <c r="F6411" s="829">
        <v>45.87</v>
      </c>
      <c r="G6411" s="830">
        <v>23.97</v>
      </c>
      <c r="H6411" s="831">
        <v>69.84</v>
      </c>
    </row>
    <row r="6412" spans="2:8" ht="51" hidden="1">
      <c r="B6412" s="828" t="s">
        <v>6533</v>
      </c>
      <c r="C6412" s="828">
        <v>99195</v>
      </c>
      <c r="D6412" s="630" t="s">
        <v>3101</v>
      </c>
      <c r="E6412" s="630" t="s">
        <v>649</v>
      </c>
      <c r="F6412" s="829">
        <v>43.52</v>
      </c>
      <c r="G6412" s="830">
        <v>16.850000000000001</v>
      </c>
      <c r="H6412" s="831">
        <v>60.37</v>
      </c>
    </row>
    <row r="6413" spans="2:8" ht="51" hidden="1">
      <c r="B6413" s="828" t="s">
        <v>6533</v>
      </c>
      <c r="C6413" s="828">
        <v>99196</v>
      </c>
      <c r="D6413" s="630" t="s">
        <v>3102</v>
      </c>
      <c r="E6413" s="630" t="s">
        <v>649</v>
      </c>
      <c r="F6413" s="829">
        <v>46.66</v>
      </c>
      <c r="G6413" s="830">
        <v>26.6</v>
      </c>
      <c r="H6413" s="831">
        <v>73.260000000000005</v>
      </c>
    </row>
    <row r="6414" spans="2:8" ht="51" hidden="1">
      <c r="B6414" s="828" t="s">
        <v>6533</v>
      </c>
      <c r="C6414" s="828">
        <v>99198</v>
      </c>
      <c r="D6414" s="630" t="s">
        <v>3103</v>
      </c>
      <c r="E6414" s="630" t="s">
        <v>649</v>
      </c>
      <c r="F6414" s="829">
        <v>45.69</v>
      </c>
      <c r="G6414" s="830">
        <v>23.31</v>
      </c>
      <c r="H6414" s="831">
        <v>69</v>
      </c>
    </row>
    <row r="6415" spans="2:8" ht="25.5" hidden="1">
      <c r="B6415" s="828" t="s">
        <v>6671</v>
      </c>
      <c r="C6415" s="828">
        <v>101965</v>
      </c>
      <c r="D6415" s="630" t="s">
        <v>5912</v>
      </c>
      <c r="E6415" s="630" t="s">
        <v>648</v>
      </c>
      <c r="F6415" s="829">
        <v>150.66999999999999</v>
      </c>
      <c r="G6415" s="830">
        <v>25.7</v>
      </c>
      <c r="H6415" s="831">
        <v>176.37</v>
      </c>
    </row>
    <row r="6416" spans="2:8" ht="25.5" hidden="1">
      <c r="B6416" s="828" t="s">
        <v>6672</v>
      </c>
      <c r="C6416" s="828">
        <v>101966</v>
      </c>
      <c r="D6416" s="630" t="s">
        <v>5913</v>
      </c>
      <c r="E6416" s="630" t="s">
        <v>648</v>
      </c>
      <c r="F6416" s="829">
        <v>216.54</v>
      </c>
      <c r="G6416" s="830">
        <v>11.78</v>
      </c>
      <c r="H6416" s="831">
        <v>228.32</v>
      </c>
    </row>
    <row r="6417" spans="2:8" hidden="1">
      <c r="B6417" s="828" t="s">
        <v>6672</v>
      </c>
      <c r="C6417" s="828">
        <v>101979</v>
      </c>
      <c r="D6417" s="630" t="s">
        <v>5920</v>
      </c>
      <c r="E6417" s="630" t="s">
        <v>648</v>
      </c>
      <c r="F6417" s="829">
        <v>47.42</v>
      </c>
      <c r="G6417" s="830">
        <v>5.89</v>
      </c>
      <c r="H6417" s="831">
        <v>53.31</v>
      </c>
    </row>
    <row r="6418" spans="2:8" ht="25.5" hidden="1">
      <c r="B6418" s="828" t="s">
        <v>6601</v>
      </c>
      <c r="C6418" s="828">
        <v>96112</v>
      </c>
      <c r="D6418" s="630" t="s">
        <v>2647</v>
      </c>
      <c r="E6418" s="630" t="s">
        <v>649</v>
      </c>
      <c r="F6418" s="829">
        <v>108.01</v>
      </c>
      <c r="G6418" s="830">
        <v>61.53</v>
      </c>
      <c r="H6418" s="831">
        <v>169.54</v>
      </c>
    </row>
    <row r="6419" spans="2:8" ht="25.5" hidden="1">
      <c r="B6419" s="828" t="s">
        <v>6601</v>
      </c>
      <c r="C6419" s="828">
        <v>96117</v>
      </c>
      <c r="D6419" s="630" t="s">
        <v>2648</v>
      </c>
      <c r="E6419" s="630" t="s">
        <v>649</v>
      </c>
      <c r="F6419" s="829">
        <v>170.95</v>
      </c>
      <c r="G6419" s="830">
        <v>48.7</v>
      </c>
      <c r="H6419" s="831">
        <v>219.65</v>
      </c>
    </row>
    <row r="6420" spans="2:8" ht="25.5" hidden="1">
      <c r="B6420" s="828" t="s">
        <v>6601</v>
      </c>
      <c r="C6420" s="828">
        <v>96122</v>
      </c>
      <c r="D6420" s="630" t="s">
        <v>2649</v>
      </c>
      <c r="E6420" s="630" t="s">
        <v>648</v>
      </c>
      <c r="F6420" s="829">
        <v>42.89</v>
      </c>
      <c r="G6420" s="830">
        <v>10.66</v>
      </c>
      <c r="H6420" s="831">
        <v>53.55</v>
      </c>
    </row>
    <row r="6421" spans="2:8" ht="25.5" hidden="1">
      <c r="B6421" s="828" t="s">
        <v>6599</v>
      </c>
      <c r="C6421" s="828">
        <v>96109</v>
      </c>
      <c r="D6421" s="630" t="s">
        <v>2650</v>
      </c>
      <c r="E6421" s="630" t="s">
        <v>649</v>
      </c>
      <c r="F6421" s="829">
        <v>21.63</v>
      </c>
      <c r="G6421" s="830">
        <v>25.24</v>
      </c>
      <c r="H6421" s="831">
        <v>46.87</v>
      </c>
    </row>
    <row r="6422" spans="2:8" ht="25.5" hidden="1">
      <c r="B6422" s="828" t="s">
        <v>6599</v>
      </c>
      <c r="C6422" s="828">
        <v>96110</v>
      </c>
      <c r="D6422" s="630" t="s">
        <v>2651</v>
      </c>
      <c r="E6422" s="630" t="s">
        <v>649</v>
      </c>
      <c r="F6422" s="829">
        <v>62.82</v>
      </c>
      <c r="G6422" s="830">
        <v>18.14</v>
      </c>
      <c r="H6422" s="831">
        <v>80.959999999999994</v>
      </c>
    </row>
    <row r="6423" spans="2:8" hidden="1">
      <c r="B6423" s="828" t="s">
        <v>6599</v>
      </c>
      <c r="C6423" s="828">
        <v>96113</v>
      </c>
      <c r="D6423" s="630" t="s">
        <v>2652</v>
      </c>
      <c r="E6423" s="630" t="s">
        <v>649</v>
      </c>
      <c r="F6423" s="829">
        <v>20.49</v>
      </c>
      <c r="G6423" s="830">
        <v>19.98</v>
      </c>
      <c r="H6423" s="831">
        <v>40.47</v>
      </c>
    </row>
    <row r="6424" spans="2:8" ht="25.5" hidden="1">
      <c r="B6424" s="828" t="s">
        <v>6599</v>
      </c>
      <c r="C6424" s="828">
        <v>96114</v>
      </c>
      <c r="D6424" s="630" t="s">
        <v>2653</v>
      </c>
      <c r="E6424" s="630" t="s">
        <v>649</v>
      </c>
      <c r="F6424" s="829">
        <v>71.02</v>
      </c>
      <c r="G6424" s="830">
        <v>14.41</v>
      </c>
      <c r="H6424" s="831">
        <v>85.43</v>
      </c>
    </row>
    <row r="6425" spans="2:8" hidden="1">
      <c r="B6425" s="828" t="s">
        <v>6599</v>
      </c>
      <c r="C6425" s="828">
        <v>96120</v>
      </c>
      <c r="D6425" s="630" t="s">
        <v>2654</v>
      </c>
      <c r="E6425" s="630" t="s">
        <v>648</v>
      </c>
      <c r="F6425" s="829">
        <v>1.74</v>
      </c>
      <c r="G6425" s="830">
        <v>1.41</v>
      </c>
      <c r="H6425" s="831">
        <v>3.15</v>
      </c>
    </row>
    <row r="6426" spans="2:8" ht="25.5" hidden="1">
      <c r="B6426" s="828" t="s">
        <v>6599</v>
      </c>
      <c r="C6426" s="828">
        <v>96123</v>
      </c>
      <c r="D6426" s="630" t="s">
        <v>2655</v>
      </c>
      <c r="E6426" s="630" t="s">
        <v>648</v>
      </c>
      <c r="F6426" s="829">
        <v>32.1</v>
      </c>
      <c r="G6426" s="830">
        <v>8.06</v>
      </c>
      <c r="H6426" s="831">
        <v>40.159999999999997</v>
      </c>
    </row>
    <row r="6427" spans="2:8" ht="25.5" hidden="1">
      <c r="B6427" s="828" t="s">
        <v>6599</v>
      </c>
      <c r="C6427" s="828">
        <v>99054</v>
      </c>
      <c r="D6427" s="630" t="s">
        <v>3044</v>
      </c>
      <c r="E6427" s="630" t="s">
        <v>649</v>
      </c>
      <c r="F6427" s="829">
        <v>24.97</v>
      </c>
      <c r="G6427" s="830">
        <v>33.979999999999997</v>
      </c>
      <c r="H6427" s="831">
        <v>58.95</v>
      </c>
    </row>
    <row r="6428" spans="2:8" ht="25.5" hidden="1">
      <c r="B6428" s="828" t="s">
        <v>6600</v>
      </c>
      <c r="C6428" s="828">
        <v>96111</v>
      </c>
      <c r="D6428" s="630" t="s">
        <v>2656</v>
      </c>
      <c r="E6428" s="630" t="s">
        <v>649</v>
      </c>
      <c r="F6428" s="829">
        <v>63.91</v>
      </c>
      <c r="G6428" s="830">
        <v>12.78</v>
      </c>
      <c r="H6428" s="831">
        <v>76.69</v>
      </c>
    </row>
    <row r="6429" spans="2:8" ht="25.5" hidden="1">
      <c r="B6429" s="828" t="s">
        <v>6600</v>
      </c>
      <c r="C6429" s="828">
        <v>96116</v>
      </c>
      <c r="D6429" s="630" t="s">
        <v>2657</v>
      </c>
      <c r="E6429" s="630" t="s">
        <v>649</v>
      </c>
      <c r="F6429" s="829">
        <v>74.03</v>
      </c>
      <c r="G6429" s="830">
        <v>11.24</v>
      </c>
      <c r="H6429" s="831">
        <v>85.27</v>
      </c>
    </row>
    <row r="6430" spans="2:8" ht="25.5" hidden="1">
      <c r="B6430" s="828" t="s">
        <v>6600</v>
      </c>
      <c r="C6430" s="828">
        <v>96121</v>
      </c>
      <c r="D6430" s="630" t="s">
        <v>2658</v>
      </c>
      <c r="E6430" s="630" t="s">
        <v>648</v>
      </c>
      <c r="F6430" s="829">
        <v>9.4600000000000009</v>
      </c>
      <c r="G6430" s="830">
        <v>3.3</v>
      </c>
      <c r="H6430" s="831">
        <v>12.76</v>
      </c>
    </row>
    <row r="6431" spans="2:8" ht="25.5" hidden="1">
      <c r="B6431" s="828" t="s">
        <v>6600</v>
      </c>
      <c r="C6431" s="828">
        <v>96485</v>
      </c>
      <c r="D6431" s="630" t="s">
        <v>2659</v>
      </c>
      <c r="E6431" s="630" t="s">
        <v>649</v>
      </c>
      <c r="F6431" s="829">
        <v>75.38</v>
      </c>
      <c r="G6431" s="830">
        <v>12.78</v>
      </c>
      <c r="H6431" s="831">
        <v>88.16</v>
      </c>
    </row>
    <row r="6432" spans="2:8" ht="25.5" hidden="1">
      <c r="B6432" s="828" t="s">
        <v>6600</v>
      </c>
      <c r="C6432" s="828">
        <v>96486</v>
      </c>
      <c r="D6432" s="630" t="s">
        <v>2660</v>
      </c>
      <c r="E6432" s="630" t="s">
        <v>649</v>
      </c>
      <c r="F6432" s="829">
        <v>86.2</v>
      </c>
      <c r="G6432" s="830">
        <v>11.24</v>
      </c>
      <c r="H6432" s="831">
        <v>97.44</v>
      </c>
    </row>
    <row r="6433" spans="2:8" ht="25.5" hidden="1">
      <c r="B6433" s="828" t="s">
        <v>6558</v>
      </c>
      <c r="C6433" s="828">
        <v>91514</v>
      </c>
      <c r="D6433" s="630" t="s">
        <v>4</v>
      </c>
      <c r="E6433" s="630" t="s">
        <v>649</v>
      </c>
      <c r="F6433" s="829">
        <v>1.83</v>
      </c>
      <c r="G6433" s="830">
        <v>6.22</v>
      </c>
      <c r="H6433" s="831">
        <v>8.0500000000000007</v>
      </c>
    </row>
    <row r="6434" spans="2:8" ht="25.5" hidden="1">
      <c r="B6434" s="828" t="s">
        <v>6558</v>
      </c>
      <c r="C6434" s="828">
        <v>91515</v>
      </c>
      <c r="D6434" s="630" t="s">
        <v>5</v>
      </c>
      <c r="E6434" s="630" t="s">
        <v>649</v>
      </c>
      <c r="F6434" s="829">
        <v>2.42</v>
      </c>
      <c r="G6434" s="830">
        <v>8.24</v>
      </c>
      <c r="H6434" s="831">
        <v>10.66</v>
      </c>
    </row>
    <row r="6435" spans="2:8" ht="38.25" hidden="1">
      <c r="B6435" s="828" t="s">
        <v>6558</v>
      </c>
      <c r="C6435" s="828">
        <v>91516</v>
      </c>
      <c r="D6435" s="630" t="s">
        <v>6</v>
      </c>
      <c r="E6435" s="630" t="s">
        <v>649</v>
      </c>
      <c r="F6435" s="829">
        <v>3.52</v>
      </c>
      <c r="G6435" s="830">
        <v>12.07</v>
      </c>
      <c r="H6435" s="831">
        <v>15.59</v>
      </c>
    </row>
    <row r="6436" spans="2:8" ht="25.5" hidden="1">
      <c r="B6436" s="828" t="s">
        <v>6558</v>
      </c>
      <c r="C6436" s="828">
        <v>91517</v>
      </c>
      <c r="D6436" s="630" t="s">
        <v>7</v>
      </c>
      <c r="E6436" s="630" t="s">
        <v>649</v>
      </c>
      <c r="F6436" s="829">
        <v>3.9</v>
      </c>
      <c r="G6436" s="830">
        <v>13.47</v>
      </c>
      <c r="H6436" s="831">
        <v>17.37</v>
      </c>
    </row>
    <row r="6437" spans="2:8" ht="25.5" hidden="1">
      <c r="B6437" s="828" t="s">
        <v>6558</v>
      </c>
      <c r="C6437" s="828">
        <v>91519</v>
      </c>
      <c r="D6437" s="630" t="s">
        <v>8</v>
      </c>
      <c r="E6437" s="630" t="s">
        <v>649</v>
      </c>
      <c r="F6437" s="829">
        <v>4.5</v>
      </c>
      <c r="G6437" s="830">
        <v>15.45</v>
      </c>
      <c r="H6437" s="831">
        <v>19.95</v>
      </c>
    </row>
    <row r="6438" spans="2:8" ht="25.5" hidden="1">
      <c r="B6438" s="828" t="s">
        <v>6558</v>
      </c>
      <c r="C6438" s="828">
        <v>91520</v>
      </c>
      <c r="D6438" s="630" t="s">
        <v>9</v>
      </c>
      <c r="E6438" s="630" t="s">
        <v>649</v>
      </c>
      <c r="F6438" s="829">
        <v>0.69</v>
      </c>
      <c r="G6438" s="830">
        <v>2.2000000000000002</v>
      </c>
      <c r="H6438" s="831">
        <v>2.89</v>
      </c>
    </row>
    <row r="6439" spans="2:8" ht="25.5" hidden="1">
      <c r="B6439" s="828" t="s">
        <v>6558</v>
      </c>
      <c r="C6439" s="828">
        <v>91522</v>
      </c>
      <c r="D6439" s="630" t="s">
        <v>10</v>
      </c>
      <c r="E6439" s="630" t="s">
        <v>649</v>
      </c>
      <c r="F6439" s="829">
        <v>0.82</v>
      </c>
      <c r="G6439" s="830">
        <v>2.66</v>
      </c>
      <c r="H6439" s="831">
        <v>3.48</v>
      </c>
    </row>
    <row r="6440" spans="2:8" ht="25.5" hidden="1">
      <c r="B6440" s="828" t="s">
        <v>6558</v>
      </c>
      <c r="C6440" s="828">
        <v>91525</v>
      </c>
      <c r="D6440" s="630" t="s">
        <v>11</v>
      </c>
      <c r="E6440" s="630" t="s">
        <v>649</v>
      </c>
      <c r="F6440" s="829">
        <v>1.86</v>
      </c>
      <c r="G6440" s="830">
        <v>4.4000000000000004</v>
      </c>
      <c r="H6440" s="831">
        <v>6.26</v>
      </c>
    </row>
    <row r="6441" spans="2:8" ht="51" hidden="1">
      <c r="B6441" s="828" t="s">
        <v>6535</v>
      </c>
      <c r="C6441" s="828">
        <v>87280</v>
      </c>
      <c r="D6441" s="630" t="s">
        <v>3433</v>
      </c>
      <c r="E6441" s="630" t="s">
        <v>644</v>
      </c>
      <c r="F6441" s="829">
        <v>302.01</v>
      </c>
      <c r="G6441" s="830">
        <v>84.69</v>
      </c>
      <c r="H6441" s="831">
        <v>386.7</v>
      </c>
    </row>
    <row r="6442" spans="2:8" ht="51" hidden="1">
      <c r="B6442" s="828" t="s">
        <v>6535</v>
      </c>
      <c r="C6442" s="828">
        <v>87281</v>
      </c>
      <c r="D6442" s="630" t="s">
        <v>3434</v>
      </c>
      <c r="E6442" s="630" t="s">
        <v>644</v>
      </c>
      <c r="F6442" s="829">
        <v>304.84999999999997</v>
      </c>
      <c r="G6442" s="830">
        <v>74.55</v>
      </c>
      <c r="H6442" s="831">
        <v>379.4</v>
      </c>
    </row>
    <row r="6443" spans="2:8" ht="51" hidden="1">
      <c r="B6443" s="828" t="s">
        <v>6535</v>
      </c>
      <c r="C6443" s="828">
        <v>87283</v>
      </c>
      <c r="D6443" s="630" t="s">
        <v>3435</v>
      </c>
      <c r="E6443" s="630" t="s">
        <v>644</v>
      </c>
      <c r="F6443" s="829">
        <v>322.95</v>
      </c>
      <c r="G6443" s="830">
        <v>76.08</v>
      </c>
      <c r="H6443" s="831">
        <v>399.03</v>
      </c>
    </row>
    <row r="6444" spans="2:8" ht="51" hidden="1">
      <c r="B6444" s="828" t="s">
        <v>6535</v>
      </c>
      <c r="C6444" s="828">
        <v>87284</v>
      </c>
      <c r="D6444" s="630" t="s">
        <v>3436</v>
      </c>
      <c r="E6444" s="630" t="s">
        <v>644</v>
      </c>
      <c r="F6444" s="829">
        <v>323.75999999999993</v>
      </c>
      <c r="G6444" s="830">
        <v>66.84</v>
      </c>
      <c r="H6444" s="831">
        <v>390.6</v>
      </c>
    </row>
    <row r="6445" spans="2:8" ht="38.25" hidden="1">
      <c r="B6445" s="828" t="s">
        <v>6535</v>
      </c>
      <c r="C6445" s="828">
        <v>87286</v>
      </c>
      <c r="D6445" s="630" t="s">
        <v>3437</v>
      </c>
      <c r="E6445" s="630" t="s">
        <v>644</v>
      </c>
      <c r="F6445" s="829">
        <v>381.72999999999996</v>
      </c>
      <c r="G6445" s="830">
        <v>90.66</v>
      </c>
      <c r="H6445" s="831">
        <v>472.39</v>
      </c>
    </row>
    <row r="6446" spans="2:8" ht="38.25" hidden="1">
      <c r="B6446" s="828" t="s">
        <v>6535</v>
      </c>
      <c r="C6446" s="828">
        <v>87287</v>
      </c>
      <c r="D6446" s="630" t="s">
        <v>3438</v>
      </c>
      <c r="E6446" s="630" t="s">
        <v>644</v>
      </c>
      <c r="F6446" s="829">
        <v>383.53</v>
      </c>
      <c r="G6446" s="830">
        <v>68.23</v>
      </c>
      <c r="H6446" s="831">
        <v>451.76</v>
      </c>
    </row>
    <row r="6447" spans="2:8" ht="38.25" hidden="1">
      <c r="B6447" s="828" t="s">
        <v>6535</v>
      </c>
      <c r="C6447" s="828">
        <v>87289</v>
      </c>
      <c r="D6447" s="630" t="s">
        <v>3439</v>
      </c>
      <c r="E6447" s="630" t="s">
        <v>644</v>
      </c>
      <c r="F6447" s="829">
        <v>361.55</v>
      </c>
      <c r="G6447" s="830">
        <v>85.56</v>
      </c>
      <c r="H6447" s="831">
        <v>447.11</v>
      </c>
    </row>
    <row r="6448" spans="2:8" ht="38.25" hidden="1">
      <c r="B6448" s="828" t="s">
        <v>6535</v>
      </c>
      <c r="C6448" s="828">
        <v>87290</v>
      </c>
      <c r="D6448" s="630" t="s">
        <v>3440</v>
      </c>
      <c r="E6448" s="630" t="s">
        <v>644</v>
      </c>
      <c r="F6448" s="829">
        <v>363.52000000000004</v>
      </c>
      <c r="G6448" s="830">
        <v>72.97</v>
      </c>
      <c r="H6448" s="831">
        <v>436.49</v>
      </c>
    </row>
    <row r="6449" spans="2:8" ht="38.25" hidden="1">
      <c r="B6449" s="828" t="s">
        <v>6535</v>
      </c>
      <c r="C6449" s="828">
        <v>87292</v>
      </c>
      <c r="D6449" s="630" t="s">
        <v>3441</v>
      </c>
      <c r="E6449" s="630" t="s">
        <v>644</v>
      </c>
      <c r="F6449" s="829">
        <v>368.86</v>
      </c>
      <c r="G6449" s="830">
        <v>79.06</v>
      </c>
      <c r="H6449" s="831">
        <v>447.92</v>
      </c>
    </row>
    <row r="6450" spans="2:8" ht="38.25" hidden="1">
      <c r="B6450" s="828" t="s">
        <v>6535</v>
      </c>
      <c r="C6450" s="828">
        <v>87294</v>
      </c>
      <c r="D6450" s="630" t="s">
        <v>3442</v>
      </c>
      <c r="E6450" s="630" t="s">
        <v>644</v>
      </c>
      <c r="F6450" s="829">
        <v>352.40999999999997</v>
      </c>
      <c r="G6450" s="830">
        <v>77.7</v>
      </c>
      <c r="H6450" s="831">
        <v>430.11</v>
      </c>
    </row>
    <row r="6451" spans="2:8" ht="38.25" hidden="1">
      <c r="B6451" s="828" t="s">
        <v>6535</v>
      </c>
      <c r="C6451" s="828">
        <v>87295</v>
      </c>
      <c r="D6451" s="630" t="s">
        <v>3443</v>
      </c>
      <c r="E6451" s="630" t="s">
        <v>644</v>
      </c>
      <c r="F6451" s="829">
        <v>341.30000000000007</v>
      </c>
      <c r="G6451" s="830">
        <v>97.16</v>
      </c>
      <c r="H6451" s="831">
        <v>438.46</v>
      </c>
    </row>
    <row r="6452" spans="2:8" ht="38.25" hidden="1">
      <c r="B6452" s="828" t="s">
        <v>6535</v>
      </c>
      <c r="C6452" s="828">
        <v>87296</v>
      </c>
      <c r="D6452" s="630" t="s">
        <v>3444</v>
      </c>
      <c r="E6452" s="630" t="s">
        <v>644</v>
      </c>
      <c r="F6452" s="829">
        <v>338.98</v>
      </c>
      <c r="G6452" s="830">
        <v>68.75</v>
      </c>
      <c r="H6452" s="831">
        <v>407.73</v>
      </c>
    </row>
    <row r="6453" spans="2:8" ht="38.25" hidden="1">
      <c r="B6453" s="828" t="s">
        <v>6535</v>
      </c>
      <c r="C6453" s="828">
        <v>87298</v>
      </c>
      <c r="D6453" s="630" t="s">
        <v>3445</v>
      </c>
      <c r="E6453" s="630" t="s">
        <v>644</v>
      </c>
      <c r="F6453" s="829">
        <v>515.54000000000008</v>
      </c>
      <c r="G6453" s="830">
        <v>77.650000000000006</v>
      </c>
      <c r="H6453" s="831">
        <v>593.19000000000005</v>
      </c>
    </row>
    <row r="6454" spans="2:8" ht="38.25" hidden="1">
      <c r="B6454" s="828" t="s">
        <v>6535</v>
      </c>
      <c r="C6454" s="828">
        <v>87299</v>
      </c>
      <c r="D6454" s="630" t="s">
        <v>3446</v>
      </c>
      <c r="E6454" s="630" t="s">
        <v>644</v>
      </c>
      <c r="F6454" s="829">
        <v>317.66000000000003</v>
      </c>
      <c r="G6454" s="830">
        <v>71.56</v>
      </c>
      <c r="H6454" s="831">
        <v>389.22</v>
      </c>
    </row>
    <row r="6455" spans="2:8" ht="38.25" hidden="1">
      <c r="B6455" s="828" t="s">
        <v>6535</v>
      </c>
      <c r="C6455" s="828">
        <v>87301</v>
      </c>
      <c r="D6455" s="630" t="s">
        <v>3447</v>
      </c>
      <c r="E6455" s="630" t="s">
        <v>644</v>
      </c>
      <c r="F6455" s="829">
        <v>449.34</v>
      </c>
      <c r="G6455" s="830">
        <v>85.21</v>
      </c>
      <c r="H6455" s="831">
        <v>534.54999999999995</v>
      </c>
    </row>
    <row r="6456" spans="2:8" ht="38.25" hidden="1">
      <c r="B6456" s="828" t="s">
        <v>6535</v>
      </c>
      <c r="C6456" s="828">
        <v>87302</v>
      </c>
      <c r="D6456" s="630" t="s">
        <v>3448</v>
      </c>
      <c r="E6456" s="630" t="s">
        <v>644</v>
      </c>
      <c r="F6456" s="829">
        <v>451.77000000000004</v>
      </c>
      <c r="G6456" s="830">
        <v>72.260000000000005</v>
      </c>
      <c r="H6456" s="831">
        <v>524.03</v>
      </c>
    </row>
    <row r="6457" spans="2:8" ht="38.25" hidden="1">
      <c r="B6457" s="828" t="s">
        <v>6535</v>
      </c>
      <c r="C6457" s="828">
        <v>87304</v>
      </c>
      <c r="D6457" s="630" t="s">
        <v>3449</v>
      </c>
      <c r="E6457" s="630" t="s">
        <v>644</v>
      </c>
      <c r="F6457" s="829">
        <v>403.59999999999997</v>
      </c>
      <c r="G6457" s="830">
        <v>77.3</v>
      </c>
      <c r="H6457" s="831">
        <v>480.9</v>
      </c>
    </row>
    <row r="6458" spans="2:8" ht="38.25" hidden="1">
      <c r="B6458" s="828" t="s">
        <v>6535</v>
      </c>
      <c r="C6458" s="828">
        <v>87305</v>
      </c>
      <c r="D6458" s="630" t="s">
        <v>3450</v>
      </c>
      <c r="E6458" s="630" t="s">
        <v>644</v>
      </c>
      <c r="F6458" s="829">
        <v>408.2</v>
      </c>
      <c r="G6458" s="830">
        <v>74.88</v>
      </c>
      <c r="H6458" s="831">
        <v>483.08</v>
      </c>
    </row>
    <row r="6459" spans="2:8" ht="38.25" hidden="1">
      <c r="B6459" s="828" t="s">
        <v>6535</v>
      </c>
      <c r="C6459" s="828">
        <v>87307</v>
      </c>
      <c r="D6459" s="630" t="s">
        <v>3451</v>
      </c>
      <c r="E6459" s="630" t="s">
        <v>644</v>
      </c>
      <c r="F6459" s="829">
        <v>373.75</v>
      </c>
      <c r="G6459" s="830">
        <v>85.21</v>
      </c>
      <c r="H6459" s="831">
        <v>458.96</v>
      </c>
    </row>
    <row r="6460" spans="2:8" ht="38.25" hidden="1">
      <c r="B6460" s="828" t="s">
        <v>6535</v>
      </c>
      <c r="C6460" s="828">
        <v>87308</v>
      </c>
      <c r="D6460" s="630" t="s">
        <v>3452</v>
      </c>
      <c r="E6460" s="630" t="s">
        <v>644</v>
      </c>
      <c r="F6460" s="829">
        <v>374.14</v>
      </c>
      <c r="G6460" s="830">
        <v>74.38</v>
      </c>
      <c r="H6460" s="831">
        <v>448.52</v>
      </c>
    </row>
    <row r="6461" spans="2:8" ht="38.25" hidden="1">
      <c r="B6461" s="828" t="s">
        <v>6535</v>
      </c>
      <c r="C6461" s="828">
        <v>87310</v>
      </c>
      <c r="D6461" s="630" t="s">
        <v>3453</v>
      </c>
      <c r="E6461" s="630" t="s">
        <v>644</v>
      </c>
      <c r="F6461" s="829">
        <v>309.13</v>
      </c>
      <c r="G6461" s="830">
        <v>75.540000000000006</v>
      </c>
      <c r="H6461" s="831">
        <v>384.67</v>
      </c>
    </row>
    <row r="6462" spans="2:8" ht="38.25" hidden="1">
      <c r="B6462" s="828" t="s">
        <v>6535</v>
      </c>
      <c r="C6462" s="828">
        <v>87311</v>
      </c>
      <c r="D6462" s="630" t="s">
        <v>3454</v>
      </c>
      <c r="E6462" s="630" t="s">
        <v>644</v>
      </c>
      <c r="F6462" s="829">
        <v>309.40000000000003</v>
      </c>
      <c r="G6462" s="830">
        <v>64.569999999999993</v>
      </c>
      <c r="H6462" s="831">
        <v>373.97</v>
      </c>
    </row>
    <row r="6463" spans="2:8" ht="38.25" hidden="1">
      <c r="B6463" s="828" t="s">
        <v>6535</v>
      </c>
      <c r="C6463" s="828">
        <v>87313</v>
      </c>
      <c r="D6463" s="630" t="s">
        <v>3455</v>
      </c>
      <c r="E6463" s="630" t="s">
        <v>644</v>
      </c>
      <c r="F6463" s="829">
        <v>391.23</v>
      </c>
      <c r="G6463" s="830">
        <v>75.89</v>
      </c>
      <c r="H6463" s="831">
        <v>467.12</v>
      </c>
    </row>
    <row r="6464" spans="2:8" ht="38.25" hidden="1">
      <c r="B6464" s="828" t="s">
        <v>6535</v>
      </c>
      <c r="C6464" s="828">
        <v>87314</v>
      </c>
      <c r="D6464" s="630" t="s">
        <v>3456</v>
      </c>
      <c r="E6464" s="630" t="s">
        <v>644</v>
      </c>
      <c r="F6464" s="829">
        <v>393.16</v>
      </c>
      <c r="G6464" s="830">
        <v>64.91</v>
      </c>
      <c r="H6464" s="831">
        <v>458.07</v>
      </c>
    </row>
    <row r="6465" spans="2:8" ht="38.25" hidden="1">
      <c r="B6465" s="828" t="s">
        <v>6535</v>
      </c>
      <c r="C6465" s="828">
        <v>87316</v>
      </c>
      <c r="D6465" s="630" t="s">
        <v>3457</v>
      </c>
      <c r="E6465" s="630" t="s">
        <v>644</v>
      </c>
      <c r="F6465" s="829">
        <v>343.40000000000003</v>
      </c>
      <c r="G6465" s="830">
        <v>81.53</v>
      </c>
      <c r="H6465" s="831">
        <v>424.93</v>
      </c>
    </row>
    <row r="6466" spans="2:8" ht="38.25" hidden="1">
      <c r="B6466" s="828" t="s">
        <v>6535</v>
      </c>
      <c r="C6466" s="828">
        <v>87317</v>
      </c>
      <c r="D6466" s="630" t="s">
        <v>3458</v>
      </c>
      <c r="E6466" s="630" t="s">
        <v>644</v>
      </c>
      <c r="F6466" s="829">
        <v>343.53000000000003</v>
      </c>
      <c r="G6466" s="830">
        <v>64.92</v>
      </c>
      <c r="H6466" s="831">
        <v>408.45</v>
      </c>
    </row>
    <row r="6467" spans="2:8" ht="38.25" hidden="1">
      <c r="B6467" s="828" t="s">
        <v>6535</v>
      </c>
      <c r="C6467" s="828">
        <v>87319</v>
      </c>
      <c r="D6467" s="630" t="s">
        <v>3459</v>
      </c>
      <c r="E6467" s="630" t="s">
        <v>644</v>
      </c>
      <c r="F6467" s="829">
        <v>3124.56</v>
      </c>
      <c r="G6467" s="830">
        <v>75.89</v>
      </c>
      <c r="H6467" s="831">
        <v>3200.45</v>
      </c>
    </row>
    <row r="6468" spans="2:8" ht="38.25" hidden="1">
      <c r="B6468" s="828" t="s">
        <v>6535</v>
      </c>
      <c r="C6468" s="828">
        <v>87320</v>
      </c>
      <c r="D6468" s="630" t="s">
        <v>3460</v>
      </c>
      <c r="E6468" s="630" t="s">
        <v>644</v>
      </c>
      <c r="F6468" s="829">
        <v>3138.11</v>
      </c>
      <c r="G6468" s="830">
        <v>65.61</v>
      </c>
      <c r="H6468" s="831">
        <v>3203.72</v>
      </c>
    </row>
    <row r="6469" spans="2:8" ht="38.25" hidden="1">
      <c r="B6469" s="828" t="s">
        <v>6535</v>
      </c>
      <c r="C6469" s="828">
        <v>87322</v>
      </c>
      <c r="D6469" s="630" t="s">
        <v>3461</v>
      </c>
      <c r="E6469" s="630" t="s">
        <v>644</v>
      </c>
      <c r="F6469" s="829">
        <v>3219.2400000000002</v>
      </c>
      <c r="G6469" s="830">
        <v>80.11</v>
      </c>
      <c r="H6469" s="831">
        <v>3299.35</v>
      </c>
    </row>
    <row r="6470" spans="2:8" ht="38.25" hidden="1">
      <c r="B6470" s="828" t="s">
        <v>6535</v>
      </c>
      <c r="C6470" s="828">
        <v>87323</v>
      </c>
      <c r="D6470" s="630" t="s">
        <v>3462</v>
      </c>
      <c r="E6470" s="630" t="s">
        <v>644</v>
      </c>
      <c r="F6470" s="829">
        <v>3232.06</v>
      </c>
      <c r="G6470" s="830">
        <v>63.5</v>
      </c>
      <c r="H6470" s="831">
        <v>3295.56</v>
      </c>
    </row>
    <row r="6471" spans="2:8" ht="38.25" hidden="1">
      <c r="B6471" s="828" t="s">
        <v>6535</v>
      </c>
      <c r="C6471" s="828">
        <v>87325</v>
      </c>
      <c r="D6471" s="630" t="s">
        <v>3463</v>
      </c>
      <c r="E6471" s="630" t="s">
        <v>644</v>
      </c>
      <c r="F6471" s="829">
        <v>3144.08</v>
      </c>
      <c r="G6471" s="830">
        <v>82.39</v>
      </c>
      <c r="H6471" s="831">
        <v>3226.47</v>
      </c>
    </row>
    <row r="6472" spans="2:8" ht="38.25" hidden="1">
      <c r="B6472" s="828" t="s">
        <v>6535</v>
      </c>
      <c r="C6472" s="828">
        <v>87326</v>
      </c>
      <c r="D6472" s="630" t="s">
        <v>3464</v>
      </c>
      <c r="E6472" s="630" t="s">
        <v>644</v>
      </c>
      <c r="F6472" s="829">
        <v>3170.6400000000003</v>
      </c>
      <c r="G6472" s="830">
        <v>59.82</v>
      </c>
      <c r="H6472" s="831">
        <v>3230.46</v>
      </c>
    </row>
    <row r="6473" spans="2:8" ht="51" hidden="1">
      <c r="B6473" s="828" t="s">
        <v>6535</v>
      </c>
      <c r="C6473" s="828">
        <v>87327</v>
      </c>
      <c r="D6473" s="630" t="s">
        <v>3465</v>
      </c>
      <c r="E6473" s="630" t="s">
        <v>644</v>
      </c>
      <c r="F6473" s="829">
        <v>308.58</v>
      </c>
      <c r="G6473" s="830">
        <v>102.61</v>
      </c>
      <c r="H6473" s="831">
        <v>411.19</v>
      </c>
    </row>
    <row r="6474" spans="2:8" ht="51" hidden="1">
      <c r="B6474" s="828" t="s">
        <v>6535</v>
      </c>
      <c r="C6474" s="828">
        <v>87328</v>
      </c>
      <c r="D6474" s="630" t="s">
        <v>3466</v>
      </c>
      <c r="E6474" s="630" t="s">
        <v>644</v>
      </c>
      <c r="F6474" s="829">
        <v>293.31</v>
      </c>
      <c r="G6474" s="830">
        <v>56.7</v>
      </c>
      <c r="H6474" s="831">
        <v>350.01</v>
      </c>
    </row>
    <row r="6475" spans="2:8" ht="51" hidden="1">
      <c r="B6475" s="828" t="s">
        <v>6535</v>
      </c>
      <c r="C6475" s="828">
        <v>87329</v>
      </c>
      <c r="D6475" s="630" t="s">
        <v>3467</v>
      </c>
      <c r="E6475" s="630" t="s">
        <v>644</v>
      </c>
      <c r="F6475" s="829">
        <v>332.07</v>
      </c>
      <c r="G6475" s="830">
        <v>111.04</v>
      </c>
      <c r="H6475" s="831">
        <v>443.11</v>
      </c>
    </row>
    <row r="6476" spans="2:8" ht="51" hidden="1">
      <c r="B6476" s="828" t="s">
        <v>6535</v>
      </c>
      <c r="C6476" s="828">
        <v>87330</v>
      </c>
      <c r="D6476" s="630" t="s">
        <v>3468</v>
      </c>
      <c r="E6476" s="630" t="s">
        <v>644</v>
      </c>
      <c r="F6476" s="829">
        <v>314.43000000000006</v>
      </c>
      <c r="G6476" s="830">
        <v>59.33</v>
      </c>
      <c r="H6476" s="831">
        <v>373.76</v>
      </c>
    </row>
    <row r="6477" spans="2:8" ht="51" hidden="1">
      <c r="B6477" s="828" t="s">
        <v>6535</v>
      </c>
      <c r="C6477" s="828">
        <v>87331</v>
      </c>
      <c r="D6477" s="630" t="s">
        <v>3469</v>
      </c>
      <c r="E6477" s="630" t="s">
        <v>644</v>
      </c>
      <c r="F6477" s="829">
        <v>387.69</v>
      </c>
      <c r="G6477" s="830">
        <v>108.94</v>
      </c>
      <c r="H6477" s="831">
        <v>496.63</v>
      </c>
    </row>
    <row r="6478" spans="2:8" ht="51" hidden="1">
      <c r="B6478" s="828" t="s">
        <v>6535</v>
      </c>
      <c r="C6478" s="828">
        <v>87332</v>
      </c>
      <c r="D6478" s="630" t="s">
        <v>3470</v>
      </c>
      <c r="E6478" s="630" t="s">
        <v>644</v>
      </c>
      <c r="F6478" s="829">
        <v>372.33</v>
      </c>
      <c r="G6478" s="830">
        <v>60.19</v>
      </c>
      <c r="H6478" s="831">
        <v>432.52</v>
      </c>
    </row>
    <row r="6479" spans="2:8" ht="51" hidden="1">
      <c r="B6479" s="828" t="s">
        <v>6535</v>
      </c>
      <c r="C6479" s="828">
        <v>87333</v>
      </c>
      <c r="D6479" s="630" t="s">
        <v>3471</v>
      </c>
      <c r="E6479" s="630" t="s">
        <v>644</v>
      </c>
      <c r="F6479" s="829">
        <v>360.31999999999994</v>
      </c>
      <c r="G6479" s="830">
        <v>94.17</v>
      </c>
      <c r="H6479" s="831">
        <v>454.49</v>
      </c>
    </row>
    <row r="6480" spans="2:8" ht="51" hidden="1">
      <c r="B6480" s="828" t="s">
        <v>6535</v>
      </c>
      <c r="C6480" s="828">
        <v>87334</v>
      </c>
      <c r="D6480" s="630" t="s">
        <v>3472</v>
      </c>
      <c r="E6480" s="630" t="s">
        <v>644</v>
      </c>
      <c r="F6480" s="829">
        <v>351.19000000000005</v>
      </c>
      <c r="G6480" s="830">
        <v>64.58</v>
      </c>
      <c r="H6480" s="831">
        <v>415.77</v>
      </c>
    </row>
    <row r="6481" spans="2:8" ht="51" hidden="1">
      <c r="B6481" s="828" t="s">
        <v>6535</v>
      </c>
      <c r="C6481" s="828">
        <v>87335</v>
      </c>
      <c r="D6481" s="630" t="s">
        <v>3473</v>
      </c>
      <c r="E6481" s="630" t="s">
        <v>644</v>
      </c>
      <c r="F6481" s="829">
        <v>359.19999999999993</v>
      </c>
      <c r="G6481" s="830">
        <v>87.15</v>
      </c>
      <c r="H6481" s="831">
        <v>446.35</v>
      </c>
    </row>
    <row r="6482" spans="2:8" ht="51" hidden="1">
      <c r="B6482" s="828" t="s">
        <v>6535</v>
      </c>
      <c r="C6482" s="828">
        <v>87336</v>
      </c>
      <c r="D6482" s="630" t="s">
        <v>3474</v>
      </c>
      <c r="E6482" s="630" t="s">
        <v>644</v>
      </c>
      <c r="F6482" s="829">
        <v>359.68</v>
      </c>
      <c r="G6482" s="830">
        <v>61.95</v>
      </c>
      <c r="H6482" s="831">
        <v>421.63</v>
      </c>
    </row>
    <row r="6483" spans="2:8" ht="51" hidden="1">
      <c r="B6483" s="828" t="s">
        <v>6535</v>
      </c>
      <c r="C6483" s="828">
        <v>87337</v>
      </c>
      <c r="D6483" s="630" t="s">
        <v>3475</v>
      </c>
      <c r="E6483" s="630" t="s">
        <v>644</v>
      </c>
      <c r="F6483" s="829">
        <v>348.67</v>
      </c>
      <c r="G6483" s="830">
        <v>85.74</v>
      </c>
      <c r="H6483" s="831">
        <v>434.41</v>
      </c>
    </row>
    <row r="6484" spans="2:8" ht="51" hidden="1">
      <c r="B6484" s="828" t="s">
        <v>6535</v>
      </c>
      <c r="C6484" s="828">
        <v>87338</v>
      </c>
      <c r="D6484" s="630" t="s">
        <v>3476</v>
      </c>
      <c r="E6484" s="630" t="s">
        <v>644</v>
      </c>
      <c r="F6484" s="829">
        <v>333.40999999999997</v>
      </c>
      <c r="G6484" s="830">
        <v>76.16</v>
      </c>
      <c r="H6484" s="831">
        <v>409.57</v>
      </c>
    </row>
    <row r="6485" spans="2:8" ht="38.25" hidden="1">
      <c r="B6485" s="828" t="s">
        <v>6535</v>
      </c>
      <c r="C6485" s="828">
        <v>87339</v>
      </c>
      <c r="D6485" s="630" t="s">
        <v>3477</v>
      </c>
      <c r="E6485" s="630" t="s">
        <v>644</v>
      </c>
      <c r="F6485" s="829">
        <v>541.17999999999995</v>
      </c>
      <c r="G6485" s="830">
        <v>181.85</v>
      </c>
      <c r="H6485" s="831">
        <v>723.03</v>
      </c>
    </row>
    <row r="6486" spans="2:8" ht="38.25" hidden="1">
      <c r="B6486" s="828" t="s">
        <v>6535</v>
      </c>
      <c r="C6486" s="828">
        <v>87340</v>
      </c>
      <c r="D6486" s="630" t="s">
        <v>3478</v>
      </c>
      <c r="E6486" s="630" t="s">
        <v>644</v>
      </c>
      <c r="F6486" s="829">
        <v>509.11</v>
      </c>
      <c r="G6486" s="830">
        <v>83.97</v>
      </c>
      <c r="H6486" s="831">
        <v>593.08000000000004</v>
      </c>
    </row>
    <row r="6487" spans="2:8" ht="38.25" hidden="1">
      <c r="B6487" s="828" t="s">
        <v>6535</v>
      </c>
      <c r="C6487" s="828">
        <v>87341</v>
      </c>
      <c r="D6487" s="630" t="s">
        <v>3479</v>
      </c>
      <c r="E6487" s="630" t="s">
        <v>644</v>
      </c>
      <c r="F6487" s="829">
        <v>501.97999999999996</v>
      </c>
      <c r="G6487" s="830">
        <v>58.97</v>
      </c>
      <c r="H6487" s="831">
        <v>560.95000000000005</v>
      </c>
    </row>
    <row r="6488" spans="2:8" ht="38.25" hidden="1">
      <c r="B6488" s="828" t="s">
        <v>6535</v>
      </c>
      <c r="C6488" s="828">
        <v>87342</v>
      </c>
      <c r="D6488" s="630" t="s">
        <v>3480</v>
      </c>
      <c r="E6488" s="630" t="s">
        <v>644</v>
      </c>
      <c r="F6488" s="829">
        <v>463.95</v>
      </c>
      <c r="G6488" s="830">
        <v>146.71</v>
      </c>
      <c r="H6488" s="831">
        <v>610.66</v>
      </c>
    </row>
    <row r="6489" spans="2:8" ht="38.25" hidden="1">
      <c r="B6489" s="630" t="s">
        <v>6535</v>
      </c>
      <c r="C6489" s="630">
        <v>87343</v>
      </c>
      <c r="D6489" s="630" t="s">
        <v>3481</v>
      </c>
      <c r="E6489" s="630" t="s">
        <v>644</v>
      </c>
      <c r="F6489" s="980">
        <v>446.1</v>
      </c>
      <c r="G6489" s="980">
        <v>91</v>
      </c>
      <c r="H6489" s="630">
        <v>537.1</v>
      </c>
    </row>
    <row r="6490" spans="2:8" ht="38.25" hidden="1">
      <c r="B6490" s="630" t="s">
        <v>6535</v>
      </c>
      <c r="C6490" s="630">
        <v>87344</v>
      </c>
      <c r="D6490" s="630" t="s">
        <v>3482</v>
      </c>
      <c r="E6490" s="630" t="s">
        <v>644</v>
      </c>
      <c r="F6490" s="980">
        <v>437.86</v>
      </c>
      <c r="G6490" s="980">
        <v>58.8</v>
      </c>
      <c r="H6490" s="630">
        <v>496.66</v>
      </c>
    </row>
    <row r="6491" spans="2:8" ht="38.25" hidden="1">
      <c r="B6491" s="630" t="s">
        <v>6535</v>
      </c>
      <c r="C6491" s="630">
        <v>87345</v>
      </c>
      <c r="D6491" s="630" t="s">
        <v>3483</v>
      </c>
      <c r="E6491" s="630" t="s">
        <v>644</v>
      </c>
      <c r="F6491" s="980">
        <v>414.65000000000003</v>
      </c>
      <c r="G6491" s="980">
        <v>130.71</v>
      </c>
      <c r="H6491" s="630">
        <v>545.36</v>
      </c>
    </row>
    <row r="6492" spans="2:8" ht="38.25" hidden="1">
      <c r="B6492" s="630" t="s">
        <v>6535</v>
      </c>
      <c r="C6492" s="630">
        <v>87346</v>
      </c>
      <c r="D6492" s="630" t="s">
        <v>3484</v>
      </c>
      <c r="E6492" s="630" t="s">
        <v>644</v>
      </c>
      <c r="F6492" s="980">
        <v>400.40999999999997</v>
      </c>
      <c r="G6492" s="980">
        <v>84.15</v>
      </c>
      <c r="H6492" s="630">
        <v>484.56</v>
      </c>
    </row>
    <row r="6493" spans="2:8" ht="38.25" hidden="1">
      <c r="B6493" s="630" t="s">
        <v>6535</v>
      </c>
      <c r="C6493" s="630">
        <v>87347</v>
      </c>
      <c r="D6493" s="630" t="s">
        <v>3485</v>
      </c>
      <c r="E6493" s="630" t="s">
        <v>644</v>
      </c>
      <c r="F6493" s="980">
        <v>393.44000000000005</v>
      </c>
      <c r="G6493" s="980">
        <v>59.15</v>
      </c>
      <c r="H6493" s="630">
        <v>452.59</v>
      </c>
    </row>
    <row r="6494" spans="2:8" ht="38.25" hidden="1">
      <c r="B6494" s="630" t="s">
        <v>6535</v>
      </c>
      <c r="C6494" s="630">
        <v>87348</v>
      </c>
      <c r="D6494" s="630" t="s">
        <v>3486</v>
      </c>
      <c r="E6494" s="630" t="s">
        <v>644</v>
      </c>
      <c r="F6494" s="980">
        <v>378.67</v>
      </c>
      <c r="G6494" s="980">
        <v>117.72</v>
      </c>
      <c r="H6494" s="630">
        <v>496.39</v>
      </c>
    </row>
    <row r="6495" spans="2:8" ht="38.25" hidden="1">
      <c r="B6495" s="630" t="s">
        <v>6535</v>
      </c>
      <c r="C6495" s="630">
        <v>87349</v>
      </c>
      <c r="D6495" s="630" t="s">
        <v>3487</v>
      </c>
      <c r="E6495" s="630" t="s">
        <v>644</v>
      </c>
      <c r="F6495" s="980">
        <v>361.34</v>
      </c>
      <c r="G6495" s="980">
        <v>55.64</v>
      </c>
      <c r="H6495" s="630">
        <v>416.98</v>
      </c>
    </row>
    <row r="6496" spans="2:8" ht="38.25" hidden="1">
      <c r="B6496" s="630" t="s">
        <v>6535</v>
      </c>
      <c r="C6496" s="630">
        <v>87350</v>
      </c>
      <c r="D6496" s="630" t="s">
        <v>3488</v>
      </c>
      <c r="E6496" s="630" t="s">
        <v>644</v>
      </c>
      <c r="F6496" s="980">
        <v>320.58999999999997</v>
      </c>
      <c r="G6496" s="980">
        <v>112.62</v>
      </c>
      <c r="H6496" s="630">
        <v>433.21</v>
      </c>
    </row>
    <row r="6497" spans="2:8" ht="38.25" hidden="1">
      <c r="B6497" s="630" t="s">
        <v>6535</v>
      </c>
      <c r="C6497" s="630">
        <v>87351</v>
      </c>
      <c r="D6497" s="630" t="s">
        <v>3489</v>
      </c>
      <c r="E6497" s="630" t="s">
        <v>644</v>
      </c>
      <c r="F6497" s="980">
        <v>301.11999999999995</v>
      </c>
      <c r="G6497" s="980">
        <v>57.59</v>
      </c>
      <c r="H6497" s="630">
        <v>358.71</v>
      </c>
    </row>
    <row r="6498" spans="2:8" ht="38.25" hidden="1">
      <c r="B6498" s="630" t="s">
        <v>6535</v>
      </c>
      <c r="C6498" s="630">
        <v>87352</v>
      </c>
      <c r="D6498" s="630" t="s">
        <v>3490</v>
      </c>
      <c r="E6498" s="630" t="s">
        <v>644</v>
      </c>
      <c r="F6498" s="980">
        <v>410.15000000000003</v>
      </c>
      <c r="G6498" s="980">
        <v>142.84</v>
      </c>
      <c r="H6498" s="630">
        <v>552.99</v>
      </c>
    </row>
    <row r="6499" spans="2:8" ht="38.25" hidden="1">
      <c r="B6499" s="630" t="s">
        <v>6535</v>
      </c>
      <c r="C6499" s="630">
        <v>87353</v>
      </c>
      <c r="D6499" s="630" t="s">
        <v>3491</v>
      </c>
      <c r="E6499" s="630" t="s">
        <v>644</v>
      </c>
      <c r="F6499" s="980">
        <v>389.33</v>
      </c>
      <c r="G6499" s="980">
        <v>83.63</v>
      </c>
      <c r="H6499" s="630">
        <v>472.96</v>
      </c>
    </row>
    <row r="6500" spans="2:8" ht="38.25" hidden="1">
      <c r="B6500" s="630" t="s">
        <v>6535</v>
      </c>
      <c r="C6500" s="630">
        <v>87354</v>
      </c>
      <c r="D6500" s="630" t="s">
        <v>3492</v>
      </c>
      <c r="E6500" s="630" t="s">
        <v>644</v>
      </c>
      <c r="F6500" s="980">
        <v>382.32000000000005</v>
      </c>
      <c r="G6500" s="980">
        <v>54.77</v>
      </c>
      <c r="H6500" s="630">
        <v>437.09</v>
      </c>
    </row>
    <row r="6501" spans="2:8" ht="38.25" hidden="1">
      <c r="B6501" s="630" t="s">
        <v>6535</v>
      </c>
      <c r="C6501" s="630">
        <v>87355</v>
      </c>
      <c r="D6501" s="630" t="s">
        <v>3493</v>
      </c>
      <c r="E6501" s="630" t="s">
        <v>644</v>
      </c>
      <c r="F6501" s="980">
        <v>350.96</v>
      </c>
      <c r="G6501" s="980">
        <v>115.09</v>
      </c>
      <c r="H6501" s="630">
        <v>466.05</v>
      </c>
    </row>
    <row r="6502" spans="2:8" ht="38.25" hidden="1">
      <c r="B6502" s="630" t="s">
        <v>6535</v>
      </c>
      <c r="C6502" s="630">
        <v>87356</v>
      </c>
      <c r="D6502" s="630" t="s">
        <v>3494</v>
      </c>
      <c r="E6502" s="630" t="s">
        <v>644</v>
      </c>
      <c r="F6502" s="980">
        <v>338.21000000000004</v>
      </c>
      <c r="G6502" s="980">
        <v>73.44</v>
      </c>
      <c r="H6502" s="630">
        <v>411.65</v>
      </c>
    </row>
    <row r="6503" spans="2:8" ht="38.25" hidden="1">
      <c r="B6503" s="630" t="s">
        <v>6535</v>
      </c>
      <c r="C6503" s="630">
        <v>87357</v>
      </c>
      <c r="D6503" s="630" t="s">
        <v>3495</v>
      </c>
      <c r="E6503" s="630" t="s">
        <v>644</v>
      </c>
      <c r="F6503" s="980">
        <v>332.45000000000005</v>
      </c>
      <c r="G6503" s="980">
        <v>53.37</v>
      </c>
      <c r="H6503" s="630">
        <v>385.82</v>
      </c>
    </row>
    <row r="6504" spans="2:8" ht="51" hidden="1">
      <c r="B6504" s="630" t="s">
        <v>6535</v>
      </c>
      <c r="C6504" s="630">
        <v>87358</v>
      </c>
      <c r="D6504" s="630" t="s">
        <v>3496</v>
      </c>
      <c r="E6504" s="630" t="s">
        <v>644</v>
      </c>
      <c r="F6504" s="980">
        <v>3074.06</v>
      </c>
      <c r="G6504" s="980">
        <v>94.35</v>
      </c>
      <c r="H6504" s="630">
        <v>3168.41</v>
      </c>
    </row>
    <row r="6505" spans="2:8" ht="51" hidden="1">
      <c r="B6505" s="630" t="s">
        <v>6535</v>
      </c>
      <c r="C6505" s="630">
        <v>87359</v>
      </c>
      <c r="D6505" s="630" t="s">
        <v>3497</v>
      </c>
      <c r="E6505" s="630" t="s">
        <v>644</v>
      </c>
      <c r="F6505" s="980">
        <v>3075.02</v>
      </c>
      <c r="G6505" s="980">
        <v>63.01</v>
      </c>
      <c r="H6505" s="630">
        <v>3138.03</v>
      </c>
    </row>
    <row r="6506" spans="2:8" ht="51" hidden="1">
      <c r="B6506" s="630" t="s">
        <v>6535</v>
      </c>
      <c r="C6506" s="630">
        <v>87360</v>
      </c>
      <c r="D6506" s="630" t="s">
        <v>3498</v>
      </c>
      <c r="E6506" s="630" t="s">
        <v>644</v>
      </c>
      <c r="F6506" s="980">
        <v>3147.37</v>
      </c>
      <c r="G6506" s="980">
        <v>121.04</v>
      </c>
      <c r="H6506" s="630">
        <v>3268.41</v>
      </c>
    </row>
    <row r="6507" spans="2:8" ht="51" hidden="1">
      <c r="B6507" s="630" t="s">
        <v>6535</v>
      </c>
      <c r="C6507" s="630">
        <v>87361</v>
      </c>
      <c r="D6507" s="630" t="s">
        <v>3499</v>
      </c>
      <c r="E6507" s="630" t="s">
        <v>644</v>
      </c>
      <c r="F6507" s="980">
        <v>3147.88</v>
      </c>
      <c r="G6507" s="980">
        <v>72.38</v>
      </c>
      <c r="H6507" s="630">
        <v>3220.26</v>
      </c>
    </row>
    <row r="6508" spans="2:8" ht="51" hidden="1">
      <c r="B6508" s="630" t="s">
        <v>6535</v>
      </c>
      <c r="C6508" s="630">
        <v>87362</v>
      </c>
      <c r="D6508" s="630" t="s">
        <v>3500</v>
      </c>
      <c r="E6508" s="630" t="s">
        <v>644</v>
      </c>
      <c r="F6508" s="980">
        <v>3163.6600000000003</v>
      </c>
      <c r="G6508" s="980">
        <v>53.02</v>
      </c>
      <c r="H6508" s="630">
        <v>3216.68</v>
      </c>
    </row>
    <row r="6509" spans="2:8" ht="51" hidden="1">
      <c r="B6509" s="630" t="s">
        <v>6535</v>
      </c>
      <c r="C6509" s="630">
        <v>87363</v>
      </c>
      <c r="D6509" s="630" t="s">
        <v>3501</v>
      </c>
      <c r="E6509" s="630" t="s">
        <v>644</v>
      </c>
      <c r="F6509" s="980">
        <v>3100.43</v>
      </c>
      <c r="G6509" s="980">
        <v>102.95</v>
      </c>
      <c r="H6509" s="630">
        <v>3203.38</v>
      </c>
    </row>
    <row r="6510" spans="2:8" ht="51" hidden="1">
      <c r="B6510" s="630" t="s">
        <v>6535</v>
      </c>
      <c r="C6510" s="630">
        <v>87364</v>
      </c>
      <c r="D6510" s="630" t="s">
        <v>3502</v>
      </c>
      <c r="E6510" s="630" t="s">
        <v>644</v>
      </c>
      <c r="F6510" s="980">
        <v>3115.0099999999998</v>
      </c>
      <c r="G6510" s="980">
        <v>55.63</v>
      </c>
      <c r="H6510" s="630">
        <v>3170.64</v>
      </c>
    </row>
    <row r="6511" spans="2:8" ht="51" hidden="1">
      <c r="B6511" s="630" t="s">
        <v>6535</v>
      </c>
      <c r="C6511" s="630">
        <v>87365</v>
      </c>
      <c r="D6511" s="630" t="s">
        <v>3503</v>
      </c>
      <c r="E6511" s="630" t="s">
        <v>644</v>
      </c>
      <c r="F6511" s="980">
        <v>340.47</v>
      </c>
      <c r="G6511" s="980">
        <v>185.66</v>
      </c>
      <c r="H6511" s="630">
        <v>526.13</v>
      </c>
    </row>
    <row r="6512" spans="2:8" ht="51" hidden="1">
      <c r="B6512" s="630" t="s">
        <v>6535</v>
      </c>
      <c r="C6512" s="630">
        <v>87366</v>
      </c>
      <c r="D6512" s="630" t="s">
        <v>3504</v>
      </c>
      <c r="E6512" s="630" t="s">
        <v>644</v>
      </c>
      <c r="F6512" s="980">
        <v>363.32</v>
      </c>
      <c r="G6512" s="980">
        <v>191.5</v>
      </c>
      <c r="H6512" s="630">
        <v>554.82000000000005</v>
      </c>
    </row>
    <row r="6513" spans="2:8" ht="38.25" hidden="1">
      <c r="B6513" s="630" t="s">
        <v>6535</v>
      </c>
      <c r="C6513" s="630">
        <v>87367</v>
      </c>
      <c r="D6513" s="630" t="s">
        <v>3505</v>
      </c>
      <c r="E6513" s="630" t="s">
        <v>644</v>
      </c>
      <c r="F6513" s="980">
        <v>420.21</v>
      </c>
      <c r="G6513" s="980">
        <v>193.04</v>
      </c>
      <c r="H6513" s="630">
        <v>613.25</v>
      </c>
    </row>
    <row r="6514" spans="2:8" ht="38.25" hidden="1">
      <c r="B6514" s="630" t="s">
        <v>6535</v>
      </c>
      <c r="C6514" s="630">
        <v>87368</v>
      </c>
      <c r="D6514" s="630" t="s">
        <v>3506</v>
      </c>
      <c r="E6514" s="630" t="s">
        <v>644</v>
      </c>
      <c r="F6514" s="980">
        <v>399.39</v>
      </c>
      <c r="G6514" s="980">
        <v>194.59</v>
      </c>
      <c r="H6514" s="630">
        <v>593.98</v>
      </c>
    </row>
    <row r="6515" spans="2:8" ht="38.25" hidden="1">
      <c r="B6515" s="630" t="s">
        <v>6535</v>
      </c>
      <c r="C6515" s="630">
        <v>87369</v>
      </c>
      <c r="D6515" s="630" t="s">
        <v>3507</v>
      </c>
      <c r="E6515" s="630" t="s">
        <v>644</v>
      </c>
      <c r="F6515" s="980">
        <v>407.37</v>
      </c>
      <c r="G6515" s="980">
        <v>190.81</v>
      </c>
      <c r="H6515" s="630">
        <v>598.17999999999995</v>
      </c>
    </row>
    <row r="6516" spans="2:8" ht="38.25" hidden="1">
      <c r="B6516" s="630" t="s">
        <v>6535</v>
      </c>
      <c r="C6516" s="630">
        <v>87370</v>
      </c>
      <c r="D6516" s="630" t="s">
        <v>3508</v>
      </c>
      <c r="E6516" s="630" t="s">
        <v>644</v>
      </c>
      <c r="F6516" s="980">
        <v>388.69</v>
      </c>
      <c r="G6516" s="980">
        <v>192.01</v>
      </c>
      <c r="H6516" s="630">
        <v>580.70000000000005</v>
      </c>
    </row>
    <row r="6517" spans="2:8" ht="38.25" hidden="1">
      <c r="B6517" s="630" t="s">
        <v>6535</v>
      </c>
      <c r="C6517" s="630">
        <v>87371</v>
      </c>
      <c r="D6517" s="630" t="s">
        <v>3509</v>
      </c>
      <c r="E6517" s="630" t="s">
        <v>644</v>
      </c>
      <c r="F6517" s="980">
        <v>374.92</v>
      </c>
      <c r="G6517" s="980">
        <v>187.02</v>
      </c>
      <c r="H6517" s="630">
        <v>561.94000000000005</v>
      </c>
    </row>
    <row r="6518" spans="2:8" ht="25.5" hidden="1">
      <c r="B6518" s="630" t="s">
        <v>6535</v>
      </c>
      <c r="C6518" s="630">
        <v>87372</v>
      </c>
      <c r="D6518" s="630" t="s">
        <v>3510</v>
      </c>
      <c r="E6518" s="630" t="s">
        <v>644</v>
      </c>
      <c r="F6518" s="980">
        <v>555.62</v>
      </c>
      <c r="G6518" s="980">
        <v>200.26</v>
      </c>
      <c r="H6518" s="630">
        <v>755.88</v>
      </c>
    </row>
    <row r="6519" spans="2:8" ht="25.5" hidden="1">
      <c r="B6519" s="630" t="s">
        <v>6535</v>
      </c>
      <c r="C6519" s="630">
        <v>87373</v>
      </c>
      <c r="D6519" s="630" t="s">
        <v>3511</v>
      </c>
      <c r="E6519" s="630" t="s">
        <v>644</v>
      </c>
      <c r="F6519" s="980">
        <v>486.64</v>
      </c>
      <c r="G6519" s="980">
        <v>189.42</v>
      </c>
      <c r="H6519" s="630">
        <v>676.06</v>
      </c>
    </row>
    <row r="6520" spans="2:8" ht="25.5" hidden="1">
      <c r="B6520" s="630" t="s">
        <v>6535</v>
      </c>
      <c r="C6520" s="630">
        <v>87374</v>
      </c>
      <c r="D6520" s="630" t="s">
        <v>3512</v>
      </c>
      <c r="E6520" s="630" t="s">
        <v>644</v>
      </c>
      <c r="F6520" s="980">
        <v>442.69</v>
      </c>
      <c r="G6520" s="980">
        <v>190.81</v>
      </c>
      <c r="H6520" s="630">
        <v>633.5</v>
      </c>
    </row>
    <row r="6521" spans="2:8" ht="25.5" hidden="1">
      <c r="B6521" s="630" t="s">
        <v>6535</v>
      </c>
      <c r="C6521" s="630">
        <v>87375</v>
      </c>
      <c r="D6521" s="630" t="s">
        <v>3513</v>
      </c>
      <c r="E6521" s="630" t="s">
        <v>644</v>
      </c>
      <c r="F6521" s="980">
        <v>412.56</v>
      </c>
      <c r="G6521" s="980">
        <v>194.41</v>
      </c>
      <c r="H6521" s="630">
        <v>606.97</v>
      </c>
    </row>
    <row r="6522" spans="2:8" ht="25.5" hidden="1">
      <c r="B6522" s="630" t="s">
        <v>6535</v>
      </c>
      <c r="C6522" s="630">
        <v>87376</v>
      </c>
      <c r="D6522" s="630" t="s">
        <v>3514</v>
      </c>
      <c r="E6522" s="630" t="s">
        <v>644</v>
      </c>
      <c r="F6522" s="980">
        <v>348.99</v>
      </c>
      <c r="G6522" s="980">
        <v>185.66</v>
      </c>
      <c r="H6522" s="630">
        <v>534.65</v>
      </c>
    </row>
    <row r="6523" spans="2:8" ht="25.5" hidden="1">
      <c r="B6523" s="630" t="s">
        <v>6535</v>
      </c>
      <c r="C6523" s="630">
        <v>87377</v>
      </c>
      <c r="D6523" s="630" t="s">
        <v>3515</v>
      </c>
      <c r="E6523" s="630" t="s">
        <v>644</v>
      </c>
      <c r="F6523" s="980">
        <v>432.76</v>
      </c>
      <c r="G6523" s="980">
        <v>189.42</v>
      </c>
      <c r="H6523" s="630">
        <v>622.17999999999995</v>
      </c>
    </row>
    <row r="6524" spans="2:8" ht="25.5" hidden="1">
      <c r="B6524" s="630" t="s">
        <v>6535</v>
      </c>
      <c r="C6524" s="630">
        <v>87378</v>
      </c>
      <c r="D6524" s="630" t="s">
        <v>3516</v>
      </c>
      <c r="E6524" s="630" t="s">
        <v>644</v>
      </c>
      <c r="F6524" s="980">
        <v>381.09</v>
      </c>
      <c r="G6524" s="980">
        <v>183.25</v>
      </c>
      <c r="H6524" s="630">
        <v>564.34</v>
      </c>
    </row>
    <row r="6525" spans="2:8" ht="38.25" hidden="1">
      <c r="B6525" s="630" t="s">
        <v>6535</v>
      </c>
      <c r="C6525" s="630">
        <v>87379</v>
      </c>
      <c r="D6525" s="630" t="s">
        <v>3517</v>
      </c>
      <c r="E6525" s="630" t="s">
        <v>644</v>
      </c>
      <c r="F6525" s="980">
        <v>3146.98</v>
      </c>
      <c r="G6525" s="980">
        <v>183.06</v>
      </c>
      <c r="H6525" s="630">
        <v>3330.04</v>
      </c>
    </row>
    <row r="6526" spans="2:8" ht="38.25" hidden="1">
      <c r="B6526" s="630" t="s">
        <v>6535</v>
      </c>
      <c r="C6526" s="630">
        <v>87380</v>
      </c>
      <c r="D6526" s="630" t="s">
        <v>3518</v>
      </c>
      <c r="E6526" s="630" t="s">
        <v>644</v>
      </c>
      <c r="F6526" s="980">
        <v>3228.71</v>
      </c>
      <c r="G6526" s="980">
        <v>186.85</v>
      </c>
      <c r="H6526" s="630">
        <v>3415.56</v>
      </c>
    </row>
    <row r="6527" spans="2:8" ht="38.25" hidden="1">
      <c r="B6527" s="630" t="s">
        <v>6535</v>
      </c>
      <c r="C6527" s="630">
        <v>87381</v>
      </c>
      <c r="D6527" s="630" t="s">
        <v>3519</v>
      </c>
      <c r="E6527" s="630" t="s">
        <v>644</v>
      </c>
      <c r="F6527" s="980">
        <v>3178.09</v>
      </c>
      <c r="G6527" s="980">
        <v>180.65</v>
      </c>
      <c r="H6527" s="630">
        <v>3358.74</v>
      </c>
    </row>
    <row r="6528" spans="2:8" ht="38.25" hidden="1">
      <c r="B6528" s="630" t="s">
        <v>6535</v>
      </c>
      <c r="C6528" s="630">
        <v>87382</v>
      </c>
      <c r="D6528" s="630" t="s">
        <v>3520</v>
      </c>
      <c r="E6528" s="630" t="s">
        <v>644</v>
      </c>
      <c r="F6528" s="980">
        <v>1429.2800000000002</v>
      </c>
      <c r="G6528" s="980">
        <v>78.36</v>
      </c>
      <c r="H6528" s="630">
        <v>1507.64</v>
      </c>
    </row>
    <row r="6529" spans="2:8" ht="38.25" hidden="1">
      <c r="B6529" s="630" t="s">
        <v>6535</v>
      </c>
      <c r="C6529" s="630">
        <v>87383</v>
      </c>
      <c r="D6529" s="630" t="s">
        <v>3521</v>
      </c>
      <c r="E6529" s="630" t="s">
        <v>644</v>
      </c>
      <c r="F6529" s="980">
        <v>1437.84</v>
      </c>
      <c r="G6529" s="980">
        <v>61.49</v>
      </c>
      <c r="H6529" s="630">
        <v>1499.33</v>
      </c>
    </row>
    <row r="6530" spans="2:8" ht="38.25" hidden="1">
      <c r="B6530" s="630" t="s">
        <v>6535</v>
      </c>
      <c r="C6530" s="630">
        <v>87384</v>
      </c>
      <c r="D6530" s="630" t="s">
        <v>3522</v>
      </c>
      <c r="E6530" s="630" t="s">
        <v>644</v>
      </c>
      <c r="F6530" s="980">
        <v>1442.29</v>
      </c>
      <c r="G6530" s="980">
        <v>46.52</v>
      </c>
      <c r="H6530" s="630">
        <v>1488.81</v>
      </c>
    </row>
    <row r="6531" spans="2:8" ht="25.5" hidden="1">
      <c r="B6531" s="630" t="s">
        <v>6535</v>
      </c>
      <c r="C6531" s="630">
        <v>87385</v>
      </c>
      <c r="D6531" s="630" t="s">
        <v>3523</v>
      </c>
      <c r="E6531" s="630" t="s">
        <v>644</v>
      </c>
      <c r="F6531" s="980">
        <v>1659.48</v>
      </c>
      <c r="G6531" s="980">
        <v>93.46</v>
      </c>
      <c r="H6531" s="630">
        <v>1752.94</v>
      </c>
    </row>
    <row r="6532" spans="2:8" ht="25.5" hidden="1">
      <c r="B6532" s="630" t="s">
        <v>6535</v>
      </c>
      <c r="C6532" s="630">
        <v>87386</v>
      </c>
      <c r="D6532" s="630" t="s">
        <v>3524</v>
      </c>
      <c r="E6532" s="630" t="s">
        <v>644</v>
      </c>
      <c r="F6532" s="980">
        <v>1668.0600000000002</v>
      </c>
      <c r="G6532" s="980">
        <v>70.62</v>
      </c>
      <c r="H6532" s="630">
        <v>1738.68</v>
      </c>
    </row>
    <row r="6533" spans="2:8" ht="25.5" hidden="1">
      <c r="B6533" s="630" t="s">
        <v>6535</v>
      </c>
      <c r="C6533" s="630">
        <v>87387</v>
      </c>
      <c r="D6533" s="630" t="s">
        <v>3525</v>
      </c>
      <c r="E6533" s="630" t="s">
        <v>644</v>
      </c>
      <c r="F6533" s="980">
        <v>1675.17</v>
      </c>
      <c r="G6533" s="980">
        <v>54.56</v>
      </c>
      <c r="H6533" s="630">
        <v>1729.73</v>
      </c>
    </row>
    <row r="6534" spans="2:8" ht="38.25" hidden="1">
      <c r="B6534" s="630" t="s">
        <v>6535</v>
      </c>
      <c r="C6534" s="630">
        <v>87388</v>
      </c>
      <c r="D6534" s="630" t="s">
        <v>3526</v>
      </c>
      <c r="E6534" s="630" t="s">
        <v>644</v>
      </c>
      <c r="F6534" s="980">
        <v>4079.62</v>
      </c>
      <c r="G6534" s="980">
        <v>78.88</v>
      </c>
      <c r="H6534" s="630">
        <v>4158.5</v>
      </c>
    </row>
    <row r="6535" spans="2:8" ht="38.25" hidden="1">
      <c r="B6535" s="630" t="s">
        <v>6535</v>
      </c>
      <c r="C6535" s="630">
        <v>87389</v>
      </c>
      <c r="D6535" s="630" t="s">
        <v>3527</v>
      </c>
      <c r="E6535" s="630" t="s">
        <v>644</v>
      </c>
      <c r="F6535" s="980">
        <v>4107.75</v>
      </c>
      <c r="G6535" s="980">
        <v>60.96</v>
      </c>
      <c r="H6535" s="630">
        <v>4168.71</v>
      </c>
    </row>
    <row r="6536" spans="2:8" ht="38.25" hidden="1">
      <c r="B6536" s="630" t="s">
        <v>6535</v>
      </c>
      <c r="C6536" s="630">
        <v>87390</v>
      </c>
      <c r="D6536" s="630" t="s">
        <v>3528</v>
      </c>
      <c r="E6536" s="630" t="s">
        <v>644</v>
      </c>
      <c r="F6536" s="980">
        <v>4139.2</v>
      </c>
      <c r="G6536" s="980">
        <v>46.52</v>
      </c>
      <c r="H6536" s="630">
        <v>4185.72</v>
      </c>
    </row>
    <row r="6537" spans="2:8" ht="25.5" hidden="1">
      <c r="B6537" s="630" t="s">
        <v>6535</v>
      </c>
      <c r="C6537" s="630">
        <v>87391</v>
      </c>
      <c r="D6537" s="630" t="s">
        <v>3529</v>
      </c>
      <c r="E6537" s="630" t="s">
        <v>644</v>
      </c>
      <c r="F6537" s="980">
        <v>4537.12</v>
      </c>
      <c r="G6537" s="980">
        <v>102.25</v>
      </c>
      <c r="H6537" s="630">
        <v>4639.37</v>
      </c>
    </row>
    <row r="6538" spans="2:8" ht="25.5" hidden="1">
      <c r="B6538" s="630" t="s">
        <v>6535</v>
      </c>
      <c r="C6538" s="630">
        <v>87393</v>
      </c>
      <c r="D6538" s="630" t="s">
        <v>3530</v>
      </c>
      <c r="E6538" s="630" t="s">
        <v>644</v>
      </c>
      <c r="F6538" s="980">
        <v>4591.25</v>
      </c>
      <c r="G6538" s="980">
        <v>82.92</v>
      </c>
      <c r="H6538" s="630">
        <v>4674.17</v>
      </c>
    </row>
    <row r="6539" spans="2:8" ht="25.5" hidden="1">
      <c r="B6539" s="630" t="s">
        <v>6535</v>
      </c>
      <c r="C6539" s="630">
        <v>87394</v>
      </c>
      <c r="D6539" s="630" t="s">
        <v>3531</v>
      </c>
      <c r="E6539" s="630" t="s">
        <v>644</v>
      </c>
      <c r="F6539" s="980">
        <v>4643.5</v>
      </c>
      <c r="G6539" s="980">
        <v>67.290000000000006</v>
      </c>
      <c r="H6539" s="630">
        <v>4710.79</v>
      </c>
    </row>
    <row r="6540" spans="2:8" ht="25.5" hidden="1">
      <c r="B6540" s="630" t="s">
        <v>6535</v>
      </c>
      <c r="C6540" s="630">
        <v>87395</v>
      </c>
      <c r="D6540" s="630" t="s">
        <v>3532</v>
      </c>
      <c r="E6540" s="630" t="s">
        <v>644</v>
      </c>
      <c r="F6540" s="980">
        <v>2836.2900000000004</v>
      </c>
      <c r="G6540" s="980">
        <v>102.25</v>
      </c>
      <c r="H6540" s="630">
        <v>2938.54</v>
      </c>
    </row>
    <row r="6541" spans="2:8" ht="25.5" hidden="1">
      <c r="B6541" s="630" t="s">
        <v>6535</v>
      </c>
      <c r="C6541" s="630">
        <v>87396</v>
      </c>
      <c r="D6541" s="630" t="s">
        <v>3533</v>
      </c>
      <c r="E6541" s="630" t="s">
        <v>644</v>
      </c>
      <c r="F6541" s="980">
        <v>2867.5800000000004</v>
      </c>
      <c r="G6541" s="980">
        <v>82.92</v>
      </c>
      <c r="H6541" s="630">
        <v>2950.5</v>
      </c>
    </row>
    <row r="6542" spans="2:8" ht="25.5" hidden="1">
      <c r="B6542" s="630" t="s">
        <v>6535</v>
      </c>
      <c r="C6542" s="630">
        <v>87397</v>
      </c>
      <c r="D6542" s="630" t="s">
        <v>3534</v>
      </c>
      <c r="E6542" s="630" t="s">
        <v>644</v>
      </c>
      <c r="F6542" s="980">
        <v>2898.0099999999998</v>
      </c>
      <c r="G6542" s="980">
        <v>67.290000000000006</v>
      </c>
      <c r="H6542" s="630">
        <v>2965.3</v>
      </c>
    </row>
    <row r="6543" spans="2:8" ht="25.5" hidden="1">
      <c r="B6543" s="630" t="s">
        <v>6535</v>
      </c>
      <c r="C6543" s="630">
        <v>87398</v>
      </c>
      <c r="D6543" s="630" t="s">
        <v>3535</v>
      </c>
      <c r="E6543" s="630" t="s">
        <v>644</v>
      </c>
      <c r="F6543" s="980">
        <v>1518.48</v>
      </c>
      <c r="G6543" s="980">
        <v>216.42</v>
      </c>
      <c r="H6543" s="630">
        <v>1734.9</v>
      </c>
    </row>
    <row r="6544" spans="2:8" hidden="1">
      <c r="B6544" s="630" t="s">
        <v>6535</v>
      </c>
      <c r="C6544" s="630">
        <v>87399</v>
      </c>
      <c r="D6544" s="630" t="s">
        <v>3536</v>
      </c>
      <c r="E6544" s="630" t="s">
        <v>644</v>
      </c>
      <c r="F6544" s="980">
        <v>1751.42</v>
      </c>
      <c r="G6544" s="980">
        <v>232.57</v>
      </c>
      <c r="H6544" s="630">
        <v>1983.99</v>
      </c>
    </row>
    <row r="6545" spans="2:8" ht="25.5" hidden="1">
      <c r="B6545" s="630" t="s">
        <v>6535</v>
      </c>
      <c r="C6545" s="630">
        <v>87401</v>
      </c>
      <c r="D6545" s="630" t="s">
        <v>3537</v>
      </c>
      <c r="E6545" s="630" t="s">
        <v>644</v>
      </c>
      <c r="F6545" s="980">
        <v>4691.3900000000003</v>
      </c>
      <c r="G6545" s="980">
        <v>271.25</v>
      </c>
      <c r="H6545" s="630">
        <v>4962.6400000000003</v>
      </c>
    </row>
    <row r="6546" spans="2:8" ht="25.5" hidden="1">
      <c r="B6546" s="630" t="s">
        <v>6535</v>
      </c>
      <c r="C6546" s="630">
        <v>87402</v>
      </c>
      <c r="D6546" s="630" t="s">
        <v>3538</v>
      </c>
      <c r="E6546" s="630" t="s">
        <v>644</v>
      </c>
      <c r="F6546" s="980">
        <v>2955.74</v>
      </c>
      <c r="G6546" s="980">
        <v>271.25</v>
      </c>
      <c r="H6546" s="630">
        <v>3226.99</v>
      </c>
    </row>
    <row r="6547" spans="2:8" ht="38.25" hidden="1">
      <c r="B6547" s="630" t="s">
        <v>6535</v>
      </c>
      <c r="C6547" s="630">
        <v>87404</v>
      </c>
      <c r="D6547" s="630" t="s">
        <v>3539</v>
      </c>
      <c r="E6547" s="630" t="s">
        <v>644</v>
      </c>
      <c r="F6547" s="980">
        <v>4222.16</v>
      </c>
      <c r="G6547" s="980">
        <v>110.33</v>
      </c>
      <c r="H6547" s="630">
        <v>4332.49</v>
      </c>
    </row>
    <row r="6548" spans="2:8" ht="38.25" hidden="1">
      <c r="B6548" s="630" t="s">
        <v>6535</v>
      </c>
      <c r="C6548" s="630">
        <v>87405</v>
      </c>
      <c r="D6548" s="630" t="s">
        <v>223</v>
      </c>
      <c r="E6548" s="630" t="s">
        <v>644</v>
      </c>
      <c r="F6548" s="980">
        <v>4251</v>
      </c>
      <c r="G6548" s="980">
        <v>82.74</v>
      </c>
      <c r="H6548" s="630">
        <v>4333.74</v>
      </c>
    </row>
    <row r="6549" spans="2:8" ht="25.5" hidden="1">
      <c r="B6549" s="630" t="s">
        <v>6535</v>
      </c>
      <c r="C6549" s="630">
        <v>87407</v>
      </c>
      <c r="D6549" s="630" t="s">
        <v>3540</v>
      </c>
      <c r="E6549" s="630" t="s">
        <v>644</v>
      </c>
      <c r="F6549" s="980">
        <v>1463.4499999999998</v>
      </c>
      <c r="G6549" s="980">
        <v>74.489999999999995</v>
      </c>
      <c r="H6549" s="630">
        <v>1537.94</v>
      </c>
    </row>
    <row r="6550" spans="2:8" ht="25.5" hidden="1">
      <c r="B6550" s="630" t="s">
        <v>6535</v>
      </c>
      <c r="C6550" s="630">
        <v>87408</v>
      </c>
      <c r="D6550" s="630" t="s">
        <v>224</v>
      </c>
      <c r="E6550" s="630" t="s">
        <v>644</v>
      </c>
      <c r="F6550" s="980">
        <v>1466.04</v>
      </c>
      <c r="G6550" s="980">
        <v>55.86</v>
      </c>
      <c r="H6550" s="630">
        <v>1521.9</v>
      </c>
    </row>
    <row r="6551" spans="2:8" ht="25.5" hidden="1">
      <c r="B6551" s="630" t="s">
        <v>6535</v>
      </c>
      <c r="C6551" s="630">
        <v>87410</v>
      </c>
      <c r="D6551" s="630" t="s">
        <v>3541</v>
      </c>
      <c r="E6551" s="630" t="s">
        <v>644</v>
      </c>
      <c r="F6551" s="980">
        <v>727.45</v>
      </c>
      <c r="G6551" s="980">
        <v>103.83</v>
      </c>
      <c r="H6551" s="630">
        <v>831.28</v>
      </c>
    </row>
    <row r="6552" spans="2:8" ht="25.5" hidden="1">
      <c r="B6552" s="630" t="s">
        <v>6535</v>
      </c>
      <c r="C6552" s="630">
        <v>88626</v>
      </c>
      <c r="D6552" s="630" t="s">
        <v>3542</v>
      </c>
      <c r="E6552" s="630" t="s">
        <v>644</v>
      </c>
      <c r="F6552" s="980">
        <v>393.77</v>
      </c>
      <c r="G6552" s="980">
        <v>68.16</v>
      </c>
      <c r="H6552" s="630">
        <v>461.93</v>
      </c>
    </row>
    <row r="6553" spans="2:8" ht="38.25" hidden="1">
      <c r="B6553" s="630" t="s">
        <v>6535</v>
      </c>
      <c r="C6553" s="630">
        <v>88627</v>
      </c>
      <c r="D6553" s="630" t="s">
        <v>3543</v>
      </c>
      <c r="E6553" s="630" t="s">
        <v>644</v>
      </c>
      <c r="F6553" s="980">
        <v>426.85</v>
      </c>
      <c r="G6553" s="980">
        <v>150.93</v>
      </c>
      <c r="H6553" s="630">
        <v>577.78</v>
      </c>
    </row>
    <row r="6554" spans="2:8" ht="25.5" hidden="1">
      <c r="B6554" s="630" t="s">
        <v>6535</v>
      </c>
      <c r="C6554" s="630">
        <v>88628</v>
      </c>
      <c r="D6554" s="630" t="s">
        <v>3544</v>
      </c>
      <c r="E6554" s="630" t="s">
        <v>644</v>
      </c>
      <c r="F6554" s="980">
        <v>432.73999999999995</v>
      </c>
      <c r="G6554" s="980">
        <v>60.08</v>
      </c>
      <c r="H6554" s="630">
        <v>492.82</v>
      </c>
    </row>
    <row r="6555" spans="2:8" ht="25.5" hidden="1">
      <c r="B6555" s="630" t="s">
        <v>6535</v>
      </c>
      <c r="C6555" s="630">
        <v>88629</v>
      </c>
      <c r="D6555" s="630" t="s">
        <v>3545</v>
      </c>
      <c r="E6555" s="630" t="s">
        <v>644</v>
      </c>
      <c r="F6555" s="980">
        <v>466.82</v>
      </c>
      <c r="G6555" s="980">
        <v>147.31</v>
      </c>
      <c r="H6555" s="630">
        <v>614.13</v>
      </c>
    </row>
    <row r="6556" spans="2:8" ht="25.5" hidden="1">
      <c r="B6556" s="630" t="s">
        <v>6535</v>
      </c>
      <c r="C6556" s="630">
        <v>88630</v>
      </c>
      <c r="D6556" s="630" t="s">
        <v>225</v>
      </c>
      <c r="E6556" s="630" t="s">
        <v>644</v>
      </c>
      <c r="F6556" s="980">
        <v>359.22999999999996</v>
      </c>
      <c r="G6556" s="980">
        <v>59.02</v>
      </c>
      <c r="H6556" s="630">
        <v>418.25</v>
      </c>
    </row>
    <row r="6557" spans="2:8" ht="25.5" hidden="1">
      <c r="B6557" s="630" t="s">
        <v>6535</v>
      </c>
      <c r="C6557" s="630">
        <v>88631</v>
      </c>
      <c r="D6557" s="630" t="s">
        <v>3546</v>
      </c>
      <c r="E6557" s="630" t="s">
        <v>644</v>
      </c>
      <c r="F6557" s="980">
        <v>408.93</v>
      </c>
      <c r="G6557" s="980">
        <v>142.5</v>
      </c>
      <c r="H6557" s="630">
        <v>551.42999999999995</v>
      </c>
    </row>
    <row r="6558" spans="2:8" ht="38.25" hidden="1">
      <c r="B6558" s="630" t="s">
        <v>6535</v>
      </c>
      <c r="C6558" s="630">
        <v>88715</v>
      </c>
      <c r="D6558" s="630" t="s">
        <v>3547</v>
      </c>
      <c r="E6558" s="630" t="s">
        <v>644</v>
      </c>
      <c r="F6558" s="980">
        <v>348.39</v>
      </c>
      <c r="G6558" s="980">
        <v>74.84</v>
      </c>
      <c r="H6558" s="630">
        <v>423.23</v>
      </c>
    </row>
    <row r="6559" spans="2:8" ht="38.25" hidden="1">
      <c r="B6559" s="630" t="s">
        <v>6535</v>
      </c>
      <c r="C6559" s="630">
        <v>95563</v>
      </c>
      <c r="D6559" s="630" t="s">
        <v>4572</v>
      </c>
      <c r="E6559" s="630" t="s">
        <v>644</v>
      </c>
      <c r="F6559" s="980">
        <v>606.70999999999992</v>
      </c>
      <c r="G6559" s="980">
        <v>140.59</v>
      </c>
      <c r="H6559" s="630">
        <v>747.3</v>
      </c>
    </row>
    <row r="6560" spans="2:8" ht="38.25" hidden="1">
      <c r="B6560" s="630" t="s">
        <v>6535</v>
      </c>
      <c r="C6560" s="630">
        <v>100464</v>
      </c>
      <c r="D6560" s="630" t="s">
        <v>3548</v>
      </c>
      <c r="E6560" s="630" t="s">
        <v>644</v>
      </c>
      <c r="F6560" s="980">
        <v>397.15</v>
      </c>
      <c r="G6560" s="980">
        <v>93.47</v>
      </c>
      <c r="H6560" s="630">
        <v>490.62</v>
      </c>
    </row>
    <row r="6561" spans="2:8" ht="38.25" hidden="1">
      <c r="B6561" s="630" t="s">
        <v>6535</v>
      </c>
      <c r="C6561" s="630">
        <v>100465</v>
      </c>
      <c r="D6561" s="630" t="s">
        <v>3549</v>
      </c>
      <c r="E6561" s="630" t="s">
        <v>644</v>
      </c>
      <c r="F6561" s="980">
        <v>388.33</v>
      </c>
      <c r="G6561" s="980">
        <v>61.66</v>
      </c>
      <c r="H6561" s="630">
        <v>449.99</v>
      </c>
    </row>
    <row r="6562" spans="2:8" ht="38.25" hidden="1">
      <c r="B6562" s="630" t="s">
        <v>6535</v>
      </c>
      <c r="C6562" s="630">
        <v>100466</v>
      </c>
      <c r="D6562" s="630" t="s">
        <v>3550</v>
      </c>
      <c r="E6562" s="630" t="s">
        <v>644</v>
      </c>
      <c r="F6562" s="980">
        <v>384.56</v>
      </c>
      <c r="G6562" s="980">
        <v>45.79</v>
      </c>
      <c r="H6562" s="630">
        <v>430.35</v>
      </c>
    </row>
    <row r="6563" spans="2:8" ht="38.25" hidden="1">
      <c r="B6563" s="630" t="s">
        <v>6535</v>
      </c>
      <c r="C6563" s="630">
        <v>100468</v>
      </c>
      <c r="D6563" s="630" t="s">
        <v>3551</v>
      </c>
      <c r="E6563" s="630" t="s">
        <v>644</v>
      </c>
      <c r="F6563" s="980">
        <v>486.70000000000005</v>
      </c>
      <c r="G6563" s="980">
        <v>119.29</v>
      </c>
      <c r="H6563" s="630">
        <v>605.99</v>
      </c>
    </row>
    <row r="6564" spans="2:8" ht="38.25" hidden="1">
      <c r="B6564" s="630" t="s">
        <v>6535</v>
      </c>
      <c r="C6564" s="630">
        <v>100469</v>
      </c>
      <c r="D6564" s="630" t="s">
        <v>3552</v>
      </c>
      <c r="E6564" s="630" t="s">
        <v>644</v>
      </c>
      <c r="F6564" s="980">
        <v>426.69</v>
      </c>
      <c r="G6564" s="980">
        <v>57.09</v>
      </c>
      <c r="H6564" s="630">
        <v>483.78</v>
      </c>
    </row>
    <row r="6565" spans="2:8" ht="38.25" hidden="1">
      <c r="B6565" s="630" t="s">
        <v>6535</v>
      </c>
      <c r="C6565" s="630">
        <v>100470</v>
      </c>
      <c r="D6565" s="630" t="s">
        <v>3553</v>
      </c>
      <c r="E6565" s="630" t="s">
        <v>644</v>
      </c>
      <c r="F6565" s="980">
        <v>374.79</v>
      </c>
      <c r="G6565" s="980">
        <v>57.09</v>
      </c>
      <c r="H6565" s="630">
        <v>431.88</v>
      </c>
    </row>
    <row r="6566" spans="2:8" ht="38.25" hidden="1">
      <c r="B6566" s="630" t="s">
        <v>6535</v>
      </c>
      <c r="C6566" s="630">
        <v>100472</v>
      </c>
      <c r="D6566" s="630" t="s">
        <v>3554</v>
      </c>
      <c r="E6566" s="630" t="s">
        <v>644</v>
      </c>
      <c r="F6566" s="980">
        <v>385.45000000000005</v>
      </c>
      <c r="G6566" s="980">
        <v>100.86</v>
      </c>
      <c r="H6566" s="630">
        <v>486.31</v>
      </c>
    </row>
    <row r="6567" spans="2:8" ht="38.25" hidden="1">
      <c r="B6567" s="630" t="s">
        <v>6535</v>
      </c>
      <c r="C6567" s="630">
        <v>100473</v>
      </c>
      <c r="D6567" s="630" t="s">
        <v>3555</v>
      </c>
      <c r="E6567" s="630" t="s">
        <v>644</v>
      </c>
      <c r="F6567" s="980">
        <v>373.13</v>
      </c>
      <c r="G6567" s="980">
        <v>62.01</v>
      </c>
      <c r="H6567" s="630">
        <v>435.14</v>
      </c>
    </row>
    <row r="6568" spans="2:8" ht="38.25" hidden="1">
      <c r="B6568" s="630" t="s">
        <v>6535</v>
      </c>
      <c r="C6568" s="630">
        <v>100474</v>
      </c>
      <c r="D6568" s="630" t="s">
        <v>3556</v>
      </c>
      <c r="E6568" s="630" t="s">
        <v>644</v>
      </c>
      <c r="F6568" s="980">
        <v>369.42999999999995</v>
      </c>
      <c r="G6568" s="980">
        <v>43.69</v>
      </c>
      <c r="H6568" s="630">
        <v>413.12</v>
      </c>
    </row>
    <row r="6569" spans="2:8" ht="38.25" hidden="1">
      <c r="B6569" s="630" t="s">
        <v>6535</v>
      </c>
      <c r="C6569" s="630">
        <v>100475</v>
      </c>
      <c r="D6569" s="630" t="s">
        <v>3557</v>
      </c>
      <c r="E6569" s="630" t="s">
        <v>644</v>
      </c>
      <c r="F6569" s="980">
        <v>569.92999999999995</v>
      </c>
      <c r="G6569" s="980">
        <v>65.88</v>
      </c>
      <c r="H6569" s="630">
        <v>635.80999999999995</v>
      </c>
    </row>
    <row r="6570" spans="2:8" ht="38.25" hidden="1">
      <c r="B6570" s="630" t="s">
        <v>6535</v>
      </c>
      <c r="C6570" s="630">
        <v>100477</v>
      </c>
      <c r="D6570" s="630" t="s">
        <v>3558</v>
      </c>
      <c r="E6570" s="630" t="s">
        <v>644</v>
      </c>
      <c r="F6570" s="980">
        <v>577.78</v>
      </c>
      <c r="G6570" s="980">
        <v>125.1</v>
      </c>
      <c r="H6570" s="630">
        <v>702.88</v>
      </c>
    </row>
    <row r="6571" spans="2:8" ht="38.25" hidden="1">
      <c r="B6571" s="630" t="s">
        <v>6535</v>
      </c>
      <c r="C6571" s="630">
        <v>100478</v>
      </c>
      <c r="D6571" s="630" t="s">
        <v>3559</v>
      </c>
      <c r="E6571" s="630" t="s">
        <v>644</v>
      </c>
      <c r="F6571" s="980">
        <v>560.49999999999989</v>
      </c>
      <c r="G6571" s="980">
        <v>62.89</v>
      </c>
      <c r="H6571" s="630">
        <v>623.39</v>
      </c>
    </row>
    <row r="6572" spans="2:8" ht="38.25" hidden="1">
      <c r="B6572" s="630" t="s">
        <v>6535</v>
      </c>
      <c r="C6572" s="630">
        <v>100479</v>
      </c>
      <c r="D6572" s="630" t="s">
        <v>3560</v>
      </c>
      <c r="E6572" s="630" t="s">
        <v>644</v>
      </c>
      <c r="F6572" s="980">
        <v>558.21</v>
      </c>
      <c r="G6572" s="980">
        <v>48.93</v>
      </c>
      <c r="H6572" s="630">
        <v>607.14</v>
      </c>
    </row>
    <row r="6573" spans="2:8" ht="25.5" hidden="1">
      <c r="B6573" s="630" t="s">
        <v>6535</v>
      </c>
      <c r="C6573" s="630">
        <v>100480</v>
      </c>
      <c r="D6573" s="630" t="s">
        <v>3561</v>
      </c>
      <c r="E6573" s="630" t="s">
        <v>644</v>
      </c>
      <c r="F6573" s="980">
        <v>603.35</v>
      </c>
      <c r="G6573" s="980">
        <v>152.99</v>
      </c>
      <c r="H6573" s="630">
        <v>756.34</v>
      </c>
    </row>
    <row r="6574" spans="2:8" ht="38.25" hidden="1">
      <c r="B6574" s="630" t="s">
        <v>6535</v>
      </c>
      <c r="C6574" s="630">
        <v>100481</v>
      </c>
      <c r="D6574" s="630" t="s">
        <v>3562</v>
      </c>
      <c r="E6574" s="630" t="s">
        <v>644</v>
      </c>
      <c r="F6574" s="980">
        <v>484.90000000000003</v>
      </c>
      <c r="G6574" s="980">
        <v>61.66</v>
      </c>
      <c r="H6574" s="630">
        <v>546.55999999999995</v>
      </c>
    </row>
    <row r="6575" spans="2:8" ht="38.25" hidden="1">
      <c r="B6575" s="630" t="s">
        <v>6535</v>
      </c>
      <c r="C6575" s="630">
        <v>100483</v>
      </c>
      <c r="D6575" s="630" t="s">
        <v>3563</v>
      </c>
      <c r="E6575" s="630" t="s">
        <v>644</v>
      </c>
      <c r="F6575" s="980">
        <v>491.2</v>
      </c>
      <c r="G6575" s="980">
        <v>105.59</v>
      </c>
      <c r="H6575" s="630">
        <v>596.79</v>
      </c>
    </row>
    <row r="6576" spans="2:8" ht="38.25" hidden="1">
      <c r="B6576" s="630" t="s">
        <v>6535</v>
      </c>
      <c r="C6576" s="630">
        <v>100484</v>
      </c>
      <c r="D6576" s="630" t="s">
        <v>3564</v>
      </c>
      <c r="E6576" s="630" t="s">
        <v>644</v>
      </c>
      <c r="F6576" s="980">
        <v>479.84999999999997</v>
      </c>
      <c r="G6576" s="980">
        <v>66.75</v>
      </c>
      <c r="H6576" s="630">
        <v>546.6</v>
      </c>
    </row>
    <row r="6577" spans="2:8" ht="38.25" hidden="1">
      <c r="B6577" s="630" t="s">
        <v>6535</v>
      </c>
      <c r="C6577" s="630">
        <v>100485</v>
      </c>
      <c r="D6577" s="630" t="s">
        <v>3565</v>
      </c>
      <c r="E6577" s="630" t="s">
        <v>644</v>
      </c>
      <c r="F6577" s="980">
        <v>477.84999999999997</v>
      </c>
      <c r="G6577" s="980">
        <v>48.75</v>
      </c>
      <c r="H6577" s="630">
        <v>526.6</v>
      </c>
    </row>
    <row r="6578" spans="2:8" ht="25.5" hidden="1">
      <c r="B6578" s="630" t="s">
        <v>6535</v>
      </c>
      <c r="C6578" s="630">
        <v>100486</v>
      </c>
      <c r="D6578" s="630" t="s">
        <v>3566</v>
      </c>
      <c r="E6578" s="630" t="s">
        <v>644</v>
      </c>
      <c r="F6578" s="980">
        <v>523.61</v>
      </c>
      <c r="G6578" s="980">
        <v>146.96</v>
      </c>
      <c r="H6578" s="630">
        <v>670.57</v>
      </c>
    </row>
    <row r="6579" spans="2:8" ht="51" hidden="1">
      <c r="B6579" s="630" t="s">
        <v>6535</v>
      </c>
      <c r="C6579" s="630">
        <v>100487</v>
      </c>
      <c r="D6579" s="630" t="s">
        <v>3567</v>
      </c>
      <c r="E6579" s="630" t="s">
        <v>644</v>
      </c>
      <c r="F6579" s="980">
        <v>340.11</v>
      </c>
      <c r="G6579" s="980">
        <v>59.66</v>
      </c>
      <c r="H6579" s="630">
        <v>399.77</v>
      </c>
    </row>
    <row r="6580" spans="2:8" ht="25.5" hidden="1">
      <c r="B6580" s="630" t="s">
        <v>6535</v>
      </c>
      <c r="C6580" s="630">
        <v>100488</v>
      </c>
      <c r="D6580" s="630" t="s">
        <v>3568</v>
      </c>
      <c r="E6580" s="630" t="s">
        <v>644</v>
      </c>
      <c r="F6580" s="980">
        <v>395.64</v>
      </c>
      <c r="G6580" s="980">
        <v>56.98</v>
      </c>
      <c r="H6580" s="630">
        <v>452.62</v>
      </c>
    </row>
    <row r="6581" spans="2:8" ht="25.5" hidden="1">
      <c r="B6581" s="630" t="s">
        <v>6535</v>
      </c>
      <c r="C6581" s="630">
        <v>100489</v>
      </c>
      <c r="D6581" s="630" t="s">
        <v>3569</v>
      </c>
      <c r="E6581" s="630" t="s">
        <v>644</v>
      </c>
      <c r="F6581" s="980">
        <v>435.29</v>
      </c>
      <c r="G6581" s="980">
        <v>55.75</v>
      </c>
      <c r="H6581" s="630">
        <v>491.04</v>
      </c>
    </row>
    <row r="6582" spans="2:8" ht="25.5" hidden="1">
      <c r="B6582" s="630" t="s">
        <v>6535</v>
      </c>
      <c r="C6582" s="630">
        <v>100490</v>
      </c>
      <c r="D6582" s="630" t="s">
        <v>3570</v>
      </c>
      <c r="E6582" s="630" t="s">
        <v>644</v>
      </c>
      <c r="F6582" s="980">
        <v>378.61</v>
      </c>
      <c r="G6582" s="980">
        <v>52.6</v>
      </c>
      <c r="H6582" s="630">
        <v>431.21</v>
      </c>
    </row>
    <row r="6583" spans="2:8" ht="38.25" hidden="1">
      <c r="B6583" s="630" t="s">
        <v>6535</v>
      </c>
      <c r="C6583" s="630">
        <v>100491</v>
      </c>
      <c r="D6583" s="630" t="s">
        <v>3571</v>
      </c>
      <c r="E6583" s="630" t="s">
        <v>644</v>
      </c>
      <c r="F6583" s="980">
        <v>573.1099999999999</v>
      </c>
      <c r="G6583" s="980">
        <v>62.2</v>
      </c>
      <c r="H6583" s="630">
        <v>635.30999999999995</v>
      </c>
    </row>
    <row r="6584" spans="2:8" ht="38.25" hidden="1">
      <c r="B6584" s="630" t="s">
        <v>6535</v>
      </c>
      <c r="C6584" s="630">
        <v>100492</v>
      </c>
      <c r="D6584" s="630" t="s">
        <v>3572</v>
      </c>
      <c r="E6584" s="630" t="s">
        <v>644</v>
      </c>
      <c r="F6584" s="980">
        <v>488.71999999999997</v>
      </c>
      <c r="G6584" s="980">
        <v>57.66</v>
      </c>
      <c r="H6584" s="630">
        <v>546.38</v>
      </c>
    </row>
    <row r="6585" spans="2:8" ht="25.5" hidden="1">
      <c r="B6585" s="630" t="s">
        <v>6563</v>
      </c>
      <c r="C6585" s="630">
        <v>92121</v>
      </c>
      <c r="D6585" s="630" t="s">
        <v>1743</v>
      </c>
      <c r="E6585" s="630" t="s">
        <v>644</v>
      </c>
      <c r="F6585" s="980">
        <v>10.6</v>
      </c>
      <c r="G6585" s="980">
        <v>22.73</v>
      </c>
      <c r="H6585" s="630">
        <v>33.33</v>
      </c>
    </row>
    <row r="6586" spans="2:8" ht="25.5" hidden="1">
      <c r="B6586" s="630" t="s">
        <v>6563</v>
      </c>
      <c r="C6586" s="630">
        <v>92122</v>
      </c>
      <c r="D6586" s="630" t="s">
        <v>1744</v>
      </c>
      <c r="E6586" s="630" t="s">
        <v>644</v>
      </c>
      <c r="F6586" s="980">
        <v>15.61</v>
      </c>
      <c r="G6586" s="980">
        <v>41.24</v>
      </c>
      <c r="H6586" s="630">
        <v>56.85</v>
      </c>
    </row>
    <row r="6587" spans="2:8" ht="25.5" hidden="1">
      <c r="B6587" s="630" t="s">
        <v>6563</v>
      </c>
      <c r="C6587" s="630">
        <v>92123</v>
      </c>
      <c r="D6587" s="630" t="s">
        <v>1391</v>
      </c>
      <c r="E6587" s="630" t="s">
        <v>644</v>
      </c>
      <c r="F6587" s="980">
        <v>27.709999999999997</v>
      </c>
      <c r="G6587" s="980">
        <v>26.49</v>
      </c>
      <c r="H6587" s="630">
        <v>54.2</v>
      </c>
    </row>
    <row r="6588" spans="2:8" ht="25.5" hidden="1">
      <c r="B6588" s="630" t="s">
        <v>6563</v>
      </c>
      <c r="C6588" s="630">
        <v>100195</v>
      </c>
      <c r="D6588" s="630" t="s">
        <v>3573</v>
      </c>
      <c r="E6588" s="630" t="s">
        <v>3574</v>
      </c>
      <c r="F6588" s="980">
        <v>0.22</v>
      </c>
      <c r="G6588" s="980">
        <v>0.65</v>
      </c>
      <c r="H6588" s="630">
        <v>0.87</v>
      </c>
    </row>
    <row r="6589" spans="2:8" ht="25.5" hidden="1">
      <c r="B6589" s="630" t="s">
        <v>6563</v>
      </c>
      <c r="C6589" s="630">
        <v>100196</v>
      </c>
      <c r="D6589" s="630" t="s">
        <v>3575</v>
      </c>
      <c r="E6589" s="630" t="s">
        <v>3574</v>
      </c>
      <c r="F6589" s="980">
        <v>0.38</v>
      </c>
      <c r="G6589" s="980">
        <v>1.07</v>
      </c>
      <c r="H6589" s="630">
        <v>1.45</v>
      </c>
    </row>
    <row r="6590" spans="2:8" ht="25.5" hidden="1">
      <c r="B6590" s="630" t="s">
        <v>6563</v>
      </c>
      <c r="C6590" s="630">
        <v>100197</v>
      </c>
      <c r="D6590" s="630" t="s">
        <v>3576</v>
      </c>
      <c r="E6590" s="630" t="s">
        <v>3574</v>
      </c>
      <c r="F6590" s="980">
        <v>0.57999999999999996</v>
      </c>
      <c r="G6590" s="980">
        <v>1.59</v>
      </c>
      <c r="H6590" s="630">
        <v>2.17</v>
      </c>
    </row>
    <row r="6591" spans="2:8" ht="25.5" hidden="1">
      <c r="B6591" s="630" t="s">
        <v>6563</v>
      </c>
      <c r="C6591" s="630">
        <v>100198</v>
      </c>
      <c r="D6591" s="630" t="s">
        <v>3577</v>
      </c>
      <c r="E6591" s="630" t="s">
        <v>3574</v>
      </c>
      <c r="F6591" s="980">
        <v>0.06</v>
      </c>
      <c r="G6591" s="980">
        <v>0.24</v>
      </c>
      <c r="H6591" s="630">
        <v>0.3</v>
      </c>
    </row>
    <row r="6592" spans="2:8" ht="25.5" hidden="1">
      <c r="B6592" s="630" t="s">
        <v>6563</v>
      </c>
      <c r="C6592" s="630">
        <v>100199</v>
      </c>
      <c r="D6592" s="630" t="s">
        <v>3578</v>
      </c>
      <c r="E6592" s="630" t="s">
        <v>3574</v>
      </c>
      <c r="F6592" s="980">
        <v>0.08</v>
      </c>
      <c r="G6592" s="980">
        <v>0.28000000000000003</v>
      </c>
      <c r="H6592" s="630">
        <v>0.36</v>
      </c>
    </row>
    <row r="6593" spans="2:8" ht="25.5" hidden="1">
      <c r="B6593" s="630" t="s">
        <v>6563</v>
      </c>
      <c r="C6593" s="630">
        <v>100200</v>
      </c>
      <c r="D6593" s="630" t="s">
        <v>3579</v>
      </c>
      <c r="E6593" s="630" t="s">
        <v>3574</v>
      </c>
      <c r="F6593" s="980">
        <v>0.11</v>
      </c>
      <c r="G6593" s="980">
        <v>0.33</v>
      </c>
      <c r="H6593" s="630">
        <v>0.44</v>
      </c>
    </row>
    <row r="6594" spans="2:8" ht="25.5" hidden="1">
      <c r="B6594" s="630" t="s">
        <v>6563</v>
      </c>
      <c r="C6594" s="630">
        <v>100201</v>
      </c>
      <c r="D6594" s="630" t="s">
        <v>3580</v>
      </c>
      <c r="E6594" s="630" t="s">
        <v>3574</v>
      </c>
      <c r="F6594" s="980">
        <v>0.23</v>
      </c>
      <c r="G6594" s="980">
        <v>0.65</v>
      </c>
      <c r="H6594" s="630">
        <v>0.88</v>
      </c>
    </row>
    <row r="6595" spans="2:8" ht="25.5" hidden="1">
      <c r="B6595" s="630" t="s">
        <v>6563</v>
      </c>
      <c r="C6595" s="630">
        <v>100202</v>
      </c>
      <c r="D6595" s="630" t="s">
        <v>3581</v>
      </c>
      <c r="E6595" s="630" t="s">
        <v>3574</v>
      </c>
      <c r="F6595" s="980">
        <v>0.26</v>
      </c>
      <c r="G6595" s="980">
        <v>0.77</v>
      </c>
      <c r="H6595" s="630">
        <v>1.03</v>
      </c>
    </row>
    <row r="6596" spans="2:8" ht="25.5" hidden="1">
      <c r="B6596" s="630" t="s">
        <v>6563</v>
      </c>
      <c r="C6596" s="630">
        <v>100203</v>
      </c>
      <c r="D6596" s="630" t="s">
        <v>3582</v>
      </c>
      <c r="E6596" s="630" t="s">
        <v>3574</v>
      </c>
      <c r="F6596" s="980">
        <v>0.31</v>
      </c>
      <c r="G6596" s="980">
        <v>0.91</v>
      </c>
      <c r="H6596" s="630">
        <v>1.22</v>
      </c>
    </row>
    <row r="6597" spans="2:8" ht="25.5" hidden="1">
      <c r="B6597" s="630" t="s">
        <v>6563</v>
      </c>
      <c r="C6597" s="630">
        <v>100204</v>
      </c>
      <c r="D6597" s="630" t="s">
        <v>3583</v>
      </c>
      <c r="E6597" s="630" t="s">
        <v>3574</v>
      </c>
      <c r="F6597" s="980">
        <v>9.0000000000000011E-2</v>
      </c>
      <c r="G6597" s="980">
        <v>0.02</v>
      </c>
      <c r="H6597" s="630">
        <v>0.11</v>
      </c>
    </row>
    <row r="6598" spans="2:8" ht="25.5" hidden="1">
      <c r="B6598" s="630" t="s">
        <v>6563</v>
      </c>
      <c r="C6598" s="630">
        <v>100205</v>
      </c>
      <c r="D6598" s="630" t="s">
        <v>3584</v>
      </c>
      <c r="E6598" s="630" t="s">
        <v>84</v>
      </c>
      <c r="F6598" s="980">
        <v>445.34</v>
      </c>
      <c r="G6598" s="980">
        <v>1174.2</v>
      </c>
      <c r="H6598" s="630">
        <v>1619.54</v>
      </c>
    </row>
    <row r="6599" spans="2:8" ht="25.5" hidden="1">
      <c r="B6599" s="630" t="s">
        <v>6563</v>
      </c>
      <c r="C6599" s="630">
        <v>100206</v>
      </c>
      <c r="D6599" s="630" t="s">
        <v>3585</v>
      </c>
      <c r="E6599" s="630" t="s">
        <v>84</v>
      </c>
      <c r="F6599" s="980">
        <v>321.89</v>
      </c>
      <c r="G6599" s="980">
        <v>848.76</v>
      </c>
      <c r="H6599" s="630">
        <v>1170.6500000000001</v>
      </c>
    </row>
    <row r="6600" spans="2:8" ht="25.5" hidden="1">
      <c r="B6600" s="630" t="s">
        <v>6563</v>
      </c>
      <c r="C6600" s="630">
        <v>100207</v>
      </c>
      <c r="D6600" s="630" t="s">
        <v>3586</v>
      </c>
      <c r="E6600" s="630" t="s">
        <v>84</v>
      </c>
      <c r="F6600" s="980">
        <v>294.11</v>
      </c>
      <c r="G6600" s="980">
        <v>158.28</v>
      </c>
      <c r="H6600" s="630">
        <v>452.39</v>
      </c>
    </row>
    <row r="6601" spans="2:8" ht="25.5" hidden="1">
      <c r="B6601" s="630" t="s">
        <v>6563</v>
      </c>
      <c r="C6601" s="630">
        <v>100208</v>
      </c>
      <c r="D6601" s="630" t="s">
        <v>3587</v>
      </c>
      <c r="E6601" s="630" t="s">
        <v>3588</v>
      </c>
      <c r="F6601" s="980">
        <v>5.86</v>
      </c>
      <c r="G6601" s="980">
        <v>15.56</v>
      </c>
      <c r="H6601" s="630">
        <v>21.42</v>
      </c>
    </row>
    <row r="6602" spans="2:8" ht="25.5" hidden="1">
      <c r="B6602" s="630" t="s">
        <v>6563</v>
      </c>
      <c r="C6602" s="630">
        <v>100209</v>
      </c>
      <c r="D6602" s="630" t="s">
        <v>3589</v>
      </c>
      <c r="E6602" s="630" t="s">
        <v>3588</v>
      </c>
      <c r="F6602" s="980">
        <v>2.92</v>
      </c>
      <c r="G6602" s="980">
        <v>7.79</v>
      </c>
      <c r="H6602" s="630">
        <v>10.71</v>
      </c>
    </row>
    <row r="6603" spans="2:8" ht="38.25" hidden="1">
      <c r="B6603" s="630" t="s">
        <v>6563</v>
      </c>
      <c r="C6603" s="630">
        <v>100210</v>
      </c>
      <c r="D6603" s="630" t="s">
        <v>3590</v>
      </c>
      <c r="E6603" s="630" t="s">
        <v>3588</v>
      </c>
      <c r="F6603" s="980">
        <v>5.4</v>
      </c>
      <c r="G6603" s="980">
        <v>14.34</v>
      </c>
      <c r="H6603" s="630">
        <v>19.739999999999998</v>
      </c>
    </row>
    <row r="6604" spans="2:8" ht="38.25" hidden="1">
      <c r="B6604" s="630" t="s">
        <v>6563</v>
      </c>
      <c r="C6604" s="630">
        <v>100211</v>
      </c>
      <c r="D6604" s="630" t="s">
        <v>3591</v>
      </c>
      <c r="E6604" s="630" t="s">
        <v>3588</v>
      </c>
      <c r="F6604" s="980">
        <v>2.0699999999999998</v>
      </c>
      <c r="G6604" s="980">
        <v>5.54</v>
      </c>
      <c r="H6604" s="630">
        <v>7.61</v>
      </c>
    </row>
    <row r="6605" spans="2:8" ht="38.25" hidden="1">
      <c r="B6605" s="630" t="s">
        <v>6563</v>
      </c>
      <c r="C6605" s="630">
        <v>100212</v>
      </c>
      <c r="D6605" s="630" t="s">
        <v>3592</v>
      </c>
      <c r="E6605" s="630" t="s">
        <v>3588</v>
      </c>
      <c r="F6605" s="980">
        <v>2.29</v>
      </c>
      <c r="G6605" s="980">
        <v>6.12</v>
      </c>
      <c r="H6605" s="630">
        <v>8.41</v>
      </c>
    </row>
    <row r="6606" spans="2:8" ht="38.25" hidden="1">
      <c r="B6606" s="630" t="s">
        <v>6563</v>
      </c>
      <c r="C6606" s="630">
        <v>100213</v>
      </c>
      <c r="D6606" s="630" t="s">
        <v>3593</v>
      </c>
      <c r="E6606" s="630" t="s">
        <v>3588</v>
      </c>
      <c r="F6606" s="980">
        <v>0.81</v>
      </c>
      <c r="G6606" s="980">
        <v>2.21</v>
      </c>
      <c r="H6606" s="630">
        <v>3.02</v>
      </c>
    </row>
    <row r="6607" spans="2:8" ht="38.25" hidden="1">
      <c r="B6607" s="630" t="s">
        <v>6563</v>
      </c>
      <c r="C6607" s="630">
        <v>100214</v>
      </c>
      <c r="D6607" s="630" t="s">
        <v>3594</v>
      </c>
      <c r="E6607" s="630" t="s">
        <v>3588</v>
      </c>
      <c r="F6607" s="980">
        <v>1.25</v>
      </c>
      <c r="G6607" s="980">
        <v>3.39</v>
      </c>
      <c r="H6607" s="630">
        <v>4.6399999999999997</v>
      </c>
    </row>
    <row r="6608" spans="2:8" ht="38.25" hidden="1">
      <c r="B6608" s="630" t="s">
        <v>6563</v>
      </c>
      <c r="C6608" s="630">
        <v>100215</v>
      </c>
      <c r="D6608" s="630" t="s">
        <v>3595</v>
      </c>
      <c r="E6608" s="630" t="s">
        <v>3588</v>
      </c>
      <c r="F6608" s="980">
        <v>1.08</v>
      </c>
      <c r="G6608" s="980">
        <v>2.89</v>
      </c>
      <c r="H6608" s="630">
        <v>3.97</v>
      </c>
    </row>
    <row r="6609" spans="2:8" ht="38.25" hidden="1">
      <c r="B6609" s="630" t="s">
        <v>6563</v>
      </c>
      <c r="C6609" s="630">
        <v>100216</v>
      </c>
      <c r="D6609" s="630" t="s">
        <v>3596</v>
      </c>
      <c r="E6609" s="630" t="s">
        <v>3588</v>
      </c>
      <c r="F6609" s="980">
        <v>0.27</v>
      </c>
      <c r="G6609" s="980">
        <v>0.8</v>
      </c>
      <c r="H6609" s="630">
        <v>1.07</v>
      </c>
    </row>
    <row r="6610" spans="2:8" ht="38.25" hidden="1">
      <c r="B6610" s="630" t="s">
        <v>6563</v>
      </c>
      <c r="C6610" s="630">
        <v>100217</v>
      </c>
      <c r="D6610" s="630" t="s">
        <v>3597</v>
      </c>
      <c r="E6610" s="630" t="s">
        <v>3588</v>
      </c>
      <c r="F6610" s="980">
        <v>2.17</v>
      </c>
      <c r="G6610" s="980">
        <v>0.86</v>
      </c>
      <c r="H6610" s="630">
        <v>3.03</v>
      </c>
    </row>
    <row r="6611" spans="2:8" ht="38.25" hidden="1">
      <c r="B6611" s="630" t="s">
        <v>6563</v>
      </c>
      <c r="C6611" s="630">
        <v>100218</v>
      </c>
      <c r="D6611" s="630" t="s">
        <v>3598</v>
      </c>
      <c r="E6611" s="630" t="s">
        <v>3588</v>
      </c>
      <c r="F6611" s="980">
        <v>1.48</v>
      </c>
      <c r="G6611" s="980">
        <v>0.59</v>
      </c>
      <c r="H6611" s="630">
        <v>2.0699999999999998</v>
      </c>
    </row>
    <row r="6612" spans="2:8" ht="38.25" hidden="1">
      <c r="B6612" s="630" t="s">
        <v>6563</v>
      </c>
      <c r="C6612" s="630">
        <v>100219</v>
      </c>
      <c r="D6612" s="630" t="s">
        <v>3599</v>
      </c>
      <c r="E6612" s="630" t="s">
        <v>3588</v>
      </c>
      <c r="F6612" s="980">
        <v>0.32999999999999996</v>
      </c>
      <c r="G6612" s="980">
        <v>0.13</v>
      </c>
      <c r="H6612" s="630">
        <v>0.46</v>
      </c>
    </row>
    <row r="6613" spans="2:8" ht="25.5" hidden="1">
      <c r="B6613" s="630" t="s">
        <v>6563</v>
      </c>
      <c r="C6613" s="630">
        <v>100220</v>
      </c>
      <c r="D6613" s="630" t="s">
        <v>3600</v>
      </c>
      <c r="E6613" s="630" t="s">
        <v>3601</v>
      </c>
      <c r="F6613" s="980">
        <v>8.44</v>
      </c>
      <c r="G6613" s="980">
        <v>22.34</v>
      </c>
      <c r="H6613" s="630">
        <v>30.78</v>
      </c>
    </row>
    <row r="6614" spans="2:8" ht="25.5" hidden="1">
      <c r="B6614" s="630" t="s">
        <v>6563</v>
      </c>
      <c r="C6614" s="630">
        <v>100221</v>
      </c>
      <c r="D6614" s="630" t="s">
        <v>3602</v>
      </c>
      <c r="E6614" s="630" t="s">
        <v>3601</v>
      </c>
      <c r="F6614" s="980">
        <v>9.57</v>
      </c>
      <c r="G6614" s="980">
        <v>25.32</v>
      </c>
      <c r="H6614" s="630">
        <v>34.89</v>
      </c>
    </row>
    <row r="6615" spans="2:8" ht="25.5" hidden="1">
      <c r="B6615" s="630" t="s">
        <v>6563</v>
      </c>
      <c r="C6615" s="630">
        <v>100222</v>
      </c>
      <c r="D6615" s="630" t="s">
        <v>3603</v>
      </c>
      <c r="E6615" s="630" t="s">
        <v>3601</v>
      </c>
      <c r="F6615" s="980">
        <v>3.61</v>
      </c>
      <c r="G6615" s="980">
        <v>9.6</v>
      </c>
      <c r="H6615" s="630">
        <v>13.21</v>
      </c>
    </row>
    <row r="6616" spans="2:8" ht="25.5" hidden="1">
      <c r="B6616" s="630" t="s">
        <v>6563</v>
      </c>
      <c r="C6616" s="630">
        <v>100223</v>
      </c>
      <c r="D6616" s="630" t="s">
        <v>3604</v>
      </c>
      <c r="E6616" s="630" t="s">
        <v>3601</v>
      </c>
      <c r="F6616" s="980">
        <v>1.68</v>
      </c>
      <c r="G6616" s="980">
        <v>4.5</v>
      </c>
      <c r="H6616" s="630">
        <v>6.18</v>
      </c>
    </row>
    <row r="6617" spans="2:8" ht="25.5" hidden="1">
      <c r="B6617" s="630" t="s">
        <v>6563</v>
      </c>
      <c r="C6617" s="630">
        <v>100224</v>
      </c>
      <c r="D6617" s="630" t="s">
        <v>3605</v>
      </c>
      <c r="E6617" s="630" t="s">
        <v>3601</v>
      </c>
      <c r="F6617" s="980">
        <v>2.17</v>
      </c>
      <c r="G6617" s="980">
        <v>0.86</v>
      </c>
      <c r="H6617" s="630">
        <v>3.03</v>
      </c>
    </row>
    <row r="6618" spans="2:8" ht="25.5" hidden="1">
      <c r="B6618" s="630" t="s">
        <v>6563</v>
      </c>
      <c r="C6618" s="630">
        <v>100225</v>
      </c>
      <c r="D6618" s="630" t="s">
        <v>3606</v>
      </c>
      <c r="E6618" s="630" t="s">
        <v>3607</v>
      </c>
      <c r="F6618" s="980">
        <v>0.64</v>
      </c>
      <c r="G6618" s="980">
        <v>1.77</v>
      </c>
      <c r="H6618" s="630">
        <v>2.41</v>
      </c>
    </row>
    <row r="6619" spans="2:8" ht="25.5" hidden="1">
      <c r="B6619" s="630" t="s">
        <v>6563</v>
      </c>
      <c r="C6619" s="630">
        <v>100226</v>
      </c>
      <c r="D6619" s="630" t="s">
        <v>3608</v>
      </c>
      <c r="E6619" s="630" t="s">
        <v>3607</v>
      </c>
      <c r="F6619" s="980">
        <v>0.19</v>
      </c>
      <c r="G6619" s="980">
        <v>0.56999999999999995</v>
      </c>
      <c r="H6619" s="630">
        <v>0.76</v>
      </c>
    </row>
    <row r="6620" spans="2:8" ht="25.5" hidden="1">
      <c r="B6620" s="630" t="s">
        <v>6563</v>
      </c>
      <c r="C6620" s="630">
        <v>100227</v>
      </c>
      <c r="D6620" s="630" t="s">
        <v>3609</v>
      </c>
      <c r="E6620" s="630" t="s">
        <v>3607</v>
      </c>
      <c r="F6620" s="980">
        <v>0.28000000000000003</v>
      </c>
      <c r="G6620" s="980">
        <v>0.84</v>
      </c>
      <c r="H6620" s="630">
        <v>1.1200000000000001</v>
      </c>
    </row>
    <row r="6621" spans="2:8" ht="25.5" hidden="1">
      <c r="B6621" s="630" t="s">
        <v>6563</v>
      </c>
      <c r="C6621" s="630">
        <v>100228</v>
      </c>
      <c r="D6621" s="630" t="s">
        <v>3610</v>
      </c>
      <c r="E6621" s="630" t="s">
        <v>3607</v>
      </c>
      <c r="F6621" s="980">
        <v>0.21000000000000002</v>
      </c>
      <c r="G6621" s="980">
        <v>0.09</v>
      </c>
      <c r="H6621" s="630">
        <v>0.3</v>
      </c>
    </row>
    <row r="6622" spans="2:8" ht="25.5" hidden="1">
      <c r="B6622" s="630" t="s">
        <v>6563</v>
      </c>
      <c r="C6622" s="630">
        <v>100229</v>
      </c>
      <c r="D6622" s="630" t="s">
        <v>3611</v>
      </c>
      <c r="E6622" s="630" t="s">
        <v>645</v>
      </c>
      <c r="F6622" s="980">
        <v>0</v>
      </c>
      <c r="G6622" s="980">
        <v>0.01</v>
      </c>
      <c r="H6622" s="630">
        <v>0.01</v>
      </c>
    </row>
    <row r="6623" spans="2:8" ht="25.5" hidden="1">
      <c r="B6623" s="630" t="s">
        <v>6563</v>
      </c>
      <c r="C6623" s="630">
        <v>100230</v>
      </c>
      <c r="D6623" s="630" t="s">
        <v>3612</v>
      </c>
      <c r="E6623" s="630" t="s">
        <v>645</v>
      </c>
      <c r="F6623" s="980">
        <v>0</v>
      </c>
      <c r="G6623" s="980">
        <v>0.02</v>
      </c>
      <c r="H6623" s="630">
        <v>0.02</v>
      </c>
    </row>
    <row r="6624" spans="2:8" ht="25.5" hidden="1">
      <c r="B6624" s="630" t="s">
        <v>6563</v>
      </c>
      <c r="C6624" s="630">
        <v>100231</v>
      </c>
      <c r="D6624" s="630" t="s">
        <v>3613</v>
      </c>
      <c r="E6624" s="630" t="s">
        <v>645</v>
      </c>
      <c r="F6624" s="980">
        <v>0</v>
      </c>
      <c r="G6624" s="980">
        <v>0.04</v>
      </c>
      <c r="H6624" s="630">
        <v>0.04</v>
      </c>
    </row>
    <row r="6625" spans="2:8" ht="25.5" hidden="1">
      <c r="B6625" s="630" t="s">
        <v>6563</v>
      </c>
      <c r="C6625" s="630">
        <v>100232</v>
      </c>
      <c r="D6625" s="630" t="s">
        <v>3614</v>
      </c>
      <c r="E6625" s="630" t="s">
        <v>646</v>
      </c>
      <c r="F6625" s="980">
        <v>0.08</v>
      </c>
      <c r="G6625" s="980">
        <v>0.32</v>
      </c>
      <c r="H6625" s="630">
        <v>0.4</v>
      </c>
    </row>
    <row r="6626" spans="2:8" ht="25.5" hidden="1">
      <c r="B6626" s="630" t="s">
        <v>6563</v>
      </c>
      <c r="C6626" s="630">
        <v>100233</v>
      </c>
      <c r="D6626" s="630" t="s">
        <v>3615</v>
      </c>
      <c r="E6626" s="630" t="s">
        <v>646</v>
      </c>
      <c r="F6626" s="980">
        <v>0.02</v>
      </c>
      <c r="G6626" s="980">
        <v>0.18</v>
      </c>
      <c r="H6626" s="630">
        <v>0.2</v>
      </c>
    </row>
    <row r="6627" spans="2:8" ht="25.5" hidden="1">
      <c r="B6627" s="630" t="s">
        <v>6563</v>
      </c>
      <c r="C6627" s="630">
        <v>100234</v>
      </c>
      <c r="D6627" s="630" t="s">
        <v>3616</v>
      </c>
      <c r="E6627" s="630" t="s">
        <v>649</v>
      </c>
      <c r="F6627" s="980">
        <v>0.14000000000000001</v>
      </c>
      <c r="G6627" s="980">
        <v>0.46</v>
      </c>
      <c r="H6627" s="630">
        <v>0.6</v>
      </c>
    </row>
    <row r="6628" spans="2:8" ht="25.5" hidden="1">
      <c r="B6628" s="630" t="s">
        <v>6563</v>
      </c>
      <c r="C6628" s="630">
        <v>100235</v>
      </c>
      <c r="D6628" s="630" t="s">
        <v>3617</v>
      </c>
      <c r="E6628" s="630" t="s">
        <v>924</v>
      </c>
      <c r="F6628" s="980">
        <v>0</v>
      </c>
      <c r="G6628" s="980">
        <v>0.04</v>
      </c>
      <c r="H6628" s="630">
        <v>0.04</v>
      </c>
    </row>
    <row r="6629" spans="2:8" ht="25.5" hidden="1">
      <c r="B6629" s="630" t="s">
        <v>6563</v>
      </c>
      <c r="C6629" s="630">
        <v>100236</v>
      </c>
      <c r="D6629" s="630" t="s">
        <v>3618</v>
      </c>
      <c r="E6629" s="630" t="s">
        <v>3619</v>
      </c>
      <c r="F6629" s="980">
        <v>0.82</v>
      </c>
      <c r="G6629" s="980">
        <v>2.25</v>
      </c>
      <c r="H6629" s="630">
        <v>3.07</v>
      </c>
    </row>
    <row r="6630" spans="2:8" ht="38.25" hidden="1">
      <c r="B6630" s="630" t="s">
        <v>6563</v>
      </c>
      <c r="C6630" s="630">
        <v>100237</v>
      </c>
      <c r="D6630" s="630" t="s">
        <v>3620</v>
      </c>
      <c r="E6630" s="630" t="s">
        <v>3619</v>
      </c>
      <c r="F6630" s="980">
        <v>0.98</v>
      </c>
      <c r="G6630" s="980">
        <v>2.7</v>
      </c>
      <c r="H6630" s="630">
        <v>3.68</v>
      </c>
    </row>
    <row r="6631" spans="2:8" ht="25.5" hidden="1">
      <c r="B6631" s="630" t="s">
        <v>6563</v>
      </c>
      <c r="C6631" s="630">
        <v>100238</v>
      </c>
      <c r="D6631" s="630" t="s">
        <v>3621</v>
      </c>
      <c r="E6631" s="630" t="s">
        <v>3619</v>
      </c>
      <c r="F6631" s="980">
        <v>1.6</v>
      </c>
      <c r="G6631" s="980">
        <v>4.29</v>
      </c>
      <c r="H6631" s="630">
        <v>5.89</v>
      </c>
    </row>
    <row r="6632" spans="2:8" ht="38.25" hidden="1">
      <c r="B6632" s="630" t="s">
        <v>6563</v>
      </c>
      <c r="C6632" s="630">
        <v>100239</v>
      </c>
      <c r="D6632" s="630" t="s">
        <v>3622</v>
      </c>
      <c r="E6632" s="630" t="s">
        <v>3619</v>
      </c>
      <c r="F6632" s="980">
        <v>2</v>
      </c>
      <c r="G6632" s="980">
        <v>5.36</v>
      </c>
      <c r="H6632" s="630">
        <v>7.36</v>
      </c>
    </row>
    <row r="6633" spans="2:8" ht="38.25" hidden="1">
      <c r="B6633" s="630" t="s">
        <v>6563</v>
      </c>
      <c r="C6633" s="630">
        <v>100240</v>
      </c>
      <c r="D6633" s="630" t="s">
        <v>3623</v>
      </c>
      <c r="E6633" s="630" t="s">
        <v>3619</v>
      </c>
      <c r="F6633" s="980">
        <v>1.2</v>
      </c>
      <c r="G6633" s="980">
        <v>3.21</v>
      </c>
      <c r="H6633" s="630">
        <v>4.41</v>
      </c>
    </row>
    <row r="6634" spans="2:8" ht="38.25" hidden="1">
      <c r="B6634" s="630" t="s">
        <v>6563</v>
      </c>
      <c r="C6634" s="630">
        <v>100241</v>
      </c>
      <c r="D6634" s="630" t="s">
        <v>3624</v>
      </c>
      <c r="E6634" s="630" t="s">
        <v>3619</v>
      </c>
      <c r="F6634" s="980">
        <v>2</v>
      </c>
      <c r="G6634" s="980">
        <v>5.36</v>
      </c>
      <c r="H6634" s="630">
        <v>7.36</v>
      </c>
    </row>
    <row r="6635" spans="2:8" ht="38.25" hidden="1">
      <c r="B6635" s="630" t="s">
        <v>6563</v>
      </c>
      <c r="C6635" s="630">
        <v>100242</v>
      </c>
      <c r="D6635" s="630" t="s">
        <v>3625</v>
      </c>
      <c r="E6635" s="630" t="s">
        <v>3619</v>
      </c>
      <c r="F6635" s="980">
        <v>5.96</v>
      </c>
      <c r="G6635" s="980">
        <v>15.79</v>
      </c>
      <c r="H6635" s="630">
        <v>21.75</v>
      </c>
    </row>
    <row r="6636" spans="2:8" ht="25.5" hidden="1">
      <c r="B6636" s="630" t="s">
        <v>6563</v>
      </c>
      <c r="C6636" s="630">
        <v>100243</v>
      </c>
      <c r="D6636" s="630" t="s">
        <v>3626</v>
      </c>
      <c r="E6636" s="630" t="s">
        <v>3619</v>
      </c>
      <c r="F6636" s="980">
        <v>0.95</v>
      </c>
      <c r="G6636" s="980">
        <v>2.58</v>
      </c>
      <c r="H6636" s="630">
        <v>3.53</v>
      </c>
    </row>
    <row r="6637" spans="2:8" ht="38.25" hidden="1">
      <c r="B6637" s="630" t="s">
        <v>6563</v>
      </c>
      <c r="C6637" s="630">
        <v>100244</v>
      </c>
      <c r="D6637" s="630" t="s">
        <v>3627</v>
      </c>
      <c r="E6637" s="630" t="s">
        <v>3619</v>
      </c>
      <c r="F6637" s="980">
        <v>1.2</v>
      </c>
      <c r="G6637" s="980">
        <v>3.21</v>
      </c>
      <c r="H6637" s="630">
        <v>4.41</v>
      </c>
    </row>
    <row r="6638" spans="2:8" ht="38.25" hidden="1">
      <c r="B6638" s="630" t="s">
        <v>6563</v>
      </c>
      <c r="C6638" s="630">
        <v>100245</v>
      </c>
      <c r="D6638" s="630" t="s">
        <v>3628</v>
      </c>
      <c r="E6638" s="630" t="s">
        <v>3619</v>
      </c>
      <c r="F6638" s="980">
        <v>2.41</v>
      </c>
      <c r="G6638" s="980">
        <v>6.42</v>
      </c>
      <c r="H6638" s="630">
        <v>8.83</v>
      </c>
    </row>
    <row r="6639" spans="2:8" ht="51" hidden="1">
      <c r="B6639" s="630" t="s">
        <v>6563</v>
      </c>
      <c r="C6639" s="630">
        <v>100246</v>
      </c>
      <c r="D6639" s="630" t="s">
        <v>3629</v>
      </c>
      <c r="E6639" s="630" t="s">
        <v>3619</v>
      </c>
      <c r="F6639" s="980">
        <v>0.79</v>
      </c>
      <c r="G6639" s="980">
        <v>2.15</v>
      </c>
      <c r="H6639" s="630">
        <v>2.94</v>
      </c>
    </row>
    <row r="6640" spans="2:8" ht="51" hidden="1">
      <c r="B6640" s="630" t="s">
        <v>6563</v>
      </c>
      <c r="C6640" s="630">
        <v>100247</v>
      </c>
      <c r="D6640" s="630" t="s">
        <v>3630</v>
      </c>
      <c r="E6640" s="630" t="s">
        <v>3619</v>
      </c>
      <c r="F6640" s="980">
        <v>0.98</v>
      </c>
      <c r="G6640" s="980">
        <v>2.7</v>
      </c>
      <c r="H6640" s="630">
        <v>3.68</v>
      </c>
    </row>
    <row r="6641" spans="2:8" ht="51" hidden="1">
      <c r="B6641" s="630" t="s">
        <v>6563</v>
      </c>
      <c r="C6641" s="630">
        <v>100248</v>
      </c>
      <c r="D6641" s="630" t="s">
        <v>3631</v>
      </c>
      <c r="E6641" s="630" t="s">
        <v>3619</v>
      </c>
      <c r="F6641" s="980">
        <v>3.97</v>
      </c>
      <c r="G6641" s="980">
        <v>10.53</v>
      </c>
      <c r="H6641" s="630">
        <v>14.5</v>
      </c>
    </row>
    <row r="6642" spans="2:8" ht="38.25" hidden="1">
      <c r="B6642" s="630" t="s">
        <v>6563</v>
      </c>
      <c r="C6642" s="630">
        <v>100249</v>
      </c>
      <c r="D6642" s="630" t="s">
        <v>3632</v>
      </c>
      <c r="E6642" s="630" t="s">
        <v>3619</v>
      </c>
      <c r="F6642" s="980">
        <v>0.79</v>
      </c>
      <c r="G6642" s="980">
        <v>2.15</v>
      </c>
      <c r="H6642" s="630">
        <v>2.94</v>
      </c>
    </row>
    <row r="6643" spans="2:8" ht="38.25" hidden="1">
      <c r="B6643" s="630" t="s">
        <v>6563</v>
      </c>
      <c r="C6643" s="630">
        <v>100250</v>
      </c>
      <c r="D6643" s="630" t="s">
        <v>3633</v>
      </c>
      <c r="E6643" s="630" t="s">
        <v>3619</v>
      </c>
      <c r="F6643" s="980">
        <v>1.32</v>
      </c>
      <c r="G6643" s="980">
        <v>3.58</v>
      </c>
      <c r="H6643" s="630">
        <v>4.9000000000000004</v>
      </c>
    </row>
    <row r="6644" spans="2:8" ht="38.25" hidden="1">
      <c r="B6644" s="630" t="s">
        <v>6563</v>
      </c>
      <c r="C6644" s="630">
        <v>100251</v>
      </c>
      <c r="D6644" s="630" t="s">
        <v>3634</v>
      </c>
      <c r="E6644" s="630" t="s">
        <v>3619</v>
      </c>
      <c r="F6644" s="980">
        <v>3.97</v>
      </c>
      <c r="G6644" s="980">
        <v>10.53</v>
      </c>
      <c r="H6644" s="630">
        <v>14.5</v>
      </c>
    </row>
    <row r="6645" spans="2:8" ht="38.25" hidden="1">
      <c r="B6645" s="630" t="s">
        <v>6563</v>
      </c>
      <c r="C6645" s="630">
        <v>100252</v>
      </c>
      <c r="D6645" s="630" t="s">
        <v>3635</v>
      </c>
      <c r="E6645" s="630" t="s">
        <v>3619</v>
      </c>
      <c r="F6645" s="980">
        <v>5.96</v>
      </c>
      <c r="G6645" s="980">
        <v>15.79</v>
      </c>
      <c r="H6645" s="630">
        <v>21.75</v>
      </c>
    </row>
    <row r="6646" spans="2:8" ht="38.25" hidden="1">
      <c r="B6646" s="630" t="s">
        <v>6563</v>
      </c>
      <c r="C6646" s="630">
        <v>100253</v>
      </c>
      <c r="D6646" s="630" t="s">
        <v>3636</v>
      </c>
      <c r="E6646" s="630" t="s">
        <v>3619</v>
      </c>
      <c r="F6646" s="980">
        <v>7.96</v>
      </c>
      <c r="G6646" s="980">
        <v>21.05</v>
      </c>
      <c r="H6646" s="630">
        <v>29.01</v>
      </c>
    </row>
    <row r="6647" spans="2:8" ht="38.25" hidden="1">
      <c r="B6647" s="630" t="s">
        <v>6563</v>
      </c>
      <c r="C6647" s="630">
        <v>100254</v>
      </c>
      <c r="D6647" s="630" t="s">
        <v>3637</v>
      </c>
      <c r="E6647" s="630" t="s">
        <v>3619</v>
      </c>
      <c r="F6647" s="980">
        <v>11.95</v>
      </c>
      <c r="G6647" s="980">
        <v>31.56</v>
      </c>
      <c r="H6647" s="630">
        <v>43.51</v>
      </c>
    </row>
    <row r="6648" spans="2:8" ht="25.5" hidden="1">
      <c r="B6648" s="630" t="s">
        <v>6563</v>
      </c>
      <c r="C6648" s="630">
        <v>100255</v>
      </c>
      <c r="D6648" s="630" t="s">
        <v>3638</v>
      </c>
      <c r="E6648" s="630" t="s">
        <v>3619</v>
      </c>
      <c r="F6648" s="980">
        <v>4.0199999999999996</v>
      </c>
      <c r="G6648" s="980">
        <v>10.7</v>
      </c>
      <c r="H6648" s="630">
        <v>14.72</v>
      </c>
    </row>
    <row r="6649" spans="2:8" ht="25.5" hidden="1">
      <c r="B6649" s="630" t="s">
        <v>6563</v>
      </c>
      <c r="C6649" s="630">
        <v>100256</v>
      </c>
      <c r="D6649" s="630" t="s">
        <v>3639</v>
      </c>
      <c r="E6649" s="630" t="s">
        <v>3619</v>
      </c>
      <c r="F6649" s="980">
        <v>2.67</v>
      </c>
      <c r="G6649" s="980">
        <v>7.14</v>
      </c>
      <c r="H6649" s="630">
        <v>9.81</v>
      </c>
    </row>
    <row r="6650" spans="2:8" ht="25.5" hidden="1">
      <c r="B6650" s="630" t="s">
        <v>6563</v>
      </c>
      <c r="C6650" s="630">
        <v>100257</v>
      </c>
      <c r="D6650" s="630" t="s">
        <v>3640</v>
      </c>
      <c r="E6650" s="630" t="s">
        <v>3619</v>
      </c>
      <c r="F6650" s="980">
        <v>1.6</v>
      </c>
      <c r="G6650" s="980">
        <v>4.29</v>
      </c>
      <c r="H6650" s="630">
        <v>5.89</v>
      </c>
    </row>
    <row r="6651" spans="2:8" ht="25.5" hidden="1">
      <c r="B6651" s="630" t="s">
        <v>6563</v>
      </c>
      <c r="C6651" s="630">
        <v>100258</v>
      </c>
      <c r="D6651" s="630" t="s">
        <v>3641</v>
      </c>
      <c r="E6651" s="630" t="s">
        <v>3619</v>
      </c>
      <c r="F6651" s="980">
        <v>4.0199999999999996</v>
      </c>
      <c r="G6651" s="980">
        <v>10.7</v>
      </c>
      <c r="H6651" s="630">
        <v>14.72</v>
      </c>
    </row>
    <row r="6652" spans="2:8" ht="25.5" hidden="1">
      <c r="B6652" s="630" t="s">
        <v>6563</v>
      </c>
      <c r="C6652" s="630">
        <v>100259</v>
      </c>
      <c r="D6652" s="630" t="s">
        <v>3642</v>
      </c>
      <c r="E6652" s="630" t="s">
        <v>3619</v>
      </c>
      <c r="F6652" s="980">
        <v>7.96</v>
      </c>
      <c r="G6652" s="980">
        <v>21.05</v>
      </c>
      <c r="H6652" s="630">
        <v>29.01</v>
      </c>
    </row>
    <row r="6653" spans="2:8" ht="25.5" hidden="1">
      <c r="B6653" s="630" t="s">
        <v>6563</v>
      </c>
      <c r="C6653" s="630">
        <v>100260</v>
      </c>
      <c r="D6653" s="630" t="s">
        <v>3643</v>
      </c>
      <c r="E6653" s="630" t="s">
        <v>3574</v>
      </c>
      <c r="F6653" s="980">
        <v>2.61</v>
      </c>
      <c r="G6653" s="980">
        <v>6.95</v>
      </c>
      <c r="H6653" s="630">
        <v>9.56</v>
      </c>
    </row>
    <row r="6654" spans="2:8" ht="25.5" hidden="1">
      <c r="B6654" s="630" t="s">
        <v>6563</v>
      </c>
      <c r="C6654" s="630">
        <v>100261</v>
      </c>
      <c r="D6654" s="630" t="s">
        <v>3644</v>
      </c>
      <c r="E6654" s="630" t="s">
        <v>3574</v>
      </c>
      <c r="F6654" s="980">
        <v>1.63</v>
      </c>
      <c r="G6654" s="980">
        <v>4.38</v>
      </c>
      <c r="H6654" s="630">
        <v>6.01</v>
      </c>
    </row>
    <row r="6655" spans="2:8" ht="25.5" hidden="1">
      <c r="B6655" s="630" t="s">
        <v>6563</v>
      </c>
      <c r="C6655" s="630">
        <v>100262</v>
      </c>
      <c r="D6655" s="630" t="s">
        <v>3645</v>
      </c>
      <c r="E6655" s="630" t="s">
        <v>3574</v>
      </c>
      <c r="F6655" s="980">
        <v>1</v>
      </c>
      <c r="G6655" s="980">
        <v>2.72</v>
      </c>
      <c r="H6655" s="630">
        <v>3.72</v>
      </c>
    </row>
    <row r="6656" spans="2:8" ht="38.25" hidden="1">
      <c r="B6656" s="630" t="s">
        <v>6563</v>
      </c>
      <c r="C6656" s="630">
        <v>100263</v>
      </c>
      <c r="D6656" s="630" t="s">
        <v>3646</v>
      </c>
      <c r="E6656" s="630" t="s">
        <v>3574</v>
      </c>
      <c r="F6656" s="980">
        <v>0.63</v>
      </c>
      <c r="G6656" s="980">
        <v>1.75</v>
      </c>
      <c r="H6656" s="630">
        <v>2.38</v>
      </c>
    </row>
    <row r="6657" spans="2:8" ht="25.5" hidden="1">
      <c r="B6657" s="630" t="s">
        <v>6563</v>
      </c>
      <c r="C6657" s="630">
        <v>100264</v>
      </c>
      <c r="D6657" s="630" t="s">
        <v>3647</v>
      </c>
      <c r="E6657" s="630" t="s">
        <v>3601</v>
      </c>
      <c r="F6657" s="980">
        <v>11.92</v>
      </c>
      <c r="G6657" s="980">
        <v>31.53</v>
      </c>
      <c r="H6657" s="630">
        <v>43.45</v>
      </c>
    </row>
    <row r="6658" spans="2:8" ht="25.5" hidden="1">
      <c r="B6658" s="630" t="s">
        <v>6563</v>
      </c>
      <c r="C6658" s="630">
        <v>100265</v>
      </c>
      <c r="D6658" s="630" t="s">
        <v>3648</v>
      </c>
      <c r="E6658" s="630" t="s">
        <v>649</v>
      </c>
      <c r="F6658" s="980">
        <v>0.23</v>
      </c>
      <c r="G6658" s="980">
        <v>0.68</v>
      </c>
      <c r="H6658" s="630">
        <v>0.91</v>
      </c>
    </row>
    <row r="6659" spans="2:8" ht="25.5" hidden="1">
      <c r="B6659" s="630" t="s">
        <v>6563</v>
      </c>
      <c r="C6659" s="630">
        <v>100266</v>
      </c>
      <c r="D6659" s="630" t="s">
        <v>3649</v>
      </c>
      <c r="E6659" s="630" t="s">
        <v>3588</v>
      </c>
      <c r="F6659" s="980">
        <v>25.38</v>
      </c>
      <c r="G6659" s="980">
        <v>66.959999999999994</v>
      </c>
      <c r="H6659" s="630">
        <v>92.34</v>
      </c>
    </row>
    <row r="6660" spans="2:8" ht="25.5" hidden="1">
      <c r="B6660" s="630" t="s">
        <v>6563</v>
      </c>
      <c r="C6660" s="630">
        <v>100267</v>
      </c>
      <c r="D6660" s="630" t="s">
        <v>3650</v>
      </c>
      <c r="E6660" s="630" t="s">
        <v>646</v>
      </c>
      <c r="F6660" s="980">
        <v>0.48</v>
      </c>
      <c r="G6660" s="980">
        <v>1.35</v>
      </c>
      <c r="H6660" s="630">
        <v>1.83</v>
      </c>
    </row>
    <row r="6661" spans="2:8" ht="38.25" hidden="1">
      <c r="B6661" s="630" t="s">
        <v>6563</v>
      </c>
      <c r="C6661" s="630">
        <v>100268</v>
      </c>
      <c r="D6661" s="630" t="s">
        <v>3651</v>
      </c>
      <c r="E6661" s="630" t="s">
        <v>3588</v>
      </c>
      <c r="F6661" s="980">
        <v>25.38</v>
      </c>
      <c r="G6661" s="980">
        <v>66.959999999999994</v>
      </c>
      <c r="H6661" s="630">
        <v>92.34</v>
      </c>
    </row>
    <row r="6662" spans="2:8" ht="38.25" hidden="1">
      <c r="B6662" s="630" t="s">
        <v>6563</v>
      </c>
      <c r="C6662" s="630">
        <v>100269</v>
      </c>
      <c r="D6662" s="630" t="s">
        <v>3652</v>
      </c>
      <c r="E6662" s="630" t="s">
        <v>646</v>
      </c>
      <c r="F6662" s="980">
        <v>0.48</v>
      </c>
      <c r="G6662" s="980">
        <v>1.35</v>
      </c>
      <c r="H6662" s="630">
        <v>1.83</v>
      </c>
    </row>
    <row r="6663" spans="2:8" ht="38.25" hidden="1">
      <c r="B6663" s="630" t="s">
        <v>6563</v>
      </c>
      <c r="C6663" s="630">
        <v>100270</v>
      </c>
      <c r="D6663" s="630" t="s">
        <v>3653</v>
      </c>
      <c r="E6663" s="630" t="s">
        <v>3588</v>
      </c>
      <c r="F6663" s="980">
        <v>19.010000000000002</v>
      </c>
      <c r="G6663" s="980">
        <v>50.2</v>
      </c>
      <c r="H6663" s="630">
        <v>69.209999999999994</v>
      </c>
    </row>
    <row r="6664" spans="2:8" ht="25.5" hidden="1">
      <c r="B6664" s="630" t="s">
        <v>6563</v>
      </c>
      <c r="C6664" s="630">
        <v>100271</v>
      </c>
      <c r="D6664" s="630" t="s">
        <v>3654</v>
      </c>
      <c r="E6664" s="630" t="s">
        <v>3601</v>
      </c>
      <c r="F6664" s="980">
        <v>19.02</v>
      </c>
      <c r="G6664" s="980">
        <v>50.23</v>
      </c>
      <c r="H6664" s="630">
        <v>69.25</v>
      </c>
    </row>
    <row r="6665" spans="2:8" ht="25.5" hidden="1">
      <c r="B6665" s="630" t="s">
        <v>6563</v>
      </c>
      <c r="C6665" s="630">
        <v>100272</v>
      </c>
      <c r="D6665" s="630" t="s">
        <v>3655</v>
      </c>
      <c r="E6665" s="630" t="s">
        <v>649</v>
      </c>
      <c r="F6665" s="980">
        <v>0.35</v>
      </c>
      <c r="G6665" s="980">
        <v>1.02</v>
      </c>
      <c r="H6665" s="630">
        <v>1.37</v>
      </c>
    </row>
    <row r="6666" spans="2:8" ht="25.5" hidden="1">
      <c r="B6666" s="630" t="s">
        <v>6563</v>
      </c>
      <c r="C6666" s="630">
        <v>100273</v>
      </c>
      <c r="D6666" s="630" t="s">
        <v>3656</v>
      </c>
      <c r="E6666" s="630" t="s">
        <v>3574</v>
      </c>
      <c r="F6666" s="980">
        <v>0.97</v>
      </c>
      <c r="G6666" s="980">
        <v>2.64</v>
      </c>
      <c r="H6666" s="630">
        <v>3.61</v>
      </c>
    </row>
    <row r="6667" spans="2:8" ht="25.5" hidden="1">
      <c r="B6667" s="630" t="s">
        <v>6563</v>
      </c>
      <c r="C6667" s="630">
        <v>100274</v>
      </c>
      <c r="D6667" s="630" t="s">
        <v>3657</v>
      </c>
      <c r="E6667" s="630" t="s">
        <v>3601</v>
      </c>
      <c r="F6667" s="980">
        <v>8.44</v>
      </c>
      <c r="G6667" s="980">
        <v>22.35</v>
      </c>
      <c r="H6667" s="630">
        <v>30.79</v>
      </c>
    </row>
    <row r="6668" spans="2:8" ht="25.5" hidden="1">
      <c r="B6668" s="630" t="s">
        <v>6563</v>
      </c>
      <c r="C6668" s="630">
        <v>100275</v>
      </c>
      <c r="D6668" s="630" t="s">
        <v>3658</v>
      </c>
      <c r="E6668" s="630" t="s">
        <v>3601</v>
      </c>
      <c r="F6668" s="980">
        <v>5.46</v>
      </c>
      <c r="G6668" s="980">
        <v>14.45</v>
      </c>
      <c r="H6668" s="630">
        <v>19.91</v>
      </c>
    </row>
    <row r="6669" spans="2:8" ht="38.25" hidden="1">
      <c r="B6669" s="630" t="s">
        <v>6563</v>
      </c>
      <c r="C6669" s="630">
        <v>100276</v>
      </c>
      <c r="D6669" s="630" t="s">
        <v>3659</v>
      </c>
      <c r="E6669" s="630" t="s">
        <v>3601</v>
      </c>
      <c r="F6669" s="980">
        <v>9.9700000000000006</v>
      </c>
      <c r="G6669" s="980">
        <v>26.36</v>
      </c>
      <c r="H6669" s="630">
        <v>36.33</v>
      </c>
    </row>
    <row r="6670" spans="2:8" ht="38.25" hidden="1">
      <c r="B6670" s="630" t="s">
        <v>6563</v>
      </c>
      <c r="C6670" s="630">
        <v>100277</v>
      </c>
      <c r="D6670" s="630" t="s">
        <v>3660</v>
      </c>
      <c r="E6670" s="630" t="s">
        <v>3601</v>
      </c>
      <c r="F6670" s="980">
        <v>1.3900000000000001</v>
      </c>
      <c r="G6670" s="980">
        <v>0.54</v>
      </c>
      <c r="H6670" s="630">
        <v>1.93</v>
      </c>
    </row>
    <row r="6671" spans="2:8" ht="25.5" hidden="1">
      <c r="B6671" s="630" t="s">
        <v>6563</v>
      </c>
      <c r="C6671" s="630">
        <v>100278</v>
      </c>
      <c r="D6671" s="630" t="s">
        <v>3661</v>
      </c>
      <c r="E6671" s="630" t="s">
        <v>3588</v>
      </c>
      <c r="F6671" s="980">
        <v>12.12</v>
      </c>
      <c r="G6671" s="980">
        <v>32.06</v>
      </c>
      <c r="H6671" s="630">
        <v>44.18</v>
      </c>
    </row>
    <row r="6672" spans="2:8" ht="25.5" hidden="1">
      <c r="B6672" s="630" t="s">
        <v>6563</v>
      </c>
      <c r="C6672" s="630">
        <v>100279</v>
      </c>
      <c r="D6672" s="630" t="s">
        <v>3662</v>
      </c>
      <c r="E6672" s="630" t="s">
        <v>646</v>
      </c>
      <c r="F6672" s="980">
        <v>0.21</v>
      </c>
      <c r="G6672" s="980">
        <v>0.64</v>
      </c>
      <c r="H6672" s="630">
        <v>0.85</v>
      </c>
    </row>
    <row r="6673" spans="2:8" ht="38.25" hidden="1">
      <c r="B6673" s="630" t="s">
        <v>6563</v>
      </c>
      <c r="C6673" s="630">
        <v>100280</v>
      </c>
      <c r="D6673" s="630" t="s">
        <v>3663</v>
      </c>
      <c r="E6673" s="630" t="s">
        <v>3588</v>
      </c>
      <c r="F6673" s="980">
        <v>5.55</v>
      </c>
      <c r="G6673" s="980">
        <v>14.73</v>
      </c>
      <c r="H6673" s="630">
        <v>20.28</v>
      </c>
    </row>
    <row r="6674" spans="2:8" ht="38.25" hidden="1">
      <c r="B6674" s="630" t="s">
        <v>6563</v>
      </c>
      <c r="C6674" s="630">
        <v>100281</v>
      </c>
      <c r="D6674" s="630" t="s">
        <v>3664</v>
      </c>
      <c r="E6674" s="630" t="s">
        <v>3588</v>
      </c>
      <c r="F6674" s="980">
        <v>2.6500000000000004</v>
      </c>
      <c r="G6674" s="980">
        <v>1.06</v>
      </c>
      <c r="H6674" s="630">
        <v>3.71</v>
      </c>
    </row>
    <row r="6675" spans="2:8" ht="25.5" hidden="1">
      <c r="B6675" s="630" t="s">
        <v>6563</v>
      </c>
      <c r="C6675" s="630">
        <v>100282</v>
      </c>
      <c r="D6675" s="630" t="s">
        <v>3665</v>
      </c>
      <c r="E6675" s="630" t="s">
        <v>3601</v>
      </c>
      <c r="F6675" s="980">
        <v>47.55</v>
      </c>
      <c r="G6675" s="980">
        <v>125.45</v>
      </c>
      <c r="H6675" s="630">
        <v>173</v>
      </c>
    </row>
    <row r="6676" spans="2:8" ht="25.5" hidden="1">
      <c r="B6676" s="630" t="s">
        <v>6563</v>
      </c>
      <c r="C6676" s="630">
        <v>100283</v>
      </c>
      <c r="D6676" s="630" t="s">
        <v>3666</v>
      </c>
      <c r="E6676" s="630" t="s">
        <v>3601</v>
      </c>
      <c r="F6676" s="980">
        <v>7.66</v>
      </c>
      <c r="G6676" s="980">
        <v>20.28</v>
      </c>
      <c r="H6676" s="630">
        <v>27.94</v>
      </c>
    </row>
    <row r="6677" spans="2:8" ht="25.5" hidden="1">
      <c r="B6677" s="630" t="s">
        <v>6563</v>
      </c>
      <c r="C6677" s="630">
        <v>100284</v>
      </c>
      <c r="D6677" s="630" t="s">
        <v>3667</v>
      </c>
      <c r="E6677" s="630" t="s">
        <v>3601</v>
      </c>
      <c r="F6677" s="980">
        <v>7.7899999999999991</v>
      </c>
      <c r="G6677" s="980">
        <v>3.05</v>
      </c>
      <c r="H6677" s="630">
        <v>10.84</v>
      </c>
    </row>
    <row r="6678" spans="2:8" ht="25.5" hidden="1">
      <c r="B6678" s="630" t="s">
        <v>6563</v>
      </c>
      <c r="C6678" s="630">
        <v>100285</v>
      </c>
      <c r="D6678" s="630" t="s">
        <v>3668</v>
      </c>
      <c r="E6678" s="630" t="s">
        <v>3619</v>
      </c>
      <c r="F6678" s="980">
        <v>12.76</v>
      </c>
      <c r="G6678" s="980">
        <v>33.72</v>
      </c>
      <c r="H6678" s="630">
        <v>46.48</v>
      </c>
    </row>
    <row r="6679" spans="2:8" ht="25.5" hidden="1">
      <c r="B6679" s="630" t="s">
        <v>6563</v>
      </c>
      <c r="C6679" s="630">
        <v>100286</v>
      </c>
      <c r="D6679" s="630" t="s">
        <v>3669</v>
      </c>
      <c r="E6679" s="630" t="s">
        <v>3619</v>
      </c>
      <c r="F6679" s="980">
        <v>4.1399999999999997</v>
      </c>
      <c r="G6679" s="980">
        <v>11</v>
      </c>
      <c r="H6679" s="630">
        <v>15.14</v>
      </c>
    </row>
    <row r="6680" spans="2:8" ht="25.5" hidden="1">
      <c r="B6680" s="630" t="s">
        <v>6563</v>
      </c>
      <c r="C6680" s="630">
        <v>100287</v>
      </c>
      <c r="D6680" s="630" t="s">
        <v>3670</v>
      </c>
      <c r="E6680" s="630" t="s">
        <v>3619</v>
      </c>
      <c r="F6680" s="980">
        <v>3.97</v>
      </c>
      <c r="G6680" s="980">
        <v>10.53</v>
      </c>
      <c r="H6680" s="630">
        <v>14.5</v>
      </c>
    </row>
    <row r="6681" spans="2:8" ht="25.5" hidden="1">
      <c r="B6681" s="630" t="s">
        <v>6632</v>
      </c>
      <c r="C6681" s="630">
        <v>99802</v>
      </c>
      <c r="D6681" s="630" t="s">
        <v>3671</v>
      </c>
      <c r="E6681" s="630" t="s">
        <v>649</v>
      </c>
      <c r="F6681" s="980">
        <v>0.14000000000000001</v>
      </c>
      <c r="G6681" s="980">
        <v>0.45</v>
      </c>
      <c r="H6681" s="630">
        <v>0.59</v>
      </c>
    </row>
    <row r="6682" spans="2:8" ht="25.5" hidden="1">
      <c r="B6682" s="630" t="s">
        <v>6632</v>
      </c>
      <c r="C6682" s="630">
        <v>99803</v>
      </c>
      <c r="D6682" s="630" t="s">
        <v>3672</v>
      </c>
      <c r="E6682" s="630" t="s">
        <v>649</v>
      </c>
      <c r="F6682" s="980">
        <v>0.61</v>
      </c>
      <c r="G6682" s="980">
        <v>1.68</v>
      </c>
      <c r="H6682" s="630">
        <v>2.29</v>
      </c>
    </row>
    <row r="6683" spans="2:8" ht="25.5" hidden="1">
      <c r="B6683" s="630" t="s">
        <v>6632</v>
      </c>
      <c r="C6683" s="630">
        <v>99804</v>
      </c>
      <c r="D6683" s="630" t="s">
        <v>5784</v>
      </c>
      <c r="E6683" s="630" t="s">
        <v>649</v>
      </c>
      <c r="F6683" s="980">
        <v>1.66</v>
      </c>
      <c r="G6683" s="980">
        <v>4.29</v>
      </c>
      <c r="H6683" s="630">
        <v>5.95</v>
      </c>
    </row>
    <row r="6684" spans="2:8" ht="25.5" hidden="1">
      <c r="B6684" s="630" t="s">
        <v>6632</v>
      </c>
      <c r="C6684" s="630">
        <v>99805</v>
      </c>
      <c r="D6684" s="630" t="s">
        <v>3673</v>
      </c>
      <c r="E6684" s="630" t="s">
        <v>649</v>
      </c>
      <c r="F6684" s="980">
        <v>3.82</v>
      </c>
      <c r="G6684" s="980">
        <v>8.5</v>
      </c>
      <c r="H6684" s="630">
        <v>12.32</v>
      </c>
    </row>
    <row r="6685" spans="2:8" ht="25.5" hidden="1">
      <c r="B6685" s="630" t="s">
        <v>6632</v>
      </c>
      <c r="C6685" s="630">
        <v>99806</v>
      </c>
      <c r="D6685" s="630" t="s">
        <v>3674</v>
      </c>
      <c r="E6685" s="630" t="s">
        <v>649</v>
      </c>
      <c r="F6685" s="980">
        <v>0.24</v>
      </c>
      <c r="G6685" s="980">
        <v>0.7</v>
      </c>
      <c r="H6685" s="630">
        <v>0.94</v>
      </c>
    </row>
    <row r="6686" spans="2:8" ht="25.5" hidden="1">
      <c r="B6686" s="630" t="s">
        <v>6632</v>
      </c>
      <c r="C6686" s="630">
        <v>99807</v>
      </c>
      <c r="D6686" s="630" t="s">
        <v>5785</v>
      </c>
      <c r="E6686" s="630" t="s">
        <v>649</v>
      </c>
      <c r="F6686" s="980">
        <v>0.52</v>
      </c>
      <c r="G6686" s="980">
        <v>1.28</v>
      </c>
      <c r="H6686" s="630">
        <v>1.8</v>
      </c>
    </row>
    <row r="6687" spans="2:8" ht="25.5" hidden="1">
      <c r="B6687" s="630" t="s">
        <v>6632</v>
      </c>
      <c r="C6687" s="630">
        <v>99808</v>
      </c>
      <c r="D6687" s="630" t="s">
        <v>3675</v>
      </c>
      <c r="E6687" s="630" t="s">
        <v>649</v>
      </c>
      <c r="F6687" s="980">
        <v>1.62</v>
      </c>
      <c r="G6687" s="980">
        <v>2.64</v>
      </c>
      <c r="H6687" s="630">
        <v>4.26</v>
      </c>
    </row>
    <row r="6688" spans="2:8" ht="25.5" hidden="1">
      <c r="B6688" s="630" t="s">
        <v>6632</v>
      </c>
      <c r="C6688" s="630">
        <v>99809</v>
      </c>
      <c r="D6688" s="630" t="s">
        <v>3676</v>
      </c>
      <c r="E6688" s="630" t="s">
        <v>649</v>
      </c>
      <c r="F6688" s="980">
        <v>1.77</v>
      </c>
      <c r="G6688" s="980">
        <v>4.7699999999999996</v>
      </c>
      <c r="H6688" s="630">
        <v>6.54</v>
      </c>
    </row>
    <row r="6689" spans="2:8" ht="25.5" hidden="1">
      <c r="B6689" s="630" t="s">
        <v>6632</v>
      </c>
      <c r="C6689" s="630">
        <v>99810</v>
      </c>
      <c r="D6689" s="630" t="s">
        <v>5786</v>
      </c>
      <c r="E6689" s="630" t="s">
        <v>649</v>
      </c>
      <c r="F6689" s="980">
        <v>2.27</v>
      </c>
      <c r="G6689" s="980">
        <v>5.86</v>
      </c>
      <c r="H6689" s="630">
        <v>8.1300000000000008</v>
      </c>
    </row>
    <row r="6690" spans="2:8" hidden="1">
      <c r="B6690" s="630" t="s">
        <v>6632</v>
      </c>
      <c r="C6690" s="630">
        <v>99811</v>
      </c>
      <c r="D6690" s="630" t="s">
        <v>3677</v>
      </c>
      <c r="E6690" s="630" t="s">
        <v>649</v>
      </c>
      <c r="F6690" s="980">
        <v>1.05</v>
      </c>
      <c r="G6690" s="980">
        <v>2.86</v>
      </c>
      <c r="H6690" s="630">
        <v>3.91</v>
      </c>
    </row>
    <row r="6691" spans="2:8" ht="25.5" hidden="1">
      <c r="B6691" s="630" t="s">
        <v>6632</v>
      </c>
      <c r="C6691" s="630">
        <v>99812</v>
      </c>
      <c r="D6691" s="630" t="s">
        <v>3678</v>
      </c>
      <c r="E6691" s="630" t="s">
        <v>649</v>
      </c>
      <c r="F6691" s="980">
        <v>0.32</v>
      </c>
      <c r="G6691" s="980">
        <v>0.93</v>
      </c>
      <c r="H6691" s="630">
        <v>1.25</v>
      </c>
    </row>
    <row r="6692" spans="2:8" ht="25.5" hidden="1">
      <c r="B6692" s="630" t="s">
        <v>6632</v>
      </c>
      <c r="C6692" s="630">
        <v>99813</v>
      </c>
      <c r="D6692" s="630" t="s">
        <v>5787</v>
      </c>
      <c r="E6692" s="630" t="s">
        <v>649</v>
      </c>
      <c r="F6692" s="980">
        <v>0.32</v>
      </c>
      <c r="G6692" s="980">
        <v>0.74</v>
      </c>
      <c r="H6692" s="630">
        <v>1.06</v>
      </c>
    </row>
    <row r="6693" spans="2:8" hidden="1">
      <c r="B6693" s="630" t="s">
        <v>6632</v>
      </c>
      <c r="C6693" s="630">
        <v>99814</v>
      </c>
      <c r="D6693" s="630" t="s">
        <v>3679</v>
      </c>
      <c r="E6693" s="630" t="s">
        <v>649</v>
      </c>
      <c r="F6693" s="980">
        <v>0.6100000000000001</v>
      </c>
      <c r="G6693" s="980">
        <v>1.56</v>
      </c>
      <c r="H6693" s="630">
        <v>2.17</v>
      </c>
    </row>
    <row r="6694" spans="2:8" ht="25.5" hidden="1">
      <c r="B6694" s="630" t="s">
        <v>6632</v>
      </c>
      <c r="C6694" s="630">
        <v>99815</v>
      </c>
      <c r="D6694" s="630" t="s">
        <v>5788</v>
      </c>
      <c r="E6694" s="630" t="s">
        <v>646</v>
      </c>
      <c r="F6694" s="980">
        <v>4.47</v>
      </c>
      <c r="G6694" s="980">
        <v>4.7</v>
      </c>
      <c r="H6694" s="630">
        <v>9.17</v>
      </c>
    </row>
    <row r="6695" spans="2:8" ht="25.5" hidden="1">
      <c r="B6695" s="630" t="s">
        <v>6632</v>
      </c>
      <c r="C6695" s="630">
        <v>99816</v>
      </c>
      <c r="D6695" s="630" t="s">
        <v>5789</v>
      </c>
      <c r="E6695" s="630" t="s">
        <v>646</v>
      </c>
      <c r="F6695" s="980">
        <v>4.62</v>
      </c>
      <c r="G6695" s="980">
        <v>5.14</v>
      </c>
      <c r="H6695" s="630">
        <v>9.76</v>
      </c>
    </row>
    <row r="6696" spans="2:8" ht="25.5" hidden="1">
      <c r="B6696" s="630" t="s">
        <v>6632</v>
      </c>
      <c r="C6696" s="630">
        <v>99817</v>
      </c>
      <c r="D6696" s="630" t="s">
        <v>5790</v>
      </c>
      <c r="E6696" s="630" t="s">
        <v>646</v>
      </c>
      <c r="F6696" s="980">
        <v>3.51</v>
      </c>
      <c r="G6696" s="980">
        <v>2.13</v>
      </c>
      <c r="H6696" s="630">
        <v>5.64</v>
      </c>
    </row>
    <row r="6697" spans="2:8" ht="25.5" hidden="1">
      <c r="B6697" s="630" t="s">
        <v>6632</v>
      </c>
      <c r="C6697" s="630">
        <v>99818</v>
      </c>
      <c r="D6697" s="630" t="s">
        <v>5791</v>
      </c>
      <c r="E6697" s="630" t="s">
        <v>646</v>
      </c>
      <c r="F6697" s="980">
        <v>3.51</v>
      </c>
      <c r="G6697" s="980">
        <v>2.13</v>
      </c>
      <c r="H6697" s="630">
        <v>5.64</v>
      </c>
    </row>
    <row r="6698" spans="2:8" hidden="1">
      <c r="B6698" s="630" t="s">
        <v>6632</v>
      </c>
      <c r="C6698" s="630">
        <v>99819</v>
      </c>
      <c r="D6698" s="630" t="s">
        <v>5792</v>
      </c>
      <c r="E6698" s="630" t="s">
        <v>649</v>
      </c>
      <c r="F6698" s="980">
        <v>5.22</v>
      </c>
      <c r="G6698" s="980">
        <v>13.38</v>
      </c>
      <c r="H6698" s="630">
        <v>18.600000000000001</v>
      </c>
    </row>
    <row r="6699" spans="2:8" hidden="1">
      <c r="B6699" s="630" t="s">
        <v>6632</v>
      </c>
      <c r="C6699" s="630">
        <v>99820</v>
      </c>
      <c r="D6699" s="630" t="s">
        <v>5793</v>
      </c>
      <c r="E6699" s="630" t="s">
        <v>649</v>
      </c>
      <c r="F6699" s="980">
        <v>0.99</v>
      </c>
      <c r="G6699" s="980">
        <v>1.0900000000000001</v>
      </c>
      <c r="H6699" s="630">
        <v>2.08</v>
      </c>
    </row>
    <row r="6700" spans="2:8" ht="25.5" hidden="1">
      <c r="B6700" s="630" t="s">
        <v>6632</v>
      </c>
      <c r="C6700" s="630">
        <v>99821</v>
      </c>
      <c r="D6700" s="630" t="s">
        <v>5794</v>
      </c>
      <c r="E6700" s="630" t="s">
        <v>649</v>
      </c>
      <c r="F6700" s="980">
        <v>1.63</v>
      </c>
      <c r="G6700" s="980">
        <v>1.58</v>
      </c>
      <c r="H6700" s="630">
        <v>3.21</v>
      </c>
    </row>
    <row r="6701" spans="2:8" hidden="1">
      <c r="B6701" s="630" t="s">
        <v>6632</v>
      </c>
      <c r="C6701" s="630">
        <v>99822</v>
      </c>
      <c r="D6701" s="630" t="s">
        <v>3680</v>
      </c>
      <c r="E6701" s="630" t="s">
        <v>649</v>
      </c>
      <c r="F6701" s="980">
        <v>0.28000000000000003</v>
      </c>
      <c r="G6701" s="980">
        <v>0.83</v>
      </c>
      <c r="H6701" s="630">
        <v>1.1100000000000001</v>
      </c>
    </row>
    <row r="6702" spans="2:8" hidden="1">
      <c r="B6702" s="630" t="s">
        <v>6632</v>
      </c>
      <c r="C6702" s="630">
        <v>99823</v>
      </c>
      <c r="D6702" s="630" t="s">
        <v>5795</v>
      </c>
      <c r="E6702" s="630" t="s">
        <v>649</v>
      </c>
      <c r="F6702" s="980">
        <v>1.0900000000000001</v>
      </c>
      <c r="G6702" s="980">
        <v>1.37</v>
      </c>
      <c r="H6702" s="630">
        <v>2.46</v>
      </c>
    </row>
    <row r="6703" spans="2:8" hidden="1">
      <c r="B6703" s="630" t="s">
        <v>6632</v>
      </c>
      <c r="C6703" s="630">
        <v>99824</v>
      </c>
      <c r="D6703" s="630" t="s">
        <v>5796</v>
      </c>
      <c r="E6703" s="630" t="s">
        <v>649</v>
      </c>
      <c r="F6703" s="980">
        <v>1.1000000000000001</v>
      </c>
      <c r="G6703" s="980">
        <v>1.61</v>
      </c>
      <c r="H6703" s="630">
        <v>2.71</v>
      </c>
    </row>
    <row r="6704" spans="2:8" ht="25.5" hidden="1">
      <c r="B6704" s="630" t="s">
        <v>6632</v>
      </c>
      <c r="C6704" s="630">
        <v>99825</v>
      </c>
      <c r="D6704" s="630" t="s">
        <v>5797</v>
      </c>
      <c r="E6704" s="630" t="s">
        <v>649</v>
      </c>
      <c r="F6704" s="980">
        <v>1.77</v>
      </c>
      <c r="G6704" s="980">
        <v>2.0099999999999998</v>
      </c>
      <c r="H6704" s="630">
        <v>3.78</v>
      </c>
    </row>
    <row r="6705" spans="2:8" hidden="1">
      <c r="B6705" s="630" t="s">
        <v>6632</v>
      </c>
      <c r="C6705" s="630">
        <v>99826</v>
      </c>
      <c r="D6705" s="630" t="s">
        <v>3681</v>
      </c>
      <c r="E6705" s="630" t="s">
        <v>649</v>
      </c>
      <c r="F6705" s="980">
        <v>0.44</v>
      </c>
      <c r="G6705" s="980">
        <v>1.26</v>
      </c>
      <c r="H6705" s="630">
        <v>1.7</v>
      </c>
    </row>
    <row r="6706" spans="2:8" ht="38.25" hidden="1">
      <c r="B6706" s="630" t="s">
        <v>6541</v>
      </c>
      <c r="C6706" s="630">
        <v>97010</v>
      </c>
      <c r="D6706" s="630" t="s">
        <v>2802</v>
      </c>
      <c r="E6706" s="630" t="s">
        <v>648</v>
      </c>
      <c r="F6706" s="980">
        <v>66.930000000000007</v>
      </c>
      <c r="G6706" s="980">
        <v>15.22</v>
      </c>
      <c r="H6706" s="630">
        <v>82.15</v>
      </c>
    </row>
    <row r="6707" spans="2:8" ht="38.25" hidden="1">
      <c r="B6707" s="630" t="s">
        <v>6541</v>
      </c>
      <c r="C6707" s="630">
        <v>97011</v>
      </c>
      <c r="D6707" s="630" t="s">
        <v>2803</v>
      </c>
      <c r="E6707" s="630" t="s">
        <v>648</v>
      </c>
      <c r="F6707" s="980">
        <v>47.22</v>
      </c>
      <c r="G6707" s="980">
        <v>15.22</v>
      </c>
      <c r="H6707" s="630">
        <v>62.44</v>
      </c>
    </row>
    <row r="6708" spans="2:8" ht="51" hidden="1">
      <c r="B6708" s="630" t="s">
        <v>6541</v>
      </c>
      <c r="C6708" s="630">
        <v>97012</v>
      </c>
      <c r="D6708" s="630" t="s">
        <v>2804</v>
      </c>
      <c r="E6708" s="630" t="s">
        <v>648</v>
      </c>
      <c r="F6708" s="980">
        <v>37.36</v>
      </c>
      <c r="G6708" s="980">
        <v>15.23</v>
      </c>
      <c r="H6708" s="630">
        <v>52.59</v>
      </c>
    </row>
    <row r="6709" spans="2:8" ht="38.25" hidden="1">
      <c r="B6709" s="630" t="s">
        <v>6541</v>
      </c>
      <c r="C6709" s="630">
        <v>97013</v>
      </c>
      <c r="D6709" s="630" t="s">
        <v>2805</v>
      </c>
      <c r="E6709" s="630" t="s">
        <v>648</v>
      </c>
      <c r="F6709" s="980">
        <v>89.52</v>
      </c>
      <c r="G6709" s="980">
        <v>16.16</v>
      </c>
      <c r="H6709" s="630">
        <v>105.68</v>
      </c>
    </row>
    <row r="6710" spans="2:8" ht="38.25" hidden="1">
      <c r="B6710" s="630" t="s">
        <v>6541</v>
      </c>
      <c r="C6710" s="630">
        <v>97014</v>
      </c>
      <c r="D6710" s="630" t="s">
        <v>2806</v>
      </c>
      <c r="E6710" s="630" t="s">
        <v>648</v>
      </c>
      <c r="F6710" s="980">
        <v>62.29</v>
      </c>
      <c r="G6710" s="980">
        <v>16.170000000000002</v>
      </c>
      <c r="H6710" s="630">
        <v>78.459999999999994</v>
      </c>
    </row>
    <row r="6711" spans="2:8" ht="51" hidden="1">
      <c r="B6711" s="630" t="s">
        <v>6541</v>
      </c>
      <c r="C6711" s="630">
        <v>97015</v>
      </c>
      <c r="D6711" s="630" t="s">
        <v>2807</v>
      </c>
      <c r="E6711" s="630" t="s">
        <v>648</v>
      </c>
      <c r="F6711" s="980">
        <v>48.52</v>
      </c>
      <c r="G6711" s="980">
        <v>16.170000000000002</v>
      </c>
      <c r="H6711" s="630">
        <v>64.69</v>
      </c>
    </row>
    <row r="6712" spans="2:8" ht="38.25" hidden="1">
      <c r="B6712" s="630" t="s">
        <v>6541</v>
      </c>
      <c r="C6712" s="630">
        <v>97016</v>
      </c>
      <c r="D6712" s="630" t="s">
        <v>2808</v>
      </c>
      <c r="E6712" s="630" t="s">
        <v>648</v>
      </c>
      <c r="F6712" s="980">
        <v>63.89</v>
      </c>
      <c r="G6712" s="980">
        <v>9.4600000000000009</v>
      </c>
      <c r="H6712" s="630">
        <v>73.349999999999994</v>
      </c>
    </row>
    <row r="6713" spans="2:8" ht="38.25" hidden="1">
      <c r="B6713" s="630" t="s">
        <v>6541</v>
      </c>
      <c r="C6713" s="630">
        <v>97017</v>
      </c>
      <c r="D6713" s="630" t="s">
        <v>2809</v>
      </c>
      <c r="E6713" s="630" t="s">
        <v>648</v>
      </c>
      <c r="F6713" s="980">
        <v>45.11</v>
      </c>
      <c r="G6713" s="980">
        <v>9.4700000000000006</v>
      </c>
      <c r="H6713" s="630">
        <v>54.58</v>
      </c>
    </row>
    <row r="6714" spans="2:8" ht="51" hidden="1">
      <c r="B6714" s="630" t="s">
        <v>6541</v>
      </c>
      <c r="C6714" s="630">
        <v>97018</v>
      </c>
      <c r="D6714" s="630" t="s">
        <v>2810</v>
      </c>
      <c r="E6714" s="630" t="s">
        <v>648</v>
      </c>
      <c r="F6714" s="980">
        <v>35.369999999999997</v>
      </c>
      <c r="G6714" s="980">
        <v>9.4700000000000006</v>
      </c>
      <c r="H6714" s="630">
        <v>44.84</v>
      </c>
    </row>
    <row r="6715" spans="2:8" ht="63.75" hidden="1">
      <c r="B6715" s="630" t="s">
        <v>6541</v>
      </c>
      <c r="C6715" s="630">
        <v>97031</v>
      </c>
      <c r="D6715" s="630" t="s">
        <v>2811</v>
      </c>
      <c r="E6715" s="630" t="s">
        <v>648</v>
      </c>
      <c r="F6715" s="980">
        <v>93.62</v>
      </c>
      <c r="G6715" s="980">
        <v>15.42</v>
      </c>
      <c r="H6715" s="630">
        <v>109.04</v>
      </c>
    </row>
    <row r="6716" spans="2:8" ht="63.75" hidden="1">
      <c r="B6716" s="630" t="s">
        <v>6541</v>
      </c>
      <c r="C6716" s="630">
        <v>97032</v>
      </c>
      <c r="D6716" s="630" t="s">
        <v>3092</v>
      </c>
      <c r="E6716" s="630" t="s">
        <v>648</v>
      </c>
      <c r="F6716" s="980">
        <v>51.31</v>
      </c>
      <c r="G6716" s="980">
        <v>15.43</v>
      </c>
      <c r="H6716" s="630">
        <v>66.739999999999995</v>
      </c>
    </row>
    <row r="6717" spans="2:8" ht="63.75" hidden="1">
      <c r="B6717" s="630" t="s">
        <v>6541</v>
      </c>
      <c r="C6717" s="630">
        <v>97033</v>
      </c>
      <c r="D6717" s="630" t="s">
        <v>2912</v>
      </c>
      <c r="E6717" s="630" t="s">
        <v>648</v>
      </c>
      <c r="F6717" s="980">
        <v>100.11</v>
      </c>
      <c r="G6717" s="980">
        <v>14.53</v>
      </c>
      <c r="H6717" s="630">
        <v>114.64</v>
      </c>
    </row>
    <row r="6718" spans="2:8" ht="63.75" hidden="1">
      <c r="B6718" s="630" t="s">
        <v>6541</v>
      </c>
      <c r="C6718" s="630">
        <v>97034</v>
      </c>
      <c r="D6718" s="630" t="s">
        <v>2913</v>
      </c>
      <c r="E6718" s="630" t="s">
        <v>648</v>
      </c>
      <c r="F6718" s="980">
        <v>53.82</v>
      </c>
      <c r="G6718" s="980">
        <v>14.54</v>
      </c>
      <c r="H6718" s="630">
        <v>68.36</v>
      </c>
    </row>
    <row r="6719" spans="2:8" ht="25.5" hidden="1">
      <c r="B6719" s="630" t="s">
        <v>6541</v>
      </c>
      <c r="C6719" s="630">
        <v>97039</v>
      </c>
      <c r="D6719" s="630" t="s">
        <v>2812</v>
      </c>
      <c r="E6719" s="630" t="s">
        <v>649</v>
      </c>
      <c r="F6719" s="980">
        <v>32.230000000000004</v>
      </c>
      <c r="G6719" s="980">
        <v>14.98</v>
      </c>
      <c r="H6719" s="630">
        <v>47.21</v>
      </c>
    </row>
    <row r="6720" spans="2:8" ht="25.5" hidden="1">
      <c r="B6720" s="630" t="s">
        <v>6541</v>
      </c>
      <c r="C6720" s="630">
        <v>97040</v>
      </c>
      <c r="D6720" s="630" t="s">
        <v>2813</v>
      </c>
      <c r="E6720" s="630" t="s">
        <v>649</v>
      </c>
      <c r="F6720" s="980">
        <v>8.3099999999999987</v>
      </c>
      <c r="G6720" s="980">
        <v>9.25</v>
      </c>
      <c r="H6720" s="630">
        <v>17.559999999999999</v>
      </c>
    </row>
    <row r="6721" spans="2:8" ht="25.5" hidden="1">
      <c r="B6721" s="630" t="s">
        <v>6541</v>
      </c>
      <c r="C6721" s="630">
        <v>97041</v>
      </c>
      <c r="D6721" s="630" t="s">
        <v>2814</v>
      </c>
      <c r="E6721" s="630" t="s">
        <v>649</v>
      </c>
      <c r="F6721" s="980">
        <v>307.17</v>
      </c>
      <c r="G6721" s="980">
        <v>24.67</v>
      </c>
      <c r="H6721" s="630">
        <v>331.84</v>
      </c>
    </row>
    <row r="6722" spans="2:8" ht="25.5" hidden="1">
      <c r="B6722" s="630" t="s">
        <v>6541</v>
      </c>
      <c r="C6722" s="630">
        <v>97046</v>
      </c>
      <c r="D6722" s="630" t="s">
        <v>2914</v>
      </c>
      <c r="E6722" s="630" t="s">
        <v>649</v>
      </c>
      <c r="F6722" s="980">
        <v>0.27</v>
      </c>
      <c r="G6722" s="980">
        <v>7.0000000000000007E-2</v>
      </c>
      <c r="H6722" s="630">
        <v>0.34</v>
      </c>
    </row>
    <row r="6723" spans="2:8" ht="25.5" hidden="1">
      <c r="B6723" s="630" t="s">
        <v>6541</v>
      </c>
      <c r="C6723" s="630">
        <v>97047</v>
      </c>
      <c r="D6723" s="630" t="s">
        <v>2915</v>
      </c>
      <c r="E6723" s="630" t="s">
        <v>649</v>
      </c>
      <c r="F6723" s="980">
        <v>0.11</v>
      </c>
      <c r="G6723" s="980">
        <v>0.02</v>
      </c>
      <c r="H6723" s="630">
        <v>0.13</v>
      </c>
    </row>
    <row r="6724" spans="2:8" ht="25.5" hidden="1">
      <c r="B6724" s="630" t="s">
        <v>6541</v>
      </c>
      <c r="C6724" s="630">
        <v>97048</v>
      </c>
      <c r="D6724" s="630" t="s">
        <v>2916</v>
      </c>
      <c r="E6724" s="630" t="s">
        <v>649</v>
      </c>
      <c r="F6724" s="980">
        <v>0.08</v>
      </c>
      <c r="G6724" s="980">
        <v>0.02</v>
      </c>
      <c r="H6724" s="630">
        <v>0.1</v>
      </c>
    </row>
    <row r="6725" spans="2:8" hidden="1">
      <c r="B6725" s="630" t="s">
        <v>6541</v>
      </c>
      <c r="C6725" s="630">
        <v>97054</v>
      </c>
      <c r="D6725" s="630" t="s">
        <v>4573</v>
      </c>
      <c r="E6725" s="630" t="s">
        <v>646</v>
      </c>
      <c r="F6725" s="980">
        <v>21.27</v>
      </c>
      <c r="G6725" s="980">
        <v>9.6300000000000008</v>
      </c>
      <c r="H6725" s="630">
        <v>30.9</v>
      </c>
    </row>
    <row r="6726" spans="2:8" hidden="1">
      <c r="B6726" s="630" t="s">
        <v>6541</v>
      </c>
      <c r="C6726" s="630">
        <v>97062</v>
      </c>
      <c r="D6726" s="630" t="s">
        <v>2815</v>
      </c>
      <c r="E6726" s="630" t="s">
        <v>649</v>
      </c>
      <c r="F6726" s="980">
        <v>3.42</v>
      </c>
      <c r="G6726" s="980">
        <v>3.08</v>
      </c>
      <c r="H6726" s="630">
        <v>6.5</v>
      </c>
    </row>
    <row r="6727" spans="2:8" ht="38.25" hidden="1">
      <c r="B6727" s="630" t="s">
        <v>6541</v>
      </c>
      <c r="C6727" s="630">
        <v>97063</v>
      </c>
      <c r="D6727" s="630" t="s">
        <v>2816</v>
      </c>
      <c r="E6727" s="630" t="s">
        <v>649</v>
      </c>
      <c r="F6727" s="980">
        <v>2.61</v>
      </c>
      <c r="G6727" s="980">
        <v>9.49</v>
      </c>
      <c r="H6727" s="630">
        <v>12.1</v>
      </c>
    </row>
    <row r="6728" spans="2:8" ht="25.5" hidden="1">
      <c r="B6728" s="630" t="s">
        <v>6541</v>
      </c>
      <c r="C6728" s="630">
        <v>97064</v>
      </c>
      <c r="D6728" s="630" t="s">
        <v>2817</v>
      </c>
      <c r="E6728" s="630" t="s">
        <v>648</v>
      </c>
      <c r="F6728" s="980">
        <v>4.99</v>
      </c>
      <c r="G6728" s="980">
        <v>17.260000000000002</v>
      </c>
      <c r="H6728" s="630">
        <v>22.25</v>
      </c>
    </row>
    <row r="6729" spans="2:8" ht="25.5" hidden="1">
      <c r="B6729" s="630" t="s">
        <v>6541</v>
      </c>
      <c r="C6729" s="630">
        <v>97065</v>
      </c>
      <c r="D6729" s="630" t="s">
        <v>2818</v>
      </c>
      <c r="E6729" s="630" t="s">
        <v>644</v>
      </c>
      <c r="F6729" s="980">
        <v>1.75</v>
      </c>
      <c r="G6729" s="980">
        <v>5.9</v>
      </c>
      <c r="H6729" s="630">
        <v>7.65</v>
      </c>
    </row>
    <row r="6730" spans="2:8" ht="25.5" hidden="1">
      <c r="B6730" s="630" t="s">
        <v>6541</v>
      </c>
      <c r="C6730" s="630">
        <v>97066</v>
      </c>
      <c r="D6730" s="630" t="s">
        <v>3045</v>
      </c>
      <c r="E6730" s="630" t="s">
        <v>649</v>
      </c>
      <c r="F6730" s="980">
        <v>75.489999999999995</v>
      </c>
      <c r="G6730" s="980">
        <v>26.09</v>
      </c>
      <c r="H6730" s="630">
        <v>101.58</v>
      </c>
    </row>
    <row r="6731" spans="2:8" ht="38.25" hidden="1">
      <c r="B6731" s="630" t="s">
        <v>6541</v>
      </c>
      <c r="C6731" s="630">
        <v>97067</v>
      </c>
      <c r="D6731" s="630" t="s">
        <v>2819</v>
      </c>
      <c r="E6731" s="630" t="s">
        <v>648</v>
      </c>
      <c r="F6731" s="980">
        <v>636.37</v>
      </c>
      <c r="G6731" s="980">
        <v>245.79</v>
      </c>
      <c r="H6731" s="630">
        <v>882.16</v>
      </c>
    </row>
    <row r="6732" spans="2:8" ht="25.5" hidden="1">
      <c r="B6732" s="630" t="s">
        <v>6612</v>
      </c>
      <c r="C6732" s="630">
        <v>97621</v>
      </c>
      <c r="D6732" s="630" t="s">
        <v>2820</v>
      </c>
      <c r="E6732" s="630" t="s">
        <v>644</v>
      </c>
      <c r="F6732" s="980">
        <v>34.119999999999997</v>
      </c>
      <c r="G6732" s="980">
        <v>93.26</v>
      </c>
      <c r="H6732" s="630">
        <v>127.38</v>
      </c>
    </row>
    <row r="6733" spans="2:8" ht="25.5" hidden="1">
      <c r="B6733" s="630" t="s">
        <v>6612</v>
      </c>
      <c r="C6733" s="630">
        <v>97622</v>
      </c>
      <c r="D6733" s="630" t="s">
        <v>2821</v>
      </c>
      <c r="E6733" s="630" t="s">
        <v>644</v>
      </c>
      <c r="F6733" s="980">
        <v>16.61</v>
      </c>
      <c r="G6733" s="980">
        <v>45.48</v>
      </c>
      <c r="H6733" s="630">
        <v>62.09</v>
      </c>
    </row>
    <row r="6734" spans="2:8" ht="25.5" hidden="1">
      <c r="B6734" s="630" t="s">
        <v>6612</v>
      </c>
      <c r="C6734" s="630">
        <v>97623</v>
      </c>
      <c r="D6734" s="630" t="s">
        <v>2822</v>
      </c>
      <c r="E6734" s="630" t="s">
        <v>644</v>
      </c>
      <c r="F6734" s="980">
        <v>50.95</v>
      </c>
      <c r="G6734" s="980">
        <v>139.24</v>
      </c>
      <c r="H6734" s="630">
        <v>190.19</v>
      </c>
    </row>
    <row r="6735" spans="2:8" ht="25.5" hidden="1">
      <c r="B6735" s="630" t="s">
        <v>6612</v>
      </c>
      <c r="C6735" s="630">
        <v>97624</v>
      </c>
      <c r="D6735" s="630" t="s">
        <v>2823</v>
      </c>
      <c r="E6735" s="630" t="s">
        <v>644</v>
      </c>
      <c r="F6735" s="980">
        <v>31.26</v>
      </c>
      <c r="G6735" s="980">
        <v>85.46</v>
      </c>
      <c r="H6735" s="848">
        <v>116.72</v>
      </c>
    </row>
    <row r="6736" spans="2:8" ht="25.5" hidden="1">
      <c r="B6736" s="630" t="s">
        <v>6612</v>
      </c>
      <c r="C6736" s="630">
        <v>97625</v>
      </c>
      <c r="D6736" s="630" t="s">
        <v>2824</v>
      </c>
      <c r="E6736" s="630" t="s">
        <v>644</v>
      </c>
      <c r="F6736" s="980">
        <v>49.56</v>
      </c>
      <c r="G6736" s="980">
        <v>8.77</v>
      </c>
      <c r="H6736" s="848">
        <v>58.33</v>
      </c>
    </row>
    <row r="6737" spans="2:8" ht="25.5" hidden="1">
      <c r="B6737" s="630" t="s">
        <v>6612</v>
      </c>
      <c r="C6737" s="630">
        <v>97626</v>
      </c>
      <c r="D6737" s="630" t="s">
        <v>2825</v>
      </c>
      <c r="E6737" s="630" t="s">
        <v>644</v>
      </c>
      <c r="F6737" s="980">
        <v>197.31</v>
      </c>
      <c r="G6737" s="980">
        <v>468.57</v>
      </c>
      <c r="H6737" s="848">
        <v>665.88</v>
      </c>
    </row>
    <row r="6738" spans="2:8" ht="25.5" hidden="1">
      <c r="B6738" s="630" t="s">
        <v>6612</v>
      </c>
      <c r="C6738" s="630">
        <v>97627</v>
      </c>
      <c r="D6738" s="630" t="s">
        <v>2826</v>
      </c>
      <c r="E6738" s="630" t="s">
        <v>644</v>
      </c>
      <c r="F6738" s="980">
        <v>106.47</v>
      </c>
      <c r="G6738" s="980">
        <v>209.64</v>
      </c>
      <c r="H6738" s="848">
        <v>316.11</v>
      </c>
    </row>
    <row r="6739" spans="2:8" ht="25.5" hidden="1">
      <c r="B6739" s="630" t="s">
        <v>6612</v>
      </c>
      <c r="C6739" s="630">
        <v>97628</v>
      </c>
      <c r="D6739" s="630" t="s">
        <v>2827</v>
      </c>
      <c r="E6739" s="630" t="s">
        <v>644</v>
      </c>
      <c r="F6739" s="980">
        <v>82.25</v>
      </c>
      <c r="G6739" s="980">
        <v>224.58</v>
      </c>
      <c r="H6739" s="848">
        <v>306.83</v>
      </c>
    </row>
    <row r="6740" spans="2:8" ht="25.5" hidden="1">
      <c r="B6740" s="630" t="s">
        <v>6612</v>
      </c>
      <c r="C6740" s="630">
        <v>97629</v>
      </c>
      <c r="D6740" s="630" t="s">
        <v>2828</v>
      </c>
      <c r="E6740" s="630" t="s">
        <v>644</v>
      </c>
      <c r="F6740" s="980">
        <v>38.67</v>
      </c>
      <c r="G6740" s="980">
        <v>100.52</v>
      </c>
      <c r="H6740" s="848">
        <v>139.19</v>
      </c>
    </row>
    <row r="6741" spans="2:8" ht="25.5" hidden="1">
      <c r="B6741" s="630" t="s">
        <v>6612</v>
      </c>
      <c r="C6741" s="630">
        <v>97631</v>
      </c>
      <c r="D6741" s="630" t="s">
        <v>2829</v>
      </c>
      <c r="E6741" s="630" t="s">
        <v>649</v>
      </c>
      <c r="F6741" s="980">
        <v>0.89</v>
      </c>
      <c r="G6741" s="980">
        <v>2.75</v>
      </c>
      <c r="H6741" s="848">
        <v>3.64</v>
      </c>
    </row>
    <row r="6742" spans="2:8" ht="25.5" hidden="1">
      <c r="B6742" s="630" t="s">
        <v>6612</v>
      </c>
      <c r="C6742" s="630">
        <v>97632</v>
      </c>
      <c r="D6742" s="630" t="s">
        <v>2830</v>
      </c>
      <c r="E6742" s="630" t="s">
        <v>648</v>
      </c>
      <c r="F6742" s="980">
        <v>0.69</v>
      </c>
      <c r="G6742" s="980">
        <v>2.16</v>
      </c>
      <c r="H6742" s="848">
        <v>2.85</v>
      </c>
    </row>
    <row r="6743" spans="2:8" ht="25.5" hidden="1">
      <c r="B6743" s="630" t="s">
        <v>6612</v>
      </c>
      <c r="C6743" s="630">
        <v>97633</v>
      </c>
      <c r="D6743" s="630" t="s">
        <v>2831</v>
      </c>
      <c r="E6743" s="630" t="s">
        <v>649</v>
      </c>
      <c r="F6743" s="980">
        <v>6.33</v>
      </c>
      <c r="G6743" s="980">
        <v>18.59</v>
      </c>
      <c r="H6743" s="848">
        <v>24.92</v>
      </c>
    </row>
    <row r="6744" spans="2:8" ht="25.5" hidden="1">
      <c r="B6744" s="630" t="s">
        <v>6612</v>
      </c>
      <c r="C6744" s="630">
        <v>97634</v>
      </c>
      <c r="D6744" s="630" t="s">
        <v>2832</v>
      </c>
      <c r="E6744" s="630" t="s">
        <v>649</v>
      </c>
      <c r="F6744" s="980">
        <v>3.44</v>
      </c>
      <c r="G6744" s="980">
        <v>10.06</v>
      </c>
      <c r="H6744" s="848">
        <v>13.5</v>
      </c>
    </row>
    <row r="6745" spans="2:8" ht="25.5" hidden="1">
      <c r="B6745" s="630" t="s">
        <v>6612</v>
      </c>
      <c r="C6745" s="630">
        <v>97635</v>
      </c>
      <c r="D6745" s="630" t="s">
        <v>2833</v>
      </c>
      <c r="E6745" s="630" t="s">
        <v>649</v>
      </c>
      <c r="F6745" s="980">
        <v>4.03</v>
      </c>
      <c r="G6745" s="980">
        <v>12.18</v>
      </c>
      <c r="H6745" s="848">
        <v>16.21</v>
      </c>
    </row>
    <row r="6746" spans="2:8" ht="25.5" hidden="1">
      <c r="B6746" s="630" t="s">
        <v>6612</v>
      </c>
      <c r="C6746" s="630">
        <v>97636</v>
      </c>
      <c r="D6746" s="630" t="s">
        <v>2834</v>
      </c>
      <c r="E6746" s="630" t="s">
        <v>649</v>
      </c>
      <c r="F6746" s="980">
        <v>13.870000000000001</v>
      </c>
      <c r="G6746" s="980">
        <v>6.31</v>
      </c>
      <c r="H6746" s="848">
        <v>20.18</v>
      </c>
    </row>
    <row r="6747" spans="2:8" ht="25.5" hidden="1">
      <c r="B6747" s="630" t="s">
        <v>6612</v>
      </c>
      <c r="C6747" s="630">
        <v>97637</v>
      </c>
      <c r="D6747" s="630" t="s">
        <v>2835</v>
      </c>
      <c r="E6747" s="630" t="s">
        <v>649</v>
      </c>
      <c r="F6747" s="980">
        <v>0.71</v>
      </c>
      <c r="G6747" s="980">
        <v>2.3199999999999998</v>
      </c>
      <c r="H6747" s="848">
        <v>3.03</v>
      </c>
    </row>
    <row r="6748" spans="2:8" ht="25.5" hidden="1">
      <c r="B6748" s="630" t="s">
        <v>6612</v>
      </c>
      <c r="C6748" s="630">
        <v>97638</v>
      </c>
      <c r="D6748" s="630" t="s">
        <v>2836</v>
      </c>
      <c r="E6748" s="630" t="s">
        <v>649</v>
      </c>
      <c r="F6748" s="980">
        <v>2.13</v>
      </c>
      <c r="G6748" s="980">
        <v>6.72</v>
      </c>
      <c r="H6748" s="848">
        <v>8.85</v>
      </c>
    </row>
    <row r="6749" spans="2:8" ht="25.5" hidden="1">
      <c r="B6749" s="630" t="s">
        <v>6612</v>
      </c>
      <c r="C6749" s="630">
        <v>97639</v>
      </c>
      <c r="D6749" s="630" t="s">
        <v>2837</v>
      </c>
      <c r="E6749" s="630" t="s">
        <v>649</v>
      </c>
      <c r="F6749" s="980">
        <v>5.49</v>
      </c>
      <c r="G6749" s="980">
        <v>16.559999999999999</v>
      </c>
      <c r="H6749" s="848">
        <v>22.05</v>
      </c>
    </row>
    <row r="6750" spans="2:8" ht="25.5" hidden="1">
      <c r="B6750" s="630" t="s">
        <v>6612</v>
      </c>
      <c r="C6750" s="630">
        <v>97640</v>
      </c>
      <c r="D6750" s="630" t="s">
        <v>2838</v>
      </c>
      <c r="E6750" s="630" t="s">
        <v>649</v>
      </c>
      <c r="F6750" s="980">
        <v>0.43</v>
      </c>
      <c r="G6750" s="980">
        <v>1.49</v>
      </c>
      <c r="H6750" s="848">
        <v>1.92</v>
      </c>
    </row>
    <row r="6751" spans="2:8" ht="25.5" hidden="1">
      <c r="B6751" s="630" t="s">
        <v>6612</v>
      </c>
      <c r="C6751" s="630">
        <v>97641</v>
      </c>
      <c r="D6751" s="630" t="s">
        <v>2839</v>
      </c>
      <c r="E6751" s="630" t="s">
        <v>649</v>
      </c>
      <c r="F6751" s="980">
        <v>1.33</v>
      </c>
      <c r="G6751" s="980">
        <v>4.0999999999999996</v>
      </c>
      <c r="H6751" s="848">
        <v>5.43</v>
      </c>
    </row>
    <row r="6752" spans="2:8" ht="25.5" hidden="1">
      <c r="B6752" s="630" t="s">
        <v>6612</v>
      </c>
      <c r="C6752" s="630">
        <v>97642</v>
      </c>
      <c r="D6752" s="630" t="s">
        <v>2840</v>
      </c>
      <c r="E6752" s="630" t="s">
        <v>649</v>
      </c>
      <c r="F6752" s="980">
        <v>0.81</v>
      </c>
      <c r="G6752" s="980">
        <v>2.62</v>
      </c>
      <c r="H6752" s="848">
        <v>3.43</v>
      </c>
    </row>
    <row r="6753" spans="2:8" ht="25.5" hidden="1">
      <c r="B6753" s="630" t="s">
        <v>6612</v>
      </c>
      <c r="C6753" s="630">
        <v>97643</v>
      </c>
      <c r="D6753" s="630" t="s">
        <v>2841</v>
      </c>
      <c r="E6753" s="630" t="s">
        <v>649</v>
      </c>
      <c r="F6753" s="980">
        <v>6.73</v>
      </c>
      <c r="G6753" s="980">
        <v>20.32</v>
      </c>
      <c r="H6753" s="848">
        <v>27.05</v>
      </c>
    </row>
    <row r="6754" spans="2:8" ht="25.5" hidden="1">
      <c r="B6754" s="630" t="s">
        <v>6612</v>
      </c>
      <c r="C6754" s="630">
        <v>97644</v>
      </c>
      <c r="D6754" s="630" t="s">
        <v>2842</v>
      </c>
      <c r="E6754" s="630" t="s">
        <v>649</v>
      </c>
      <c r="F6754" s="980">
        <v>2.5</v>
      </c>
      <c r="G6754" s="980">
        <v>7.69</v>
      </c>
      <c r="H6754" s="848">
        <v>10.19</v>
      </c>
    </row>
    <row r="6755" spans="2:8" ht="25.5" hidden="1">
      <c r="B6755" s="630" t="s">
        <v>6612</v>
      </c>
      <c r="C6755" s="630">
        <v>97645</v>
      </c>
      <c r="D6755" s="630" t="s">
        <v>2843</v>
      </c>
      <c r="E6755" s="630" t="s">
        <v>649</v>
      </c>
      <c r="F6755" s="980">
        <v>15.96</v>
      </c>
      <c r="G6755" s="980">
        <v>21.19</v>
      </c>
      <c r="H6755" s="630">
        <v>37.15</v>
      </c>
    </row>
    <row r="6756" spans="2:8" ht="25.5" hidden="1">
      <c r="B6756" s="630" t="s">
        <v>6612</v>
      </c>
      <c r="C6756" s="630">
        <v>97647</v>
      </c>
      <c r="D6756" s="630" t="s">
        <v>2844</v>
      </c>
      <c r="E6756" s="630" t="s">
        <v>649</v>
      </c>
      <c r="F6756" s="980">
        <v>0.92</v>
      </c>
      <c r="G6756" s="980">
        <v>2.88</v>
      </c>
      <c r="H6756" s="630">
        <v>3.8</v>
      </c>
    </row>
    <row r="6757" spans="2:8" ht="25.5" hidden="1">
      <c r="B6757" s="630" t="s">
        <v>6612</v>
      </c>
      <c r="C6757" s="630">
        <v>97648</v>
      </c>
      <c r="D6757" s="630" t="s">
        <v>2845</v>
      </c>
      <c r="E6757" s="630" t="s">
        <v>649</v>
      </c>
      <c r="F6757" s="980">
        <v>0.51</v>
      </c>
      <c r="G6757" s="980">
        <v>1.67</v>
      </c>
      <c r="H6757" s="630">
        <v>2.1800000000000002</v>
      </c>
    </row>
    <row r="6758" spans="2:8" ht="38.25" hidden="1">
      <c r="B6758" s="630" t="s">
        <v>6612</v>
      </c>
      <c r="C6758" s="630">
        <v>97649</v>
      </c>
      <c r="D6758" s="630" t="s">
        <v>2846</v>
      </c>
      <c r="E6758" s="630" t="s">
        <v>649</v>
      </c>
      <c r="F6758" s="980">
        <v>1.52</v>
      </c>
      <c r="G6758" s="980">
        <v>3.28</v>
      </c>
      <c r="H6758" s="630">
        <v>4.8</v>
      </c>
    </row>
    <row r="6759" spans="2:8" ht="25.5" hidden="1">
      <c r="B6759" s="630" t="s">
        <v>6612</v>
      </c>
      <c r="C6759" s="630">
        <v>97650</v>
      </c>
      <c r="D6759" s="630" t="s">
        <v>2847</v>
      </c>
      <c r="E6759" s="630" t="s">
        <v>649</v>
      </c>
      <c r="F6759" s="980">
        <v>1.99</v>
      </c>
      <c r="G6759" s="980">
        <v>6.17</v>
      </c>
      <c r="H6759" s="630">
        <v>8.16</v>
      </c>
    </row>
    <row r="6760" spans="2:8" ht="25.5" hidden="1">
      <c r="B6760" s="630" t="s">
        <v>6612</v>
      </c>
      <c r="C6760" s="630">
        <v>97651</v>
      </c>
      <c r="D6760" s="630" t="s">
        <v>2848</v>
      </c>
      <c r="E6760" s="630" t="s">
        <v>646</v>
      </c>
      <c r="F6760" s="980">
        <v>22.66</v>
      </c>
      <c r="G6760" s="980">
        <v>67.709999999999994</v>
      </c>
      <c r="H6760" s="630">
        <v>90.37</v>
      </c>
    </row>
    <row r="6761" spans="2:8" ht="25.5" hidden="1">
      <c r="B6761" s="630" t="s">
        <v>6612</v>
      </c>
      <c r="C6761" s="630">
        <v>97652</v>
      </c>
      <c r="D6761" s="630" t="s">
        <v>2849</v>
      </c>
      <c r="E6761" s="630" t="s">
        <v>646</v>
      </c>
      <c r="F6761" s="980">
        <v>51.4</v>
      </c>
      <c r="G6761" s="980">
        <v>153.46</v>
      </c>
      <c r="H6761" s="630">
        <v>204.86</v>
      </c>
    </row>
    <row r="6762" spans="2:8" ht="25.5" hidden="1">
      <c r="B6762" s="630" t="s">
        <v>6612</v>
      </c>
      <c r="C6762" s="630">
        <v>97653</v>
      </c>
      <c r="D6762" s="630" t="s">
        <v>2850</v>
      </c>
      <c r="E6762" s="630" t="s">
        <v>646</v>
      </c>
      <c r="F6762" s="980">
        <v>94.26</v>
      </c>
      <c r="G6762" s="980">
        <v>50.21</v>
      </c>
      <c r="H6762" s="630">
        <v>144.47</v>
      </c>
    </row>
    <row r="6763" spans="2:8" ht="25.5" hidden="1">
      <c r="B6763" s="630" t="s">
        <v>6612</v>
      </c>
      <c r="C6763" s="630">
        <v>97654</v>
      </c>
      <c r="D6763" s="630" t="s">
        <v>2851</v>
      </c>
      <c r="E6763" s="630" t="s">
        <v>646</v>
      </c>
      <c r="F6763" s="980">
        <v>102.11999999999999</v>
      </c>
      <c r="G6763" s="980">
        <v>73.69</v>
      </c>
      <c r="H6763" s="630">
        <v>175.81</v>
      </c>
    </row>
    <row r="6764" spans="2:8" ht="25.5" hidden="1">
      <c r="B6764" s="630" t="s">
        <v>6612</v>
      </c>
      <c r="C6764" s="630">
        <v>97655</v>
      </c>
      <c r="D6764" s="630" t="s">
        <v>2852</v>
      </c>
      <c r="E6764" s="630" t="s">
        <v>649</v>
      </c>
      <c r="F6764" s="980">
        <v>8.7900000000000009</v>
      </c>
      <c r="G6764" s="980">
        <v>13.81</v>
      </c>
      <c r="H6764" s="630">
        <v>22.6</v>
      </c>
    </row>
    <row r="6765" spans="2:8" ht="25.5" hidden="1">
      <c r="B6765" s="630" t="s">
        <v>6612</v>
      </c>
      <c r="C6765" s="630">
        <v>97656</v>
      </c>
      <c r="D6765" s="630" t="s">
        <v>2853</v>
      </c>
      <c r="E6765" s="630" t="s">
        <v>646</v>
      </c>
      <c r="F6765" s="980">
        <v>82.25</v>
      </c>
      <c r="G6765" s="980">
        <v>146.37</v>
      </c>
      <c r="H6765" s="630">
        <v>228.62</v>
      </c>
    </row>
    <row r="6766" spans="2:8" ht="25.5" hidden="1">
      <c r="B6766" s="630" t="s">
        <v>6612</v>
      </c>
      <c r="C6766" s="630">
        <v>97657</v>
      </c>
      <c r="D6766" s="630" t="s">
        <v>2854</v>
      </c>
      <c r="E6766" s="630" t="s">
        <v>646</v>
      </c>
      <c r="F6766" s="980">
        <v>163.1</v>
      </c>
      <c r="G6766" s="980">
        <v>290.05</v>
      </c>
      <c r="H6766" s="630">
        <v>453.15</v>
      </c>
    </row>
    <row r="6767" spans="2:8" ht="25.5" hidden="1">
      <c r="B6767" s="630" t="s">
        <v>6612</v>
      </c>
      <c r="C6767" s="630">
        <v>97658</v>
      </c>
      <c r="D6767" s="630" t="s">
        <v>2855</v>
      </c>
      <c r="E6767" s="630" t="s">
        <v>646</v>
      </c>
      <c r="F6767" s="980">
        <v>114.37</v>
      </c>
      <c r="G6767" s="980">
        <v>85.51</v>
      </c>
      <c r="H6767" s="848">
        <v>199.88</v>
      </c>
    </row>
    <row r="6768" spans="2:8" ht="25.5" hidden="1">
      <c r="B6768" s="630" t="s">
        <v>6612</v>
      </c>
      <c r="C6768" s="630">
        <v>97659</v>
      </c>
      <c r="D6768" s="630" t="s">
        <v>2856</v>
      </c>
      <c r="E6768" s="630" t="s">
        <v>646</v>
      </c>
      <c r="F6768" s="980">
        <v>135.76999999999998</v>
      </c>
      <c r="G6768" s="980">
        <v>129.15</v>
      </c>
      <c r="H6768" s="630">
        <v>264.92</v>
      </c>
    </row>
    <row r="6769" spans="2:8" ht="25.5" hidden="1">
      <c r="B6769" s="630" t="s">
        <v>6612</v>
      </c>
      <c r="C6769" s="630">
        <v>97660</v>
      </c>
      <c r="D6769" s="630" t="s">
        <v>2857</v>
      </c>
      <c r="E6769" s="630" t="s">
        <v>646</v>
      </c>
      <c r="F6769" s="980">
        <v>0.16</v>
      </c>
      <c r="G6769" s="980">
        <v>0.56999999999999995</v>
      </c>
      <c r="H6769" s="630">
        <v>0.73</v>
      </c>
    </row>
    <row r="6770" spans="2:8" ht="25.5" hidden="1">
      <c r="B6770" s="630" t="s">
        <v>6612</v>
      </c>
      <c r="C6770" s="630">
        <v>97661</v>
      </c>
      <c r="D6770" s="630" t="s">
        <v>2858</v>
      </c>
      <c r="E6770" s="630" t="s">
        <v>648</v>
      </c>
      <c r="F6770" s="980">
        <v>0.16</v>
      </c>
      <c r="G6770" s="980">
        <v>0.57999999999999996</v>
      </c>
      <c r="H6770" s="630">
        <v>0.74</v>
      </c>
    </row>
    <row r="6771" spans="2:8" ht="25.5" hidden="1">
      <c r="B6771" s="630" t="s">
        <v>6612</v>
      </c>
      <c r="C6771" s="630">
        <v>97662</v>
      </c>
      <c r="D6771" s="630" t="s">
        <v>2859</v>
      </c>
      <c r="E6771" s="630" t="s">
        <v>648</v>
      </c>
      <c r="F6771" s="980">
        <v>0.09</v>
      </c>
      <c r="G6771" s="980">
        <v>0.45</v>
      </c>
      <c r="H6771" s="630">
        <v>0.54</v>
      </c>
    </row>
    <row r="6772" spans="2:8" ht="25.5" hidden="1">
      <c r="B6772" s="630" t="s">
        <v>6612</v>
      </c>
      <c r="C6772" s="630">
        <v>97663</v>
      </c>
      <c r="D6772" s="630" t="s">
        <v>2860</v>
      </c>
      <c r="E6772" s="630" t="s">
        <v>646</v>
      </c>
      <c r="F6772" s="980">
        <v>3.27</v>
      </c>
      <c r="G6772" s="980">
        <v>10.220000000000001</v>
      </c>
      <c r="H6772" s="630">
        <v>13.49</v>
      </c>
    </row>
    <row r="6773" spans="2:8" ht="25.5" hidden="1">
      <c r="B6773" s="630" t="s">
        <v>6612</v>
      </c>
      <c r="C6773" s="630">
        <v>97664</v>
      </c>
      <c r="D6773" s="630" t="s">
        <v>2861</v>
      </c>
      <c r="E6773" s="630" t="s">
        <v>646</v>
      </c>
      <c r="F6773" s="980">
        <v>0.37</v>
      </c>
      <c r="G6773" s="980">
        <v>1.31</v>
      </c>
      <c r="H6773" s="630">
        <v>1.68</v>
      </c>
    </row>
    <row r="6774" spans="2:8" ht="25.5" hidden="1">
      <c r="B6774" s="630" t="s">
        <v>6612</v>
      </c>
      <c r="C6774" s="630">
        <v>97665</v>
      </c>
      <c r="D6774" s="630" t="s">
        <v>2862</v>
      </c>
      <c r="E6774" s="630" t="s">
        <v>646</v>
      </c>
      <c r="F6774" s="980">
        <v>0.32</v>
      </c>
      <c r="G6774" s="980">
        <v>1.1000000000000001</v>
      </c>
      <c r="H6774" s="630">
        <v>1.42</v>
      </c>
    </row>
    <row r="6775" spans="2:8" ht="25.5" hidden="1">
      <c r="B6775" s="630" t="s">
        <v>6612</v>
      </c>
      <c r="C6775" s="630">
        <v>97666</v>
      </c>
      <c r="D6775" s="630" t="s">
        <v>2863</v>
      </c>
      <c r="E6775" s="630" t="s">
        <v>646</v>
      </c>
      <c r="F6775" s="980">
        <v>2.37</v>
      </c>
      <c r="G6775" s="980">
        <v>7.47</v>
      </c>
      <c r="H6775" s="630">
        <v>9.84</v>
      </c>
    </row>
    <row r="6776" spans="2:8" ht="25.5" hidden="1">
      <c r="B6776" s="630" t="s">
        <v>6597</v>
      </c>
      <c r="C6776" s="630">
        <v>95967</v>
      </c>
      <c r="D6776" s="630" t="s">
        <v>2661</v>
      </c>
      <c r="E6776" s="630" t="s">
        <v>902</v>
      </c>
      <c r="F6776" s="980">
        <v>3.59</v>
      </c>
      <c r="G6776" s="980">
        <v>155.41999999999999</v>
      </c>
      <c r="H6776" s="630">
        <v>159.01</v>
      </c>
    </row>
    <row r="6777" spans="2:8" hidden="1">
      <c r="B6777" s="630" t="s">
        <v>6631</v>
      </c>
      <c r="C6777" s="630">
        <v>99058</v>
      </c>
      <c r="D6777" s="630" t="s">
        <v>3095</v>
      </c>
      <c r="E6777" s="630" t="s">
        <v>646</v>
      </c>
      <c r="F6777" s="980">
        <v>1.63</v>
      </c>
      <c r="G6777" s="980">
        <v>6.95</v>
      </c>
      <c r="H6777" s="630">
        <v>8.58</v>
      </c>
    </row>
    <row r="6778" spans="2:8" ht="25.5" hidden="1">
      <c r="B6778" s="630" t="s">
        <v>6631</v>
      </c>
      <c r="C6778" s="630">
        <v>99059</v>
      </c>
      <c r="D6778" s="630" t="s">
        <v>3096</v>
      </c>
      <c r="E6778" s="630" t="s">
        <v>648</v>
      </c>
      <c r="F6778" s="980">
        <v>37.700000000000003</v>
      </c>
      <c r="G6778" s="980">
        <v>28.06</v>
      </c>
      <c r="H6778" s="630">
        <v>65.760000000000005</v>
      </c>
    </row>
    <row r="6779" spans="2:8" ht="25.5" hidden="1">
      <c r="B6779" s="630" t="s">
        <v>6631</v>
      </c>
      <c r="C6779" s="630">
        <v>99060</v>
      </c>
      <c r="D6779" s="630" t="s">
        <v>4574</v>
      </c>
      <c r="E6779" s="630" t="s">
        <v>646</v>
      </c>
      <c r="F6779" s="980">
        <v>103.31</v>
      </c>
      <c r="G6779" s="980">
        <v>77.28</v>
      </c>
      <c r="H6779" s="630">
        <v>180.59</v>
      </c>
    </row>
    <row r="6780" spans="2:8" ht="25.5" hidden="1">
      <c r="B6780" s="630" t="s">
        <v>6631</v>
      </c>
      <c r="C6780" s="630">
        <v>99061</v>
      </c>
      <c r="D6780" s="630" t="s">
        <v>4575</v>
      </c>
      <c r="E6780" s="630" t="s">
        <v>646</v>
      </c>
      <c r="F6780" s="980">
        <v>62.33</v>
      </c>
      <c r="G6780" s="980">
        <v>56.81</v>
      </c>
      <c r="H6780" s="630">
        <v>119.14</v>
      </c>
    </row>
    <row r="6781" spans="2:8" hidden="1">
      <c r="B6781" s="630" t="s">
        <v>6631</v>
      </c>
      <c r="C6781" s="630">
        <v>99062</v>
      </c>
      <c r="D6781" s="630" t="s">
        <v>3097</v>
      </c>
      <c r="E6781" s="630" t="s">
        <v>646</v>
      </c>
      <c r="F6781" s="980">
        <v>0.66</v>
      </c>
      <c r="G6781" s="980">
        <v>2.1800000000000002</v>
      </c>
      <c r="H6781" s="630">
        <v>2.84</v>
      </c>
    </row>
    <row r="6782" spans="2:8" hidden="1">
      <c r="B6782" s="630" t="s">
        <v>6631</v>
      </c>
      <c r="C6782" s="630">
        <v>99063</v>
      </c>
      <c r="D6782" s="630" t="s">
        <v>3098</v>
      </c>
      <c r="E6782" s="630" t="s">
        <v>648</v>
      </c>
      <c r="F6782" s="980">
        <v>3.1</v>
      </c>
      <c r="G6782" s="980">
        <v>2.85</v>
      </c>
      <c r="H6782" s="630">
        <v>5.95</v>
      </c>
    </row>
    <row r="6783" spans="2:8" hidden="1">
      <c r="B6783" s="630" t="s">
        <v>6631</v>
      </c>
      <c r="C6783" s="630">
        <v>99064</v>
      </c>
      <c r="D6783" s="630" t="s">
        <v>3099</v>
      </c>
      <c r="E6783" s="630" t="s">
        <v>648</v>
      </c>
      <c r="F6783" s="980">
        <v>0.04</v>
      </c>
      <c r="G6783" s="980">
        <v>0.38</v>
      </c>
      <c r="H6783" s="630">
        <v>0.42</v>
      </c>
    </row>
    <row r="6784" spans="2:8" ht="25.5" hidden="1">
      <c r="B6784" s="630" t="s">
        <v>6576</v>
      </c>
      <c r="C6784" s="630">
        <v>93588</v>
      </c>
      <c r="D6784" s="630" t="s">
        <v>4576</v>
      </c>
      <c r="E6784" s="630" t="s">
        <v>84</v>
      </c>
      <c r="F6784" s="980">
        <v>2.8899999999999997</v>
      </c>
      <c r="G6784" s="980">
        <v>0.28000000000000003</v>
      </c>
      <c r="H6784" s="630">
        <v>3.17</v>
      </c>
    </row>
    <row r="6785" spans="2:8" ht="25.5" hidden="1">
      <c r="B6785" s="630" t="s">
        <v>6576</v>
      </c>
      <c r="C6785" s="630">
        <v>93589</v>
      </c>
      <c r="D6785" s="630" t="s">
        <v>4577</v>
      </c>
      <c r="E6785" s="630" t="s">
        <v>84</v>
      </c>
      <c r="F6785" s="980">
        <v>2.46</v>
      </c>
      <c r="G6785" s="980">
        <v>0.25</v>
      </c>
      <c r="H6785" s="630">
        <v>2.71</v>
      </c>
    </row>
    <row r="6786" spans="2:8" ht="38.25" hidden="1">
      <c r="B6786" s="630" t="s">
        <v>6576</v>
      </c>
      <c r="C6786" s="630">
        <v>93590</v>
      </c>
      <c r="D6786" s="630" t="s">
        <v>4578</v>
      </c>
      <c r="E6786" s="630" t="s">
        <v>84</v>
      </c>
      <c r="F6786" s="980">
        <v>0.91</v>
      </c>
      <c r="G6786" s="980">
        <v>0.08</v>
      </c>
      <c r="H6786" s="630">
        <v>0.99</v>
      </c>
    </row>
    <row r="6787" spans="2:8" ht="25.5" hidden="1">
      <c r="B6787" s="630" t="s">
        <v>6576</v>
      </c>
      <c r="C6787" s="630">
        <v>93591</v>
      </c>
      <c r="D6787" s="630" t="s">
        <v>4579</v>
      </c>
      <c r="E6787" s="630" t="s">
        <v>84</v>
      </c>
      <c r="F6787" s="980">
        <v>2.5299999999999998</v>
      </c>
      <c r="G6787" s="980">
        <v>0.2</v>
      </c>
      <c r="H6787" s="630">
        <v>2.73</v>
      </c>
    </row>
    <row r="6788" spans="2:8" ht="25.5" hidden="1">
      <c r="B6788" s="630" t="s">
        <v>6576</v>
      </c>
      <c r="C6788" s="630">
        <v>93592</v>
      </c>
      <c r="D6788" s="630" t="s">
        <v>4580</v>
      </c>
      <c r="E6788" s="630" t="s">
        <v>84</v>
      </c>
      <c r="F6788" s="980">
        <v>2.2000000000000002</v>
      </c>
      <c r="G6788" s="980">
        <v>0.17</v>
      </c>
      <c r="H6788" s="630">
        <v>2.37</v>
      </c>
    </row>
    <row r="6789" spans="2:8" ht="38.25" hidden="1">
      <c r="B6789" s="630" t="s">
        <v>6576</v>
      </c>
      <c r="C6789" s="630">
        <v>93593</v>
      </c>
      <c r="D6789" s="630" t="s">
        <v>4581</v>
      </c>
      <c r="E6789" s="630" t="s">
        <v>84</v>
      </c>
      <c r="F6789" s="980">
        <v>0.80999999999999994</v>
      </c>
      <c r="G6789" s="980">
        <v>0.05</v>
      </c>
      <c r="H6789" s="630">
        <v>0.86</v>
      </c>
    </row>
    <row r="6790" spans="2:8" ht="25.5" hidden="1">
      <c r="B6790" s="630" t="s">
        <v>6576</v>
      </c>
      <c r="C6790" s="630">
        <v>93594</v>
      </c>
      <c r="D6790" s="630" t="s">
        <v>4582</v>
      </c>
      <c r="E6790" s="630" t="s">
        <v>83</v>
      </c>
      <c r="F6790" s="980">
        <v>1.9300000000000002</v>
      </c>
      <c r="G6790" s="980">
        <v>0.18</v>
      </c>
      <c r="H6790" s="630">
        <v>2.11</v>
      </c>
    </row>
    <row r="6791" spans="2:8" ht="25.5" hidden="1">
      <c r="B6791" s="630" t="s">
        <v>6576</v>
      </c>
      <c r="C6791" s="630">
        <v>93595</v>
      </c>
      <c r="D6791" s="630" t="s">
        <v>4583</v>
      </c>
      <c r="E6791" s="630" t="s">
        <v>83</v>
      </c>
      <c r="F6791" s="980">
        <v>1.69</v>
      </c>
      <c r="G6791" s="980">
        <v>0.15</v>
      </c>
      <c r="H6791" s="630">
        <v>1.84</v>
      </c>
    </row>
    <row r="6792" spans="2:8" ht="38.25" hidden="1">
      <c r="B6792" s="630" t="s">
        <v>6576</v>
      </c>
      <c r="C6792" s="630">
        <v>93596</v>
      </c>
      <c r="D6792" s="630" t="s">
        <v>4584</v>
      </c>
      <c r="E6792" s="630" t="s">
        <v>83</v>
      </c>
      <c r="F6792" s="980">
        <v>0.61</v>
      </c>
      <c r="G6792" s="980">
        <v>0.05</v>
      </c>
      <c r="H6792" s="630">
        <v>0.66</v>
      </c>
    </row>
    <row r="6793" spans="2:8" ht="25.5" hidden="1">
      <c r="B6793" s="630" t="s">
        <v>6576</v>
      </c>
      <c r="C6793" s="630">
        <v>93597</v>
      </c>
      <c r="D6793" s="630" t="s">
        <v>4585</v>
      </c>
      <c r="E6793" s="630" t="s">
        <v>83</v>
      </c>
      <c r="F6793" s="980">
        <v>1.7</v>
      </c>
      <c r="G6793" s="980">
        <v>0.12</v>
      </c>
      <c r="H6793" s="630">
        <v>1.82</v>
      </c>
    </row>
    <row r="6794" spans="2:8" ht="25.5" hidden="1">
      <c r="B6794" s="630" t="s">
        <v>6576</v>
      </c>
      <c r="C6794" s="630">
        <v>93598</v>
      </c>
      <c r="D6794" s="630" t="s">
        <v>4586</v>
      </c>
      <c r="E6794" s="630" t="s">
        <v>83</v>
      </c>
      <c r="F6794" s="980">
        <v>1.45</v>
      </c>
      <c r="G6794" s="980">
        <v>0.11</v>
      </c>
      <c r="H6794" s="630">
        <v>1.56</v>
      </c>
    </row>
    <row r="6795" spans="2:8" ht="38.25" hidden="1">
      <c r="B6795" s="630" t="s">
        <v>6576</v>
      </c>
      <c r="C6795" s="630">
        <v>93599</v>
      </c>
      <c r="D6795" s="630" t="s">
        <v>4587</v>
      </c>
      <c r="E6795" s="630" t="s">
        <v>83</v>
      </c>
      <c r="F6795" s="980">
        <v>0.53</v>
      </c>
      <c r="G6795" s="980">
        <v>0.04</v>
      </c>
      <c r="H6795" s="630">
        <v>0.56999999999999995</v>
      </c>
    </row>
    <row r="6796" spans="2:8" ht="25.5" hidden="1">
      <c r="B6796" s="630" t="s">
        <v>6576</v>
      </c>
      <c r="C6796" s="630">
        <v>95425</v>
      </c>
      <c r="D6796" s="630" t="s">
        <v>4588</v>
      </c>
      <c r="E6796" s="630" t="s">
        <v>84</v>
      </c>
      <c r="F6796" s="980">
        <v>2.2200000000000002</v>
      </c>
      <c r="G6796" s="980">
        <v>0.14000000000000001</v>
      </c>
      <c r="H6796" s="630">
        <v>2.36</v>
      </c>
    </row>
    <row r="6797" spans="2:8" ht="25.5" hidden="1">
      <c r="B6797" s="630" t="s">
        <v>6576</v>
      </c>
      <c r="C6797" s="630">
        <v>95426</v>
      </c>
      <c r="D6797" s="630" t="s">
        <v>4589</v>
      </c>
      <c r="E6797" s="630" t="s">
        <v>84</v>
      </c>
      <c r="F6797" s="980">
        <v>1.9000000000000001</v>
      </c>
      <c r="G6797" s="980">
        <v>0.13</v>
      </c>
      <c r="H6797" s="630">
        <v>2.0299999999999998</v>
      </c>
    </row>
    <row r="6798" spans="2:8" ht="38.25" hidden="1">
      <c r="B6798" s="630" t="s">
        <v>6576</v>
      </c>
      <c r="C6798" s="630">
        <v>95427</v>
      </c>
      <c r="D6798" s="630" t="s">
        <v>4590</v>
      </c>
      <c r="E6798" s="630" t="s">
        <v>84</v>
      </c>
      <c r="F6798" s="980">
        <v>0.72</v>
      </c>
      <c r="G6798" s="980">
        <v>0.04</v>
      </c>
      <c r="H6798" s="630">
        <v>0.76</v>
      </c>
    </row>
    <row r="6799" spans="2:8" ht="25.5" hidden="1">
      <c r="B6799" s="630" t="s">
        <v>6576</v>
      </c>
      <c r="C6799" s="630">
        <v>95428</v>
      </c>
      <c r="D6799" s="630" t="s">
        <v>4591</v>
      </c>
      <c r="E6799" s="630" t="s">
        <v>83</v>
      </c>
      <c r="F6799" s="980">
        <v>1.49</v>
      </c>
      <c r="G6799" s="980">
        <v>0.1</v>
      </c>
      <c r="H6799" s="630">
        <v>1.59</v>
      </c>
    </row>
    <row r="6800" spans="2:8" ht="25.5" hidden="1">
      <c r="B6800" s="630" t="s">
        <v>6576</v>
      </c>
      <c r="C6800" s="630">
        <v>95429</v>
      </c>
      <c r="D6800" s="630" t="s">
        <v>4592</v>
      </c>
      <c r="E6800" s="630" t="s">
        <v>83</v>
      </c>
      <c r="F6800" s="980">
        <v>1.29</v>
      </c>
      <c r="G6800" s="980">
        <v>0.08</v>
      </c>
      <c r="H6800" s="630">
        <v>1.37</v>
      </c>
    </row>
    <row r="6801" spans="2:8" ht="38.25" hidden="1">
      <c r="B6801" s="630" t="s">
        <v>6576</v>
      </c>
      <c r="C6801" s="630">
        <v>95430</v>
      </c>
      <c r="D6801" s="630" t="s">
        <v>4593</v>
      </c>
      <c r="E6801" s="630" t="s">
        <v>83</v>
      </c>
      <c r="F6801" s="980">
        <v>0.45999999999999996</v>
      </c>
      <c r="G6801" s="980">
        <v>0.02</v>
      </c>
      <c r="H6801" s="630">
        <v>0.48</v>
      </c>
    </row>
    <row r="6802" spans="2:8" ht="25.5" hidden="1">
      <c r="B6802" s="630" t="s">
        <v>6576</v>
      </c>
      <c r="C6802" s="630">
        <v>95875</v>
      </c>
      <c r="D6802" s="630" t="s">
        <v>4594</v>
      </c>
      <c r="E6802" s="630" t="s">
        <v>84</v>
      </c>
      <c r="F6802" s="980">
        <v>2.29</v>
      </c>
      <c r="G6802" s="980">
        <v>0.22</v>
      </c>
      <c r="H6802" s="630">
        <v>2.5099999999999998</v>
      </c>
    </row>
    <row r="6803" spans="2:8" ht="25.5" hidden="1">
      <c r="B6803" s="630" t="s">
        <v>6576</v>
      </c>
      <c r="C6803" s="630">
        <v>95876</v>
      </c>
      <c r="D6803" s="630" t="s">
        <v>4595</v>
      </c>
      <c r="E6803" s="630" t="s">
        <v>84</v>
      </c>
      <c r="F6803" s="980">
        <v>1.9900000000000002</v>
      </c>
      <c r="G6803" s="980">
        <v>0.15</v>
      </c>
      <c r="H6803" s="630">
        <v>2.14</v>
      </c>
    </row>
    <row r="6804" spans="2:8" ht="25.5" hidden="1">
      <c r="B6804" s="630" t="s">
        <v>6576</v>
      </c>
      <c r="C6804" s="630">
        <v>95877</v>
      </c>
      <c r="D6804" s="630" t="s">
        <v>4596</v>
      </c>
      <c r="E6804" s="630" t="s">
        <v>84</v>
      </c>
      <c r="F6804" s="980">
        <v>1.76</v>
      </c>
      <c r="G6804" s="980">
        <v>0.11</v>
      </c>
      <c r="H6804" s="630">
        <v>1.87</v>
      </c>
    </row>
    <row r="6805" spans="2:8" ht="25.5" hidden="1">
      <c r="B6805" s="630" t="s">
        <v>6576</v>
      </c>
      <c r="C6805" s="630">
        <v>95878</v>
      </c>
      <c r="D6805" s="630" t="s">
        <v>4597</v>
      </c>
      <c r="E6805" s="630" t="s">
        <v>83</v>
      </c>
      <c r="F6805" s="980">
        <v>1.55</v>
      </c>
      <c r="G6805" s="980">
        <v>0.14000000000000001</v>
      </c>
      <c r="H6805" s="630">
        <v>1.69</v>
      </c>
    </row>
    <row r="6806" spans="2:8" ht="25.5" hidden="1">
      <c r="B6806" s="630" t="s">
        <v>6576</v>
      </c>
      <c r="C6806" s="630">
        <v>95879</v>
      </c>
      <c r="D6806" s="630" t="s">
        <v>4598</v>
      </c>
      <c r="E6806" s="630" t="s">
        <v>83</v>
      </c>
      <c r="F6806" s="980">
        <v>1.35</v>
      </c>
      <c r="G6806" s="980">
        <v>0.1</v>
      </c>
      <c r="H6806" s="630">
        <v>1.45</v>
      </c>
    </row>
    <row r="6807" spans="2:8" ht="25.5" hidden="1">
      <c r="B6807" s="630" t="s">
        <v>6576</v>
      </c>
      <c r="C6807" s="630">
        <v>95880</v>
      </c>
      <c r="D6807" s="630" t="s">
        <v>4599</v>
      </c>
      <c r="E6807" s="630" t="s">
        <v>83</v>
      </c>
      <c r="F6807" s="980">
        <v>1.19</v>
      </c>
      <c r="G6807" s="980">
        <v>7.0000000000000007E-2</v>
      </c>
      <c r="H6807" s="630">
        <v>1.26</v>
      </c>
    </row>
    <row r="6808" spans="2:8" ht="25.5" hidden="1">
      <c r="B6808" s="630" t="s">
        <v>6576</v>
      </c>
      <c r="C6808" s="630">
        <v>97912</v>
      </c>
      <c r="D6808" s="630" t="s">
        <v>4600</v>
      </c>
      <c r="E6808" s="630" t="s">
        <v>84</v>
      </c>
      <c r="F6808" s="980">
        <v>3.17</v>
      </c>
      <c r="G6808" s="980">
        <v>0.48</v>
      </c>
      <c r="H6808" s="630">
        <v>3.65</v>
      </c>
    </row>
    <row r="6809" spans="2:8" ht="25.5" hidden="1">
      <c r="B6809" s="630" t="s">
        <v>6576</v>
      </c>
      <c r="C6809" s="630">
        <v>97913</v>
      </c>
      <c r="D6809" s="630" t="s">
        <v>4601</v>
      </c>
      <c r="E6809" s="630" t="s">
        <v>84</v>
      </c>
      <c r="F6809" s="980">
        <v>2.76</v>
      </c>
      <c r="G6809" s="980">
        <v>0.41</v>
      </c>
      <c r="H6809" s="630">
        <v>3.17</v>
      </c>
    </row>
    <row r="6810" spans="2:8" ht="25.5" hidden="1">
      <c r="B6810" s="630" t="s">
        <v>6576</v>
      </c>
      <c r="C6810" s="630">
        <v>97914</v>
      </c>
      <c r="D6810" s="630" t="s">
        <v>4602</v>
      </c>
      <c r="E6810" s="630" t="s">
        <v>84</v>
      </c>
      <c r="F6810" s="980">
        <v>2.5099999999999998</v>
      </c>
      <c r="G6810" s="980">
        <v>0.38</v>
      </c>
      <c r="H6810" s="630">
        <v>2.89</v>
      </c>
    </row>
    <row r="6811" spans="2:8" ht="38.25" hidden="1">
      <c r="B6811" s="630" t="s">
        <v>6576</v>
      </c>
      <c r="C6811" s="630">
        <v>97915</v>
      </c>
      <c r="D6811" s="630" t="s">
        <v>4603</v>
      </c>
      <c r="E6811" s="630" t="s">
        <v>84</v>
      </c>
      <c r="F6811" s="980">
        <v>1.01</v>
      </c>
      <c r="G6811" s="980">
        <v>0.15</v>
      </c>
      <c r="H6811" s="630">
        <v>1.1599999999999999</v>
      </c>
    </row>
    <row r="6812" spans="2:8" ht="25.5" hidden="1">
      <c r="B6812" s="630" t="s">
        <v>6576</v>
      </c>
      <c r="C6812" s="630">
        <v>100937</v>
      </c>
      <c r="D6812" s="630" t="s">
        <v>4604</v>
      </c>
      <c r="E6812" s="630" t="s">
        <v>84</v>
      </c>
      <c r="F6812" s="980">
        <v>7.59</v>
      </c>
      <c r="G6812" s="980">
        <v>1.1200000000000001</v>
      </c>
      <c r="H6812" s="630">
        <v>8.7100000000000009</v>
      </c>
    </row>
    <row r="6813" spans="2:8" ht="25.5" hidden="1">
      <c r="B6813" s="630" t="s">
        <v>6576</v>
      </c>
      <c r="C6813" s="630">
        <v>100938</v>
      </c>
      <c r="D6813" s="630" t="s">
        <v>4605</v>
      </c>
      <c r="E6813" s="630" t="s">
        <v>84</v>
      </c>
      <c r="F6813" s="980">
        <v>6.89</v>
      </c>
      <c r="G6813" s="980">
        <v>0.68</v>
      </c>
      <c r="H6813" s="630">
        <v>7.57</v>
      </c>
    </row>
    <row r="6814" spans="2:8" ht="25.5" hidden="1">
      <c r="B6814" s="630" t="s">
        <v>6576</v>
      </c>
      <c r="C6814" s="630">
        <v>100939</v>
      </c>
      <c r="D6814" s="630" t="s">
        <v>4606</v>
      </c>
      <c r="E6814" s="630" t="s">
        <v>84</v>
      </c>
      <c r="F6814" s="980">
        <v>6.07</v>
      </c>
      <c r="G6814" s="980">
        <v>0.47</v>
      </c>
      <c r="H6814" s="630">
        <v>6.54</v>
      </c>
    </row>
    <row r="6815" spans="2:8" ht="25.5" hidden="1">
      <c r="B6815" s="630" t="s">
        <v>6576</v>
      </c>
      <c r="C6815" s="630">
        <v>100940</v>
      </c>
      <c r="D6815" s="630" t="s">
        <v>4607</v>
      </c>
      <c r="E6815" s="630" t="s">
        <v>84</v>
      </c>
      <c r="F6815" s="980">
        <v>5.3</v>
      </c>
      <c r="G6815" s="980">
        <v>0.37</v>
      </c>
      <c r="H6815" s="630">
        <v>5.67</v>
      </c>
    </row>
    <row r="6816" spans="2:8" ht="25.5" hidden="1">
      <c r="B6816" s="630" t="s">
        <v>6576</v>
      </c>
      <c r="C6816" s="630">
        <v>100941</v>
      </c>
      <c r="D6816" s="630" t="s">
        <v>4608</v>
      </c>
      <c r="E6816" s="630" t="s">
        <v>83</v>
      </c>
      <c r="F6816" s="980">
        <v>5.05</v>
      </c>
      <c r="G6816" s="980">
        <v>0.75</v>
      </c>
      <c r="H6816" s="630">
        <v>5.8</v>
      </c>
    </row>
    <row r="6817" spans="2:8" ht="25.5" hidden="1">
      <c r="B6817" s="630" t="s">
        <v>6576</v>
      </c>
      <c r="C6817" s="630">
        <v>100942</v>
      </c>
      <c r="D6817" s="630" t="s">
        <v>4609</v>
      </c>
      <c r="E6817" s="630" t="s">
        <v>83</v>
      </c>
      <c r="F6817" s="980">
        <v>4.5999999999999996</v>
      </c>
      <c r="G6817" s="980">
        <v>0.44</v>
      </c>
      <c r="H6817" s="630">
        <v>5.04</v>
      </c>
    </row>
    <row r="6818" spans="2:8" ht="25.5" hidden="1">
      <c r="B6818" s="630" t="s">
        <v>6576</v>
      </c>
      <c r="C6818" s="630">
        <v>100943</v>
      </c>
      <c r="D6818" s="630" t="s">
        <v>4610</v>
      </c>
      <c r="E6818" s="630" t="s">
        <v>83</v>
      </c>
      <c r="F6818" s="980">
        <v>4.03</v>
      </c>
      <c r="G6818" s="980">
        <v>0.32</v>
      </c>
      <c r="H6818" s="630">
        <v>4.3499999999999996</v>
      </c>
    </row>
    <row r="6819" spans="2:8" ht="25.5" hidden="1">
      <c r="B6819" s="630" t="s">
        <v>6576</v>
      </c>
      <c r="C6819" s="630">
        <v>100944</v>
      </c>
      <c r="D6819" s="630" t="s">
        <v>4611</v>
      </c>
      <c r="E6819" s="630" t="s">
        <v>83</v>
      </c>
      <c r="F6819" s="980">
        <v>3.55</v>
      </c>
      <c r="G6819" s="980">
        <v>0.24</v>
      </c>
      <c r="H6819" s="630">
        <v>3.79</v>
      </c>
    </row>
    <row r="6820" spans="2:8" ht="25.5" hidden="1">
      <c r="B6820" s="630" t="s">
        <v>6576</v>
      </c>
      <c r="C6820" s="630">
        <v>100945</v>
      </c>
      <c r="D6820" s="630" t="s">
        <v>4612</v>
      </c>
      <c r="E6820" s="630" t="s">
        <v>83</v>
      </c>
      <c r="F6820" s="980">
        <v>2.54</v>
      </c>
      <c r="G6820" s="980">
        <v>0.34</v>
      </c>
      <c r="H6820" s="630">
        <v>2.88</v>
      </c>
    </row>
    <row r="6821" spans="2:8" ht="25.5" hidden="1">
      <c r="B6821" s="630" t="s">
        <v>6576</v>
      </c>
      <c r="C6821" s="630">
        <v>100946</v>
      </c>
      <c r="D6821" s="630" t="s">
        <v>4613</v>
      </c>
      <c r="E6821" s="630" t="s">
        <v>83</v>
      </c>
      <c r="F6821" s="980">
        <v>2.19</v>
      </c>
      <c r="G6821" s="980">
        <v>0.28999999999999998</v>
      </c>
      <c r="H6821" s="630">
        <v>2.48</v>
      </c>
    </row>
    <row r="6822" spans="2:8" ht="25.5" hidden="1">
      <c r="B6822" s="630" t="s">
        <v>6576</v>
      </c>
      <c r="C6822" s="630">
        <v>100947</v>
      </c>
      <c r="D6822" s="630" t="s">
        <v>4614</v>
      </c>
      <c r="E6822" s="630" t="s">
        <v>83</v>
      </c>
      <c r="F6822" s="980">
        <v>2.0299999999999998</v>
      </c>
      <c r="G6822" s="980">
        <v>0.26</v>
      </c>
      <c r="H6822" s="630">
        <v>2.29</v>
      </c>
    </row>
    <row r="6823" spans="2:8" ht="38.25" hidden="1">
      <c r="B6823" s="630" t="s">
        <v>6576</v>
      </c>
      <c r="C6823" s="630">
        <v>100948</v>
      </c>
      <c r="D6823" s="630" t="s">
        <v>4615</v>
      </c>
      <c r="E6823" s="630" t="s">
        <v>83</v>
      </c>
      <c r="F6823" s="980">
        <v>0.80999999999999994</v>
      </c>
      <c r="G6823" s="980">
        <v>0.1</v>
      </c>
      <c r="H6823" s="630">
        <v>0.91</v>
      </c>
    </row>
    <row r="6824" spans="2:8" ht="25.5" hidden="1">
      <c r="B6824" s="630" t="s">
        <v>6576</v>
      </c>
      <c r="C6824" s="630">
        <v>100949</v>
      </c>
      <c r="D6824" s="630" t="s">
        <v>4616</v>
      </c>
      <c r="E6824" s="630" t="s">
        <v>83</v>
      </c>
      <c r="F6824" s="980">
        <v>6.0600000000000005</v>
      </c>
      <c r="G6824" s="980">
        <v>0.79</v>
      </c>
      <c r="H6824" s="630">
        <v>6.85</v>
      </c>
    </row>
    <row r="6825" spans="2:8" ht="38.25" hidden="1">
      <c r="B6825" s="630" t="s">
        <v>6576</v>
      </c>
      <c r="C6825" s="630">
        <v>100950</v>
      </c>
      <c r="D6825" s="630" t="s">
        <v>4617</v>
      </c>
      <c r="E6825" s="630" t="s">
        <v>83</v>
      </c>
      <c r="F6825" s="980">
        <v>3.34</v>
      </c>
      <c r="G6825" s="980">
        <v>0.39</v>
      </c>
      <c r="H6825" s="630">
        <v>3.73</v>
      </c>
    </row>
    <row r="6826" spans="2:8" ht="38.25" hidden="1">
      <c r="B6826" s="630" t="s">
        <v>6576</v>
      </c>
      <c r="C6826" s="630">
        <v>100951</v>
      </c>
      <c r="D6826" s="630" t="s">
        <v>4618</v>
      </c>
      <c r="E6826" s="630" t="s">
        <v>83</v>
      </c>
      <c r="F6826" s="980">
        <v>2.88</v>
      </c>
      <c r="G6826" s="980">
        <v>0.34</v>
      </c>
      <c r="H6826" s="630">
        <v>3.22</v>
      </c>
    </row>
    <row r="6827" spans="2:8" ht="38.25" hidden="1">
      <c r="B6827" s="630" t="s">
        <v>6576</v>
      </c>
      <c r="C6827" s="630">
        <v>100952</v>
      </c>
      <c r="D6827" s="630" t="s">
        <v>4619</v>
      </c>
      <c r="E6827" s="630" t="s">
        <v>83</v>
      </c>
      <c r="F6827" s="980">
        <v>2.66</v>
      </c>
      <c r="G6827" s="980">
        <v>0.31</v>
      </c>
      <c r="H6827" s="630">
        <v>2.97</v>
      </c>
    </row>
    <row r="6828" spans="2:8" ht="38.25" hidden="1">
      <c r="B6828" s="630" t="s">
        <v>6576</v>
      </c>
      <c r="C6828" s="630">
        <v>100953</v>
      </c>
      <c r="D6828" s="630" t="s">
        <v>4620</v>
      </c>
      <c r="E6828" s="630" t="s">
        <v>83</v>
      </c>
      <c r="F6828" s="980">
        <v>1.06</v>
      </c>
      <c r="G6828" s="980">
        <v>0.11</v>
      </c>
      <c r="H6828" s="630">
        <v>1.17</v>
      </c>
    </row>
    <row r="6829" spans="2:8" ht="38.25" hidden="1">
      <c r="B6829" s="630" t="s">
        <v>6576</v>
      </c>
      <c r="C6829" s="630">
        <v>100954</v>
      </c>
      <c r="D6829" s="630" t="s">
        <v>4621</v>
      </c>
      <c r="E6829" s="630" t="s">
        <v>83</v>
      </c>
      <c r="F6829" s="980">
        <v>7.96</v>
      </c>
      <c r="G6829" s="980">
        <v>0.92</v>
      </c>
      <c r="H6829" s="630">
        <v>8.8800000000000008</v>
      </c>
    </row>
    <row r="6830" spans="2:8" ht="25.5" hidden="1">
      <c r="B6830" s="630" t="s">
        <v>6576</v>
      </c>
      <c r="C6830" s="630">
        <v>100955</v>
      </c>
      <c r="D6830" s="630" t="s">
        <v>4622</v>
      </c>
      <c r="E6830" s="630" t="s">
        <v>84</v>
      </c>
      <c r="F6830" s="980">
        <v>4.67</v>
      </c>
      <c r="G6830" s="980">
        <v>0.51</v>
      </c>
      <c r="H6830" s="630">
        <v>5.18</v>
      </c>
    </row>
    <row r="6831" spans="2:8" ht="25.5" hidden="1">
      <c r="B6831" s="630" t="s">
        <v>6576</v>
      </c>
      <c r="C6831" s="630">
        <v>100956</v>
      </c>
      <c r="D6831" s="630" t="s">
        <v>4623</v>
      </c>
      <c r="E6831" s="630" t="s">
        <v>84</v>
      </c>
      <c r="F6831" s="980">
        <v>4.0599999999999996</v>
      </c>
      <c r="G6831" s="980">
        <v>0.44</v>
      </c>
      <c r="H6831" s="630">
        <v>4.5</v>
      </c>
    </row>
    <row r="6832" spans="2:8" ht="25.5" hidden="1">
      <c r="B6832" s="630" t="s">
        <v>6576</v>
      </c>
      <c r="C6832" s="630">
        <v>100957</v>
      </c>
      <c r="D6832" s="630" t="s">
        <v>4624</v>
      </c>
      <c r="E6832" s="630" t="s">
        <v>84</v>
      </c>
      <c r="F6832" s="980">
        <v>3.7199999999999998</v>
      </c>
      <c r="G6832" s="980">
        <v>0.4</v>
      </c>
      <c r="H6832" s="630">
        <v>4.12</v>
      </c>
    </row>
    <row r="6833" spans="2:8" ht="38.25" hidden="1">
      <c r="B6833" s="630" t="s">
        <v>6576</v>
      </c>
      <c r="C6833" s="630">
        <v>100958</v>
      </c>
      <c r="D6833" s="630" t="s">
        <v>4625</v>
      </c>
      <c r="E6833" s="630" t="s">
        <v>84</v>
      </c>
      <c r="F6833" s="980">
        <v>1.51</v>
      </c>
      <c r="G6833" s="980">
        <v>0.15</v>
      </c>
      <c r="H6833" s="630">
        <v>1.66</v>
      </c>
    </row>
    <row r="6834" spans="2:8" ht="25.5" hidden="1">
      <c r="B6834" s="630" t="s">
        <v>6576</v>
      </c>
      <c r="C6834" s="630">
        <v>100959</v>
      </c>
      <c r="D6834" s="630" t="s">
        <v>4626</v>
      </c>
      <c r="E6834" s="630" t="s">
        <v>84</v>
      </c>
      <c r="F6834" s="980">
        <v>11.16</v>
      </c>
      <c r="G6834" s="980">
        <v>1.19</v>
      </c>
      <c r="H6834" s="630">
        <v>12.35</v>
      </c>
    </row>
    <row r="6835" spans="2:8" ht="25.5" hidden="1">
      <c r="B6835" s="630" t="s">
        <v>6576</v>
      </c>
      <c r="C6835" s="630">
        <v>100960</v>
      </c>
      <c r="D6835" s="630" t="s">
        <v>4627</v>
      </c>
      <c r="E6835" s="630" t="s">
        <v>84</v>
      </c>
      <c r="F6835" s="980">
        <v>3.5100000000000002</v>
      </c>
      <c r="G6835" s="980">
        <v>0.3</v>
      </c>
      <c r="H6835" s="630">
        <v>3.81</v>
      </c>
    </row>
    <row r="6836" spans="2:8" ht="25.5" hidden="1">
      <c r="B6836" s="630" t="s">
        <v>6576</v>
      </c>
      <c r="C6836" s="630">
        <v>100961</v>
      </c>
      <c r="D6836" s="630" t="s">
        <v>4628</v>
      </c>
      <c r="E6836" s="630" t="s">
        <v>84</v>
      </c>
      <c r="F6836" s="980">
        <v>3.05</v>
      </c>
      <c r="G6836" s="980">
        <v>0.26</v>
      </c>
      <c r="H6836" s="630">
        <v>3.31</v>
      </c>
    </row>
    <row r="6837" spans="2:8" ht="25.5" hidden="1">
      <c r="B6837" s="630" t="s">
        <v>6576</v>
      </c>
      <c r="C6837" s="630">
        <v>100962</v>
      </c>
      <c r="D6837" s="630" t="s">
        <v>4629</v>
      </c>
      <c r="E6837" s="630" t="s">
        <v>84</v>
      </c>
      <c r="F6837" s="980">
        <v>2.79</v>
      </c>
      <c r="G6837" s="980">
        <v>0.23</v>
      </c>
      <c r="H6837" s="630">
        <v>3.02</v>
      </c>
    </row>
    <row r="6838" spans="2:8" ht="38.25" hidden="1">
      <c r="B6838" s="630" t="s">
        <v>6576</v>
      </c>
      <c r="C6838" s="630">
        <v>100963</v>
      </c>
      <c r="D6838" s="630" t="s">
        <v>4630</v>
      </c>
      <c r="E6838" s="630" t="s">
        <v>84</v>
      </c>
      <c r="F6838" s="980">
        <v>1.1099999999999999</v>
      </c>
      <c r="G6838" s="980">
        <v>0.08</v>
      </c>
      <c r="H6838" s="630">
        <v>1.19</v>
      </c>
    </row>
    <row r="6839" spans="2:8" ht="25.5" hidden="1">
      <c r="B6839" s="630" t="s">
        <v>6576</v>
      </c>
      <c r="C6839" s="630">
        <v>100964</v>
      </c>
      <c r="D6839" s="630" t="s">
        <v>4631</v>
      </c>
      <c r="E6839" s="630" t="s">
        <v>84</v>
      </c>
      <c r="F6839" s="980">
        <v>8.44</v>
      </c>
      <c r="G6839" s="980">
        <v>0.72</v>
      </c>
      <c r="H6839" s="630">
        <v>9.16</v>
      </c>
    </row>
    <row r="6840" spans="2:8" ht="38.25" hidden="1">
      <c r="B6840" s="630" t="s">
        <v>6576</v>
      </c>
      <c r="C6840" s="630">
        <v>100973</v>
      </c>
      <c r="D6840" s="630" t="s">
        <v>4632</v>
      </c>
      <c r="E6840" s="630" t="s">
        <v>644</v>
      </c>
      <c r="F6840" s="980">
        <v>7.35</v>
      </c>
      <c r="G6840" s="980">
        <v>1.44</v>
      </c>
      <c r="H6840" s="630">
        <v>8.7899999999999991</v>
      </c>
    </row>
    <row r="6841" spans="2:8" ht="38.25" hidden="1">
      <c r="B6841" s="630" t="s">
        <v>6576</v>
      </c>
      <c r="C6841" s="630">
        <v>100974</v>
      </c>
      <c r="D6841" s="630" t="s">
        <v>4633</v>
      </c>
      <c r="E6841" s="630" t="s">
        <v>644</v>
      </c>
      <c r="F6841" s="980">
        <v>7.65</v>
      </c>
      <c r="G6841" s="980">
        <v>1.08</v>
      </c>
      <c r="H6841" s="630">
        <v>8.73</v>
      </c>
    </row>
    <row r="6842" spans="2:8" ht="38.25" hidden="1">
      <c r="B6842" s="630" t="s">
        <v>6576</v>
      </c>
      <c r="C6842" s="630">
        <v>100975</v>
      </c>
      <c r="D6842" s="630" t="s">
        <v>4634</v>
      </c>
      <c r="E6842" s="630" t="s">
        <v>644</v>
      </c>
      <c r="F6842" s="980">
        <v>7.8</v>
      </c>
      <c r="G6842" s="980">
        <v>0.9</v>
      </c>
      <c r="H6842" s="630">
        <v>8.6999999999999993</v>
      </c>
    </row>
    <row r="6843" spans="2:8" ht="38.25" hidden="1">
      <c r="B6843" s="630" t="s">
        <v>6642</v>
      </c>
      <c r="C6843" s="630">
        <v>100965</v>
      </c>
      <c r="D6843" s="630" t="s">
        <v>4635</v>
      </c>
      <c r="E6843" s="630" t="s">
        <v>83</v>
      </c>
      <c r="F6843" s="980">
        <v>1.6900000000000002</v>
      </c>
      <c r="G6843" s="980">
        <v>0.13</v>
      </c>
      <c r="H6843" s="630">
        <v>1.82</v>
      </c>
    </row>
    <row r="6844" spans="2:8" ht="38.25" hidden="1">
      <c r="B6844" s="630" t="s">
        <v>6642</v>
      </c>
      <c r="C6844" s="630">
        <v>100966</v>
      </c>
      <c r="D6844" s="630" t="s">
        <v>4636</v>
      </c>
      <c r="E6844" s="630" t="s">
        <v>83</v>
      </c>
      <c r="F6844" s="980">
        <v>1.46</v>
      </c>
      <c r="G6844" s="980">
        <v>0.11</v>
      </c>
      <c r="H6844" s="630">
        <v>1.57</v>
      </c>
    </row>
    <row r="6845" spans="2:8" ht="38.25" hidden="1">
      <c r="B6845" s="630" t="s">
        <v>6642</v>
      </c>
      <c r="C6845" s="630">
        <v>100969</v>
      </c>
      <c r="D6845" s="630" t="s">
        <v>4639</v>
      </c>
      <c r="E6845" s="630" t="s">
        <v>83</v>
      </c>
      <c r="F6845" s="980">
        <v>2.2599999999999998</v>
      </c>
      <c r="G6845" s="980">
        <v>0.2</v>
      </c>
      <c r="H6845" s="630">
        <v>2.46</v>
      </c>
    </row>
    <row r="6846" spans="2:8" ht="38.25" hidden="1">
      <c r="B6846" s="630" t="s">
        <v>6642</v>
      </c>
      <c r="C6846" s="630">
        <v>100970</v>
      </c>
      <c r="D6846" s="630" t="s">
        <v>4640</v>
      </c>
      <c r="E6846" s="630" t="s">
        <v>83</v>
      </c>
      <c r="F6846" s="980">
        <v>1.9100000000000001</v>
      </c>
      <c r="G6846" s="980">
        <v>0.17</v>
      </c>
      <c r="H6846" s="630">
        <v>2.08</v>
      </c>
    </row>
    <row r="6847" spans="2:8" ht="38.25" hidden="1">
      <c r="B6847" s="630" t="s">
        <v>6642</v>
      </c>
      <c r="C6847" s="630">
        <v>102330</v>
      </c>
      <c r="D6847" s="630" t="s">
        <v>4637</v>
      </c>
      <c r="E6847" s="630" t="s">
        <v>83</v>
      </c>
      <c r="F6847" s="980">
        <v>1.36</v>
      </c>
      <c r="G6847" s="980">
        <v>0.1</v>
      </c>
      <c r="H6847" s="630">
        <v>1.46</v>
      </c>
    </row>
    <row r="6848" spans="2:8" ht="38.25" hidden="1">
      <c r="B6848" s="630" t="s">
        <v>6642</v>
      </c>
      <c r="C6848" s="630">
        <v>102331</v>
      </c>
      <c r="D6848" s="630" t="s">
        <v>4638</v>
      </c>
      <c r="E6848" s="630" t="s">
        <v>83</v>
      </c>
      <c r="F6848" s="980">
        <v>0.54</v>
      </c>
      <c r="G6848" s="980">
        <v>0.03</v>
      </c>
      <c r="H6848" s="630">
        <v>0.56999999999999995</v>
      </c>
    </row>
    <row r="6849" spans="2:8" ht="38.25" hidden="1">
      <c r="B6849" s="630" t="s">
        <v>6642</v>
      </c>
      <c r="C6849" s="630">
        <v>102332</v>
      </c>
      <c r="D6849" s="630" t="s">
        <v>4641</v>
      </c>
      <c r="E6849" s="630" t="s">
        <v>83</v>
      </c>
      <c r="F6849" s="980">
        <v>1.79</v>
      </c>
      <c r="G6849" s="980">
        <v>0.15</v>
      </c>
      <c r="H6849" s="630">
        <v>1.94</v>
      </c>
    </row>
    <row r="6850" spans="2:8" ht="38.25" hidden="1">
      <c r="B6850" s="630" t="s">
        <v>6642</v>
      </c>
      <c r="C6850" s="630">
        <v>102333</v>
      </c>
      <c r="D6850" s="630" t="s">
        <v>4642</v>
      </c>
      <c r="E6850" s="630" t="s">
        <v>83</v>
      </c>
      <c r="F6850" s="980">
        <v>0.73</v>
      </c>
      <c r="G6850" s="980">
        <v>0.05</v>
      </c>
      <c r="H6850" s="630">
        <v>0.78</v>
      </c>
    </row>
    <row r="6851" spans="2:8" ht="25.5" hidden="1">
      <c r="B6851" s="630" t="s">
        <v>6644</v>
      </c>
      <c r="C6851" s="630">
        <v>101019</v>
      </c>
      <c r="D6851" s="630" t="s">
        <v>4643</v>
      </c>
      <c r="E6851" s="630" t="s">
        <v>647</v>
      </c>
      <c r="F6851" s="980">
        <v>422.31</v>
      </c>
      <c r="G6851" s="980">
        <v>175.82</v>
      </c>
      <c r="H6851" s="630">
        <v>598.13</v>
      </c>
    </row>
    <row r="6852" spans="2:8" ht="25.5" hidden="1">
      <c r="B6852" s="630" t="s">
        <v>6644</v>
      </c>
      <c r="C6852" s="630">
        <v>101479</v>
      </c>
      <c r="D6852" s="630" t="s">
        <v>4644</v>
      </c>
      <c r="E6852" s="630" t="s">
        <v>647</v>
      </c>
      <c r="F6852" s="980">
        <v>123.03</v>
      </c>
      <c r="G6852" s="980">
        <v>51.23</v>
      </c>
      <c r="H6852" s="630">
        <v>174.26</v>
      </c>
    </row>
    <row r="6853" spans="2:8" ht="25.5" hidden="1">
      <c r="B6853" s="630" t="s">
        <v>6644</v>
      </c>
      <c r="C6853" s="630">
        <v>102568</v>
      </c>
      <c r="D6853" s="630" t="s">
        <v>6214</v>
      </c>
      <c r="E6853" s="630" t="s">
        <v>647</v>
      </c>
      <c r="F6853" s="980">
        <v>209.61</v>
      </c>
      <c r="G6853" s="980">
        <v>87.27</v>
      </c>
      <c r="H6853" s="630">
        <v>296.88</v>
      </c>
    </row>
    <row r="6854" spans="2:8" ht="38.25" hidden="1">
      <c r="B6854" s="630" t="s">
        <v>6643</v>
      </c>
      <c r="C6854" s="630">
        <v>100976</v>
      </c>
      <c r="D6854" s="630" t="s">
        <v>4645</v>
      </c>
      <c r="E6854" s="630" t="s">
        <v>644</v>
      </c>
      <c r="F6854" s="980">
        <v>7.83</v>
      </c>
      <c r="G6854" s="980">
        <v>0.81</v>
      </c>
      <c r="H6854" s="630">
        <v>8.64</v>
      </c>
    </row>
    <row r="6855" spans="2:8" ht="51" hidden="1">
      <c r="B6855" s="630" t="s">
        <v>6643</v>
      </c>
      <c r="C6855" s="630">
        <v>100977</v>
      </c>
      <c r="D6855" s="630" t="s">
        <v>4646</v>
      </c>
      <c r="E6855" s="630" t="s">
        <v>644</v>
      </c>
      <c r="F6855" s="980">
        <v>6.37</v>
      </c>
      <c r="G6855" s="980">
        <v>1.21</v>
      </c>
      <c r="H6855" s="630">
        <v>7.58</v>
      </c>
    </row>
    <row r="6856" spans="2:8" ht="51" hidden="1">
      <c r="B6856" s="630" t="s">
        <v>6643</v>
      </c>
      <c r="C6856" s="630">
        <v>100978</v>
      </c>
      <c r="D6856" s="630" t="s">
        <v>4647</v>
      </c>
      <c r="E6856" s="630" t="s">
        <v>644</v>
      </c>
      <c r="F6856" s="980">
        <v>6.1999999999999993</v>
      </c>
      <c r="G6856" s="980">
        <v>0.84</v>
      </c>
      <c r="H6856" s="630">
        <v>7.04</v>
      </c>
    </row>
    <row r="6857" spans="2:8" ht="51" hidden="1">
      <c r="B6857" s="630" t="s">
        <v>6643</v>
      </c>
      <c r="C6857" s="630">
        <v>100979</v>
      </c>
      <c r="D6857" s="630" t="s">
        <v>4648</v>
      </c>
      <c r="E6857" s="630" t="s">
        <v>644</v>
      </c>
      <c r="F6857" s="980">
        <v>6.01</v>
      </c>
      <c r="G6857" s="980">
        <v>0.68</v>
      </c>
      <c r="H6857" s="630">
        <v>6.69</v>
      </c>
    </row>
    <row r="6858" spans="2:8" ht="51" hidden="1">
      <c r="B6858" s="630" t="s">
        <v>6643</v>
      </c>
      <c r="C6858" s="630">
        <v>100980</v>
      </c>
      <c r="D6858" s="630" t="s">
        <v>4649</v>
      </c>
      <c r="E6858" s="630" t="s">
        <v>644</v>
      </c>
      <c r="F6858" s="980">
        <v>5.83</v>
      </c>
      <c r="G6858" s="980">
        <v>0.59</v>
      </c>
      <c r="H6858" s="630">
        <v>6.42</v>
      </c>
    </row>
    <row r="6859" spans="2:8" ht="38.25" hidden="1">
      <c r="B6859" s="630" t="s">
        <v>6643</v>
      </c>
      <c r="C6859" s="630">
        <v>100981</v>
      </c>
      <c r="D6859" s="630" t="s">
        <v>4650</v>
      </c>
      <c r="E6859" s="630" t="s">
        <v>644</v>
      </c>
      <c r="F6859" s="980">
        <v>7.8100000000000005</v>
      </c>
      <c r="G6859" s="980">
        <v>1.47</v>
      </c>
      <c r="H6859" s="630">
        <v>9.2799999999999994</v>
      </c>
    </row>
    <row r="6860" spans="2:8" ht="38.25" hidden="1">
      <c r="B6860" s="630" t="s">
        <v>6643</v>
      </c>
      <c r="C6860" s="630">
        <v>100982</v>
      </c>
      <c r="D6860" s="630" t="s">
        <v>4651</v>
      </c>
      <c r="E6860" s="630" t="s">
        <v>644</v>
      </c>
      <c r="F6860" s="980">
        <v>8.0500000000000007</v>
      </c>
      <c r="G6860" s="980">
        <v>1.1000000000000001</v>
      </c>
      <c r="H6860" s="630">
        <v>9.15</v>
      </c>
    </row>
    <row r="6861" spans="2:8" ht="38.25" hidden="1">
      <c r="B6861" s="630" t="s">
        <v>6643</v>
      </c>
      <c r="C6861" s="630">
        <v>100983</v>
      </c>
      <c r="D6861" s="630" t="s">
        <v>4652</v>
      </c>
      <c r="E6861" s="630" t="s">
        <v>644</v>
      </c>
      <c r="F6861" s="980">
        <v>8.17</v>
      </c>
      <c r="G6861" s="980">
        <v>0.92</v>
      </c>
      <c r="H6861" s="630">
        <v>9.09</v>
      </c>
    </row>
    <row r="6862" spans="2:8" ht="38.25" hidden="1">
      <c r="B6862" s="630" t="s">
        <v>6643</v>
      </c>
      <c r="C6862" s="630">
        <v>100984</v>
      </c>
      <c r="D6862" s="630" t="s">
        <v>4653</v>
      </c>
      <c r="E6862" s="630" t="s">
        <v>644</v>
      </c>
      <c r="F6862" s="980">
        <v>8.17</v>
      </c>
      <c r="G6862" s="980">
        <v>0.84</v>
      </c>
      <c r="H6862" s="630">
        <v>9.01</v>
      </c>
    </row>
    <row r="6863" spans="2:8" ht="25.5" hidden="1">
      <c r="B6863" s="630" t="s">
        <v>6643</v>
      </c>
      <c r="C6863" s="630">
        <v>100985</v>
      </c>
      <c r="D6863" s="630" t="s">
        <v>4654</v>
      </c>
      <c r="E6863" s="630" t="s">
        <v>644</v>
      </c>
      <c r="F6863" s="980">
        <v>6.1899999999999995</v>
      </c>
      <c r="G6863" s="980">
        <v>1.05</v>
      </c>
      <c r="H6863" s="630">
        <v>7.24</v>
      </c>
    </row>
    <row r="6864" spans="2:8" ht="25.5" hidden="1">
      <c r="B6864" s="630" t="s">
        <v>6643</v>
      </c>
      <c r="C6864" s="630">
        <v>100986</v>
      </c>
      <c r="D6864" s="630" t="s">
        <v>4655</v>
      </c>
      <c r="E6864" s="630" t="s">
        <v>644</v>
      </c>
      <c r="F6864" s="980">
        <v>8.2100000000000009</v>
      </c>
      <c r="G6864" s="980">
        <v>0.88</v>
      </c>
      <c r="H6864" s="630">
        <v>9.09</v>
      </c>
    </row>
    <row r="6865" spans="2:8" ht="25.5" hidden="1">
      <c r="B6865" s="630" t="s">
        <v>6643</v>
      </c>
      <c r="C6865" s="630">
        <v>100987</v>
      </c>
      <c r="D6865" s="630" t="s">
        <v>4656</v>
      </c>
      <c r="E6865" s="630" t="s">
        <v>644</v>
      </c>
      <c r="F6865" s="980">
        <v>9.49</v>
      </c>
      <c r="G6865" s="981">
        <v>0.81</v>
      </c>
      <c r="H6865" s="848">
        <v>10.3</v>
      </c>
    </row>
    <row r="6866" spans="2:8" ht="25.5" hidden="1">
      <c r="B6866" s="630" t="s">
        <v>6643</v>
      </c>
      <c r="C6866" s="630">
        <v>100988</v>
      </c>
      <c r="D6866" s="630" t="s">
        <v>4657</v>
      </c>
      <c r="E6866" s="630" t="s">
        <v>644</v>
      </c>
      <c r="F6866" s="980">
        <v>10.32</v>
      </c>
      <c r="G6866" s="981">
        <v>0.77</v>
      </c>
      <c r="H6866" s="848">
        <v>11.09</v>
      </c>
    </row>
    <row r="6867" spans="2:8" ht="38.25" hidden="1">
      <c r="B6867" s="630" t="s">
        <v>6643</v>
      </c>
      <c r="C6867" s="630">
        <v>100989</v>
      </c>
      <c r="D6867" s="630" t="s">
        <v>4658</v>
      </c>
      <c r="E6867" s="630" t="s">
        <v>647</v>
      </c>
      <c r="F6867" s="980">
        <v>4.9000000000000004</v>
      </c>
      <c r="G6867" s="981">
        <v>0.96</v>
      </c>
      <c r="H6867" s="848">
        <v>5.86</v>
      </c>
    </row>
    <row r="6868" spans="2:8" ht="38.25" hidden="1">
      <c r="B6868" s="630" t="s">
        <v>6643</v>
      </c>
      <c r="C6868" s="630">
        <v>100990</v>
      </c>
      <c r="D6868" s="630" t="s">
        <v>4659</v>
      </c>
      <c r="E6868" s="630" t="s">
        <v>647</v>
      </c>
      <c r="F6868" s="980">
        <v>5.1199999999999992</v>
      </c>
      <c r="G6868" s="981">
        <v>0.71</v>
      </c>
      <c r="H6868" s="848">
        <v>5.83</v>
      </c>
    </row>
    <row r="6869" spans="2:8" ht="38.25" hidden="1">
      <c r="B6869" s="630" t="s">
        <v>6643</v>
      </c>
      <c r="C6869" s="630">
        <v>100991</v>
      </c>
      <c r="D6869" s="630" t="s">
        <v>4660</v>
      </c>
      <c r="E6869" s="630" t="s">
        <v>647</v>
      </c>
      <c r="F6869" s="980">
        <v>5.2200000000000006</v>
      </c>
      <c r="G6869" s="981">
        <v>0.61</v>
      </c>
      <c r="H6869" s="848">
        <v>5.83</v>
      </c>
    </row>
    <row r="6870" spans="2:8" ht="38.25" hidden="1">
      <c r="B6870" s="630" t="s">
        <v>6643</v>
      </c>
      <c r="C6870" s="630">
        <v>100992</v>
      </c>
      <c r="D6870" s="630" t="s">
        <v>4661</v>
      </c>
      <c r="E6870" s="630" t="s">
        <v>647</v>
      </c>
      <c r="F6870" s="980">
        <v>5.23</v>
      </c>
      <c r="G6870" s="981">
        <v>0.54</v>
      </c>
      <c r="H6870" s="848">
        <v>5.77</v>
      </c>
    </row>
    <row r="6871" spans="2:8" ht="51" hidden="1">
      <c r="B6871" s="630" t="s">
        <v>6643</v>
      </c>
      <c r="C6871" s="630">
        <v>100993</v>
      </c>
      <c r="D6871" s="630" t="s">
        <v>4662</v>
      </c>
      <c r="E6871" s="630" t="s">
        <v>647</v>
      </c>
      <c r="F6871" s="980">
        <v>4.24</v>
      </c>
      <c r="G6871" s="981">
        <v>0.81</v>
      </c>
      <c r="H6871" s="848">
        <v>5.05</v>
      </c>
    </row>
    <row r="6872" spans="2:8" ht="51" hidden="1">
      <c r="B6872" s="630" t="s">
        <v>6643</v>
      </c>
      <c r="C6872" s="630">
        <v>100994</v>
      </c>
      <c r="D6872" s="630" t="s">
        <v>4663</v>
      </c>
      <c r="E6872" s="630" t="s">
        <v>647</v>
      </c>
      <c r="F6872" s="980">
        <v>4.1100000000000003</v>
      </c>
      <c r="G6872" s="981">
        <v>0.56000000000000005</v>
      </c>
      <c r="H6872" s="848">
        <v>4.67</v>
      </c>
    </row>
    <row r="6873" spans="2:8" ht="51" hidden="1">
      <c r="B6873" s="630" t="s">
        <v>6643</v>
      </c>
      <c r="C6873" s="630">
        <v>100995</v>
      </c>
      <c r="D6873" s="630" t="s">
        <v>4664</v>
      </c>
      <c r="E6873" s="630" t="s">
        <v>647</v>
      </c>
      <c r="F6873" s="980">
        <v>4.0299999999999994</v>
      </c>
      <c r="G6873" s="981">
        <v>0.44</v>
      </c>
      <c r="H6873" s="848">
        <v>4.47</v>
      </c>
    </row>
    <row r="6874" spans="2:8" ht="51" hidden="1">
      <c r="B6874" s="630" t="s">
        <v>6643</v>
      </c>
      <c r="C6874" s="630">
        <v>100996</v>
      </c>
      <c r="D6874" s="630" t="s">
        <v>4665</v>
      </c>
      <c r="E6874" s="630" t="s">
        <v>647</v>
      </c>
      <c r="F6874" s="980">
        <v>3.88</v>
      </c>
      <c r="G6874" s="981">
        <v>0.39</v>
      </c>
      <c r="H6874" s="848">
        <v>4.2699999999999996</v>
      </c>
    </row>
    <row r="6875" spans="2:8" ht="38.25" hidden="1">
      <c r="B6875" s="630" t="s">
        <v>6643</v>
      </c>
      <c r="C6875" s="630">
        <v>100997</v>
      </c>
      <c r="D6875" s="630" t="s">
        <v>4666</v>
      </c>
      <c r="E6875" s="630" t="s">
        <v>647</v>
      </c>
      <c r="F6875" s="980">
        <v>5.22</v>
      </c>
      <c r="G6875" s="981">
        <v>0.98</v>
      </c>
      <c r="H6875" s="848">
        <v>6.2</v>
      </c>
    </row>
    <row r="6876" spans="2:8" ht="38.25" hidden="1">
      <c r="B6876" s="630" t="s">
        <v>6643</v>
      </c>
      <c r="C6876" s="630">
        <v>100998</v>
      </c>
      <c r="D6876" s="630" t="s">
        <v>4667</v>
      </c>
      <c r="E6876" s="630" t="s">
        <v>647</v>
      </c>
      <c r="F6876" s="980">
        <v>5.3900000000000006</v>
      </c>
      <c r="G6876" s="981">
        <v>0.73</v>
      </c>
      <c r="H6876" s="848">
        <v>6.12</v>
      </c>
    </row>
    <row r="6877" spans="2:8" ht="38.25" hidden="1">
      <c r="B6877" s="630" t="s">
        <v>6643</v>
      </c>
      <c r="C6877" s="630">
        <v>100999</v>
      </c>
      <c r="D6877" s="630" t="s">
        <v>4668</v>
      </c>
      <c r="E6877" s="630" t="s">
        <v>647</v>
      </c>
      <c r="F6877" s="980">
        <v>5.4700000000000006</v>
      </c>
      <c r="G6877" s="981">
        <v>0.62</v>
      </c>
      <c r="H6877" s="848">
        <v>6.09</v>
      </c>
    </row>
    <row r="6878" spans="2:8" ht="38.25" hidden="1">
      <c r="B6878" s="630" t="s">
        <v>6643</v>
      </c>
      <c r="C6878" s="630">
        <v>101000</v>
      </c>
      <c r="D6878" s="630" t="s">
        <v>4669</v>
      </c>
      <c r="E6878" s="630" t="s">
        <v>647</v>
      </c>
      <c r="F6878" s="980">
        <v>5.47</v>
      </c>
      <c r="G6878" s="981">
        <v>0.55000000000000004</v>
      </c>
      <c r="H6878" s="848">
        <v>6.02</v>
      </c>
    </row>
    <row r="6879" spans="2:8" ht="25.5" hidden="1">
      <c r="B6879" s="630" t="s">
        <v>6643</v>
      </c>
      <c r="C6879" s="630">
        <v>101001</v>
      </c>
      <c r="D6879" s="630" t="s">
        <v>4670</v>
      </c>
      <c r="E6879" s="630" t="s">
        <v>647</v>
      </c>
      <c r="F6879" s="980">
        <v>4.13</v>
      </c>
      <c r="G6879" s="981">
        <v>0.7</v>
      </c>
      <c r="H6879" s="848">
        <v>4.83</v>
      </c>
    </row>
    <row r="6880" spans="2:8" ht="25.5" hidden="1">
      <c r="B6880" s="630" t="s">
        <v>6643</v>
      </c>
      <c r="C6880" s="630">
        <v>101002</v>
      </c>
      <c r="D6880" s="630" t="s">
        <v>4671</v>
      </c>
      <c r="E6880" s="630" t="s">
        <v>647</v>
      </c>
      <c r="F6880" s="980">
        <v>5.45</v>
      </c>
      <c r="G6880" s="981">
        <v>0.59</v>
      </c>
      <c r="H6880" s="848">
        <v>6.04</v>
      </c>
    </row>
    <row r="6881" spans="2:8" ht="25.5" hidden="1">
      <c r="B6881" s="630" t="s">
        <v>6643</v>
      </c>
      <c r="C6881" s="630">
        <v>101003</v>
      </c>
      <c r="D6881" s="630" t="s">
        <v>4672</v>
      </c>
      <c r="E6881" s="630" t="s">
        <v>647</v>
      </c>
      <c r="F6881" s="980">
        <v>6.32</v>
      </c>
      <c r="G6881" s="981">
        <v>0.53</v>
      </c>
      <c r="H6881" s="848">
        <v>6.85</v>
      </c>
    </row>
    <row r="6882" spans="2:8" ht="25.5" hidden="1">
      <c r="B6882" s="630" t="s">
        <v>6643</v>
      </c>
      <c r="C6882" s="630">
        <v>101004</v>
      </c>
      <c r="D6882" s="630" t="s">
        <v>4673</v>
      </c>
      <c r="E6882" s="630" t="s">
        <v>647</v>
      </c>
      <c r="F6882" s="980">
        <v>6.8800000000000008</v>
      </c>
      <c r="G6882" s="980">
        <v>0.51</v>
      </c>
      <c r="H6882" s="630">
        <v>7.39</v>
      </c>
    </row>
    <row r="6883" spans="2:8" ht="25.5" hidden="1">
      <c r="B6883" s="630" t="s">
        <v>6643</v>
      </c>
      <c r="C6883" s="630">
        <v>101005</v>
      </c>
      <c r="D6883" s="630" t="s">
        <v>4674</v>
      </c>
      <c r="E6883" s="630" t="s">
        <v>644</v>
      </c>
      <c r="F6883" s="980">
        <v>17.809999999999999</v>
      </c>
      <c r="G6883" s="980">
        <v>1.91</v>
      </c>
      <c r="H6883" s="630">
        <v>19.72</v>
      </c>
    </row>
    <row r="6884" spans="2:8" ht="25.5" hidden="1">
      <c r="B6884" s="630" t="s">
        <v>6643</v>
      </c>
      <c r="C6884" s="630">
        <v>101006</v>
      </c>
      <c r="D6884" s="630" t="s">
        <v>4675</v>
      </c>
      <c r="E6884" s="630" t="s">
        <v>644</v>
      </c>
      <c r="F6884" s="980">
        <v>20.03</v>
      </c>
      <c r="G6884" s="980">
        <v>1.71</v>
      </c>
      <c r="H6884" s="630">
        <v>21.74</v>
      </c>
    </row>
    <row r="6885" spans="2:8" hidden="1">
      <c r="B6885" s="630" t="s">
        <v>6643</v>
      </c>
      <c r="C6885" s="630">
        <v>101007</v>
      </c>
      <c r="D6885" s="630" t="s">
        <v>4676</v>
      </c>
      <c r="E6885" s="630" t="s">
        <v>644</v>
      </c>
      <c r="F6885" s="980">
        <v>5.16</v>
      </c>
      <c r="G6885" s="980">
        <v>0.55000000000000004</v>
      </c>
      <c r="H6885" s="630">
        <v>5.71</v>
      </c>
    </row>
    <row r="6886" spans="2:8" hidden="1">
      <c r="B6886" s="630" t="s">
        <v>6643</v>
      </c>
      <c r="C6886" s="630">
        <v>101008</v>
      </c>
      <c r="D6886" s="630" t="s">
        <v>4677</v>
      </c>
      <c r="E6886" s="630" t="s">
        <v>644</v>
      </c>
      <c r="F6886" s="980">
        <v>5.31</v>
      </c>
      <c r="G6886" s="980">
        <v>0.44</v>
      </c>
      <c r="H6886" s="630">
        <v>5.75</v>
      </c>
    </row>
    <row r="6887" spans="2:8" ht="25.5" hidden="1">
      <c r="B6887" s="630" t="s">
        <v>6643</v>
      </c>
      <c r="C6887" s="630">
        <v>101009</v>
      </c>
      <c r="D6887" s="630" t="s">
        <v>4678</v>
      </c>
      <c r="E6887" s="630" t="s">
        <v>647</v>
      </c>
      <c r="F6887" s="980">
        <v>40.270000000000003</v>
      </c>
      <c r="G6887" s="980">
        <v>4.7300000000000004</v>
      </c>
      <c r="H6887" s="630">
        <v>45</v>
      </c>
    </row>
    <row r="6888" spans="2:8" ht="25.5" hidden="1">
      <c r="B6888" s="630" t="s">
        <v>6643</v>
      </c>
      <c r="C6888" s="630">
        <v>101010</v>
      </c>
      <c r="D6888" s="630" t="s">
        <v>4679</v>
      </c>
      <c r="E6888" s="630" t="s">
        <v>647</v>
      </c>
      <c r="F6888" s="980">
        <v>25.36</v>
      </c>
      <c r="G6888" s="980">
        <v>2.98</v>
      </c>
      <c r="H6888" s="630">
        <v>28.34</v>
      </c>
    </row>
    <row r="6889" spans="2:8" ht="38.25" hidden="1">
      <c r="B6889" s="630" t="s">
        <v>6643</v>
      </c>
      <c r="C6889" s="630">
        <v>101013</v>
      </c>
      <c r="D6889" s="630" t="s">
        <v>4680</v>
      </c>
      <c r="E6889" s="630" t="s">
        <v>647</v>
      </c>
      <c r="F6889" s="980">
        <v>37.450000000000003</v>
      </c>
      <c r="G6889" s="980">
        <v>10.18</v>
      </c>
      <c r="H6889" s="630">
        <v>47.63</v>
      </c>
    </row>
    <row r="6890" spans="2:8" ht="25.5" hidden="1">
      <c r="B6890" s="630" t="s">
        <v>6643</v>
      </c>
      <c r="C6890" s="630">
        <v>101014</v>
      </c>
      <c r="D6890" s="630" t="s">
        <v>4681</v>
      </c>
      <c r="E6890" s="630" t="s">
        <v>647</v>
      </c>
      <c r="F6890" s="980">
        <v>34.299999999999997</v>
      </c>
      <c r="G6890" s="980">
        <v>9.33</v>
      </c>
      <c r="H6890" s="630">
        <v>43.63</v>
      </c>
    </row>
    <row r="6891" spans="2:8" ht="25.5" hidden="1">
      <c r="B6891" s="630" t="s">
        <v>6643</v>
      </c>
      <c r="C6891" s="630">
        <v>101015</v>
      </c>
      <c r="D6891" s="630" t="s">
        <v>4682</v>
      </c>
      <c r="E6891" s="630" t="s">
        <v>647</v>
      </c>
      <c r="F6891" s="980">
        <v>28.189999999999998</v>
      </c>
      <c r="G6891" s="980">
        <v>7.66</v>
      </c>
      <c r="H6891" s="630">
        <v>35.85</v>
      </c>
    </row>
    <row r="6892" spans="2:8" ht="38.25" hidden="1">
      <c r="B6892" s="630" t="s">
        <v>6643</v>
      </c>
      <c r="C6892" s="630">
        <v>101016</v>
      </c>
      <c r="D6892" s="630" t="s">
        <v>4683</v>
      </c>
      <c r="E6892" s="630" t="s">
        <v>647</v>
      </c>
      <c r="F6892" s="980">
        <v>32.650000000000006</v>
      </c>
      <c r="G6892" s="980">
        <v>8.86</v>
      </c>
      <c r="H6892" s="630">
        <v>41.51</v>
      </c>
    </row>
    <row r="6893" spans="2:8" ht="25.5" hidden="1">
      <c r="B6893" s="630" t="s">
        <v>6643</v>
      </c>
      <c r="C6893" s="630">
        <v>101017</v>
      </c>
      <c r="D6893" s="630" t="s">
        <v>4684</v>
      </c>
      <c r="E6893" s="630" t="s">
        <v>647</v>
      </c>
      <c r="F6893" s="980">
        <v>24.720000000000002</v>
      </c>
      <c r="G6893" s="980">
        <v>6.74</v>
      </c>
      <c r="H6893" s="630">
        <v>31.46</v>
      </c>
    </row>
    <row r="6894" spans="2:8" ht="25.5" hidden="1">
      <c r="B6894" s="630" t="s">
        <v>6643</v>
      </c>
      <c r="C6894" s="630">
        <v>101018</v>
      </c>
      <c r="D6894" s="630" t="s">
        <v>4685</v>
      </c>
      <c r="E6894" s="630" t="s">
        <v>647</v>
      </c>
      <c r="F6894" s="980">
        <v>20.309999999999999</v>
      </c>
      <c r="G6894" s="980">
        <v>5.53</v>
      </c>
      <c r="H6894" s="630">
        <v>25.84</v>
      </c>
    </row>
    <row r="6895" spans="2:8" ht="25.5" hidden="1">
      <c r="B6895" s="630" t="s">
        <v>6643</v>
      </c>
      <c r="C6895" s="630">
        <v>101463</v>
      </c>
      <c r="D6895" s="630" t="s">
        <v>4686</v>
      </c>
      <c r="E6895" s="630" t="s">
        <v>647</v>
      </c>
      <c r="F6895" s="980">
        <v>37.58</v>
      </c>
      <c r="G6895" s="980">
        <v>10.210000000000001</v>
      </c>
      <c r="H6895" s="630">
        <v>47.79</v>
      </c>
    </row>
    <row r="6896" spans="2:8" ht="25.5" hidden="1">
      <c r="B6896" s="630" t="s">
        <v>6643</v>
      </c>
      <c r="C6896" s="630">
        <v>101464</v>
      </c>
      <c r="D6896" s="630" t="s">
        <v>4687</v>
      </c>
      <c r="E6896" s="630" t="s">
        <v>647</v>
      </c>
      <c r="F6896" s="980">
        <v>28.849999999999998</v>
      </c>
      <c r="G6896" s="980">
        <v>7.84</v>
      </c>
      <c r="H6896" s="630">
        <v>36.69</v>
      </c>
    </row>
    <row r="6897" spans="2:8" ht="25.5" hidden="1">
      <c r="B6897" s="630" t="s">
        <v>6643</v>
      </c>
      <c r="C6897" s="630">
        <v>101465</v>
      </c>
      <c r="D6897" s="630" t="s">
        <v>4688</v>
      </c>
      <c r="E6897" s="630" t="s">
        <v>647</v>
      </c>
      <c r="F6897" s="980">
        <v>22.05</v>
      </c>
      <c r="G6897" s="980">
        <v>6</v>
      </c>
      <c r="H6897" s="630">
        <v>28.05</v>
      </c>
    </row>
    <row r="6898" spans="2:8" ht="25.5" hidden="1">
      <c r="B6898" s="630" t="s">
        <v>6643</v>
      </c>
      <c r="C6898" s="630">
        <v>101466</v>
      </c>
      <c r="D6898" s="630" t="s">
        <v>4689</v>
      </c>
      <c r="E6898" s="630" t="s">
        <v>647</v>
      </c>
      <c r="F6898" s="980">
        <v>17.95</v>
      </c>
      <c r="G6898" s="980">
        <v>4.87</v>
      </c>
      <c r="H6898" s="630">
        <v>22.82</v>
      </c>
    </row>
    <row r="6899" spans="2:8" ht="25.5" hidden="1">
      <c r="B6899" s="630" t="s">
        <v>6643</v>
      </c>
      <c r="C6899" s="630">
        <v>101467</v>
      </c>
      <c r="D6899" s="630" t="s">
        <v>4690</v>
      </c>
      <c r="E6899" s="630" t="s">
        <v>647</v>
      </c>
      <c r="F6899" s="980">
        <v>15.01</v>
      </c>
      <c r="G6899" s="980">
        <v>4.09</v>
      </c>
      <c r="H6899" s="630">
        <v>19.100000000000001</v>
      </c>
    </row>
    <row r="6900" spans="2:8" ht="25.5" hidden="1">
      <c r="B6900" s="630" t="s">
        <v>6643</v>
      </c>
      <c r="C6900" s="630">
        <v>101468</v>
      </c>
      <c r="D6900" s="630" t="s">
        <v>4691</v>
      </c>
      <c r="E6900" s="630" t="s">
        <v>647</v>
      </c>
      <c r="F6900" s="980">
        <v>13.739999999999998</v>
      </c>
      <c r="G6900" s="980">
        <v>3.73</v>
      </c>
      <c r="H6900" s="630">
        <v>17.47</v>
      </c>
    </row>
    <row r="6901" spans="2:8" ht="25.5" hidden="1">
      <c r="B6901" s="630" t="s">
        <v>6643</v>
      </c>
      <c r="C6901" s="630">
        <v>101469</v>
      </c>
      <c r="D6901" s="630" t="s">
        <v>4692</v>
      </c>
      <c r="E6901" s="630" t="s">
        <v>647</v>
      </c>
      <c r="F6901" s="980">
        <v>30.729999999999997</v>
      </c>
      <c r="G6901" s="980">
        <v>8.36</v>
      </c>
      <c r="H6901" s="630">
        <v>39.090000000000003</v>
      </c>
    </row>
    <row r="6902" spans="2:8" ht="25.5" hidden="1">
      <c r="B6902" s="630" t="s">
        <v>6643</v>
      </c>
      <c r="C6902" s="630">
        <v>101470</v>
      </c>
      <c r="D6902" s="630" t="s">
        <v>4693</v>
      </c>
      <c r="E6902" s="630" t="s">
        <v>647</v>
      </c>
      <c r="F6902" s="980">
        <v>24.4</v>
      </c>
      <c r="G6902" s="980">
        <v>6.63</v>
      </c>
      <c r="H6902" s="630">
        <v>31.03</v>
      </c>
    </row>
    <row r="6903" spans="2:8" ht="25.5" hidden="1">
      <c r="B6903" s="630" t="s">
        <v>6643</v>
      </c>
      <c r="C6903" s="630">
        <v>101471</v>
      </c>
      <c r="D6903" s="630" t="s">
        <v>4694</v>
      </c>
      <c r="E6903" s="630" t="s">
        <v>647</v>
      </c>
      <c r="F6903" s="980">
        <v>20.93</v>
      </c>
      <c r="G6903" s="980">
        <v>5.69</v>
      </c>
      <c r="H6903" s="630">
        <v>26.62</v>
      </c>
    </row>
    <row r="6904" spans="2:8" ht="25.5" hidden="1">
      <c r="B6904" s="630" t="s">
        <v>6643</v>
      </c>
      <c r="C6904" s="630">
        <v>101472</v>
      </c>
      <c r="D6904" s="630" t="s">
        <v>4695</v>
      </c>
      <c r="E6904" s="630" t="s">
        <v>647</v>
      </c>
      <c r="F6904" s="980">
        <v>16.299999999999997</v>
      </c>
      <c r="G6904" s="980">
        <v>4.43</v>
      </c>
      <c r="H6904" s="630">
        <v>20.73</v>
      </c>
    </row>
    <row r="6905" spans="2:8" ht="25.5" hidden="1">
      <c r="B6905" s="630" t="s">
        <v>6643</v>
      </c>
      <c r="C6905" s="630">
        <v>101473</v>
      </c>
      <c r="D6905" s="630" t="s">
        <v>4696</v>
      </c>
      <c r="E6905" s="630" t="s">
        <v>647</v>
      </c>
      <c r="F6905" s="980">
        <v>23.46</v>
      </c>
      <c r="G6905" s="980">
        <v>6.37</v>
      </c>
      <c r="H6905" s="630">
        <v>29.83</v>
      </c>
    </row>
    <row r="6906" spans="2:8" ht="25.5" hidden="1">
      <c r="B6906" s="630" t="s">
        <v>6643</v>
      </c>
      <c r="C6906" s="630">
        <v>101474</v>
      </c>
      <c r="D6906" s="630" t="s">
        <v>4697</v>
      </c>
      <c r="E6906" s="630" t="s">
        <v>647</v>
      </c>
      <c r="F6906" s="980">
        <v>16.78</v>
      </c>
      <c r="G6906" s="980">
        <v>4.57</v>
      </c>
      <c r="H6906" s="630">
        <v>21.35</v>
      </c>
    </row>
    <row r="6907" spans="2:8" ht="25.5" hidden="1">
      <c r="B6907" s="630" t="s">
        <v>6643</v>
      </c>
      <c r="C6907" s="630">
        <v>101475</v>
      </c>
      <c r="D6907" s="630" t="s">
        <v>4698</v>
      </c>
      <c r="E6907" s="630" t="s">
        <v>647</v>
      </c>
      <c r="F6907" s="980">
        <v>14.89</v>
      </c>
      <c r="G6907" s="980">
        <v>4.04</v>
      </c>
      <c r="H6907" s="630">
        <v>18.93</v>
      </c>
    </row>
    <row r="6908" spans="2:8" ht="25.5" hidden="1">
      <c r="B6908" s="630" t="s">
        <v>6643</v>
      </c>
      <c r="C6908" s="630">
        <v>101476</v>
      </c>
      <c r="D6908" s="630" t="s">
        <v>4699</v>
      </c>
      <c r="E6908" s="630" t="s">
        <v>647</v>
      </c>
      <c r="F6908" s="980">
        <v>13.28</v>
      </c>
      <c r="G6908" s="980">
        <v>3.61</v>
      </c>
      <c r="H6908" s="630">
        <v>16.89</v>
      </c>
    </row>
    <row r="6909" spans="2:8" ht="25.5" hidden="1">
      <c r="B6909" s="630" t="s">
        <v>6643</v>
      </c>
      <c r="C6909" s="630">
        <v>101477</v>
      </c>
      <c r="D6909" s="630" t="s">
        <v>4700</v>
      </c>
      <c r="E6909" s="630" t="s">
        <v>647</v>
      </c>
      <c r="F6909" s="980">
        <v>10.879999999999999</v>
      </c>
      <c r="G6909" s="980">
        <v>2.96</v>
      </c>
      <c r="H6909" s="630">
        <v>13.84</v>
      </c>
    </row>
    <row r="6910" spans="2:8" ht="25.5" hidden="1">
      <c r="B6910" s="630" t="s">
        <v>6643</v>
      </c>
      <c r="C6910" s="630">
        <v>101478</v>
      </c>
      <c r="D6910" s="630" t="s">
        <v>4701</v>
      </c>
      <c r="E6910" s="630" t="s">
        <v>647</v>
      </c>
      <c r="F6910" s="980">
        <v>9.26</v>
      </c>
      <c r="G6910" s="980">
        <v>2.5099999999999998</v>
      </c>
      <c r="H6910" s="630">
        <v>11.77</v>
      </c>
    </row>
    <row r="6911" spans="2:8" ht="25.5" hidden="1">
      <c r="B6911" s="630" t="s">
        <v>6643</v>
      </c>
      <c r="C6911" s="630">
        <v>101480</v>
      </c>
      <c r="D6911" s="630" t="s">
        <v>4702</v>
      </c>
      <c r="E6911" s="630" t="s">
        <v>647</v>
      </c>
      <c r="F6911" s="980">
        <v>54.96</v>
      </c>
      <c r="G6911" s="980">
        <v>14.95</v>
      </c>
      <c r="H6911" s="630">
        <v>69.91</v>
      </c>
    </row>
    <row r="6912" spans="2:8" ht="25.5" hidden="1">
      <c r="B6912" s="630" t="s">
        <v>6643</v>
      </c>
      <c r="C6912" s="630">
        <v>101481</v>
      </c>
      <c r="D6912" s="630" t="s">
        <v>4703</v>
      </c>
      <c r="E6912" s="630" t="s">
        <v>647</v>
      </c>
      <c r="F6912" s="980">
        <v>39.700000000000003</v>
      </c>
      <c r="G6912" s="980">
        <v>10.79</v>
      </c>
      <c r="H6912" s="630">
        <v>50.49</v>
      </c>
    </row>
    <row r="6913" spans="2:8" ht="25.5" hidden="1">
      <c r="B6913" s="630" t="s">
        <v>6643</v>
      </c>
      <c r="C6913" s="630">
        <v>101482</v>
      </c>
      <c r="D6913" s="630" t="s">
        <v>5843</v>
      </c>
      <c r="E6913" s="630" t="s">
        <v>647</v>
      </c>
      <c r="F6913" s="980">
        <v>29.689999999999998</v>
      </c>
      <c r="G6913" s="980">
        <v>8.07</v>
      </c>
      <c r="H6913" s="630">
        <v>37.76</v>
      </c>
    </row>
    <row r="6914" spans="2:8" ht="25.5" hidden="1">
      <c r="B6914" s="630" t="s">
        <v>6643</v>
      </c>
      <c r="C6914" s="630">
        <v>101483</v>
      </c>
      <c r="D6914" s="630" t="s">
        <v>4704</v>
      </c>
      <c r="E6914" s="630" t="s">
        <v>647</v>
      </c>
      <c r="F6914" s="980">
        <v>30.799999999999997</v>
      </c>
      <c r="G6914" s="980">
        <v>8.3699999999999992</v>
      </c>
      <c r="H6914" s="630">
        <v>39.17</v>
      </c>
    </row>
    <row r="6915" spans="2:8" ht="25.5" hidden="1">
      <c r="B6915" s="630" t="s">
        <v>6643</v>
      </c>
      <c r="C6915" s="630">
        <v>101484</v>
      </c>
      <c r="D6915" s="630" t="s">
        <v>4705</v>
      </c>
      <c r="E6915" s="630" t="s">
        <v>647</v>
      </c>
      <c r="F6915" s="980">
        <v>159.65</v>
      </c>
      <c r="G6915" s="980">
        <v>43.38</v>
      </c>
      <c r="H6915" s="630">
        <v>203.03</v>
      </c>
    </row>
    <row r="6916" spans="2:8" ht="25.5" hidden="1">
      <c r="B6916" s="630" t="s">
        <v>6643</v>
      </c>
      <c r="C6916" s="630">
        <v>101485</v>
      </c>
      <c r="D6916" s="630" t="s">
        <v>4706</v>
      </c>
      <c r="E6916" s="630" t="s">
        <v>647</v>
      </c>
      <c r="F6916" s="980">
        <v>122.54</v>
      </c>
      <c r="G6916" s="980">
        <v>33.31</v>
      </c>
      <c r="H6916" s="630">
        <v>155.85</v>
      </c>
    </row>
    <row r="6917" spans="2:8" ht="25.5" hidden="1">
      <c r="B6917" s="630" t="s">
        <v>6643</v>
      </c>
      <c r="C6917" s="630">
        <v>101486</v>
      </c>
      <c r="D6917" s="630" t="s">
        <v>4707</v>
      </c>
      <c r="E6917" s="630" t="s">
        <v>647</v>
      </c>
      <c r="F6917" s="980">
        <v>110.38</v>
      </c>
      <c r="G6917" s="980">
        <v>30</v>
      </c>
      <c r="H6917" s="630">
        <v>140.38</v>
      </c>
    </row>
    <row r="6918" spans="2:8" ht="25.5" hidden="1">
      <c r="B6918" s="630" t="s">
        <v>6643</v>
      </c>
      <c r="C6918" s="630">
        <v>101487</v>
      </c>
      <c r="D6918" s="630" t="s">
        <v>4708</v>
      </c>
      <c r="E6918" s="630" t="s">
        <v>647</v>
      </c>
      <c r="F6918" s="980">
        <v>80.84</v>
      </c>
      <c r="G6918" s="980">
        <v>21.95</v>
      </c>
      <c r="H6918" s="630">
        <v>102.79</v>
      </c>
    </row>
    <row r="6919" spans="2:8" ht="25.5" hidden="1">
      <c r="B6919" s="630" t="s">
        <v>6643</v>
      </c>
      <c r="C6919" s="630">
        <v>101488</v>
      </c>
      <c r="D6919" s="630" t="s">
        <v>4709</v>
      </c>
      <c r="E6919" s="630" t="s">
        <v>647</v>
      </c>
      <c r="F6919" s="980">
        <v>69.949999999999989</v>
      </c>
      <c r="G6919" s="980">
        <v>18.989999999999998</v>
      </c>
      <c r="H6919" s="630">
        <v>88.94</v>
      </c>
    </row>
    <row r="6920" spans="2:8" ht="38.25" hidden="1">
      <c r="B6920" s="630" t="s">
        <v>6651</v>
      </c>
      <c r="C6920" s="630">
        <v>101188</v>
      </c>
      <c r="D6920" s="630" t="s">
        <v>4710</v>
      </c>
      <c r="E6920" s="630" t="s">
        <v>648</v>
      </c>
      <c r="F6920" s="980">
        <v>3.14</v>
      </c>
      <c r="G6920" s="980">
        <v>3.86</v>
      </c>
      <c r="H6920" s="630">
        <v>7</v>
      </c>
    </row>
    <row r="6921" spans="2:8" ht="38.25" hidden="1">
      <c r="B6921" s="630" t="s">
        <v>6651</v>
      </c>
      <c r="C6921" s="630">
        <v>101189</v>
      </c>
      <c r="D6921" s="630" t="s">
        <v>4711</v>
      </c>
      <c r="E6921" s="630" t="s">
        <v>648</v>
      </c>
      <c r="F6921" s="980">
        <v>43.89</v>
      </c>
      <c r="G6921" s="980">
        <v>22.55</v>
      </c>
      <c r="H6921" s="630">
        <v>66.44</v>
      </c>
    </row>
    <row r="6922" spans="2:8" ht="38.25" hidden="1">
      <c r="B6922" s="630" t="s">
        <v>6651</v>
      </c>
      <c r="C6922" s="630">
        <v>101190</v>
      </c>
      <c r="D6922" s="630" t="s">
        <v>4712</v>
      </c>
      <c r="E6922" s="630" t="s">
        <v>648</v>
      </c>
      <c r="F6922" s="980">
        <v>42.99</v>
      </c>
      <c r="G6922" s="980">
        <v>22.55</v>
      </c>
      <c r="H6922" s="630">
        <v>65.540000000000006</v>
      </c>
    </row>
    <row r="6923" spans="2:8" ht="38.25" hidden="1">
      <c r="B6923" s="630" t="s">
        <v>6651</v>
      </c>
      <c r="C6923" s="630">
        <v>101191</v>
      </c>
      <c r="D6923" s="630" t="s">
        <v>4713</v>
      </c>
      <c r="E6923" s="630" t="s">
        <v>648</v>
      </c>
      <c r="F6923" s="980">
        <v>43.44</v>
      </c>
      <c r="G6923" s="980">
        <v>22.55</v>
      </c>
      <c r="H6923" s="630">
        <v>65.989999999999995</v>
      </c>
    </row>
    <row r="6924" spans="2:8" ht="38.25" hidden="1">
      <c r="B6924" s="630" t="s">
        <v>6651</v>
      </c>
      <c r="C6924" s="630">
        <v>101192</v>
      </c>
      <c r="D6924" s="630" t="s">
        <v>4714</v>
      </c>
      <c r="E6924" s="630" t="s">
        <v>648</v>
      </c>
      <c r="F6924" s="980">
        <v>46.46</v>
      </c>
      <c r="G6924" s="980">
        <v>22.54</v>
      </c>
      <c r="H6924" s="630">
        <v>69</v>
      </c>
    </row>
    <row r="6925" spans="2:8" ht="38.25" hidden="1">
      <c r="B6925" s="630" t="s">
        <v>6651</v>
      </c>
      <c r="C6925" s="630">
        <v>101193</v>
      </c>
      <c r="D6925" s="630" t="s">
        <v>4715</v>
      </c>
      <c r="E6925" s="630" t="s">
        <v>648</v>
      </c>
      <c r="F6925" s="980">
        <v>38.15</v>
      </c>
      <c r="G6925" s="980">
        <v>22.55</v>
      </c>
      <c r="H6925" s="630">
        <v>60.7</v>
      </c>
    </row>
    <row r="6926" spans="2:8" ht="38.25" hidden="1">
      <c r="B6926" s="630" t="s">
        <v>6651</v>
      </c>
      <c r="C6926" s="630">
        <v>101194</v>
      </c>
      <c r="D6926" s="630" t="s">
        <v>4716</v>
      </c>
      <c r="E6926" s="630" t="s">
        <v>648</v>
      </c>
      <c r="F6926" s="980">
        <v>38.6</v>
      </c>
      <c r="G6926" s="980">
        <v>22.55</v>
      </c>
      <c r="H6926" s="630">
        <v>61.15</v>
      </c>
    </row>
    <row r="6927" spans="2:8" ht="38.25" hidden="1">
      <c r="B6927" s="630" t="s">
        <v>6651</v>
      </c>
      <c r="C6927" s="630">
        <v>101197</v>
      </c>
      <c r="D6927" s="630" t="s">
        <v>4717</v>
      </c>
      <c r="E6927" s="630" t="s">
        <v>648</v>
      </c>
      <c r="F6927" s="980">
        <v>82.84</v>
      </c>
      <c r="G6927" s="980">
        <v>41.36</v>
      </c>
      <c r="H6927" s="630">
        <v>124.2</v>
      </c>
    </row>
    <row r="6928" spans="2:8" ht="38.25" hidden="1">
      <c r="B6928" s="630" t="s">
        <v>6651</v>
      </c>
      <c r="C6928" s="630">
        <v>101198</v>
      </c>
      <c r="D6928" s="630" t="s">
        <v>4718</v>
      </c>
      <c r="E6928" s="630" t="s">
        <v>648</v>
      </c>
      <c r="F6928" s="980">
        <v>58.77</v>
      </c>
      <c r="G6928" s="980">
        <v>35.99</v>
      </c>
      <c r="H6928" s="630">
        <v>94.76</v>
      </c>
    </row>
    <row r="6929" spans="2:8" ht="38.25" hidden="1">
      <c r="B6929" s="630" t="s">
        <v>6651</v>
      </c>
      <c r="C6929" s="630">
        <v>101199</v>
      </c>
      <c r="D6929" s="630" t="s">
        <v>4719</v>
      </c>
      <c r="E6929" s="630" t="s">
        <v>648</v>
      </c>
      <c r="F6929" s="980">
        <v>59.88</v>
      </c>
      <c r="G6929" s="980">
        <v>35.99</v>
      </c>
      <c r="H6929" s="630">
        <v>95.87</v>
      </c>
    </row>
    <row r="6930" spans="2:8" ht="38.25" hidden="1">
      <c r="B6930" s="630" t="s">
        <v>6651</v>
      </c>
      <c r="C6930" s="630">
        <v>101200</v>
      </c>
      <c r="D6930" s="630" t="s">
        <v>4720</v>
      </c>
      <c r="E6930" s="630" t="s">
        <v>648</v>
      </c>
      <c r="F6930" s="980">
        <v>47.47</v>
      </c>
      <c r="G6930" s="980">
        <v>21.08</v>
      </c>
      <c r="H6930" s="630">
        <v>68.55</v>
      </c>
    </row>
    <row r="6931" spans="2:8" ht="38.25" hidden="1">
      <c r="B6931" s="630" t="s">
        <v>6651</v>
      </c>
      <c r="C6931" s="630">
        <v>101201</v>
      </c>
      <c r="D6931" s="630" t="s">
        <v>4721</v>
      </c>
      <c r="E6931" s="630" t="s">
        <v>648</v>
      </c>
      <c r="F6931" s="980">
        <v>56.57</v>
      </c>
      <c r="G6931" s="980">
        <v>27.37</v>
      </c>
      <c r="H6931" s="630">
        <v>83.94</v>
      </c>
    </row>
    <row r="6932" spans="2:8" ht="51" hidden="1">
      <c r="B6932" s="630" t="s">
        <v>6651</v>
      </c>
      <c r="C6932" s="630">
        <v>101202</v>
      </c>
      <c r="D6932" s="630" t="s">
        <v>4722</v>
      </c>
      <c r="E6932" s="630" t="s">
        <v>648</v>
      </c>
      <c r="F6932" s="980">
        <v>24.29</v>
      </c>
      <c r="G6932" s="980">
        <v>22.67</v>
      </c>
      <c r="H6932" s="630">
        <v>46.96</v>
      </c>
    </row>
    <row r="6933" spans="2:8" ht="51" hidden="1">
      <c r="B6933" s="630" t="s">
        <v>6651</v>
      </c>
      <c r="C6933" s="630">
        <v>101203</v>
      </c>
      <c r="D6933" s="630" t="s">
        <v>4723</v>
      </c>
      <c r="E6933" s="630" t="s">
        <v>648</v>
      </c>
      <c r="F6933" s="980">
        <v>23.17</v>
      </c>
      <c r="G6933" s="980">
        <v>22.67</v>
      </c>
      <c r="H6933" s="630">
        <v>45.84</v>
      </c>
    </row>
    <row r="6934" spans="2:8" ht="38.25" hidden="1">
      <c r="B6934" s="630" t="s">
        <v>6651</v>
      </c>
      <c r="C6934" s="630">
        <v>101204</v>
      </c>
      <c r="D6934" s="630" t="s">
        <v>4724</v>
      </c>
      <c r="E6934" s="630" t="s">
        <v>648</v>
      </c>
      <c r="F6934" s="980">
        <v>23.62</v>
      </c>
      <c r="G6934" s="980">
        <v>22.67</v>
      </c>
      <c r="H6934" s="630">
        <v>46.29</v>
      </c>
    </row>
    <row r="6935" spans="2:8" ht="38.25" hidden="1">
      <c r="B6935" s="630" t="s">
        <v>6651</v>
      </c>
      <c r="C6935" s="630">
        <v>101205</v>
      </c>
      <c r="D6935" s="630" t="s">
        <v>4725</v>
      </c>
      <c r="E6935" s="630" t="s">
        <v>648</v>
      </c>
      <c r="F6935" s="980">
        <v>24.29</v>
      </c>
      <c r="G6935" s="980">
        <v>22.67</v>
      </c>
      <c r="H6935" s="630">
        <v>46.96</v>
      </c>
    </row>
    <row r="6936" spans="2:8" ht="51" hidden="1">
      <c r="B6936" s="630" t="s">
        <v>6677</v>
      </c>
      <c r="C6936" s="630">
        <v>102362</v>
      </c>
      <c r="D6936" s="630" t="s">
        <v>6173</v>
      </c>
      <c r="E6936" s="630" t="s">
        <v>649</v>
      </c>
      <c r="F6936" s="980">
        <v>151.79</v>
      </c>
      <c r="G6936" s="980">
        <v>41.04</v>
      </c>
      <c r="H6936" s="630">
        <v>192.83</v>
      </c>
    </row>
    <row r="6937" spans="2:8" ht="51" hidden="1">
      <c r="B6937" s="630" t="s">
        <v>6677</v>
      </c>
      <c r="C6937" s="630">
        <v>102363</v>
      </c>
      <c r="D6937" s="630" t="s">
        <v>6174</v>
      </c>
      <c r="E6937" s="630" t="s">
        <v>649</v>
      </c>
      <c r="F6937" s="980">
        <v>166.06</v>
      </c>
      <c r="G6937" s="980">
        <v>40.700000000000003</v>
      </c>
      <c r="H6937" s="630">
        <v>206.76</v>
      </c>
    </row>
    <row r="6938" spans="2:8" ht="51" hidden="1">
      <c r="B6938" s="630" t="s">
        <v>6677</v>
      </c>
      <c r="C6938" s="630">
        <v>102364</v>
      </c>
      <c r="D6938" s="630" t="s">
        <v>6175</v>
      </c>
      <c r="E6938" s="630" t="s">
        <v>649</v>
      </c>
      <c r="F6938" s="980">
        <v>191.52</v>
      </c>
      <c r="G6938" s="980">
        <v>40.69</v>
      </c>
      <c r="H6938" s="630">
        <v>232.21</v>
      </c>
    </row>
    <row r="6939" spans="2:8" hidden="1">
      <c r="B6939" s="630" t="s">
        <v>6621</v>
      </c>
      <c r="C6939" s="630">
        <v>98509</v>
      </c>
      <c r="D6939" s="630" t="s">
        <v>2917</v>
      </c>
      <c r="E6939" s="630" t="s">
        <v>646</v>
      </c>
      <c r="F6939" s="980">
        <v>29.16</v>
      </c>
      <c r="G6939" s="980">
        <v>2.2000000000000002</v>
      </c>
      <c r="H6939" s="630">
        <v>31.36</v>
      </c>
    </row>
    <row r="6940" spans="2:8" ht="25.5" hidden="1">
      <c r="B6940" s="630" t="s">
        <v>6621</v>
      </c>
      <c r="C6940" s="630">
        <v>98510</v>
      </c>
      <c r="D6940" s="630" t="s">
        <v>2918</v>
      </c>
      <c r="E6940" s="630" t="s">
        <v>646</v>
      </c>
      <c r="F6940" s="980">
        <v>39.75</v>
      </c>
      <c r="G6940" s="980">
        <v>15.79</v>
      </c>
      <c r="H6940" s="630">
        <v>55.54</v>
      </c>
    </row>
    <row r="6941" spans="2:8" ht="25.5" hidden="1">
      <c r="B6941" s="630" t="s">
        <v>6621</v>
      </c>
      <c r="C6941" s="630">
        <v>98511</v>
      </c>
      <c r="D6941" s="630" t="s">
        <v>2919</v>
      </c>
      <c r="E6941" s="630" t="s">
        <v>646</v>
      </c>
      <c r="F6941" s="980">
        <v>77.95</v>
      </c>
      <c r="G6941" s="980">
        <v>22.58</v>
      </c>
      <c r="H6941" s="630">
        <v>100.53</v>
      </c>
    </row>
    <row r="6942" spans="2:8" ht="25.5" hidden="1">
      <c r="B6942" s="630" t="s">
        <v>6621</v>
      </c>
      <c r="C6942" s="630">
        <v>98516</v>
      </c>
      <c r="D6942" s="630" t="s">
        <v>2920</v>
      </c>
      <c r="E6942" s="630" t="s">
        <v>646</v>
      </c>
      <c r="F6942" s="980">
        <v>209.42000000000002</v>
      </c>
      <c r="G6942" s="980">
        <v>130.75</v>
      </c>
      <c r="H6942" s="630">
        <v>340.17</v>
      </c>
    </row>
    <row r="6943" spans="2:8" hidden="1">
      <c r="B6943" s="630" t="s">
        <v>6621</v>
      </c>
      <c r="C6943" s="630">
        <v>98519</v>
      </c>
      <c r="D6943" s="630" t="s">
        <v>2921</v>
      </c>
      <c r="E6943" s="630" t="s">
        <v>649</v>
      </c>
      <c r="F6943" s="980">
        <v>0.59</v>
      </c>
      <c r="G6943" s="980">
        <v>1.67</v>
      </c>
      <c r="H6943" s="630">
        <v>2.2599999999999998</v>
      </c>
    </row>
    <row r="6944" spans="2:8" hidden="1">
      <c r="B6944" s="630" t="s">
        <v>6621</v>
      </c>
      <c r="C6944" s="630">
        <v>98520</v>
      </c>
      <c r="D6944" s="630" t="s">
        <v>2922</v>
      </c>
      <c r="E6944" s="630" t="s">
        <v>649</v>
      </c>
      <c r="F6944" s="980">
        <v>5.37</v>
      </c>
      <c r="G6944" s="980">
        <v>1.36</v>
      </c>
      <c r="H6944" s="630">
        <v>6.73</v>
      </c>
    </row>
    <row r="6945" spans="2:8" hidden="1">
      <c r="B6945" s="630" t="s">
        <v>6621</v>
      </c>
      <c r="C6945" s="630">
        <v>98521</v>
      </c>
      <c r="D6945" s="630" t="s">
        <v>2923</v>
      </c>
      <c r="E6945" s="630" t="s">
        <v>649</v>
      </c>
      <c r="F6945" s="980">
        <v>0.09</v>
      </c>
      <c r="G6945" s="980">
        <v>0.31</v>
      </c>
      <c r="H6945" s="630">
        <v>0.4</v>
      </c>
    </row>
    <row r="6946" spans="2:8" ht="25.5" hidden="1">
      <c r="B6946" s="630" t="s">
        <v>6621</v>
      </c>
      <c r="C6946" s="630">
        <v>98522</v>
      </c>
      <c r="D6946" s="630" t="s">
        <v>2924</v>
      </c>
      <c r="E6946" s="630" t="s">
        <v>648</v>
      </c>
      <c r="F6946" s="980">
        <v>128.81</v>
      </c>
      <c r="G6946" s="980">
        <v>48.21</v>
      </c>
      <c r="H6946" s="630">
        <v>177.02</v>
      </c>
    </row>
    <row r="6947" spans="2:8" hidden="1">
      <c r="B6947" s="630" t="s">
        <v>6621</v>
      </c>
      <c r="C6947" s="630">
        <v>98524</v>
      </c>
      <c r="D6947" s="630" t="s">
        <v>2925</v>
      </c>
      <c r="E6947" s="630" t="s">
        <v>649</v>
      </c>
      <c r="F6947" s="980">
        <v>0.89</v>
      </c>
      <c r="G6947" s="980">
        <v>2.58</v>
      </c>
      <c r="H6947" s="630">
        <v>3.47</v>
      </c>
    </row>
    <row r="6948" spans="2:8" hidden="1">
      <c r="B6948" s="630" t="s">
        <v>6620</v>
      </c>
      <c r="C6948" s="630">
        <v>98503</v>
      </c>
      <c r="D6948" s="630" t="s">
        <v>2926</v>
      </c>
      <c r="E6948" s="630" t="s">
        <v>649</v>
      </c>
      <c r="F6948" s="980">
        <v>17.18</v>
      </c>
      <c r="G6948" s="980">
        <v>4.16</v>
      </c>
      <c r="H6948" s="630">
        <v>21.34</v>
      </c>
    </row>
    <row r="6949" spans="2:8" hidden="1">
      <c r="B6949" s="630" t="s">
        <v>6620</v>
      </c>
      <c r="C6949" s="630">
        <v>98504</v>
      </c>
      <c r="D6949" s="630" t="s">
        <v>8371</v>
      </c>
      <c r="E6949" s="630" t="s">
        <v>649</v>
      </c>
      <c r="F6949" s="980">
        <v>7.5</v>
      </c>
      <c r="G6949" s="980">
        <v>3.4</v>
      </c>
      <c r="H6949" s="630">
        <v>10.9</v>
      </c>
    </row>
    <row r="6950" spans="2:8" hidden="1">
      <c r="B6950" s="630" t="s">
        <v>6620</v>
      </c>
      <c r="C6950" s="630">
        <v>98505</v>
      </c>
      <c r="D6950" s="630" t="s">
        <v>2927</v>
      </c>
      <c r="E6950" s="630" t="s">
        <v>649</v>
      </c>
      <c r="F6950" s="980">
        <v>41.48</v>
      </c>
      <c r="G6950" s="980">
        <v>4.57</v>
      </c>
      <c r="H6950" s="630">
        <v>46.05</v>
      </c>
    </row>
    <row r="6951" spans="2:8" ht="25.5" hidden="1">
      <c r="B6951" s="630" t="s">
        <v>6620</v>
      </c>
      <c r="C6951" s="630">
        <v>103946</v>
      </c>
      <c r="D6951" s="630" t="s">
        <v>8372</v>
      </c>
      <c r="E6951" s="630" t="s">
        <v>649</v>
      </c>
      <c r="F6951" s="980">
        <v>10.02</v>
      </c>
      <c r="G6951" s="980">
        <v>3.39</v>
      </c>
      <c r="H6951" s="630">
        <v>13.41</v>
      </c>
    </row>
    <row r="6952" spans="2:8" ht="38.25" hidden="1">
      <c r="B6952" s="630" t="s">
        <v>6713</v>
      </c>
      <c r="C6952" s="630">
        <v>103185</v>
      </c>
      <c r="D6952" s="630" t="s">
        <v>6490</v>
      </c>
      <c r="E6952" s="630" t="s">
        <v>646</v>
      </c>
      <c r="F6952" s="980">
        <v>6005.24</v>
      </c>
      <c r="G6952" s="980">
        <v>110.44</v>
      </c>
      <c r="H6952" s="630">
        <v>6115.68</v>
      </c>
    </row>
    <row r="6953" spans="2:8" ht="51" hidden="1">
      <c r="B6953" s="630" t="s">
        <v>6713</v>
      </c>
      <c r="C6953" s="630">
        <v>103186</v>
      </c>
      <c r="D6953" s="630" t="s">
        <v>6491</v>
      </c>
      <c r="E6953" s="630" t="s">
        <v>646</v>
      </c>
      <c r="F6953" s="980">
        <v>6391.16</v>
      </c>
      <c r="G6953" s="980">
        <v>45.23</v>
      </c>
      <c r="H6953" s="630">
        <v>6436.39</v>
      </c>
    </row>
    <row r="6954" spans="2:8" ht="51" hidden="1">
      <c r="B6954" s="630" t="s">
        <v>6713</v>
      </c>
      <c r="C6954" s="630">
        <v>103187</v>
      </c>
      <c r="D6954" s="630" t="s">
        <v>6492</v>
      </c>
      <c r="E6954" s="630" t="s">
        <v>646</v>
      </c>
      <c r="F6954" s="980">
        <v>4769.71</v>
      </c>
      <c r="G6954" s="980">
        <v>75.540000000000006</v>
      </c>
      <c r="H6954" s="630">
        <v>4845.25</v>
      </c>
    </row>
    <row r="6955" spans="2:8" ht="51" hidden="1">
      <c r="B6955" s="630" t="s">
        <v>6713</v>
      </c>
      <c r="C6955" s="630">
        <v>103188</v>
      </c>
      <c r="D6955" s="630" t="s">
        <v>6493</v>
      </c>
      <c r="E6955" s="630" t="s">
        <v>646</v>
      </c>
      <c r="F6955" s="980">
        <v>5147.3</v>
      </c>
      <c r="G6955" s="980">
        <v>58.09</v>
      </c>
      <c r="H6955" s="630">
        <v>5205.3900000000003</v>
      </c>
    </row>
    <row r="6956" spans="2:8" ht="51" hidden="1">
      <c r="B6956" s="630" t="s">
        <v>6713</v>
      </c>
      <c r="C6956" s="630">
        <v>103189</v>
      </c>
      <c r="D6956" s="630" t="s">
        <v>6494</v>
      </c>
      <c r="E6956" s="630" t="s">
        <v>646</v>
      </c>
      <c r="F6956" s="980">
        <v>2570.2800000000002</v>
      </c>
      <c r="G6956" s="980">
        <v>40.630000000000003</v>
      </c>
      <c r="H6956" s="630">
        <v>2610.91</v>
      </c>
    </row>
    <row r="6957" spans="2:8" ht="38.25" hidden="1">
      <c r="B6957" s="630" t="s">
        <v>6713</v>
      </c>
      <c r="C6957" s="630">
        <v>103190</v>
      </c>
      <c r="D6957" s="630" t="s">
        <v>6495</v>
      </c>
      <c r="E6957" s="630" t="s">
        <v>646</v>
      </c>
      <c r="F6957" s="980">
        <v>3973.64</v>
      </c>
      <c r="G6957" s="980">
        <v>76.489999999999995</v>
      </c>
      <c r="H6957" s="630">
        <v>4050.13</v>
      </c>
    </row>
    <row r="6958" spans="2:8" ht="38.25" hidden="1">
      <c r="B6958" s="630" t="s">
        <v>6713</v>
      </c>
      <c r="C6958" s="630">
        <v>103191</v>
      </c>
      <c r="D6958" s="630" t="s">
        <v>6496</v>
      </c>
      <c r="E6958" s="630" t="s">
        <v>646</v>
      </c>
      <c r="F6958" s="980">
        <v>2297.5100000000002</v>
      </c>
      <c r="G6958" s="980">
        <v>62.7</v>
      </c>
      <c r="H6958" s="630">
        <v>2360.21</v>
      </c>
    </row>
    <row r="6959" spans="2:8" ht="51" hidden="1">
      <c r="B6959" s="630" t="s">
        <v>6713</v>
      </c>
      <c r="C6959" s="630">
        <v>103192</v>
      </c>
      <c r="D6959" s="630" t="s">
        <v>6497</v>
      </c>
      <c r="E6959" s="630" t="s">
        <v>646</v>
      </c>
      <c r="F6959" s="980">
        <v>2449.79</v>
      </c>
      <c r="G6959" s="980">
        <v>62.7</v>
      </c>
      <c r="H6959" s="630">
        <v>2512.4899999999998</v>
      </c>
    </row>
    <row r="6960" spans="2:8" ht="38.25" hidden="1">
      <c r="B6960" s="630" t="s">
        <v>6713</v>
      </c>
      <c r="C6960" s="630">
        <v>103193</v>
      </c>
      <c r="D6960" s="630" t="s">
        <v>6498</v>
      </c>
      <c r="E6960" s="630" t="s">
        <v>646</v>
      </c>
      <c r="F6960" s="980">
        <v>1873.64</v>
      </c>
      <c r="G6960" s="980">
        <v>62.7</v>
      </c>
      <c r="H6960" s="630">
        <v>1936.34</v>
      </c>
    </row>
    <row r="6961" spans="2:8" ht="38.25" hidden="1">
      <c r="B6961" s="630" t="s">
        <v>6713</v>
      </c>
      <c r="C6961" s="630">
        <v>103194</v>
      </c>
      <c r="D6961" s="630" t="s">
        <v>6499</v>
      </c>
      <c r="E6961" s="630" t="s">
        <v>646</v>
      </c>
      <c r="F6961" s="980">
        <v>2724.06</v>
      </c>
      <c r="G6961" s="980">
        <v>62.7</v>
      </c>
      <c r="H6961" s="630">
        <v>2786.76</v>
      </c>
    </row>
    <row r="6962" spans="2:8" ht="38.25" hidden="1">
      <c r="B6962" s="630" t="s">
        <v>6713</v>
      </c>
      <c r="C6962" s="630">
        <v>103195</v>
      </c>
      <c r="D6962" s="630" t="s">
        <v>6500</v>
      </c>
      <c r="E6962" s="630" t="s">
        <v>646</v>
      </c>
      <c r="F6962" s="980">
        <v>2113.2199999999998</v>
      </c>
      <c r="G6962" s="980">
        <v>64.459999999999994</v>
      </c>
      <c r="H6962" s="630">
        <v>2177.6799999999998</v>
      </c>
    </row>
    <row r="6963" spans="2:8" ht="51" hidden="1">
      <c r="B6963" s="630" t="s">
        <v>6713</v>
      </c>
      <c r="C6963" s="630">
        <v>103205</v>
      </c>
      <c r="D6963" s="630" t="s">
        <v>6501</v>
      </c>
      <c r="E6963" s="630" t="s">
        <v>646</v>
      </c>
      <c r="F6963" s="980">
        <v>3971.8</v>
      </c>
      <c r="G6963" s="980">
        <v>95.93</v>
      </c>
      <c r="H6963" s="630">
        <v>4067.73</v>
      </c>
    </row>
    <row r="6964" spans="2:8" ht="51" hidden="1">
      <c r="B6964" s="630" t="s">
        <v>6713</v>
      </c>
      <c r="C6964" s="630">
        <v>103206</v>
      </c>
      <c r="D6964" s="630" t="s">
        <v>6502</v>
      </c>
      <c r="E6964" s="630" t="s">
        <v>646</v>
      </c>
      <c r="F6964" s="980">
        <v>2295.66</v>
      </c>
      <c r="G6964" s="980">
        <v>82.15</v>
      </c>
      <c r="H6964" s="630">
        <v>2377.81</v>
      </c>
    </row>
    <row r="6965" spans="2:8" ht="51" hidden="1">
      <c r="B6965" s="630" t="s">
        <v>6713</v>
      </c>
      <c r="C6965" s="630">
        <v>103207</v>
      </c>
      <c r="D6965" s="630" t="s">
        <v>6503</v>
      </c>
      <c r="E6965" s="630" t="s">
        <v>646</v>
      </c>
      <c r="F6965" s="980">
        <v>2447.9499999999998</v>
      </c>
      <c r="G6965" s="980">
        <v>82.14</v>
      </c>
      <c r="H6965" s="630">
        <v>2530.09</v>
      </c>
    </row>
    <row r="6966" spans="2:8" ht="51" hidden="1">
      <c r="B6966" s="630" t="s">
        <v>6713</v>
      </c>
      <c r="C6966" s="630">
        <v>103208</v>
      </c>
      <c r="D6966" s="630" t="s">
        <v>6504</v>
      </c>
      <c r="E6966" s="630" t="s">
        <v>646</v>
      </c>
      <c r="F6966" s="980">
        <v>1871.79</v>
      </c>
      <c r="G6966" s="980">
        <v>82.15</v>
      </c>
      <c r="H6966" s="630">
        <v>1953.94</v>
      </c>
    </row>
    <row r="6967" spans="2:8" ht="38.25" hidden="1">
      <c r="B6967" s="630" t="s">
        <v>6713</v>
      </c>
      <c r="C6967" s="630">
        <v>103209</v>
      </c>
      <c r="D6967" s="630" t="s">
        <v>6505</v>
      </c>
      <c r="E6967" s="630" t="s">
        <v>646</v>
      </c>
      <c r="F6967" s="980">
        <v>2722.22</v>
      </c>
      <c r="G6967" s="980">
        <v>82.14</v>
      </c>
      <c r="H6967" s="630">
        <v>2804.36</v>
      </c>
    </row>
    <row r="6968" spans="2:8" ht="51" hidden="1">
      <c r="B6968" s="630" t="s">
        <v>6713</v>
      </c>
      <c r="C6968" s="630">
        <v>103210</v>
      </c>
      <c r="D6968" s="630" t="s">
        <v>6506</v>
      </c>
      <c r="E6968" s="630" t="s">
        <v>646</v>
      </c>
      <c r="F6968" s="980">
        <v>2141.77</v>
      </c>
      <c r="G6968" s="980">
        <v>148.56</v>
      </c>
      <c r="H6968" s="630">
        <v>2290.33</v>
      </c>
    </row>
    <row r="6969" spans="2:8" ht="38.25" hidden="1">
      <c r="B6969" s="630" t="s">
        <v>6713</v>
      </c>
      <c r="C6969" s="630">
        <v>103304</v>
      </c>
      <c r="D6969" s="630" t="s">
        <v>6758</v>
      </c>
      <c r="E6969" s="630" t="s">
        <v>646</v>
      </c>
      <c r="F6969" s="980">
        <v>1207.8800000000001</v>
      </c>
      <c r="G6969" s="980">
        <v>34.700000000000003</v>
      </c>
      <c r="H6969" s="630">
        <v>1242.58</v>
      </c>
    </row>
    <row r="6970" spans="2:8" ht="38.25" hidden="1">
      <c r="B6970" s="630" t="s">
        <v>6713</v>
      </c>
      <c r="C6970" s="630">
        <v>103307</v>
      </c>
      <c r="D6970" s="630" t="s">
        <v>6759</v>
      </c>
      <c r="E6970" s="630" t="s">
        <v>646</v>
      </c>
      <c r="F6970" s="980">
        <v>1257.7</v>
      </c>
      <c r="G6970" s="980">
        <v>75.09</v>
      </c>
      <c r="H6970" s="630">
        <v>1332.79</v>
      </c>
    </row>
    <row r="6971" spans="2:8" ht="38.25" hidden="1">
      <c r="B6971" s="630" t="s">
        <v>6713</v>
      </c>
      <c r="C6971" s="630">
        <v>103310</v>
      </c>
      <c r="D6971" s="630" t="s">
        <v>6760</v>
      </c>
      <c r="E6971" s="630" t="s">
        <v>646</v>
      </c>
      <c r="F6971" s="980">
        <v>1243.69</v>
      </c>
      <c r="G6971" s="980">
        <v>33.44</v>
      </c>
      <c r="H6971" s="630">
        <v>1277.1300000000001</v>
      </c>
    </row>
    <row r="6972" spans="2:8" ht="38.25" hidden="1">
      <c r="B6972" s="630" t="s">
        <v>6713</v>
      </c>
      <c r="C6972" s="630">
        <v>103314</v>
      </c>
      <c r="D6972" s="630" t="s">
        <v>6761</v>
      </c>
      <c r="E6972" s="630" t="s">
        <v>649</v>
      </c>
      <c r="F6972" s="980">
        <v>303.27000000000004</v>
      </c>
      <c r="G6972" s="980">
        <v>26.59</v>
      </c>
      <c r="H6972" s="630">
        <v>329.86</v>
      </c>
    </row>
    <row r="6973" spans="2:8" ht="38.25" hidden="1">
      <c r="B6973" s="630" t="s">
        <v>6713</v>
      </c>
      <c r="C6973" s="630">
        <v>103315</v>
      </c>
      <c r="D6973" s="630" t="s">
        <v>6762</v>
      </c>
      <c r="E6973" s="630" t="s">
        <v>649</v>
      </c>
      <c r="F6973" s="980">
        <v>300.61</v>
      </c>
      <c r="G6973" s="980">
        <v>20.170000000000002</v>
      </c>
      <c r="H6973" s="630">
        <v>320.77999999999997</v>
      </c>
    </row>
    <row r="6974" spans="2:8" ht="25.5" hidden="1">
      <c r="B6974" s="630" t="s">
        <v>6713</v>
      </c>
      <c r="C6974" s="630">
        <v>103769</v>
      </c>
      <c r="D6974" s="630" t="s">
        <v>7478</v>
      </c>
      <c r="E6974" s="630" t="s">
        <v>646</v>
      </c>
      <c r="F6974" s="980">
        <v>2925.27</v>
      </c>
      <c r="G6974" s="980">
        <v>366.38</v>
      </c>
      <c r="H6974" s="630">
        <v>3291.65</v>
      </c>
    </row>
    <row r="6975" spans="2:8" ht="38.25" hidden="1">
      <c r="B6975" s="630" t="s">
        <v>6622</v>
      </c>
      <c r="C6975" s="630">
        <v>98525</v>
      </c>
      <c r="D6975" s="630" t="s">
        <v>2928</v>
      </c>
      <c r="E6975" s="630" t="s">
        <v>649</v>
      </c>
      <c r="F6975" s="980">
        <v>0.18000000000000002</v>
      </c>
      <c r="G6975" s="980">
        <v>0.23</v>
      </c>
      <c r="H6975" s="630">
        <v>0.41</v>
      </c>
    </row>
    <row r="6976" spans="2:8" ht="25.5" hidden="1">
      <c r="B6976" s="630" t="s">
        <v>6622</v>
      </c>
      <c r="C6976" s="630">
        <v>98526</v>
      </c>
      <c r="D6976" s="630" t="s">
        <v>2929</v>
      </c>
      <c r="E6976" s="630" t="s">
        <v>646</v>
      </c>
      <c r="F6976" s="980">
        <v>47.14</v>
      </c>
      <c r="G6976" s="980">
        <v>40.68</v>
      </c>
      <c r="H6976" s="630">
        <v>87.82</v>
      </c>
    </row>
    <row r="6977" spans="2:8" ht="25.5" hidden="1">
      <c r="B6977" s="630" t="s">
        <v>6622</v>
      </c>
      <c r="C6977" s="630">
        <v>98527</v>
      </c>
      <c r="D6977" s="630" t="s">
        <v>2930</v>
      </c>
      <c r="E6977" s="630" t="s">
        <v>646</v>
      </c>
      <c r="F6977" s="980">
        <v>101.56</v>
      </c>
      <c r="G6977" s="980">
        <v>87.5</v>
      </c>
      <c r="H6977" s="630">
        <v>189.06</v>
      </c>
    </row>
    <row r="6978" spans="2:8" ht="25.5" hidden="1">
      <c r="B6978" s="630" t="s">
        <v>6622</v>
      </c>
      <c r="C6978" s="630">
        <v>98528</v>
      </c>
      <c r="D6978" s="630" t="s">
        <v>2931</v>
      </c>
      <c r="E6978" s="630" t="s">
        <v>646</v>
      </c>
      <c r="F6978" s="980">
        <v>148.52000000000001</v>
      </c>
      <c r="G6978" s="980">
        <v>127.95</v>
      </c>
      <c r="H6978" s="630">
        <v>276.47000000000003</v>
      </c>
    </row>
    <row r="6979" spans="2:8" ht="25.5" hidden="1">
      <c r="B6979" s="630" t="s">
        <v>6622</v>
      </c>
      <c r="C6979" s="630">
        <v>98529</v>
      </c>
      <c r="D6979" s="630" t="s">
        <v>2932</v>
      </c>
      <c r="E6979" s="630" t="s">
        <v>646</v>
      </c>
      <c r="F6979" s="980">
        <v>20.28</v>
      </c>
      <c r="G6979" s="980">
        <v>54.55</v>
      </c>
      <c r="H6979" s="630">
        <v>74.83</v>
      </c>
    </row>
    <row r="6980" spans="2:8" ht="25.5" hidden="1">
      <c r="B6980" s="630" t="s">
        <v>6622</v>
      </c>
      <c r="C6980" s="630">
        <v>98530</v>
      </c>
      <c r="D6980" s="630" t="s">
        <v>2933</v>
      </c>
      <c r="E6980" s="630" t="s">
        <v>646</v>
      </c>
      <c r="F6980" s="980">
        <v>36.15</v>
      </c>
      <c r="G6980" s="980">
        <v>97.15</v>
      </c>
      <c r="H6980" s="630">
        <v>133.30000000000001</v>
      </c>
    </row>
    <row r="6981" spans="2:8" ht="25.5" hidden="1">
      <c r="B6981" s="630" t="s">
        <v>6622</v>
      </c>
      <c r="C6981" s="630">
        <v>98531</v>
      </c>
      <c r="D6981" s="630" t="s">
        <v>2934</v>
      </c>
      <c r="E6981" s="630" t="s">
        <v>646</v>
      </c>
      <c r="F6981" s="980">
        <v>139.79</v>
      </c>
      <c r="G6981" s="980">
        <v>184.83</v>
      </c>
      <c r="H6981" s="630">
        <v>324.62</v>
      </c>
    </row>
    <row r="6982" spans="2:8" ht="25.5" hidden="1">
      <c r="B6982" s="630" t="s">
        <v>6622</v>
      </c>
      <c r="C6982" s="630">
        <v>98532</v>
      </c>
      <c r="D6982" s="630" t="s">
        <v>2935</v>
      </c>
      <c r="E6982" s="630" t="s">
        <v>646</v>
      </c>
      <c r="F6982" s="980">
        <v>82.550000000000011</v>
      </c>
      <c r="G6982" s="980">
        <v>40.76</v>
      </c>
      <c r="H6982" s="630">
        <v>123.31</v>
      </c>
    </row>
    <row r="6983" spans="2:8" ht="25.5" hidden="1">
      <c r="B6983" s="630" t="s">
        <v>6622</v>
      </c>
      <c r="C6983" s="630">
        <v>98533</v>
      </c>
      <c r="D6983" s="630" t="s">
        <v>2936</v>
      </c>
      <c r="E6983" s="630" t="s">
        <v>646</v>
      </c>
      <c r="F6983" s="980">
        <v>204.17000000000002</v>
      </c>
      <c r="G6983" s="980">
        <v>127.24</v>
      </c>
      <c r="H6983" s="630">
        <v>331.41</v>
      </c>
    </row>
    <row r="6984" spans="2:8" ht="25.5" hidden="1">
      <c r="B6984" s="630" t="s">
        <v>6622</v>
      </c>
      <c r="C6984" s="630">
        <v>98534</v>
      </c>
      <c r="D6984" s="630" t="s">
        <v>2937</v>
      </c>
      <c r="E6984" s="630" t="s">
        <v>646</v>
      </c>
      <c r="F6984" s="980">
        <v>549.20000000000005</v>
      </c>
      <c r="G6984" s="980">
        <v>307.38</v>
      </c>
      <c r="H6984" s="630">
        <v>856.58</v>
      </c>
    </row>
    <row r="6985" spans="2:8" ht="25.5" hidden="1">
      <c r="B6985" s="630" t="s">
        <v>6622</v>
      </c>
      <c r="C6985" s="630">
        <v>98535</v>
      </c>
      <c r="D6985" s="630" t="s">
        <v>2938</v>
      </c>
      <c r="E6985" s="630" t="s">
        <v>646</v>
      </c>
      <c r="F6985" s="980">
        <v>824.81</v>
      </c>
      <c r="G6985" s="980">
        <v>518.09</v>
      </c>
      <c r="H6985" s="630">
        <v>1342.9</v>
      </c>
    </row>
    <row r="6986" spans="2:8" hidden="1">
      <c r="B6986" s="630" t="s">
        <v>6541</v>
      </c>
      <c r="C6986" s="630">
        <v>88238</v>
      </c>
      <c r="D6986" s="630" t="s">
        <v>688</v>
      </c>
      <c r="E6986" s="630" t="s">
        <v>902</v>
      </c>
      <c r="F6986" s="980">
        <v>6.64</v>
      </c>
      <c r="G6986" s="980">
        <v>17.03</v>
      </c>
      <c r="H6986" s="630">
        <v>23.67</v>
      </c>
    </row>
    <row r="6987" spans="2:8" hidden="1">
      <c r="B6987" s="630" t="s">
        <v>6541</v>
      </c>
      <c r="C6987" s="630">
        <v>88239</v>
      </c>
      <c r="D6987" s="630" t="s">
        <v>689</v>
      </c>
      <c r="E6987" s="630" t="s">
        <v>902</v>
      </c>
      <c r="F6987" s="980">
        <v>6.52</v>
      </c>
      <c r="G6987" s="980">
        <v>18.53</v>
      </c>
      <c r="H6987" s="630">
        <v>25.05</v>
      </c>
    </row>
    <row r="6988" spans="2:8" hidden="1">
      <c r="B6988" s="630" t="s">
        <v>6541</v>
      </c>
      <c r="C6988" s="630">
        <v>88240</v>
      </c>
      <c r="D6988" s="630" t="s">
        <v>690</v>
      </c>
      <c r="E6988" s="630" t="s">
        <v>902</v>
      </c>
      <c r="F6988" s="980">
        <v>5.58</v>
      </c>
      <c r="G6988" s="980">
        <v>16.010000000000002</v>
      </c>
      <c r="H6988" s="630">
        <v>21.59</v>
      </c>
    </row>
    <row r="6989" spans="2:8" hidden="1">
      <c r="B6989" s="630" t="s">
        <v>6541</v>
      </c>
      <c r="C6989" s="630">
        <v>88241</v>
      </c>
      <c r="D6989" s="630" t="s">
        <v>691</v>
      </c>
      <c r="E6989" s="630" t="s">
        <v>902</v>
      </c>
      <c r="F6989" s="980">
        <v>6.64</v>
      </c>
      <c r="G6989" s="980">
        <v>18.489999999999998</v>
      </c>
      <c r="H6989" s="630">
        <v>25.13</v>
      </c>
    </row>
    <row r="6990" spans="2:8" hidden="1">
      <c r="B6990" s="630" t="s">
        <v>6541</v>
      </c>
      <c r="C6990" s="630">
        <v>88242</v>
      </c>
      <c r="D6990" s="630" t="s">
        <v>692</v>
      </c>
      <c r="E6990" s="630" t="s">
        <v>902</v>
      </c>
      <c r="F6990" s="980">
        <v>6.64</v>
      </c>
      <c r="G6990" s="980">
        <v>17.079999999999998</v>
      </c>
      <c r="H6990" s="630">
        <v>23.72</v>
      </c>
    </row>
    <row r="6991" spans="2:8" hidden="1">
      <c r="B6991" s="630" t="s">
        <v>6541</v>
      </c>
      <c r="C6991" s="630">
        <v>88243</v>
      </c>
      <c r="D6991" s="630" t="s">
        <v>693</v>
      </c>
      <c r="E6991" s="630" t="s">
        <v>902</v>
      </c>
      <c r="F6991" s="980">
        <v>6.52</v>
      </c>
      <c r="G6991" s="980">
        <v>18.489999999999998</v>
      </c>
      <c r="H6991" s="630">
        <v>25.01</v>
      </c>
    </row>
    <row r="6992" spans="2:8" hidden="1">
      <c r="B6992" s="630" t="s">
        <v>6541</v>
      </c>
      <c r="C6992" s="630">
        <v>88245</v>
      </c>
      <c r="D6992" s="630" t="s">
        <v>694</v>
      </c>
      <c r="E6992" s="630" t="s">
        <v>902</v>
      </c>
      <c r="F6992" s="980">
        <v>6.64</v>
      </c>
      <c r="G6992" s="980">
        <v>24.16</v>
      </c>
      <c r="H6992" s="630">
        <v>30.8</v>
      </c>
    </row>
    <row r="6993" spans="2:8" hidden="1">
      <c r="B6993" s="630" t="s">
        <v>6541</v>
      </c>
      <c r="C6993" s="630">
        <v>88246</v>
      </c>
      <c r="D6993" s="630" t="s">
        <v>695</v>
      </c>
      <c r="E6993" s="630" t="s">
        <v>902</v>
      </c>
      <c r="F6993" s="980">
        <v>5.58</v>
      </c>
      <c r="G6993" s="980">
        <v>22.22</v>
      </c>
      <c r="H6993" s="630">
        <v>27.8</v>
      </c>
    </row>
    <row r="6994" spans="2:8" hidden="1">
      <c r="B6994" s="630" t="s">
        <v>6541</v>
      </c>
      <c r="C6994" s="630">
        <v>88247</v>
      </c>
      <c r="D6994" s="630" t="s">
        <v>696</v>
      </c>
      <c r="E6994" s="630" t="s">
        <v>902</v>
      </c>
      <c r="F6994" s="980">
        <v>6.66</v>
      </c>
      <c r="G6994" s="980">
        <v>18.87</v>
      </c>
      <c r="H6994" s="630">
        <v>25.53</v>
      </c>
    </row>
    <row r="6995" spans="2:8" ht="25.5" hidden="1">
      <c r="B6995" s="630" t="s">
        <v>6541</v>
      </c>
      <c r="C6995" s="630">
        <v>88248</v>
      </c>
      <c r="D6995" s="630" t="s">
        <v>697</v>
      </c>
      <c r="E6995" s="630" t="s">
        <v>902</v>
      </c>
      <c r="F6995" s="980">
        <v>6.07</v>
      </c>
      <c r="G6995" s="980">
        <v>18.579999999999998</v>
      </c>
      <c r="H6995" s="630">
        <v>24.65</v>
      </c>
    </row>
    <row r="6996" spans="2:8" hidden="1">
      <c r="B6996" s="630" t="s">
        <v>6541</v>
      </c>
      <c r="C6996" s="630">
        <v>88249</v>
      </c>
      <c r="D6996" s="630" t="s">
        <v>698</v>
      </c>
      <c r="E6996" s="630" t="s">
        <v>902</v>
      </c>
      <c r="F6996" s="980">
        <v>1.61</v>
      </c>
      <c r="G6996" s="980">
        <v>25.72</v>
      </c>
      <c r="H6996" s="630">
        <v>27.33</v>
      </c>
    </row>
    <row r="6997" spans="2:8" hidden="1">
      <c r="B6997" s="630" t="s">
        <v>6541</v>
      </c>
      <c r="C6997" s="630">
        <v>88250</v>
      </c>
      <c r="D6997" s="630" t="s">
        <v>699</v>
      </c>
      <c r="E6997" s="630" t="s">
        <v>902</v>
      </c>
      <c r="F6997" s="980">
        <v>5.58</v>
      </c>
      <c r="G6997" s="980">
        <v>15.95</v>
      </c>
      <c r="H6997" s="630">
        <v>21.53</v>
      </c>
    </row>
    <row r="6998" spans="2:8" hidden="1">
      <c r="B6998" s="630" t="s">
        <v>6541</v>
      </c>
      <c r="C6998" s="630">
        <v>88251</v>
      </c>
      <c r="D6998" s="630" t="s">
        <v>700</v>
      </c>
      <c r="E6998" s="630" t="s">
        <v>902</v>
      </c>
      <c r="F6998" s="980">
        <v>6.64</v>
      </c>
      <c r="G6998" s="980">
        <v>18.489999999999998</v>
      </c>
      <c r="H6998" s="630">
        <v>25.13</v>
      </c>
    </row>
    <row r="6999" spans="2:8" hidden="1">
      <c r="B6999" s="630" t="s">
        <v>6541</v>
      </c>
      <c r="C6999" s="630">
        <v>88252</v>
      </c>
      <c r="D6999" s="630" t="s">
        <v>701</v>
      </c>
      <c r="E6999" s="630" t="s">
        <v>902</v>
      </c>
      <c r="F6999" s="980">
        <v>6.52</v>
      </c>
      <c r="G6999" s="980">
        <v>17.05</v>
      </c>
      <c r="H6999" s="630">
        <v>23.57</v>
      </c>
    </row>
    <row r="7000" spans="2:8" hidden="1">
      <c r="B7000" s="630" t="s">
        <v>6541</v>
      </c>
      <c r="C7000" s="630">
        <v>88253</v>
      </c>
      <c r="D7000" s="630" t="s">
        <v>702</v>
      </c>
      <c r="E7000" s="630" t="s">
        <v>902</v>
      </c>
      <c r="F7000" s="980">
        <v>1.56</v>
      </c>
      <c r="G7000" s="980">
        <v>10.82</v>
      </c>
      <c r="H7000" s="630">
        <v>12.38</v>
      </c>
    </row>
    <row r="7001" spans="2:8" hidden="1">
      <c r="B7001" s="630" t="s">
        <v>6541</v>
      </c>
      <c r="C7001" s="630">
        <v>88255</v>
      </c>
      <c r="D7001" s="630" t="s">
        <v>703</v>
      </c>
      <c r="E7001" s="630" t="s">
        <v>902</v>
      </c>
      <c r="F7001" s="980">
        <v>1.54</v>
      </c>
      <c r="G7001" s="980">
        <v>35.14</v>
      </c>
      <c r="H7001" s="630">
        <v>36.68</v>
      </c>
    </row>
    <row r="7002" spans="2:8" hidden="1">
      <c r="B7002" s="630" t="s">
        <v>6541</v>
      </c>
      <c r="C7002" s="630">
        <v>88256</v>
      </c>
      <c r="D7002" s="630" t="s">
        <v>704</v>
      </c>
      <c r="E7002" s="630" t="s">
        <v>902</v>
      </c>
      <c r="F7002" s="980">
        <v>6.64</v>
      </c>
      <c r="G7002" s="980">
        <v>24.22</v>
      </c>
      <c r="H7002" s="630">
        <v>30.86</v>
      </c>
    </row>
    <row r="7003" spans="2:8" ht="25.5" hidden="1">
      <c r="B7003" s="630" t="s">
        <v>6541</v>
      </c>
      <c r="C7003" s="630">
        <v>88257</v>
      </c>
      <c r="D7003" s="630" t="s">
        <v>705</v>
      </c>
      <c r="E7003" s="630" t="s">
        <v>902</v>
      </c>
      <c r="F7003" s="980">
        <v>5.58</v>
      </c>
      <c r="G7003" s="980">
        <v>21.35</v>
      </c>
      <c r="H7003" s="630">
        <v>26.93</v>
      </c>
    </row>
    <row r="7004" spans="2:8" ht="25.5" hidden="1">
      <c r="B7004" s="630" t="s">
        <v>6541</v>
      </c>
      <c r="C7004" s="630">
        <v>88258</v>
      </c>
      <c r="D7004" s="630" t="s">
        <v>2662</v>
      </c>
      <c r="E7004" s="630" t="s">
        <v>902</v>
      </c>
      <c r="F7004" s="980">
        <v>1.61</v>
      </c>
      <c r="G7004" s="980">
        <v>19.36</v>
      </c>
      <c r="H7004" s="630">
        <v>20.97</v>
      </c>
    </row>
    <row r="7005" spans="2:8" hidden="1">
      <c r="B7005" s="630" t="s">
        <v>6541</v>
      </c>
      <c r="C7005" s="630">
        <v>88260</v>
      </c>
      <c r="D7005" s="630" t="s">
        <v>706</v>
      </c>
      <c r="E7005" s="630" t="s">
        <v>902</v>
      </c>
      <c r="F7005" s="980">
        <v>6.64</v>
      </c>
      <c r="G7005" s="980">
        <v>20.51</v>
      </c>
      <c r="H7005" s="630">
        <v>27.15</v>
      </c>
    </row>
    <row r="7006" spans="2:8" hidden="1">
      <c r="B7006" s="630" t="s">
        <v>6541</v>
      </c>
      <c r="C7006" s="630">
        <v>88261</v>
      </c>
      <c r="D7006" s="630" t="s">
        <v>707</v>
      </c>
      <c r="E7006" s="630" t="s">
        <v>902</v>
      </c>
      <c r="F7006" s="980">
        <v>6.52</v>
      </c>
      <c r="G7006" s="980">
        <v>22.81</v>
      </c>
      <c r="H7006" s="630">
        <v>29.33</v>
      </c>
    </row>
    <row r="7007" spans="2:8" hidden="1">
      <c r="B7007" s="630" t="s">
        <v>6541</v>
      </c>
      <c r="C7007" s="630">
        <v>88262</v>
      </c>
      <c r="D7007" s="630" t="s">
        <v>708</v>
      </c>
      <c r="E7007" s="630" t="s">
        <v>902</v>
      </c>
      <c r="F7007" s="980">
        <v>6.52</v>
      </c>
      <c r="G7007" s="980">
        <v>24.16</v>
      </c>
      <c r="H7007" s="630">
        <v>30.68</v>
      </c>
    </row>
    <row r="7008" spans="2:8" ht="25.5" hidden="1">
      <c r="B7008" s="630" t="s">
        <v>6541</v>
      </c>
      <c r="C7008" s="630">
        <v>88263</v>
      </c>
      <c r="D7008" s="630" t="s">
        <v>709</v>
      </c>
      <c r="E7008" s="630" t="s">
        <v>902</v>
      </c>
      <c r="F7008" s="980">
        <v>5.58</v>
      </c>
      <c r="G7008" s="980">
        <v>15.69</v>
      </c>
      <c r="H7008" s="630">
        <v>21.27</v>
      </c>
    </row>
    <row r="7009" spans="2:8" hidden="1">
      <c r="B7009" s="630" t="s">
        <v>6541</v>
      </c>
      <c r="C7009" s="630">
        <v>88264</v>
      </c>
      <c r="D7009" s="630" t="s">
        <v>710</v>
      </c>
      <c r="E7009" s="630" t="s">
        <v>902</v>
      </c>
      <c r="F7009" s="980">
        <v>6.66</v>
      </c>
      <c r="G7009" s="980">
        <v>24.66</v>
      </c>
      <c r="H7009" s="630">
        <v>31.32</v>
      </c>
    </row>
    <row r="7010" spans="2:8" hidden="1">
      <c r="B7010" s="630" t="s">
        <v>6541</v>
      </c>
      <c r="C7010" s="630">
        <v>88265</v>
      </c>
      <c r="D7010" s="630" t="s">
        <v>711</v>
      </c>
      <c r="E7010" s="630" t="s">
        <v>902</v>
      </c>
      <c r="F7010" s="980">
        <v>6.66</v>
      </c>
      <c r="G7010" s="980">
        <v>27.05</v>
      </c>
      <c r="H7010" s="630">
        <v>33.71</v>
      </c>
    </row>
    <row r="7011" spans="2:8" hidden="1">
      <c r="B7011" s="630" t="s">
        <v>6541</v>
      </c>
      <c r="C7011" s="630">
        <v>88266</v>
      </c>
      <c r="D7011" s="630" t="s">
        <v>712</v>
      </c>
      <c r="E7011" s="630" t="s">
        <v>902</v>
      </c>
      <c r="F7011" s="980">
        <v>6.66</v>
      </c>
      <c r="G7011" s="980">
        <v>30.86</v>
      </c>
      <c r="H7011" s="630">
        <v>37.520000000000003</v>
      </c>
    </row>
    <row r="7012" spans="2:8" ht="25.5" hidden="1">
      <c r="B7012" s="630" t="s">
        <v>6541</v>
      </c>
      <c r="C7012" s="630">
        <v>88267</v>
      </c>
      <c r="D7012" s="630" t="s">
        <v>713</v>
      </c>
      <c r="E7012" s="630" t="s">
        <v>902</v>
      </c>
      <c r="F7012" s="980">
        <v>6.07</v>
      </c>
      <c r="G7012" s="980">
        <v>24.28</v>
      </c>
      <c r="H7012" s="630">
        <v>30.35</v>
      </c>
    </row>
    <row r="7013" spans="2:8" hidden="1">
      <c r="B7013" s="630" t="s">
        <v>6541</v>
      </c>
      <c r="C7013" s="630">
        <v>88269</v>
      </c>
      <c r="D7013" s="630" t="s">
        <v>714</v>
      </c>
      <c r="E7013" s="630" t="s">
        <v>902</v>
      </c>
      <c r="F7013" s="980">
        <v>6.64</v>
      </c>
      <c r="G7013" s="980">
        <v>23.03</v>
      </c>
      <c r="H7013" s="630">
        <v>29.67</v>
      </c>
    </row>
    <row r="7014" spans="2:8" hidden="1">
      <c r="B7014" s="630" t="s">
        <v>6541</v>
      </c>
      <c r="C7014" s="630">
        <v>88270</v>
      </c>
      <c r="D7014" s="630" t="s">
        <v>715</v>
      </c>
      <c r="E7014" s="630" t="s">
        <v>902</v>
      </c>
      <c r="F7014" s="980">
        <v>6.64</v>
      </c>
      <c r="G7014" s="980">
        <v>24.35</v>
      </c>
      <c r="H7014" s="630">
        <v>30.99</v>
      </c>
    </row>
    <row r="7015" spans="2:8" hidden="1">
      <c r="B7015" s="630" t="s">
        <v>6541</v>
      </c>
      <c r="C7015" s="630">
        <v>88272</v>
      </c>
      <c r="D7015" s="630" t="s">
        <v>716</v>
      </c>
      <c r="E7015" s="630" t="s">
        <v>902</v>
      </c>
      <c r="F7015" s="980">
        <v>7.46</v>
      </c>
      <c r="G7015" s="980">
        <v>24.33</v>
      </c>
      <c r="H7015" s="630">
        <v>31.79</v>
      </c>
    </row>
    <row r="7016" spans="2:8" hidden="1">
      <c r="B7016" s="630" t="s">
        <v>6541</v>
      </c>
      <c r="C7016" s="630">
        <v>88273</v>
      </c>
      <c r="D7016" s="630" t="s">
        <v>717</v>
      </c>
      <c r="E7016" s="630" t="s">
        <v>902</v>
      </c>
      <c r="F7016" s="980">
        <v>6.52</v>
      </c>
      <c r="G7016" s="980">
        <v>22.2</v>
      </c>
      <c r="H7016" s="630">
        <v>28.72</v>
      </c>
    </row>
    <row r="7017" spans="2:8" hidden="1">
      <c r="B7017" s="630" t="s">
        <v>6541</v>
      </c>
      <c r="C7017" s="630">
        <v>88274</v>
      </c>
      <c r="D7017" s="630" t="s">
        <v>718</v>
      </c>
      <c r="E7017" s="630" t="s">
        <v>902</v>
      </c>
      <c r="F7017" s="980">
        <v>6.64</v>
      </c>
      <c r="G7017" s="980">
        <v>27.5</v>
      </c>
      <c r="H7017" s="630">
        <v>34.14</v>
      </c>
    </row>
    <row r="7018" spans="2:8" ht="25.5" hidden="1">
      <c r="B7018" s="630" t="s">
        <v>6541</v>
      </c>
      <c r="C7018" s="630">
        <v>88275</v>
      </c>
      <c r="D7018" s="630" t="s">
        <v>719</v>
      </c>
      <c r="E7018" s="630" t="s">
        <v>902</v>
      </c>
      <c r="F7018" s="980">
        <v>5.58</v>
      </c>
      <c r="G7018" s="980">
        <v>27.82</v>
      </c>
      <c r="H7018" s="630">
        <v>33.4</v>
      </c>
    </row>
    <row r="7019" spans="2:8" ht="25.5" hidden="1">
      <c r="B7019" s="630" t="s">
        <v>6541</v>
      </c>
      <c r="C7019" s="630">
        <v>88277</v>
      </c>
      <c r="D7019" s="630" t="s">
        <v>720</v>
      </c>
      <c r="E7019" s="630" t="s">
        <v>902</v>
      </c>
      <c r="F7019" s="980">
        <v>5.58</v>
      </c>
      <c r="G7019" s="980">
        <v>27.9</v>
      </c>
      <c r="H7019" s="630">
        <v>33.479999999999997</v>
      </c>
    </row>
    <row r="7020" spans="2:8" hidden="1">
      <c r="B7020" s="630" t="s">
        <v>6541</v>
      </c>
      <c r="C7020" s="630">
        <v>88278</v>
      </c>
      <c r="D7020" s="630" t="s">
        <v>721</v>
      </c>
      <c r="E7020" s="630" t="s">
        <v>902</v>
      </c>
      <c r="F7020" s="980">
        <v>5.58</v>
      </c>
      <c r="G7020" s="980">
        <v>22.54</v>
      </c>
      <c r="H7020" s="630">
        <v>28.12</v>
      </c>
    </row>
    <row r="7021" spans="2:8" hidden="1">
      <c r="B7021" s="630" t="s">
        <v>6541</v>
      </c>
      <c r="C7021" s="630">
        <v>88279</v>
      </c>
      <c r="D7021" s="630" t="s">
        <v>722</v>
      </c>
      <c r="E7021" s="630" t="s">
        <v>902</v>
      </c>
      <c r="F7021" s="980">
        <v>6.66</v>
      </c>
      <c r="G7021" s="980">
        <v>31.03</v>
      </c>
      <c r="H7021" s="630">
        <v>37.69</v>
      </c>
    </row>
    <row r="7022" spans="2:8" hidden="1">
      <c r="B7022" s="630" t="s">
        <v>6541</v>
      </c>
      <c r="C7022" s="630">
        <v>88281</v>
      </c>
      <c r="D7022" s="630" t="s">
        <v>723</v>
      </c>
      <c r="E7022" s="630" t="s">
        <v>902</v>
      </c>
      <c r="F7022" s="980">
        <v>5.58</v>
      </c>
      <c r="G7022" s="980">
        <v>18.989999999999998</v>
      </c>
      <c r="H7022" s="630">
        <v>24.57</v>
      </c>
    </row>
    <row r="7023" spans="2:8" hidden="1">
      <c r="B7023" s="630" t="s">
        <v>6541</v>
      </c>
      <c r="C7023" s="630">
        <v>88282</v>
      </c>
      <c r="D7023" s="630" t="s">
        <v>724</v>
      </c>
      <c r="E7023" s="630" t="s">
        <v>902</v>
      </c>
      <c r="F7023" s="980">
        <v>5.58</v>
      </c>
      <c r="G7023" s="981">
        <v>20.14</v>
      </c>
      <c r="H7023" s="848">
        <v>25.72</v>
      </c>
    </row>
    <row r="7024" spans="2:8" hidden="1">
      <c r="B7024" s="630" t="s">
        <v>6541</v>
      </c>
      <c r="C7024" s="630">
        <v>88283</v>
      </c>
      <c r="D7024" s="630" t="s">
        <v>725</v>
      </c>
      <c r="E7024" s="630" t="s">
        <v>902</v>
      </c>
      <c r="F7024" s="980">
        <v>5.58</v>
      </c>
      <c r="G7024" s="981">
        <v>26.9</v>
      </c>
      <c r="H7024" s="848">
        <v>32.479999999999997</v>
      </c>
    </row>
    <row r="7025" spans="2:8" hidden="1">
      <c r="B7025" s="630" t="s">
        <v>6541</v>
      </c>
      <c r="C7025" s="630">
        <v>88284</v>
      </c>
      <c r="D7025" s="630" t="s">
        <v>726</v>
      </c>
      <c r="E7025" s="630" t="s">
        <v>902</v>
      </c>
      <c r="F7025" s="980">
        <v>5.58</v>
      </c>
      <c r="G7025" s="981">
        <v>21.97</v>
      </c>
      <c r="H7025" s="848">
        <v>27.55</v>
      </c>
    </row>
    <row r="7026" spans="2:8" hidden="1">
      <c r="B7026" s="630" t="s">
        <v>6541</v>
      </c>
      <c r="C7026" s="630">
        <v>88285</v>
      </c>
      <c r="D7026" s="630" t="s">
        <v>727</v>
      </c>
      <c r="E7026" s="630" t="s">
        <v>902</v>
      </c>
      <c r="F7026" s="980">
        <v>5.58</v>
      </c>
      <c r="G7026" s="981">
        <v>22.78</v>
      </c>
      <c r="H7026" s="848">
        <v>28.36</v>
      </c>
    </row>
    <row r="7027" spans="2:8" hidden="1">
      <c r="B7027" s="630" t="s">
        <v>6541</v>
      </c>
      <c r="C7027" s="630">
        <v>88286</v>
      </c>
      <c r="D7027" s="630" t="s">
        <v>728</v>
      </c>
      <c r="E7027" s="630" t="s">
        <v>902</v>
      </c>
      <c r="F7027" s="980">
        <v>5.58</v>
      </c>
      <c r="G7027" s="981">
        <v>23.59</v>
      </c>
      <c r="H7027" s="848">
        <v>29.17</v>
      </c>
    </row>
    <row r="7028" spans="2:8" hidden="1">
      <c r="B7028" s="630" t="s">
        <v>6541</v>
      </c>
      <c r="C7028" s="630">
        <v>88288</v>
      </c>
      <c r="D7028" s="630" t="s">
        <v>794</v>
      </c>
      <c r="E7028" s="630" t="s">
        <v>902</v>
      </c>
      <c r="F7028" s="980">
        <v>1.56</v>
      </c>
      <c r="G7028" s="981">
        <v>13.83</v>
      </c>
      <c r="H7028" s="848">
        <v>15.39</v>
      </c>
    </row>
    <row r="7029" spans="2:8" hidden="1">
      <c r="B7029" s="630" t="s">
        <v>6541</v>
      </c>
      <c r="C7029" s="630">
        <v>88291</v>
      </c>
      <c r="D7029" s="630" t="s">
        <v>729</v>
      </c>
      <c r="E7029" s="630" t="s">
        <v>902</v>
      </c>
      <c r="F7029" s="980">
        <v>5.58</v>
      </c>
      <c r="G7029" s="980">
        <v>18.21</v>
      </c>
      <c r="H7029" s="630">
        <v>23.79</v>
      </c>
    </row>
    <row r="7030" spans="2:8" ht="25.5" hidden="1">
      <c r="B7030" s="630" t="s">
        <v>6541</v>
      </c>
      <c r="C7030" s="630">
        <v>88292</v>
      </c>
      <c r="D7030" s="630" t="s">
        <v>730</v>
      </c>
      <c r="E7030" s="630" t="s">
        <v>902</v>
      </c>
      <c r="F7030" s="980">
        <v>5.58</v>
      </c>
      <c r="G7030" s="981">
        <v>19.850000000000001</v>
      </c>
      <c r="H7030" s="848">
        <v>25.43</v>
      </c>
    </row>
    <row r="7031" spans="2:8" ht="25.5" hidden="1">
      <c r="B7031" s="630" t="s">
        <v>6541</v>
      </c>
      <c r="C7031" s="630">
        <v>88293</v>
      </c>
      <c r="D7031" s="630" t="s">
        <v>731</v>
      </c>
      <c r="E7031" s="630" t="s">
        <v>902</v>
      </c>
      <c r="F7031" s="980">
        <v>5.58</v>
      </c>
      <c r="G7031" s="980">
        <v>22.42</v>
      </c>
      <c r="H7031" s="630">
        <v>28</v>
      </c>
    </row>
    <row r="7032" spans="2:8" hidden="1">
      <c r="B7032" s="630" t="s">
        <v>6541</v>
      </c>
      <c r="C7032" s="630">
        <v>88294</v>
      </c>
      <c r="D7032" s="630" t="s">
        <v>732</v>
      </c>
      <c r="E7032" s="630" t="s">
        <v>902</v>
      </c>
      <c r="F7032" s="980">
        <v>5.58</v>
      </c>
      <c r="G7032" s="980">
        <v>24.63</v>
      </c>
      <c r="H7032" s="630">
        <v>30.21</v>
      </c>
    </row>
    <row r="7033" spans="2:8" hidden="1">
      <c r="B7033" s="630" t="s">
        <v>6541</v>
      </c>
      <c r="C7033" s="630">
        <v>88295</v>
      </c>
      <c r="D7033" s="630" t="s">
        <v>869</v>
      </c>
      <c r="E7033" s="630" t="s">
        <v>902</v>
      </c>
      <c r="F7033" s="980">
        <v>5.58</v>
      </c>
      <c r="G7033" s="980">
        <v>22.7</v>
      </c>
      <c r="H7033" s="630">
        <v>28.28</v>
      </c>
    </row>
    <row r="7034" spans="2:8" hidden="1">
      <c r="B7034" s="630" t="s">
        <v>6541</v>
      </c>
      <c r="C7034" s="630">
        <v>88296</v>
      </c>
      <c r="D7034" s="630" t="s">
        <v>870</v>
      </c>
      <c r="E7034" s="630" t="s">
        <v>902</v>
      </c>
      <c r="F7034" s="980">
        <v>5.58</v>
      </c>
      <c r="G7034" s="980">
        <v>55.99</v>
      </c>
      <c r="H7034" s="630">
        <v>61.57</v>
      </c>
    </row>
    <row r="7035" spans="2:8" ht="25.5" hidden="1">
      <c r="B7035" s="630" t="s">
        <v>6541</v>
      </c>
      <c r="C7035" s="630">
        <v>88297</v>
      </c>
      <c r="D7035" s="630" t="s">
        <v>871</v>
      </c>
      <c r="E7035" s="630" t="s">
        <v>902</v>
      </c>
      <c r="F7035" s="980">
        <v>5.58</v>
      </c>
      <c r="G7035" s="980">
        <v>24.22</v>
      </c>
      <c r="H7035" s="630">
        <v>29.8</v>
      </c>
    </row>
    <row r="7036" spans="2:8" ht="25.5" hidden="1">
      <c r="B7036" s="630" t="s">
        <v>6541</v>
      </c>
      <c r="C7036" s="630">
        <v>88298</v>
      </c>
      <c r="D7036" s="630" t="s">
        <v>872</v>
      </c>
      <c r="E7036" s="630" t="s">
        <v>902</v>
      </c>
      <c r="F7036" s="980">
        <v>5.58</v>
      </c>
      <c r="G7036" s="980">
        <v>19.43</v>
      </c>
      <c r="H7036" s="630">
        <v>25.01</v>
      </c>
    </row>
    <row r="7037" spans="2:8" hidden="1">
      <c r="B7037" s="630" t="s">
        <v>6541</v>
      </c>
      <c r="C7037" s="630">
        <v>88299</v>
      </c>
      <c r="D7037" s="630" t="s">
        <v>804</v>
      </c>
      <c r="E7037" s="630" t="s">
        <v>902</v>
      </c>
      <c r="F7037" s="980">
        <v>5.58</v>
      </c>
      <c r="G7037" s="980">
        <v>22.8</v>
      </c>
      <c r="H7037" s="630">
        <v>28.38</v>
      </c>
    </row>
    <row r="7038" spans="2:8" hidden="1">
      <c r="B7038" s="630" t="s">
        <v>6541</v>
      </c>
      <c r="C7038" s="630">
        <v>88300</v>
      </c>
      <c r="D7038" s="630" t="s">
        <v>795</v>
      </c>
      <c r="E7038" s="630" t="s">
        <v>902</v>
      </c>
      <c r="F7038" s="980">
        <v>5.58</v>
      </c>
      <c r="G7038" s="980">
        <v>27.97</v>
      </c>
      <c r="H7038" s="630">
        <v>33.549999999999997</v>
      </c>
    </row>
    <row r="7039" spans="2:8" hidden="1">
      <c r="B7039" s="630" t="s">
        <v>6541</v>
      </c>
      <c r="C7039" s="630">
        <v>88301</v>
      </c>
      <c r="D7039" s="630" t="s">
        <v>805</v>
      </c>
      <c r="E7039" s="630" t="s">
        <v>902</v>
      </c>
      <c r="F7039" s="980">
        <v>5.58</v>
      </c>
      <c r="G7039" s="980">
        <v>23.12</v>
      </c>
      <c r="H7039" s="630">
        <v>28.7</v>
      </c>
    </row>
    <row r="7040" spans="2:8" hidden="1">
      <c r="B7040" s="630" t="s">
        <v>6541</v>
      </c>
      <c r="C7040" s="630">
        <v>88302</v>
      </c>
      <c r="D7040" s="630" t="s">
        <v>806</v>
      </c>
      <c r="E7040" s="630" t="s">
        <v>902</v>
      </c>
      <c r="F7040" s="980">
        <v>5.58</v>
      </c>
      <c r="G7040" s="980">
        <v>23.53</v>
      </c>
      <c r="H7040" s="630">
        <v>29.11</v>
      </c>
    </row>
    <row r="7041" spans="2:8" hidden="1">
      <c r="B7041" s="630" t="s">
        <v>6541</v>
      </c>
      <c r="C7041" s="630">
        <v>88303</v>
      </c>
      <c r="D7041" s="630" t="s">
        <v>807</v>
      </c>
      <c r="E7041" s="630" t="s">
        <v>902</v>
      </c>
      <c r="F7041" s="980">
        <v>5.58</v>
      </c>
      <c r="G7041" s="980">
        <v>20.52</v>
      </c>
      <c r="H7041" s="630">
        <v>26.1</v>
      </c>
    </row>
    <row r="7042" spans="2:8" ht="25.5" hidden="1">
      <c r="B7042" s="630" t="s">
        <v>6541</v>
      </c>
      <c r="C7042" s="630">
        <v>88304</v>
      </c>
      <c r="D7042" s="630" t="s">
        <v>808</v>
      </c>
      <c r="E7042" s="630" t="s">
        <v>902</v>
      </c>
      <c r="F7042" s="980">
        <v>5.58</v>
      </c>
      <c r="G7042" s="980">
        <v>20.22</v>
      </c>
      <c r="H7042" s="630">
        <v>25.8</v>
      </c>
    </row>
    <row r="7043" spans="2:8" hidden="1">
      <c r="B7043" s="630" t="s">
        <v>6541</v>
      </c>
      <c r="C7043" s="630">
        <v>88306</v>
      </c>
      <c r="D7043" s="630" t="s">
        <v>809</v>
      </c>
      <c r="E7043" s="630" t="s">
        <v>902</v>
      </c>
      <c r="F7043" s="980">
        <v>5.58</v>
      </c>
      <c r="G7043" s="980">
        <v>22.05</v>
      </c>
      <c r="H7043" s="630">
        <v>27.63</v>
      </c>
    </row>
    <row r="7044" spans="2:8" hidden="1">
      <c r="B7044" s="630" t="s">
        <v>6541</v>
      </c>
      <c r="C7044" s="630">
        <v>88307</v>
      </c>
      <c r="D7044" s="630" t="s">
        <v>810</v>
      </c>
      <c r="E7044" s="630" t="s">
        <v>902</v>
      </c>
      <c r="F7044" s="980">
        <v>5.58</v>
      </c>
      <c r="G7044" s="980">
        <v>22.01</v>
      </c>
      <c r="H7044" s="630">
        <v>27.59</v>
      </c>
    </row>
    <row r="7045" spans="2:8" hidden="1">
      <c r="B7045" s="630" t="s">
        <v>6541</v>
      </c>
      <c r="C7045" s="630">
        <v>88308</v>
      </c>
      <c r="D7045" s="630" t="s">
        <v>811</v>
      </c>
      <c r="E7045" s="630" t="s">
        <v>902</v>
      </c>
      <c r="F7045" s="980">
        <v>6.64</v>
      </c>
      <c r="G7045" s="980">
        <v>24.22</v>
      </c>
      <c r="H7045" s="630">
        <v>30.86</v>
      </c>
    </row>
    <row r="7046" spans="2:8" hidden="1">
      <c r="B7046" s="630" t="s">
        <v>6541</v>
      </c>
      <c r="C7046" s="630">
        <v>88309</v>
      </c>
      <c r="D7046" s="630" t="s">
        <v>812</v>
      </c>
      <c r="E7046" s="630" t="s">
        <v>902</v>
      </c>
      <c r="F7046" s="980">
        <v>6.64</v>
      </c>
      <c r="G7046" s="980">
        <v>24.35</v>
      </c>
      <c r="H7046" s="630">
        <v>30.99</v>
      </c>
    </row>
    <row r="7047" spans="2:8" hidden="1">
      <c r="B7047" s="630" t="s">
        <v>6541</v>
      </c>
      <c r="C7047" s="630">
        <v>88310</v>
      </c>
      <c r="D7047" s="630" t="s">
        <v>813</v>
      </c>
      <c r="E7047" s="630" t="s">
        <v>902</v>
      </c>
      <c r="F7047" s="980">
        <v>7.79</v>
      </c>
      <c r="G7047" s="980">
        <v>24.22</v>
      </c>
      <c r="H7047" s="630">
        <v>32.01</v>
      </c>
    </row>
    <row r="7048" spans="2:8" hidden="1">
      <c r="B7048" s="630" t="s">
        <v>6541</v>
      </c>
      <c r="C7048" s="630">
        <v>88311</v>
      </c>
      <c r="D7048" s="630" t="s">
        <v>814</v>
      </c>
      <c r="E7048" s="630" t="s">
        <v>902</v>
      </c>
      <c r="F7048" s="980">
        <v>7.79</v>
      </c>
      <c r="G7048" s="980">
        <v>23.5</v>
      </c>
      <c r="H7048" s="630">
        <v>31.29</v>
      </c>
    </row>
    <row r="7049" spans="2:8" hidden="1">
      <c r="B7049" s="630" t="s">
        <v>6541</v>
      </c>
      <c r="C7049" s="630">
        <v>88312</v>
      </c>
      <c r="D7049" s="630" t="s">
        <v>815</v>
      </c>
      <c r="E7049" s="630" t="s">
        <v>902</v>
      </c>
      <c r="F7049" s="980">
        <v>7.79</v>
      </c>
      <c r="G7049" s="980">
        <v>24.22</v>
      </c>
      <c r="H7049" s="630">
        <v>32.01</v>
      </c>
    </row>
    <row r="7050" spans="2:8" hidden="1">
      <c r="B7050" s="630" t="s">
        <v>6541</v>
      </c>
      <c r="C7050" s="630">
        <v>88313</v>
      </c>
      <c r="D7050" s="630" t="s">
        <v>816</v>
      </c>
      <c r="E7050" s="630" t="s">
        <v>902</v>
      </c>
      <c r="F7050" s="980">
        <v>5.58</v>
      </c>
      <c r="G7050" s="980">
        <v>17.89</v>
      </c>
      <c r="H7050" s="630">
        <v>23.47</v>
      </c>
    </row>
    <row r="7051" spans="2:8" hidden="1">
      <c r="B7051" s="630" t="s">
        <v>6541</v>
      </c>
      <c r="C7051" s="630">
        <v>88314</v>
      </c>
      <c r="D7051" s="630" t="s">
        <v>817</v>
      </c>
      <c r="E7051" s="630" t="s">
        <v>902</v>
      </c>
      <c r="F7051" s="980">
        <v>5.58</v>
      </c>
      <c r="G7051" s="980">
        <v>15.87</v>
      </c>
      <c r="H7051" s="630">
        <v>21.45</v>
      </c>
    </row>
    <row r="7052" spans="2:8" hidden="1">
      <c r="B7052" s="630" t="s">
        <v>6541</v>
      </c>
      <c r="C7052" s="630">
        <v>88315</v>
      </c>
      <c r="D7052" s="630" t="s">
        <v>818</v>
      </c>
      <c r="E7052" s="630" t="s">
        <v>902</v>
      </c>
      <c r="F7052" s="980">
        <v>6.64</v>
      </c>
      <c r="G7052" s="980">
        <v>24.16</v>
      </c>
      <c r="H7052" s="630">
        <v>30.8</v>
      </c>
    </row>
    <row r="7053" spans="2:8" hidden="1">
      <c r="B7053" s="630" t="s">
        <v>6541</v>
      </c>
      <c r="C7053" s="630">
        <v>88316</v>
      </c>
      <c r="D7053" s="630" t="s">
        <v>819</v>
      </c>
      <c r="E7053" s="630" t="s">
        <v>902</v>
      </c>
      <c r="F7053" s="980">
        <v>6.52</v>
      </c>
      <c r="G7053" s="980">
        <v>17.190000000000001</v>
      </c>
      <c r="H7053" s="630">
        <v>23.71</v>
      </c>
    </row>
    <row r="7054" spans="2:8" hidden="1">
      <c r="B7054" s="630" t="s">
        <v>6541</v>
      </c>
      <c r="C7054" s="630">
        <v>88317</v>
      </c>
      <c r="D7054" s="630" t="s">
        <v>820</v>
      </c>
      <c r="E7054" s="630" t="s">
        <v>902</v>
      </c>
      <c r="F7054" s="980">
        <v>7.46</v>
      </c>
      <c r="G7054" s="980">
        <v>24.83</v>
      </c>
      <c r="H7054" s="630">
        <v>32.29</v>
      </c>
    </row>
    <row r="7055" spans="2:8" ht="25.5" hidden="1">
      <c r="B7055" s="630" t="s">
        <v>6541</v>
      </c>
      <c r="C7055" s="630">
        <v>88318</v>
      </c>
      <c r="D7055" s="630" t="s">
        <v>821</v>
      </c>
      <c r="E7055" s="630" t="s">
        <v>902</v>
      </c>
      <c r="F7055" s="980">
        <v>7.46</v>
      </c>
      <c r="G7055" s="980">
        <v>20.09</v>
      </c>
      <c r="H7055" s="630">
        <v>27.55</v>
      </c>
    </row>
    <row r="7056" spans="2:8" hidden="1">
      <c r="B7056" s="630" t="s">
        <v>6541</v>
      </c>
      <c r="C7056" s="630">
        <v>88320</v>
      </c>
      <c r="D7056" s="630" t="s">
        <v>822</v>
      </c>
      <c r="E7056" s="630" t="s">
        <v>902</v>
      </c>
      <c r="F7056" s="980">
        <v>6.52</v>
      </c>
      <c r="G7056" s="980">
        <v>24.16</v>
      </c>
      <c r="H7056" s="630">
        <v>30.68</v>
      </c>
    </row>
    <row r="7057" spans="2:8" hidden="1">
      <c r="B7057" s="630" t="s">
        <v>6541</v>
      </c>
      <c r="C7057" s="630">
        <v>88321</v>
      </c>
      <c r="D7057" s="630" t="s">
        <v>823</v>
      </c>
      <c r="E7057" s="630" t="s">
        <v>902</v>
      </c>
      <c r="F7057" s="980">
        <v>1.61</v>
      </c>
      <c r="G7057" s="980">
        <v>35.24</v>
      </c>
      <c r="H7057" s="630">
        <v>36.85</v>
      </c>
    </row>
    <row r="7058" spans="2:8" hidden="1">
      <c r="B7058" s="630" t="s">
        <v>6541</v>
      </c>
      <c r="C7058" s="630">
        <v>88322</v>
      </c>
      <c r="D7058" s="630" t="s">
        <v>824</v>
      </c>
      <c r="E7058" s="630" t="s">
        <v>902</v>
      </c>
      <c r="F7058" s="980">
        <v>1.64</v>
      </c>
      <c r="G7058" s="980">
        <v>25.52</v>
      </c>
      <c r="H7058" s="630">
        <v>27.16</v>
      </c>
    </row>
    <row r="7059" spans="2:8" hidden="1">
      <c r="B7059" s="630" t="s">
        <v>6541</v>
      </c>
      <c r="C7059" s="630">
        <v>88323</v>
      </c>
      <c r="D7059" s="630" t="s">
        <v>825</v>
      </c>
      <c r="E7059" s="630" t="s">
        <v>902</v>
      </c>
      <c r="F7059" s="980">
        <v>6.52</v>
      </c>
      <c r="G7059" s="980">
        <v>23.86</v>
      </c>
      <c r="H7059" s="630">
        <v>30.38</v>
      </c>
    </row>
    <row r="7060" spans="2:8" hidden="1">
      <c r="B7060" s="630" t="s">
        <v>6541</v>
      </c>
      <c r="C7060" s="630">
        <v>88324</v>
      </c>
      <c r="D7060" s="630" t="s">
        <v>826</v>
      </c>
      <c r="E7060" s="630" t="s">
        <v>902</v>
      </c>
      <c r="F7060" s="980">
        <v>5.58</v>
      </c>
      <c r="G7060" s="980">
        <v>25.98</v>
      </c>
      <c r="H7060" s="630">
        <v>31.56</v>
      </c>
    </row>
    <row r="7061" spans="2:8" hidden="1">
      <c r="B7061" s="630" t="s">
        <v>6541</v>
      </c>
      <c r="C7061" s="630">
        <v>88325</v>
      </c>
      <c r="D7061" s="630" t="s">
        <v>827</v>
      </c>
      <c r="E7061" s="630" t="s">
        <v>902</v>
      </c>
      <c r="F7061" s="980">
        <v>6.64</v>
      </c>
      <c r="G7061" s="980">
        <v>24.57</v>
      </c>
      <c r="H7061" s="630">
        <v>31.21</v>
      </c>
    </row>
    <row r="7062" spans="2:8" hidden="1">
      <c r="B7062" s="630" t="s">
        <v>6541</v>
      </c>
      <c r="C7062" s="630">
        <v>88326</v>
      </c>
      <c r="D7062" s="630" t="s">
        <v>828</v>
      </c>
      <c r="E7062" s="630" t="s">
        <v>902</v>
      </c>
      <c r="F7062" s="980">
        <v>6.52</v>
      </c>
      <c r="G7062" s="980">
        <v>23.25</v>
      </c>
      <c r="H7062" s="630">
        <v>29.77</v>
      </c>
    </row>
    <row r="7063" spans="2:8" ht="25.5" hidden="1">
      <c r="B7063" s="630" t="s">
        <v>6541</v>
      </c>
      <c r="C7063" s="630">
        <v>88377</v>
      </c>
      <c r="D7063" s="630" t="s">
        <v>829</v>
      </c>
      <c r="E7063" s="630" t="s">
        <v>902</v>
      </c>
      <c r="F7063" s="980">
        <v>5.58</v>
      </c>
      <c r="G7063" s="980">
        <v>17.57</v>
      </c>
      <c r="H7063" s="630">
        <v>23.15</v>
      </c>
    </row>
    <row r="7064" spans="2:8" hidden="1">
      <c r="B7064" s="630" t="s">
        <v>6541</v>
      </c>
      <c r="C7064" s="630">
        <v>88441</v>
      </c>
      <c r="D7064" s="630" t="s">
        <v>830</v>
      </c>
      <c r="E7064" s="630" t="s">
        <v>902</v>
      </c>
      <c r="F7064" s="980">
        <v>6.64</v>
      </c>
      <c r="G7064" s="980">
        <v>18.11</v>
      </c>
      <c r="H7064" s="630">
        <v>24.75</v>
      </c>
    </row>
    <row r="7065" spans="2:8" hidden="1">
      <c r="B7065" s="630" t="s">
        <v>6541</v>
      </c>
      <c r="C7065" s="630">
        <v>88597</v>
      </c>
      <c r="D7065" s="630" t="s">
        <v>831</v>
      </c>
      <c r="E7065" s="630" t="s">
        <v>902</v>
      </c>
      <c r="F7065" s="980">
        <v>1.56</v>
      </c>
      <c r="G7065" s="980">
        <v>37.19</v>
      </c>
      <c r="H7065" s="630">
        <v>38.75</v>
      </c>
    </row>
    <row r="7066" spans="2:8" hidden="1">
      <c r="B7066" s="630" t="s">
        <v>6541</v>
      </c>
      <c r="C7066" s="630">
        <v>90766</v>
      </c>
      <c r="D7066" s="630" t="s">
        <v>832</v>
      </c>
      <c r="E7066" s="630" t="s">
        <v>902</v>
      </c>
      <c r="F7066" s="980">
        <v>1.61</v>
      </c>
      <c r="G7066" s="980">
        <v>24.03</v>
      </c>
      <c r="H7066" s="630">
        <v>25.64</v>
      </c>
    </row>
    <row r="7067" spans="2:8" hidden="1">
      <c r="B7067" s="630" t="s">
        <v>6541</v>
      </c>
      <c r="C7067" s="630">
        <v>90767</v>
      </c>
      <c r="D7067" s="630" t="s">
        <v>833</v>
      </c>
      <c r="E7067" s="630" t="s">
        <v>902</v>
      </c>
      <c r="F7067" s="980">
        <v>1.61</v>
      </c>
      <c r="G7067" s="980">
        <v>21.48</v>
      </c>
      <c r="H7067" s="630">
        <v>23.09</v>
      </c>
    </row>
    <row r="7068" spans="2:8" hidden="1">
      <c r="B7068" s="630" t="s">
        <v>6541</v>
      </c>
      <c r="C7068" s="630">
        <v>90768</v>
      </c>
      <c r="D7068" s="630" t="s">
        <v>925</v>
      </c>
      <c r="E7068" s="630" t="s">
        <v>902</v>
      </c>
      <c r="F7068" s="980">
        <v>1.54</v>
      </c>
      <c r="G7068" s="980">
        <v>74.72</v>
      </c>
      <c r="H7068" s="630">
        <v>76.260000000000005</v>
      </c>
    </row>
    <row r="7069" spans="2:8" hidden="1">
      <c r="B7069" s="630" t="s">
        <v>6541</v>
      </c>
      <c r="C7069" s="630">
        <v>90769</v>
      </c>
      <c r="D7069" s="630" t="s">
        <v>834</v>
      </c>
      <c r="E7069" s="630" t="s">
        <v>902</v>
      </c>
      <c r="F7069" s="980">
        <v>1.54</v>
      </c>
      <c r="G7069" s="980">
        <v>106.14</v>
      </c>
      <c r="H7069" s="630">
        <v>107.68</v>
      </c>
    </row>
    <row r="7070" spans="2:8" hidden="1">
      <c r="B7070" s="630" t="s">
        <v>6541</v>
      </c>
      <c r="C7070" s="630">
        <v>90770</v>
      </c>
      <c r="D7070" s="630" t="s">
        <v>926</v>
      </c>
      <c r="E7070" s="630" t="s">
        <v>902</v>
      </c>
      <c r="F7070" s="980">
        <v>1.54</v>
      </c>
      <c r="G7070" s="980">
        <v>140.32</v>
      </c>
      <c r="H7070" s="630">
        <v>141.86000000000001</v>
      </c>
    </row>
    <row r="7071" spans="2:8" hidden="1">
      <c r="B7071" s="630" t="s">
        <v>6541</v>
      </c>
      <c r="C7071" s="630">
        <v>90771</v>
      </c>
      <c r="D7071" s="630" t="s">
        <v>835</v>
      </c>
      <c r="E7071" s="630" t="s">
        <v>902</v>
      </c>
      <c r="F7071" s="980">
        <v>1.56</v>
      </c>
      <c r="G7071" s="980">
        <v>16.62</v>
      </c>
      <c r="H7071" s="630">
        <v>18.18</v>
      </c>
    </row>
    <row r="7072" spans="2:8" hidden="1">
      <c r="B7072" s="630" t="s">
        <v>6541</v>
      </c>
      <c r="C7072" s="630">
        <v>90772</v>
      </c>
      <c r="D7072" s="630" t="s">
        <v>927</v>
      </c>
      <c r="E7072" s="630" t="s">
        <v>902</v>
      </c>
      <c r="F7072" s="980">
        <v>1.61</v>
      </c>
      <c r="G7072" s="980">
        <v>19.23</v>
      </c>
      <c r="H7072" s="630">
        <v>20.84</v>
      </c>
    </row>
    <row r="7073" spans="2:8" hidden="1">
      <c r="B7073" s="630" t="s">
        <v>6541</v>
      </c>
      <c r="C7073" s="630">
        <v>90773</v>
      </c>
      <c r="D7073" s="630" t="s">
        <v>836</v>
      </c>
      <c r="E7073" s="630" t="s">
        <v>902</v>
      </c>
      <c r="F7073" s="980">
        <v>1.56</v>
      </c>
      <c r="G7073" s="980">
        <v>12.23</v>
      </c>
      <c r="H7073" s="630">
        <v>13.79</v>
      </c>
    </row>
    <row r="7074" spans="2:8" hidden="1">
      <c r="B7074" s="630" t="s">
        <v>6541</v>
      </c>
      <c r="C7074" s="630">
        <v>90775</v>
      </c>
      <c r="D7074" s="630" t="s">
        <v>837</v>
      </c>
      <c r="E7074" s="630" t="s">
        <v>902</v>
      </c>
      <c r="F7074" s="980">
        <v>1.56</v>
      </c>
      <c r="G7074" s="980">
        <v>19.690000000000001</v>
      </c>
      <c r="H7074" s="630">
        <v>21.25</v>
      </c>
    </row>
    <row r="7075" spans="2:8" hidden="1">
      <c r="B7075" s="630" t="s">
        <v>6541</v>
      </c>
      <c r="C7075" s="630">
        <v>90776</v>
      </c>
      <c r="D7075" s="630" t="s">
        <v>838</v>
      </c>
      <c r="E7075" s="630" t="s">
        <v>902</v>
      </c>
      <c r="F7075" s="980">
        <v>2.0499999999999998</v>
      </c>
      <c r="G7075" s="980">
        <v>39.42</v>
      </c>
      <c r="H7075" s="630">
        <v>41.47</v>
      </c>
    </row>
    <row r="7076" spans="2:8" hidden="1">
      <c r="B7076" s="630" t="s">
        <v>6541</v>
      </c>
      <c r="C7076" s="630">
        <v>90777</v>
      </c>
      <c r="D7076" s="630" t="s">
        <v>928</v>
      </c>
      <c r="E7076" s="630" t="s">
        <v>902</v>
      </c>
      <c r="F7076" s="980">
        <v>1.54</v>
      </c>
      <c r="G7076" s="980">
        <v>101.91</v>
      </c>
      <c r="H7076" s="630">
        <v>103.45</v>
      </c>
    </row>
    <row r="7077" spans="2:8" hidden="1">
      <c r="B7077" s="630" t="s">
        <v>6541</v>
      </c>
      <c r="C7077" s="630">
        <v>90778</v>
      </c>
      <c r="D7077" s="630" t="s">
        <v>839</v>
      </c>
      <c r="E7077" s="630" t="s">
        <v>902</v>
      </c>
      <c r="F7077" s="980">
        <v>1.54</v>
      </c>
      <c r="G7077" s="980">
        <v>116</v>
      </c>
      <c r="H7077" s="630">
        <v>117.54</v>
      </c>
    </row>
    <row r="7078" spans="2:8" hidden="1">
      <c r="B7078" s="630" t="s">
        <v>6541</v>
      </c>
      <c r="C7078" s="630">
        <v>90779</v>
      </c>
      <c r="D7078" s="630" t="s">
        <v>929</v>
      </c>
      <c r="E7078" s="630" t="s">
        <v>902</v>
      </c>
      <c r="F7078" s="980">
        <v>1.54</v>
      </c>
      <c r="G7078" s="980">
        <v>158.56</v>
      </c>
      <c r="H7078" s="630">
        <v>160.1</v>
      </c>
    </row>
    <row r="7079" spans="2:8" hidden="1">
      <c r="B7079" s="630" t="s">
        <v>6541</v>
      </c>
      <c r="C7079" s="630">
        <v>90780</v>
      </c>
      <c r="D7079" s="630" t="s">
        <v>840</v>
      </c>
      <c r="E7079" s="630" t="s">
        <v>902</v>
      </c>
      <c r="F7079" s="980">
        <v>2.0499999999999998</v>
      </c>
      <c r="G7079" s="980">
        <v>67.52</v>
      </c>
      <c r="H7079" s="630">
        <v>69.569999999999993</v>
      </c>
    </row>
    <row r="7080" spans="2:8" hidden="1">
      <c r="B7080" s="630" t="s">
        <v>6541</v>
      </c>
      <c r="C7080" s="630">
        <v>90781</v>
      </c>
      <c r="D7080" s="630" t="s">
        <v>930</v>
      </c>
      <c r="E7080" s="630" t="s">
        <v>902</v>
      </c>
      <c r="F7080" s="980">
        <v>1.56</v>
      </c>
      <c r="G7080" s="980">
        <v>24.1</v>
      </c>
      <c r="H7080" s="630">
        <v>25.66</v>
      </c>
    </row>
    <row r="7081" spans="2:8" hidden="1">
      <c r="B7081" s="630" t="s">
        <v>6541</v>
      </c>
      <c r="C7081" s="630">
        <v>91677</v>
      </c>
      <c r="D7081" s="630" t="s">
        <v>931</v>
      </c>
      <c r="E7081" s="630" t="s">
        <v>902</v>
      </c>
      <c r="F7081" s="980">
        <v>1.54</v>
      </c>
      <c r="G7081" s="980">
        <v>102</v>
      </c>
      <c r="H7081" s="630">
        <v>103.54</v>
      </c>
    </row>
    <row r="7082" spans="2:8" hidden="1">
      <c r="B7082" s="630" t="s">
        <v>6541</v>
      </c>
      <c r="C7082" s="630">
        <v>91678</v>
      </c>
      <c r="D7082" s="630" t="s">
        <v>932</v>
      </c>
      <c r="E7082" s="630" t="s">
        <v>902</v>
      </c>
      <c r="F7082" s="980">
        <v>1.54</v>
      </c>
      <c r="G7082" s="980">
        <v>69.09</v>
      </c>
      <c r="H7082" s="630">
        <v>70.63</v>
      </c>
    </row>
    <row r="7083" spans="2:8" hidden="1">
      <c r="B7083" s="630" t="s">
        <v>6541</v>
      </c>
      <c r="C7083" s="630">
        <v>93558</v>
      </c>
      <c r="D7083" s="630" t="s">
        <v>933</v>
      </c>
      <c r="E7083" s="630" t="s">
        <v>574</v>
      </c>
      <c r="F7083" s="980">
        <v>1049.47</v>
      </c>
      <c r="G7083" s="980">
        <v>3540.43</v>
      </c>
      <c r="H7083" s="630">
        <v>4589.8999999999996</v>
      </c>
    </row>
    <row r="7084" spans="2:8" hidden="1">
      <c r="B7084" s="630" t="s">
        <v>6541</v>
      </c>
      <c r="C7084" s="630">
        <v>93559</v>
      </c>
      <c r="D7084" s="630" t="s">
        <v>831</v>
      </c>
      <c r="E7084" s="630" t="s">
        <v>574</v>
      </c>
      <c r="F7084" s="980">
        <v>294.48</v>
      </c>
      <c r="G7084" s="980">
        <v>6532.15</v>
      </c>
      <c r="H7084" s="630">
        <v>6826.63</v>
      </c>
    </row>
    <row r="7085" spans="2:8" hidden="1">
      <c r="B7085" s="630" t="s">
        <v>6541</v>
      </c>
      <c r="C7085" s="630">
        <v>93560</v>
      </c>
      <c r="D7085" s="630" t="s">
        <v>836</v>
      </c>
      <c r="E7085" s="630" t="s">
        <v>574</v>
      </c>
      <c r="F7085" s="980">
        <v>294.48</v>
      </c>
      <c r="G7085" s="980">
        <v>2151.9299999999998</v>
      </c>
      <c r="H7085" s="630">
        <v>2446.41</v>
      </c>
    </row>
    <row r="7086" spans="2:8" hidden="1">
      <c r="B7086" s="630" t="s">
        <v>6541</v>
      </c>
      <c r="C7086" s="630">
        <v>93561</v>
      </c>
      <c r="D7086" s="630" t="s">
        <v>837</v>
      </c>
      <c r="E7086" s="630" t="s">
        <v>574</v>
      </c>
      <c r="F7086" s="980">
        <v>294.48</v>
      </c>
      <c r="G7086" s="980">
        <v>3460.19</v>
      </c>
      <c r="H7086" s="630">
        <v>3754.67</v>
      </c>
    </row>
    <row r="7087" spans="2:8" hidden="1">
      <c r="B7087" s="630" t="s">
        <v>6541</v>
      </c>
      <c r="C7087" s="630">
        <v>93562</v>
      </c>
      <c r="D7087" s="630" t="s">
        <v>835</v>
      </c>
      <c r="E7087" s="630" t="s">
        <v>574</v>
      </c>
      <c r="F7087" s="980">
        <v>294.48</v>
      </c>
      <c r="G7087" s="980">
        <v>2922.04</v>
      </c>
      <c r="H7087" s="630">
        <v>3216.52</v>
      </c>
    </row>
    <row r="7088" spans="2:8" hidden="1">
      <c r="B7088" s="630" t="s">
        <v>6541</v>
      </c>
      <c r="C7088" s="630">
        <v>93563</v>
      </c>
      <c r="D7088" s="630" t="s">
        <v>832</v>
      </c>
      <c r="E7088" s="630" t="s">
        <v>574</v>
      </c>
      <c r="F7088" s="980">
        <v>303.79000000000002</v>
      </c>
      <c r="G7088" s="980">
        <v>4220.46</v>
      </c>
      <c r="H7088" s="630">
        <v>4524.25</v>
      </c>
    </row>
    <row r="7089" spans="2:8" hidden="1">
      <c r="B7089" s="630" t="s">
        <v>6541</v>
      </c>
      <c r="C7089" s="630">
        <v>93564</v>
      </c>
      <c r="D7089" s="630" t="s">
        <v>833</v>
      </c>
      <c r="E7089" s="630" t="s">
        <v>574</v>
      </c>
      <c r="F7089" s="980">
        <v>303.79000000000002</v>
      </c>
      <c r="G7089" s="980">
        <v>3761.64</v>
      </c>
      <c r="H7089" s="630">
        <v>4065.43</v>
      </c>
    </row>
    <row r="7090" spans="2:8" hidden="1">
      <c r="B7090" s="630" t="s">
        <v>6541</v>
      </c>
      <c r="C7090" s="630">
        <v>93565</v>
      </c>
      <c r="D7090" s="630" t="s">
        <v>928</v>
      </c>
      <c r="E7090" s="630" t="s">
        <v>574</v>
      </c>
      <c r="F7090" s="980">
        <v>289.58999999999997</v>
      </c>
      <c r="G7090" s="980">
        <v>17860.23</v>
      </c>
      <c r="H7090" s="630">
        <v>18149.82</v>
      </c>
    </row>
    <row r="7091" spans="2:8" hidden="1">
      <c r="B7091" s="630" t="s">
        <v>6541</v>
      </c>
      <c r="C7091" s="630">
        <v>93566</v>
      </c>
      <c r="D7091" s="630" t="s">
        <v>927</v>
      </c>
      <c r="E7091" s="630" t="s">
        <v>574</v>
      </c>
      <c r="F7091" s="980">
        <v>303.79000000000002</v>
      </c>
      <c r="G7091" s="980">
        <v>3381.4</v>
      </c>
      <c r="H7091" s="630">
        <v>3685.19</v>
      </c>
    </row>
    <row r="7092" spans="2:8" hidden="1">
      <c r="B7092" s="630" t="s">
        <v>6541</v>
      </c>
      <c r="C7092" s="630">
        <v>93567</v>
      </c>
      <c r="D7092" s="630" t="s">
        <v>839</v>
      </c>
      <c r="E7092" s="630" t="s">
        <v>574</v>
      </c>
      <c r="F7092" s="980">
        <v>289.58999999999997</v>
      </c>
      <c r="G7092" s="980">
        <v>20328.63</v>
      </c>
      <c r="H7092" s="630">
        <v>20618.22</v>
      </c>
    </row>
    <row r="7093" spans="2:8" hidden="1">
      <c r="B7093" s="630" t="s">
        <v>6541</v>
      </c>
      <c r="C7093" s="630">
        <v>93568</v>
      </c>
      <c r="D7093" s="630" t="s">
        <v>929</v>
      </c>
      <c r="E7093" s="630" t="s">
        <v>574</v>
      </c>
      <c r="F7093" s="980">
        <v>289.58999999999997</v>
      </c>
      <c r="G7093" s="980">
        <v>27788.66</v>
      </c>
      <c r="H7093" s="630">
        <v>28078.25</v>
      </c>
    </row>
    <row r="7094" spans="2:8" hidden="1">
      <c r="B7094" s="630" t="s">
        <v>6541</v>
      </c>
      <c r="C7094" s="630">
        <v>93569</v>
      </c>
      <c r="D7094" s="630" t="s">
        <v>934</v>
      </c>
      <c r="E7094" s="630" t="s">
        <v>574</v>
      </c>
      <c r="F7094" s="980">
        <v>289.58999999999997</v>
      </c>
      <c r="G7094" s="980">
        <v>13112.6</v>
      </c>
      <c r="H7094" s="630">
        <v>13402.19</v>
      </c>
    </row>
    <row r="7095" spans="2:8" hidden="1">
      <c r="B7095" s="630" t="s">
        <v>6541</v>
      </c>
      <c r="C7095" s="630">
        <v>93570</v>
      </c>
      <c r="D7095" s="630" t="s">
        <v>935</v>
      </c>
      <c r="E7095" s="630" t="s">
        <v>574</v>
      </c>
      <c r="F7095" s="980">
        <v>289.58999999999997</v>
      </c>
      <c r="G7095" s="980">
        <v>18625.349999999999</v>
      </c>
      <c r="H7095" s="630">
        <v>18914.939999999999</v>
      </c>
    </row>
    <row r="7096" spans="2:8" hidden="1">
      <c r="B7096" s="630" t="s">
        <v>6541</v>
      </c>
      <c r="C7096" s="630">
        <v>93571</v>
      </c>
      <c r="D7096" s="630" t="s">
        <v>936</v>
      </c>
      <c r="E7096" s="630" t="s">
        <v>574</v>
      </c>
      <c r="F7096" s="980">
        <v>289.58999999999997</v>
      </c>
      <c r="G7096" s="980">
        <v>24624.37</v>
      </c>
      <c r="H7096" s="630">
        <v>24913.96</v>
      </c>
    </row>
    <row r="7097" spans="2:8" hidden="1">
      <c r="B7097" s="630" t="s">
        <v>6541</v>
      </c>
      <c r="C7097" s="630">
        <v>93572</v>
      </c>
      <c r="D7097" s="630" t="s">
        <v>937</v>
      </c>
      <c r="E7097" s="630" t="s">
        <v>574</v>
      </c>
      <c r="F7097" s="980">
        <v>385.67</v>
      </c>
      <c r="G7097" s="980">
        <v>6901.25</v>
      </c>
      <c r="H7097" s="630">
        <v>7286.92</v>
      </c>
    </row>
    <row r="7098" spans="2:8" hidden="1">
      <c r="B7098" s="630" t="s">
        <v>6541</v>
      </c>
      <c r="C7098" s="630">
        <v>94295</v>
      </c>
      <c r="D7098" s="630" t="s">
        <v>840</v>
      </c>
      <c r="E7098" s="630" t="s">
        <v>574</v>
      </c>
      <c r="F7098" s="980">
        <v>385.67</v>
      </c>
      <c r="G7098" s="980">
        <v>11819.69</v>
      </c>
      <c r="H7098" s="630">
        <v>12205.36</v>
      </c>
    </row>
    <row r="7099" spans="2:8" hidden="1">
      <c r="B7099" s="630" t="s">
        <v>6541</v>
      </c>
      <c r="C7099" s="630">
        <v>94296</v>
      </c>
      <c r="D7099" s="630" t="s">
        <v>930</v>
      </c>
      <c r="E7099" s="630" t="s">
        <v>574</v>
      </c>
      <c r="F7099" s="980">
        <v>294.48</v>
      </c>
      <c r="G7099" s="980">
        <v>4228.87</v>
      </c>
      <c r="H7099" s="630">
        <v>4523.3500000000004</v>
      </c>
    </row>
    <row r="7100" spans="2:8" ht="25.5" hidden="1">
      <c r="B7100" s="630" t="s">
        <v>6541</v>
      </c>
      <c r="C7100" s="630">
        <v>95308</v>
      </c>
      <c r="D7100" s="630" t="s">
        <v>2101</v>
      </c>
      <c r="E7100" s="630" t="s">
        <v>902</v>
      </c>
      <c r="F7100" s="980">
        <v>0</v>
      </c>
      <c r="G7100" s="980">
        <v>0.15</v>
      </c>
      <c r="H7100" s="630">
        <v>0.15</v>
      </c>
    </row>
    <row r="7101" spans="2:8" ht="25.5" hidden="1">
      <c r="B7101" s="630" t="s">
        <v>6541</v>
      </c>
      <c r="C7101" s="630">
        <v>95309</v>
      </c>
      <c r="D7101" s="630" t="s">
        <v>2102</v>
      </c>
      <c r="E7101" s="630" t="s">
        <v>902</v>
      </c>
      <c r="F7101" s="980">
        <v>0</v>
      </c>
      <c r="G7101" s="980">
        <v>0.21</v>
      </c>
      <c r="H7101" s="630">
        <v>0.21</v>
      </c>
    </row>
    <row r="7102" spans="2:8" ht="25.5" hidden="1">
      <c r="B7102" s="630" t="s">
        <v>6541</v>
      </c>
      <c r="C7102" s="630">
        <v>95310</v>
      </c>
      <c r="D7102" s="630" t="s">
        <v>2103</v>
      </c>
      <c r="E7102" s="630" t="s">
        <v>902</v>
      </c>
      <c r="F7102" s="980">
        <v>0</v>
      </c>
      <c r="G7102" s="980">
        <v>0.14000000000000001</v>
      </c>
      <c r="H7102" s="630">
        <v>0.14000000000000001</v>
      </c>
    </row>
    <row r="7103" spans="2:8" ht="25.5" hidden="1">
      <c r="B7103" s="630" t="s">
        <v>6541</v>
      </c>
      <c r="C7103" s="630">
        <v>95311</v>
      </c>
      <c r="D7103" s="630" t="s">
        <v>2104</v>
      </c>
      <c r="E7103" s="630" t="s">
        <v>902</v>
      </c>
      <c r="F7103" s="980">
        <v>0</v>
      </c>
      <c r="G7103" s="980">
        <v>0.17</v>
      </c>
      <c r="H7103" s="630">
        <v>0.17</v>
      </c>
    </row>
    <row r="7104" spans="2:8" ht="25.5" hidden="1">
      <c r="B7104" s="630" t="s">
        <v>6541</v>
      </c>
      <c r="C7104" s="630">
        <v>95312</v>
      </c>
      <c r="D7104" s="630" t="s">
        <v>2105</v>
      </c>
      <c r="E7104" s="630" t="s">
        <v>902</v>
      </c>
      <c r="F7104" s="980">
        <v>0</v>
      </c>
      <c r="G7104" s="980">
        <v>0.2</v>
      </c>
      <c r="H7104" s="630">
        <v>0.2</v>
      </c>
    </row>
    <row r="7105" spans="2:8" ht="25.5" hidden="1">
      <c r="B7105" s="630" t="s">
        <v>6541</v>
      </c>
      <c r="C7105" s="630">
        <v>95313</v>
      </c>
      <c r="D7105" s="630" t="s">
        <v>2106</v>
      </c>
      <c r="E7105" s="630" t="s">
        <v>902</v>
      </c>
      <c r="F7105" s="980">
        <v>0</v>
      </c>
      <c r="G7105" s="980">
        <v>0.17</v>
      </c>
      <c r="H7105" s="630">
        <v>0.17</v>
      </c>
    </row>
    <row r="7106" spans="2:8" ht="25.5" hidden="1">
      <c r="B7106" s="630" t="s">
        <v>6541</v>
      </c>
      <c r="C7106" s="630">
        <v>95314</v>
      </c>
      <c r="D7106" s="630" t="s">
        <v>2107</v>
      </c>
      <c r="E7106" s="630" t="s">
        <v>902</v>
      </c>
      <c r="F7106" s="980">
        <v>0</v>
      </c>
      <c r="G7106" s="980">
        <v>0.22</v>
      </c>
      <c r="H7106" s="630">
        <v>0.22</v>
      </c>
    </row>
    <row r="7107" spans="2:8" ht="25.5" hidden="1">
      <c r="B7107" s="630" t="s">
        <v>6541</v>
      </c>
      <c r="C7107" s="630">
        <v>95315</v>
      </c>
      <c r="D7107" s="630" t="s">
        <v>2108</v>
      </c>
      <c r="E7107" s="630" t="s">
        <v>902</v>
      </c>
      <c r="F7107" s="980">
        <v>0</v>
      </c>
      <c r="G7107" s="980">
        <v>0.26</v>
      </c>
      <c r="H7107" s="630">
        <v>0.26</v>
      </c>
    </row>
    <row r="7108" spans="2:8" ht="25.5" hidden="1">
      <c r="B7108" s="630" t="s">
        <v>6541</v>
      </c>
      <c r="C7108" s="630">
        <v>95316</v>
      </c>
      <c r="D7108" s="630" t="s">
        <v>2109</v>
      </c>
      <c r="E7108" s="630" t="s">
        <v>902</v>
      </c>
      <c r="F7108" s="980">
        <v>0</v>
      </c>
      <c r="G7108" s="980">
        <v>0.55000000000000004</v>
      </c>
      <c r="H7108" s="630">
        <v>0.55000000000000004</v>
      </c>
    </row>
    <row r="7109" spans="2:8" ht="25.5" hidden="1">
      <c r="B7109" s="630" t="s">
        <v>6541</v>
      </c>
      <c r="C7109" s="630">
        <v>95317</v>
      </c>
      <c r="D7109" s="630" t="s">
        <v>2110</v>
      </c>
      <c r="E7109" s="630" t="s">
        <v>902</v>
      </c>
      <c r="F7109" s="980">
        <v>0</v>
      </c>
      <c r="G7109" s="980">
        <v>0.26</v>
      </c>
      <c r="H7109" s="630">
        <v>0.26</v>
      </c>
    </row>
    <row r="7110" spans="2:8" ht="25.5" hidden="1">
      <c r="B7110" s="630" t="s">
        <v>6541</v>
      </c>
      <c r="C7110" s="630">
        <v>95318</v>
      </c>
      <c r="D7110" s="630" t="s">
        <v>2111</v>
      </c>
      <c r="E7110" s="630" t="s">
        <v>902</v>
      </c>
      <c r="F7110" s="980">
        <v>0</v>
      </c>
      <c r="G7110" s="980">
        <v>0.17</v>
      </c>
      <c r="H7110" s="630">
        <v>0.17</v>
      </c>
    </row>
    <row r="7111" spans="2:8" ht="25.5" hidden="1">
      <c r="B7111" s="630" t="s">
        <v>6541</v>
      </c>
      <c r="C7111" s="630">
        <v>95319</v>
      </c>
      <c r="D7111" s="630" t="s">
        <v>2112</v>
      </c>
      <c r="E7111" s="630" t="s">
        <v>902</v>
      </c>
      <c r="F7111" s="980">
        <v>0</v>
      </c>
      <c r="G7111" s="980">
        <v>0.14000000000000001</v>
      </c>
      <c r="H7111" s="630">
        <v>0.14000000000000001</v>
      </c>
    </row>
    <row r="7112" spans="2:8" ht="25.5" hidden="1">
      <c r="B7112" s="630" t="s">
        <v>6541</v>
      </c>
      <c r="C7112" s="630">
        <v>95320</v>
      </c>
      <c r="D7112" s="630" t="s">
        <v>2113</v>
      </c>
      <c r="E7112" s="630" t="s">
        <v>902</v>
      </c>
      <c r="F7112" s="980">
        <v>0</v>
      </c>
      <c r="G7112" s="980">
        <v>0.17</v>
      </c>
      <c r="H7112" s="630">
        <v>0.17</v>
      </c>
    </row>
    <row r="7113" spans="2:8" ht="25.5" hidden="1">
      <c r="B7113" s="630" t="s">
        <v>6541</v>
      </c>
      <c r="C7113" s="630">
        <v>95321</v>
      </c>
      <c r="D7113" s="630" t="s">
        <v>2114</v>
      </c>
      <c r="E7113" s="630" t="s">
        <v>902</v>
      </c>
      <c r="F7113" s="980">
        <v>0</v>
      </c>
      <c r="G7113" s="980">
        <v>0.15</v>
      </c>
      <c r="H7113" s="630">
        <v>0.15</v>
      </c>
    </row>
    <row r="7114" spans="2:8" ht="25.5" hidden="1">
      <c r="B7114" s="630" t="s">
        <v>6541</v>
      </c>
      <c r="C7114" s="630">
        <v>95322</v>
      </c>
      <c r="D7114" s="630" t="s">
        <v>2115</v>
      </c>
      <c r="E7114" s="630" t="s">
        <v>902</v>
      </c>
      <c r="F7114" s="980">
        <v>0</v>
      </c>
      <c r="G7114" s="980">
        <v>7.0000000000000007E-2</v>
      </c>
      <c r="H7114" s="630">
        <v>7.0000000000000007E-2</v>
      </c>
    </row>
    <row r="7115" spans="2:8" ht="25.5" hidden="1">
      <c r="B7115" s="630" t="s">
        <v>6541</v>
      </c>
      <c r="C7115" s="630">
        <v>95323</v>
      </c>
      <c r="D7115" s="630" t="s">
        <v>2116</v>
      </c>
      <c r="E7115" s="630" t="s">
        <v>902</v>
      </c>
      <c r="F7115" s="980">
        <v>0</v>
      </c>
      <c r="G7115" s="980">
        <v>0.23</v>
      </c>
      <c r="H7115" s="630">
        <v>0.23</v>
      </c>
    </row>
    <row r="7116" spans="2:8" ht="25.5" hidden="1">
      <c r="B7116" s="630" t="s">
        <v>6541</v>
      </c>
      <c r="C7116" s="630">
        <v>95324</v>
      </c>
      <c r="D7116" s="630" t="s">
        <v>2117</v>
      </c>
      <c r="E7116" s="630" t="s">
        <v>902</v>
      </c>
      <c r="F7116" s="980">
        <v>0</v>
      </c>
      <c r="G7116" s="980">
        <v>0.28000000000000003</v>
      </c>
      <c r="H7116" s="630">
        <v>0.28000000000000003</v>
      </c>
    </row>
    <row r="7117" spans="2:8" ht="25.5" hidden="1">
      <c r="B7117" s="630" t="s">
        <v>6541</v>
      </c>
      <c r="C7117" s="630">
        <v>95325</v>
      </c>
      <c r="D7117" s="630" t="s">
        <v>2118</v>
      </c>
      <c r="E7117" s="630" t="s">
        <v>902</v>
      </c>
      <c r="F7117" s="980">
        <v>0</v>
      </c>
      <c r="G7117" s="980">
        <v>0.3</v>
      </c>
      <c r="H7117" s="630">
        <v>0.3</v>
      </c>
    </row>
    <row r="7118" spans="2:8" ht="25.5" hidden="1">
      <c r="B7118" s="630" t="s">
        <v>6541</v>
      </c>
      <c r="C7118" s="630">
        <v>95326</v>
      </c>
      <c r="D7118" s="630" t="s">
        <v>2663</v>
      </c>
      <c r="E7118" s="630" t="s">
        <v>902</v>
      </c>
      <c r="F7118" s="980">
        <v>0</v>
      </c>
      <c r="G7118" s="980">
        <v>7.0000000000000007E-2</v>
      </c>
      <c r="H7118" s="630">
        <v>7.0000000000000007E-2</v>
      </c>
    </row>
    <row r="7119" spans="2:8" ht="25.5" hidden="1">
      <c r="B7119" s="630" t="s">
        <v>6541</v>
      </c>
      <c r="C7119" s="630">
        <v>95328</v>
      </c>
      <c r="D7119" s="630" t="s">
        <v>2119</v>
      </c>
      <c r="E7119" s="630" t="s">
        <v>902</v>
      </c>
      <c r="F7119" s="980">
        <v>0</v>
      </c>
      <c r="G7119" s="980">
        <v>0.19</v>
      </c>
      <c r="H7119" s="630">
        <v>0.19</v>
      </c>
    </row>
    <row r="7120" spans="2:8" ht="25.5" hidden="1">
      <c r="B7120" s="630" t="s">
        <v>6541</v>
      </c>
      <c r="C7120" s="630">
        <v>95329</v>
      </c>
      <c r="D7120" s="630" t="s">
        <v>2120</v>
      </c>
      <c r="E7120" s="630" t="s">
        <v>902</v>
      </c>
      <c r="F7120" s="980">
        <v>0</v>
      </c>
      <c r="G7120" s="980">
        <v>0.27</v>
      </c>
      <c r="H7120" s="630">
        <v>0.27</v>
      </c>
    </row>
    <row r="7121" spans="2:8" ht="25.5" hidden="1">
      <c r="B7121" s="630" t="s">
        <v>6541</v>
      </c>
      <c r="C7121" s="630">
        <v>95330</v>
      </c>
      <c r="D7121" s="630" t="s">
        <v>1828</v>
      </c>
      <c r="E7121" s="630" t="s">
        <v>902</v>
      </c>
      <c r="F7121" s="980">
        <v>0</v>
      </c>
      <c r="G7121" s="981">
        <v>0.22</v>
      </c>
      <c r="H7121" s="848">
        <v>0.22</v>
      </c>
    </row>
    <row r="7122" spans="2:8" ht="25.5" hidden="1">
      <c r="B7122" s="630" t="s">
        <v>6541</v>
      </c>
      <c r="C7122" s="630">
        <v>95331</v>
      </c>
      <c r="D7122" s="630" t="s">
        <v>1829</v>
      </c>
      <c r="E7122" s="630" t="s">
        <v>902</v>
      </c>
      <c r="F7122" s="980">
        <v>0</v>
      </c>
      <c r="G7122" s="981">
        <v>0.14000000000000001</v>
      </c>
      <c r="H7122" s="848">
        <v>0.14000000000000001</v>
      </c>
    </row>
    <row r="7123" spans="2:8" ht="25.5" hidden="1">
      <c r="B7123" s="630" t="s">
        <v>6541</v>
      </c>
      <c r="C7123" s="630">
        <v>95332</v>
      </c>
      <c r="D7123" s="630" t="s">
        <v>1830</v>
      </c>
      <c r="E7123" s="630" t="s">
        <v>902</v>
      </c>
      <c r="F7123" s="980">
        <v>0</v>
      </c>
      <c r="G7123" s="981">
        <v>0.72</v>
      </c>
      <c r="H7123" s="848">
        <v>0.72</v>
      </c>
    </row>
    <row r="7124" spans="2:8" ht="25.5" hidden="1">
      <c r="B7124" s="630" t="s">
        <v>6541</v>
      </c>
      <c r="C7124" s="630">
        <v>95333</v>
      </c>
      <c r="D7124" s="630" t="s">
        <v>1831</v>
      </c>
      <c r="E7124" s="630" t="s">
        <v>902</v>
      </c>
      <c r="F7124" s="980">
        <v>0</v>
      </c>
      <c r="G7124" s="981">
        <v>0.79</v>
      </c>
      <c r="H7124" s="848">
        <v>0.79</v>
      </c>
    </row>
    <row r="7125" spans="2:8" ht="25.5" hidden="1">
      <c r="B7125" s="630" t="s">
        <v>6541</v>
      </c>
      <c r="C7125" s="630">
        <v>95334</v>
      </c>
      <c r="D7125" s="630" t="s">
        <v>1832</v>
      </c>
      <c r="E7125" s="630" t="s">
        <v>902</v>
      </c>
      <c r="F7125" s="980">
        <v>0</v>
      </c>
      <c r="G7125" s="981">
        <v>0.75</v>
      </c>
      <c r="H7125" s="848">
        <v>0.75</v>
      </c>
    </row>
    <row r="7126" spans="2:8" ht="25.5" hidden="1">
      <c r="B7126" s="630" t="s">
        <v>6541</v>
      </c>
      <c r="C7126" s="630">
        <v>95335</v>
      </c>
      <c r="D7126" s="630" t="s">
        <v>1833</v>
      </c>
      <c r="E7126" s="630" t="s">
        <v>902</v>
      </c>
      <c r="F7126" s="980">
        <v>0</v>
      </c>
      <c r="G7126" s="981">
        <v>0.34</v>
      </c>
      <c r="H7126" s="848">
        <v>0.34</v>
      </c>
    </row>
    <row r="7127" spans="2:8" ht="25.5" hidden="1">
      <c r="B7127" s="630" t="s">
        <v>6541</v>
      </c>
      <c r="C7127" s="630">
        <v>95337</v>
      </c>
      <c r="D7127" s="630" t="s">
        <v>1834</v>
      </c>
      <c r="E7127" s="630" t="s">
        <v>902</v>
      </c>
      <c r="F7127" s="980">
        <v>0</v>
      </c>
      <c r="G7127" s="981">
        <v>0.21</v>
      </c>
      <c r="H7127" s="848">
        <v>0.21</v>
      </c>
    </row>
    <row r="7128" spans="2:8" ht="25.5" hidden="1">
      <c r="B7128" s="630" t="s">
        <v>6541</v>
      </c>
      <c r="C7128" s="630">
        <v>95338</v>
      </c>
      <c r="D7128" s="630" t="s">
        <v>1835</v>
      </c>
      <c r="E7128" s="630" t="s">
        <v>902</v>
      </c>
      <c r="F7128" s="980">
        <v>0</v>
      </c>
      <c r="G7128" s="981">
        <v>0.41</v>
      </c>
      <c r="H7128" s="848">
        <v>0.41</v>
      </c>
    </row>
    <row r="7129" spans="2:8" ht="25.5" hidden="1">
      <c r="B7129" s="630" t="s">
        <v>6541</v>
      </c>
      <c r="C7129" s="630">
        <v>95339</v>
      </c>
      <c r="D7129" s="630" t="s">
        <v>1836</v>
      </c>
      <c r="E7129" s="630" t="s">
        <v>902</v>
      </c>
      <c r="F7129" s="980">
        <v>0</v>
      </c>
      <c r="G7129" s="981">
        <v>0.35</v>
      </c>
      <c r="H7129" s="848">
        <v>0.35</v>
      </c>
    </row>
    <row r="7130" spans="2:8" ht="25.5" hidden="1">
      <c r="B7130" s="630" t="s">
        <v>6541</v>
      </c>
      <c r="C7130" s="630">
        <v>95340</v>
      </c>
      <c r="D7130" s="630" t="s">
        <v>1837</v>
      </c>
      <c r="E7130" s="630" t="s">
        <v>902</v>
      </c>
      <c r="F7130" s="980">
        <v>0</v>
      </c>
      <c r="G7130" s="981">
        <v>0.26</v>
      </c>
      <c r="H7130" s="848">
        <v>0.26</v>
      </c>
    </row>
    <row r="7131" spans="2:8" ht="25.5" hidden="1">
      <c r="B7131" s="630" t="s">
        <v>6541</v>
      </c>
      <c r="C7131" s="630">
        <v>95341</v>
      </c>
      <c r="D7131" s="630" t="s">
        <v>1838</v>
      </c>
      <c r="E7131" s="630" t="s">
        <v>902</v>
      </c>
      <c r="F7131" s="980">
        <v>0</v>
      </c>
      <c r="G7131" s="981">
        <v>0.32</v>
      </c>
      <c r="H7131" s="848">
        <v>0.32</v>
      </c>
    </row>
    <row r="7132" spans="2:8" ht="25.5" hidden="1">
      <c r="B7132" s="630" t="s">
        <v>6541</v>
      </c>
      <c r="C7132" s="630">
        <v>95342</v>
      </c>
      <c r="D7132" s="630" t="s">
        <v>1839</v>
      </c>
      <c r="E7132" s="630" t="s">
        <v>902</v>
      </c>
      <c r="F7132" s="980">
        <v>0</v>
      </c>
      <c r="G7132" s="981">
        <v>0.16</v>
      </c>
      <c r="H7132" s="848">
        <v>0.16</v>
      </c>
    </row>
    <row r="7133" spans="2:8" ht="25.5" hidden="1">
      <c r="B7133" s="630" t="s">
        <v>6541</v>
      </c>
      <c r="C7133" s="630">
        <v>95343</v>
      </c>
      <c r="D7133" s="630" t="s">
        <v>1840</v>
      </c>
      <c r="E7133" s="630" t="s">
        <v>902</v>
      </c>
      <c r="F7133" s="980">
        <v>0</v>
      </c>
      <c r="G7133" s="981">
        <v>0.33</v>
      </c>
      <c r="H7133" s="848">
        <v>0.33</v>
      </c>
    </row>
    <row r="7134" spans="2:8" ht="25.5" hidden="1">
      <c r="B7134" s="630" t="s">
        <v>6541</v>
      </c>
      <c r="C7134" s="630">
        <v>95344</v>
      </c>
      <c r="D7134" s="630" t="s">
        <v>1841</v>
      </c>
      <c r="E7134" s="630" t="s">
        <v>902</v>
      </c>
      <c r="F7134" s="980">
        <v>0</v>
      </c>
      <c r="G7134" s="981">
        <v>0.2</v>
      </c>
      <c r="H7134" s="848">
        <v>0.2</v>
      </c>
    </row>
    <row r="7135" spans="2:8" ht="25.5" hidden="1">
      <c r="B7135" s="630" t="s">
        <v>6541</v>
      </c>
      <c r="C7135" s="630">
        <v>95345</v>
      </c>
      <c r="D7135" s="630" t="s">
        <v>1842</v>
      </c>
      <c r="E7135" s="630" t="s">
        <v>902</v>
      </c>
      <c r="F7135" s="980">
        <v>0</v>
      </c>
      <c r="G7135" s="981">
        <v>0.75</v>
      </c>
      <c r="H7135" s="848">
        <v>0.75</v>
      </c>
    </row>
    <row r="7136" spans="2:8" ht="25.5" hidden="1">
      <c r="B7136" s="630" t="s">
        <v>6541</v>
      </c>
      <c r="C7136" s="630">
        <v>95346</v>
      </c>
      <c r="D7136" s="630" t="s">
        <v>1843</v>
      </c>
      <c r="E7136" s="630" t="s">
        <v>902</v>
      </c>
      <c r="F7136" s="980">
        <v>0</v>
      </c>
      <c r="G7136" s="981">
        <v>7.0000000000000007E-2</v>
      </c>
      <c r="H7136" s="848">
        <v>7.0000000000000007E-2</v>
      </c>
    </row>
    <row r="7137" spans="2:8" ht="25.5" hidden="1">
      <c r="B7137" s="630" t="s">
        <v>6541</v>
      </c>
      <c r="C7137" s="630">
        <v>95347</v>
      </c>
      <c r="D7137" s="630" t="s">
        <v>1844</v>
      </c>
      <c r="E7137" s="630" t="s">
        <v>902</v>
      </c>
      <c r="F7137" s="980">
        <v>0</v>
      </c>
      <c r="G7137" s="981">
        <v>0.08</v>
      </c>
      <c r="H7137" s="848">
        <v>0.08</v>
      </c>
    </row>
    <row r="7138" spans="2:8" ht="25.5" hidden="1">
      <c r="B7138" s="630" t="s">
        <v>6541</v>
      </c>
      <c r="C7138" s="630">
        <v>95348</v>
      </c>
      <c r="D7138" s="630" t="s">
        <v>1845</v>
      </c>
      <c r="E7138" s="630" t="s">
        <v>902</v>
      </c>
      <c r="F7138" s="980">
        <v>0</v>
      </c>
      <c r="G7138" s="981">
        <v>0.1</v>
      </c>
      <c r="H7138" s="848">
        <v>0.1</v>
      </c>
    </row>
    <row r="7139" spans="2:8" ht="25.5" hidden="1">
      <c r="B7139" s="630" t="s">
        <v>6541</v>
      </c>
      <c r="C7139" s="630">
        <v>95349</v>
      </c>
      <c r="D7139" s="630" t="s">
        <v>1846</v>
      </c>
      <c r="E7139" s="630" t="s">
        <v>902</v>
      </c>
      <c r="F7139" s="980">
        <v>0</v>
      </c>
      <c r="G7139" s="981">
        <v>0.08</v>
      </c>
      <c r="H7139" s="848">
        <v>0.08</v>
      </c>
    </row>
    <row r="7140" spans="2:8" ht="25.5" hidden="1">
      <c r="B7140" s="630" t="s">
        <v>6541</v>
      </c>
      <c r="C7140" s="630">
        <v>95350</v>
      </c>
      <c r="D7140" s="630" t="s">
        <v>1847</v>
      </c>
      <c r="E7140" s="630" t="s">
        <v>902</v>
      </c>
      <c r="F7140" s="980">
        <v>0</v>
      </c>
      <c r="G7140" s="981">
        <v>0.09</v>
      </c>
      <c r="H7140" s="848">
        <v>0.09</v>
      </c>
    </row>
    <row r="7141" spans="2:8" ht="25.5" hidden="1">
      <c r="B7141" s="630" t="s">
        <v>6541</v>
      </c>
      <c r="C7141" s="630">
        <v>95351</v>
      </c>
      <c r="D7141" s="630" t="s">
        <v>1848</v>
      </c>
      <c r="E7141" s="630" t="s">
        <v>902</v>
      </c>
      <c r="F7141" s="980">
        <v>0</v>
      </c>
      <c r="G7141" s="981">
        <v>0.3</v>
      </c>
      <c r="H7141" s="848">
        <v>0.3</v>
      </c>
    </row>
    <row r="7142" spans="2:8" ht="25.5" hidden="1">
      <c r="B7142" s="630" t="s">
        <v>6541</v>
      </c>
      <c r="C7142" s="630">
        <v>95352</v>
      </c>
      <c r="D7142" s="630" t="s">
        <v>1849</v>
      </c>
      <c r="E7142" s="630" t="s">
        <v>902</v>
      </c>
      <c r="F7142" s="980">
        <v>0</v>
      </c>
      <c r="G7142" s="981">
        <v>0.09</v>
      </c>
      <c r="H7142" s="848">
        <v>0.09</v>
      </c>
    </row>
    <row r="7143" spans="2:8" ht="25.5" hidden="1">
      <c r="B7143" s="630" t="s">
        <v>6541</v>
      </c>
      <c r="C7143" s="630">
        <v>95354</v>
      </c>
      <c r="D7143" s="630" t="s">
        <v>1850</v>
      </c>
      <c r="E7143" s="630" t="s">
        <v>902</v>
      </c>
      <c r="F7143" s="980">
        <v>0</v>
      </c>
      <c r="G7143" s="981">
        <v>0.12</v>
      </c>
      <c r="H7143" s="848">
        <v>0.12</v>
      </c>
    </row>
    <row r="7144" spans="2:8" ht="25.5" hidden="1">
      <c r="B7144" s="630" t="s">
        <v>6541</v>
      </c>
      <c r="C7144" s="630">
        <v>95355</v>
      </c>
      <c r="D7144" s="630" t="s">
        <v>1851</v>
      </c>
      <c r="E7144" s="630" t="s">
        <v>902</v>
      </c>
      <c r="F7144" s="980">
        <v>0</v>
      </c>
      <c r="G7144" s="981">
        <v>0.13</v>
      </c>
      <c r="H7144" s="848">
        <v>0.13</v>
      </c>
    </row>
    <row r="7145" spans="2:8" ht="25.5" hidden="1">
      <c r="B7145" s="630" t="s">
        <v>6541</v>
      </c>
      <c r="C7145" s="630">
        <v>95356</v>
      </c>
      <c r="D7145" s="630" t="s">
        <v>1852</v>
      </c>
      <c r="E7145" s="630" t="s">
        <v>902</v>
      </c>
      <c r="F7145" s="980">
        <v>0</v>
      </c>
      <c r="G7145" s="981">
        <v>0.14000000000000001</v>
      </c>
      <c r="H7145" s="848">
        <v>0.14000000000000001</v>
      </c>
    </row>
    <row r="7146" spans="2:8" ht="25.5" hidden="1">
      <c r="B7146" s="630" t="s">
        <v>6541</v>
      </c>
      <c r="C7146" s="630">
        <v>95357</v>
      </c>
      <c r="D7146" s="630" t="s">
        <v>1853</v>
      </c>
      <c r="E7146" s="630" t="s">
        <v>902</v>
      </c>
      <c r="F7146" s="980">
        <v>0</v>
      </c>
      <c r="G7146" s="981">
        <v>0.22</v>
      </c>
      <c r="H7146" s="848">
        <v>0.22</v>
      </c>
    </row>
    <row r="7147" spans="2:8" ht="25.5" hidden="1">
      <c r="B7147" s="630" t="s">
        <v>6541</v>
      </c>
      <c r="C7147" s="630">
        <v>95358</v>
      </c>
      <c r="D7147" s="630" t="s">
        <v>1854</v>
      </c>
      <c r="E7147" s="630" t="s">
        <v>902</v>
      </c>
      <c r="F7147" s="980">
        <v>0</v>
      </c>
      <c r="G7147" s="981">
        <v>0.28999999999999998</v>
      </c>
      <c r="H7147" s="848">
        <v>0.28999999999999998</v>
      </c>
    </row>
    <row r="7148" spans="2:8" ht="25.5" hidden="1">
      <c r="B7148" s="630" t="s">
        <v>6541</v>
      </c>
      <c r="C7148" s="630">
        <v>95359</v>
      </c>
      <c r="D7148" s="630" t="s">
        <v>1855</v>
      </c>
      <c r="E7148" s="630" t="s">
        <v>902</v>
      </c>
      <c r="F7148" s="980">
        <v>0</v>
      </c>
      <c r="G7148" s="981">
        <v>0.73</v>
      </c>
      <c r="H7148" s="848">
        <v>0.73</v>
      </c>
    </row>
    <row r="7149" spans="2:8" ht="25.5" hidden="1">
      <c r="B7149" s="630" t="s">
        <v>6541</v>
      </c>
      <c r="C7149" s="630">
        <v>95360</v>
      </c>
      <c r="D7149" s="630" t="s">
        <v>1856</v>
      </c>
      <c r="E7149" s="630" t="s">
        <v>902</v>
      </c>
      <c r="F7149" s="980">
        <v>0</v>
      </c>
      <c r="G7149" s="981">
        <v>0.22</v>
      </c>
      <c r="H7149" s="848">
        <v>0.22</v>
      </c>
    </row>
    <row r="7150" spans="2:8" ht="25.5" hidden="1">
      <c r="B7150" s="630" t="s">
        <v>6541</v>
      </c>
      <c r="C7150" s="630">
        <v>95361</v>
      </c>
      <c r="D7150" s="630" t="s">
        <v>1857</v>
      </c>
      <c r="E7150" s="630" t="s">
        <v>902</v>
      </c>
      <c r="F7150" s="980">
        <v>0</v>
      </c>
      <c r="G7150" s="981">
        <v>0.12</v>
      </c>
      <c r="H7150" s="848">
        <v>0.12</v>
      </c>
    </row>
    <row r="7151" spans="2:8" ht="25.5" hidden="1">
      <c r="B7151" s="630" t="s">
        <v>6541</v>
      </c>
      <c r="C7151" s="630">
        <v>95362</v>
      </c>
      <c r="D7151" s="630" t="s">
        <v>1858</v>
      </c>
      <c r="E7151" s="630" t="s">
        <v>902</v>
      </c>
      <c r="F7151" s="980">
        <v>0</v>
      </c>
      <c r="G7151" s="981">
        <v>0.15</v>
      </c>
      <c r="H7151" s="848">
        <v>0.15</v>
      </c>
    </row>
    <row r="7152" spans="2:8" ht="25.5" hidden="1">
      <c r="B7152" s="630" t="s">
        <v>6541</v>
      </c>
      <c r="C7152" s="630">
        <v>95363</v>
      </c>
      <c r="D7152" s="630" t="s">
        <v>1859</v>
      </c>
      <c r="E7152" s="630" t="s">
        <v>902</v>
      </c>
      <c r="F7152" s="980">
        <v>0</v>
      </c>
      <c r="G7152" s="981">
        <v>0.18</v>
      </c>
      <c r="H7152" s="848">
        <v>0.18</v>
      </c>
    </row>
    <row r="7153" spans="2:8" ht="25.5" hidden="1">
      <c r="B7153" s="630" t="s">
        <v>6541</v>
      </c>
      <c r="C7153" s="630">
        <v>95364</v>
      </c>
      <c r="D7153" s="630" t="s">
        <v>1860</v>
      </c>
      <c r="E7153" s="630" t="s">
        <v>902</v>
      </c>
      <c r="F7153" s="980">
        <v>0</v>
      </c>
      <c r="G7153" s="981">
        <v>0.15</v>
      </c>
      <c r="H7153" s="848">
        <v>0.15</v>
      </c>
    </row>
    <row r="7154" spans="2:8" ht="25.5" hidden="1">
      <c r="B7154" s="630" t="s">
        <v>6541</v>
      </c>
      <c r="C7154" s="630">
        <v>95365</v>
      </c>
      <c r="D7154" s="630" t="s">
        <v>1861</v>
      </c>
      <c r="E7154" s="630" t="s">
        <v>902</v>
      </c>
      <c r="F7154" s="980">
        <v>0</v>
      </c>
      <c r="G7154" s="981">
        <v>0.15</v>
      </c>
      <c r="H7154" s="848">
        <v>0.15</v>
      </c>
    </row>
    <row r="7155" spans="2:8" ht="25.5" hidden="1">
      <c r="B7155" s="630" t="s">
        <v>6541</v>
      </c>
      <c r="C7155" s="630">
        <v>95366</v>
      </c>
      <c r="D7155" s="630" t="s">
        <v>1862</v>
      </c>
      <c r="E7155" s="630" t="s">
        <v>902</v>
      </c>
      <c r="F7155" s="980">
        <v>0</v>
      </c>
      <c r="G7155" s="981">
        <v>0.13</v>
      </c>
      <c r="H7155" s="848">
        <v>0.13</v>
      </c>
    </row>
    <row r="7156" spans="2:8" ht="25.5" hidden="1">
      <c r="B7156" s="630" t="s">
        <v>6541</v>
      </c>
      <c r="C7156" s="630">
        <v>95367</v>
      </c>
      <c r="D7156" s="630" t="s">
        <v>2059</v>
      </c>
      <c r="E7156" s="630" t="s">
        <v>902</v>
      </c>
      <c r="F7156" s="980">
        <v>0</v>
      </c>
      <c r="G7156" s="981">
        <v>0.13</v>
      </c>
      <c r="H7156" s="848">
        <v>0.13</v>
      </c>
    </row>
    <row r="7157" spans="2:8" ht="25.5" hidden="1">
      <c r="B7157" s="630" t="s">
        <v>6541</v>
      </c>
      <c r="C7157" s="630">
        <v>95368</v>
      </c>
      <c r="D7157" s="630" t="s">
        <v>1863</v>
      </c>
      <c r="E7157" s="630" t="s">
        <v>902</v>
      </c>
      <c r="F7157" s="980">
        <v>0</v>
      </c>
      <c r="G7157" s="981">
        <v>0.2</v>
      </c>
      <c r="H7157" s="848">
        <v>0.2</v>
      </c>
    </row>
    <row r="7158" spans="2:8" ht="25.5" hidden="1">
      <c r="B7158" s="630" t="s">
        <v>6541</v>
      </c>
      <c r="C7158" s="630">
        <v>95369</v>
      </c>
      <c r="D7158" s="630" t="s">
        <v>1864</v>
      </c>
      <c r="E7158" s="630" t="s">
        <v>902</v>
      </c>
      <c r="F7158" s="980">
        <v>0</v>
      </c>
      <c r="G7158" s="981">
        <v>0.14000000000000001</v>
      </c>
      <c r="H7158" s="848">
        <v>0.14000000000000001</v>
      </c>
    </row>
    <row r="7159" spans="2:8" ht="25.5" hidden="1">
      <c r="B7159" s="630" t="s">
        <v>6541</v>
      </c>
      <c r="C7159" s="630">
        <v>95370</v>
      </c>
      <c r="D7159" s="630" t="s">
        <v>2121</v>
      </c>
      <c r="E7159" s="630" t="s">
        <v>902</v>
      </c>
      <c r="F7159" s="980">
        <v>0</v>
      </c>
      <c r="G7159" s="981">
        <v>0.28000000000000003</v>
      </c>
      <c r="H7159" s="848">
        <v>0.28000000000000003</v>
      </c>
    </row>
    <row r="7160" spans="2:8" ht="25.5" hidden="1">
      <c r="B7160" s="630" t="s">
        <v>6541</v>
      </c>
      <c r="C7160" s="630">
        <v>95371</v>
      </c>
      <c r="D7160" s="630" t="s">
        <v>2122</v>
      </c>
      <c r="E7160" s="630" t="s">
        <v>902</v>
      </c>
      <c r="F7160" s="980">
        <v>0</v>
      </c>
      <c r="G7160" s="981">
        <v>0.41</v>
      </c>
      <c r="H7160" s="848">
        <v>0.41</v>
      </c>
    </row>
    <row r="7161" spans="2:8" ht="25.5" hidden="1">
      <c r="B7161" s="630" t="s">
        <v>6541</v>
      </c>
      <c r="C7161" s="630">
        <v>95372</v>
      </c>
      <c r="D7161" s="630" t="s">
        <v>2123</v>
      </c>
      <c r="E7161" s="630" t="s">
        <v>902</v>
      </c>
      <c r="F7161" s="980">
        <v>0</v>
      </c>
      <c r="G7161" s="981">
        <v>0.28000000000000003</v>
      </c>
      <c r="H7161" s="848">
        <v>0.28000000000000003</v>
      </c>
    </row>
    <row r="7162" spans="2:8" ht="25.5" hidden="1">
      <c r="B7162" s="630" t="s">
        <v>6541</v>
      </c>
      <c r="C7162" s="630">
        <v>95373</v>
      </c>
      <c r="D7162" s="630" t="s">
        <v>2124</v>
      </c>
      <c r="E7162" s="630" t="s">
        <v>902</v>
      </c>
      <c r="F7162" s="980">
        <v>0</v>
      </c>
      <c r="G7162" s="981">
        <v>0.27</v>
      </c>
      <c r="H7162" s="848">
        <v>0.27</v>
      </c>
    </row>
    <row r="7163" spans="2:8" ht="25.5" hidden="1">
      <c r="B7163" s="630" t="s">
        <v>6541</v>
      </c>
      <c r="C7163" s="630">
        <v>95374</v>
      </c>
      <c r="D7163" s="630" t="s">
        <v>2125</v>
      </c>
      <c r="E7163" s="630" t="s">
        <v>902</v>
      </c>
      <c r="F7163" s="980">
        <v>0</v>
      </c>
      <c r="G7163" s="981">
        <v>0.28000000000000003</v>
      </c>
      <c r="H7163" s="848">
        <v>0.28000000000000003</v>
      </c>
    </row>
    <row r="7164" spans="2:8" ht="25.5" hidden="1">
      <c r="B7164" s="630" t="s">
        <v>6541</v>
      </c>
      <c r="C7164" s="630">
        <v>95375</v>
      </c>
      <c r="D7164" s="630" t="s">
        <v>2126</v>
      </c>
      <c r="E7164" s="630" t="s">
        <v>902</v>
      </c>
      <c r="F7164" s="980">
        <v>0</v>
      </c>
      <c r="G7164" s="981">
        <v>0.3</v>
      </c>
      <c r="H7164" s="848">
        <v>0.3</v>
      </c>
    </row>
    <row r="7165" spans="2:8" ht="25.5" hidden="1">
      <c r="B7165" s="630" t="s">
        <v>6541</v>
      </c>
      <c r="C7165" s="630">
        <v>95376</v>
      </c>
      <c r="D7165" s="630" t="s">
        <v>2127</v>
      </c>
      <c r="E7165" s="630" t="s">
        <v>902</v>
      </c>
      <c r="F7165" s="980">
        <v>0</v>
      </c>
      <c r="G7165" s="981">
        <v>0.06</v>
      </c>
      <c r="H7165" s="848">
        <v>0.06</v>
      </c>
    </row>
    <row r="7166" spans="2:8" ht="25.5" hidden="1">
      <c r="B7166" s="630" t="s">
        <v>6541</v>
      </c>
      <c r="C7166" s="630">
        <v>95377</v>
      </c>
      <c r="D7166" s="630" t="s">
        <v>2128</v>
      </c>
      <c r="E7166" s="630" t="s">
        <v>902</v>
      </c>
      <c r="F7166" s="980">
        <v>0</v>
      </c>
      <c r="G7166" s="981">
        <v>0.22</v>
      </c>
      <c r="H7166" s="848">
        <v>0.22</v>
      </c>
    </row>
    <row r="7167" spans="2:8" ht="25.5" hidden="1">
      <c r="B7167" s="630" t="s">
        <v>6541</v>
      </c>
      <c r="C7167" s="630">
        <v>95378</v>
      </c>
      <c r="D7167" s="630" t="s">
        <v>2129</v>
      </c>
      <c r="E7167" s="630" t="s">
        <v>902</v>
      </c>
      <c r="F7167" s="980">
        <v>0</v>
      </c>
      <c r="G7167" s="981">
        <v>0.28999999999999998</v>
      </c>
      <c r="H7167" s="848">
        <v>0.28999999999999998</v>
      </c>
    </row>
    <row r="7168" spans="2:8" ht="25.5" hidden="1">
      <c r="B7168" s="630" t="s">
        <v>6541</v>
      </c>
      <c r="C7168" s="630">
        <v>95379</v>
      </c>
      <c r="D7168" s="630" t="s">
        <v>2130</v>
      </c>
      <c r="E7168" s="630" t="s">
        <v>902</v>
      </c>
      <c r="F7168" s="980">
        <v>0</v>
      </c>
      <c r="G7168" s="981">
        <v>0.23</v>
      </c>
      <c r="H7168" s="848">
        <v>0.23</v>
      </c>
    </row>
    <row r="7169" spans="2:8" ht="25.5" hidden="1">
      <c r="B7169" s="630" t="s">
        <v>6541</v>
      </c>
      <c r="C7169" s="630">
        <v>95380</v>
      </c>
      <c r="D7169" s="630" t="s">
        <v>2131</v>
      </c>
      <c r="E7169" s="630" t="s">
        <v>902</v>
      </c>
      <c r="F7169" s="980">
        <v>0</v>
      </c>
      <c r="G7169" s="981">
        <v>0.18</v>
      </c>
      <c r="H7169" s="848">
        <v>0.18</v>
      </c>
    </row>
    <row r="7170" spans="2:8" ht="25.5" hidden="1">
      <c r="B7170" s="630" t="s">
        <v>6541</v>
      </c>
      <c r="C7170" s="630">
        <v>95382</v>
      </c>
      <c r="D7170" s="630" t="s">
        <v>2132</v>
      </c>
      <c r="E7170" s="630" t="s">
        <v>902</v>
      </c>
      <c r="F7170" s="980">
        <v>0</v>
      </c>
      <c r="G7170" s="981">
        <v>0.22</v>
      </c>
      <c r="H7170" s="848">
        <v>0.22</v>
      </c>
    </row>
    <row r="7171" spans="2:8" ht="25.5" hidden="1">
      <c r="B7171" s="630" t="s">
        <v>6541</v>
      </c>
      <c r="C7171" s="630">
        <v>95383</v>
      </c>
      <c r="D7171" s="630" t="s">
        <v>2133</v>
      </c>
      <c r="E7171" s="630" t="s">
        <v>902</v>
      </c>
      <c r="F7171" s="980">
        <v>0</v>
      </c>
      <c r="G7171" s="981">
        <v>0.23</v>
      </c>
      <c r="H7171" s="848">
        <v>0.23</v>
      </c>
    </row>
    <row r="7172" spans="2:8" ht="25.5" hidden="1">
      <c r="B7172" s="630" t="s">
        <v>6541</v>
      </c>
      <c r="C7172" s="630">
        <v>95384</v>
      </c>
      <c r="D7172" s="630" t="s">
        <v>2134</v>
      </c>
      <c r="E7172" s="630" t="s">
        <v>902</v>
      </c>
      <c r="F7172" s="980">
        <v>0</v>
      </c>
      <c r="G7172" s="981">
        <v>0.23</v>
      </c>
      <c r="H7172" s="848">
        <v>0.23</v>
      </c>
    </row>
    <row r="7173" spans="2:8" ht="25.5" hidden="1">
      <c r="B7173" s="630" t="s">
        <v>6541</v>
      </c>
      <c r="C7173" s="630">
        <v>95385</v>
      </c>
      <c r="D7173" s="630" t="s">
        <v>2135</v>
      </c>
      <c r="E7173" s="630" t="s">
        <v>902</v>
      </c>
      <c r="F7173" s="980">
        <v>0</v>
      </c>
      <c r="G7173" s="981">
        <v>0.22</v>
      </c>
      <c r="H7173" s="848">
        <v>0.22</v>
      </c>
    </row>
    <row r="7174" spans="2:8" ht="25.5" hidden="1">
      <c r="B7174" s="630" t="s">
        <v>6541</v>
      </c>
      <c r="C7174" s="630">
        <v>95386</v>
      </c>
      <c r="D7174" s="630" t="s">
        <v>2136</v>
      </c>
      <c r="E7174" s="630" t="s">
        <v>902</v>
      </c>
      <c r="F7174" s="980">
        <v>0</v>
      </c>
      <c r="G7174" s="981">
        <v>0.24</v>
      </c>
      <c r="H7174" s="848">
        <v>0.24</v>
      </c>
    </row>
    <row r="7175" spans="2:8" ht="25.5" hidden="1">
      <c r="B7175" s="630" t="s">
        <v>6541</v>
      </c>
      <c r="C7175" s="630">
        <v>95387</v>
      </c>
      <c r="D7175" s="630" t="s">
        <v>2137</v>
      </c>
      <c r="E7175" s="630" t="s">
        <v>902</v>
      </c>
      <c r="F7175" s="980">
        <v>0</v>
      </c>
      <c r="G7175" s="981">
        <v>0.28999999999999998</v>
      </c>
      <c r="H7175" s="848">
        <v>0.28999999999999998</v>
      </c>
    </row>
    <row r="7176" spans="2:8" ht="25.5" hidden="1">
      <c r="B7176" s="630" t="s">
        <v>6541</v>
      </c>
      <c r="C7176" s="630">
        <v>95388</v>
      </c>
      <c r="D7176" s="630" t="s">
        <v>2138</v>
      </c>
      <c r="E7176" s="630" t="s">
        <v>902</v>
      </c>
      <c r="F7176" s="980">
        <v>0</v>
      </c>
      <c r="G7176" s="981">
        <v>0.09</v>
      </c>
      <c r="H7176" s="848">
        <v>0.09</v>
      </c>
    </row>
    <row r="7177" spans="2:8" ht="25.5" hidden="1">
      <c r="B7177" s="630" t="s">
        <v>6541</v>
      </c>
      <c r="C7177" s="630">
        <v>95389</v>
      </c>
      <c r="D7177" s="630" t="s">
        <v>2139</v>
      </c>
      <c r="E7177" s="630" t="s">
        <v>902</v>
      </c>
      <c r="F7177" s="980">
        <v>0</v>
      </c>
      <c r="G7177" s="981">
        <v>0.11</v>
      </c>
      <c r="H7177" s="848">
        <v>0.11</v>
      </c>
    </row>
    <row r="7178" spans="2:8" ht="25.5" hidden="1">
      <c r="B7178" s="630" t="s">
        <v>6541</v>
      </c>
      <c r="C7178" s="630">
        <v>95390</v>
      </c>
      <c r="D7178" s="630" t="s">
        <v>2140</v>
      </c>
      <c r="E7178" s="630" t="s">
        <v>902</v>
      </c>
      <c r="F7178" s="980">
        <v>0</v>
      </c>
      <c r="G7178" s="981">
        <v>7.0000000000000007E-2</v>
      </c>
      <c r="H7178" s="848">
        <v>7.0000000000000007E-2</v>
      </c>
    </row>
    <row r="7179" spans="2:8" ht="25.5" hidden="1">
      <c r="B7179" s="630" t="s">
        <v>6541</v>
      </c>
      <c r="C7179" s="630">
        <v>95391</v>
      </c>
      <c r="D7179" s="630" t="s">
        <v>2141</v>
      </c>
      <c r="E7179" s="630" t="s">
        <v>902</v>
      </c>
      <c r="F7179" s="980">
        <v>0</v>
      </c>
      <c r="G7179" s="981">
        <v>0.15</v>
      </c>
      <c r="H7179" s="848">
        <v>0.15</v>
      </c>
    </row>
    <row r="7180" spans="2:8" ht="25.5" hidden="1">
      <c r="B7180" s="630" t="s">
        <v>6541</v>
      </c>
      <c r="C7180" s="630">
        <v>95392</v>
      </c>
      <c r="D7180" s="630" t="s">
        <v>2142</v>
      </c>
      <c r="E7180" s="630" t="s">
        <v>902</v>
      </c>
      <c r="F7180" s="980">
        <v>0</v>
      </c>
      <c r="G7180" s="981">
        <v>0.09</v>
      </c>
      <c r="H7180" s="848">
        <v>0.09</v>
      </c>
    </row>
    <row r="7181" spans="2:8" ht="25.5" hidden="1">
      <c r="B7181" s="630" t="s">
        <v>6541</v>
      </c>
      <c r="C7181" s="630">
        <v>95393</v>
      </c>
      <c r="D7181" s="630" t="s">
        <v>2143</v>
      </c>
      <c r="E7181" s="630" t="s">
        <v>902</v>
      </c>
      <c r="F7181" s="980">
        <v>0</v>
      </c>
      <c r="G7181" s="981">
        <v>0.36</v>
      </c>
      <c r="H7181" s="848">
        <v>0.36</v>
      </c>
    </row>
    <row r="7182" spans="2:8" ht="25.5" hidden="1">
      <c r="B7182" s="630" t="s">
        <v>6541</v>
      </c>
      <c r="C7182" s="630">
        <v>95394</v>
      </c>
      <c r="D7182" s="630" t="s">
        <v>2144</v>
      </c>
      <c r="E7182" s="630" t="s">
        <v>902</v>
      </c>
      <c r="F7182" s="980">
        <v>0</v>
      </c>
      <c r="G7182" s="981">
        <v>0.49</v>
      </c>
      <c r="H7182" s="848">
        <v>0.49</v>
      </c>
    </row>
    <row r="7183" spans="2:8" ht="25.5" hidden="1">
      <c r="B7183" s="630" t="s">
        <v>6541</v>
      </c>
      <c r="C7183" s="630">
        <v>95395</v>
      </c>
      <c r="D7183" s="630" t="s">
        <v>2145</v>
      </c>
      <c r="E7183" s="630" t="s">
        <v>902</v>
      </c>
      <c r="F7183" s="980">
        <v>0</v>
      </c>
      <c r="G7183" s="981">
        <v>0.7</v>
      </c>
      <c r="H7183" s="848">
        <v>0.7</v>
      </c>
    </row>
    <row r="7184" spans="2:8" ht="25.5" hidden="1">
      <c r="B7184" s="630" t="s">
        <v>6541</v>
      </c>
      <c r="C7184" s="630">
        <v>95396</v>
      </c>
      <c r="D7184" s="630" t="s">
        <v>2146</v>
      </c>
      <c r="E7184" s="630" t="s">
        <v>902</v>
      </c>
      <c r="F7184" s="980">
        <v>0</v>
      </c>
      <c r="G7184" s="981">
        <v>0.93</v>
      </c>
      <c r="H7184" s="848">
        <v>0.93</v>
      </c>
    </row>
    <row r="7185" spans="2:8" ht="25.5" hidden="1">
      <c r="B7185" s="630" t="s">
        <v>6541</v>
      </c>
      <c r="C7185" s="630">
        <v>95397</v>
      </c>
      <c r="D7185" s="630" t="s">
        <v>2147</v>
      </c>
      <c r="E7185" s="630" t="s">
        <v>902</v>
      </c>
      <c r="F7185" s="980">
        <v>0</v>
      </c>
      <c r="G7185" s="981">
        <v>0.06</v>
      </c>
      <c r="H7185" s="848">
        <v>0.06</v>
      </c>
    </row>
    <row r="7186" spans="2:8" ht="25.5" hidden="1">
      <c r="B7186" s="630" t="s">
        <v>6541</v>
      </c>
      <c r="C7186" s="630">
        <v>95398</v>
      </c>
      <c r="D7186" s="630" t="s">
        <v>2148</v>
      </c>
      <c r="E7186" s="630" t="s">
        <v>902</v>
      </c>
      <c r="F7186" s="980">
        <v>0</v>
      </c>
      <c r="G7186" s="981">
        <v>7.0000000000000007E-2</v>
      </c>
      <c r="H7186" s="848">
        <v>7.0000000000000007E-2</v>
      </c>
    </row>
    <row r="7187" spans="2:8" ht="25.5" hidden="1">
      <c r="B7187" s="630" t="s">
        <v>6541</v>
      </c>
      <c r="C7187" s="630">
        <v>95399</v>
      </c>
      <c r="D7187" s="630" t="s">
        <v>2149</v>
      </c>
      <c r="E7187" s="630" t="s">
        <v>902</v>
      </c>
      <c r="F7187" s="980">
        <v>0</v>
      </c>
      <c r="G7187" s="981">
        <v>0.04</v>
      </c>
      <c r="H7187" s="848">
        <v>0.04</v>
      </c>
    </row>
    <row r="7188" spans="2:8" ht="25.5" hidden="1">
      <c r="B7188" s="630" t="s">
        <v>6541</v>
      </c>
      <c r="C7188" s="630">
        <v>95400</v>
      </c>
      <c r="D7188" s="630" t="s">
        <v>2150</v>
      </c>
      <c r="E7188" s="630" t="s">
        <v>902</v>
      </c>
      <c r="F7188" s="980">
        <v>0</v>
      </c>
      <c r="G7188" s="981">
        <v>0.08</v>
      </c>
      <c r="H7188" s="848">
        <v>0.08</v>
      </c>
    </row>
    <row r="7189" spans="2:8" ht="25.5" hidden="1">
      <c r="B7189" s="630" t="s">
        <v>6541</v>
      </c>
      <c r="C7189" s="630">
        <v>95401</v>
      </c>
      <c r="D7189" s="630" t="s">
        <v>2151</v>
      </c>
      <c r="E7189" s="630" t="s">
        <v>902</v>
      </c>
      <c r="F7189" s="980">
        <v>0</v>
      </c>
      <c r="G7189" s="981">
        <v>0.66</v>
      </c>
      <c r="H7189" s="848">
        <v>0.66</v>
      </c>
    </row>
    <row r="7190" spans="2:8" ht="25.5" hidden="1">
      <c r="B7190" s="630" t="s">
        <v>6541</v>
      </c>
      <c r="C7190" s="630">
        <v>95402</v>
      </c>
      <c r="D7190" s="630" t="s">
        <v>2152</v>
      </c>
      <c r="E7190" s="630" t="s">
        <v>902</v>
      </c>
      <c r="F7190" s="980">
        <v>0</v>
      </c>
      <c r="G7190" s="981">
        <v>1.2</v>
      </c>
      <c r="H7190" s="848">
        <v>1.2</v>
      </c>
    </row>
    <row r="7191" spans="2:8" ht="25.5" hidden="1">
      <c r="B7191" s="630" t="s">
        <v>6541</v>
      </c>
      <c r="C7191" s="630">
        <v>95403</v>
      </c>
      <c r="D7191" s="630" t="s">
        <v>2153</v>
      </c>
      <c r="E7191" s="630" t="s">
        <v>902</v>
      </c>
      <c r="F7191" s="980">
        <v>0</v>
      </c>
      <c r="G7191" s="981">
        <v>1.37</v>
      </c>
      <c r="H7191" s="848">
        <v>1.37</v>
      </c>
    </row>
    <row r="7192" spans="2:8" ht="25.5" hidden="1">
      <c r="B7192" s="630" t="s">
        <v>6541</v>
      </c>
      <c r="C7192" s="630">
        <v>95404</v>
      </c>
      <c r="D7192" s="630" t="s">
        <v>2154</v>
      </c>
      <c r="E7192" s="630" t="s">
        <v>902</v>
      </c>
      <c r="F7192" s="980">
        <v>0</v>
      </c>
      <c r="G7192" s="981">
        <v>1.88</v>
      </c>
      <c r="H7192" s="848">
        <v>1.88</v>
      </c>
    </row>
    <row r="7193" spans="2:8" ht="25.5" hidden="1">
      <c r="B7193" s="630" t="s">
        <v>6541</v>
      </c>
      <c r="C7193" s="630">
        <v>95405</v>
      </c>
      <c r="D7193" s="630" t="s">
        <v>2155</v>
      </c>
      <c r="E7193" s="630" t="s">
        <v>902</v>
      </c>
      <c r="F7193" s="980">
        <v>0</v>
      </c>
      <c r="G7193" s="981">
        <v>1.1399999999999999</v>
      </c>
      <c r="H7193" s="848">
        <v>1.1399999999999999</v>
      </c>
    </row>
    <row r="7194" spans="2:8" ht="25.5" hidden="1">
      <c r="B7194" s="630" t="s">
        <v>6541</v>
      </c>
      <c r="C7194" s="630">
        <v>95406</v>
      </c>
      <c r="D7194" s="630" t="s">
        <v>2156</v>
      </c>
      <c r="E7194" s="630" t="s">
        <v>902</v>
      </c>
      <c r="F7194" s="980">
        <v>0</v>
      </c>
      <c r="G7194" s="981">
        <v>0.16</v>
      </c>
      <c r="H7194" s="848">
        <v>0.16</v>
      </c>
    </row>
    <row r="7195" spans="2:8" ht="25.5" hidden="1">
      <c r="B7195" s="630" t="s">
        <v>6541</v>
      </c>
      <c r="C7195" s="630">
        <v>95407</v>
      </c>
      <c r="D7195" s="630" t="s">
        <v>2157</v>
      </c>
      <c r="E7195" s="630" t="s">
        <v>902</v>
      </c>
      <c r="F7195" s="980">
        <v>0</v>
      </c>
      <c r="G7195" s="981">
        <v>2.73</v>
      </c>
      <c r="H7195" s="848">
        <v>2.73</v>
      </c>
    </row>
    <row r="7196" spans="2:8" ht="25.5" hidden="1">
      <c r="B7196" s="630" t="s">
        <v>6541</v>
      </c>
      <c r="C7196" s="630">
        <v>95408</v>
      </c>
      <c r="D7196" s="630" t="s">
        <v>2158</v>
      </c>
      <c r="E7196" s="630" t="s">
        <v>574</v>
      </c>
      <c r="F7196" s="980">
        <v>0</v>
      </c>
      <c r="G7196" s="981">
        <v>10.94</v>
      </c>
      <c r="H7196" s="848">
        <v>10.94</v>
      </c>
    </row>
    <row r="7197" spans="2:8" ht="25.5" hidden="1">
      <c r="B7197" s="630" t="s">
        <v>6541</v>
      </c>
      <c r="C7197" s="630">
        <v>95409</v>
      </c>
      <c r="D7197" s="630" t="s">
        <v>2159</v>
      </c>
      <c r="E7197" s="630" t="s">
        <v>574</v>
      </c>
      <c r="F7197" s="980">
        <v>0</v>
      </c>
      <c r="G7197" s="981">
        <v>20.18</v>
      </c>
      <c r="H7197" s="848">
        <v>20.18</v>
      </c>
    </row>
    <row r="7198" spans="2:8" ht="25.5" hidden="1">
      <c r="B7198" s="630" t="s">
        <v>6541</v>
      </c>
      <c r="C7198" s="630">
        <v>95410</v>
      </c>
      <c r="D7198" s="630" t="s">
        <v>2160</v>
      </c>
      <c r="E7198" s="630" t="s">
        <v>574</v>
      </c>
      <c r="F7198" s="980">
        <v>0</v>
      </c>
      <c r="G7198" s="981">
        <v>6.65</v>
      </c>
      <c r="H7198" s="848">
        <v>6.65</v>
      </c>
    </row>
    <row r="7199" spans="2:8" ht="25.5" hidden="1">
      <c r="B7199" s="630" t="s">
        <v>6541</v>
      </c>
      <c r="C7199" s="630">
        <v>95411</v>
      </c>
      <c r="D7199" s="630" t="s">
        <v>2161</v>
      </c>
      <c r="E7199" s="630" t="s">
        <v>574</v>
      </c>
      <c r="F7199" s="980">
        <v>0</v>
      </c>
      <c r="G7199" s="981">
        <v>10.69</v>
      </c>
      <c r="H7199" s="848">
        <v>10.69</v>
      </c>
    </row>
    <row r="7200" spans="2:8" ht="25.5" hidden="1">
      <c r="B7200" s="630" t="s">
        <v>6541</v>
      </c>
      <c r="C7200" s="630">
        <v>95412</v>
      </c>
      <c r="D7200" s="630" t="s">
        <v>1877</v>
      </c>
      <c r="E7200" s="630" t="s">
        <v>574</v>
      </c>
      <c r="F7200" s="980">
        <v>0</v>
      </c>
      <c r="G7200" s="981">
        <v>9.0299999999999994</v>
      </c>
      <c r="H7200" s="848">
        <v>9.0299999999999994</v>
      </c>
    </row>
    <row r="7201" spans="2:8" ht="25.5" hidden="1">
      <c r="B7201" s="630" t="s">
        <v>6541</v>
      </c>
      <c r="C7201" s="630">
        <v>95413</v>
      </c>
      <c r="D7201" s="630" t="s">
        <v>1878</v>
      </c>
      <c r="E7201" s="630" t="s">
        <v>574</v>
      </c>
      <c r="F7201" s="980">
        <v>0</v>
      </c>
      <c r="G7201" s="981">
        <v>13.04</v>
      </c>
      <c r="H7201" s="848">
        <v>13.04</v>
      </c>
    </row>
    <row r="7202" spans="2:8" ht="25.5" hidden="1">
      <c r="B7202" s="630" t="s">
        <v>6541</v>
      </c>
      <c r="C7202" s="630">
        <v>95414</v>
      </c>
      <c r="D7202" s="630" t="s">
        <v>1879</v>
      </c>
      <c r="E7202" s="630" t="s">
        <v>574</v>
      </c>
      <c r="F7202" s="980">
        <v>0</v>
      </c>
      <c r="G7202" s="981">
        <v>48.64</v>
      </c>
      <c r="H7202" s="848">
        <v>48.64</v>
      </c>
    </row>
    <row r="7203" spans="2:8" ht="25.5" hidden="1">
      <c r="B7203" s="630" t="s">
        <v>6541</v>
      </c>
      <c r="C7203" s="630">
        <v>95415</v>
      </c>
      <c r="D7203" s="630" t="s">
        <v>1880</v>
      </c>
      <c r="E7203" s="630" t="s">
        <v>574</v>
      </c>
      <c r="F7203" s="980">
        <v>0</v>
      </c>
      <c r="G7203" s="981">
        <v>161.06</v>
      </c>
      <c r="H7203" s="848">
        <v>161.06</v>
      </c>
    </row>
    <row r="7204" spans="2:8" ht="25.5" hidden="1">
      <c r="B7204" s="630" t="s">
        <v>6541</v>
      </c>
      <c r="C7204" s="630">
        <v>95416</v>
      </c>
      <c r="D7204" s="630" t="s">
        <v>1881</v>
      </c>
      <c r="E7204" s="630" t="s">
        <v>574</v>
      </c>
      <c r="F7204" s="980">
        <v>0</v>
      </c>
      <c r="G7204" s="981">
        <v>10.44</v>
      </c>
      <c r="H7204" s="848">
        <v>10.44</v>
      </c>
    </row>
    <row r="7205" spans="2:8" ht="25.5" hidden="1">
      <c r="B7205" s="630" t="s">
        <v>6541</v>
      </c>
      <c r="C7205" s="630">
        <v>95417</v>
      </c>
      <c r="D7205" s="630" t="s">
        <v>1882</v>
      </c>
      <c r="E7205" s="630" t="s">
        <v>574</v>
      </c>
      <c r="F7205" s="980">
        <v>0</v>
      </c>
      <c r="G7205" s="981">
        <v>183.32</v>
      </c>
      <c r="H7205" s="848">
        <v>183.32</v>
      </c>
    </row>
    <row r="7206" spans="2:8" ht="25.5" hidden="1">
      <c r="B7206" s="630" t="s">
        <v>6541</v>
      </c>
      <c r="C7206" s="630">
        <v>95418</v>
      </c>
      <c r="D7206" s="630" t="s">
        <v>1883</v>
      </c>
      <c r="E7206" s="630" t="s">
        <v>574</v>
      </c>
      <c r="F7206" s="980">
        <v>0</v>
      </c>
      <c r="G7206" s="981">
        <v>250.59</v>
      </c>
      <c r="H7206" s="848">
        <v>250.59</v>
      </c>
    </row>
    <row r="7207" spans="2:8" ht="25.5" hidden="1">
      <c r="B7207" s="630" t="s">
        <v>6541</v>
      </c>
      <c r="C7207" s="630">
        <v>95419</v>
      </c>
      <c r="D7207" s="630" t="s">
        <v>1884</v>
      </c>
      <c r="E7207" s="630" t="s">
        <v>574</v>
      </c>
      <c r="F7207" s="980">
        <v>0</v>
      </c>
      <c r="G7207" s="981">
        <v>66.53</v>
      </c>
      <c r="H7207" s="848">
        <v>66.53</v>
      </c>
    </row>
    <row r="7208" spans="2:8" ht="25.5" hidden="1">
      <c r="B7208" s="630" t="s">
        <v>6541</v>
      </c>
      <c r="C7208" s="630">
        <v>95420</v>
      </c>
      <c r="D7208" s="630" t="s">
        <v>1885</v>
      </c>
      <c r="E7208" s="630" t="s">
        <v>574</v>
      </c>
      <c r="F7208" s="980">
        <v>0</v>
      </c>
      <c r="G7208" s="981">
        <v>94.5</v>
      </c>
      <c r="H7208" s="848">
        <v>94.5</v>
      </c>
    </row>
    <row r="7209" spans="2:8" ht="25.5" hidden="1">
      <c r="B7209" s="630" t="s">
        <v>6541</v>
      </c>
      <c r="C7209" s="630">
        <v>95421</v>
      </c>
      <c r="D7209" s="630" t="s">
        <v>1886</v>
      </c>
      <c r="E7209" s="630" t="s">
        <v>574</v>
      </c>
      <c r="F7209" s="980">
        <v>0</v>
      </c>
      <c r="G7209" s="981">
        <v>124.94</v>
      </c>
      <c r="H7209" s="848">
        <v>124.94</v>
      </c>
    </row>
    <row r="7210" spans="2:8" ht="25.5" hidden="1">
      <c r="B7210" s="630" t="s">
        <v>6541</v>
      </c>
      <c r="C7210" s="630">
        <v>95422</v>
      </c>
      <c r="D7210" s="630" t="s">
        <v>1887</v>
      </c>
      <c r="E7210" s="630" t="s">
        <v>574</v>
      </c>
      <c r="F7210" s="980">
        <v>0</v>
      </c>
      <c r="G7210" s="981">
        <v>89.23</v>
      </c>
      <c r="H7210" s="848">
        <v>89.23</v>
      </c>
    </row>
    <row r="7211" spans="2:8" ht="25.5" hidden="1">
      <c r="B7211" s="630" t="s">
        <v>6541</v>
      </c>
      <c r="C7211" s="630">
        <v>95423</v>
      </c>
      <c r="D7211" s="630" t="s">
        <v>1888</v>
      </c>
      <c r="E7211" s="630" t="s">
        <v>574</v>
      </c>
      <c r="F7211" s="980">
        <v>0</v>
      </c>
      <c r="G7211" s="981">
        <v>152.83000000000001</v>
      </c>
      <c r="H7211" s="848">
        <v>152.83000000000001</v>
      </c>
    </row>
    <row r="7212" spans="2:8" ht="25.5" hidden="1">
      <c r="B7212" s="630" t="s">
        <v>6541</v>
      </c>
      <c r="C7212" s="630">
        <v>95424</v>
      </c>
      <c r="D7212" s="630" t="s">
        <v>1889</v>
      </c>
      <c r="E7212" s="630" t="s">
        <v>574</v>
      </c>
      <c r="F7212" s="980">
        <v>0</v>
      </c>
      <c r="G7212" s="981">
        <v>21.45</v>
      </c>
      <c r="H7212" s="848">
        <v>21.45</v>
      </c>
    </row>
    <row r="7213" spans="2:8" ht="25.5" hidden="1">
      <c r="B7213" s="630" t="s">
        <v>6541</v>
      </c>
      <c r="C7213" s="630">
        <v>100288</v>
      </c>
      <c r="D7213" s="630" t="s">
        <v>3682</v>
      </c>
      <c r="E7213" s="630" t="s">
        <v>902</v>
      </c>
      <c r="F7213" s="980">
        <v>0</v>
      </c>
      <c r="G7213" s="981">
        <v>7.0000000000000007E-2</v>
      </c>
      <c r="H7213" s="848">
        <v>7.0000000000000007E-2</v>
      </c>
    </row>
    <row r="7214" spans="2:8" hidden="1">
      <c r="B7214" s="630" t="s">
        <v>6541</v>
      </c>
      <c r="C7214" s="630">
        <v>100289</v>
      </c>
      <c r="D7214" s="630" t="s">
        <v>3683</v>
      </c>
      <c r="E7214" s="630" t="s">
        <v>902</v>
      </c>
      <c r="F7214" s="980">
        <v>6.52</v>
      </c>
      <c r="G7214" s="981">
        <v>17.34</v>
      </c>
      <c r="H7214" s="848">
        <v>23.86</v>
      </c>
    </row>
    <row r="7215" spans="2:8" ht="25.5" hidden="1">
      <c r="B7215" s="630" t="s">
        <v>6541</v>
      </c>
      <c r="C7215" s="630">
        <v>100290</v>
      </c>
      <c r="D7215" s="630" t="s">
        <v>3684</v>
      </c>
      <c r="E7215" s="630" t="s">
        <v>902</v>
      </c>
      <c r="F7215" s="980">
        <v>0</v>
      </c>
      <c r="G7215" s="981">
        <v>7.0000000000000007E-2</v>
      </c>
      <c r="H7215" s="848">
        <v>7.0000000000000007E-2</v>
      </c>
    </row>
    <row r="7216" spans="2:8" ht="25.5" hidden="1">
      <c r="B7216" s="630" t="s">
        <v>6541</v>
      </c>
      <c r="C7216" s="630">
        <v>100291</v>
      </c>
      <c r="D7216" s="630" t="s">
        <v>3685</v>
      </c>
      <c r="E7216" s="630" t="s">
        <v>902</v>
      </c>
      <c r="F7216" s="980">
        <v>0</v>
      </c>
      <c r="G7216" s="981">
        <v>0.21</v>
      </c>
      <c r="H7216" s="848">
        <v>0.21</v>
      </c>
    </row>
    <row r="7217" spans="2:8" ht="25.5" hidden="1">
      <c r="B7217" s="630" t="s">
        <v>6541</v>
      </c>
      <c r="C7217" s="630">
        <v>100292</v>
      </c>
      <c r="D7217" s="630" t="s">
        <v>3686</v>
      </c>
      <c r="E7217" s="630" t="s">
        <v>902</v>
      </c>
      <c r="F7217" s="980">
        <v>0</v>
      </c>
      <c r="G7217" s="981">
        <v>0.6</v>
      </c>
      <c r="H7217" s="848">
        <v>0.6</v>
      </c>
    </row>
    <row r="7218" spans="2:8" ht="25.5" hidden="1">
      <c r="B7218" s="630" t="s">
        <v>6541</v>
      </c>
      <c r="C7218" s="630">
        <v>100293</v>
      </c>
      <c r="D7218" s="630" t="s">
        <v>3687</v>
      </c>
      <c r="E7218" s="630" t="s">
        <v>902</v>
      </c>
      <c r="F7218" s="980">
        <v>0</v>
      </c>
      <c r="G7218" s="981">
        <v>0.2</v>
      </c>
      <c r="H7218" s="848">
        <v>0.2</v>
      </c>
    </row>
    <row r="7219" spans="2:8" ht="25.5" hidden="1">
      <c r="B7219" s="630" t="s">
        <v>6541</v>
      </c>
      <c r="C7219" s="630">
        <v>100294</v>
      </c>
      <c r="D7219" s="630" t="s">
        <v>3688</v>
      </c>
      <c r="E7219" s="630" t="s">
        <v>902</v>
      </c>
      <c r="F7219" s="980">
        <v>0</v>
      </c>
      <c r="G7219" s="981">
        <v>0.28999999999999998</v>
      </c>
      <c r="H7219" s="848">
        <v>0.28999999999999998</v>
      </c>
    </row>
    <row r="7220" spans="2:8" ht="25.5" hidden="1">
      <c r="B7220" s="630" t="s">
        <v>6541</v>
      </c>
      <c r="C7220" s="630">
        <v>100295</v>
      </c>
      <c r="D7220" s="630" t="s">
        <v>3689</v>
      </c>
      <c r="E7220" s="630" t="s">
        <v>902</v>
      </c>
      <c r="F7220" s="980">
        <v>0</v>
      </c>
      <c r="G7220" s="981">
        <v>0.5</v>
      </c>
      <c r="H7220" s="848">
        <v>0.5</v>
      </c>
    </row>
    <row r="7221" spans="2:8" ht="25.5" hidden="1">
      <c r="B7221" s="630" t="s">
        <v>6541</v>
      </c>
      <c r="C7221" s="630">
        <v>100296</v>
      </c>
      <c r="D7221" s="630" t="s">
        <v>3690</v>
      </c>
      <c r="E7221" s="630" t="s">
        <v>902</v>
      </c>
      <c r="F7221" s="980">
        <v>0</v>
      </c>
      <c r="G7221" s="981">
        <v>0.96</v>
      </c>
      <c r="H7221" s="848">
        <v>0.96</v>
      </c>
    </row>
    <row r="7222" spans="2:8" ht="25.5" hidden="1">
      <c r="B7222" s="630" t="s">
        <v>6541</v>
      </c>
      <c r="C7222" s="630">
        <v>100297</v>
      </c>
      <c r="D7222" s="630" t="s">
        <v>3691</v>
      </c>
      <c r="E7222" s="630" t="s">
        <v>902</v>
      </c>
      <c r="F7222" s="980">
        <v>0</v>
      </c>
      <c r="G7222" s="981">
        <v>1.08</v>
      </c>
      <c r="H7222" s="848">
        <v>1.08</v>
      </c>
    </row>
    <row r="7223" spans="2:8" ht="25.5" hidden="1">
      <c r="B7223" s="630" t="s">
        <v>6541</v>
      </c>
      <c r="C7223" s="630">
        <v>100298</v>
      </c>
      <c r="D7223" s="630" t="s">
        <v>3692</v>
      </c>
      <c r="E7223" s="630" t="s">
        <v>902</v>
      </c>
      <c r="F7223" s="980">
        <v>0</v>
      </c>
      <c r="G7223" s="981">
        <v>0.59</v>
      </c>
      <c r="H7223" s="848">
        <v>0.59</v>
      </c>
    </row>
    <row r="7224" spans="2:8" ht="25.5" hidden="1">
      <c r="B7224" s="630" t="s">
        <v>6541</v>
      </c>
      <c r="C7224" s="630">
        <v>100299</v>
      </c>
      <c r="D7224" s="630" t="s">
        <v>3693</v>
      </c>
      <c r="E7224" s="630" t="s">
        <v>902</v>
      </c>
      <c r="F7224" s="980">
        <v>0</v>
      </c>
      <c r="G7224" s="981">
        <v>0.46</v>
      </c>
      <c r="H7224" s="848">
        <v>0.46</v>
      </c>
    </row>
    <row r="7225" spans="2:8" hidden="1">
      <c r="B7225" s="630" t="s">
        <v>6541</v>
      </c>
      <c r="C7225" s="630">
        <v>100300</v>
      </c>
      <c r="D7225" s="630" t="s">
        <v>3694</v>
      </c>
      <c r="E7225" s="630" t="s">
        <v>902</v>
      </c>
      <c r="F7225" s="980">
        <v>1.61</v>
      </c>
      <c r="G7225" s="981">
        <v>18.39</v>
      </c>
      <c r="H7225" s="848">
        <v>20</v>
      </c>
    </row>
    <row r="7226" spans="2:8" hidden="1">
      <c r="B7226" s="630" t="s">
        <v>6541</v>
      </c>
      <c r="C7226" s="630">
        <v>100301</v>
      </c>
      <c r="D7226" s="630" t="s">
        <v>3695</v>
      </c>
      <c r="E7226" s="630" t="s">
        <v>902</v>
      </c>
      <c r="F7226" s="980">
        <v>7.79</v>
      </c>
      <c r="G7226" s="981">
        <v>18.53</v>
      </c>
      <c r="H7226" s="848">
        <v>26.32</v>
      </c>
    </row>
    <row r="7227" spans="2:8" hidden="1">
      <c r="B7227" s="630" t="s">
        <v>6541</v>
      </c>
      <c r="C7227" s="630">
        <v>100302</v>
      </c>
      <c r="D7227" s="630" t="s">
        <v>3696</v>
      </c>
      <c r="E7227" s="630" t="s">
        <v>902</v>
      </c>
      <c r="F7227" s="980">
        <v>1.54</v>
      </c>
      <c r="G7227" s="981">
        <v>148.22</v>
      </c>
      <c r="H7227" s="848">
        <v>149.76</v>
      </c>
    </row>
    <row r="7228" spans="2:8" hidden="1">
      <c r="B7228" s="630" t="s">
        <v>6541</v>
      </c>
      <c r="C7228" s="630">
        <v>100303</v>
      </c>
      <c r="D7228" s="630" t="s">
        <v>3697</v>
      </c>
      <c r="E7228" s="630" t="s">
        <v>902</v>
      </c>
      <c r="F7228" s="980">
        <v>6.64</v>
      </c>
      <c r="G7228" s="981">
        <v>17.079999999999998</v>
      </c>
      <c r="H7228" s="848">
        <v>23.72</v>
      </c>
    </row>
    <row r="7229" spans="2:8" hidden="1">
      <c r="B7229" s="630" t="s">
        <v>6541</v>
      </c>
      <c r="C7229" s="630">
        <v>100304</v>
      </c>
      <c r="D7229" s="630" t="s">
        <v>3698</v>
      </c>
      <c r="E7229" s="630" t="s">
        <v>902</v>
      </c>
      <c r="F7229" s="980">
        <v>1.54</v>
      </c>
      <c r="G7229" s="981">
        <v>72.13</v>
      </c>
      <c r="H7229" s="848">
        <v>73.67</v>
      </c>
    </row>
    <row r="7230" spans="2:8" hidden="1">
      <c r="B7230" s="630" t="s">
        <v>6541</v>
      </c>
      <c r="C7230" s="630">
        <v>100305</v>
      </c>
      <c r="D7230" s="630" t="s">
        <v>3699</v>
      </c>
      <c r="E7230" s="630" t="s">
        <v>902</v>
      </c>
      <c r="F7230" s="980">
        <v>1.54</v>
      </c>
      <c r="G7230" s="981">
        <v>103.13</v>
      </c>
      <c r="H7230" s="848">
        <v>104.67</v>
      </c>
    </row>
    <row r="7231" spans="2:8" hidden="1">
      <c r="B7231" s="630" t="s">
        <v>6541</v>
      </c>
      <c r="C7231" s="630">
        <v>100306</v>
      </c>
      <c r="D7231" s="630" t="s">
        <v>3700</v>
      </c>
      <c r="E7231" s="630" t="s">
        <v>902</v>
      </c>
      <c r="F7231" s="980">
        <v>1.54</v>
      </c>
      <c r="G7231" s="981">
        <v>116.35</v>
      </c>
      <c r="H7231" s="848">
        <v>117.89</v>
      </c>
    </row>
    <row r="7232" spans="2:8" hidden="1">
      <c r="B7232" s="630" t="s">
        <v>6541</v>
      </c>
      <c r="C7232" s="630">
        <v>100307</v>
      </c>
      <c r="D7232" s="630" t="s">
        <v>3701</v>
      </c>
      <c r="E7232" s="630" t="s">
        <v>902</v>
      </c>
      <c r="F7232" s="980">
        <v>6.66</v>
      </c>
      <c r="G7232" s="981">
        <v>20.76</v>
      </c>
      <c r="H7232" s="848">
        <v>27.42</v>
      </c>
    </row>
    <row r="7233" spans="2:8" hidden="1">
      <c r="B7233" s="630" t="s">
        <v>6541</v>
      </c>
      <c r="C7233" s="630">
        <v>100308</v>
      </c>
      <c r="D7233" s="630" t="s">
        <v>3702</v>
      </c>
      <c r="E7233" s="630" t="s">
        <v>902</v>
      </c>
      <c r="F7233" s="980">
        <v>6.66</v>
      </c>
      <c r="G7233" s="981">
        <v>27.17</v>
      </c>
      <c r="H7233" s="848">
        <v>33.83</v>
      </c>
    </row>
    <row r="7234" spans="2:8" hidden="1">
      <c r="B7234" s="630" t="s">
        <v>6541</v>
      </c>
      <c r="C7234" s="630">
        <v>100309</v>
      </c>
      <c r="D7234" s="630" t="s">
        <v>3710</v>
      </c>
      <c r="E7234" s="630" t="s">
        <v>902</v>
      </c>
      <c r="F7234" s="980">
        <v>1.61</v>
      </c>
      <c r="G7234" s="981">
        <v>32.42</v>
      </c>
      <c r="H7234" s="848">
        <v>34.03</v>
      </c>
    </row>
    <row r="7235" spans="2:8" ht="25.5" hidden="1">
      <c r="B7235" s="630" t="s">
        <v>6541</v>
      </c>
      <c r="C7235" s="630">
        <v>100310</v>
      </c>
      <c r="D7235" s="630" t="s">
        <v>3703</v>
      </c>
      <c r="E7235" s="630" t="s">
        <v>574</v>
      </c>
      <c r="F7235" s="980">
        <v>0</v>
      </c>
      <c r="G7235" s="981">
        <v>9.98</v>
      </c>
      <c r="H7235" s="848">
        <v>9.98</v>
      </c>
    </row>
    <row r="7236" spans="2:8" ht="25.5" hidden="1">
      <c r="B7236" s="630" t="s">
        <v>6541</v>
      </c>
      <c r="C7236" s="630">
        <v>100311</v>
      </c>
      <c r="D7236" s="630" t="s">
        <v>3704</v>
      </c>
      <c r="E7236" s="630" t="s">
        <v>574</v>
      </c>
      <c r="F7236" s="980">
        <v>0</v>
      </c>
      <c r="G7236" s="981">
        <v>80.430000000000007</v>
      </c>
      <c r="H7236" s="848">
        <v>80.430000000000007</v>
      </c>
    </row>
    <row r="7237" spans="2:8" ht="25.5" hidden="1">
      <c r="B7237" s="630" t="s">
        <v>6541</v>
      </c>
      <c r="C7237" s="630">
        <v>100312</v>
      </c>
      <c r="D7237" s="630" t="s">
        <v>3705</v>
      </c>
      <c r="E7237" s="630" t="s">
        <v>574</v>
      </c>
      <c r="F7237" s="980">
        <v>0</v>
      </c>
      <c r="G7237" s="981">
        <v>102.29</v>
      </c>
      <c r="H7237" s="848">
        <v>102.29</v>
      </c>
    </row>
    <row r="7238" spans="2:8" ht="25.5" hidden="1">
      <c r="B7238" s="630" t="s">
        <v>6541</v>
      </c>
      <c r="C7238" s="630">
        <v>100313</v>
      </c>
      <c r="D7238" s="630" t="s">
        <v>3706</v>
      </c>
      <c r="E7238" s="630" t="s">
        <v>574</v>
      </c>
      <c r="F7238" s="980">
        <v>0</v>
      </c>
      <c r="G7238" s="981">
        <v>127.49</v>
      </c>
      <c r="H7238" s="848">
        <v>127.49</v>
      </c>
    </row>
    <row r="7239" spans="2:8" ht="25.5" hidden="1">
      <c r="B7239" s="630" t="s">
        <v>6541</v>
      </c>
      <c r="C7239" s="630">
        <v>100314</v>
      </c>
      <c r="D7239" s="630" t="s">
        <v>3707</v>
      </c>
      <c r="E7239" s="630" t="s">
        <v>574</v>
      </c>
      <c r="F7239" s="980">
        <v>0</v>
      </c>
      <c r="G7239" s="981">
        <v>143.84</v>
      </c>
      <c r="H7239" s="848">
        <v>143.84</v>
      </c>
    </row>
    <row r="7240" spans="2:8" ht="25.5" hidden="1">
      <c r="B7240" s="630" t="s">
        <v>6541</v>
      </c>
      <c r="C7240" s="630">
        <v>100315</v>
      </c>
      <c r="D7240" s="630" t="s">
        <v>3708</v>
      </c>
      <c r="E7240" s="630" t="s">
        <v>574</v>
      </c>
      <c r="F7240" s="980">
        <v>0</v>
      </c>
      <c r="G7240" s="981">
        <v>62.36</v>
      </c>
      <c r="H7240" s="848">
        <v>62.36</v>
      </c>
    </row>
    <row r="7241" spans="2:8" hidden="1">
      <c r="B7241" s="630" t="s">
        <v>6541</v>
      </c>
      <c r="C7241" s="630">
        <v>100316</v>
      </c>
      <c r="D7241" s="630" t="s">
        <v>3694</v>
      </c>
      <c r="E7241" s="630" t="s">
        <v>574</v>
      </c>
      <c r="F7241" s="980">
        <v>303.79000000000002</v>
      </c>
      <c r="G7241" s="981">
        <v>3231.15</v>
      </c>
      <c r="H7241" s="848">
        <v>3534.94</v>
      </c>
    </row>
    <row r="7242" spans="2:8" hidden="1">
      <c r="B7242" s="630" t="s">
        <v>6541</v>
      </c>
      <c r="C7242" s="630">
        <v>100317</v>
      </c>
      <c r="D7242" s="630" t="s">
        <v>3709</v>
      </c>
      <c r="E7242" s="630" t="s">
        <v>574</v>
      </c>
      <c r="F7242" s="980">
        <v>289.58999999999997</v>
      </c>
      <c r="G7242" s="981">
        <v>26025.81</v>
      </c>
      <c r="H7242" s="848">
        <v>26315.4</v>
      </c>
    </row>
    <row r="7243" spans="2:8" hidden="1">
      <c r="B7243" s="630" t="s">
        <v>6541</v>
      </c>
      <c r="C7243" s="630">
        <v>100318</v>
      </c>
      <c r="D7243" s="630" t="s">
        <v>3698</v>
      </c>
      <c r="E7243" s="630" t="s">
        <v>574</v>
      </c>
      <c r="F7243" s="980">
        <v>289.58999999999997</v>
      </c>
      <c r="G7243" s="981">
        <v>12731.34</v>
      </c>
      <c r="H7243" s="848">
        <v>13020.93</v>
      </c>
    </row>
    <row r="7244" spans="2:8" hidden="1">
      <c r="B7244" s="630" t="s">
        <v>6541</v>
      </c>
      <c r="C7244" s="630">
        <v>100319</v>
      </c>
      <c r="D7244" s="630" t="s">
        <v>3699</v>
      </c>
      <c r="E7244" s="630" t="s">
        <v>574</v>
      </c>
      <c r="F7244" s="980">
        <v>289.58999999999997</v>
      </c>
      <c r="G7244" s="981">
        <v>18084.849999999999</v>
      </c>
      <c r="H7244" s="848">
        <v>18374.439999999999</v>
      </c>
    </row>
    <row r="7245" spans="2:8" hidden="1">
      <c r="B7245" s="630" t="s">
        <v>6541</v>
      </c>
      <c r="C7245" s="630">
        <v>100320</v>
      </c>
      <c r="D7245" s="630" t="s">
        <v>3700</v>
      </c>
      <c r="E7245" s="630" t="s">
        <v>574</v>
      </c>
      <c r="F7245" s="980">
        <v>289.58999999999997</v>
      </c>
      <c r="G7245" s="981">
        <v>20403.3</v>
      </c>
      <c r="H7245" s="848">
        <v>20692.89</v>
      </c>
    </row>
    <row r="7246" spans="2:8" hidden="1">
      <c r="B7246" s="630" t="s">
        <v>6541</v>
      </c>
      <c r="C7246" s="630">
        <v>100321</v>
      </c>
      <c r="D7246" s="630" t="s">
        <v>3710</v>
      </c>
      <c r="E7246" s="630" t="s">
        <v>574</v>
      </c>
      <c r="F7246" s="980">
        <v>303.79000000000002</v>
      </c>
      <c r="G7246" s="981">
        <v>5680.65</v>
      </c>
      <c r="H7246" s="848">
        <v>5984.44</v>
      </c>
    </row>
    <row r="7247" spans="2:8" hidden="1">
      <c r="B7247" s="630" t="s">
        <v>6541</v>
      </c>
      <c r="C7247" s="630">
        <v>100533</v>
      </c>
      <c r="D7247" s="630" t="s">
        <v>3711</v>
      </c>
      <c r="E7247" s="630" t="s">
        <v>902</v>
      </c>
      <c r="F7247" s="980">
        <v>1.56</v>
      </c>
      <c r="G7247" s="981">
        <v>19.170000000000002</v>
      </c>
      <c r="H7247" s="848">
        <v>20.73</v>
      </c>
    </row>
    <row r="7248" spans="2:8" hidden="1">
      <c r="B7248" s="630" t="s">
        <v>6541</v>
      </c>
      <c r="C7248" s="630">
        <v>100534</v>
      </c>
      <c r="D7248" s="630" t="s">
        <v>3711</v>
      </c>
      <c r="E7248" s="630" t="s">
        <v>574</v>
      </c>
      <c r="F7248" s="980">
        <v>303.79000000000002</v>
      </c>
      <c r="G7248" s="981">
        <v>3361.29</v>
      </c>
      <c r="H7248" s="848">
        <v>3665.08</v>
      </c>
    </row>
    <row r="7249" spans="2:8" ht="25.5" hidden="1">
      <c r="B7249" s="630" t="s">
        <v>6541</v>
      </c>
      <c r="C7249" s="630">
        <v>100535</v>
      </c>
      <c r="D7249" s="630" t="s">
        <v>3712</v>
      </c>
      <c r="E7249" s="630" t="s">
        <v>902</v>
      </c>
      <c r="F7249" s="980">
        <v>0</v>
      </c>
      <c r="G7249" s="981">
        <v>0.27</v>
      </c>
      <c r="H7249" s="848">
        <v>0.27</v>
      </c>
    </row>
    <row r="7250" spans="2:8" ht="25.5" hidden="1">
      <c r="B7250" s="630" t="s">
        <v>6541</v>
      </c>
      <c r="C7250" s="630">
        <v>100536</v>
      </c>
      <c r="D7250" s="630" t="s">
        <v>3713</v>
      </c>
      <c r="E7250" s="630" t="s">
        <v>574</v>
      </c>
      <c r="F7250" s="980">
        <v>0</v>
      </c>
      <c r="G7250" s="981">
        <v>36.9</v>
      </c>
      <c r="H7250" s="848">
        <v>36.9</v>
      </c>
    </row>
    <row r="7251" spans="2:8" ht="25.5" hidden="1">
      <c r="B7251" s="630" t="s">
        <v>6541</v>
      </c>
      <c r="C7251" s="630">
        <v>101284</v>
      </c>
      <c r="D7251" s="630" t="s">
        <v>4726</v>
      </c>
      <c r="E7251" s="630" t="s">
        <v>902</v>
      </c>
      <c r="F7251" s="980">
        <v>0</v>
      </c>
      <c r="G7251" s="981">
        <v>1.48</v>
      </c>
      <c r="H7251" s="848">
        <v>1.48</v>
      </c>
    </row>
    <row r="7252" spans="2:8" ht="25.5" hidden="1">
      <c r="B7252" s="630" t="s">
        <v>6541</v>
      </c>
      <c r="C7252" s="630">
        <v>101285</v>
      </c>
      <c r="D7252" s="630" t="s">
        <v>4727</v>
      </c>
      <c r="E7252" s="630" t="s">
        <v>902</v>
      </c>
      <c r="F7252" s="980">
        <v>0</v>
      </c>
      <c r="G7252" s="981">
        <v>0.28000000000000003</v>
      </c>
      <c r="H7252" s="848">
        <v>0.28000000000000003</v>
      </c>
    </row>
    <row r="7253" spans="2:8" ht="25.5" hidden="1">
      <c r="B7253" s="630" t="s">
        <v>6541</v>
      </c>
      <c r="C7253" s="630">
        <v>101286</v>
      </c>
      <c r="D7253" s="630" t="s">
        <v>4728</v>
      </c>
      <c r="E7253" s="630" t="s">
        <v>574</v>
      </c>
      <c r="F7253" s="980">
        <v>0</v>
      </c>
      <c r="G7253" s="981">
        <v>21.08</v>
      </c>
      <c r="H7253" s="848">
        <v>21.08</v>
      </c>
    </row>
    <row r="7254" spans="2:8" ht="25.5" hidden="1">
      <c r="B7254" s="630" t="s">
        <v>6541</v>
      </c>
      <c r="C7254" s="630">
        <v>101287</v>
      </c>
      <c r="D7254" s="630" t="s">
        <v>4729</v>
      </c>
      <c r="E7254" s="630" t="s">
        <v>574</v>
      </c>
      <c r="F7254" s="980">
        <v>0</v>
      </c>
      <c r="G7254" s="981">
        <v>74.400000000000006</v>
      </c>
      <c r="H7254" s="848">
        <v>74.400000000000006</v>
      </c>
    </row>
    <row r="7255" spans="2:8" ht="25.5" hidden="1">
      <c r="B7255" s="630" t="s">
        <v>6541</v>
      </c>
      <c r="C7255" s="630">
        <v>101288</v>
      </c>
      <c r="D7255" s="630" t="s">
        <v>4730</v>
      </c>
      <c r="E7255" s="630" t="s">
        <v>574</v>
      </c>
      <c r="F7255" s="980">
        <v>0</v>
      </c>
      <c r="G7255" s="981">
        <v>19.82</v>
      </c>
      <c r="H7255" s="848">
        <v>19.82</v>
      </c>
    </row>
    <row r="7256" spans="2:8" ht="25.5" hidden="1">
      <c r="B7256" s="630" t="s">
        <v>6541</v>
      </c>
      <c r="C7256" s="630">
        <v>101289</v>
      </c>
      <c r="D7256" s="630" t="s">
        <v>4731</v>
      </c>
      <c r="E7256" s="630" t="s">
        <v>574</v>
      </c>
      <c r="F7256" s="980">
        <v>0</v>
      </c>
      <c r="G7256" s="981">
        <v>22.87</v>
      </c>
      <c r="H7256" s="848">
        <v>22.87</v>
      </c>
    </row>
    <row r="7257" spans="2:8" ht="25.5" hidden="1">
      <c r="B7257" s="630" t="s">
        <v>6541</v>
      </c>
      <c r="C7257" s="630">
        <v>101290</v>
      </c>
      <c r="D7257" s="630" t="s">
        <v>4732</v>
      </c>
      <c r="E7257" s="630" t="s">
        <v>574</v>
      </c>
      <c r="F7257" s="980">
        <v>0</v>
      </c>
      <c r="G7257" s="981">
        <v>29.31</v>
      </c>
      <c r="H7257" s="848">
        <v>29.31</v>
      </c>
    </row>
    <row r="7258" spans="2:8" ht="25.5" hidden="1">
      <c r="B7258" s="630" t="s">
        <v>6541</v>
      </c>
      <c r="C7258" s="630">
        <v>101291</v>
      </c>
      <c r="D7258" s="630" t="s">
        <v>4733</v>
      </c>
      <c r="E7258" s="630" t="s">
        <v>574</v>
      </c>
      <c r="F7258" s="980">
        <v>0</v>
      </c>
      <c r="G7258" s="981">
        <v>22.87</v>
      </c>
      <c r="H7258" s="848">
        <v>22.87</v>
      </c>
    </row>
    <row r="7259" spans="2:8" ht="25.5" hidden="1">
      <c r="B7259" s="630" t="s">
        <v>6541</v>
      </c>
      <c r="C7259" s="630">
        <v>101292</v>
      </c>
      <c r="D7259" s="630" t="s">
        <v>4734</v>
      </c>
      <c r="E7259" s="630" t="s">
        <v>574</v>
      </c>
      <c r="F7259" s="980">
        <v>0</v>
      </c>
      <c r="G7259" s="981">
        <v>22.86</v>
      </c>
      <c r="H7259" s="848">
        <v>22.86</v>
      </c>
    </row>
    <row r="7260" spans="2:8" ht="25.5" hidden="1">
      <c r="B7260" s="630" t="s">
        <v>6541</v>
      </c>
      <c r="C7260" s="630">
        <v>101293</v>
      </c>
      <c r="D7260" s="630" t="s">
        <v>4735</v>
      </c>
      <c r="E7260" s="630" t="s">
        <v>574</v>
      </c>
      <c r="F7260" s="980">
        <v>0</v>
      </c>
      <c r="G7260" s="981">
        <v>29.87</v>
      </c>
      <c r="H7260" s="848">
        <v>29.87</v>
      </c>
    </row>
    <row r="7261" spans="2:8" ht="25.5" hidden="1">
      <c r="B7261" s="630" t="s">
        <v>6541</v>
      </c>
      <c r="C7261" s="630">
        <v>101294</v>
      </c>
      <c r="D7261" s="630" t="s">
        <v>4736</v>
      </c>
      <c r="E7261" s="630" t="s">
        <v>574</v>
      </c>
      <c r="F7261" s="980">
        <v>0</v>
      </c>
      <c r="G7261" s="981">
        <v>35.14</v>
      </c>
      <c r="H7261" s="848">
        <v>35.14</v>
      </c>
    </row>
    <row r="7262" spans="2:8" ht="25.5" hidden="1">
      <c r="B7262" s="630" t="s">
        <v>6541</v>
      </c>
      <c r="C7262" s="630">
        <v>101295</v>
      </c>
      <c r="D7262" s="630" t="s">
        <v>4737</v>
      </c>
      <c r="E7262" s="630" t="s">
        <v>574</v>
      </c>
      <c r="F7262" s="980">
        <v>0</v>
      </c>
      <c r="G7262" s="981">
        <v>27.02</v>
      </c>
      <c r="H7262" s="848">
        <v>27.02</v>
      </c>
    </row>
    <row r="7263" spans="2:8" ht="25.5" hidden="1">
      <c r="B7263" s="630" t="s">
        <v>6541</v>
      </c>
      <c r="C7263" s="630">
        <v>101296</v>
      </c>
      <c r="D7263" s="630" t="s">
        <v>4738</v>
      </c>
      <c r="E7263" s="630" t="s">
        <v>574</v>
      </c>
      <c r="F7263" s="980">
        <v>0</v>
      </c>
      <c r="G7263" s="981">
        <v>35.75</v>
      </c>
      <c r="H7263" s="848">
        <v>35.75</v>
      </c>
    </row>
    <row r="7264" spans="2:8" ht="25.5" hidden="1">
      <c r="B7264" s="630" t="s">
        <v>6541</v>
      </c>
      <c r="C7264" s="630">
        <v>101297</v>
      </c>
      <c r="D7264" s="630" t="s">
        <v>4739</v>
      </c>
      <c r="E7264" s="630" t="s">
        <v>574</v>
      </c>
      <c r="F7264" s="980">
        <v>0</v>
      </c>
      <c r="G7264" s="981">
        <v>22.92</v>
      </c>
      <c r="H7264" s="848">
        <v>22.92</v>
      </c>
    </row>
    <row r="7265" spans="2:8" ht="25.5" hidden="1">
      <c r="B7265" s="630" t="s">
        <v>6541</v>
      </c>
      <c r="C7265" s="630">
        <v>101298</v>
      </c>
      <c r="D7265" s="630" t="s">
        <v>4740</v>
      </c>
      <c r="E7265" s="630" t="s">
        <v>574</v>
      </c>
      <c r="F7265" s="980">
        <v>0</v>
      </c>
      <c r="G7265" s="981">
        <v>19.75</v>
      </c>
      <c r="H7265" s="848">
        <v>19.75</v>
      </c>
    </row>
    <row r="7266" spans="2:8" ht="25.5" hidden="1">
      <c r="B7266" s="630" t="s">
        <v>6541</v>
      </c>
      <c r="C7266" s="630">
        <v>101299</v>
      </c>
      <c r="D7266" s="630" t="s">
        <v>4741</v>
      </c>
      <c r="E7266" s="630" t="s">
        <v>574</v>
      </c>
      <c r="F7266" s="980">
        <v>0</v>
      </c>
      <c r="G7266" s="981">
        <v>27.02</v>
      </c>
      <c r="H7266" s="848">
        <v>27.02</v>
      </c>
    </row>
    <row r="7267" spans="2:8" ht="25.5" hidden="1">
      <c r="B7267" s="630" t="s">
        <v>6541</v>
      </c>
      <c r="C7267" s="630">
        <v>101300</v>
      </c>
      <c r="D7267" s="630" t="s">
        <v>4742</v>
      </c>
      <c r="E7267" s="630" t="s">
        <v>574</v>
      </c>
      <c r="F7267" s="980">
        <v>0</v>
      </c>
      <c r="G7267" s="981">
        <v>21.09</v>
      </c>
      <c r="H7267" s="848">
        <v>21.09</v>
      </c>
    </row>
    <row r="7268" spans="2:8" ht="25.5" hidden="1">
      <c r="B7268" s="630" t="s">
        <v>6541</v>
      </c>
      <c r="C7268" s="630">
        <v>101301</v>
      </c>
      <c r="D7268" s="630" t="s">
        <v>4743</v>
      </c>
      <c r="E7268" s="630" t="s">
        <v>574</v>
      </c>
      <c r="F7268" s="980">
        <v>0</v>
      </c>
      <c r="G7268" s="981">
        <v>9.65</v>
      </c>
      <c r="H7268" s="848">
        <v>9.65</v>
      </c>
    </row>
    <row r="7269" spans="2:8" ht="25.5" hidden="1">
      <c r="B7269" s="630" t="s">
        <v>6541</v>
      </c>
      <c r="C7269" s="630">
        <v>101302</v>
      </c>
      <c r="D7269" s="630" t="s">
        <v>4744</v>
      </c>
      <c r="E7269" s="630" t="s">
        <v>574</v>
      </c>
      <c r="F7269" s="980">
        <v>0</v>
      </c>
      <c r="G7269" s="981">
        <v>31.3</v>
      </c>
      <c r="H7269" s="848">
        <v>31.3</v>
      </c>
    </row>
    <row r="7270" spans="2:8" ht="25.5" hidden="1">
      <c r="B7270" s="630" t="s">
        <v>6541</v>
      </c>
      <c r="C7270" s="630">
        <v>101303</v>
      </c>
      <c r="D7270" s="630" t="s">
        <v>4745</v>
      </c>
      <c r="E7270" s="630" t="s">
        <v>574</v>
      </c>
      <c r="F7270" s="980">
        <v>0</v>
      </c>
      <c r="G7270" s="981">
        <v>68.05</v>
      </c>
      <c r="H7270" s="848">
        <v>68.05</v>
      </c>
    </row>
    <row r="7271" spans="2:8" ht="25.5" hidden="1">
      <c r="B7271" s="630" t="s">
        <v>6541</v>
      </c>
      <c r="C7271" s="630">
        <v>101304</v>
      </c>
      <c r="D7271" s="630" t="s">
        <v>4746</v>
      </c>
      <c r="E7271" s="630" t="s">
        <v>574</v>
      </c>
      <c r="F7271" s="980">
        <v>0</v>
      </c>
      <c r="G7271" s="981">
        <v>38.28</v>
      </c>
      <c r="H7271" s="848">
        <v>38.28</v>
      </c>
    </row>
    <row r="7272" spans="2:8" ht="25.5" hidden="1">
      <c r="B7272" s="630" t="s">
        <v>6541</v>
      </c>
      <c r="C7272" s="630">
        <v>101305</v>
      </c>
      <c r="D7272" s="630" t="s">
        <v>4747</v>
      </c>
      <c r="E7272" s="630" t="s">
        <v>574</v>
      </c>
      <c r="F7272" s="980">
        <v>0</v>
      </c>
      <c r="G7272" s="981">
        <v>41.11</v>
      </c>
      <c r="H7272" s="848">
        <v>41.11</v>
      </c>
    </row>
    <row r="7273" spans="2:8" ht="25.5" hidden="1">
      <c r="B7273" s="630" t="s">
        <v>6541</v>
      </c>
      <c r="C7273" s="630">
        <v>101307</v>
      </c>
      <c r="D7273" s="630" t="s">
        <v>4748</v>
      </c>
      <c r="E7273" s="630" t="s">
        <v>574</v>
      </c>
      <c r="F7273" s="980">
        <v>0</v>
      </c>
      <c r="G7273" s="981">
        <v>25.37</v>
      </c>
      <c r="H7273" s="848">
        <v>25.37</v>
      </c>
    </row>
    <row r="7274" spans="2:8" ht="25.5" hidden="1">
      <c r="B7274" s="630" t="s">
        <v>6541</v>
      </c>
      <c r="C7274" s="630">
        <v>101308</v>
      </c>
      <c r="D7274" s="630" t="s">
        <v>4749</v>
      </c>
      <c r="E7274" s="630" t="s">
        <v>574</v>
      </c>
      <c r="F7274" s="980">
        <v>0</v>
      </c>
      <c r="G7274" s="981">
        <v>27.9</v>
      </c>
      <c r="H7274" s="848">
        <v>27.9</v>
      </c>
    </row>
    <row r="7275" spans="2:8" ht="25.5" hidden="1">
      <c r="B7275" s="630" t="s">
        <v>6541</v>
      </c>
      <c r="C7275" s="630">
        <v>101309</v>
      </c>
      <c r="D7275" s="630" t="s">
        <v>4750</v>
      </c>
      <c r="E7275" s="630" t="s">
        <v>574</v>
      </c>
      <c r="F7275" s="980">
        <v>0</v>
      </c>
      <c r="G7275" s="981">
        <v>29.31</v>
      </c>
      <c r="H7275" s="848">
        <v>29.31</v>
      </c>
    </row>
    <row r="7276" spans="2:8" ht="25.5" hidden="1">
      <c r="B7276" s="630" t="s">
        <v>6541</v>
      </c>
      <c r="C7276" s="630">
        <v>101310</v>
      </c>
      <c r="D7276" s="630" t="s">
        <v>4751</v>
      </c>
      <c r="E7276" s="630" t="s">
        <v>574</v>
      </c>
      <c r="F7276" s="980">
        <v>0</v>
      </c>
      <c r="G7276" s="981">
        <v>36.049999999999997</v>
      </c>
      <c r="H7276" s="848">
        <v>36.049999999999997</v>
      </c>
    </row>
    <row r="7277" spans="2:8" ht="25.5" hidden="1">
      <c r="B7277" s="630" t="s">
        <v>6541</v>
      </c>
      <c r="C7277" s="630">
        <v>101311</v>
      </c>
      <c r="D7277" s="630" t="s">
        <v>4752</v>
      </c>
      <c r="E7277" s="630" t="s">
        <v>574</v>
      </c>
      <c r="F7277" s="980">
        <v>0</v>
      </c>
      <c r="G7277" s="981">
        <v>29.87</v>
      </c>
      <c r="H7277" s="848">
        <v>29.87</v>
      </c>
    </row>
    <row r="7278" spans="2:8" ht="25.5" hidden="1">
      <c r="B7278" s="630" t="s">
        <v>6541</v>
      </c>
      <c r="C7278" s="630">
        <v>101312</v>
      </c>
      <c r="D7278" s="630" t="s">
        <v>4753</v>
      </c>
      <c r="E7278" s="630" t="s">
        <v>574</v>
      </c>
      <c r="F7278" s="980">
        <v>0</v>
      </c>
      <c r="G7278" s="981">
        <v>19.43</v>
      </c>
      <c r="H7278" s="848">
        <v>19.43</v>
      </c>
    </row>
    <row r="7279" spans="2:8" ht="25.5" hidden="1">
      <c r="B7279" s="630" t="s">
        <v>6541</v>
      </c>
      <c r="C7279" s="630">
        <v>101313</v>
      </c>
      <c r="D7279" s="630" t="s">
        <v>4754</v>
      </c>
      <c r="E7279" s="630" t="s">
        <v>574</v>
      </c>
      <c r="F7279" s="980">
        <v>0</v>
      </c>
      <c r="G7279" s="981">
        <v>97.19</v>
      </c>
      <c r="H7279" s="848">
        <v>97.19</v>
      </c>
    </row>
    <row r="7280" spans="2:8" ht="25.5" hidden="1">
      <c r="B7280" s="630" t="s">
        <v>6541</v>
      </c>
      <c r="C7280" s="630">
        <v>101314</v>
      </c>
      <c r="D7280" s="630" t="s">
        <v>4755</v>
      </c>
      <c r="E7280" s="630" t="s">
        <v>574</v>
      </c>
      <c r="F7280" s="980">
        <v>0</v>
      </c>
      <c r="G7280" s="981">
        <v>106.63</v>
      </c>
      <c r="H7280" s="848">
        <v>106.63</v>
      </c>
    </row>
    <row r="7281" spans="2:8" ht="25.5" hidden="1">
      <c r="B7281" s="630" t="s">
        <v>6541</v>
      </c>
      <c r="C7281" s="630">
        <v>101315</v>
      </c>
      <c r="D7281" s="630" t="s">
        <v>4756</v>
      </c>
      <c r="E7281" s="630" t="s">
        <v>574</v>
      </c>
      <c r="F7281" s="980">
        <v>0</v>
      </c>
      <c r="G7281" s="981">
        <v>101.1</v>
      </c>
      <c r="H7281" s="848">
        <v>101.1</v>
      </c>
    </row>
    <row r="7282" spans="2:8" ht="25.5" hidden="1">
      <c r="B7282" s="630" t="s">
        <v>6541</v>
      </c>
      <c r="C7282" s="630">
        <v>101316</v>
      </c>
      <c r="D7282" s="630" t="s">
        <v>4757</v>
      </c>
      <c r="E7282" s="630" t="s">
        <v>574</v>
      </c>
      <c r="F7282" s="980">
        <v>0</v>
      </c>
      <c r="G7282" s="981">
        <v>46.7</v>
      </c>
      <c r="H7282" s="848">
        <v>46.7</v>
      </c>
    </row>
    <row r="7283" spans="2:8" ht="25.5" hidden="1">
      <c r="B7283" s="630" t="s">
        <v>6541</v>
      </c>
      <c r="C7283" s="630">
        <v>101317</v>
      </c>
      <c r="D7283" s="630" t="s">
        <v>4758</v>
      </c>
      <c r="E7283" s="630" t="s">
        <v>574</v>
      </c>
      <c r="F7283" s="980">
        <v>0</v>
      </c>
      <c r="G7283" s="981">
        <v>197.12</v>
      </c>
      <c r="H7283" s="848">
        <v>197.12</v>
      </c>
    </row>
    <row r="7284" spans="2:8" ht="25.5" hidden="1">
      <c r="B7284" s="630" t="s">
        <v>6541</v>
      </c>
      <c r="C7284" s="630">
        <v>101318</v>
      </c>
      <c r="D7284" s="630" t="s">
        <v>4759</v>
      </c>
      <c r="E7284" s="630" t="s">
        <v>574</v>
      </c>
      <c r="F7284" s="980">
        <v>0</v>
      </c>
      <c r="G7284" s="981">
        <v>366.41</v>
      </c>
      <c r="H7284" s="848">
        <v>366.41</v>
      </c>
    </row>
    <row r="7285" spans="2:8" ht="25.5" hidden="1">
      <c r="B7285" s="630" t="s">
        <v>6541</v>
      </c>
      <c r="C7285" s="630">
        <v>101319</v>
      </c>
      <c r="D7285" s="630" t="s">
        <v>4760</v>
      </c>
      <c r="E7285" s="630" t="s">
        <v>574</v>
      </c>
      <c r="F7285" s="980">
        <v>0</v>
      </c>
      <c r="G7285" s="981">
        <v>37.49</v>
      </c>
      <c r="H7285" s="848">
        <v>37.49</v>
      </c>
    </row>
    <row r="7286" spans="2:8" ht="25.5" hidden="1">
      <c r="B7286" s="630" t="s">
        <v>6541</v>
      </c>
      <c r="C7286" s="630">
        <v>101320</v>
      </c>
      <c r="D7286" s="630" t="s">
        <v>4761</v>
      </c>
      <c r="E7286" s="630" t="s">
        <v>574</v>
      </c>
      <c r="F7286" s="980">
        <v>0</v>
      </c>
      <c r="G7286" s="981">
        <v>27.15</v>
      </c>
      <c r="H7286" s="848">
        <v>27.15</v>
      </c>
    </row>
    <row r="7287" spans="2:8" ht="25.5" hidden="1">
      <c r="B7287" s="630" t="s">
        <v>6541</v>
      </c>
      <c r="C7287" s="630">
        <v>101322</v>
      </c>
      <c r="D7287" s="630" t="s">
        <v>4762</v>
      </c>
      <c r="E7287" s="630" t="s">
        <v>574</v>
      </c>
      <c r="F7287" s="980">
        <v>0</v>
      </c>
      <c r="G7287" s="981">
        <v>28.48</v>
      </c>
      <c r="H7287" s="848">
        <v>28.48</v>
      </c>
    </row>
    <row r="7288" spans="2:8" ht="25.5" hidden="1">
      <c r="B7288" s="630" t="s">
        <v>6541</v>
      </c>
      <c r="C7288" s="630">
        <v>101323</v>
      </c>
      <c r="D7288" s="630" t="s">
        <v>4763</v>
      </c>
      <c r="E7288" s="630" t="s">
        <v>574</v>
      </c>
      <c r="F7288" s="980">
        <v>0</v>
      </c>
      <c r="G7288" s="981">
        <v>55.11</v>
      </c>
      <c r="H7288" s="848">
        <v>55.11</v>
      </c>
    </row>
    <row r="7289" spans="2:8" ht="25.5" hidden="1">
      <c r="B7289" s="630" t="s">
        <v>6541</v>
      </c>
      <c r="C7289" s="630">
        <v>101324</v>
      </c>
      <c r="D7289" s="630" t="s">
        <v>4764</v>
      </c>
      <c r="E7289" s="630" t="s">
        <v>574</v>
      </c>
      <c r="F7289" s="980">
        <v>0</v>
      </c>
      <c r="G7289" s="981">
        <v>10.32</v>
      </c>
      <c r="H7289" s="848">
        <v>10.32</v>
      </c>
    </row>
    <row r="7290" spans="2:8" ht="25.5" hidden="1">
      <c r="B7290" s="630" t="s">
        <v>6541</v>
      </c>
      <c r="C7290" s="630">
        <v>101325</v>
      </c>
      <c r="D7290" s="630" t="s">
        <v>4765</v>
      </c>
      <c r="E7290" s="630" t="s">
        <v>574</v>
      </c>
      <c r="F7290" s="980">
        <v>0</v>
      </c>
      <c r="G7290" s="981">
        <v>44.11</v>
      </c>
      <c r="H7290" s="848">
        <v>44.11</v>
      </c>
    </row>
    <row r="7291" spans="2:8" ht="25.5" hidden="1">
      <c r="B7291" s="630" t="s">
        <v>6541</v>
      </c>
      <c r="C7291" s="630">
        <v>101326</v>
      </c>
      <c r="D7291" s="630" t="s">
        <v>4766</v>
      </c>
      <c r="E7291" s="630" t="s">
        <v>574</v>
      </c>
      <c r="F7291" s="980">
        <v>0</v>
      </c>
      <c r="G7291" s="981">
        <v>9.83</v>
      </c>
      <c r="H7291" s="848">
        <v>9.83</v>
      </c>
    </row>
    <row r="7292" spans="2:8" ht="25.5" hidden="1">
      <c r="B7292" s="630" t="s">
        <v>6541</v>
      </c>
      <c r="C7292" s="630">
        <v>101327</v>
      </c>
      <c r="D7292" s="630" t="s">
        <v>4767</v>
      </c>
      <c r="E7292" s="630" t="s">
        <v>574</v>
      </c>
      <c r="F7292" s="980">
        <v>0</v>
      </c>
      <c r="G7292" s="981">
        <v>10.51</v>
      </c>
      <c r="H7292" s="848">
        <v>10.51</v>
      </c>
    </row>
    <row r="7293" spans="2:8" ht="25.5" hidden="1">
      <c r="B7293" s="630" t="s">
        <v>6541</v>
      </c>
      <c r="C7293" s="630">
        <v>101328</v>
      </c>
      <c r="D7293" s="630" t="s">
        <v>4768</v>
      </c>
      <c r="E7293" s="630" t="s">
        <v>574</v>
      </c>
      <c r="F7293" s="980">
        <v>0</v>
      </c>
      <c r="G7293" s="981">
        <v>14.61</v>
      </c>
      <c r="H7293" s="848">
        <v>14.61</v>
      </c>
    </row>
    <row r="7294" spans="2:8" ht="25.5" hidden="1">
      <c r="B7294" s="630" t="s">
        <v>6541</v>
      </c>
      <c r="C7294" s="630">
        <v>101329</v>
      </c>
      <c r="D7294" s="630" t="s">
        <v>4769</v>
      </c>
      <c r="E7294" s="630" t="s">
        <v>574</v>
      </c>
      <c r="F7294" s="980">
        <v>0</v>
      </c>
      <c r="G7294" s="981">
        <v>46.79</v>
      </c>
      <c r="H7294" s="848">
        <v>46.79</v>
      </c>
    </row>
    <row r="7295" spans="2:8" ht="25.5" hidden="1">
      <c r="B7295" s="630" t="s">
        <v>6541</v>
      </c>
      <c r="C7295" s="630">
        <v>101330</v>
      </c>
      <c r="D7295" s="630" t="s">
        <v>4770</v>
      </c>
      <c r="E7295" s="630" t="s">
        <v>574</v>
      </c>
      <c r="F7295" s="980">
        <v>0</v>
      </c>
      <c r="G7295" s="981">
        <v>35.119999999999997</v>
      </c>
      <c r="H7295" s="848">
        <v>35.119999999999997</v>
      </c>
    </row>
    <row r="7296" spans="2:8" ht="25.5" hidden="1">
      <c r="B7296" s="630" t="s">
        <v>6541</v>
      </c>
      <c r="C7296" s="630">
        <v>101331</v>
      </c>
      <c r="D7296" s="630" t="s">
        <v>4771</v>
      </c>
      <c r="E7296" s="630" t="s">
        <v>574</v>
      </c>
      <c r="F7296" s="980">
        <v>0</v>
      </c>
      <c r="G7296" s="981">
        <v>43.51</v>
      </c>
      <c r="H7296" s="848">
        <v>43.51</v>
      </c>
    </row>
    <row r="7297" spans="2:8" ht="25.5" hidden="1">
      <c r="B7297" s="630" t="s">
        <v>6541</v>
      </c>
      <c r="C7297" s="630">
        <v>101332</v>
      </c>
      <c r="D7297" s="630" t="s">
        <v>4772</v>
      </c>
      <c r="E7297" s="630" t="s">
        <v>574</v>
      </c>
      <c r="F7297" s="980">
        <v>0</v>
      </c>
      <c r="G7297" s="981">
        <v>11.93</v>
      </c>
      <c r="H7297" s="848">
        <v>11.93</v>
      </c>
    </row>
    <row r="7298" spans="2:8" ht="25.5" hidden="1">
      <c r="B7298" s="630" t="s">
        <v>6541</v>
      </c>
      <c r="C7298" s="630">
        <v>101333</v>
      </c>
      <c r="D7298" s="630" t="s">
        <v>4773</v>
      </c>
      <c r="E7298" s="630" t="s">
        <v>574</v>
      </c>
      <c r="F7298" s="980">
        <v>0</v>
      </c>
      <c r="G7298" s="981">
        <v>24.79</v>
      </c>
      <c r="H7298" s="848">
        <v>24.79</v>
      </c>
    </row>
    <row r="7299" spans="2:8" ht="25.5" hidden="1">
      <c r="B7299" s="630" t="s">
        <v>6541</v>
      </c>
      <c r="C7299" s="630">
        <v>101334</v>
      </c>
      <c r="D7299" s="630" t="s">
        <v>4774</v>
      </c>
      <c r="E7299" s="630" t="s">
        <v>574</v>
      </c>
      <c r="F7299" s="980">
        <v>0</v>
      </c>
      <c r="G7299" s="981">
        <v>79.930000000000007</v>
      </c>
      <c r="H7299" s="848">
        <v>79.930000000000007</v>
      </c>
    </row>
    <row r="7300" spans="2:8" ht="25.5" hidden="1">
      <c r="B7300" s="630" t="s">
        <v>6541</v>
      </c>
      <c r="C7300" s="630">
        <v>101335</v>
      </c>
      <c r="D7300" s="630" t="s">
        <v>4775</v>
      </c>
      <c r="E7300" s="630" t="s">
        <v>574</v>
      </c>
      <c r="F7300" s="980">
        <v>0</v>
      </c>
      <c r="G7300" s="981">
        <v>12.37</v>
      </c>
      <c r="H7300" s="848">
        <v>12.37</v>
      </c>
    </row>
    <row r="7301" spans="2:8" ht="25.5" hidden="1">
      <c r="B7301" s="630" t="s">
        <v>6541</v>
      </c>
      <c r="C7301" s="630">
        <v>101336</v>
      </c>
      <c r="D7301" s="630" t="s">
        <v>4776</v>
      </c>
      <c r="E7301" s="630" t="s">
        <v>574</v>
      </c>
      <c r="F7301" s="980">
        <v>0</v>
      </c>
      <c r="G7301" s="981">
        <v>41.37</v>
      </c>
      <c r="H7301" s="848">
        <v>41.37</v>
      </c>
    </row>
    <row r="7302" spans="2:8" ht="25.5" hidden="1">
      <c r="B7302" s="630" t="s">
        <v>6541</v>
      </c>
      <c r="C7302" s="630">
        <v>101337</v>
      </c>
      <c r="D7302" s="630" t="s">
        <v>4777</v>
      </c>
      <c r="E7302" s="630" t="s">
        <v>574</v>
      </c>
      <c r="F7302" s="980">
        <v>0</v>
      </c>
      <c r="G7302" s="981">
        <v>12.32</v>
      </c>
      <c r="H7302" s="848">
        <v>12.32</v>
      </c>
    </row>
    <row r="7303" spans="2:8" ht="25.5" hidden="1">
      <c r="B7303" s="630" t="s">
        <v>6541</v>
      </c>
      <c r="C7303" s="630">
        <v>101338</v>
      </c>
      <c r="D7303" s="630" t="s">
        <v>4778</v>
      </c>
      <c r="E7303" s="630" t="s">
        <v>574</v>
      </c>
      <c r="F7303" s="980">
        <v>0</v>
      </c>
      <c r="G7303" s="981">
        <v>19.61</v>
      </c>
      <c r="H7303" s="848">
        <v>19.61</v>
      </c>
    </row>
    <row r="7304" spans="2:8" ht="25.5" hidden="1">
      <c r="B7304" s="630" t="s">
        <v>6541</v>
      </c>
      <c r="C7304" s="630">
        <v>101339</v>
      </c>
      <c r="D7304" s="630" t="s">
        <v>4779</v>
      </c>
      <c r="E7304" s="630" t="s">
        <v>574</v>
      </c>
      <c r="F7304" s="980">
        <v>0</v>
      </c>
      <c r="G7304" s="981">
        <v>16.22</v>
      </c>
      <c r="H7304" s="848">
        <v>16.22</v>
      </c>
    </row>
    <row r="7305" spans="2:8" ht="25.5" hidden="1">
      <c r="B7305" s="630" t="s">
        <v>6541</v>
      </c>
      <c r="C7305" s="630">
        <v>101340</v>
      </c>
      <c r="D7305" s="630" t="s">
        <v>4780</v>
      </c>
      <c r="E7305" s="630" t="s">
        <v>574</v>
      </c>
      <c r="F7305" s="980">
        <v>0</v>
      </c>
      <c r="G7305" s="981">
        <v>15.66</v>
      </c>
      <c r="H7305" s="848">
        <v>15.66</v>
      </c>
    </row>
    <row r="7306" spans="2:8" ht="25.5" hidden="1">
      <c r="B7306" s="630" t="s">
        <v>6541</v>
      </c>
      <c r="C7306" s="630">
        <v>101341</v>
      </c>
      <c r="D7306" s="630" t="s">
        <v>4781</v>
      </c>
      <c r="E7306" s="630" t="s">
        <v>574</v>
      </c>
      <c r="F7306" s="980">
        <v>0</v>
      </c>
      <c r="G7306" s="981">
        <v>17.690000000000001</v>
      </c>
      <c r="H7306" s="848">
        <v>17.690000000000001</v>
      </c>
    </row>
    <row r="7307" spans="2:8" ht="25.5" hidden="1">
      <c r="B7307" s="630" t="s">
        <v>6541</v>
      </c>
      <c r="C7307" s="630">
        <v>101342</v>
      </c>
      <c r="D7307" s="630" t="s">
        <v>4782</v>
      </c>
      <c r="E7307" s="630" t="s">
        <v>574</v>
      </c>
      <c r="F7307" s="980">
        <v>0</v>
      </c>
      <c r="G7307" s="981">
        <v>19.97</v>
      </c>
      <c r="H7307" s="848">
        <v>19.97</v>
      </c>
    </row>
    <row r="7308" spans="2:8" ht="25.5" hidden="1">
      <c r="B7308" s="630" t="s">
        <v>6541</v>
      </c>
      <c r="C7308" s="630">
        <v>101343</v>
      </c>
      <c r="D7308" s="630" t="s">
        <v>4783</v>
      </c>
      <c r="E7308" s="630" t="s">
        <v>574</v>
      </c>
      <c r="F7308" s="980">
        <v>0</v>
      </c>
      <c r="G7308" s="981">
        <v>30.46</v>
      </c>
      <c r="H7308" s="848">
        <v>30.46</v>
      </c>
    </row>
    <row r="7309" spans="2:8" ht="25.5" hidden="1">
      <c r="B7309" s="630" t="s">
        <v>6541</v>
      </c>
      <c r="C7309" s="630">
        <v>101344</v>
      </c>
      <c r="D7309" s="630" t="s">
        <v>4784</v>
      </c>
      <c r="E7309" s="630" t="s">
        <v>574</v>
      </c>
      <c r="F7309" s="980">
        <v>0</v>
      </c>
      <c r="G7309" s="981">
        <v>39.799999999999997</v>
      </c>
      <c r="H7309" s="848">
        <v>39.799999999999997</v>
      </c>
    </row>
    <row r="7310" spans="2:8" ht="25.5" hidden="1">
      <c r="B7310" s="630" t="s">
        <v>6541</v>
      </c>
      <c r="C7310" s="630">
        <v>101345</v>
      </c>
      <c r="D7310" s="630" t="s">
        <v>4785</v>
      </c>
      <c r="E7310" s="630" t="s">
        <v>574</v>
      </c>
      <c r="F7310" s="980">
        <v>0</v>
      </c>
      <c r="G7310" s="981">
        <v>98.12</v>
      </c>
      <c r="H7310" s="848">
        <v>98.12</v>
      </c>
    </row>
    <row r="7311" spans="2:8" ht="25.5" hidden="1">
      <c r="B7311" s="630" t="s">
        <v>6541</v>
      </c>
      <c r="C7311" s="630">
        <v>101346</v>
      </c>
      <c r="D7311" s="630" t="s">
        <v>4786</v>
      </c>
      <c r="E7311" s="630" t="s">
        <v>574</v>
      </c>
      <c r="F7311" s="980">
        <v>0</v>
      </c>
      <c r="G7311" s="981">
        <v>27.27</v>
      </c>
      <c r="H7311" s="848">
        <v>27.27</v>
      </c>
    </row>
    <row r="7312" spans="2:8" ht="25.5" hidden="1">
      <c r="B7312" s="630" t="s">
        <v>6541</v>
      </c>
      <c r="C7312" s="630">
        <v>101347</v>
      </c>
      <c r="D7312" s="630" t="s">
        <v>4787</v>
      </c>
      <c r="E7312" s="630" t="s">
        <v>574</v>
      </c>
      <c r="F7312" s="980">
        <v>0</v>
      </c>
      <c r="G7312" s="981">
        <v>29.96</v>
      </c>
      <c r="H7312" s="848">
        <v>29.96</v>
      </c>
    </row>
    <row r="7313" spans="2:8" ht="25.5" hidden="1">
      <c r="B7313" s="630" t="s">
        <v>6541</v>
      </c>
      <c r="C7313" s="630">
        <v>101348</v>
      </c>
      <c r="D7313" s="630" t="s">
        <v>4788</v>
      </c>
      <c r="E7313" s="630" t="s">
        <v>574</v>
      </c>
      <c r="F7313" s="980">
        <v>0</v>
      </c>
      <c r="G7313" s="981">
        <v>17.32</v>
      </c>
      <c r="H7313" s="848">
        <v>17.32</v>
      </c>
    </row>
    <row r="7314" spans="2:8" ht="25.5" hidden="1">
      <c r="B7314" s="630" t="s">
        <v>6541</v>
      </c>
      <c r="C7314" s="630">
        <v>101349</v>
      </c>
      <c r="D7314" s="630" t="s">
        <v>4789</v>
      </c>
      <c r="E7314" s="630" t="s">
        <v>574</v>
      </c>
      <c r="F7314" s="980">
        <v>0</v>
      </c>
      <c r="G7314" s="981">
        <v>20.309999999999999</v>
      </c>
      <c r="H7314" s="848">
        <v>20.309999999999999</v>
      </c>
    </row>
    <row r="7315" spans="2:8" ht="25.5" hidden="1">
      <c r="B7315" s="630" t="s">
        <v>6541</v>
      </c>
      <c r="C7315" s="630">
        <v>101350</v>
      </c>
      <c r="D7315" s="630" t="s">
        <v>4790</v>
      </c>
      <c r="E7315" s="630" t="s">
        <v>574</v>
      </c>
      <c r="F7315" s="980">
        <v>0</v>
      </c>
      <c r="G7315" s="981">
        <v>24.92</v>
      </c>
      <c r="H7315" s="848">
        <v>24.92</v>
      </c>
    </row>
    <row r="7316" spans="2:8" ht="25.5" hidden="1">
      <c r="B7316" s="630" t="s">
        <v>6541</v>
      </c>
      <c r="C7316" s="630">
        <v>101351</v>
      </c>
      <c r="D7316" s="630" t="s">
        <v>4791</v>
      </c>
      <c r="E7316" s="630" t="s">
        <v>574</v>
      </c>
      <c r="F7316" s="980">
        <v>0</v>
      </c>
      <c r="G7316" s="981">
        <v>20.6</v>
      </c>
      <c r="H7316" s="848">
        <v>20.6</v>
      </c>
    </row>
    <row r="7317" spans="2:8" ht="25.5" hidden="1">
      <c r="B7317" s="630" t="s">
        <v>6541</v>
      </c>
      <c r="C7317" s="630">
        <v>101352</v>
      </c>
      <c r="D7317" s="630" t="s">
        <v>4792</v>
      </c>
      <c r="E7317" s="630" t="s">
        <v>574</v>
      </c>
      <c r="F7317" s="980">
        <v>0</v>
      </c>
      <c r="G7317" s="981">
        <v>20.97</v>
      </c>
      <c r="H7317" s="848">
        <v>20.97</v>
      </c>
    </row>
    <row r="7318" spans="2:8" ht="25.5" hidden="1">
      <c r="B7318" s="630" t="s">
        <v>6541</v>
      </c>
      <c r="C7318" s="630">
        <v>101353</v>
      </c>
      <c r="D7318" s="630" t="s">
        <v>4793</v>
      </c>
      <c r="E7318" s="630" t="s">
        <v>574</v>
      </c>
      <c r="F7318" s="980">
        <v>0</v>
      </c>
      <c r="G7318" s="981">
        <v>18.28</v>
      </c>
      <c r="H7318" s="848">
        <v>18.28</v>
      </c>
    </row>
    <row r="7319" spans="2:8" ht="25.5" hidden="1">
      <c r="B7319" s="630" t="s">
        <v>6541</v>
      </c>
      <c r="C7319" s="630">
        <v>101354</v>
      </c>
      <c r="D7319" s="630" t="s">
        <v>4794</v>
      </c>
      <c r="E7319" s="630" t="s">
        <v>574</v>
      </c>
      <c r="F7319" s="980">
        <v>0</v>
      </c>
      <c r="G7319" s="981">
        <v>32.130000000000003</v>
      </c>
      <c r="H7319" s="848">
        <v>32.130000000000003</v>
      </c>
    </row>
    <row r="7320" spans="2:8" ht="25.5" hidden="1">
      <c r="B7320" s="630" t="s">
        <v>6541</v>
      </c>
      <c r="C7320" s="630">
        <v>101355</v>
      </c>
      <c r="D7320" s="630" t="s">
        <v>4795</v>
      </c>
      <c r="E7320" s="630" t="s">
        <v>574</v>
      </c>
      <c r="F7320" s="980">
        <v>0</v>
      </c>
      <c r="G7320" s="981">
        <v>18.010000000000002</v>
      </c>
      <c r="H7320" s="848">
        <v>18.010000000000002</v>
      </c>
    </row>
    <row r="7321" spans="2:8" ht="25.5" hidden="1">
      <c r="B7321" s="630" t="s">
        <v>6541</v>
      </c>
      <c r="C7321" s="630">
        <v>101356</v>
      </c>
      <c r="D7321" s="630" t="s">
        <v>4796</v>
      </c>
      <c r="E7321" s="630" t="s">
        <v>574</v>
      </c>
      <c r="F7321" s="980">
        <v>0</v>
      </c>
      <c r="G7321" s="981">
        <v>38.28</v>
      </c>
      <c r="H7321" s="848">
        <v>38.28</v>
      </c>
    </row>
    <row r="7322" spans="2:8" ht="25.5" hidden="1">
      <c r="B7322" s="630" t="s">
        <v>6541</v>
      </c>
      <c r="C7322" s="630">
        <v>101357</v>
      </c>
      <c r="D7322" s="630" t="s">
        <v>4797</v>
      </c>
      <c r="E7322" s="630" t="s">
        <v>574</v>
      </c>
      <c r="F7322" s="980">
        <v>0</v>
      </c>
      <c r="G7322" s="981">
        <v>55.11</v>
      </c>
      <c r="H7322" s="848">
        <v>55.11</v>
      </c>
    </row>
    <row r="7323" spans="2:8" ht="25.5" hidden="1">
      <c r="B7323" s="630" t="s">
        <v>6541</v>
      </c>
      <c r="C7323" s="630">
        <v>101358</v>
      </c>
      <c r="D7323" s="630" t="s">
        <v>4798</v>
      </c>
      <c r="E7323" s="630" t="s">
        <v>574</v>
      </c>
      <c r="F7323" s="980">
        <v>0</v>
      </c>
      <c r="G7323" s="981">
        <v>38.28</v>
      </c>
      <c r="H7323" s="848">
        <v>38.28</v>
      </c>
    </row>
    <row r="7324" spans="2:8" ht="25.5" hidden="1">
      <c r="B7324" s="630" t="s">
        <v>6541</v>
      </c>
      <c r="C7324" s="630">
        <v>101359</v>
      </c>
      <c r="D7324" s="630" t="s">
        <v>4799</v>
      </c>
      <c r="E7324" s="630" t="s">
        <v>574</v>
      </c>
      <c r="F7324" s="980">
        <v>0</v>
      </c>
      <c r="G7324" s="981">
        <v>37.17</v>
      </c>
      <c r="H7324" s="848">
        <v>37.17</v>
      </c>
    </row>
    <row r="7325" spans="2:8" ht="25.5" hidden="1">
      <c r="B7325" s="630" t="s">
        <v>6541</v>
      </c>
      <c r="C7325" s="630">
        <v>101360</v>
      </c>
      <c r="D7325" s="630" t="s">
        <v>4800</v>
      </c>
      <c r="E7325" s="630" t="s">
        <v>574</v>
      </c>
      <c r="F7325" s="980">
        <v>0</v>
      </c>
      <c r="G7325" s="981">
        <v>38.28</v>
      </c>
      <c r="H7325" s="848">
        <v>38.28</v>
      </c>
    </row>
    <row r="7326" spans="2:8" ht="25.5" hidden="1">
      <c r="B7326" s="630" t="s">
        <v>6541</v>
      </c>
      <c r="C7326" s="630">
        <v>101361</v>
      </c>
      <c r="D7326" s="630" t="s">
        <v>4801</v>
      </c>
      <c r="E7326" s="630" t="s">
        <v>574</v>
      </c>
      <c r="F7326" s="980">
        <v>0</v>
      </c>
      <c r="G7326" s="981">
        <v>40.51</v>
      </c>
      <c r="H7326" s="848">
        <v>40.51</v>
      </c>
    </row>
    <row r="7327" spans="2:8" ht="25.5" hidden="1">
      <c r="B7327" s="630" t="s">
        <v>6541</v>
      </c>
      <c r="C7327" s="630">
        <v>101362</v>
      </c>
      <c r="D7327" s="630" t="s">
        <v>4802</v>
      </c>
      <c r="E7327" s="630" t="s">
        <v>574</v>
      </c>
      <c r="F7327" s="980">
        <v>0</v>
      </c>
      <c r="G7327" s="981">
        <v>8.6199999999999992</v>
      </c>
      <c r="H7327" s="848">
        <v>8.6199999999999992</v>
      </c>
    </row>
    <row r="7328" spans="2:8" ht="25.5" hidden="1">
      <c r="B7328" s="630" t="s">
        <v>6541</v>
      </c>
      <c r="C7328" s="630">
        <v>101363</v>
      </c>
      <c r="D7328" s="630" t="s">
        <v>4803</v>
      </c>
      <c r="E7328" s="630" t="s">
        <v>574</v>
      </c>
      <c r="F7328" s="980">
        <v>0</v>
      </c>
      <c r="G7328" s="981">
        <v>29.87</v>
      </c>
      <c r="H7328" s="848">
        <v>29.87</v>
      </c>
    </row>
    <row r="7329" spans="2:8" ht="25.5" hidden="1">
      <c r="B7329" s="630" t="s">
        <v>6541</v>
      </c>
      <c r="C7329" s="630">
        <v>101364</v>
      </c>
      <c r="D7329" s="630" t="s">
        <v>4804</v>
      </c>
      <c r="E7329" s="630" t="s">
        <v>574</v>
      </c>
      <c r="F7329" s="980">
        <v>0</v>
      </c>
      <c r="G7329" s="981">
        <v>38.92</v>
      </c>
      <c r="H7329" s="848">
        <v>38.92</v>
      </c>
    </row>
    <row r="7330" spans="2:8" ht="25.5" hidden="1">
      <c r="B7330" s="630" t="s">
        <v>6541</v>
      </c>
      <c r="C7330" s="630">
        <v>101365</v>
      </c>
      <c r="D7330" s="630" t="s">
        <v>4805</v>
      </c>
      <c r="E7330" s="630" t="s">
        <v>574</v>
      </c>
      <c r="F7330" s="980">
        <v>0</v>
      </c>
      <c r="G7330" s="981">
        <v>30.7</v>
      </c>
      <c r="H7330" s="848">
        <v>30.7</v>
      </c>
    </row>
    <row r="7331" spans="2:8" ht="25.5" hidden="1">
      <c r="B7331" s="630" t="s">
        <v>6541</v>
      </c>
      <c r="C7331" s="630">
        <v>101366</v>
      </c>
      <c r="D7331" s="630" t="s">
        <v>4806</v>
      </c>
      <c r="E7331" s="630" t="s">
        <v>574</v>
      </c>
      <c r="F7331" s="980">
        <v>0</v>
      </c>
      <c r="G7331" s="981">
        <v>24.85</v>
      </c>
      <c r="H7331" s="848">
        <v>24.85</v>
      </c>
    </row>
    <row r="7332" spans="2:8" ht="25.5" hidden="1">
      <c r="B7332" s="630" t="s">
        <v>6541</v>
      </c>
      <c r="C7332" s="630">
        <v>101367</v>
      </c>
      <c r="D7332" s="630" t="s">
        <v>4807</v>
      </c>
      <c r="E7332" s="630" t="s">
        <v>574</v>
      </c>
      <c r="F7332" s="980">
        <v>0</v>
      </c>
      <c r="G7332" s="981">
        <v>29.87</v>
      </c>
      <c r="H7332" s="848">
        <v>29.87</v>
      </c>
    </row>
    <row r="7333" spans="2:8" ht="25.5" hidden="1">
      <c r="B7333" s="630" t="s">
        <v>6541</v>
      </c>
      <c r="C7333" s="630">
        <v>101368</v>
      </c>
      <c r="D7333" s="630" t="s">
        <v>4808</v>
      </c>
      <c r="E7333" s="630" t="s">
        <v>574</v>
      </c>
      <c r="F7333" s="980">
        <v>0</v>
      </c>
      <c r="G7333" s="981">
        <v>31.39</v>
      </c>
      <c r="H7333" s="848">
        <v>31.39</v>
      </c>
    </row>
    <row r="7334" spans="2:8" ht="25.5" hidden="1">
      <c r="B7334" s="630" t="s">
        <v>6541</v>
      </c>
      <c r="C7334" s="630">
        <v>101369</v>
      </c>
      <c r="D7334" s="630" t="s">
        <v>4809</v>
      </c>
      <c r="E7334" s="630" t="s">
        <v>574</v>
      </c>
      <c r="F7334" s="980">
        <v>0</v>
      </c>
      <c r="G7334" s="981">
        <v>31.58</v>
      </c>
      <c r="H7334" s="848">
        <v>31.58</v>
      </c>
    </row>
    <row r="7335" spans="2:8" ht="25.5" hidden="1">
      <c r="B7335" s="630" t="s">
        <v>6541</v>
      </c>
      <c r="C7335" s="630">
        <v>101370</v>
      </c>
      <c r="D7335" s="630" t="s">
        <v>4810</v>
      </c>
      <c r="E7335" s="630" t="s">
        <v>574</v>
      </c>
      <c r="F7335" s="980">
        <v>0</v>
      </c>
      <c r="G7335" s="981">
        <v>29.51</v>
      </c>
      <c r="H7335" s="848">
        <v>29.51</v>
      </c>
    </row>
    <row r="7336" spans="2:8" ht="25.5" hidden="1">
      <c r="B7336" s="630" t="s">
        <v>6541</v>
      </c>
      <c r="C7336" s="630">
        <v>101371</v>
      </c>
      <c r="D7336" s="630" t="s">
        <v>4811</v>
      </c>
      <c r="E7336" s="630" t="s">
        <v>574</v>
      </c>
      <c r="F7336" s="980">
        <v>0</v>
      </c>
      <c r="G7336" s="981">
        <v>38.86</v>
      </c>
      <c r="H7336" s="848">
        <v>38.86</v>
      </c>
    </row>
    <row r="7337" spans="2:8" ht="25.5" hidden="1">
      <c r="B7337" s="630" t="s">
        <v>6541</v>
      </c>
      <c r="C7337" s="630">
        <v>101372</v>
      </c>
      <c r="D7337" s="630" t="s">
        <v>4812</v>
      </c>
      <c r="E7337" s="630" t="s">
        <v>574</v>
      </c>
      <c r="F7337" s="980">
        <v>0</v>
      </c>
      <c r="G7337" s="981">
        <v>9.41</v>
      </c>
      <c r="H7337" s="848">
        <v>9.41</v>
      </c>
    </row>
    <row r="7338" spans="2:8" hidden="1">
      <c r="B7338" s="630" t="s">
        <v>6541</v>
      </c>
      <c r="C7338" s="630">
        <v>101373</v>
      </c>
      <c r="D7338" s="630" t="s">
        <v>4813</v>
      </c>
      <c r="E7338" s="630" t="s">
        <v>902</v>
      </c>
      <c r="F7338" s="980">
        <v>1.54</v>
      </c>
      <c r="G7338" s="981">
        <v>159.44999999999999</v>
      </c>
      <c r="H7338" s="848">
        <v>160.99</v>
      </c>
    </row>
    <row r="7339" spans="2:8" hidden="1">
      <c r="B7339" s="630" t="s">
        <v>6541</v>
      </c>
      <c r="C7339" s="630">
        <v>101374</v>
      </c>
      <c r="D7339" s="630" t="s">
        <v>688</v>
      </c>
      <c r="E7339" s="630" t="s">
        <v>574</v>
      </c>
      <c r="F7339" s="980">
        <v>1250.26</v>
      </c>
      <c r="G7339" s="981">
        <v>2991.29</v>
      </c>
      <c r="H7339" s="848">
        <v>4241.55</v>
      </c>
    </row>
    <row r="7340" spans="2:8" hidden="1">
      <c r="B7340" s="630" t="s">
        <v>6541</v>
      </c>
      <c r="C7340" s="630">
        <v>101375</v>
      </c>
      <c r="D7340" s="630" t="s">
        <v>4814</v>
      </c>
      <c r="E7340" s="630" t="s">
        <v>574</v>
      </c>
      <c r="F7340" s="980">
        <v>1254.75</v>
      </c>
      <c r="G7340" s="981">
        <v>3295.57</v>
      </c>
      <c r="H7340" s="848">
        <v>4550.32</v>
      </c>
    </row>
    <row r="7341" spans="2:8" hidden="1">
      <c r="B7341" s="630" t="s">
        <v>6541</v>
      </c>
      <c r="C7341" s="630">
        <v>101376</v>
      </c>
      <c r="D7341" s="630" t="s">
        <v>4815</v>
      </c>
      <c r="E7341" s="630" t="s">
        <v>574</v>
      </c>
      <c r="F7341" s="980">
        <v>1049.47</v>
      </c>
      <c r="G7341" s="981">
        <v>2812.09</v>
      </c>
      <c r="H7341" s="848">
        <v>3861.56</v>
      </c>
    </row>
    <row r="7342" spans="2:8" hidden="1">
      <c r="B7342" s="630" t="s">
        <v>6541</v>
      </c>
      <c r="C7342" s="630">
        <v>101377</v>
      </c>
      <c r="D7342" s="630" t="s">
        <v>691</v>
      </c>
      <c r="E7342" s="630" t="s">
        <v>574</v>
      </c>
      <c r="F7342" s="980">
        <v>1250.26</v>
      </c>
      <c r="G7342" s="981">
        <v>3244.04</v>
      </c>
      <c r="H7342" s="848">
        <v>4494.3</v>
      </c>
    </row>
    <row r="7343" spans="2:8" hidden="1">
      <c r="B7343" s="630" t="s">
        <v>6541</v>
      </c>
      <c r="C7343" s="630">
        <v>101378</v>
      </c>
      <c r="D7343" s="630" t="s">
        <v>3695</v>
      </c>
      <c r="E7343" s="630" t="s">
        <v>574</v>
      </c>
      <c r="F7343" s="980">
        <v>1468.11</v>
      </c>
      <c r="G7343" s="981">
        <v>3250.48</v>
      </c>
      <c r="H7343" s="848">
        <v>4718.59</v>
      </c>
    </row>
    <row r="7344" spans="2:8" hidden="1">
      <c r="B7344" s="630" t="s">
        <v>6541</v>
      </c>
      <c r="C7344" s="630">
        <v>101379</v>
      </c>
      <c r="D7344" s="630" t="s">
        <v>4816</v>
      </c>
      <c r="E7344" s="630" t="s">
        <v>574</v>
      </c>
      <c r="F7344" s="980">
        <v>1250.26</v>
      </c>
      <c r="G7344" s="981">
        <v>3244.04</v>
      </c>
      <c r="H7344" s="848">
        <v>4494.3</v>
      </c>
    </row>
    <row r="7345" spans="2:8" hidden="1">
      <c r="B7345" s="630" t="s">
        <v>6541</v>
      </c>
      <c r="C7345" s="630">
        <v>101380</v>
      </c>
      <c r="D7345" s="630" t="s">
        <v>693</v>
      </c>
      <c r="E7345" s="630" t="s">
        <v>574</v>
      </c>
      <c r="F7345" s="980">
        <v>1228.8</v>
      </c>
      <c r="G7345" s="981">
        <v>3243.86</v>
      </c>
      <c r="H7345" s="848">
        <v>4472.66</v>
      </c>
    </row>
    <row r="7346" spans="2:8" hidden="1">
      <c r="B7346" s="630" t="s">
        <v>6541</v>
      </c>
      <c r="C7346" s="630">
        <v>101381</v>
      </c>
      <c r="D7346" s="630" t="s">
        <v>694</v>
      </c>
      <c r="E7346" s="630" t="s">
        <v>574</v>
      </c>
      <c r="F7346" s="980">
        <v>1250.26</v>
      </c>
      <c r="G7346" s="981">
        <v>4237.29</v>
      </c>
      <c r="H7346" s="848">
        <v>5487.55</v>
      </c>
    </row>
    <row r="7347" spans="2:8" hidden="1">
      <c r="B7347" s="630" t="s">
        <v>6541</v>
      </c>
      <c r="C7347" s="630">
        <v>101382</v>
      </c>
      <c r="D7347" s="630" t="s">
        <v>4817</v>
      </c>
      <c r="E7347" s="630" t="s">
        <v>574</v>
      </c>
      <c r="F7347" s="980">
        <v>1049.47</v>
      </c>
      <c r="G7347" s="981">
        <v>3897.41</v>
      </c>
      <c r="H7347" s="848">
        <v>4946.88</v>
      </c>
    </row>
    <row r="7348" spans="2:8" hidden="1">
      <c r="B7348" s="630" t="s">
        <v>6541</v>
      </c>
      <c r="C7348" s="630">
        <v>101383</v>
      </c>
      <c r="D7348" s="630" t="s">
        <v>3697</v>
      </c>
      <c r="E7348" s="630" t="s">
        <v>574</v>
      </c>
      <c r="F7348" s="980">
        <v>1250.26</v>
      </c>
      <c r="G7348" s="981">
        <v>2997.23</v>
      </c>
      <c r="H7348" s="848">
        <v>4247.49</v>
      </c>
    </row>
    <row r="7349" spans="2:8" ht="25.5" hidden="1">
      <c r="B7349" s="630" t="s">
        <v>6541</v>
      </c>
      <c r="C7349" s="630">
        <v>101384</v>
      </c>
      <c r="D7349" s="630" t="s">
        <v>697</v>
      </c>
      <c r="E7349" s="630" t="s">
        <v>574</v>
      </c>
      <c r="F7349" s="980">
        <v>1144.23</v>
      </c>
      <c r="G7349" s="981">
        <v>3256.92</v>
      </c>
      <c r="H7349" s="848">
        <v>4401.1499999999996</v>
      </c>
    </row>
    <row r="7350" spans="2:8" ht="25.5" hidden="1">
      <c r="B7350" s="630" t="s">
        <v>6541</v>
      </c>
      <c r="C7350" s="630">
        <v>101385</v>
      </c>
      <c r="D7350" s="630" t="s">
        <v>4818</v>
      </c>
      <c r="E7350" s="630" t="s">
        <v>574</v>
      </c>
      <c r="F7350" s="980">
        <v>303.79000000000002</v>
      </c>
      <c r="G7350" s="981">
        <v>4517.54</v>
      </c>
      <c r="H7350" s="848">
        <v>4821.33</v>
      </c>
    </row>
    <row r="7351" spans="2:8" hidden="1">
      <c r="B7351" s="630" t="s">
        <v>6541</v>
      </c>
      <c r="C7351" s="630">
        <v>101386</v>
      </c>
      <c r="D7351" s="630" t="s">
        <v>699</v>
      </c>
      <c r="E7351" s="630" t="s">
        <v>574</v>
      </c>
      <c r="F7351" s="980">
        <v>1049.47</v>
      </c>
      <c r="G7351" s="981">
        <v>2801.5</v>
      </c>
      <c r="H7351" s="848">
        <v>3850.97</v>
      </c>
    </row>
    <row r="7352" spans="2:8" hidden="1">
      <c r="B7352" s="630" t="s">
        <v>6541</v>
      </c>
      <c r="C7352" s="630">
        <v>101387</v>
      </c>
      <c r="D7352" s="630" t="s">
        <v>4819</v>
      </c>
      <c r="E7352" s="630" t="s">
        <v>574</v>
      </c>
      <c r="F7352" s="980">
        <v>1250.26</v>
      </c>
      <c r="G7352" s="981">
        <v>2997.23</v>
      </c>
      <c r="H7352" s="848">
        <v>4247.49</v>
      </c>
    </row>
    <row r="7353" spans="2:8" hidden="1">
      <c r="B7353" s="630" t="s">
        <v>6541</v>
      </c>
      <c r="C7353" s="630">
        <v>101388</v>
      </c>
      <c r="D7353" s="630" t="s">
        <v>701</v>
      </c>
      <c r="E7353" s="630" t="s">
        <v>574</v>
      </c>
      <c r="F7353" s="980">
        <v>1228.8</v>
      </c>
      <c r="G7353" s="981">
        <v>2992.37</v>
      </c>
      <c r="H7353" s="848">
        <v>4221.17</v>
      </c>
    </row>
    <row r="7354" spans="2:8" hidden="1">
      <c r="B7354" s="630" t="s">
        <v>6541</v>
      </c>
      <c r="C7354" s="630">
        <v>101389</v>
      </c>
      <c r="D7354" s="630" t="s">
        <v>702</v>
      </c>
      <c r="E7354" s="630" t="s">
        <v>574</v>
      </c>
      <c r="F7354" s="980">
        <v>294.48</v>
      </c>
      <c r="G7354" s="981">
        <v>1903.11</v>
      </c>
      <c r="H7354" s="848">
        <v>2197.59</v>
      </c>
    </row>
    <row r="7355" spans="2:8" ht="25.5" hidden="1">
      <c r="B7355" s="630" t="s">
        <v>6541</v>
      </c>
      <c r="C7355" s="630">
        <v>101390</v>
      </c>
      <c r="D7355" s="630" t="s">
        <v>4820</v>
      </c>
      <c r="E7355" s="630" t="s">
        <v>574</v>
      </c>
      <c r="F7355" s="980">
        <v>289.58999999999997</v>
      </c>
      <c r="G7355" s="981">
        <v>6169.65</v>
      </c>
      <c r="H7355" s="848">
        <v>6459.24</v>
      </c>
    </row>
    <row r="7356" spans="2:8" hidden="1">
      <c r="B7356" s="630" t="s">
        <v>6541</v>
      </c>
      <c r="C7356" s="630">
        <v>101391</v>
      </c>
      <c r="D7356" s="630" t="s">
        <v>4821</v>
      </c>
      <c r="E7356" s="630" t="s">
        <v>574</v>
      </c>
      <c r="F7356" s="980">
        <v>1250.26</v>
      </c>
      <c r="G7356" s="981">
        <v>4245.7</v>
      </c>
      <c r="H7356" s="848">
        <v>5495.96</v>
      </c>
    </row>
    <row r="7357" spans="2:8" ht="25.5" hidden="1">
      <c r="B7357" s="630" t="s">
        <v>6541</v>
      </c>
      <c r="C7357" s="630">
        <v>101392</v>
      </c>
      <c r="D7357" s="630" t="s">
        <v>4822</v>
      </c>
      <c r="E7357" s="630" t="s">
        <v>574</v>
      </c>
      <c r="F7357" s="980">
        <v>1049.47</v>
      </c>
      <c r="G7357" s="981">
        <v>3744.92</v>
      </c>
      <c r="H7357" s="848">
        <v>4794.3900000000003</v>
      </c>
    </row>
    <row r="7358" spans="2:8" hidden="1">
      <c r="B7358" s="630" t="s">
        <v>6541</v>
      </c>
      <c r="C7358" s="630">
        <v>101394</v>
      </c>
      <c r="D7358" s="630" t="s">
        <v>706</v>
      </c>
      <c r="E7358" s="630" t="s">
        <v>574</v>
      </c>
      <c r="F7358" s="980">
        <v>1250.26</v>
      </c>
      <c r="G7358" s="981">
        <v>3600.01</v>
      </c>
      <c r="H7358" s="848">
        <v>4850.2700000000004</v>
      </c>
    </row>
    <row r="7359" spans="2:8" hidden="1">
      <c r="B7359" s="630" t="s">
        <v>6541</v>
      </c>
      <c r="C7359" s="630">
        <v>101395</v>
      </c>
      <c r="D7359" s="630" t="s">
        <v>4823</v>
      </c>
      <c r="E7359" s="630" t="s">
        <v>574</v>
      </c>
      <c r="F7359" s="980">
        <v>1228.5</v>
      </c>
      <c r="G7359" s="981">
        <v>3250.48</v>
      </c>
      <c r="H7359" s="848">
        <v>4478.9799999999996</v>
      </c>
    </row>
    <row r="7360" spans="2:8" hidden="1">
      <c r="B7360" s="630" t="s">
        <v>6541</v>
      </c>
      <c r="C7360" s="630">
        <v>101396</v>
      </c>
      <c r="D7360" s="630" t="s">
        <v>4824</v>
      </c>
      <c r="E7360" s="630" t="s">
        <v>574</v>
      </c>
      <c r="F7360" s="980">
        <v>1228.5</v>
      </c>
      <c r="G7360" s="981">
        <v>3997.96</v>
      </c>
      <c r="H7360" s="848">
        <v>5226.46</v>
      </c>
    </row>
    <row r="7361" spans="2:8" hidden="1">
      <c r="B7361" s="630" t="s">
        <v>6541</v>
      </c>
      <c r="C7361" s="630">
        <v>101397</v>
      </c>
      <c r="D7361" s="630" t="s">
        <v>708</v>
      </c>
      <c r="E7361" s="630" t="s">
        <v>574</v>
      </c>
      <c r="F7361" s="980">
        <v>1228.5</v>
      </c>
      <c r="G7361" s="981">
        <v>4237.29</v>
      </c>
      <c r="H7361" s="848">
        <v>5465.79</v>
      </c>
    </row>
    <row r="7362" spans="2:8" ht="25.5" hidden="1">
      <c r="B7362" s="630" t="s">
        <v>6541</v>
      </c>
      <c r="C7362" s="630">
        <v>101398</v>
      </c>
      <c r="D7362" s="630" t="s">
        <v>4825</v>
      </c>
      <c r="E7362" s="630" t="s">
        <v>574</v>
      </c>
      <c r="F7362" s="980">
        <v>1049.47</v>
      </c>
      <c r="G7362" s="981">
        <v>2756.28</v>
      </c>
      <c r="H7362" s="848">
        <v>3805.75</v>
      </c>
    </row>
    <row r="7363" spans="2:8" hidden="1">
      <c r="B7363" s="630" t="s">
        <v>6541</v>
      </c>
      <c r="C7363" s="630">
        <v>101399</v>
      </c>
      <c r="D7363" s="630" t="s">
        <v>710</v>
      </c>
      <c r="E7363" s="630" t="s">
        <v>574</v>
      </c>
      <c r="F7363" s="980">
        <v>1254.75</v>
      </c>
      <c r="G7363" s="981">
        <v>4304.6099999999997</v>
      </c>
      <c r="H7363" s="848">
        <v>5559.36</v>
      </c>
    </row>
    <row r="7364" spans="2:8" ht="25.5" hidden="1">
      <c r="B7364" s="630" t="s">
        <v>6541</v>
      </c>
      <c r="C7364" s="630">
        <v>101400</v>
      </c>
      <c r="D7364" s="630" t="s">
        <v>4826</v>
      </c>
      <c r="E7364" s="630" t="s">
        <v>574</v>
      </c>
      <c r="F7364" s="980">
        <v>1254.75</v>
      </c>
      <c r="G7364" s="981">
        <v>4722.8900000000003</v>
      </c>
      <c r="H7364" s="848">
        <v>5977.64</v>
      </c>
    </row>
    <row r="7365" spans="2:8" hidden="1">
      <c r="B7365" s="630" t="s">
        <v>6541</v>
      </c>
      <c r="C7365" s="630">
        <v>101401</v>
      </c>
      <c r="D7365" s="630" t="s">
        <v>712</v>
      </c>
      <c r="E7365" s="630" t="s">
        <v>574</v>
      </c>
      <c r="F7365" s="980">
        <v>1254.75</v>
      </c>
      <c r="G7365" s="981">
        <v>5394.78</v>
      </c>
      <c r="H7365" s="848">
        <v>6649.53</v>
      </c>
    </row>
    <row r="7366" spans="2:8" ht="25.5" hidden="1">
      <c r="B7366" s="630" t="s">
        <v>6541</v>
      </c>
      <c r="C7366" s="630">
        <v>101402</v>
      </c>
      <c r="D7366" s="630" t="s">
        <v>713</v>
      </c>
      <c r="E7366" s="630" t="s">
        <v>574</v>
      </c>
      <c r="F7366" s="980">
        <v>1144.23</v>
      </c>
      <c r="G7366" s="981">
        <v>4254.12</v>
      </c>
      <c r="H7366" s="848">
        <v>5398.35</v>
      </c>
    </row>
    <row r="7367" spans="2:8" hidden="1">
      <c r="B7367" s="630" t="s">
        <v>6541</v>
      </c>
      <c r="C7367" s="630">
        <v>101403</v>
      </c>
      <c r="D7367" s="630" t="s">
        <v>4813</v>
      </c>
      <c r="E7367" s="630" t="s">
        <v>574</v>
      </c>
      <c r="F7367" s="980">
        <v>289.58999999999997</v>
      </c>
      <c r="G7367" s="981">
        <v>27960.79</v>
      </c>
      <c r="H7367" s="848">
        <v>28250.38</v>
      </c>
    </row>
    <row r="7368" spans="2:8" hidden="1">
      <c r="B7368" s="630" t="s">
        <v>6541</v>
      </c>
      <c r="C7368" s="630">
        <v>101404</v>
      </c>
      <c r="D7368" s="630" t="s">
        <v>931</v>
      </c>
      <c r="E7368" s="630" t="s">
        <v>574</v>
      </c>
      <c r="F7368" s="980">
        <v>289.58999999999997</v>
      </c>
      <c r="G7368" s="981">
        <v>17814.849999999999</v>
      </c>
      <c r="H7368" s="848">
        <v>18104.439999999999</v>
      </c>
    </row>
    <row r="7369" spans="2:8" hidden="1">
      <c r="B7369" s="630" t="s">
        <v>6541</v>
      </c>
      <c r="C7369" s="630">
        <v>101405</v>
      </c>
      <c r="D7369" s="630" t="s">
        <v>932</v>
      </c>
      <c r="E7369" s="630" t="s">
        <v>574</v>
      </c>
      <c r="F7369" s="980">
        <v>289.58999999999997</v>
      </c>
      <c r="G7369" s="981">
        <v>12134.25</v>
      </c>
      <c r="H7369" s="848">
        <v>12423.84</v>
      </c>
    </row>
    <row r="7370" spans="2:8" hidden="1">
      <c r="B7370" s="630" t="s">
        <v>6541</v>
      </c>
      <c r="C7370" s="630">
        <v>101407</v>
      </c>
      <c r="D7370" s="630" t="s">
        <v>714</v>
      </c>
      <c r="E7370" s="630" t="s">
        <v>574</v>
      </c>
      <c r="F7370" s="980">
        <v>1250.26</v>
      </c>
      <c r="G7370" s="981">
        <v>4040.46</v>
      </c>
      <c r="H7370" s="848">
        <v>5290.72</v>
      </c>
    </row>
    <row r="7371" spans="2:8" hidden="1">
      <c r="B7371" s="630" t="s">
        <v>6541</v>
      </c>
      <c r="C7371" s="630">
        <v>101408</v>
      </c>
      <c r="D7371" s="630" t="s">
        <v>715</v>
      </c>
      <c r="E7371" s="630" t="s">
        <v>574</v>
      </c>
      <c r="F7371" s="980">
        <v>1250.26</v>
      </c>
      <c r="G7371" s="981">
        <v>4262.53</v>
      </c>
      <c r="H7371" s="848">
        <v>5512.79</v>
      </c>
    </row>
    <row r="7372" spans="2:8" hidden="1">
      <c r="B7372" s="630" t="s">
        <v>6541</v>
      </c>
      <c r="C7372" s="630">
        <v>101409</v>
      </c>
      <c r="D7372" s="630" t="s">
        <v>4827</v>
      </c>
      <c r="E7372" s="630" t="s">
        <v>574</v>
      </c>
      <c r="F7372" s="980">
        <v>1049.47</v>
      </c>
      <c r="G7372" s="981">
        <v>4891.76</v>
      </c>
      <c r="H7372" s="848">
        <v>5941.23</v>
      </c>
    </row>
    <row r="7373" spans="2:8" hidden="1">
      <c r="B7373" s="630" t="s">
        <v>6541</v>
      </c>
      <c r="C7373" s="630">
        <v>101410</v>
      </c>
      <c r="D7373" s="630" t="s">
        <v>830</v>
      </c>
      <c r="E7373" s="630" t="s">
        <v>574</v>
      </c>
      <c r="F7373" s="980">
        <v>1250.26</v>
      </c>
      <c r="G7373" s="981">
        <v>3183.1</v>
      </c>
      <c r="H7373" s="848">
        <v>4433.3599999999997</v>
      </c>
    </row>
    <row r="7374" spans="2:8" ht="25.5" hidden="1">
      <c r="B7374" s="630" t="s">
        <v>6541</v>
      </c>
      <c r="C7374" s="630">
        <v>101411</v>
      </c>
      <c r="D7374" s="630" t="s">
        <v>4828</v>
      </c>
      <c r="E7374" s="630" t="s">
        <v>574</v>
      </c>
      <c r="F7374" s="980">
        <v>303.79000000000002</v>
      </c>
      <c r="G7374" s="981">
        <v>3402.84</v>
      </c>
      <c r="H7374" s="848">
        <v>3706.63</v>
      </c>
    </row>
    <row r="7375" spans="2:8" hidden="1">
      <c r="B7375" s="630" t="s">
        <v>6541</v>
      </c>
      <c r="C7375" s="630">
        <v>101412</v>
      </c>
      <c r="D7375" s="630" t="s">
        <v>4829</v>
      </c>
      <c r="E7375" s="630" t="s">
        <v>574</v>
      </c>
      <c r="F7375" s="980">
        <v>1405.13</v>
      </c>
      <c r="G7375" s="981">
        <v>4262.58</v>
      </c>
      <c r="H7375" s="848">
        <v>5667.71</v>
      </c>
    </row>
    <row r="7376" spans="2:8" hidden="1">
      <c r="B7376" s="630" t="s">
        <v>6541</v>
      </c>
      <c r="C7376" s="630">
        <v>101413</v>
      </c>
      <c r="D7376" s="630" t="s">
        <v>717</v>
      </c>
      <c r="E7376" s="630" t="s">
        <v>574</v>
      </c>
      <c r="F7376" s="980">
        <v>1228.5</v>
      </c>
      <c r="G7376" s="981">
        <v>3894.71</v>
      </c>
      <c r="H7376" s="848">
        <v>5123.21</v>
      </c>
    </row>
    <row r="7377" spans="2:8" hidden="1">
      <c r="B7377" s="630" t="s">
        <v>6541</v>
      </c>
      <c r="C7377" s="630">
        <v>101414</v>
      </c>
      <c r="D7377" s="630" t="s">
        <v>4830</v>
      </c>
      <c r="E7377" s="630" t="s">
        <v>574</v>
      </c>
      <c r="F7377" s="980">
        <v>1250.26</v>
      </c>
      <c r="G7377" s="981">
        <v>4825.41</v>
      </c>
      <c r="H7377" s="848">
        <v>6075.67</v>
      </c>
    </row>
    <row r="7378" spans="2:8" ht="25.5" hidden="1">
      <c r="B7378" s="630" t="s">
        <v>6541</v>
      </c>
      <c r="C7378" s="630">
        <v>101415</v>
      </c>
      <c r="D7378" s="630" t="s">
        <v>4831</v>
      </c>
      <c r="E7378" s="630" t="s">
        <v>574</v>
      </c>
      <c r="F7378" s="980">
        <v>1049.47</v>
      </c>
      <c r="G7378" s="981">
        <v>4887.3</v>
      </c>
      <c r="H7378" s="848">
        <v>5936.77</v>
      </c>
    </row>
    <row r="7379" spans="2:8" hidden="1">
      <c r="B7379" s="630" t="s">
        <v>6541</v>
      </c>
      <c r="C7379" s="630">
        <v>101416</v>
      </c>
      <c r="D7379" s="630" t="s">
        <v>3702</v>
      </c>
      <c r="E7379" s="630" t="s">
        <v>574</v>
      </c>
      <c r="F7379" s="980">
        <v>1254.75</v>
      </c>
      <c r="G7379" s="981">
        <v>4754.68</v>
      </c>
      <c r="H7379" s="848">
        <v>6009.43</v>
      </c>
    </row>
    <row r="7380" spans="2:8" hidden="1">
      <c r="B7380" s="630" t="s">
        <v>6541</v>
      </c>
      <c r="C7380" s="630">
        <v>101417</v>
      </c>
      <c r="D7380" s="630" t="s">
        <v>4832</v>
      </c>
      <c r="E7380" s="630" t="s">
        <v>574</v>
      </c>
      <c r="F7380" s="980">
        <v>1254.75</v>
      </c>
      <c r="G7380" s="981">
        <v>3631.34</v>
      </c>
      <c r="H7380" s="848">
        <v>4886.09</v>
      </c>
    </row>
    <row r="7381" spans="2:8" ht="25.5" hidden="1">
      <c r="B7381" s="630" t="s">
        <v>6541</v>
      </c>
      <c r="C7381" s="630">
        <v>101418</v>
      </c>
      <c r="D7381" s="630" t="s">
        <v>4833</v>
      </c>
      <c r="E7381" s="630" t="s">
        <v>574</v>
      </c>
      <c r="F7381" s="980">
        <v>1049.47</v>
      </c>
      <c r="G7381" s="981">
        <v>3958.49</v>
      </c>
      <c r="H7381" s="848">
        <v>5007.96</v>
      </c>
    </row>
    <row r="7382" spans="2:8" hidden="1">
      <c r="B7382" s="630" t="s">
        <v>6541</v>
      </c>
      <c r="C7382" s="630">
        <v>101419</v>
      </c>
      <c r="D7382" s="630" t="s">
        <v>4834</v>
      </c>
      <c r="E7382" s="630" t="s">
        <v>574</v>
      </c>
      <c r="F7382" s="980">
        <v>1254.75</v>
      </c>
      <c r="G7382" s="981">
        <v>5352.41</v>
      </c>
      <c r="H7382" s="848">
        <v>6607.16</v>
      </c>
    </row>
    <row r="7383" spans="2:8" ht="25.5" hidden="1">
      <c r="B7383" s="630" t="s">
        <v>6541</v>
      </c>
      <c r="C7383" s="630">
        <v>101420</v>
      </c>
      <c r="D7383" s="630" t="s">
        <v>4835</v>
      </c>
      <c r="E7383" s="630" t="s">
        <v>574</v>
      </c>
      <c r="F7383" s="980">
        <v>1049.47</v>
      </c>
      <c r="G7383" s="981">
        <v>3339.52</v>
      </c>
      <c r="H7383" s="848">
        <v>4388.99</v>
      </c>
    </row>
    <row r="7384" spans="2:8" hidden="1">
      <c r="B7384" s="630" t="s">
        <v>6541</v>
      </c>
      <c r="C7384" s="630">
        <v>101421</v>
      </c>
      <c r="D7384" s="630" t="s">
        <v>4836</v>
      </c>
      <c r="E7384" s="630" t="s">
        <v>574</v>
      </c>
      <c r="F7384" s="980">
        <v>1049.47</v>
      </c>
      <c r="G7384" s="981">
        <v>4728.0200000000004</v>
      </c>
      <c r="H7384" s="848">
        <v>5777.49</v>
      </c>
    </row>
    <row r="7385" spans="2:8" hidden="1">
      <c r="B7385" s="630" t="s">
        <v>6541</v>
      </c>
      <c r="C7385" s="630">
        <v>101422</v>
      </c>
      <c r="D7385" s="630" t="s">
        <v>4837</v>
      </c>
      <c r="E7385" s="630" t="s">
        <v>574</v>
      </c>
      <c r="F7385" s="980">
        <v>1049.47</v>
      </c>
      <c r="G7385" s="981">
        <v>3860.69</v>
      </c>
      <c r="H7385" s="848">
        <v>4910.16</v>
      </c>
    </row>
    <row r="7386" spans="2:8" ht="25.5" hidden="1">
      <c r="B7386" s="630" t="s">
        <v>6541</v>
      </c>
      <c r="C7386" s="630">
        <v>101423</v>
      </c>
      <c r="D7386" s="630" t="s">
        <v>4838</v>
      </c>
      <c r="E7386" s="630" t="s">
        <v>574</v>
      </c>
      <c r="F7386" s="980">
        <v>1049.47</v>
      </c>
      <c r="G7386" s="981">
        <v>4003.37</v>
      </c>
      <c r="H7386" s="848">
        <v>5052.84</v>
      </c>
    </row>
    <row r="7387" spans="2:8" ht="25.5" hidden="1">
      <c r="B7387" s="630" t="s">
        <v>6541</v>
      </c>
      <c r="C7387" s="630">
        <v>101424</v>
      </c>
      <c r="D7387" s="630" t="s">
        <v>4839</v>
      </c>
      <c r="E7387" s="630" t="s">
        <v>574</v>
      </c>
      <c r="F7387" s="980">
        <v>1049.47</v>
      </c>
      <c r="G7387" s="981">
        <v>4137.91</v>
      </c>
      <c r="H7387" s="848">
        <v>5187.38</v>
      </c>
    </row>
    <row r="7388" spans="2:8" hidden="1">
      <c r="B7388" s="630" t="s">
        <v>6541</v>
      </c>
      <c r="C7388" s="630">
        <v>101425</v>
      </c>
      <c r="D7388" s="630" t="s">
        <v>4840</v>
      </c>
      <c r="E7388" s="630" t="s">
        <v>574</v>
      </c>
      <c r="F7388" s="980">
        <v>294.48</v>
      </c>
      <c r="G7388" s="981">
        <v>2428.19</v>
      </c>
      <c r="H7388" s="848">
        <v>2722.67</v>
      </c>
    </row>
    <row r="7389" spans="2:8" hidden="1">
      <c r="B7389" s="630" t="s">
        <v>6541</v>
      </c>
      <c r="C7389" s="630">
        <v>101426</v>
      </c>
      <c r="D7389" s="630" t="s">
        <v>4841</v>
      </c>
      <c r="E7389" s="630" t="s">
        <v>574</v>
      </c>
      <c r="F7389" s="980">
        <v>1049.47</v>
      </c>
      <c r="G7389" s="981">
        <v>3865.54</v>
      </c>
      <c r="H7389" s="848">
        <v>4915.01</v>
      </c>
    </row>
    <row r="7390" spans="2:8" hidden="1">
      <c r="B7390" s="630" t="s">
        <v>6541</v>
      </c>
      <c r="C7390" s="630">
        <v>101427</v>
      </c>
      <c r="D7390" s="630" t="s">
        <v>729</v>
      </c>
      <c r="E7390" s="630" t="s">
        <v>574</v>
      </c>
      <c r="F7390" s="980">
        <v>1049.47</v>
      </c>
      <c r="G7390" s="981">
        <v>3198.54</v>
      </c>
      <c r="H7390" s="848">
        <v>4248.01</v>
      </c>
    </row>
    <row r="7391" spans="2:8" ht="25.5" hidden="1">
      <c r="B7391" s="630" t="s">
        <v>6541</v>
      </c>
      <c r="C7391" s="630">
        <v>101428</v>
      </c>
      <c r="D7391" s="630" t="s">
        <v>4842</v>
      </c>
      <c r="E7391" s="630" t="s">
        <v>574</v>
      </c>
      <c r="F7391" s="980">
        <v>1049.47</v>
      </c>
      <c r="G7391" s="981">
        <v>3086.72</v>
      </c>
      <c r="H7391" s="848">
        <v>4136.1899999999996</v>
      </c>
    </row>
    <row r="7392" spans="2:8" ht="25.5" hidden="1">
      <c r="B7392" s="630" t="s">
        <v>6541</v>
      </c>
      <c r="C7392" s="630">
        <v>101429</v>
      </c>
      <c r="D7392" s="630" t="s">
        <v>4843</v>
      </c>
      <c r="E7392" s="630" t="s">
        <v>574</v>
      </c>
      <c r="F7392" s="980">
        <v>1049.47</v>
      </c>
      <c r="G7392" s="981">
        <v>3486.71</v>
      </c>
      <c r="H7392" s="848">
        <v>4536.18</v>
      </c>
    </row>
    <row r="7393" spans="2:8" ht="25.5" hidden="1">
      <c r="B7393" s="630" t="s">
        <v>6541</v>
      </c>
      <c r="C7393" s="630">
        <v>101430</v>
      </c>
      <c r="D7393" s="630" t="s">
        <v>4844</v>
      </c>
      <c r="E7393" s="630" t="s">
        <v>574</v>
      </c>
      <c r="F7393" s="980">
        <v>1049.47</v>
      </c>
      <c r="G7393" s="981">
        <v>3936.68</v>
      </c>
      <c r="H7393" s="848">
        <v>4986.1499999999996</v>
      </c>
    </row>
    <row r="7394" spans="2:8" hidden="1">
      <c r="B7394" s="630" t="s">
        <v>6541</v>
      </c>
      <c r="C7394" s="630">
        <v>101431</v>
      </c>
      <c r="D7394" s="630" t="s">
        <v>732</v>
      </c>
      <c r="E7394" s="630" t="s">
        <v>574</v>
      </c>
      <c r="F7394" s="980">
        <v>1049.47</v>
      </c>
      <c r="G7394" s="981">
        <v>4321.05</v>
      </c>
      <c r="H7394" s="848">
        <v>5370.52</v>
      </c>
    </row>
    <row r="7395" spans="2:8" ht="25.5" hidden="1">
      <c r="B7395" s="630" t="s">
        <v>6541</v>
      </c>
      <c r="C7395" s="630">
        <v>101432</v>
      </c>
      <c r="D7395" s="630" t="s">
        <v>4845</v>
      </c>
      <c r="E7395" s="630" t="s">
        <v>574</v>
      </c>
      <c r="F7395" s="980">
        <v>1049.47</v>
      </c>
      <c r="G7395" s="981">
        <v>3981.28</v>
      </c>
      <c r="H7395" s="848">
        <v>5030.75</v>
      </c>
    </row>
    <row r="7396" spans="2:8" hidden="1">
      <c r="B7396" s="630" t="s">
        <v>6541</v>
      </c>
      <c r="C7396" s="630">
        <v>101433</v>
      </c>
      <c r="D7396" s="630" t="s">
        <v>870</v>
      </c>
      <c r="E7396" s="630" t="s">
        <v>574</v>
      </c>
      <c r="F7396" s="980">
        <v>1049.47</v>
      </c>
      <c r="G7396" s="981">
        <v>9813.23</v>
      </c>
      <c r="H7396" s="848">
        <v>10862.7</v>
      </c>
    </row>
    <row r="7397" spans="2:8" ht="25.5" hidden="1">
      <c r="B7397" s="630" t="s">
        <v>6541</v>
      </c>
      <c r="C7397" s="630">
        <v>101434</v>
      </c>
      <c r="D7397" s="630" t="s">
        <v>4846</v>
      </c>
      <c r="E7397" s="630" t="s">
        <v>574</v>
      </c>
      <c r="F7397" s="980">
        <v>1049.47</v>
      </c>
      <c r="G7397" s="981">
        <v>3868.32</v>
      </c>
      <c r="H7397" s="848">
        <v>4917.79</v>
      </c>
    </row>
    <row r="7398" spans="2:8" ht="25.5" hidden="1">
      <c r="B7398" s="630" t="s">
        <v>6541</v>
      </c>
      <c r="C7398" s="630">
        <v>101435</v>
      </c>
      <c r="D7398" s="630" t="s">
        <v>4847</v>
      </c>
      <c r="E7398" s="630" t="s">
        <v>574</v>
      </c>
      <c r="F7398" s="980">
        <v>1049.47</v>
      </c>
      <c r="G7398" s="981">
        <v>4250.58</v>
      </c>
      <c r="H7398" s="848">
        <v>5300.05</v>
      </c>
    </row>
    <row r="7399" spans="2:8" ht="25.5" hidden="1">
      <c r="B7399" s="630" t="s">
        <v>6541</v>
      </c>
      <c r="C7399" s="630">
        <v>101436</v>
      </c>
      <c r="D7399" s="630" t="s">
        <v>872</v>
      </c>
      <c r="E7399" s="630" t="s">
        <v>574</v>
      </c>
      <c r="F7399" s="980">
        <v>1049.47</v>
      </c>
      <c r="G7399" s="981">
        <v>3414.08</v>
      </c>
      <c r="H7399" s="848">
        <v>4463.55</v>
      </c>
    </row>
    <row r="7400" spans="2:8" hidden="1">
      <c r="B7400" s="630" t="s">
        <v>6541</v>
      </c>
      <c r="C7400" s="630">
        <v>101437</v>
      </c>
      <c r="D7400" s="630" t="s">
        <v>4848</v>
      </c>
      <c r="E7400" s="630" t="s">
        <v>574</v>
      </c>
      <c r="F7400" s="980">
        <v>1049.47</v>
      </c>
      <c r="G7400" s="981">
        <v>4003.79</v>
      </c>
      <c r="H7400" s="848">
        <v>5053.26</v>
      </c>
    </row>
    <row r="7401" spans="2:8" hidden="1">
      <c r="B7401" s="630" t="s">
        <v>6541</v>
      </c>
      <c r="C7401" s="630">
        <v>101438</v>
      </c>
      <c r="D7401" s="630" t="s">
        <v>795</v>
      </c>
      <c r="E7401" s="630" t="s">
        <v>574</v>
      </c>
      <c r="F7401" s="980">
        <v>1049.47</v>
      </c>
      <c r="G7401" s="981">
        <v>4911.91</v>
      </c>
      <c r="H7401" s="848">
        <v>5961.38</v>
      </c>
    </row>
    <row r="7402" spans="2:8" hidden="1">
      <c r="B7402" s="630" t="s">
        <v>6541</v>
      </c>
      <c r="C7402" s="630">
        <v>101439</v>
      </c>
      <c r="D7402" s="630" t="s">
        <v>805</v>
      </c>
      <c r="E7402" s="630" t="s">
        <v>574</v>
      </c>
      <c r="F7402" s="980">
        <v>1049.47</v>
      </c>
      <c r="G7402" s="981">
        <v>4061.13</v>
      </c>
      <c r="H7402" s="848">
        <v>5110.6000000000004</v>
      </c>
    </row>
    <row r="7403" spans="2:8" ht="25.5" hidden="1">
      <c r="B7403" s="630" t="s">
        <v>6541</v>
      </c>
      <c r="C7403" s="630">
        <v>101440</v>
      </c>
      <c r="D7403" s="630" t="s">
        <v>4849</v>
      </c>
      <c r="E7403" s="630" t="s">
        <v>574</v>
      </c>
      <c r="F7403" s="980">
        <v>1049.47</v>
      </c>
      <c r="G7403" s="981">
        <v>4133.53</v>
      </c>
      <c r="H7403" s="848">
        <v>5183</v>
      </c>
    </row>
    <row r="7404" spans="2:8" hidden="1">
      <c r="B7404" s="630" t="s">
        <v>6541</v>
      </c>
      <c r="C7404" s="630">
        <v>101441</v>
      </c>
      <c r="D7404" s="630" t="s">
        <v>807</v>
      </c>
      <c r="E7404" s="630" t="s">
        <v>574</v>
      </c>
      <c r="F7404" s="980">
        <v>1049.47</v>
      </c>
      <c r="G7404" s="981">
        <v>3603.25</v>
      </c>
      <c r="H7404" s="848">
        <v>4652.72</v>
      </c>
    </row>
    <row r="7405" spans="2:8" ht="25.5" hidden="1">
      <c r="B7405" s="630" t="s">
        <v>6541</v>
      </c>
      <c r="C7405" s="630">
        <v>101442</v>
      </c>
      <c r="D7405" s="630" t="s">
        <v>4850</v>
      </c>
      <c r="E7405" s="630" t="s">
        <v>574</v>
      </c>
      <c r="F7405" s="980">
        <v>1049.47</v>
      </c>
      <c r="G7405" s="981">
        <v>4557.92</v>
      </c>
      <c r="H7405" s="848">
        <v>5607.39</v>
      </c>
    </row>
    <row r="7406" spans="2:8" ht="25.5" hidden="1">
      <c r="B7406" s="630" t="s">
        <v>6541</v>
      </c>
      <c r="C7406" s="630">
        <v>101443</v>
      </c>
      <c r="D7406" s="630" t="s">
        <v>808</v>
      </c>
      <c r="E7406" s="630" t="s">
        <v>574</v>
      </c>
      <c r="F7406" s="980">
        <v>1049.47</v>
      </c>
      <c r="G7406" s="981">
        <v>3549.73</v>
      </c>
      <c r="H7406" s="848">
        <v>4599.2</v>
      </c>
    </row>
    <row r="7407" spans="2:8" hidden="1">
      <c r="B7407" s="630" t="s">
        <v>6541</v>
      </c>
      <c r="C7407" s="630">
        <v>101444</v>
      </c>
      <c r="D7407" s="630" t="s">
        <v>811</v>
      </c>
      <c r="E7407" s="630" t="s">
        <v>574</v>
      </c>
      <c r="F7407" s="980">
        <v>1250.26</v>
      </c>
      <c r="G7407" s="981">
        <v>4245.7</v>
      </c>
      <c r="H7407" s="848">
        <v>5495.96</v>
      </c>
    </row>
    <row r="7408" spans="2:8" hidden="1">
      <c r="B7408" s="630" t="s">
        <v>6541</v>
      </c>
      <c r="C7408" s="630">
        <v>101445</v>
      </c>
      <c r="D7408" s="630" t="s">
        <v>812</v>
      </c>
      <c r="E7408" s="630" t="s">
        <v>574</v>
      </c>
      <c r="F7408" s="980">
        <v>1250.26</v>
      </c>
      <c r="G7408" s="981">
        <v>4262.53</v>
      </c>
      <c r="H7408" s="848">
        <v>5512.79</v>
      </c>
    </row>
    <row r="7409" spans="2:8" hidden="1">
      <c r="B7409" s="630" t="s">
        <v>6541</v>
      </c>
      <c r="C7409" s="630">
        <v>101446</v>
      </c>
      <c r="D7409" s="630" t="s">
        <v>813</v>
      </c>
      <c r="E7409" s="630" t="s">
        <v>574</v>
      </c>
      <c r="F7409" s="980">
        <v>1468.11</v>
      </c>
      <c r="G7409" s="981">
        <v>4245.7</v>
      </c>
      <c r="H7409" s="848">
        <v>5713.81</v>
      </c>
    </row>
    <row r="7410" spans="2:8" hidden="1">
      <c r="B7410" s="630" t="s">
        <v>6541</v>
      </c>
      <c r="C7410" s="630">
        <v>101447</v>
      </c>
      <c r="D7410" s="630" t="s">
        <v>814</v>
      </c>
      <c r="E7410" s="630" t="s">
        <v>574</v>
      </c>
      <c r="F7410" s="980">
        <v>1468.11</v>
      </c>
      <c r="G7410" s="981">
        <v>4122.8500000000004</v>
      </c>
      <c r="H7410" s="848">
        <v>5590.96</v>
      </c>
    </row>
    <row r="7411" spans="2:8" hidden="1">
      <c r="B7411" s="630" t="s">
        <v>6541</v>
      </c>
      <c r="C7411" s="630">
        <v>101448</v>
      </c>
      <c r="D7411" s="630" t="s">
        <v>815</v>
      </c>
      <c r="E7411" s="630" t="s">
        <v>574</v>
      </c>
      <c r="F7411" s="980">
        <v>1468.11</v>
      </c>
      <c r="G7411" s="981">
        <v>4245.7</v>
      </c>
      <c r="H7411" s="848">
        <v>5713.81</v>
      </c>
    </row>
    <row r="7412" spans="2:8" hidden="1">
      <c r="B7412" s="630" t="s">
        <v>6541</v>
      </c>
      <c r="C7412" s="630">
        <v>101449</v>
      </c>
      <c r="D7412" s="630" t="s">
        <v>4851</v>
      </c>
      <c r="E7412" s="630" t="s">
        <v>574</v>
      </c>
      <c r="F7412" s="980">
        <v>1049.47</v>
      </c>
      <c r="G7412" s="981">
        <v>3133</v>
      </c>
      <c r="H7412" s="848">
        <v>4182.47</v>
      </c>
    </row>
    <row r="7413" spans="2:8" hidden="1">
      <c r="B7413" s="630" t="s">
        <v>6541</v>
      </c>
      <c r="C7413" s="630">
        <v>101450</v>
      </c>
      <c r="D7413" s="630" t="s">
        <v>817</v>
      </c>
      <c r="E7413" s="630" t="s">
        <v>574</v>
      </c>
      <c r="F7413" s="980">
        <v>1049.47</v>
      </c>
      <c r="G7413" s="981">
        <v>2790.37</v>
      </c>
      <c r="H7413" s="848">
        <v>3839.84</v>
      </c>
    </row>
    <row r="7414" spans="2:8" hidden="1">
      <c r="B7414" s="630" t="s">
        <v>6541</v>
      </c>
      <c r="C7414" s="630">
        <v>101451</v>
      </c>
      <c r="D7414" s="630" t="s">
        <v>818</v>
      </c>
      <c r="E7414" s="630" t="s">
        <v>574</v>
      </c>
      <c r="F7414" s="980">
        <v>1250.26</v>
      </c>
      <c r="G7414" s="981">
        <v>4237.29</v>
      </c>
      <c r="H7414" s="848">
        <v>5487.55</v>
      </c>
    </row>
    <row r="7415" spans="2:8" hidden="1">
      <c r="B7415" s="630" t="s">
        <v>6541</v>
      </c>
      <c r="C7415" s="630">
        <v>101452</v>
      </c>
      <c r="D7415" s="630" t="s">
        <v>4852</v>
      </c>
      <c r="E7415" s="630" t="s">
        <v>574</v>
      </c>
      <c r="F7415" s="980">
        <v>1228.8</v>
      </c>
      <c r="G7415" s="981">
        <v>3010.2</v>
      </c>
      <c r="H7415" s="848">
        <v>4239</v>
      </c>
    </row>
    <row r="7416" spans="2:8" hidden="1">
      <c r="B7416" s="630" t="s">
        <v>6541</v>
      </c>
      <c r="C7416" s="630">
        <v>101453</v>
      </c>
      <c r="D7416" s="630" t="s">
        <v>820</v>
      </c>
      <c r="E7416" s="630" t="s">
        <v>574</v>
      </c>
      <c r="F7416" s="980">
        <v>1405.13</v>
      </c>
      <c r="G7416" s="981">
        <v>4355.3100000000004</v>
      </c>
      <c r="H7416" s="848">
        <v>5760.44</v>
      </c>
    </row>
    <row r="7417" spans="2:8" hidden="1">
      <c r="B7417" s="630" t="s">
        <v>6541</v>
      </c>
      <c r="C7417" s="630">
        <v>101454</v>
      </c>
      <c r="D7417" s="630" t="s">
        <v>4853</v>
      </c>
      <c r="E7417" s="630" t="s">
        <v>574</v>
      </c>
      <c r="F7417" s="980">
        <v>1405.13</v>
      </c>
      <c r="G7417" s="981">
        <v>3525.64</v>
      </c>
      <c r="H7417" s="848">
        <v>4930.7700000000004</v>
      </c>
    </row>
    <row r="7418" spans="2:8" hidden="1">
      <c r="B7418" s="630" t="s">
        <v>6541</v>
      </c>
      <c r="C7418" s="630">
        <v>101455</v>
      </c>
      <c r="D7418" s="630" t="s">
        <v>822</v>
      </c>
      <c r="E7418" s="630" t="s">
        <v>574</v>
      </c>
      <c r="F7418" s="980">
        <v>1228.5</v>
      </c>
      <c r="G7418" s="981">
        <v>4237.29</v>
      </c>
      <c r="H7418" s="848">
        <v>5465.79</v>
      </c>
    </row>
    <row r="7419" spans="2:8" ht="25.5" hidden="1">
      <c r="B7419" s="630" t="s">
        <v>6541</v>
      </c>
      <c r="C7419" s="630">
        <v>101456</v>
      </c>
      <c r="D7419" s="630" t="s">
        <v>4854</v>
      </c>
      <c r="E7419" s="630" t="s">
        <v>574</v>
      </c>
      <c r="F7419" s="980">
        <v>303.79000000000002</v>
      </c>
      <c r="G7419" s="981">
        <v>6186.63</v>
      </c>
      <c r="H7419" s="848">
        <v>6490.42</v>
      </c>
    </row>
    <row r="7420" spans="2:8" hidden="1">
      <c r="B7420" s="630" t="s">
        <v>6541</v>
      </c>
      <c r="C7420" s="630">
        <v>101457</v>
      </c>
      <c r="D7420" s="630" t="s">
        <v>4855</v>
      </c>
      <c r="E7420" s="630" t="s">
        <v>574</v>
      </c>
      <c r="F7420" s="980">
        <v>1049.47</v>
      </c>
      <c r="G7420" s="981">
        <v>4480.17</v>
      </c>
      <c r="H7420" s="848">
        <v>5529.64</v>
      </c>
    </row>
    <row r="7421" spans="2:8" hidden="1">
      <c r="B7421" s="630" t="s">
        <v>6541</v>
      </c>
      <c r="C7421" s="630">
        <v>101458</v>
      </c>
      <c r="D7421" s="630" t="s">
        <v>4856</v>
      </c>
      <c r="E7421" s="630" t="s">
        <v>574</v>
      </c>
      <c r="F7421" s="980">
        <v>1228.5</v>
      </c>
      <c r="G7421" s="981">
        <v>4186.91</v>
      </c>
      <c r="H7421" s="848">
        <v>5415.41</v>
      </c>
    </row>
    <row r="7422" spans="2:8" hidden="1">
      <c r="B7422" s="630" t="s">
        <v>6541</v>
      </c>
      <c r="C7422" s="630">
        <v>101459</v>
      </c>
      <c r="D7422" s="630" t="s">
        <v>827</v>
      </c>
      <c r="E7422" s="630" t="s">
        <v>574</v>
      </c>
      <c r="F7422" s="980">
        <v>1250.26</v>
      </c>
      <c r="G7422" s="981">
        <v>4310.24</v>
      </c>
      <c r="H7422" s="848">
        <v>5560.5</v>
      </c>
    </row>
    <row r="7423" spans="2:8" hidden="1">
      <c r="B7423" s="630" t="s">
        <v>6541</v>
      </c>
      <c r="C7423" s="630">
        <v>101460</v>
      </c>
      <c r="D7423" s="630" t="s">
        <v>3683</v>
      </c>
      <c r="E7423" s="630" t="s">
        <v>574</v>
      </c>
      <c r="F7423" s="980">
        <v>1228.8</v>
      </c>
      <c r="G7423" s="981">
        <v>3046.81</v>
      </c>
      <c r="H7423" s="848">
        <v>4275.6099999999997</v>
      </c>
    </row>
  </sheetData>
  <autoFilter ref="B4:H7423" xr:uid="{00000000-0009-0000-0000-000012000000}">
    <filterColumn colId="0">
      <filters>
        <filter val="CONCRETOS"/>
      </filters>
    </filterColumn>
    <filterColumn colId="2">
      <filters>
        <filter val="CONCRETO FCK = 25MPA, TRAÇO 1:2,2:2,5 (EM MASSA SECA DE CIMENTO/ AREIA MÉDIA/ SEIXO ROLADO) - PREPARO MECÂNICO COM BETONEIRA 400 L. AF_05/2021"/>
        <filter val="CONCRETO FCK = 25MPA, TRAÇO 1:2,2:2,5 (EM MASSA SECA DE CIMENTO/ AREIA MÉDIA/ SEIXO ROLADO) - PREPARO MECÂNICO COM BETONEIRA 600 L. AF_05/2021"/>
        <filter val="CONCRETO FCK = 25MPA, TRAÇO 1:2,3:2,7 (EM MASSA SECA DE CIMENTO/ AREIA MÉDIA/ BRITA 1) - PREPARO MECÂNICO COM BETONEIRA 400 L. AF_05/2021"/>
        <filter val="CONCRETO FCK = 25MPA, TRAÇO 1:2,3:2,7 (EM MASSA SECA DE CIMENTO/ AREIA MÉDIA/ BRITA 1) - PREPARO MECÂNICO COM BETONEIRA 600 L. AF_05/2021"/>
      </filters>
    </filterColumn>
  </autoFilter>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15">
    <tabColor rgb="FFFF0000"/>
  </sheetPr>
  <dimension ref="A1:X5206"/>
  <sheetViews>
    <sheetView zoomScaleNormal="100" zoomScaleSheetLayoutView="85" workbookViewId="0">
      <pane ySplit="4" topLeftCell="A5" activePane="bottomLeft" state="frozen"/>
      <selection activeCell="E4735" sqref="E4735"/>
      <selection pane="bottomLeft" activeCell="C3" sqref="C3"/>
    </sheetView>
  </sheetViews>
  <sheetFormatPr defaultColWidth="9.140625" defaultRowHeight="15"/>
  <cols>
    <col min="1" max="1" width="9.140625" style="452"/>
    <col min="2" max="2" width="14.28515625" style="108" bestFit="1" customWidth="1"/>
    <col min="3" max="3" width="73.7109375" style="456" customWidth="1"/>
    <col min="4" max="4" width="9.28515625" style="108" bestFit="1" customWidth="1"/>
    <col min="5" max="5" width="22.42578125" style="457" customWidth="1"/>
    <col min="6" max="23" width="9.140625" style="118"/>
    <col min="24" max="24" width="9.140625" style="124"/>
    <col min="25" max="16384" width="9.140625" style="122"/>
  </cols>
  <sheetData>
    <row r="1" spans="1:24" s="119" customFormat="1" ht="18.75">
      <c r="A1" s="452"/>
      <c r="B1" s="449"/>
      <c r="C1" s="984" t="s">
        <v>2682</v>
      </c>
      <c r="D1" s="449"/>
      <c r="E1" s="453"/>
      <c r="F1" s="118"/>
      <c r="G1" s="118"/>
      <c r="H1" s="118"/>
      <c r="I1" s="118"/>
      <c r="J1" s="118"/>
      <c r="K1" s="118"/>
      <c r="L1" s="118"/>
      <c r="M1" s="118"/>
      <c r="N1" s="118"/>
      <c r="O1" s="118"/>
      <c r="P1" s="118"/>
      <c r="Q1" s="118"/>
      <c r="R1" s="118"/>
      <c r="S1" s="118"/>
      <c r="T1" s="118"/>
      <c r="U1" s="118"/>
      <c r="V1" s="118"/>
      <c r="W1" s="118"/>
      <c r="X1" s="118"/>
    </row>
    <row r="2" spans="1:24" s="119" customFormat="1" ht="15.75">
      <c r="A2" s="452"/>
      <c r="B2" s="449"/>
      <c r="C2" s="985" t="s">
        <v>9330</v>
      </c>
      <c r="D2" s="449"/>
      <c r="E2" s="453"/>
      <c r="F2" s="118"/>
      <c r="G2" s="118"/>
      <c r="H2" s="118"/>
      <c r="I2" s="118"/>
      <c r="J2" s="118"/>
      <c r="K2" s="118"/>
      <c r="L2" s="118"/>
      <c r="M2" s="118"/>
      <c r="N2" s="118"/>
      <c r="O2" s="118"/>
      <c r="P2" s="118"/>
      <c r="Q2" s="118"/>
      <c r="R2" s="118"/>
      <c r="S2" s="118"/>
      <c r="T2" s="118"/>
      <c r="U2" s="118"/>
      <c r="V2" s="118"/>
      <c r="W2" s="118"/>
      <c r="X2" s="118"/>
    </row>
    <row r="3" spans="1:24" s="121" customFormat="1" ht="15.75">
      <c r="A3" s="450"/>
      <c r="B3" s="118"/>
      <c r="C3" s="454"/>
      <c r="D3" s="449"/>
      <c r="E3" s="453"/>
      <c r="F3" s="120"/>
      <c r="G3" s="120"/>
      <c r="H3" s="120"/>
      <c r="I3" s="120"/>
      <c r="J3" s="120"/>
      <c r="K3" s="120"/>
      <c r="L3" s="120"/>
      <c r="M3" s="120"/>
      <c r="N3" s="120"/>
      <c r="O3" s="120"/>
      <c r="P3" s="120"/>
      <c r="Q3" s="120"/>
      <c r="R3" s="120"/>
      <c r="S3" s="120"/>
      <c r="T3" s="120"/>
      <c r="U3" s="120"/>
      <c r="V3" s="120"/>
      <c r="W3" s="120"/>
      <c r="X3" s="123"/>
    </row>
    <row r="4" spans="1:24">
      <c r="A4" s="455"/>
      <c r="B4" s="986" t="s">
        <v>2664</v>
      </c>
      <c r="C4" s="986" t="s">
        <v>541</v>
      </c>
      <c r="D4" s="986" t="s">
        <v>6508</v>
      </c>
      <c r="E4" s="986" t="s">
        <v>6528</v>
      </c>
    </row>
    <row r="5" spans="1:24" s="896" customFormat="1" ht="25.5">
      <c r="A5" s="987">
        <f t="shared" ref="A5:A68" si="0">A4+1</f>
        <v>1</v>
      </c>
      <c r="B5" s="988">
        <v>38605</v>
      </c>
      <c r="C5" s="899" t="s">
        <v>9331</v>
      </c>
      <c r="D5" s="988" t="s">
        <v>2666</v>
      </c>
      <c r="E5" s="989">
        <v>205.77</v>
      </c>
      <c r="F5" s="990"/>
      <c r="G5" s="990"/>
      <c r="H5" s="990"/>
      <c r="I5" s="990"/>
      <c r="J5" s="990"/>
      <c r="K5" s="990"/>
      <c r="L5" s="990"/>
      <c r="M5" s="990"/>
      <c r="N5" s="990"/>
      <c r="O5" s="990"/>
      <c r="P5" s="990"/>
      <c r="Q5" s="990"/>
      <c r="R5" s="990"/>
      <c r="S5" s="990"/>
      <c r="T5" s="990"/>
      <c r="U5" s="990"/>
      <c r="V5" s="990"/>
      <c r="W5" s="990"/>
      <c r="X5" s="990"/>
    </row>
    <row r="6" spans="1:24" s="896" customFormat="1">
      <c r="A6" s="987">
        <f t="shared" si="0"/>
        <v>2</v>
      </c>
      <c r="B6" s="988">
        <v>11270</v>
      </c>
      <c r="C6" s="899" t="s">
        <v>9332</v>
      </c>
      <c r="D6" s="988" t="s">
        <v>2666</v>
      </c>
      <c r="E6" s="989">
        <v>2.2799999999999998</v>
      </c>
      <c r="F6" s="990"/>
      <c r="G6" s="990"/>
      <c r="H6" s="990"/>
      <c r="I6" s="990"/>
      <c r="J6" s="990"/>
      <c r="K6" s="990"/>
      <c r="L6" s="990"/>
      <c r="M6" s="990"/>
      <c r="N6" s="990"/>
      <c r="O6" s="990"/>
      <c r="P6" s="990"/>
      <c r="Q6" s="990"/>
      <c r="R6" s="990"/>
      <c r="S6" s="990"/>
      <c r="T6" s="990"/>
      <c r="U6" s="990"/>
      <c r="V6" s="990"/>
      <c r="W6" s="990"/>
      <c r="X6" s="990"/>
    </row>
    <row r="7" spans="1:24" s="896" customFormat="1" ht="25.5">
      <c r="A7" s="987">
        <f t="shared" si="0"/>
        <v>3</v>
      </c>
      <c r="B7" s="988">
        <v>412</v>
      </c>
      <c r="C7" s="899" t="s">
        <v>9333</v>
      </c>
      <c r="D7" s="988" t="s">
        <v>2666</v>
      </c>
      <c r="E7" s="989">
        <v>1.1299999999999999</v>
      </c>
      <c r="F7" s="990"/>
      <c r="G7" s="990"/>
      <c r="H7" s="990"/>
      <c r="I7" s="990"/>
      <c r="J7" s="990"/>
      <c r="K7" s="990"/>
      <c r="L7" s="990"/>
      <c r="M7" s="990"/>
      <c r="N7" s="990"/>
      <c r="O7" s="990"/>
      <c r="P7" s="990"/>
      <c r="Q7" s="990"/>
      <c r="R7" s="990"/>
      <c r="S7" s="990"/>
      <c r="T7" s="990"/>
      <c r="U7" s="990"/>
      <c r="V7" s="990"/>
      <c r="W7" s="990"/>
      <c r="X7" s="990"/>
    </row>
    <row r="8" spans="1:24" s="896" customFormat="1">
      <c r="A8" s="987">
        <f t="shared" si="0"/>
        <v>4</v>
      </c>
      <c r="B8" s="988">
        <v>414</v>
      </c>
      <c r="C8" s="899" t="s">
        <v>9334</v>
      </c>
      <c r="D8" s="988" t="s">
        <v>2666</v>
      </c>
      <c r="E8" s="989">
        <v>7.0000000000000007E-2</v>
      </c>
      <c r="F8" s="990"/>
      <c r="G8" s="990"/>
      <c r="H8" s="990"/>
      <c r="I8" s="990"/>
      <c r="J8" s="990"/>
      <c r="K8" s="990"/>
      <c r="L8" s="990"/>
      <c r="M8" s="990"/>
      <c r="N8" s="990"/>
      <c r="O8" s="990"/>
      <c r="P8" s="990"/>
      <c r="Q8" s="990"/>
      <c r="R8" s="990"/>
      <c r="S8" s="990"/>
      <c r="T8" s="990"/>
      <c r="U8" s="990"/>
      <c r="V8" s="990"/>
      <c r="W8" s="990"/>
      <c r="X8" s="990"/>
    </row>
    <row r="9" spans="1:24" s="896" customFormat="1">
      <c r="A9" s="987">
        <f t="shared" si="0"/>
        <v>5</v>
      </c>
      <c r="B9" s="988">
        <v>410</v>
      </c>
      <c r="C9" s="899" t="s">
        <v>9335</v>
      </c>
      <c r="D9" s="988" t="s">
        <v>2666</v>
      </c>
      <c r="E9" s="989">
        <v>0.17</v>
      </c>
      <c r="F9" s="990"/>
      <c r="G9" s="990"/>
      <c r="H9" s="990"/>
      <c r="I9" s="990"/>
      <c r="J9" s="990"/>
      <c r="K9" s="990"/>
      <c r="L9" s="990"/>
      <c r="M9" s="990"/>
      <c r="N9" s="990"/>
      <c r="O9" s="990"/>
      <c r="P9" s="990"/>
      <c r="Q9" s="990"/>
      <c r="R9" s="990"/>
      <c r="S9" s="990"/>
      <c r="T9" s="990"/>
      <c r="U9" s="990"/>
      <c r="V9" s="990"/>
      <c r="W9" s="990"/>
      <c r="X9" s="990"/>
    </row>
    <row r="10" spans="1:24" s="896" customFormat="1">
      <c r="A10" s="987">
        <f t="shared" si="0"/>
        <v>6</v>
      </c>
      <c r="B10" s="988">
        <v>411</v>
      </c>
      <c r="C10" s="899" t="s">
        <v>9336</v>
      </c>
      <c r="D10" s="988" t="s">
        <v>2666</v>
      </c>
      <c r="E10" s="989">
        <v>0.22</v>
      </c>
      <c r="F10" s="990"/>
      <c r="G10" s="990"/>
      <c r="H10" s="990"/>
      <c r="I10" s="990"/>
      <c r="J10" s="990"/>
      <c r="K10" s="990"/>
      <c r="L10" s="990"/>
      <c r="M10" s="990"/>
      <c r="N10" s="990"/>
      <c r="O10" s="990"/>
      <c r="P10" s="990"/>
      <c r="Q10" s="990"/>
      <c r="R10" s="990"/>
      <c r="S10" s="990"/>
      <c r="T10" s="990"/>
      <c r="U10" s="990"/>
      <c r="V10" s="990"/>
      <c r="W10" s="990"/>
      <c r="X10" s="990"/>
    </row>
    <row r="11" spans="1:24" s="896" customFormat="1">
      <c r="A11" s="987">
        <f t="shared" si="0"/>
        <v>7</v>
      </c>
      <c r="B11" s="988">
        <v>408</v>
      </c>
      <c r="C11" s="899" t="s">
        <v>9337</v>
      </c>
      <c r="D11" s="988" t="s">
        <v>2666</v>
      </c>
      <c r="E11" s="989">
        <v>1.0900000000000001</v>
      </c>
      <c r="F11" s="990"/>
      <c r="G11" s="990"/>
      <c r="H11" s="990"/>
      <c r="I11" s="990"/>
      <c r="J11" s="990"/>
      <c r="K11" s="990"/>
      <c r="L11" s="990"/>
      <c r="M11" s="990"/>
      <c r="N11" s="990"/>
      <c r="O11" s="990"/>
      <c r="P11" s="990"/>
      <c r="Q11" s="990"/>
      <c r="R11" s="990"/>
      <c r="S11" s="990"/>
      <c r="T11" s="990"/>
      <c r="U11" s="990"/>
      <c r="V11" s="990"/>
      <c r="W11" s="990"/>
      <c r="X11" s="990"/>
    </row>
    <row r="12" spans="1:24" s="896" customFormat="1" ht="25.5">
      <c r="A12" s="987">
        <f t="shared" si="0"/>
        <v>8</v>
      </c>
      <c r="B12" s="988">
        <v>39131</v>
      </c>
      <c r="C12" s="899" t="s">
        <v>9338</v>
      </c>
      <c r="D12" s="988" t="s">
        <v>2666</v>
      </c>
      <c r="E12" s="989">
        <v>3.62</v>
      </c>
      <c r="F12" s="990"/>
      <c r="G12" s="990"/>
      <c r="H12" s="990"/>
      <c r="I12" s="990"/>
      <c r="J12" s="990"/>
      <c r="K12" s="990"/>
      <c r="L12" s="990"/>
      <c r="M12" s="990"/>
      <c r="N12" s="990"/>
      <c r="O12" s="990"/>
      <c r="P12" s="990"/>
      <c r="Q12" s="990"/>
      <c r="R12" s="990"/>
      <c r="S12" s="990"/>
      <c r="T12" s="990"/>
      <c r="U12" s="990"/>
      <c r="V12" s="990"/>
      <c r="W12" s="990"/>
      <c r="X12" s="990"/>
    </row>
    <row r="13" spans="1:24" s="896" customFormat="1" ht="25.5">
      <c r="A13" s="987">
        <f t="shared" si="0"/>
        <v>9</v>
      </c>
      <c r="B13" s="988">
        <v>394</v>
      </c>
      <c r="C13" s="899" t="s">
        <v>9339</v>
      </c>
      <c r="D13" s="988" t="s">
        <v>2666</v>
      </c>
      <c r="E13" s="989">
        <v>3.67</v>
      </c>
      <c r="F13" s="990"/>
      <c r="G13" s="990"/>
      <c r="H13" s="990"/>
      <c r="I13" s="990"/>
      <c r="J13" s="990"/>
      <c r="K13" s="990"/>
      <c r="L13" s="990"/>
      <c r="M13" s="990"/>
      <c r="N13" s="990"/>
      <c r="O13" s="990"/>
      <c r="P13" s="990"/>
      <c r="Q13" s="990"/>
      <c r="R13" s="990"/>
      <c r="S13" s="990"/>
      <c r="T13" s="990"/>
      <c r="U13" s="990"/>
      <c r="V13" s="990"/>
      <c r="W13" s="990"/>
      <c r="X13" s="990"/>
    </row>
    <row r="14" spans="1:24" s="896" customFormat="1" ht="25.5">
      <c r="A14" s="987">
        <f t="shared" si="0"/>
        <v>10</v>
      </c>
      <c r="B14" s="988">
        <v>39130</v>
      </c>
      <c r="C14" s="899" t="s">
        <v>9340</v>
      </c>
      <c r="D14" s="988" t="s">
        <v>2666</v>
      </c>
      <c r="E14" s="989">
        <v>3.3</v>
      </c>
      <c r="F14" s="990"/>
      <c r="G14" s="990"/>
      <c r="H14" s="990"/>
      <c r="I14" s="990"/>
      <c r="J14" s="990"/>
      <c r="K14" s="990"/>
      <c r="L14" s="990"/>
      <c r="M14" s="990"/>
      <c r="N14" s="990"/>
      <c r="O14" s="990"/>
      <c r="P14" s="990"/>
      <c r="Q14" s="990"/>
      <c r="R14" s="990"/>
      <c r="S14" s="990"/>
      <c r="T14" s="990"/>
      <c r="U14" s="990"/>
      <c r="V14" s="990"/>
      <c r="W14" s="990"/>
      <c r="X14" s="990"/>
    </row>
    <row r="15" spans="1:24" s="896" customFormat="1" ht="25.5">
      <c r="A15" s="987">
        <f t="shared" si="0"/>
        <v>11</v>
      </c>
      <c r="B15" s="988">
        <v>395</v>
      </c>
      <c r="C15" s="899" t="s">
        <v>9341</v>
      </c>
      <c r="D15" s="988" t="s">
        <v>2666</v>
      </c>
      <c r="E15" s="989">
        <v>3.53</v>
      </c>
      <c r="F15" s="990"/>
      <c r="G15" s="990"/>
      <c r="H15" s="990"/>
      <c r="I15" s="990"/>
      <c r="J15" s="990"/>
      <c r="K15" s="990"/>
      <c r="L15" s="990"/>
      <c r="M15" s="990"/>
      <c r="N15" s="990"/>
      <c r="O15" s="990"/>
      <c r="P15" s="990"/>
      <c r="Q15" s="990"/>
      <c r="R15" s="990"/>
      <c r="S15" s="990"/>
      <c r="T15" s="990"/>
      <c r="U15" s="990"/>
      <c r="V15" s="990"/>
      <c r="W15" s="990"/>
      <c r="X15" s="990"/>
    </row>
    <row r="16" spans="1:24" s="896" customFormat="1" ht="25.5">
      <c r="A16" s="987">
        <f t="shared" si="0"/>
        <v>12</v>
      </c>
      <c r="B16" s="988">
        <v>39127</v>
      </c>
      <c r="C16" s="899" t="s">
        <v>9342</v>
      </c>
      <c r="D16" s="988" t="s">
        <v>2666</v>
      </c>
      <c r="E16" s="989">
        <v>1.74</v>
      </c>
      <c r="F16" s="990"/>
      <c r="G16" s="990"/>
      <c r="H16" s="990"/>
      <c r="I16" s="990"/>
      <c r="J16" s="990"/>
      <c r="K16" s="990"/>
      <c r="L16" s="990"/>
      <c r="M16" s="990"/>
      <c r="N16" s="990"/>
      <c r="O16" s="990"/>
      <c r="P16" s="990"/>
      <c r="Q16" s="990"/>
      <c r="R16" s="990"/>
      <c r="S16" s="990"/>
      <c r="T16" s="990"/>
      <c r="U16" s="990"/>
      <c r="V16" s="990"/>
      <c r="W16" s="990"/>
      <c r="X16" s="990"/>
    </row>
    <row r="17" spans="1:24" s="896" customFormat="1" ht="25.5">
      <c r="A17" s="987">
        <f t="shared" si="0"/>
        <v>13</v>
      </c>
      <c r="B17" s="988">
        <v>392</v>
      </c>
      <c r="C17" s="899" t="s">
        <v>9343</v>
      </c>
      <c r="D17" s="988" t="s">
        <v>2666</v>
      </c>
      <c r="E17" s="989">
        <v>1.79</v>
      </c>
      <c r="F17" s="990"/>
      <c r="G17" s="990"/>
      <c r="H17" s="990"/>
      <c r="I17" s="990"/>
      <c r="J17" s="990"/>
      <c r="K17" s="990"/>
      <c r="L17" s="990"/>
      <c r="M17" s="990"/>
      <c r="N17" s="990"/>
      <c r="O17" s="990"/>
      <c r="P17" s="990"/>
      <c r="Q17" s="990"/>
      <c r="R17" s="990"/>
      <c r="S17" s="990"/>
      <c r="T17" s="990"/>
      <c r="U17" s="990"/>
      <c r="V17" s="990"/>
      <c r="W17" s="990"/>
      <c r="X17" s="990"/>
    </row>
    <row r="18" spans="1:24" s="896" customFormat="1" ht="25.5">
      <c r="A18" s="987">
        <f t="shared" si="0"/>
        <v>14</v>
      </c>
      <c r="B18" s="988">
        <v>39129</v>
      </c>
      <c r="C18" s="899" t="s">
        <v>9344</v>
      </c>
      <c r="D18" s="988" t="s">
        <v>2666</v>
      </c>
      <c r="E18" s="989">
        <v>2.0299999999999998</v>
      </c>
      <c r="F18" s="990"/>
      <c r="G18" s="990"/>
      <c r="H18" s="990"/>
      <c r="I18" s="990"/>
      <c r="J18" s="990"/>
      <c r="K18" s="990"/>
      <c r="L18" s="990"/>
      <c r="M18" s="990"/>
      <c r="N18" s="990"/>
      <c r="O18" s="990"/>
      <c r="P18" s="990"/>
      <c r="Q18" s="990"/>
      <c r="R18" s="990"/>
      <c r="S18" s="990"/>
      <c r="T18" s="990"/>
      <c r="U18" s="990"/>
      <c r="V18" s="990"/>
      <c r="W18" s="990"/>
      <c r="X18" s="990"/>
    </row>
    <row r="19" spans="1:24" s="896" customFormat="1" ht="25.5">
      <c r="A19" s="987">
        <f t="shared" si="0"/>
        <v>15</v>
      </c>
      <c r="B19" s="988">
        <v>393</v>
      </c>
      <c r="C19" s="899" t="s">
        <v>9345</v>
      </c>
      <c r="D19" s="988" t="s">
        <v>2666</v>
      </c>
      <c r="E19" s="989">
        <v>2.13</v>
      </c>
      <c r="F19" s="990"/>
      <c r="G19" s="990"/>
      <c r="H19" s="990"/>
      <c r="I19" s="990"/>
      <c r="J19" s="990"/>
      <c r="K19" s="990"/>
      <c r="L19" s="990"/>
      <c r="M19" s="990"/>
      <c r="N19" s="990"/>
      <c r="O19" s="990"/>
      <c r="P19" s="990"/>
      <c r="Q19" s="990"/>
      <c r="R19" s="990"/>
      <c r="S19" s="990"/>
      <c r="T19" s="990"/>
      <c r="U19" s="990"/>
      <c r="V19" s="990"/>
      <c r="W19" s="990"/>
      <c r="X19" s="990"/>
    </row>
    <row r="20" spans="1:24" s="896" customFormat="1" ht="25.5">
      <c r="A20" s="987">
        <f t="shared" si="0"/>
        <v>16</v>
      </c>
      <c r="B20" s="988">
        <v>39133</v>
      </c>
      <c r="C20" s="899" t="s">
        <v>9346</v>
      </c>
      <c r="D20" s="988" t="s">
        <v>2666</v>
      </c>
      <c r="E20" s="989">
        <v>4.75</v>
      </c>
      <c r="F20" s="990"/>
      <c r="G20" s="990"/>
      <c r="H20" s="990"/>
      <c r="I20" s="990"/>
      <c r="J20" s="990"/>
      <c r="K20" s="990"/>
      <c r="L20" s="990"/>
      <c r="M20" s="990"/>
      <c r="N20" s="990"/>
      <c r="O20" s="990"/>
      <c r="P20" s="990"/>
      <c r="Q20" s="990"/>
      <c r="R20" s="990"/>
      <c r="S20" s="990"/>
      <c r="T20" s="990"/>
      <c r="U20" s="990"/>
      <c r="V20" s="990"/>
      <c r="W20" s="990"/>
      <c r="X20" s="990"/>
    </row>
    <row r="21" spans="1:24" s="896" customFormat="1" ht="25.5">
      <c r="A21" s="987">
        <f t="shared" si="0"/>
        <v>17</v>
      </c>
      <c r="B21" s="988">
        <v>397</v>
      </c>
      <c r="C21" s="899" t="s">
        <v>9347</v>
      </c>
      <c r="D21" s="988" t="s">
        <v>2666</v>
      </c>
      <c r="E21" s="989">
        <v>5.25</v>
      </c>
      <c r="F21" s="990"/>
      <c r="G21" s="990"/>
      <c r="H21" s="990"/>
      <c r="I21" s="990"/>
      <c r="J21" s="990"/>
      <c r="K21" s="990"/>
      <c r="L21" s="990"/>
      <c r="M21" s="990"/>
      <c r="N21" s="990"/>
      <c r="O21" s="990"/>
      <c r="P21" s="990"/>
      <c r="Q21" s="990"/>
      <c r="R21" s="990"/>
      <c r="S21" s="990"/>
      <c r="T21" s="990"/>
      <c r="U21" s="990"/>
      <c r="V21" s="990"/>
      <c r="W21" s="990"/>
      <c r="X21" s="990"/>
    </row>
    <row r="22" spans="1:24" s="896" customFormat="1" ht="25.5">
      <c r="A22" s="987">
        <f t="shared" si="0"/>
        <v>18</v>
      </c>
      <c r="B22" s="988">
        <v>39132</v>
      </c>
      <c r="C22" s="899" t="s">
        <v>9348</v>
      </c>
      <c r="D22" s="988" t="s">
        <v>2666</v>
      </c>
      <c r="E22" s="989">
        <v>3.8</v>
      </c>
      <c r="F22" s="990"/>
      <c r="G22" s="990"/>
      <c r="H22" s="990"/>
      <c r="I22" s="990"/>
      <c r="J22" s="990"/>
      <c r="K22" s="990"/>
      <c r="L22" s="990"/>
      <c r="M22" s="990"/>
      <c r="N22" s="990"/>
      <c r="O22" s="990"/>
      <c r="P22" s="990"/>
      <c r="Q22" s="990"/>
      <c r="R22" s="990"/>
      <c r="S22" s="990"/>
      <c r="T22" s="990"/>
      <c r="U22" s="990"/>
      <c r="V22" s="990"/>
      <c r="W22" s="990"/>
      <c r="X22" s="990"/>
    </row>
    <row r="23" spans="1:24" s="896" customFormat="1" ht="25.5">
      <c r="A23" s="987">
        <f t="shared" si="0"/>
        <v>19</v>
      </c>
      <c r="B23" s="988">
        <v>396</v>
      </c>
      <c r="C23" s="899" t="s">
        <v>9349</v>
      </c>
      <c r="D23" s="988" t="s">
        <v>2666</v>
      </c>
      <c r="E23" s="989">
        <v>4.07</v>
      </c>
      <c r="F23" s="990"/>
      <c r="G23" s="990"/>
      <c r="H23" s="990"/>
      <c r="I23" s="990"/>
      <c r="J23" s="990"/>
      <c r="K23" s="990"/>
      <c r="L23" s="990"/>
      <c r="M23" s="990"/>
      <c r="N23" s="990"/>
      <c r="O23" s="990"/>
      <c r="P23" s="990"/>
      <c r="Q23" s="990"/>
      <c r="R23" s="990"/>
      <c r="S23" s="990"/>
      <c r="T23" s="990"/>
      <c r="U23" s="990"/>
      <c r="V23" s="990"/>
      <c r="W23" s="990"/>
      <c r="X23" s="990"/>
    </row>
    <row r="24" spans="1:24" s="896" customFormat="1" ht="25.5">
      <c r="A24" s="987">
        <f t="shared" si="0"/>
        <v>20</v>
      </c>
      <c r="B24" s="988">
        <v>39135</v>
      </c>
      <c r="C24" s="899" t="s">
        <v>9350</v>
      </c>
      <c r="D24" s="988" t="s">
        <v>2666</v>
      </c>
      <c r="E24" s="989">
        <v>7.61</v>
      </c>
      <c r="F24" s="990"/>
      <c r="G24" s="990"/>
      <c r="H24" s="990"/>
      <c r="I24" s="990"/>
      <c r="J24" s="990"/>
      <c r="K24" s="990"/>
      <c r="L24" s="990"/>
      <c r="M24" s="990"/>
      <c r="N24" s="990"/>
      <c r="O24" s="990"/>
      <c r="P24" s="990"/>
      <c r="Q24" s="990"/>
      <c r="R24" s="990"/>
      <c r="S24" s="990"/>
      <c r="T24" s="990"/>
      <c r="U24" s="990"/>
      <c r="V24" s="990"/>
      <c r="W24" s="990"/>
      <c r="X24" s="990"/>
    </row>
    <row r="25" spans="1:24" s="896" customFormat="1" ht="25.5">
      <c r="A25" s="987">
        <f t="shared" si="0"/>
        <v>21</v>
      </c>
      <c r="B25" s="988">
        <v>39128</v>
      </c>
      <c r="C25" s="899" t="s">
        <v>9351</v>
      </c>
      <c r="D25" s="988" t="s">
        <v>2666</v>
      </c>
      <c r="E25" s="989">
        <v>1.9</v>
      </c>
      <c r="F25" s="990"/>
      <c r="G25" s="990"/>
      <c r="H25" s="990"/>
      <c r="I25" s="990"/>
      <c r="J25" s="990"/>
      <c r="K25" s="990"/>
      <c r="L25" s="990"/>
      <c r="M25" s="990"/>
      <c r="N25" s="990"/>
      <c r="O25" s="990"/>
      <c r="P25" s="990"/>
      <c r="Q25" s="990"/>
      <c r="R25" s="990"/>
      <c r="S25" s="990"/>
      <c r="T25" s="990"/>
      <c r="U25" s="990"/>
      <c r="V25" s="990"/>
      <c r="W25" s="990"/>
      <c r="X25" s="990"/>
    </row>
    <row r="26" spans="1:24" s="896" customFormat="1" ht="25.5">
      <c r="A26" s="987">
        <f t="shared" si="0"/>
        <v>22</v>
      </c>
      <c r="B26" s="988">
        <v>400</v>
      </c>
      <c r="C26" s="899" t="s">
        <v>9352</v>
      </c>
      <c r="D26" s="988" t="s">
        <v>2666</v>
      </c>
      <c r="E26" s="989">
        <v>1.85</v>
      </c>
      <c r="F26" s="990"/>
      <c r="G26" s="990"/>
      <c r="H26" s="990"/>
      <c r="I26" s="990"/>
      <c r="J26" s="990"/>
      <c r="K26" s="990"/>
      <c r="L26" s="990"/>
      <c r="M26" s="990"/>
      <c r="N26" s="990"/>
      <c r="O26" s="990"/>
      <c r="P26" s="990"/>
      <c r="Q26" s="990"/>
      <c r="R26" s="990"/>
      <c r="S26" s="990"/>
      <c r="T26" s="990"/>
      <c r="U26" s="990"/>
      <c r="V26" s="990"/>
      <c r="W26" s="990"/>
      <c r="X26" s="990"/>
    </row>
    <row r="27" spans="1:24" s="896" customFormat="1" ht="25.5">
      <c r="A27" s="987">
        <f t="shared" si="0"/>
        <v>23</v>
      </c>
      <c r="B27" s="988">
        <v>39125</v>
      </c>
      <c r="C27" s="899" t="s">
        <v>9353</v>
      </c>
      <c r="D27" s="988" t="s">
        <v>2666</v>
      </c>
      <c r="E27" s="989">
        <v>1.9</v>
      </c>
      <c r="F27" s="990"/>
      <c r="G27" s="990"/>
      <c r="H27" s="990"/>
      <c r="I27" s="990"/>
      <c r="J27" s="990"/>
      <c r="K27" s="990"/>
      <c r="L27" s="990"/>
      <c r="M27" s="990"/>
      <c r="N27" s="990"/>
      <c r="O27" s="990"/>
      <c r="P27" s="990"/>
      <c r="Q27" s="990"/>
      <c r="R27" s="990"/>
      <c r="S27" s="990"/>
      <c r="T27" s="990"/>
      <c r="U27" s="990"/>
      <c r="V27" s="990"/>
      <c r="W27" s="990"/>
      <c r="X27" s="990"/>
    </row>
    <row r="28" spans="1:24" s="896" customFormat="1" ht="25.5">
      <c r="A28" s="987">
        <f t="shared" si="0"/>
        <v>24</v>
      </c>
      <c r="B28" s="988">
        <v>39134</v>
      </c>
      <c r="C28" s="899" t="s">
        <v>9354</v>
      </c>
      <c r="D28" s="988" t="s">
        <v>2666</v>
      </c>
      <c r="E28" s="989">
        <v>6.34</v>
      </c>
      <c r="F28" s="990"/>
      <c r="G28" s="990"/>
      <c r="H28" s="990"/>
      <c r="I28" s="990"/>
      <c r="J28" s="990"/>
      <c r="K28" s="990"/>
      <c r="L28" s="990"/>
      <c r="M28" s="990"/>
      <c r="N28" s="990"/>
      <c r="O28" s="990"/>
      <c r="P28" s="990"/>
      <c r="Q28" s="990"/>
      <c r="R28" s="990"/>
      <c r="S28" s="990"/>
      <c r="T28" s="990"/>
      <c r="U28" s="990"/>
      <c r="V28" s="990"/>
      <c r="W28" s="990"/>
      <c r="X28" s="990"/>
    </row>
    <row r="29" spans="1:24" s="896" customFormat="1" ht="25.5">
      <c r="A29" s="987">
        <f t="shared" si="0"/>
        <v>25</v>
      </c>
      <c r="B29" s="988">
        <v>398</v>
      </c>
      <c r="C29" s="899" t="s">
        <v>9355</v>
      </c>
      <c r="D29" s="988" t="s">
        <v>2666</v>
      </c>
      <c r="E29" s="989">
        <v>5.84</v>
      </c>
      <c r="F29" s="990"/>
      <c r="G29" s="990"/>
      <c r="H29" s="990"/>
      <c r="I29" s="990"/>
      <c r="J29" s="990"/>
      <c r="K29" s="990"/>
      <c r="L29" s="990"/>
      <c r="M29" s="990"/>
      <c r="N29" s="990"/>
      <c r="O29" s="990"/>
      <c r="P29" s="990"/>
      <c r="Q29" s="990"/>
      <c r="R29" s="990"/>
      <c r="S29" s="990"/>
      <c r="T29" s="990"/>
      <c r="U29" s="990"/>
      <c r="V29" s="990"/>
      <c r="W29" s="990"/>
      <c r="X29" s="990"/>
    </row>
    <row r="30" spans="1:24" s="896" customFormat="1" ht="25.5">
      <c r="A30" s="987">
        <f t="shared" si="0"/>
        <v>26</v>
      </c>
      <c r="B30" s="988">
        <v>39126</v>
      </c>
      <c r="C30" s="899" t="s">
        <v>9356</v>
      </c>
      <c r="D30" s="988" t="s">
        <v>2666</v>
      </c>
      <c r="E30" s="989">
        <v>8.56</v>
      </c>
      <c r="F30" s="990"/>
      <c r="G30" s="990"/>
      <c r="H30" s="990"/>
      <c r="I30" s="990"/>
      <c r="J30" s="990"/>
      <c r="K30" s="990"/>
      <c r="L30" s="990"/>
      <c r="M30" s="990"/>
      <c r="N30" s="990"/>
      <c r="O30" s="990"/>
      <c r="P30" s="990"/>
      <c r="Q30" s="990"/>
      <c r="R30" s="990"/>
      <c r="S30" s="990"/>
      <c r="T30" s="990"/>
      <c r="U30" s="990"/>
      <c r="V30" s="990"/>
      <c r="W30" s="990"/>
      <c r="X30" s="990"/>
    </row>
    <row r="31" spans="1:24" s="896" customFormat="1" ht="25.5">
      <c r="A31" s="987">
        <f t="shared" si="0"/>
        <v>27</v>
      </c>
      <c r="B31" s="988">
        <v>399</v>
      </c>
      <c r="C31" s="899" t="s">
        <v>9357</v>
      </c>
      <c r="D31" s="988" t="s">
        <v>2666</v>
      </c>
      <c r="E31" s="989">
        <v>7.54</v>
      </c>
      <c r="F31" s="990"/>
      <c r="G31" s="990"/>
      <c r="H31" s="990"/>
      <c r="I31" s="990"/>
      <c r="J31" s="990"/>
      <c r="K31" s="990"/>
      <c r="L31" s="990"/>
      <c r="M31" s="990"/>
      <c r="N31" s="990"/>
      <c r="O31" s="990"/>
      <c r="P31" s="990"/>
      <c r="Q31" s="990"/>
      <c r="R31" s="990"/>
      <c r="S31" s="990"/>
      <c r="T31" s="990"/>
      <c r="U31" s="990"/>
      <c r="V31" s="990"/>
      <c r="W31" s="990"/>
      <c r="X31" s="990"/>
    </row>
    <row r="32" spans="1:24" s="896" customFormat="1" ht="25.5">
      <c r="A32" s="987">
        <f t="shared" si="0"/>
        <v>28</v>
      </c>
      <c r="B32" s="988">
        <v>39158</v>
      </c>
      <c r="C32" s="899" t="s">
        <v>9358</v>
      </c>
      <c r="D32" s="988" t="s">
        <v>2666</v>
      </c>
      <c r="E32" s="989">
        <v>20.25</v>
      </c>
      <c r="F32" s="990"/>
      <c r="G32" s="990"/>
      <c r="H32" s="990"/>
      <c r="I32" s="990"/>
      <c r="J32" s="990"/>
      <c r="K32" s="990"/>
      <c r="L32" s="990"/>
      <c r="M32" s="990"/>
      <c r="N32" s="990"/>
      <c r="O32" s="990"/>
      <c r="P32" s="990"/>
      <c r="Q32" s="990"/>
      <c r="R32" s="990"/>
      <c r="S32" s="990"/>
      <c r="T32" s="990"/>
      <c r="U32" s="990"/>
      <c r="V32" s="990"/>
      <c r="W32" s="990"/>
      <c r="X32" s="990"/>
    </row>
    <row r="33" spans="1:24" s="896" customFormat="1">
      <c r="A33" s="987">
        <f t="shared" si="0"/>
        <v>29</v>
      </c>
      <c r="B33" s="988">
        <v>39141</v>
      </c>
      <c r="C33" s="899" t="s">
        <v>9359</v>
      </c>
      <c r="D33" s="988" t="s">
        <v>2666</v>
      </c>
      <c r="E33" s="989">
        <v>1.47</v>
      </c>
      <c r="F33" s="990"/>
      <c r="G33" s="990"/>
      <c r="H33" s="990"/>
      <c r="I33" s="990"/>
      <c r="J33" s="990"/>
      <c r="K33" s="990"/>
      <c r="L33" s="990"/>
      <c r="M33" s="990"/>
      <c r="N33" s="990"/>
      <c r="O33" s="990"/>
      <c r="P33" s="990"/>
      <c r="Q33" s="990"/>
      <c r="R33" s="990"/>
      <c r="S33" s="990"/>
      <c r="T33" s="990"/>
      <c r="U33" s="990"/>
      <c r="V33" s="990"/>
      <c r="W33" s="990"/>
      <c r="X33" s="990"/>
    </row>
    <row r="34" spans="1:24" s="896" customFormat="1">
      <c r="A34" s="987">
        <f t="shared" si="0"/>
        <v>30</v>
      </c>
      <c r="B34" s="988">
        <v>39140</v>
      </c>
      <c r="C34" s="899" t="s">
        <v>9360</v>
      </c>
      <c r="D34" s="988" t="s">
        <v>2666</v>
      </c>
      <c r="E34" s="989">
        <v>1.33</v>
      </c>
      <c r="F34" s="990"/>
      <c r="G34" s="990"/>
      <c r="H34" s="990"/>
      <c r="I34" s="990"/>
      <c r="J34" s="990"/>
      <c r="K34" s="990"/>
      <c r="L34" s="990"/>
      <c r="M34" s="990"/>
      <c r="N34" s="990"/>
      <c r="O34" s="990"/>
      <c r="P34" s="990"/>
      <c r="Q34" s="990"/>
      <c r="R34" s="990"/>
      <c r="S34" s="990"/>
      <c r="T34" s="990"/>
      <c r="U34" s="990"/>
      <c r="V34" s="990"/>
      <c r="W34" s="990"/>
      <c r="X34" s="990"/>
    </row>
    <row r="35" spans="1:24" s="896" customFormat="1">
      <c r="A35" s="987">
        <f t="shared" si="0"/>
        <v>31</v>
      </c>
      <c r="B35" s="988">
        <v>39137</v>
      </c>
      <c r="C35" s="899" t="s">
        <v>9361</v>
      </c>
      <c r="D35" s="988" t="s">
        <v>2666</v>
      </c>
      <c r="E35" s="989">
        <v>0.77</v>
      </c>
      <c r="F35" s="990"/>
      <c r="G35" s="990"/>
      <c r="H35" s="990"/>
      <c r="I35" s="990"/>
      <c r="J35" s="990"/>
      <c r="K35" s="990"/>
      <c r="L35" s="990"/>
      <c r="M35" s="990"/>
      <c r="N35" s="990"/>
      <c r="O35" s="990"/>
      <c r="P35" s="990"/>
      <c r="Q35" s="990"/>
      <c r="R35" s="990"/>
      <c r="S35" s="990"/>
      <c r="T35" s="990"/>
      <c r="U35" s="990"/>
      <c r="V35" s="990"/>
      <c r="W35" s="990"/>
      <c r="X35" s="990"/>
    </row>
    <row r="36" spans="1:24" s="896" customFormat="1">
      <c r="A36" s="987">
        <f t="shared" si="0"/>
        <v>32</v>
      </c>
      <c r="B36" s="988">
        <v>39139</v>
      </c>
      <c r="C36" s="899" t="s">
        <v>9362</v>
      </c>
      <c r="D36" s="988" t="s">
        <v>2666</v>
      </c>
      <c r="E36" s="989">
        <v>1.1100000000000001</v>
      </c>
      <c r="F36" s="990"/>
      <c r="G36" s="990"/>
      <c r="H36" s="990"/>
      <c r="I36" s="990"/>
      <c r="J36" s="990"/>
      <c r="K36" s="990"/>
      <c r="L36" s="990"/>
      <c r="M36" s="990"/>
      <c r="N36" s="990"/>
      <c r="O36" s="990"/>
      <c r="P36" s="990"/>
      <c r="Q36" s="990"/>
      <c r="R36" s="990"/>
      <c r="S36" s="990"/>
      <c r="T36" s="990"/>
      <c r="U36" s="990"/>
      <c r="V36" s="990"/>
      <c r="W36" s="990"/>
      <c r="X36" s="990"/>
    </row>
    <row r="37" spans="1:24" s="896" customFormat="1">
      <c r="A37" s="987">
        <f t="shared" si="0"/>
        <v>33</v>
      </c>
      <c r="B37" s="988">
        <v>39143</v>
      </c>
      <c r="C37" s="899" t="s">
        <v>9363</v>
      </c>
      <c r="D37" s="988" t="s">
        <v>2666</v>
      </c>
      <c r="E37" s="989">
        <v>3.03</v>
      </c>
      <c r="F37" s="990"/>
      <c r="G37" s="990"/>
      <c r="H37" s="990"/>
      <c r="I37" s="990"/>
      <c r="J37" s="990"/>
      <c r="K37" s="990"/>
      <c r="L37" s="990"/>
      <c r="M37" s="990"/>
      <c r="N37" s="990"/>
      <c r="O37" s="990"/>
      <c r="P37" s="990"/>
      <c r="Q37" s="990"/>
      <c r="R37" s="990"/>
      <c r="S37" s="990"/>
      <c r="T37" s="990"/>
      <c r="U37" s="990"/>
      <c r="V37" s="990"/>
      <c r="W37" s="990"/>
      <c r="X37" s="990"/>
    </row>
    <row r="38" spans="1:24" s="896" customFormat="1">
      <c r="A38" s="987">
        <f t="shared" si="0"/>
        <v>34</v>
      </c>
      <c r="B38" s="988">
        <v>39142</v>
      </c>
      <c r="C38" s="899" t="s">
        <v>9364</v>
      </c>
      <c r="D38" s="988" t="s">
        <v>2666</v>
      </c>
      <c r="E38" s="989">
        <v>2.17</v>
      </c>
      <c r="F38" s="990"/>
      <c r="G38" s="990"/>
      <c r="H38" s="990"/>
      <c r="I38" s="990"/>
      <c r="J38" s="990"/>
      <c r="K38" s="990"/>
      <c r="L38" s="990"/>
      <c r="M38" s="990"/>
      <c r="N38" s="990"/>
      <c r="O38" s="990"/>
      <c r="P38" s="990"/>
      <c r="Q38" s="990"/>
      <c r="R38" s="990"/>
      <c r="S38" s="990"/>
      <c r="T38" s="990"/>
      <c r="U38" s="990"/>
      <c r="V38" s="990"/>
      <c r="W38" s="990"/>
      <c r="X38" s="990"/>
    </row>
    <row r="39" spans="1:24" s="896" customFormat="1">
      <c r="A39" s="987">
        <f t="shared" si="0"/>
        <v>35</v>
      </c>
      <c r="B39" s="988">
        <v>39138</v>
      </c>
      <c r="C39" s="899" t="s">
        <v>9365</v>
      </c>
      <c r="D39" s="988" t="s">
        <v>2666</v>
      </c>
      <c r="E39" s="989">
        <v>0.81</v>
      </c>
      <c r="F39" s="990"/>
      <c r="G39" s="990"/>
      <c r="H39" s="990"/>
      <c r="I39" s="990"/>
      <c r="J39" s="990"/>
      <c r="K39" s="990"/>
      <c r="L39" s="990"/>
      <c r="M39" s="990"/>
      <c r="N39" s="990"/>
      <c r="O39" s="990"/>
      <c r="P39" s="990"/>
      <c r="Q39" s="990"/>
      <c r="R39" s="990"/>
      <c r="S39" s="990"/>
      <c r="T39" s="990"/>
      <c r="U39" s="990"/>
      <c r="V39" s="990"/>
      <c r="W39" s="990"/>
      <c r="X39" s="990"/>
    </row>
    <row r="40" spans="1:24" s="896" customFormat="1">
      <c r="A40" s="987">
        <f t="shared" si="0"/>
        <v>36</v>
      </c>
      <c r="B40" s="988">
        <v>39136</v>
      </c>
      <c r="C40" s="899" t="s">
        <v>9366</v>
      </c>
      <c r="D40" s="988" t="s">
        <v>2666</v>
      </c>
      <c r="E40" s="989">
        <v>0.54</v>
      </c>
      <c r="F40" s="990"/>
      <c r="G40" s="990"/>
      <c r="H40" s="990"/>
      <c r="I40" s="990"/>
      <c r="J40" s="990"/>
      <c r="K40" s="990"/>
      <c r="L40" s="990"/>
      <c r="M40" s="990"/>
      <c r="N40" s="990"/>
      <c r="O40" s="990"/>
      <c r="P40" s="990"/>
      <c r="Q40" s="990"/>
      <c r="R40" s="990"/>
      <c r="S40" s="990"/>
      <c r="T40" s="990"/>
      <c r="U40" s="990"/>
      <c r="V40" s="990"/>
      <c r="W40" s="990"/>
      <c r="X40" s="990"/>
    </row>
    <row r="41" spans="1:24" s="896" customFormat="1">
      <c r="A41" s="987">
        <f t="shared" si="0"/>
        <v>37</v>
      </c>
      <c r="B41" s="988">
        <v>39144</v>
      </c>
      <c r="C41" s="899" t="s">
        <v>9367</v>
      </c>
      <c r="D41" s="988" t="s">
        <v>2666</v>
      </c>
      <c r="E41" s="989">
        <v>3.53</v>
      </c>
      <c r="F41" s="990"/>
      <c r="G41" s="990"/>
      <c r="H41" s="990"/>
      <c r="I41" s="990"/>
      <c r="J41" s="990"/>
      <c r="K41" s="990"/>
      <c r="L41" s="990"/>
      <c r="M41" s="990"/>
      <c r="N41" s="990"/>
      <c r="O41" s="990"/>
      <c r="P41" s="990"/>
      <c r="Q41" s="990"/>
      <c r="R41" s="990"/>
      <c r="S41" s="990"/>
      <c r="T41" s="990"/>
      <c r="U41" s="990"/>
      <c r="V41" s="990"/>
      <c r="W41" s="990"/>
      <c r="X41" s="990"/>
    </row>
    <row r="42" spans="1:24" s="896" customFormat="1">
      <c r="A42" s="987">
        <f t="shared" si="0"/>
        <v>38</v>
      </c>
      <c r="B42" s="988">
        <v>39145</v>
      </c>
      <c r="C42" s="899" t="s">
        <v>9368</v>
      </c>
      <c r="D42" s="988" t="s">
        <v>2666</v>
      </c>
      <c r="E42" s="989">
        <v>5.82</v>
      </c>
      <c r="F42" s="990"/>
      <c r="G42" s="990"/>
      <c r="H42" s="990"/>
      <c r="I42" s="990"/>
      <c r="J42" s="990"/>
      <c r="K42" s="990"/>
      <c r="L42" s="990"/>
      <c r="M42" s="990"/>
      <c r="N42" s="990"/>
      <c r="O42" s="990"/>
      <c r="P42" s="990"/>
      <c r="Q42" s="990"/>
      <c r="R42" s="990"/>
      <c r="S42" s="990"/>
      <c r="T42" s="990"/>
      <c r="U42" s="990"/>
      <c r="V42" s="990"/>
      <c r="W42" s="990"/>
      <c r="X42" s="990"/>
    </row>
    <row r="43" spans="1:24" s="896" customFormat="1" ht="25.5">
      <c r="A43" s="987">
        <f t="shared" si="0"/>
        <v>39</v>
      </c>
      <c r="B43" s="988">
        <v>12615</v>
      </c>
      <c r="C43" s="899" t="s">
        <v>9369</v>
      </c>
      <c r="D43" s="988" t="s">
        <v>2666</v>
      </c>
      <c r="E43" s="989">
        <v>4.91</v>
      </c>
      <c r="F43" s="990"/>
      <c r="G43" s="990"/>
      <c r="H43" s="990"/>
      <c r="I43" s="990"/>
      <c r="J43" s="990"/>
      <c r="K43" s="990"/>
      <c r="L43" s="990"/>
      <c r="M43" s="990"/>
      <c r="N43" s="990"/>
      <c r="O43" s="990"/>
      <c r="P43" s="990"/>
      <c r="Q43" s="990"/>
      <c r="R43" s="990"/>
      <c r="S43" s="990"/>
      <c r="T43" s="990"/>
      <c r="U43" s="990"/>
      <c r="V43" s="990"/>
      <c r="W43" s="990"/>
      <c r="X43" s="990"/>
    </row>
    <row r="44" spans="1:24" s="896" customFormat="1" ht="25.5">
      <c r="A44" s="987">
        <f t="shared" si="0"/>
        <v>40</v>
      </c>
      <c r="B44" s="988">
        <v>11927</v>
      </c>
      <c r="C44" s="899" t="s">
        <v>9370</v>
      </c>
      <c r="D44" s="988" t="s">
        <v>2666</v>
      </c>
      <c r="E44" s="989">
        <v>6.8</v>
      </c>
      <c r="F44" s="990"/>
      <c r="G44" s="990"/>
      <c r="H44" s="990"/>
      <c r="I44" s="990"/>
      <c r="J44" s="990"/>
      <c r="K44" s="990"/>
      <c r="L44" s="990"/>
      <c r="M44" s="990"/>
      <c r="N44" s="990"/>
      <c r="O44" s="990"/>
      <c r="P44" s="990"/>
      <c r="Q44" s="990"/>
      <c r="R44" s="990"/>
      <c r="S44" s="990"/>
      <c r="T44" s="990"/>
      <c r="U44" s="990"/>
      <c r="V44" s="990"/>
      <c r="W44" s="990"/>
      <c r="X44" s="990"/>
    </row>
    <row r="45" spans="1:24" s="896" customFormat="1" ht="25.5">
      <c r="A45" s="987">
        <f t="shared" si="0"/>
        <v>41</v>
      </c>
      <c r="B45" s="988">
        <v>11928</v>
      </c>
      <c r="C45" s="899" t="s">
        <v>9371</v>
      </c>
      <c r="D45" s="988" t="s">
        <v>2666</v>
      </c>
      <c r="E45" s="989">
        <v>7.79</v>
      </c>
      <c r="F45" s="990"/>
      <c r="G45" s="990"/>
      <c r="H45" s="990"/>
      <c r="I45" s="990"/>
      <c r="J45" s="990"/>
      <c r="K45" s="990"/>
      <c r="L45" s="990"/>
      <c r="M45" s="990"/>
      <c r="N45" s="990"/>
      <c r="O45" s="990"/>
      <c r="P45" s="990"/>
      <c r="Q45" s="990"/>
      <c r="R45" s="990"/>
      <c r="S45" s="990"/>
      <c r="T45" s="990"/>
      <c r="U45" s="990"/>
      <c r="V45" s="990"/>
      <c r="W45" s="990"/>
      <c r="X45" s="990"/>
    </row>
    <row r="46" spans="1:24" s="896" customFormat="1" ht="25.5">
      <c r="A46" s="987">
        <f t="shared" si="0"/>
        <v>42</v>
      </c>
      <c r="B46" s="988">
        <v>11929</v>
      </c>
      <c r="C46" s="899" t="s">
        <v>9372</v>
      </c>
      <c r="D46" s="988" t="s">
        <v>2666</v>
      </c>
      <c r="E46" s="989">
        <v>12.06</v>
      </c>
      <c r="F46" s="990"/>
      <c r="G46" s="990"/>
      <c r="H46" s="990"/>
      <c r="I46" s="990"/>
      <c r="J46" s="990"/>
      <c r="K46" s="990"/>
      <c r="L46" s="990"/>
      <c r="M46" s="990"/>
      <c r="N46" s="990"/>
      <c r="O46" s="990"/>
      <c r="P46" s="990"/>
      <c r="Q46" s="990"/>
      <c r="R46" s="990"/>
      <c r="S46" s="990"/>
      <c r="T46" s="990"/>
      <c r="U46" s="990"/>
      <c r="V46" s="990"/>
      <c r="W46" s="990"/>
      <c r="X46" s="990"/>
    </row>
    <row r="47" spans="1:24" s="896" customFormat="1">
      <c r="A47" s="987">
        <f t="shared" si="0"/>
        <v>43</v>
      </c>
      <c r="B47" s="988">
        <v>36801</v>
      </c>
      <c r="C47" s="899" t="s">
        <v>9373</v>
      </c>
      <c r="D47" s="988" t="s">
        <v>2666</v>
      </c>
      <c r="E47" s="989">
        <v>26.16</v>
      </c>
      <c r="F47" s="990"/>
      <c r="G47" s="990"/>
      <c r="H47" s="990"/>
      <c r="I47" s="990"/>
      <c r="J47" s="990"/>
      <c r="K47" s="990"/>
      <c r="L47" s="990"/>
      <c r="M47" s="990"/>
      <c r="N47" s="990"/>
      <c r="O47" s="990"/>
      <c r="P47" s="990"/>
      <c r="Q47" s="990"/>
      <c r="R47" s="990"/>
      <c r="S47" s="990"/>
      <c r="T47" s="990"/>
      <c r="U47" s="990"/>
      <c r="V47" s="990"/>
      <c r="W47" s="990"/>
      <c r="X47" s="990"/>
    </row>
    <row r="48" spans="1:24" s="896" customFormat="1" ht="25.5">
      <c r="A48" s="987">
        <f t="shared" si="0"/>
        <v>44</v>
      </c>
      <c r="B48" s="988">
        <v>36246</v>
      </c>
      <c r="C48" s="899" t="s">
        <v>9374</v>
      </c>
      <c r="D48" s="988" t="s">
        <v>2669</v>
      </c>
      <c r="E48" s="989">
        <v>4.74</v>
      </c>
      <c r="F48" s="990"/>
      <c r="G48" s="990"/>
      <c r="H48" s="990"/>
      <c r="I48" s="990"/>
      <c r="J48" s="990"/>
      <c r="K48" s="990"/>
      <c r="L48" s="990"/>
      <c r="M48" s="990"/>
      <c r="N48" s="990"/>
      <c r="O48" s="990"/>
      <c r="P48" s="990"/>
      <c r="Q48" s="990"/>
      <c r="R48" s="990"/>
      <c r="S48" s="990"/>
      <c r="T48" s="990"/>
      <c r="U48" s="990"/>
      <c r="V48" s="990"/>
      <c r="W48" s="990"/>
      <c r="X48" s="990"/>
    </row>
    <row r="49" spans="1:24" s="896" customFormat="1">
      <c r="A49" s="987">
        <f t="shared" si="0"/>
        <v>45</v>
      </c>
      <c r="B49" s="988">
        <v>37600</v>
      </c>
      <c r="C49" s="899" t="s">
        <v>9375</v>
      </c>
      <c r="D49" s="988" t="s">
        <v>2666</v>
      </c>
      <c r="E49" s="989">
        <v>112.99</v>
      </c>
      <c r="F49" s="990"/>
      <c r="G49" s="990"/>
      <c r="H49" s="990"/>
      <c r="I49" s="990"/>
      <c r="J49" s="990"/>
      <c r="K49" s="990"/>
      <c r="L49" s="990"/>
      <c r="M49" s="990"/>
      <c r="N49" s="990"/>
      <c r="O49" s="990"/>
      <c r="P49" s="990"/>
      <c r="Q49" s="990"/>
      <c r="R49" s="990"/>
      <c r="S49" s="990"/>
      <c r="T49" s="990"/>
      <c r="U49" s="990"/>
      <c r="V49" s="990"/>
      <c r="W49" s="990"/>
      <c r="X49" s="990"/>
    </row>
    <row r="50" spans="1:24" s="896" customFormat="1">
      <c r="A50" s="987">
        <f t="shared" si="0"/>
        <v>46</v>
      </c>
      <c r="B50" s="988">
        <v>37599</v>
      </c>
      <c r="C50" s="899" t="s">
        <v>9376</v>
      </c>
      <c r="D50" s="988" t="s">
        <v>2666</v>
      </c>
      <c r="E50" s="989">
        <v>105.16</v>
      </c>
      <c r="F50" s="990"/>
      <c r="G50" s="990"/>
      <c r="H50" s="990"/>
      <c r="I50" s="990"/>
      <c r="J50" s="990"/>
      <c r="K50" s="990"/>
      <c r="L50" s="990"/>
      <c r="M50" s="990"/>
      <c r="N50" s="990"/>
      <c r="O50" s="990"/>
      <c r="P50" s="990"/>
      <c r="Q50" s="990"/>
      <c r="R50" s="990"/>
      <c r="S50" s="990"/>
      <c r="T50" s="990"/>
      <c r="U50" s="990"/>
      <c r="V50" s="990"/>
      <c r="W50" s="990"/>
      <c r="X50" s="990"/>
    </row>
    <row r="51" spans="1:24" s="896" customFormat="1" ht="25.5">
      <c r="A51" s="987">
        <f t="shared" si="0"/>
        <v>47</v>
      </c>
      <c r="B51" s="988">
        <v>1</v>
      </c>
      <c r="C51" s="899" t="s">
        <v>9377</v>
      </c>
      <c r="D51" s="988" t="s">
        <v>2670</v>
      </c>
      <c r="E51" s="989">
        <v>55.45</v>
      </c>
      <c r="F51" s="990"/>
      <c r="G51" s="990"/>
      <c r="H51" s="990"/>
      <c r="I51" s="990"/>
      <c r="J51" s="990"/>
      <c r="K51" s="990"/>
      <c r="L51" s="990"/>
      <c r="M51" s="990"/>
      <c r="N51" s="990"/>
      <c r="O51" s="990"/>
      <c r="P51" s="990"/>
      <c r="Q51" s="990"/>
      <c r="R51" s="990"/>
      <c r="S51" s="990"/>
      <c r="T51" s="990"/>
      <c r="U51" s="990"/>
      <c r="V51" s="990"/>
      <c r="W51" s="990"/>
      <c r="X51" s="990"/>
    </row>
    <row r="52" spans="1:24" s="896" customFormat="1">
      <c r="A52" s="987">
        <f t="shared" si="0"/>
        <v>48</v>
      </c>
      <c r="B52" s="988">
        <v>3</v>
      </c>
      <c r="C52" s="899" t="s">
        <v>9378</v>
      </c>
      <c r="D52" s="988" t="s">
        <v>2671</v>
      </c>
      <c r="E52" s="989">
        <v>14.64</v>
      </c>
      <c r="F52" s="990"/>
      <c r="G52" s="990"/>
      <c r="H52" s="990"/>
      <c r="I52" s="990"/>
      <c r="J52" s="990"/>
      <c r="K52" s="990"/>
      <c r="L52" s="990"/>
      <c r="M52" s="990"/>
      <c r="N52" s="990"/>
      <c r="O52" s="990"/>
      <c r="P52" s="990"/>
      <c r="Q52" s="990"/>
      <c r="R52" s="990"/>
      <c r="S52" s="990"/>
      <c r="T52" s="990"/>
      <c r="U52" s="990"/>
      <c r="V52" s="990"/>
      <c r="W52" s="990"/>
      <c r="X52" s="990"/>
    </row>
    <row r="53" spans="1:24" s="896" customFormat="1">
      <c r="A53" s="987">
        <f t="shared" si="0"/>
        <v>49</v>
      </c>
      <c r="B53" s="988">
        <v>43054</v>
      </c>
      <c r="C53" s="899" t="s">
        <v>9379</v>
      </c>
      <c r="D53" s="988" t="s">
        <v>2670</v>
      </c>
      <c r="E53" s="989">
        <v>10.19</v>
      </c>
      <c r="F53" s="990"/>
      <c r="G53" s="990"/>
      <c r="H53" s="990"/>
      <c r="I53" s="990"/>
      <c r="J53" s="990"/>
      <c r="K53" s="990"/>
      <c r="L53" s="990"/>
      <c r="M53" s="990"/>
      <c r="N53" s="990"/>
      <c r="O53" s="990"/>
      <c r="P53" s="990"/>
      <c r="Q53" s="990"/>
      <c r="R53" s="990"/>
      <c r="S53" s="990"/>
      <c r="T53" s="990"/>
      <c r="U53" s="990"/>
      <c r="V53" s="990"/>
      <c r="W53" s="990"/>
      <c r="X53" s="990"/>
    </row>
    <row r="54" spans="1:24" s="896" customFormat="1">
      <c r="A54" s="987">
        <f t="shared" si="0"/>
        <v>50</v>
      </c>
      <c r="B54" s="988">
        <v>42402</v>
      </c>
      <c r="C54" s="899" t="s">
        <v>9380</v>
      </c>
      <c r="D54" s="988" t="s">
        <v>2670</v>
      </c>
      <c r="E54" s="989">
        <v>9.74</v>
      </c>
      <c r="F54" s="990"/>
      <c r="G54" s="990"/>
      <c r="H54" s="990"/>
      <c r="I54" s="990"/>
      <c r="J54" s="990"/>
      <c r="K54" s="990"/>
      <c r="L54" s="990"/>
      <c r="M54" s="990"/>
      <c r="N54" s="990"/>
      <c r="O54" s="990"/>
      <c r="P54" s="990"/>
      <c r="Q54" s="990"/>
      <c r="R54" s="990"/>
      <c r="S54" s="990"/>
      <c r="T54" s="990"/>
      <c r="U54" s="990"/>
      <c r="V54" s="990"/>
      <c r="W54" s="990"/>
      <c r="X54" s="990"/>
    </row>
    <row r="55" spans="1:24" s="896" customFormat="1">
      <c r="A55" s="987">
        <f t="shared" si="0"/>
        <v>51</v>
      </c>
      <c r="B55" s="988">
        <v>42403</v>
      </c>
      <c r="C55" s="899" t="s">
        <v>9381</v>
      </c>
      <c r="D55" s="988" t="s">
        <v>2670</v>
      </c>
      <c r="E55" s="989">
        <v>12.5</v>
      </c>
      <c r="F55" s="990"/>
      <c r="G55" s="990"/>
      <c r="H55" s="990"/>
      <c r="I55" s="990"/>
      <c r="J55" s="990"/>
      <c r="K55" s="990"/>
      <c r="L55" s="990"/>
      <c r="M55" s="990"/>
      <c r="N55" s="990"/>
      <c r="O55" s="990"/>
      <c r="P55" s="990"/>
      <c r="Q55" s="990"/>
      <c r="R55" s="990"/>
      <c r="S55" s="990"/>
      <c r="T55" s="990"/>
      <c r="U55" s="990"/>
      <c r="V55" s="990"/>
      <c r="W55" s="990"/>
      <c r="X55" s="990"/>
    </row>
    <row r="56" spans="1:24" s="896" customFormat="1">
      <c r="A56" s="987">
        <f t="shared" si="0"/>
        <v>52</v>
      </c>
      <c r="B56" s="988">
        <v>42404</v>
      </c>
      <c r="C56" s="899" t="s">
        <v>9382</v>
      </c>
      <c r="D56" s="988" t="s">
        <v>2670</v>
      </c>
      <c r="E56" s="989">
        <v>12.43</v>
      </c>
      <c r="F56" s="990"/>
      <c r="G56" s="990"/>
      <c r="H56" s="990"/>
      <c r="I56" s="990"/>
      <c r="J56" s="990"/>
      <c r="K56" s="990"/>
      <c r="L56" s="990"/>
      <c r="M56" s="990"/>
      <c r="N56" s="990"/>
      <c r="O56" s="990"/>
      <c r="P56" s="990"/>
      <c r="Q56" s="990"/>
      <c r="R56" s="990"/>
      <c r="S56" s="990"/>
      <c r="T56" s="990"/>
      <c r="U56" s="990"/>
      <c r="V56" s="990"/>
      <c r="W56" s="990"/>
      <c r="X56" s="990"/>
    </row>
    <row r="57" spans="1:24" s="896" customFormat="1">
      <c r="A57" s="987">
        <f t="shared" si="0"/>
        <v>53</v>
      </c>
      <c r="B57" s="988">
        <v>42405</v>
      </c>
      <c r="C57" s="899" t="s">
        <v>9383</v>
      </c>
      <c r="D57" s="988" t="s">
        <v>2670</v>
      </c>
      <c r="E57" s="989">
        <v>13.24</v>
      </c>
      <c r="F57" s="990"/>
      <c r="G57" s="990"/>
      <c r="H57" s="990"/>
      <c r="I57" s="990"/>
      <c r="J57" s="990"/>
      <c r="K57" s="990"/>
      <c r="L57" s="990"/>
      <c r="M57" s="990"/>
      <c r="N57" s="990"/>
      <c r="O57" s="990"/>
      <c r="P57" s="990"/>
      <c r="Q57" s="990"/>
      <c r="R57" s="990"/>
      <c r="S57" s="990"/>
      <c r="T57" s="990"/>
      <c r="U57" s="990"/>
      <c r="V57" s="990"/>
      <c r="W57" s="990"/>
      <c r="X57" s="990"/>
    </row>
    <row r="58" spans="1:24" s="896" customFormat="1">
      <c r="A58" s="987">
        <f t="shared" si="0"/>
        <v>54</v>
      </c>
      <c r="B58" s="988">
        <v>34341</v>
      </c>
      <c r="C58" s="899" t="s">
        <v>9384</v>
      </c>
      <c r="D58" s="988" t="s">
        <v>2670</v>
      </c>
      <c r="E58" s="989">
        <v>11.49</v>
      </c>
      <c r="F58" s="990"/>
      <c r="G58" s="990"/>
      <c r="H58" s="990"/>
      <c r="I58" s="990"/>
      <c r="J58" s="990"/>
      <c r="K58" s="990"/>
      <c r="L58" s="990"/>
      <c r="M58" s="990"/>
      <c r="N58" s="990"/>
      <c r="O58" s="990"/>
      <c r="P58" s="990"/>
      <c r="Q58" s="990"/>
      <c r="R58" s="990"/>
      <c r="S58" s="990"/>
      <c r="T58" s="990"/>
      <c r="U58" s="990"/>
      <c r="V58" s="990"/>
      <c r="W58" s="990"/>
      <c r="X58" s="990"/>
    </row>
    <row r="59" spans="1:24" s="896" customFormat="1">
      <c r="A59" s="987">
        <f t="shared" si="0"/>
        <v>55</v>
      </c>
      <c r="B59" s="988">
        <v>43053</v>
      </c>
      <c r="C59" s="899" t="s">
        <v>9385</v>
      </c>
      <c r="D59" s="988" t="s">
        <v>2670</v>
      </c>
      <c r="E59" s="989">
        <v>9.11</v>
      </c>
      <c r="F59" s="990"/>
      <c r="G59" s="990"/>
      <c r="H59" s="990"/>
      <c r="I59" s="990"/>
      <c r="J59" s="990"/>
      <c r="K59" s="990"/>
      <c r="L59" s="990"/>
      <c r="M59" s="990"/>
      <c r="N59" s="990"/>
      <c r="O59" s="990"/>
      <c r="P59" s="990"/>
      <c r="Q59" s="990"/>
      <c r="R59" s="990"/>
      <c r="S59" s="990"/>
      <c r="T59" s="990"/>
      <c r="U59" s="990"/>
      <c r="V59" s="990"/>
      <c r="W59" s="990"/>
      <c r="X59" s="990"/>
    </row>
    <row r="60" spans="1:24" s="896" customFormat="1">
      <c r="A60" s="987">
        <f t="shared" si="0"/>
        <v>56</v>
      </c>
      <c r="B60" s="988">
        <v>43058</v>
      </c>
      <c r="C60" s="899" t="s">
        <v>9386</v>
      </c>
      <c r="D60" s="988" t="s">
        <v>2670</v>
      </c>
      <c r="E60" s="989">
        <v>9.44</v>
      </c>
      <c r="F60" s="990"/>
      <c r="G60" s="990"/>
      <c r="H60" s="990"/>
      <c r="I60" s="990"/>
      <c r="J60" s="990"/>
      <c r="K60" s="990"/>
      <c r="L60" s="990"/>
      <c r="M60" s="990"/>
      <c r="N60" s="990"/>
      <c r="O60" s="990"/>
      <c r="P60" s="990"/>
      <c r="Q60" s="990"/>
      <c r="R60" s="990"/>
      <c r="S60" s="990"/>
      <c r="T60" s="990"/>
      <c r="U60" s="990"/>
      <c r="V60" s="990"/>
      <c r="W60" s="990"/>
      <c r="X60" s="990"/>
    </row>
    <row r="61" spans="1:24" s="896" customFormat="1">
      <c r="A61" s="987">
        <f t="shared" si="0"/>
        <v>57</v>
      </c>
      <c r="B61" s="988">
        <v>34</v>
      </c>
      <c r="C61" s="899" t="s">
        <v>9387</v>
      </c>
      <c r="D61" s="988" t="s">
        <v>2670</v>
      </c>
      <c r="E61" s="989">
        <v>9.49</v>
      </c>
      <c r="F61" s="990"/>
      <c r="G61" s="990"/>
      <c r="H61" s="990"/>
      <c r="I61" s="990"/>
      <c r="J61" s="990"/>
      <c r="K61" s="990"/>
      <c r="L61" s="990"/>
      <c r="M61" s="990"/>
      <c r="N61" s="990"/>
      <c r="O61" s="990"/>
      <c r="P61" s="990"/>
      <c r="Q61" s="990"/>
      <c r="R61" s="990"/>
      <c r="S61" s="990"/>
      <c r="T61" s="990"/>
      <c r="U61" s="990"/>
      <c r="V61" s="990"/>
      <c r="W61" s="990"/>
      <c r="X61" s="990"/>
    </row>
    <row r="62" spans="1:24" s="896" customFormat="1">
      <c r="A62" s="987">
        <f t="shared" si="0"/>
        <v>58</v>
      </c>
      <c r="B62" s="988">
        <v>43055</v>
      </c>
      <c r="C62" s="899" t="s">
        <v>9388</v>
      </c>
      <c r="D62" s="988" t="s">
        <v>2670</v>
      </c>
      <c r="E62" s="989">
        <v>8.2200000000000006</v>
      </c>
      <c r="F62" s="990"/>
      <c r="G62" s="990"/>
      <c r="H62" s="990"/>
      <c r="I62" s="990"/>
      <c r="J62" s="990"/>
      <c r="K62" s="990"/>
      <c r="L62" s="990"/>
      <c r="M62" s="990"/>
      <c r="N62" s="990"/>
      <c r="O62" s="990"/>
      <c r="P62" s="990"/>
      <c r="Q62" s="990"/>
      <c r="R62" s="990"/>
      <c r="S62" s="990"/>
      <c r="T62" s="990"/>
      <c r="U62" s="990"/>
      <c r="V62" s="990"/>
      <c r="W62" s="990"/>
      <c r="X62" s="990"/>
    </row>
    <row r="63" spans="1:24" s="896" customFormat="1">
      <c r="A63" s="987">
        <f t="shared" si="0"/>
        <v>59</v>
      </c>
      <c r="B63" s="988">
        <v>43056</v>
      </c>
      <c r="C63" s="899" t="s">
        <v>9389</v>
      </c>
      <c r="D63" s="988" t="s">
        <v>2670</v>
      </c>
      <c r="E63" s="989">
        <v>9.48</v>
      </c>
      <c r="F63" s="990"/>
      <c r="G63" s="990"/>
      <c r="H63" s="990"/>
      <c r="I63" s="990"/>
      <c r="J63" s="990"/>
      <c r="K63" s="990"/>
      <c r="L63" s="990"/>
      <c r="M63" s="990"/>
      <c r="N63" s="990"/>
      <c r="O63" s="990"/>
      <c r="P63" s="990"/>
      <c r="Q63" s="990"/>
      <c r="R63" s="990"/>
      <c r="S63" s="990"/>
      <c r="T63" s="990"/>
      <c r="U63" s="990"/>
      <c r="V63" s="990"/>
      <c r="W63" s="990"/>
      <c r="X63" s="990"/>
    </row>
    <row r="64" spans="1:24" s="896" customFormat="1">
      <c r="A64" s="987">
        <f t="shared" si="0"/>
        <v>60</v>
      </c>
      <c r="B64" s="988">
        <v>43057</v>
      </c>
      <c r="C64" s="899" t="s">
        <v>9390</v>
      </c>
      <c r="D64" s="988" t="s">
        <v>2670</v>
      </c>
      <c r="E64" s="989">
        <v>10.41</v>
      </c>
      <c r="F64" s="990"/>
      <c r="G64" s="990"/>
      <c r="H64" s="990"/>
      <c r="I64" s="990"/>
      <c r="J64" s="990"/>
      <c r="K64" s="990"/>
      <c r="L64" s="990"/>
      <c r="M64" s="990"/>
      <c r="N64" s="990"/>
      <c r="O64" s="990"/>
      <c r="P64" s="990"/>
      <c r="Q64" s="990"/>
      <c r="R64" s="990"/>
      <c r="S64" s="990"/>
      <c r="T64" s="990"/>
      <c r="U64" s="990"/>
      <c r="V64" s="990"/>
      <c r="W64" s="990"/>
      <c r="X64" s="990"/>
    </row>
    <row r="65" spans="1:24" s="896" customFormat="1">
      <c r="A65" s="987">
        <f t="shared" si="0"/>
        <v>61</v>
      </c>
      <c r="B65" s="988">
        <v>34449</v>
      </c>
      <c r="C65" s="899" t="s">
        <v>9391</v>
      </c>
      <c r="D65" s="988" t="s">
        <v>2670</v>
      </c>
      <c r="E65" s="989">
        <v>11.13</v>
      </c>
      <c r="F65" s="990"/>
      <c r="G65" s="990"/>
      <c r="H65" s="990"/>
      <c r="I65" s="990"/>
      <c r="J65" s="990"/>
      <c r="K65" s="990"/>
      <c r="L65" s="990"/>
      <c r="M65" s="990"/>
      <c r="N65" s="990"/>
      <c r="O65" s="990"/>
      <c r="P65" s="990"/>
      <c r="Q65" s="990"/>
      <c r="R65" s="990"/>
      <c r="S65" s="990"/>
      <c r="T65" s="990"/>
      <c r="U65" s="990"/>
      <c r="V65" s="990"/>
      <c r="W65" s="990"/>
      <c r="X65" s="990"/>
    </row>
    <row r="66" spans="1:24" s="896" customFormat="1">
      <c r="A66" s="987">
        <f t="shared" si="0"/>
        <v>62</v>
      </c>
      <c r="B66" s="988">
        <v>32</v>
      </c>
      <c r="C66" s="899" t="s">
        <v>9392</v>
      </c>
      <c r="D66" s="988" t="s">
        <v>2670</v>
      </c>
      <c r="E66" s="989">
        <v>10.01</v>
      </c>
      <c r="F66" s="990"/>
      <c r="G66" s="990"/>
      <c r="H66" s="990"/>
      <c r="I66" s="990"/>
      <c r="J66" s="990"/>
      <c r="K66" s="990"/>
      <c r="L66" s="990"/>
      <c r="M66" s="990"/>
      <c r="N66" s="990"/>
      <c r="O66" s="990"/>
      <c r="P66" s="990"/>
      <c r="Q66" s="990"/>
      <c r="R66" s="990"/>
      <c r="S66" s="990"/>
      <c r="T66" s="990"/>
      <c r="U66" s="990"/>
      <c r="V66" s="990"/>
      <c r="W66" s="990"/>
      <c r="X66" s="990"/>
    </row>
    <row r="67" spans="1:24" s="896" customFormat="1">
      <c r="A67" s="987">
        <f t="shared" si="0"/>
        <v>63</v>
      </c>
      <c r="B67" s="988">
        <v>33</v>
      </c>
      <c r="C67" s="899" t="s">
        <v>9393</v>
      </c>
      <c r="D67" s="988" t="s">
        <v>2670</v>
      </c>
      <c r="E67" s="989">
        <v>10.07</v>
      </c>
      <c r="F67" s="990"/>
      <c r="G67" s="990"/>
      <c r="H67" s="990"/>
      <c r="I67" s="990"/>
      <c r="J67" s="990"/>
      <c r="K67" s="990"/>
      <c r="L67" s="990"/>
      <c r="M67" s="990"/>
      <c r="N67" s="990"/>
      <c r="O67" s="990"/>
      <c r="P67" s="990"/>
      <c r="Q67" s="990"/>
      <c r="R67" s="990"/>
      <c r="S67" s="990"/>
      <c r="T67" s="990"/>
      <c r="U67" s="990"/>
      <c r="V67" s="990"/>
      <c r="W67" s="990"/>
      <c r="X67" s="990"/>
    </row>
    <row r="68" spans="1:24" s="896" customFormat="1">
      <c r="A68" s="987">
        <f t="shared" si="0"/>
        <v>64</v>
      </c>
      <c r="B68" s="988">
        <v>43061</v>
      </c>
      <c r="C68" s="899" t="s">
        <v>9394</v>
      </c>
      <c r="D68" s="988" t="s">
        <v>2670</v>
      </c>
      <c r="E68" s="989">
        <v>9.41</v>
      </c>
      <c r="F68" s="990"/>
      <c r="G68" s="990"/>
      <c r="H68" s="990"/>
      <c r="I68" s="990"/>
      <c r="J68" s="990"/>
      <c r="K68" s="990"/>
      <c r="L68" s="990"/>
      <c r="M68" s="990"/>
      <c r="N68" s="990"/>
      <c r="O68" s="990"/>
      <c r="P68" s="990"/>
      <c r="Q68" s="990"/>
      <c r="R68" s="990"/>
      <c r="S68" s="990"/>
      <c r="T68" s="990"/>
      <c r="U68" s="990"/>
      <c r="V68" s="990"/>
      <c r="W68" s="990"/>
      <c r="X68" s="990"/>
    </row>
    <row r="69" spans="1:24" s="896" customFormat="1">
      <c r="A69" s="987">
        <f t="shared" ref="A69:A74" si="1">A68+1</f>
        <v>65</v>
      </c>
      <c r="B69" s="988">
        <v>43059</v>
      </c>
      <c r="C69" s="899" t="s">
        <v>9395</v>
      </c>
      <c r="D69" s="988" t="s">
        <v>2670</v>
      </c>
      <c r="E69" s="989">
        <v>8.98</v>
      </c>
      <c r="F69" s="990"/>
      <c r="G69" s="990"/>
      <c r="H69" s="990"/>
      <c r="I69" s="990"/>
      <c r="J69" s="990"/>
      <c r="K69" s="990"/>
      <c r="L69" s="990"/>
      <c r="M69" s="990"/>
      <c r="N69" s="990"/>
      <c r="O69" s="990"/>
      <c r="P69" s="990"/>
      <c r="Q69" s="990"/>
      <c r="R69" s="990"/>
      <c r="S69" s="990"/>
      <c r="T69" s="990"/>
      <c r="U69" s="990"/>
      <c r="V69" s="990"/>
      <c r="W69" s="990"/>
      <c r="X69" s="990"/>
    </row>
    <row r="70" spans="1:24" s="896" customFormat="1">
      <c r="A70" s="987">
        <f t="shared" si="1"/>
        <v>66</v>
      </c>
      <c r="B70" s="988">
        <v>43062</v>
      </c>
      <c r="C70" s="899" t="s">
        <v>9396</v>
      </c>
      <c r="D70" s="988" t="s">
        <v>2670</v>
      </c>
      <c r="E70" s="989">
        <v>9.9499999999999993</v>
      </c>
      <c r="F70" s="990"/>
      <c r="G70" s="990"/>
      <c r="H70" s="990"/>
      <c r="I70" s="990"/>
      <c r="J70" s="990"/>
      <c r="K70" s="990"/>
      <c r="L70" s="990"/>
      <c r="M70" s="990"/>
      <c r="N70" s="990"/>
      <c r="O70" s="990"/>
      <c r="P70" s="990"/>
      <c r="Q70" s="990"/>
      <c r="R70" s="990"/>
      <c r="S70" s="990"/>
      <c r="T70" s="990"/>
      <c r="U70" s="990"/>
      <c r="V70" s="990"/>
      <c r="W70" s="990"/>
      <c r="X70" s="990"/>
    </row>
    <row r="71" spans="1:24" s="896" customFormat="1">
      <c r="A71" s="987">
        <f t="shared" si="1"/>
        <v>67</v>
      </c>
      <c r="B71" s="988">
        <v>43060</v>
      </c>
      <c r="C71" s="899" t="s">
        <v>9397</v>
      </c>
      <c r="D71" s="988" t="s">
        <v>2670</v>
      </c>
      <c r="E71" s="989">
        <v>7.82</v>
      </c>
      <c r="F71" s="990"/>
      <c r="G71" s="990"/>
      <c r="H71" s="990"/>
      <c r="I71" s="990"/>
      <c r="J71" s="990"/>
      <c r="K71" s="990"/>
      <c r="L71" s="990"/>
      <c r="M71" s="990"/>
      <c r="N71" s="990"/>
      <c r="O71" s="990"/>
      <c r="P71" s="990"/>
      <c r="Q71" s="990"/>
      <c r="R71" s="990"/>
      <c r="S71" s="990"/>
      <c r="T71" s="990"/>
      <c r="U71" s="990"/>
      <c r="V71" s="990"/>
      <c r="W71" s="990"/>
      <c r="X71" s="990"/>
    </row>
    <row r="72" spans="1:24" s="896" customFormat="1" ht="25.5">
      <c r="A72" s="987">
        <f t="shared" si="1"/>
        <v>68</v>
      </c>
      <c r="B72" s="988">
        <v>20063</v>
      </c>
      <c r="C72" s="899" t="s">
        <v>9398</v>
      </c>
      <c r="D72" s="988" t="s">
        <v>2666</v>
      </c>
      <c r="E72" s="989">
        <v>4.88</v>
      </c>
      <c r="F72" s="990"/>
      <c r="G72" s="990"/>
      <c r="H72" s="990"/>
      <c r="I72" s="990"/>
      <c r="J72" s="990"/>
      <c r="K72" s="990"/>
      <c r="L72" s="990"/>
      <c r="M72" s="990"/>
      <c r="N72" s="990"/>
      <c r="O72" s="990"/>
      <c r="P72" s="990"/>
      <c r="Q72" s="990"/>
      <c r="R72" s="990"/>
      <c r="S72" s="990"/>
      <c r="T72" s="990"/>
      <c r="U72" s="990"/>
      <c r="V72" s="990"/>
      <c r="W72" s="990"/>
      <c r="X72" s="990"/>
    </row>
    <row r="73" spans="1:24" s="896" customFormat="1" ht="25.5">
      <c r="A73" s="987">
        <f t="shared" si="1"/>
        <v>69</v>
      </c>
      <c r="B73" s="988">
        <v>40410</v>
      </c>
      <c r="C73" s="899" t="s">
        <v>9399</v>
      </c>
      <c r="D73" s="988" t="s">
        <v>2666</v>
      </c>
      <c r="E73" s="989">
        <v>26.89</v>
      </c>
      <c r="F73" s="990"/>
      <c r="G73" s="990"/>
      <c r="H73" s="990"/>
      <c r="I73" s="990"/>
      <c r="J73" s="990"/>
      <c r="K73" s="990"/>
      <c r="L73" s="990"/>
      <c r="M73" s="990"/>
      <c r="N73" s="990"/>
      <c r="O73" s="990"/>
      <c r="P73" s="990"/>
      <c r="Q73" s="990"/>
      <c r="R73" s="990"/>
      <c r="S73" s="990"/>
      <c r="T73" s="990"/>
      <c r="U73" s="990"/>
      <c r="V73" s="990"/>
      <c r="W73" s="990"/>
      <c r="X73" s="990"/>
    </row>
    <row r="74" spans="1:24" s="896" customFormat="1" ht="25.5">
      <c r="A74" s="987">
        <f t="shared" si="1"/>
        <v>70</v>
      </c>
      <c r="B74" s="988">
        <v>40411</v>
      </c>
      <c r="C74" s="899" t="s">
        <v>9400</v>
      </c>
      <c r="D74" s="988" t="s">
        <v>2666</v>
      </c>
      <c r="E74" s="989">
        <v>29.18</v>
      </c>
      <c r="F74" s="990"/>
      <c r="G74" s="990"/>
      <c r="H74" s="990"/>
      <c r="I74" s="990"/>
      <c r="J74" s="990"/>
      <c r="K74" s="990"/>
      <c r="L74" s="990"/>
      <c r="M74" s="990"/>
      <c r="N74" s="990"/>
      <c r="O74" s="990"/>
      <c r="P74" s="990"/>
      <c r="Q74" s="990"/>
      <c r="R74" s="990"/>
      <c r="S74" s="990"/>
      <c r="T74" s="990"/>
      <c r="U74" s="990"/>
      <c r="V74" s="990"/>
      <c r="W74" s="990"/>
      <c r="X74" s="990"/>
    </row>
    <row r="75" spans="1:24" s="896" customFormat="1" ht="25.5">
      <c r="A75" s="987">
        <v>1</v>
      </c>
      <c r="B75" s="988">
        <v>40412</v>
      </c>
      <c r="C75" s="899" t="s">
        <v>9401</v>
      </c>
      <c r="D75" s="988" t="s">
        <v>2666</v>
      </c>
      <c r="E75" s="989">
        <v>32.75</v>
      </c>
      <c r="F75" s="990"/>
      <c r="G75" s="990"/>
      <c r="H75" s="990"/>
      <c r="I75" s="990"/>
      <c r="J75" s="990"/>
      <c r="K75" s="990"/>
      <c r="L75" s="990"/>
      <c r="M75" s="990"/>
      <c r="N75" s="990"/>
      <c r="O75" s="990"/>
      <c r="P75" s="990"/>
      <c r="Q75" s="990"/>
      <c r="R75" s="990"/>
      <c r="S75" s="990"/>
      <c r="T75" s="990"/>
      <c r="U75" s="990"/>
      <c r="V75" s="990"/>
      <c r="W75" s="990"/>
      <c r="X75" s="990"/>
    </row>
    <row r="76" spans="1:24" s="896" customFormat="1">
      <c r="A76" s="987">
        <f t="shared" ref="A76:A139" si="2">A75+1</f>
        <v>2</v>
      </c>
      <c r="B76" s="988">
        <v>38838</v>
      </c>
      <c r="C76" s="899" t="s">
        <v>9402</v>
      </c>
      <c r="D76" s="988" t="s">
        <v>2666</v>
      </c>
      <c r="E76" s="989">
        <v>7.84</v>
      </c>
      <c r="F76" s="990"/>
      <c r="G76" s="990"/>
      <c r="H76" s="990"/>
      <c r="I76" s="990"/>
      <c r="J76" s="990"/>
      <c r="K76" s="990"/>
      <c r="L76" s="990"/>
      <c r="M76" s="990"/>
      <c r="N76" s="990"/>
      <c r="O76" s="990"/>
      <c r="P76" s="990"/>
      <c r="Q76" s="990"/>
      <c r="R76" s="990"/>
      <c r="S76" s="990"/>
      <c r="T76" s="990"/>
      <c r="U76" s="990"/>
      <c r="V76" s="990"/>
      <c r="W76" s="990"/>
      <c r="X76" s="990"/>
    </row>
    <row r="77" spans="1:24" s="896" customFormat="1">
      <c r="A77" s="987">
        <f t="shared" si="2"/>
        <v>3</v>
      </c>
      <c r="B77" s="988">
        <v>38839</v>
      </c>
      <c r="C77" s="899" t="s">
        <v>9403</v>
      </c>
      <c r="D77" s="988" t="s">
        <v>2666</v>
      </c>
      <c r="E77" s="989">
        <v>9.23</v>
      </c>
      <c r="F77" s="990"/>
      <c r="G77" s="990"/>
      <c r="H77" s="990"/>
      <c r="I77" s="990"/>
      <c r="J77" s="990"/>
      <c r="K77" s="990"/>
      <c r="L77" s="990"/>
      <c r="M77" s="990"/>
      <c r="N77" s="990"/>
      <c r="O77" s="990"/>
      <c r="P77" s="990"/>
      <c r="Q77" s="990"/>
      <c r="R77" s="990"/>
      <c r="S77" s="990"/>
      <c r="T77" s="990"/>
      <c r="U77" s="990"/>
      <c r="V77" s="990"/>
      <c r="W77" s="990"/>
      <c r="X77" s="990"/>
    </row>
    <row r="78" spans="1:24" s="896" customFormat="1" ht="25.5">
      <c r="A78" s="987">
        <f t="shared" si="2"/>
        <v>4</v>
      </c>
      <c r="B78" s="988">
        <v>55</v>
      </c>
      <c r="C78" s="899" t="s">
        <v>9404</v>
      </c>
      <c r="D78" s="988" t="s">
        <v>2666</v>
      </c>
      <c r="E78" s="989">
        <v>5</v>
      </c>
      <c r="F78" s="990"/>
      <c r="G78" s="990"/>
      <c r="H78" s="990"/>
      <c r="I78" s="990"/>
      <c r="J78" s="990"/>
      <c r="K78" s="990"/>
      <c r="L78" s="990"/>
      <c r="M78" s="990"/>
      <c r="N78" s="990"/>
      <c r="O78" s="990"/>
      <c r="P78" s="990"/>
      <c r="Q78" s="990"/>
      <c r="R78" s="990"/>
      <c r="S78" s="990"/>
      <c r="T78" s="990"/>
      <c r="U78" s="990"/>
      <c r="V78" s="990"/>
      <c r="W78" s="990"/>
      <c r="X78" s="990"/>
    </row>
    <row r="79" spans="1:24" s="896" customFormat="1" ht="25.5">
      <c r="A79" s="987">
        <f t="shared" si="2"/>
        <v>5</v>
      </c>
      <c r="B79" s="988">
        <v>61</v>
      </c>
      <c r="C79" s="899" t="s">
        <v>9405</v>
      </c>
      <c r="D79" s="988" t="s">
        <v>2666</v>
      </c>
      <c r="E79" s="989">
        <v>4.7300000000000004</v>
      </c>
      <c r="F79" s="990"/>
      <c r="G79" s="990"/>
      <c r="H79" s="990"/>
      <c r="I79" s="990"/>
      <c r="J79" s="990"/>
      <c r="K79" s="990"/>
      <c r="L79" s="990"/>
      <c r="M79" s="990"/>
      <c r="N79" s="990"/>
      <c r="O79" s="990"/>
      <c r="P79" s="990"/>
      <c r="Q79" s="990"/>
      <c r="R79" s="990"/>
      <c r="S79" s="990"/>
      <c r="T79" s="990"/>
      <c r="U79" s="990"/>
      <c r="V79" s="990"/>
      <c r="W79" s="990"/>
      <c r="X79" s="990"/>
    </row>
    <row r="80" spans="1:24" s="896" customFormat="1" ht="25.5">
      <c r="A80" s="987">
        <f t="shared" si="2"/>
        <v>6</v>
      </c>
      <c r="B80" s="988">
        <v>62</v>
      </c>
      <c r="C80" s="899" t="s">
        <v>9406</v>
      </c>
      <c r="D80" s="988" t="s">
        <v>2666</v>
      </c>
      <c r="E80" s="989">
        <v>9.8000000000000007</v>
      </c>
      <c r="F80" s="990"/>
      <c r="G80" s="990"/>
      <c r="H80" s="990"/>
      <c r="I80" s="990"/>
      <c r="J80" s="990"/>
      <c r="K80" s="990"/>
      <c r="L80" s="990"/>
      <c r="M80" s="990"/>
      <c r="N80" s="990"/>
      <c r="O80" s="990"/>
      <c r="P80" s="990"/>
      <c r="Q80" s="990"/>
      <c r="R80" s="990"/>
      <c r="S80" s="990"/>
      <c r="T80" s="990"/>
      <c r="U80" s="990"/>
      <c r="V80" s="990"/>
      <c r="W80" s="990"/>
      <c r="X80" s="990"/>
    </row>
    <row r="81" spans="1:24" s="896" customFormat="1" ht="25.5">
      <c r="A81" s="987">
        <f t="shared" si="2"/>
        <v>7</v>
      </c>
      <c r="B81" s="988">
        <v>77</v>
      </c>
      <c r="C81" s="899" t="s">
        <v>9407</v>
      </c>
      <c r="D81" s="988" t="s">
        <v>2666</v>
      </c>
      <c r="E81" s="989">
        <v>1.46</v>
      </c>
      <c r="F81" s="990"/>
      <c r="G81" s="990"/>
      <c r="H81" s="990"/>
      <c r="I81" s="990"/>
      <c r="J81" s="990"/>
      <c r="K81" s="990"/>
      <c r="L81" s="990"/>
      <c r="M81" s="990"/>
      <c r="N81" s="990"/>
      <c r="O81" s="990"/>
      <c r="P81" s="990"/>
      <c r="Q81" s="990"/>
      <c r="R81" s="990"/>
      <c r="S81" s="990"/>
      <c r="T81" s="990"/>
      <c r="U81" s="990"/>
      <c r="V81" s="990"/>
      <c r="W81" s="990"/>
      <c r="X81" s="990"/>
    </row>
    <row r="82" spans="1:24" s="896" customFormat="1">
      <c r="A82" s="987">
        <f t="shared" si="2"/>
        <v>8</v>
      </c>
      <c r="B82" s="988">
        <v>76</v>
      </c>
      <c r="C82" s="899" t="s">
        <v>9408</v>
      </c>
      <c r="D82" s="988" t="s">
        <v>2666</v>
      </c>
      <c r="E82" s="989">
        <v>1.49</v>
      </c>
      <c r="F82" s="990"/>
      <c r="G82" s="990"/>
      <c r="H82" s="990"/>
      <c r="I82" s="990"/>
      <c r="J82" s="990"/>
      <c r="K82" s="990"/>
      <c r="L82" s="990"/>
      <c r="M82" s="990"/>
      <c r="N82" s="990"/>
      <c r="O82" s="990"/>
      <c r="P82" s="990"/>
      <c r="Q82" s="990"/>
      <c r="R82" s="990"/>
      <c r="S82" s="990"/>
      <c r="T82" s="990"/>
      <c r="U82" s="990"/>
      <c r="V82" s="990"/>
      <c r="W82" s="990"/>
      <c r="X82" s="990"/>
    </row>
    <row r="83" spans="1:24" s="896" customFormat="1">
      <c r="A83" s="987">
        <f t="shared" si="2"/>
        <v>9</v>
      </c>
      <c r="B83" s="988">
        <v>67</v>
      </c>
      <c r="C83" s="899" t="s">
        <v>9409</v>
      </c>
      <c r="D83" s="988" t="s">
        <v>2666</v>
      </c>
      <c r="E83" s="989">
        <v>14.38</v>
      </c>
      <c r="F83" s="990"/>
      <c r="G83" s="990"/>
      <c r="H83" s="990"/>
      <c r="I83" s="990"/>
      <c r="J83" s="990"/>
      <c r="K83" s="990"/>
      <c r="L83" s="990"/>
      <c r="M83" s="990"/>
      <c r="N83" s="990"/>
      <c r="O83" s="990"/>
      <c r="P83" s="990"/>
      <c r="Q83" s="990"/>
      <c r="R83" s="990"/>
      <c r="S83" s="990"/>
      <c r="T83" s="990"/>
      <c r="U83" s="990"/>
      <c r="V83" s="990"/>
      <c r="W83" s="990"/>
      <c r="X83" s="990"/>
    </row>
    <row r="84" spans="1:24" s="896" customFormat="1">
      <c r="A84" s="987">
        <f t="shared" si="2"/>
        <v>10</v>
      </c>
      <c r="B84" s="988">
        <v>71</v>
      </c>
      <c r="C84" s="899" t="s">
        <v>9410</v>
      </c>
      <c r="D84" s="988" t="s">
        <v>2666</v>
      </c>
      <c r="E84" s="989">
        <v>26.43</v>
      </c>
      <c r="F84" s="990"/>
      <c r="G84" s="990"/>
      <c r="H84" s="990"/>
      <c r="I84" s="990"/>
      <c r="J84" s="990"/>
      <c r="K84" s="990"/>
      <c r="L84" s="990"/>
      <c r="M84" s="990"/>
      <c r="N84" s="990"/>
      <c r="O84" s="990"/>
      <c r="P84" s="990"/>
      <c r="Q84" s="990"/>
      <c r="R84" s="990"/>
      <c r="S84" s="990"/>
      <c r="T84" s="990"/>
      <c r="U84" s="990"/>
      <c r="V84" s="990"/>
      <c r="W84" s="990"/>
      <c r="X84" s="990"/>
    </row>
    <row r="85" spans="1:24" s="896" customFormat="1">
      <c r="A85" s="987">
        <f t="shared" si="2"/>
        <v>11</v>
      </c>
      <c r="B85" s="988">
        <v>73</v>
      </c>
      <c r="C85" s="899" t="s">
        <v>9411</v>
      </c>
      <c r="D85" s="988" t="s">
        <v>2666</v>
      </c>
      <c r="E85" s="989">
        <v>19.73</v>
      </c>
      <c r="F85" s="990"/>
      <c r="G85" s="990"/>
      <c r="H85" s="990"/>
      <c r="I85" s="990"/>
      <c r="J85" s="990"/>
      <c r="K85" s="990"/>
      <c r="L85" s="990"/>
      <c r="M85" s="990"/>
      <c r="N85" s="990"/>
      <c r="O85" s="990"/>
      <c r="P85" s="990"/>
      <c r="Q85" s="990"/>
      <c r="R85" s="990"/>
      <c r="S85" s="990"/>
      <c r="T85" s="990"/>
      <c r="U85" s="990"/>
      <c r="V85" s="990"/>
      <c r="W85" s="990"/>
      <c r="X85" s="990"/>
    </row>
    <row r="86" spans="1:24" s="896" customFormat="1">
      <c r="A86" s="987">
        <f t="shared" si="2"/>
        <v>12</v>
      </c>
      <c r="B86" s="988">
        <v>103</v>
      </c>
      <c r="C86" s="899" t="s">
        <v>9412</v>
      </c>
      <c r="D86" s="988" t="s">
        <v>2666</v>
      </c>
      <c r="E86" s="989">
        <v>58.69</v>
      </c>
      <c r="F86" s="990"/>
      <c r="G86" s="990"/>
      <c r="H86" s="990"/>
      <c r="I86" s="990"/>
      <c r="J86" s="990"/>
      <c r="K86" s="990"/>
      <c r="L86" s="990"/>
      <c r="M86" s="990"/>
      <c r="N86" s="990"/>
      <c r="O86" s="990"/>
      <c r="P86" s="990"/>
      <c r="Q86" s="990"/>
      <c r="R86" s="990"/>
      <c r="S86" s="990"/>
      <c r="T86" s="990"/>
      <c r="U86" s="990"/>
      <c r="V86" s="990"/>
      <c r="W86" s="990"/>
      <c r="X86" s="990"/>
    </row>
    <row r="87" spans="1:24" s="896" customFormat="1">
      <c r="A87" s="987">
        <f t="shared" si="2"/>
        <v>13</v>
      </c>
      <c r="B87" s="988">
        <v>107</v>
      </c>
      <c r="C87" s="899" t="s">
        <v>9413</v>
      </c>
      <c r="D87" s="988" t="s">
        <v>2666</v>
      </c>
      <c r="E87" s="989">
        <v>0.92</v>
      </c>
      <c r="F87" s="990"/>
      <c r="G87" s="990"/>
      <c r="H87" s="990"/>
      <c r="I87" s="990"/>
      <c r="J87" s="990"/>
      <c r="K87" s="990"/>
      <c r="L87" s="990"/>
      <c r="M87" s="990"/>
      <c r="N87" s="990"/>
      <c r="O87" s="990"/>
      <c r="P87" s="990"/>
      <c r="Q87" s="990"/>
      <c r="R87" s="990"/>
      <c r="S87" s="990"/>
      <c r="T87" s="990"/>
      <c r="U87" s="990"/>
      <c r="V87" s="990"/>
      <c r="W87" s="990"/>
      <c r="X87" s="990"/>
    </row>
    <row r="88" spans="1:24" s="896" customFormat="1">
      <c r="A88" s="987">
        <f t="shared" si="2"/>
        <v>14</v>
      </c>
      <c r="B88" s="988">
        <v>65</v>
      </c>
      <c r="C88" s="899" t="s">
        <v>9414</v>
      </c>
      <c r="D88" s="988" t="s">
        <v>2666</v>
      </c>
      <c r="E88" s="989">
        <v>1.1299999999999999</v>
      </c>
      <c r="F88" s="990"/>
      <c r="G88" s="990"/>
      <c r="H88" s="990"/>
      <c r="I88" s="990"/>
      <c r="J88" s="990"/>
      <c r="K88" s="990"/>
      <c r="L88" s="990"/>
      <c r="M88" s="990"/>
      <c r="N88" s="990"/>
      <c r="O88" s="990"/>
      <c r="P88" s="990"/>
      <c r="Q88" s="990"/>
      <c r="R88" s="990"/>
      <c r="S88" s="990"/>
      <c r="T88" s="990"/>
      <c r="U88" s="990"/>
      <c r="V88" s="990"/>
      <c r="W88" s="990"/>
      <c r="X88" s="990"/>
    </row>
    <row r="89" spans="1:24" s="896" customFormat="1">
      <c r="A89" s="987">
        <f t="shared" si="2"/>
        <v>15</v>
      </c>
      <c r="B89" s="988">
        <v>108</v>
      </c>
      <c r="C89" s="899" t="s">
        <v>9415</v>
      </c>
      <c r="D89" s="988" t="s">
        <v>2666</v>
      </c>
      <c r="E89" s="989">
        <v>2.34</v>
      </c>
      <c r="F89" s="990"/>
      <c r="G89" s="990"/>
      <c r="H89" s="990"/>
      <c r="I89" s="990"/>
      <c r="J89" s="990"/>
      <c r="K89" s="990"/>
      <c r="L89" s="990"/>
      <c r="M89" s="990"/>
      <c r="N89" s="990"/>
      <c r="O89" s="990"/>
      <c r="P89" s="990"/>
      <c r="Q89" s="990"/>
      <c r="R89" s="990"/>
      <c r="S89" s="990"/>
      <c r="T89" s="990"/>
      <c r="U89" s="990"/>
      <c r="V89" s="990"/>
      <c r="W89" s="990"/>
      <c r="X89" s="990"/>
    </row>
    <row r="90" spans="1:24" s="896" customFormat="1">
      <c r="A90" s="987">
        <f t="shared" si="2"/>
        <v>16</v>
      </c>
      <c r="B90" s="988">
        <v>110</v>
      </c>
      <c r="C90" s="899" t="s">
        <v>9416</v>
      </c>
      <c r="D90" s="988" t="s">
        <v>2666</v>
      </c>
      <c r="E90" s="989">
        <v>9.06</v>
      </c>
      <c r="F90" s="990"/>
      <c r="G90" s="990"/>
      <c r="H90" s="990"/>
      <c r="I90" s="990"/>
      <c r="J90" s="990"/>
      <c r="K90" s="990"/>
      <c r="L90" s="990"/>
      <c r="M90" s="990"/>
      <c r="N90" s="990"/>
      <c r="O90" s="990"/>
      <c r="P90" s="990"/>
      <c r="Q90" s="990"/>
      <c r="R90" s="990"/>
      <c r="S90" s="990"/>
      <c r="T90" s="990"/>
      <c r="U90" s="990"/>
      <c r="V90" s="990"/>
      <c r="W90" s="990"/>
      <c r="X90" s="990"/>
    </row>
    <row r="91" spans="1:24" s="896" customFormat="1">
      <c r="A91" s="987">
        <f t="shared" si="2"/>
        <v>17</v>
      </c>
      <c r="B91" s="988">
        <v>109</v>
      </c>
      <c r="C91" s="899" t="s">
        <v>9417</v>
      </c>
      <c r="D91" s="988" t="s">
        <v>2666</v>
      </c>
      <c r="E91" s="989">
        <v>4.47</v>
      </c>
      <c r="F91" s="990"/>
      <c r="G91" s="990"/>
      <c r="H91" s="990"/>
      <c r="I91" s="990"/>
      <c r="J91" s="990"/>
      <c r="K91" s="990"/>
      <c r="L91" s="990"/>
      <c r="M91" s="990"/>
      <c r="N91" s="990"/>
      <c r="O91" s="990"/>
      <c r="P91" s="990"/>
      <c r="Q91" s="990"/>
      <c r="R91" s="990"/>
      <c r="S91" s="990"/>
      <c r="T91" s="990"/>
      <c r="U91" s="990"/>
      <c r="V91" s="990"/>
      <c r="W91" s="990"/>
      <c r="X91" s="990"/>
    </row>
    <row r="92" spans="1:24" s="896" customFormat="1">
      <c r="A92" s="987">
        <f t="shared" si="2"/>
        <v>18</v>
      </c>
      <c r="B92" s="988">
        <v>111</v>
      </c>
      <c r="C92" s="899" t="s">
        <v>9418</v>
      </c>
      <c r="D92" s="988" t="s">
        <v>2666</v>
      </c>
      <c r="E92" s="989">
        <v>10.45</v>
      </c>
      <c r="F92" s="990"/>
      <c r="G92" s="990"/>
      <c r="H92" s="990"/>
      <c r="I92" s="990"/>
      <c r="J92" s="990"/>
      <c r="K92" s="990"/>
      <c r="L92" s="990"/>
      <c r="M92" s="990"/>
      <c r="N92" s="990"/>
      <c r="O92" s="990"/>
      <c r="P92" s="990"/>
      <c r="Q92" s="990"/>
      <c r="R92" s="990"/>
      <c r="S92" s="990"/>
      <c r="T92" s="990"/>
      <c r="U92" s="990"/>
      <c r="V92" s="990"/>
      <c r="W92" s="990"/>
      <c r="X92" s="990"/>
    </row>
    <row r="93" spans="1:24" s="896" customFormat="1">
      <c r="A93" s="987">
        <f t="shared" si="2"/>
        <v>19</v>
      </c>
      <c r="B93" s="988">
        <v>112</v>
      </c>
      <c r="C93" s="899" t="s">
        <v>9419</v>
      </c>
      <c r="D93" s="988" t="s">
        <v>2666</v>
      </c>
      <c r="E93" s="989">
        <v>5.68</v>
      </c>
      <c r="F93" s="990"/>
      <c r="G93" s="990"/>
      <c r="H93" s="990"/>
      <c r="I93" s="990"/>
      <c r="J93" s="990"/>
      <c r="K93" s="990"/>
      <c r="L93" s="990"/>
      <c r="M93" s="990"/>
      <c r="N93" s="990"/>
      <c r="O93" s="990"/>
      <c r="P93" s="990"/>
      <c r="Q93" s="990"/>
      <c r="R93" s="990"/>
      <c r="S93" s="990"/>
      <c r="T93" s="990"/>
      <c r="U93" s="990"/>
      <c r="V93" s="990"/>
      <c r="W93" s="990"/>
      <c r="X93" s="990"/>
    </row>
    <row r="94" spans="1:24" s="896" customFormat="1">
      <c r="A94" s="987">
        <f t="shared" si="2"/>
        <v>20</v>
      </c>
      <c r="B94" s="988">
        <v>113</v>
      </c>
      <c r="C94" s="899" t="s">
        <v>9420</v>
      </c>
      <c r="D94" s="988" t="s">
        <v>2666</v>
      </c>
      <c r="E94" s="989">
        <v>15.44</v>
      </c>
      <c r="F94" s="990"/>
      <c r="G94" s="990"/>
      <c r="H94" s="990"/>
      <c r="I94" s="990"/>
      <c r="J94" s="990"/>
      <c r="K94" s="990"/>
      <c r="L94" s="990"/>
      <c r="M94" s="990"/>
      <c r="N94" s="990"/>
      <c r="O94" s="990"/>
      <c r="P94" s="990"/>
      <c r="Q94" s="990"/>
      <c r="R94" s="990"/>
      <c r="S94" s="990"/>
      <c r="T94" s="990"/>
      <c r="U94" s="990"/>
      <c r="V94" s="990"/>
      <c r="W94" s="990"/>
      <c r="X94" s="990"/>
    </row>
    <row r="95" spans="1:24" s="896" customFormat="1">
      <c r="A95" s="987">
        <f t="shared" si="2"/>
        <v>21</v>
      </c>
      <c r="B95" s="988">
        <v>104</v>
      </c>
      <c r="C95" s="899" t="s">
        <v>9421</v>
      </c>
      <c r="D95" s="988" t="s">
        <v>2666</v>
      </c>
      <c r="E95" s="989">
        <v>22.45</v>
      </c>
      <c r="F95" s="990"/>
      <c r="G95" s="990"/>
      <c r="H95" s="990"/>
      <c r="I95" s="990"/>
      <c r="J95" s="990"/>
      <c r="K95" s="990"/>
      <c r="L95" s="990"/>
      <c r="M95" s="990"/>
      <c r="N95" s="990"/>
      <c r="O95" s="990"/>
      <c r="P95" s="990"/>
      <c r="Q95" s="990"/>
      <c r="R95" s="990"/>
      <c r="S95" s="990"/>
      <c r="T95" s="990"/>
      <c r="U95" s="990"/>
      <c r="V95" s="990"/>
      <c r="W95" s="990"/>
      <c r="X95" s="990"/>
    </row>
    <row r="96" spans="1:24" s="896" customFormat="1">
      <c r="A96" s="987">
        <f t="shared" si="2"/>
        <v>22</v>
      </c>
      <c r="B96" s="988">
        <v>102</v>
      </c>
      <c r="C96" s="899" t="s">
        <v>9422</v>
      </c>
      <c r="D96" s="988" t="s">
        <v>2666</v>
      </c>
      <c r="E96" s="989">
        <v>36.86</v>
      </c>
      <c r="F96" s="990"/>
      <c r="G96" s="990"/>
      <c r="H96" s="990"/>
      <c r="I96" s="990"/>
      <c r="J96" s="990"/>
      <c r="K96" s="990"/>
      <c r="L96" s="990"/>
      <c r="M96" s="990"/>
      <c r="N96" s="990"/>
      <c r="O96" s="990"/>
      <c r="P96" s="990"/>
      <c r="Q96" s="990"/>
      <c r="R96" s="990"/>
      <c r="S96" s="990"/>
      <c r="T96" s="990"/>
      <c r="U96" s="990"/>
      <c r="V96" s="990"/>
      <c r="W96" s="990"/>
      <c r="X96" s="990"/>
    </row>
    <row r="97" spans="1:24" s="896" customFormat="1" ht="25.5">
      <c r="A97" s="987">
        <f t="shared" si="2"/>
        <v>23</v>
      </c>
      <c r="B97" s="988">
        <v>95</v>
      </c>
      <c r="C97" s="899" t="s">
        <v>9423</v>
      </c>
      <c r="D97" s="988" t="s">
        <v>2666</v>
      </c>
      <c r="E97" s="989">
        <v>12.48</v>
      </c>
      <c r="F97" s="990"/>
      <c r="G97" s="990"/>
      <c r="H97" s="990"/>
      <c r="I97" s="990"/>
      <c r="J97" s="990"/>
      <c r="K97" s="990"/>
      <c r="L97" s="990"/>
      <c r="M97" s="990"/>
      <c r="N97" s="990"/>
      <c r="O97" s="990"/>
      <c r="P97" s="990"/>
      <c r="Q97" s="990"/>
      <c r="R97" s="990"/>
      <c r="S97" s="990"/>
      <c r="T97" s="990"/>
      <c r="U97" s="990"/>
      <c r="V97" s="990"/>
      <c r="W97" s="990"/>
      <c r="X97" s="990"/>
    </row>
    <row r="98" spans="1:24" s="896" customFormat="1" ht="25.5">
      <c r="A98" s="987">
        <f t="shared" si="2"/>
        <v>24</v>
      </c>
      <c r="B98" s="988">
        <v>96</v>
      </c>
      <c r="C98" s="899" t="s">
        <v>9424</v>
      </c>
      <c r="D98" s="988" t="s">
        <v>2666</v>
      </c>
      <c r="E98" s="989">
        <v>14.35</v>
      </c>
      <c r="F98" s="990"/>
      <c r="G98" s="990"/>
      <c r="H98" s="990"/>
      <c r="I98" s="990"/>
      <c r="J98" s="990"/>
      <c r="K98" s="990"/>
      <c r="L98" s="990"/>
      <c r="M98" s="990"/>
      <c r="N98" s="990"/>
      <c r="O98" s="990"/>
      <c r="P98" s="990"/>
      <c r="Q98" s="990"/>
      <c r="R98" s="990"/>
      <c r="S98" s="990"/>
      <c r="T98" s="990"/>
      <c r="U98" s="990"/>
      <c r="V98" s="990"/>
      <c r="W98" s="990"/>
      <c r="X98" s="990"/>
    </row>
    <row r="99" spans="1:24" s="896" customFormat="1" ht="25.5">
      <c r="A99" s="987">
        <f t="shared" si="2"/>
        <v>25</v>
      </c>
      <c r="B99" s="988">
        <v>97</v>
      </c>
      <c r="C99" s="899" t="s">
        <v>9425</v>
      </c>
      <c r="D99" s="988" t="s">
        <v>2666</v>
      </c>
      <c r="E99" s="989">
        <v>18.63</v>
      </c>
      <c r="F99" s="990"/>
      <c r="G99" s="990"/>
      <c r="H99" s="990"/>
      <c r="I99" s="990"/>
      <c r="J99" s="990"/>
      <c r="K99" s="990"/>
      <c r="L99" s="990"/>
      <c r="M99" s="990"/>
      <c r="N99" s="990"/>
      <c r="O99" s="990"/>
      <c r="P99" s="990"/>
      <c r="Q99" s="990"/>
      <c r="R99" s="990"/>
      <c r="S99" s="990"/>
      <c r="T99" s="990"/>
      <c r="U99" s="990"/>
      <c r="V99" s="990"/>
      <c r="W99" s="990"/>
      <c r="X99" s="990"/>
    </row>
    <row r="100" spans="1:24" s="896" customFormat="1" ht="25.5">
      <c r="A100" s="987">
        <f t="shared" si="2"/>
        <v>26</v>
      </c>
      <c r="B100" s="988">
        <v>98</v>
      </c>
      <c r="C100" s="899" t="s">
        <v>9426</v>
      </c>
      <c r="D100" s="988" t="s">
        <v>2666</v>
      </c>
      <c r="E100" s="989">
        <v>25.11</v>
      </c>
      <c r="F100" s="990"/>
      <c r="G100" s="990"/>
      <c r="H100" s="990"/>
      <c r="I100" s="990"/>
      <c r="J100" s="990"/>
      <c r="K100" s="990"/>
      <c r="L100" s="990"/>
      <c r="M100" s="990"/>
      <c r="N100" s="990"/>
      <c r="O100" s="990"/>
      <c r="P100" s="990"/>
      <c r="Q100" s="990"/>
      <c r="R100" s="990"/>
      <c r="S100" s="990"/>
      <c r="T100" s="990"/>
      <c r="U100" s="990"/>
      <c r="V100" s="990"/>
      <c r="W100" s="990"/>
      <c r="X100" s="990"/>
    </row>
    <row r="101" spans="1:24" s="896" customFormat="1" ht="25.5">
      <c r="A101" s="987">
        <f t="shared" si="2"/>
        <v>27</v>
      </c>
      <c r="B101" s="988">
        <v>99</v>
      </c>
      <c r="C101" s="899" t="s">
        <v>9427</v>
      </c>
      <c r="D101" s="988" t="s">
        <v>2666</v>
      </c>
      <c r="E101" s="989">
        <v>30.46</v>
      </c>
      <c r="F101" s="990"/>
      <c r="G101" s="990"/>
      <c r="H101" s="990"/>
      <c r="I101" s="990"/>
      <c r="J101" s="990"/>
      <c r="K101" s="990"/>
      <c r="L101" s="990"/>
      <c r="M101" s="990"/>
      <c r="N101" s="990"/>
      <c r="O101" s="990"/>
      <c r="P101" s="990"/>
      <c r="Q101" s="990"/>
      <c r="R101" s="990"/>
      <c r="S101" s="990"/>
      <c r="T101" s="990"/>
      <c r="U101" s="990"/>
      <c r="V101" s="990"/>
      <c r="W101" s="990"/>
      <c r="X101" s="990"/>
    </row>
    <row r="102" spans="1:24" s="896" customFormat="1" ht="25.5">
      <c r="A102" s="987">
        <f t="shared" si="2"/>
        <v>28</v>
      </c>
      <c r="B102" s="988">
        <v>100</v>
      </c>
      <c r="C102" s="899" t="s">
        <v>9428</v>
      </c>
      <c r="D102" s="988" t="s">
        <v>2666</v>
      </c>
      <c r="E102" s="989">
        <v>42.49</v>
      </c>
      <c r="F102" s="990"/>
      <c r="G102" s="990"/>
      <c r="H102" s="990"/>
      <c r="I102" s="990"/>
      <c r="J102" s="990"/>
      <c r="K102" s="990"/>
      <c r="L102" s="990"/>
      <c r="M102" s="990"/>
      <c r="N102" s="990"/>
      <c r="O102" s="990"/>
      <c r="P102" s="990"/>
      <c r="Q102" s="990"/>
      <c r="R102" s="990"/>
      <c r="S102" s="990"/>
      <c r="T102" s="990"/>
      <c r="U102" s="990"/>
      <c r="V102" s="990"/>
      <c r="W102" s="990"/>
      <c r="X102" s="990"/>
    </row>
    <row r="103" spans="1:24" s="896" customFormat="1">
      <c r="A103" s="987">
        <f t="shared" si="2"/>
        <v>29</v>
      </c>
      <c r="B103" s="988">
        <v>75</v>
      </c>
      <c r="C103" s="899" t="s">
        <v>9429</v>
      </c>
      <c r="D103" s="988" t="s">
        <v>2666</v>
      </c>
      <c r="E103" s="989">
        <v>442.85</v>
      </c>
      <c r="F103" s="990"/>
      <c r="G103" s="990"/>
      <c r="H103" s="990"/>
      <c r="I103" s="990"/>
      <c r="J103" s="990"/>
      <c r="K103" s="990"/>
      <c r="L103" s="990"/>
      <c r="M103" s="990"/>
      <c r="N103" s="990"/>
      <c r="O103" s="990"/>
      <c r="P103" s="990"/>
      <c r="Q103" s="990"/>
      <c r="R103" s="990"/>
      <c r="S103" s="990"/>
      <c r="T103" s="990"/>
      <c r="U103" s="990"/>
      <c r="V103" s="990"/>
      <c r="W103" s="990"/>
      <c r="X103" s="990"/>
    </row>
    <row r="104" spans="1:24" s="896" customFormat="1">
      <c r="A104" s="987">
        <f t="shared" si="2"/>
        <v>30</v>
      </c>
      <c r="B104" s="988">
        <v>114</v>
      </c>
      <c r="C104" s="899" t="s">
        <v>9430</v>
      </c>
      <c r="D104" s="988" t="s">
        <v>2666</v>
      </c>
      <c r="E104" s="989">
        <v>16.14</v>
      </c>
      <c r="F104" s="990"/>
      <c r="G104" s="990"/>
      <c r="H104" s="990"/>
      <c r="I104" s="990"/>
      <c r="J104" s="990"/>
      <c r="K104" s="990"/>
      <c r="L104" s="990"/>
      <c r="M104" s="990"/>
      <c r="N104" s="990"/>
      <c r="O104" s="990"/>
      <c r="P104" s="990"/>
      <c r="Q104" s="990"/>
      <c r="R104" s="990"/>
      <c r="S104" s="990"/>
      <c r="T104" s="990"/>
      <c r="U104" s="990"/>
      <c r="V104" s="990"/>
      <c r="W104" s="990"/>
      <c r="X104" s="990"/>
    </row>
    <row r="105" spans="1:24" s="896" customFormat="1">
      <c r="A105" s="987">
        <f t="shared" si="2"/>
        <v>31</v>
      </c>
      <c r="B105" s="988">
        <v>68</v>
      </c>
      <c r="C105" s="899" t="s">
        <v>9431</v>
      </c>
      <c r="D105" s="988" t="s">
        <v>2666</v>
      </c>
      <c r="E105" s="989">
        <v>24.68</v>
      </c>
      <c r="F105" s="990"/>
      <c r="G105" s="990"/>
      <c r="H105" s="990"/>
      <c r="I105" s="990"/>
      <c r="J105" s="990"/>
      <c r="K105" s="990"/>
      <c r="L105" s="990"/>
      <c r="M105" s="990"/>
      <c r="N105" s="990"/>
      <c r="O105" s="990"/>
      <c r="P105" s="990"/>
      <c r="Q105" s="990"/>
      <c r="R105" s="990"/>
      <c r="S105" s="990"/>
      <c r="T105" s="990"/>
      <c r="U105" s="990"/>
      <c r="V105" s="990"/>
      <c r="W105" s="990"/>
      <c r="X105" s="990"/>
    </row>
    <row r="106" spans="1:24" s="896" customFormat="1">
      <c r="A106" s="987">
        <f t="shared" si="2"/>
        <v>32</v>
      </c>
      <c r="B106" s="988">
        <v>86</v>
      </c>
      <c r="C106" s="899" t="s">
        <v>9432</v>
      </c>
      <c r="D106" s="988" t="s">
        <v>2666</v>
      </c>
      <c r="E106" s="989">
        <v>45.87</v>
      </c>
      <c r="F106" s="990"/>
      <c r="G106" s="990"/>
      <c r="H106" s="990"/>
      <c r="I106" s="990"/>
      <c r="J106" s="990"/>
      <c r="K106" s="990"/>
      <c r="L106" s="990"/>
      <c r="M106" s="990"/>
      <c r="N106" s="990"/>
      <c r="O106" s="990"/>
      <c r="P106" s="990"/>
      <c r="Q106" s="990"/>
      <c r="R106" s="990"/>
      <c r="S106" s="990"/>
      <c r="T106" s="990"/>
      <c r="U106" s="990"/>
      <c r="V106" s="990"/>
      <c r="W106" s="990"/>
      <c r="X106" s="990"/>
    </row>
    <row r="107" spans="1:24" s="896" customFormat="1">
      <c r="A107" s="987">
        <f t="shared" si="2"/>
        <v>33</v>
      </c>
      <c r="B107" s="988">
        <v>66</v>
      </c>
      <c r="C107" s="899" t="s">
        <v>9433</v>
      </c>
      <c r="D107" s="988" t="s">
        <v>2666</v>
      </c>
      <c r="E107" s="989">
        <v>46.04</v>
      </c>
      <c r="F107" s="990"/>
      <c r="G107" s="990"/>
      <c r="H107" s="990"/>
      <c r="I107" s="990"/>
      <c r="J107" s="990"/>
      <c r="K107" s="990"/>
      <c r="L107" s="990"/>
      <c r="M107" s="990"/>
      <c r="N107" s="990"/>
      <c r="O107" s="990"/>
      <c r="P107" s="990"/>
      <c r="Q107" s="990"/>
      <c r="R107" s="990"/>
      <c r="S107" s="990"/>
      <c r="T107" s="990"/>
      <c r="U107" s="990"/>
      <c r="V107" s="990"/>
      <c r="W107" s="990"/>
      <c r="X107" s="990"/>
    </row>
    <row r="108" spans="1:24" s="896" customFormat="1">
      <c r="A108" s="987">
        <f t="shared" si="2"/>
        <v>34</v>
      </c>
      <c r="B108" s="988">
        <v>69</v>
      </c>
      <c r="C108" s="899" t="s">
        <v>9434</v>
      </c>
      <c r="D108" s="988" t="s">
        <v>2666</v>
      </c>
      <c r="E108" s="989">
        <v>70.37</v>
      </c>
      <c r="F108" s="990"/>
      <c r="G108" s="990"/>
      <c r="H108" s="990"/>
      <c r="I108" s="990"/>
      <c r="J108" s="990"/>
      <c r="K108" s="990"/>
      <c r="L108" s="990"/>
      <c r="M108" s="990"/>
      <c r="N108" s="990"/>
      <c r="O108" s="990"/>
      <c r="P108" s="990"/>
      <c r="Q108" s="990"/>
      <c r="R108" s="990"/>
      <c r="S108" s="990"/>
      <c r="T108" s="990"/>
      <c r="U108" s="990"/>
      <c r="V108" s="990"/>
      <c r="W108" s="990"/>
      <c r="X108" s="990"/>
    </row>
    <row r="109" spans="1:24" s="896" customFormat="1">
      <c r="A109" s="987">
        <f t="shared" si="2"/>
        <v>35</v>
      </c>
      <c r="B109" s="988">
        <v>83</v>
      </c>
      <c r="C109" s="899" t="s">
        <v>9435</v>
      </c>
      <c r="D109" s="988" t="s">
        <v>2666</v>
      </c>
      <c r="E109" s="989">
        <v>224.75</v>
      </c>
      <c r="F109" s="990"/>
      <c r="G109" s="990"/>
      <c r="H109" s="990"/>
      <c r="I109" s="990"/>
      <c r="J109" s="990"/>
      <c r="K109" s="990"/>
      <c r="L109" s="990"/>
      <c r="M109" s="990"/>
      <c r="N109" s="990"/>
      <c r="O109" s="990"/>
      <c r="P109" s="990"/>
      <c r="Q109" s="990"/>
      <c r="R109" s="990"/>
      <c r="S109" s="990"/>
      <c r="T109" s="990"/>
      <c r="U109" s="990"/>
      <c r="V109" s="990"/>
      <c r="W109" s="990"/>
      <c r="X109" s="990"/>
    </row>
    <row r="110" spans="1:24" s="896" customFormat="1">
      <c r="A110" s="987">
        <f t="shared" si="2"/>
        <v>36</v>
      </c>
      <c r="B110" s="988">
        <v>74</v>
      </c>
      <c r="C110" s="899" t="s">
        <v>9436</v>
      </c>
      <c r="D110" s="988" t="s">
        <v>2666</v>
      </c>
      <c r="E110" s="989">
        <v>313.76</v>
      </c>
      <c r="F110" s="990"/>
      <c r="G110" s="990"/>
      <c r="H110" s="990"/>
      <c r="I110" s="990"/>
      <c r="J110" s="990"/>
      <c r="K110" s="990"/>
      <c r="L110" s="990"/>
      <c r="M110" s="990"/>
      <c r="N110" s="990"/>
      <c r="O110" s="990"/>
      <c r="P110" s="990"/>
      <c r="Q110" s="990"/>
      <c r="R110" s="990"/>
      <c r="S110" s="990"/>
      <c r="T110" s="990"/>
      <c r="U110" s="990"/>
      <c r="V110" s="990"/>
      <c r="W110" s="990"/>
      <c r="X110" s="990"/>
    </row>
    <row r="111" spans="1:24" s="896" customFormat="1" ht="25.5">
      <c r="A111" s="987">
        <f t="shared" si="2"/>
        <v>37</v>
      </c>
      <c r="B111" s="988">
        <v>106</v>
      </c>
      <c r="C111" s="899" t="s">
        <v>9437</v>
      </c>
      <c r="D111" s="988" t="s">
        <v>2666</v>
      </c>
      <c r="E111" s="989">
        <v>476.66</v>
      </c>
      <c r="F111" s="990"/>
      <c r="G111" s="990"/>
      <c r="H111" s="990"/>
      <c r="I111" s="990"/>
      <c r="J111" s="990"/>
      <c r="K111" s="990"/>
      <c r="L111" s="990"/>
      <c r="M111" s="990"/>
      <c r="N111" s="990"/>
      <c r="O111" s="990"/>
      <c r="P111" s="990"/>
      <c r="Q111" s="990"/>
      <c r="R111" s="990"/>
      <c r="S111" s="990"/>
      <c r="T111" s="990"/>
      <c r="U111" s="990"/>
      <c r="V111" s="990"/>
      <c r="W111" s="990"/>
      <c r="X111" s="990"/>
    </row>
    <row r="112" spans="1:24" s="896" customFormat="1" ht="25.5">
      <c r="A112" s="987">
        <f t="shared" si="2"/>
        <v>38</v>
      </c>
      <c r="B112" s="988">
        <v>87</v>
      </c>
      <c r="C112" s="899" t="s">
        <v>9438</v>
      </c>
      <c r="D112" s="988" t="s">
        <v>2666</v>
      </c>
      <c r="E112" s="989">
        <v>22.66</v>
      </c>
      <c r="F112" s="990"/>
      <c r="G112" s="990"/>
      <c r="H112" s="990"/>
      <c r="I112" s="990"/>
      <c r="J112" s="990"/>
      <c r="K112" s="990"/>
      <c r="L112" s="990"/>
      <c r="M112" s="990"/>
      <c r="N112" s="990"/>
      <c r="O112" s="990"/>
      <c r="P112" s="990"/>
      <c r="Q112" s="990"/>
      <c r="R112" s="990"/>
      <c r="S112" s="990"/>
      <c r="T112" s="990"/>
      <c r="U112" s="990"/>
      <c r="V112" s="990"/>
      <c r="W112" s="990"/>
      <c r="X112" s="990"/>
    </row>
    <row r="113" spans="1:24" s="896" customFormat="1">
      <c r="A113" s="987">
        <f t="shared" si="2"/>
        <v>39</v>
      </c>
      <c r="B113" s="988">
        <v>88</v>
      </c>
      <c r="C113" s="899" t="s">
        <v>9439</v>
      </c>
      <c r="D113" s="988" t="s">
        <v>2666</v>
      </c>
      <c r="E113" s="989">
        <v>25.28</v>
      </c>
      <c r="F113" s="990"/>
      <c r="G113" s="990"/>
      <c r="H113" s="990"/>
      <c r="I113" s="990"/>
      <c r="J113" s="990"/>
      <c r="K113" s="990"/>
      <c r="L113" s="990"/>
      <c r="M113" s="990"/>
      <c r="N113" s="990"/>
      <c r="O113" s="990"/>
      <c r="P113" s="990"/>
      <c r="Q113" s="990"/>
      <c r="R113" s="990"/>
      <c r="S113" s="990"/>
      <c r="T113" s="990"/>
      <c r="U113" s="990"/>
      <c r="V113" s="990"/>
      <c r="W113" s="990"/>
      <c r="X113" s="990"/>
    </row>
    <row r="114" spans="1:24" s="896" customFormat="1" ht="25.5">
      <c r="A114" s="987">
        <f t="shared" si="2"/>
        <v>40</v>
      </c>
      <c r="B114" s="988">
        <v>89</v>
      </c>
      <c r="C114" s="899" t="s">
        <v>9440</v>
      </c>
      <c r="D114" s="988" t="s">
        <v>2666</v>
      </c>
      <c r="E114" s="989">
        <v>37.39</v>
      </c>
      <c r="F114" s="990"/>
      <c r="G114" s="990"/>
      <c r="H114" s="990"/>
      <c r="I114" s="990"/>
      <c r="J114" s="990"/>
      <c r="K114" s="990"/>
      <c r="L114" s="990"/>
      <c r="M114" s="990"/>
      <c r="N114" s="990"/>
      <c r="O114" s="990"/>
      <c r="P114" s="990"/>
      <c r="Q114" s="990"/>
      <c r="R114" s="990"/>
      <c r="S114" s="990"/>
      <c r="T114" s="990"/>
      <c r="U114" s="990"/>
      <c r="V114" s="990"/>
      <c r="W114" s="990"/>
      <c r="X114" s="990"/>
    </row>
    <row r="115" spans="1:24" s="896" customFormat="1" ht="25.5">
      <c r="A115" s="987">
        <f t="shared" si="2"/>
        <v>41</v>
      </c>
      <c r="B115" s="988">
        <v>90</v>
      </c>
      <c r="C115" s="899" t="s">
        <v>9441</v>
      </c>
      <c r="D115" s="988" t="s">
        <v>2666</v>
      </c>
      <c r="E115" s="989">
        <v>42.83</v>
      </c>
      <c r="F115" s="990"/>
      <c r="G115" s="990"/>
      <c r="H115" s="990"/>
      <c r="I115" s="990"/>
      <c r="J115" s="990"/>
      <c r="K115" s="990"/>
      <c r="L115" s="990"/>
      <c r="M115" s="990"/>
      <c r="N115" s="990"/>
      <c r="O115" s="990"/>
      <c r="P115" s="990"/>
      <c r="Q115" s="990"/>
      <c r="R115" s="990"/>
      <c r="S115" s="990"/>
      <c r="T115" s="990"/>
      <c r="U115" s="990"/>
      <c r="V115" s="990"/>
      <c r="W115" s="990"/>
      <c r="X115" s="990"/>
    </row>
    <row r="116" spans="1:24" s="896" customFormat="1">
      <c r="A116" s="987">
        <f t="shared" si="2"/>
        <v>42</v>
      </c>
      <c r="B116" s="988">
        <v>81</v>
      </c>
      <c r="C116" s="899" t="s">
        <v>9442</v>
      </c>
      <c r="D116" s="988" t="s">
        <v>2666</v>
      </c>
      <c r="E116" s="989">
        <v>73.260000000000005</v>
      </c>
      <c r="F116" s="990"/>
      <c r="G116" s="990"/>
      <c r="H116" s="990"/>
      <c r="I116" s="990"/>
      <c r="J116" s="990"/>
      <c r="K116" s="990"/>
      <c r="L116" s="990"/>
      <c r="M116" s="990"/>
      <c r="N116" s="990"/>
      <c r="O116" s="990"/>
      <c r="P116" s="990"/>
      <c r="Q116" s="990"/>
      <c r="R116" s="990"/>
      <c r="S116" s="990"/>
      <c r="T116" s="990"/>
      <c r="U116" s="990"/>
      <c r="V116" s="990"/>
      <c r="W116" s="990"/>
      <c r="X116" s="990"/>
    </row>
    <row r="117" spans="1:24" s="896" customFormat="1" ht="25.5">
      <c r="A117" s="987">
        <f t="shared" si="2"/>
        <v>43</v>
      </c>
      <c r="B117" s="988">
        <v>82</v>
      </c>
      <c r="C117" s="899" t="s">
        <v>9443</v>
      </c>
      <c r="D117" s="988" t="s">
        <v>2666</v>
      </c>
      <c r="E117" s="989">
        <v>284.41000000000003</v>
      </c>
      <c r="F117" s="990"/>
      <c r="G117" s="990"/>
      <c r="H117" s="990"/>
      <c r="I117" s="990"/>
      <c r="J117" s="990"/>
      <c r="K117" s="990"/>
      <c r="L117" s="990"/>
      <c r="M117" s="990"/>
      <c r="N117" s="990"/>
      <c r="O117" s="990"/>
      <c r="P117" s="990"/>
      <c r="Q117" s="990"/>
      <c r="R117" s="990"/>
      <c r="S117" s="990"/>
      <c r="T117" s="990"/>
      <c r="U117" s="990"/>
      <c r="V117" s="990"/>
      <c r="W117" s="990"/>
      <c r="X117" s="990"/>
    </row>
    <row r="118" spans="1:24" s="896" customFormat="1">
      <c r="A118" s="987">
        <f t="shared" si="2"/>
        <v>44</v>
      </c>
      <c r="B118" s="988">
        <v>105</v>
      </c>
      <c r="C118" s="899" t="s">
        <v>9444</v>
      </c>
      <c r="D118" s="988" t="s">
        <v>2666</v>
      </c>
      <c r="E118" s="989">
        <v>332.97</v>
      </c>
      <c r="F118" s="990"/>
      <c r="G118" s="990"/>
      <c r="H118" s="990"/>
      <c r="I118" s="990"/>
      <c r="J118" s="990"/>
      <c r="K118" s="990"/>
      <c r="L118" s="990"/>
      <c r="M118" s="990"/>
      <c r="N118" s="990"/>
      <c r="O118" s="990"/>
      <c r="P118" s="990"/>
      <c r="Q118" s="990"/>
      <c r="R118" s="990"/>
      <c r="S118" s="990"/>
      <c r="T118" s="990"/>
      <c r="U118" s="990"/>
      <c r="V118" s="990"/>
      <c r="W118" s="990"/>
      <c r="X118" s="990"/>
    </row>
    <row r="119" spans="1:24" s="896" customFormat="1" ht="25.5">
      <c r="A119" s="987">
        <f t="shared" si="2"/>
        <v>45</v>
      </c>
      <c r="B119" s="988">
        <v>60</v>
      </c>
      <c r="C119" s="899" t="s">
        <v>9445</v>
      </c>
      <c r="D119" s="988" t="s">
        <v>2666</v>
      </c>
      <c r="E119" s="989">
        <v>6.49</v>
      </c>
      <c r="F119" s="990"/>
      <c r="G119" s="990"/>
      <c r="H119" s="990"/>
      <c r="I119" s="990"/>
      <c r="J119" s="990"/>
      <c r="K119" s="990"/>
      <c r="L119" s="990"/>
      <c r="M119" s="990"/>
      <c r="N119" s="990"/>
      <c r="O119" s="990"/>
      <c r="P119" s="990"/>
      <c r="Q119" s="990"/>
      <c r="R119" s="990"/>
      <c r="S119" s="990"/>
      <c r="T119" s="990"/>
      <c r="U119" s="990"/>
      <c r="V119" s="990"/>
      <c r="W119" s="990"/>
      <c r="X119" s="990"/>
    </row>
    <row r="120" spans="1:24" s="896" customFormat="1" ht="25.5">
      <c r="A120" s="987">
        <f t="shared" si="2"/>
        <v>46</v>
      </c>
      <c r="B120" s="988">
        <v>72</v>
      </c>
      <c r="C120" s="899" t="s">
        <v>9446</v>
      </c>
      <c r="D120" s="988" t="s">
        <v>2666</v>
      </c>
      <c r="E120" s="989">
        <v>44.79</v>
      </c>
      <c r="F120" s="990"/>
      <c r="G120" s="990"/>
      <c r="H120" s="990"/>
      <c r="I120" s="990"/>
      <c r="J120" s="990"/>
      <c r="K120" s="990"/>
      <c r="L120" s="990"/>
      <c r="M120" s="990"/>
      <c r="N120" s="990"/>
      <c r="O120" s="990"/>
      <c r="P120" s="990"/>
      <c r="Q120" s="990"/>
      <c r="R120" s="990"/>
      <c r="S120" s="990"/>
      <c r="T120" s="990"/>
      <c r="U120" s="990"/>
      <c r="V120" s="990"/>
      <c r="W120" s="990"/>
      <c r="X120" s="990"/>
    </row>
    <row r="121" spans="1:24" s="896" customFormat="1" ht="25.5">
      <c r="A121" s="987">
        <f t="shared" si="2"/>
        <v>47</v>
      </c>
      <c r="B121" s="988">
        <v>70</v>
      </c>
      <c r="C121" s="899" t="s">
        <v>9447</v>
      </c>
      <c r="D121" s="988" t="s">
        <v>2666</v>
      </c>
      <c r="E121" s="989">
        <v>37.450000000000003</v>
      </c>
      <c r="F121" s="990"/>
      <c r="G121" s="990"/>
      <c r="H121" s="990"/>
      <c r="I121" s="990"/>
      <c r="J121" s="990"/>
      <c r="K121" s="990"/>
      <c r="L121" s="990"/>
      <c r="M121" s="990"/>
      <c r="N121" s="990"/>
      <c r="O121" s="990"/>
      <c r="P121" s="990"/>
      <c r="Q121" s="990"/>
      <c r="R121" s="990"/>
      <c r="S121" s="990"/>
      <c r="T121" s="990"/>
      <c r="U121" s="990"/>
      <c r="V121" s="990"/>
      <c r="W121" s="990"/>
      <c r="X121" s="990"/>
    </row>
    <row r="122" spans="1:24" s="896" customFormat="1">
      <c r="A122" s="987">
        <f t="shared" si="2"/>
        <v>48</v>
      </c>
      <c r="B122" s="988">
        <v>85</v>
      </c>
      <c r="C122" s="899" t="s">
        <v>9448</v>
      </c>
      <c r="D122" s="988" t="s">
        <v>2666</v>
      </c>
      <c r="E122" s="989">
        <v>54.36</v>
      </c>
      <c r="F122" s="990"/>
      <c r="G122" s="990"/>
      <c r="H122" s="990"/>
      <c r="I122" s="990"/>
      <c r="J122" s="990"/>
      <c r="K122" s="990"/>
      <c r="L122" s="990"/>
      <c r="M122" s="990"/>
      <c r="N122" s="990"/>
      <c r="O122" s="990"/>
      <c r="P122" s="990"/>
      <c r="Q122" s="990"/>
      <c r="R122" s="990"/>
      <c r="S122" s="990"/>
      <c r="T122" s="990"/>
      <c r="U122" s="990"/>
      <c r="V122" s="990"/>
      <c r="W122" s="990"/>
      <c r="X122" s="990"/>
    </row>
    <row r="123" spans="1:24" s="896" customFormat="1">
      <c r="A123" s="987">
        <f t="shared" si="2"/>
        <v>49</v>
      </c>
      <c r="B123" s="988">
        <v>84</v>
      </c>
      <c r="C123" s="899" t="s">
        <v>9449</v>
      </c>
      <c r="D123" s="988" t="s">
        <v>2666</v>
      </c>
      <c r="E123" s="989">
        <v>0.63</v>
      </c>
      <c r="F123" s="990"/>
      <c r="G123" s="990"/>
      <c r="H123" s="990"/>
      <c r="I123" s="990"/>
      <c r="J123" s="990"/>
      <c r="K123" s="990"/>
      <c r="L123" s="990"/>
      <c r="M123" s="990"/>
      <c r="N123" s="990"/>
      <c r="O123" s="990"/>
      <c r="P123" s="990"/>
      <c r="Q123" s="990"/>
      <c r="R123" s="990"/>
      <c r="S123" s="990"/>
      <c r="T123" s="990"/>
      <c r="U123" s="990"/>
      <c r="V123" s="990"/>
      <c r="W123" s="990"/>
      <c r="X123" s="990"/>
    </row>
    <row r="124" spans="1:24" s="896" customFormat="1">
      <c r="A124" s="987">
        <f t="shared" si="2"/>
        <v>50</v>
      </c>
      <c r="B124" s="988">
        <v>37997</v>
      </c>
      <c r="C124" s="899" t="s">
        <v>9450</v>
      </c>
      <c r="D124" s="988" t="s">
        <v>2666</v>
      </c>
      <c r="E124" s="989">
        <v>9.73</v>
      </c>
      <c r="F124" s="990"/>
      <c r="G124" s="990"/>
      <c r="H124" s="990"/>
      <c r="I124" s="990"/>
      <c r="J124" s="990"/>
      <c r="K124" s="990"/>
      <c r="L124" s="990"/>
      <c r="M124" s="990"/>
      <c r="N124" s="990"/>
      <c r="O124" s="990"/>
      <c r="P124" s="990"/>
      <c r="Q124" s="990"/>
      <c r="R124" s="990"/>
      <c r="S124" s="990"/>
      <c r="T124" s="990"/>
      <c r="U124" s="990"/>
      <c r="V124" s="990"/>
      <c r="W124" s="990"/>
      <c r="X124" s="990"/>
    </row>
    <row r="125" spans="1:24" s="896" customFormat="1">
      <c r="A125" s="987">
        <f t="shared" si="2"/>
        <v>51</v>
      </c>
      <c r="B125" s="988">
        <v>37998</v>
      </c>
      <c r="C125" s="899" t="s">
        <v>9451</v>
      </c>
      <c r="D125" s="988" t="s">
        <v>2666</v>
      </c>
      <c r="E125" s="989">
        <v>10.08</v>
      </c>
      <c r="F125" s="990"/>
      <c r="G125" s="990"/>
      <c r="H125" s="990"/>
      <c r="I125" s="990"/>
      <c r="J125" s="990"/>
      <c r="K125" s="990"/>
      <c r="L125" s="990"/>
      <c r="M125" s="990"/>
      <c r="N125" s="990"/>
      <c r="O125" s="990"/>
      <c r="P125" s="990"/>
      <c r="Q125" s="990"/>
      <c r="R125" s="990"/>
      <c r="S125" s="990"/>
      <c r="T125" s="990"/>
      <c r="U125" s="990"/>
      <c r="V125" s="990"/>
      <c r="W125" s="990"/>
      <c r="X125" s="990"/>
    </row>
    <row r="126" spans="1:24" s="896" customFormat="1" ht="25.5">
      <c r="A126" s="987">
        <f t="shared" si="2"/>
        <v>52</v>
      </c>
      <c r="B126" s="988">
        <v>10899</v>
      </c>
      <c r="C126" s="899" t="s">
        <v>9452</v>
      </c>
      <c r="D126" s="988" t="s">
        <v>2666</v>
      </c>
      <c r="E126" s="989">
        <v>99.88</v>
      </c>
      <c r="F126" s="990"/>
      <c r="G126" s="990"/>
      <c r="H126" s="990"/>
      <c r="I126" s="990"/>
      <c r="J126" s="990"/>
      <c r="K126" s="990"/>
      <c r="L126" s="990"/>
      <c r="M126" s="990"/>
      <c r="N126" s="990"/>
      <c r="O126" s="990"/>
      <c r="P126" s="990"/>
      <c r="Q126" s="990"/>
      <c r="R126" s="990"/>
      <c r="S126" s="990"/>
      <c r="T126" s="990"/>
      <c r="U126" s="990"/>
      <c r="V126" s="990"/>
      <c r="W126" s="990"/>
      <c r="X126" s="990"/>
    </row>
    <row r="127" spans="1:24" s="896" customFormat="1" ht="25.5">
      <c r="A127" s="987">
        <f t="shared" si="2"/>
        <v>53</v>
      </c>
      <c r="B127" s="988">
        <v>10900</v>
      </c>
      <c r="C127" s="899" t="s">
        <v>9453</v>
      </c>
      <c r="D127" s="988" t="s">
        <v>2666</v>
      </c>
      <c r="E127" s="989">
        <v>78.17</v>
      </c>
      <c r="F127" s="990"/>
      <c r="G127" s="990"/>
      <c r="H127" s="990"/>
      <c r="I127" s="990"/>
      <c r="J127" s="990"/>
      <c r="K127" s="990"/>
      <c r="L127" s="990"/>
      <c r="M127" s="990"/>
      <c r="N127" s="990"/>
      <c r="O127" s="990"/>
      <c r="P127" s="990"/>
      <c r="Q127" s="990"/>
      <c r="R127" s="990"/>
      <c r="S127" s="990"/>
      <c r="T127" s="990"/>
      <c r="U127" s="990"/>
      <c r="V127" s="990"/>
      <c r="W127" s="990"/>
      <c r="X127" s="990"/>
    </row>
    <row r="128" spans="1:24" s="896" customFormat="1">
      <c r="A128" s="987">
        <f t="shared" si="2"/>
        <v>54</v>
      </c>
      <c r="B128" s="988">
        <v>46</v>
      </c>
      <c r="C128" s="899" t="s">
        <v>9454</v>
      </c>
      <c r="D128" s="988" t="s">
        <v>2666</v>
      </c>
      <c r="E128" s="989">
        <v>56.75</v>
      </c>
      <c r="F128" s="990"/>
      <c r="G128" s="990"/>
      <c r="H128" s="990"/>
      <c r="I128" s="990"/>
      <c r="J128" s="990"/>
      <c r="K128" s="990"/>
      <c r="L128" s="990"/>
      <c r="M128" s="990"/>
      <c r="N128" s="990"/>
      <c r="O128" s="990"/>
      <c r="P128" s="990"/>
      <c r="Q128" s="990"/>
      <c r="R128" s="990"/>
      <c r="S128" s="990"/>
      <c r="T128" s="990"/>
      <c r="U128" s="990"/>
      <c r="V128" s="990"/>
      <c r="W128" s="990"/>
      <c r="X128" s="990"/>
    </row>
    <row r="129" spans="1:24" s="896" customFormat="1">
      <c r="A129" s="987">
        <f t="shared" si="2"/>
        <v>55</v>
      </c>
      <c r="B129" s="988">
        <v>51</v>
      </c>
      <c r="C129" s="899" t="s">
        <v>9455</v>
      </c>
      <c r="D129" s="988" t="s">
        <v>2666</v>
      </c>
      <c r="E129" s="989">
        <v>156.57</v>
      </c>
      <c r="F129" s="990"/>
      <c r="G129" s="990"/>
      <c r="H129" s="990"/>
      <c r="I129" s="990"/>
      <c r="J129" s="990"/>
      <c r="K129" s="990"/>
      <c r="L129" s="990"/>
      <c r="M129" s="990"/>
      <c r="N129" s="990"/>
      <c r="O129" s="990"/>
      <c r="P129" s="990"/>
      <c r="Q129" s="990"/>
      <c r="R129" s="990"/>
      <c r="S129" s="990"/>
      <c r="T129" s="990"/>
      <c r="U129" s="990"/>
      <c r="V129" s="990"/>
      <c r="W129" s="990"/>
      <c r="X129" s="990"/>
    </row>
    <row r="130" spans="1:24" s="896" customFormat="1">
      <c r="A130" s="987">
        <f t="shared" si="2"/>
        <v>56</v>
      </c>
      <c r="B130" s="988">
        <v>12863</v>
      </c>
      <c r="C130" s="899" t="s">
        <v>9456</v>
      </c>
      <c r="D130" s="988" t="s">
        <v>2666</v>
      </c>
      <c r="E130" s="989">
        <v>36.06</v>
      </c>
      <c r="F130" s="990"/>
      <c r="G130" s="990"/>
      <c r="H130" s="990"/>
      <c r="I130" s="990"/>
      <c r="J130" s="990"/>
      <c r="K130" s="990"/>
      <c r="L130" s="990"/>
      <c r="M130" s="990"/>
      <c r="N130" s="990"/>
      <c r="O130" s="990"/>
      <c r="P130" s="990"/>
      <c r="Q130" s="990"/>
      <c r="R130" s="990"/>
      <c r="S130" s="990"/>
      <c r="T130" s="990"/>
      <c r="U130" s="990"/>
      <c r="V130" s="990"/>
      <c r="W130" s="990"/>
      <c r="X130" s="990"/>
    </row>
    <row r="131" spans="1:24" s="896" customFormat="1">
      <c r="A131" s="987">
        <f t="shared" si="2"/>
        <v>57</v>
      </c>
      <c r="B131" s="988">
        <v>50</v>
      </c>
      <c r="C131" s="899" t="s">
        <v>9457</v>
      </c>
      <c r="D131" s="988" t="s">
        <v>2666</v>
      </c>
      <c r="E131" s="989">
        <v>81.760000000000005</v>
      </c>
      <c r="F131" s="990"/>
      <c r="G131" s="990"/>
      <c r="H131" s="990"/>
      <c r="I131" s="990"/>
      <c r="J131" s="990"/>
      <c r="K131" s="990"/>
      <c r="L131" s="990"/>
      <c r="M131" s="990"/>
      <c r="N131" s="990"/>
      <c r="O131" s="990"/>
      <c r="P131" s="990"/>
      <c r="Q131" s="990"/>
      <c r="R131" s="990"/>
      <c r="S131" s="990"/>
      <c r="T131" s="990"/>
      <c r="U131" s="990"/>
      <c r="V131" s="990"/>
      <c r="W131" s="990"/>
      <c r="X131" s="990"/>
    </row>
    <row r="132" spans="1:24" s="896" customFormat="1">
      <c r="A132" s="987">
        <f t="shared" si="2"/>
        <v>58</v>
      </c>
      <c r="B132" s="988">
        <v>47</v>
      </c>
      <c r="C132" s="899" t="s">
        <v>9458</v>
      </c>
      <c r="D132" s="988" t="s">
        <v>2666</v>
      </c>
      <c r="E132" s="989">
        <v>97.04</v>
      </c>
      <c r="F132" s="990"/>
      <c r="G132" s="990"/>
      <c r="H132" s="990"/>
      <c r="I132" s="990"/>
      <c r="J132" s="990"/>
      <c r="K132" s="990"/>
      <c r="L132" s="990"/>
      <c r="M132" s="990"/>
      <c r="N132" s="990"/>
      <c r="O132" s="990"/>
      <c r="P132" s="990"/>
      <c r="Q132" s="990"/>
      <c r="R132" s="990"/>
      <c r="S132" s="990"/>
      <c r="T132" s="990"/>
      <c r="U132" s="990"/>
      <c r="V132" s="990"/>
      <c r="W132" s="990"/>
      <c r="X132" s="990"/>
    </row>
    <row r="133" spans="1:24" s="896" customFormat="1">
      <c r="A133" s="987">
        <f t="shared" si="2"/>
        <v>59</v>
      </c>
      <c r="B133" s="988">
        <v>48</v>
      </c>
      <c r="C133" s="899" t="s">
        <v>9459</v>
      </c>
      <c r="D133" s="988" t="s">
        <v>2666</v>
      </c>
      <c r="E133" s="989">
        <v>25.31</v>
      </c>
      <c r="F133" s="990"/>
      <c r="G133" s="990"/>
      <c r="H133" s="990"/>
      <c r="I133" s="990"/>
      <c r="J133" s="990"/>
      <c r="K133" s="990"/>
      <c r="L133" s="990"/>
      <c r="M133" s="990"/>
      <c r="N133" s="990"/>
      <c r="O133" s="990"/>
      <c r="P133" s="990"/>
      <c r="Q133" s="990"/>
      <c r="R133" s="990"/>
      <c r="S133" s="990"/>
      <c r="T133" s="990"/>
      <c r="U133" s="990"/>
      <c r="V133" s="990"/>
      <c r="W133" s="990"/>
      <c r="X133" s="990"/>
    </row>
    <row r="134" spans="1:24" s="896" customFormat="1">
      <c r="A134" s="987">
        <f t="shared" si="2"/>
        <v>60</v>
      </c>
      <c r="B134" s="988">
        <v>52</v>
      </c>
      <c r="C134" s="899" t="s">
        <v>9460</v>
      </c>
      <c r="D134" s="988" t="s">
        <v>2666</v>
      </c>
      <c r="E134" s="989">
        <v>19.23</v>
      </c>
      <c r="F134" s="990"/>
      <c r="G134" s="990"/>
      <c r="H134" s="990"/>
      <c r="I134" s="990"/>
      <c r="J134" s="990"/>
      <c r="K134" s="990"/>
      <c r="L134" s="990"/>
      <c r="M134" s="990"/>
      <c r="N134" s="990"/>
      <c r="O134" s="990"/>
      <c r="P134" s="990"/>
      <c r="Q134" s="990"/>
      <c r="R134" s="990"/>
      <c r="S134" s="990"/>
      <c r="T134" s="990"/>
      <c r="U134" s="990"/>
      <c r="V134" s="990"/>
      <c r="W134" s="990"/>
      <c r="X134" s="990"/>
    </row>
    <row r="135" spans="1:24" s="896" customFormat="1">
      <c r="A135" s="987">
        <f t="shared" si="2"/>
        <v>61</v>
      </c>
      <c r="B135" s="988">
        <v>43</v>
      </c>
      <c r="C135" s="899" t="s">
        <v>9461</v>
      </c>
      <c r="D135" s="988" t="s">
        <v>2666</v>
      </c>
      <c r="E135" s="989">
        <v>64.900000000000006</v>
      </c>
      <c r="F135" s="990"/>
      <c r="G135" s="990"/>
      <c r="H135" s="990"/>
      <c r="I135" s="990"/>
      <c r="J135" s="990"/>
      <c r="K135" s="990"/>
      <c r="L135" s="990"/>
      <c r="M135" s="990"/>
      <c r="N135" s="990"/>
      <c r="O135" s="990"/>
      <c r="P135" s="990"/>
      <c r="Q135" s="990"/>
      <c r="R135" s="990"/>
      <c r="S135" s="990"/>
      <c r="T135" s="990"/>
      <c r="U135" s="990"/>
      <c r="V135" s="990"/>
      <c r="W135" s="990"/>
      <c r="X135" s="990"/>
    </row>
    <row r="136" spans="1:24" s="896" customFormat="1" ht="25.5">
      <c r="A136" s="987">
        <f t="shared" si="2"/>
        <v>62</v>
      </c>
      <c r="B136" s="988">
        <v>39719</v>
      </c>
      <c r="C136" s="899" t="s">
        <v>9462</v>
      </c>
      <c r="D136" s="988" t="s">
        <v>2671</v>
      </c>
      <c r="E136" s="989">
        <v>188.75</v>
      </c>
      <c r="F136" s="990"/>
      <c r="G136" s="990"/>
      <c r="H136" s="990"/>
      <c r="I136" s="990"/>
      <c r="J136" s="990"/>
      <c r="K136" s="990"/>
      <c r="L136" s="990"/>
      <c r="M136" s="990"/>
      <c r="N136" s="990"/>
      <c r="O136" s="990"/>
      <c r="P136" s="990"/>
      <c r="Q136" s="990"/>
      <c r="R136" s="990"/>
      <c r="S136" s="990"/>
      <c r="T136" s="990"/>
      <c r="U136" s="990"/>
      <c r="V136" s="990"/>
      <c r="W136" s="990"/>
      <c r="X136" s="990"/>
    </row>
    <row r="137" spans="1:24" s="896" customFormat="1">
      <c r="A137" s="987">
        <f t="shared" si="2"/>
        <v>63</v>
      </c>
      <c r="B137" s="988">
        <v>3410</v>
      </c>
      <c r="C137" s="899" t="s">
        <v>9463</v>
      </c>
      <c r="D137" s="988" t="s">
        <v>2670</v>
      </c>
      <c r="E137" s="989">
        <v>42.46</v>
      </c>
      <c r="F137" s="990"/>
      <c r="G137" s="990"/>
      <c r="H137" s="990"/>
      <c r="I137" s="990"/>
      <c r="J137" s="990"/>
      <c r="K137" s="990"/>
      <c r="L137" s="990"/>
      <c r="M137" s="990"/>
      <c r="N137" s="990"/>
      <c r="O137" s="990"/>
      <c r="P137" s="990"/>
      <c r="Q137" s="990"/>
      <c r="R137" s="990"/>
      <c r="S137" s="990"/>
      <c r="T137" s="990"/>
      <c r="U137" s="990"/>
      <c r="V137" s="990"/>
      <c r="W137" s="990"/>
      <c r="X137" s="990"/>
    </row>
    <row r="138" spans="1:24" s="896" customFormat="1">
      <c r="A138" s="987">
        <f t="shared" si="2"/>
        <v>64</v>
      </c>
      <c r="B138" s="988">
        <v>4791</v>
      </c>
      <c r="C138" s="899" t="s">
        <v>9464</v>
      </c>
      <c r="D138" s="988" t="s">
        <v>2670</v>
      </c>
      <c r="E138" s="989">
        <v>45.49</v>
      </c>
      <c r="F138" s="990"/>
      <c r="G138" s="990"/>
      <c r="H138" s="990"/>
      <c r="I138" s="990"/>
      <c r="J138" s="990"/>
      <c r="K138" s="990"/>
      <c r="L138" s="990"/>
      <c r="M138" s="990"/>
      <c r="N138" s="990"/>
      <c r="O138" s="990"/>
      <c r="P138" s="990"/>
      <c r="Q138" s="990"/>
      <c r="R138" s="990"/>
      <c r="S138" s="990"/>
      <c r="T138" s="990"/>
      <c r="U138" s="990"/>
      <c r="V138" s="990"/>
      <c r="W138" s="990"/>
      <c r="X138" s="990"/>
    </row>
    <row r="139" spans="1:24" s="896" customFormat="1" ht="25.5">
      <c r="A139" s="987">
        <f t="shared" si="2"/>
        <v>65</v>
      </c>
      <c r="B139" s="988">
        <v>157</v>
      </c>
      <c r="C139" s="899" t="s">
        <v>9465</v>
      </c>
      <c r="D139" s="988" t="s">
        <v>2670</v>
      </c>
      <c r="E139" s="989">
        <v>142.16999999999999</v>
      </c>
      <c r="F139" s="990"/>
      <c r="G139" s="990"/>
      <c r="H139" s="990"/>
      <c r="I139" s="990"/>
      <c r="J139" s="990"/>
      <c r="K139" s="990"/>
      <c r="L139" s="990"/>
      <c r="M139" s="990"/>
      <c r="N139" s="990"/>
      <c r="O139" s="990"/>
      <c r="P139" s="990"/>
      <c r="Q139" s="990"/>
      <c r="R139" s="990"/>
      <c r="S139" s="990"/>
      <c r="T139" s="990"/>
      <c r="U139" s="990"/>
      <c r="V139" s="990"/>
      <c r="W139" s="990"/>
      <c r="X139" s="990"/>
    </row>
    <row r="140" spans="1:24" s="896" customFormat="1">
      <c r="A140" s="987">
        <f t="shared" ref="A140:A203" si="3">A139+1</f>
        <v>66</v>
      </c>
      <c r="B140" s="988">
        <v>156</v>
      </c>
      <c r="C140" s="899" t="s">
        <v>9466</v>
      </c>
      <c r="D140" s="988" t="s">
        <v>2670</v>
      </c>
      <c r="E140" s="989">
        <v>50.62</v>
      </c>
      <c r="F140" s="990"/>
      <c r="G140" s="990"/>
      <c r="H140" s="990"/>
      <c r="I140" s="990"/>
      <c r="J140" s="990"/>
      <c r="K140" s="990"/>
      <c r="L140" s="990"/>
      <c r="M140" s="990"/>
      <c r="N140" s="990"/>
      <c r="O140" s="990"/>
      <c r="P140" s="990"/>
      <c r="Q140" s="990"/>
      <c r="R140" s="990"/>
      <c r="S140" s="990"/>
      <c r="T140" s="990"/>
      <c r="U140" s="990"/>
      <c r="V140" s="990"/>
      <c r="W140" s="990"/>
      <c r="X140" s="990"/>
    </row>
    <row r="141" spans="1:24" s="896" customFormat="1">
      <c r="A141" s="987">
        <f t="shared" si="3"/>
        <v>67</v>
      </c>
      <c r="B141" s="988">
        <v>131</v>
      </c>
      <c r="C141" s="899" t="s">
        <v>9467</v>
      </c>
      <c r="D141" s="988" t="s">
        <v>2670</v>
      </c>
      <c r="E141" s="989">
        <v>43.29</v>
      </c>
      <c r="F141" s="990"/>
      <c r="G141" s="990"/>
      <c r="H141" s="990"/>
      <c r="I141" s="990"/>
      <c r="J141" s="990"/>
      <c r="K141" s="990"/>
      <c r="L141" s="990"/>
      <c r="M141" s="990"/>
      <c r="N141" s="990"/>
      <c r="O141" s="990"/>
      <c r="P141" s="990"/>
      <c r="Q141" s="990"/>
      <c r="R141" s="990"/>
      <c r="S141" s="990"/>
      <c r="T141" s="990"/>
      <c r="U141" s="990"/>
      <c r="V141" s="990"/>
      <c r="W141" s="990"/>
      <c r="X141" s="990"/>
    </row>
    <row r="142" spans="1:24" s="896" customFormat="1">
      <c r="A142" s="987">
        <f t="shared" si="3"/>
        <v>68</v>
      </c>
      <c r="B142" s="988">
        <v>21114</v>
      </c>
      <c r="C142" s="899" t="s">
        <v>9468</v>
      </c>
      <c r="D142" s="988" t="s">
        <v>2666</v>
      </c>
      <c r="E142" s="989">
        <v>37.200000000000003</v>
      </c>
      <c r="F142" s="990"/>
      <c r="G142" s="990"/>
      <c r="H142" s="990"/>
      <c r="I142" s="990"/>
      <c r="J142" s="990"/>
      <c r="K142" s="990"/>
      <c r="L142" s="990"/>
      <c r="M142" s="990"/>
      <c r="N142" s="990"/>
      <c r="O142" s="990"/>
      <c r="P142" s="990"/>
      <c r="Q142" s="990"/>
      <c r="R142" s="990"/>
      <c r="S142" s="990"/>
      <c r="T142" s="990"/>
      <c r="U142" s="990"/>
      <c r="V142" s="990"/>
      <c r="W142" s="990"/>
      <c r="X142" s="990"/>
    </row>
    <row r="143" spans="1:24" s="896" customFormat="1">
      <c r="A143" s="987">
        <f t="shared" si="3"/>
        <v>69</v>
      </c>
      <c r="B143" s="988">
        <v>119</v>
      </c>
      <c r="C143" s="899" t="s">
        <v>9469</v>
      </c>
      <c r="D143" s="988" t="s">
        <v>2666</v>
      </c>
      <c r="E143" s="989">
        <v>9.43</v>
      </c>
      <c r="F143" s="990"/>
      <c r="G143" s="990"/>
      <c r="H143" s="990"/>
      <c r="I143" s="990"/>
      <c r="J143" s="990"/>
      <c r="K143" s="990"/>
      <c r="L143" s="990"/>
      <c r="M143" s="990"/>
      <c r="N143" s="990"/>
      <c r="O143" s="990"/>
      <c r="P143" s="990"/>
      <c r="Q143" s="990"/>
      <c r="R143" s="990"/>
      <c r="S143" s="990"/>
      <c r="T143" s="990"/>
      <c r="U143" s="990"/>
      <c r="V143" s="990"/>
      <c r="W143" s="990"/>
      <c r="X143" s="990"/>
    </row>
    <row r="144" spans="1:24" s="896" customFormat="1">
      <c r="A144" s="987">
        <f t="shared" si="3"/>
        <v>70</v>
      </c>
      <c r="B144" s="988">
        <v>122</v>
      </c>
      <c r="C144" s="899" t="s">
        <v>9470</v>
      </c>
      <c r="D144" s="988" t="s">
        <v>2666</v>
      </c>
      <c r="E144" s="989">
        <v>72.55</v>
      </c>
      <c r="F144" s="990"/>
      <c r="G144" s="990"/>
      <c r="H144" s="990"/>
      <c r="I144" s="990"/>
      <c r="J144" s="990"/>
      <c r="K144" s="990"/>
      <c r="L144" s="990"/>
      <c r="M144" s="990"/>
      <c r="N144" s="990"/>
      <c r="O144" s="990"/>
      <c r="P144" s="990"/>
      <c r="Q144" s="990"/>
      <c r="R144" s="990"/>
      <c r="S144" s="990"/>
      <c r="T144" s="990"/>
      <c r="U144" s="990"/>
      <c r="V144" s="990"/>
      <c r="W144" s="990"/>
      <c r="X144" s="990"/>
    </row>
    <row r="145" spans="1:24" s="896" customFormat="1">
      <c r="A145" s="987">
        <f t="shared" si="3"/>
        <v>71</v>
      </c>
      <c r="B145" s="988">
        <v>20080</v>
      </c>
      <c r="C145" s="899" t="s">
        <v>9471</v>
      </c>
      <c r="D145" s="988" t="s">
        <v>2666</v>
      </c>
      <c r="E145" s="989">
        <v>23.68</v>
      </c>
      <c r="F145" s="990"/>
      <c r="G145" s="990"/>
      <c r="H145" s="990"/>
      <c r="I145" s="990"/>
      <c r="J145" s="990"/>
      <c r="K145" s="990"/>
      <c r="L145" s="990"/>
      <c r="M145" s="990"/>
      <c r="N145" s="990"/>
      <c r="O145" s="990"/>
      <c r="P145" s="990"/>
      <c r="Q145" s="990"/>
      <c r="R145" s="990"/>
      <c r="S145" s="990"/>
      <c r="T145" s="990"/>
      <c r="U145" s="990"/>
      <c r="V145" s="990"/>
      <c r="W145" s="990"/>
      <c r="X145" s="990"/>
    </row>
    <row r="146" spans="1:24" s="896" customFormat="1" ht="25.5">
      <c r="A146" s="987">
        <f t="shared" si="3"/>
        <v>72</v>
      </c>
      <c r="B146" s="988">
        <v>124</v>
      </c>
      <c r="C146" s="899" t="s">
        <v>9472</v>
      </c>
      <c r="D146" s="988" t="s">
        <v>2671</v>
      </c>
      <c r="E146" s="989">
        <v>16.690000000000001</v>
      </c>
      <c r="F146" s="990"/>
      <c r="G146" s="990"/>
      <c r="H146" s="990"/>
      <c r="I146" s="990"/>
      <c r="J146" s="990"/>
      <c r="K146" s="990"/>
      <c r="L146" s="990"/>
      <c r="M146" s="990"/>
      <c r="N146" s="990"/>
      <c r="O146" s="990"/>
      <c r="P146" s="990"/>
      <c r="Q146" s="990"/>
      <c r="R146" s="990"/>
      <c r="S146" s="990"/>
      <c r="T146" s="990"/>
      <c r="U146" s="990"/>
      <c r="V146" s="990"/>
      <c r="W146" s="990"/>
      <c r="X146" s="990"/>
    </row>
    <row r="147" spans="1:24" s="896" customFormat="1">
      <c r="A147" s="987">
        <f t="shared" si="3"/>
        <v>73</v>
      </c>
      <c r="B147" s="988">
        <v>7334</v>
      </c>
      <c r="C147" s="899" t="s">
        <v>9473</v>
      </c>
      <c r="D147" s="988" t="s">
        <v>2671</v>
      </c>
      <c r="E147" s="989">
        <v>15.17</v>
      </c>
      <c r="F147" s="990"/>
      <c r="G147" s="990"/>
      <c r="H147" s="990"/>
      <c r="I147" s="990"/>
      <c r="J147" s="990"/>
      <c r="K147" s="990"/>
      <c r="L147" s="990"/>
      <c r="M147" s="990"/>
      <c r="N147" s="990"/>
      <c r="O147" s="990"/>
      <c r="P147" s="990"/>
      <c r="Q147" s="990"/>
      <c r="R147" s="990"/>
      <c r="S147" s="990"/>
      <c r="T147" s="990"/>
      <c r="U147" s="990"/>
      <c r="V147" s="990"/>
      <c r="W147" s="990"/>
      <c r="X147" s="990"/>
    </row>
    <row r="148" spans="1:24" s="896" customFormat="1" ht="25.5">
      <c r="A148" s="987">
        <f t="shared" si="3"/>
        <v>74</v>
      </c>
      <c r="B148" s="988">
        <v>123</v>
      </c>
      <c r="C148" s="899" t="s">
        <v>9474</v>
      </c>
      <c r="D148" s="988" t="s">
        <v>2671</v>
      </c>
      <c r="E148" s="989">
        <v>6.83</v>
      </c>
      <c r="F148" s="990"/>
      <c r="G148" s="990"/>
      <c r="H148" s="990"/>
      <c r="I148" s="990"/>
      <c r="J148" s="990"/>
      <c r="K148" s="990"/>
      <c r="L148" s="990"/>
      <c r="M148" s="990"/>
      <c r="N148" s="990"/>
      <c r="O148" s="990"/>
      <c r="P148" s="990"/>
      <c r="Q148" s="990"/>
      <c r="R148" s="990"/>
      <c r="S148" s="990"/>
      <c r="T148" s="990"/>
      <c r="U148" s="990"/>
      <c r="V148" s="990"/>
      <c r="W148" s="990"/>
      <c r="X148" s="990"/>
    </row>
    <row r="149" spans="1:24" s="896" customFormat="1">
      <c r="A149" s="987">
        <f t="shared" si="3"/>
        <v>75</v>
      </c>
      <c r="B149" s="988">
        <v>127</v>
      </c>
      <c r="C149" s="899" t="s">
        <v>9475</v>
      </c>
      <c r="D149" s="988" t="s">
        <v>2671</v>
      </c>
      <c r="E149" s="989">
        <v>16.3</v>
      </c>
      <c r="F149" s="990"/>
      <c r="G149" s="990"/>
      <c r="H149" s="990"/>
      <c r="I149" s="990"/>
      <c r="J149" s="990"/>
      <c r="K149" s="990"/>
      <c r="L149" s="990"/>
      <c r="M149" s="990"/>
      <c r="N149" s="990"/>
      <c r="O149" s="990"/>
      <c r="P149" s="990"/>
      <c r="Q149" s="990"/>
      <c r="R149" s="990"/>
      <c r="S149" s="990"/>
      <c r="T149" s="990"/>
      <c r="U149" s="990"/>
      <c r="V149" s="990"/>
      <c r="W149" s="990"/>
      <c r="X149" s="990"/>
    </row>
    <row r="150" spans="1:24" s="896" customFormat="1">
      <c r="A150" s="987">
        <f t="shared" si="3"/>
        <v>76</v>
      </c>
      <c r="B150" s="988">
        <v>41373</v>
      </c>
      <c r="C150" s="899" t="s">
        <v>9476</v>
      </c>
      <c r="D150" s="988" t="s">
        <v>2671</v>
      </c>
      <c r="E150" s="989">
        <v>22.72</v>
      </c>
      <c r="F150" s="990"/>
      <c r="G150" s="990"/>
      <c r="H150" s="990"/>
      <c r="I150" s="990"/>
      <c r="J150" s="990"/>
      <c r="K150" s="990"/>
      <c r="L150" s="990"/>
      <c r="M150" s="990"/>
      <c r="N150" s="990"/>
      <c r="O150" s="990"/>
      <c r="P150" s="990"/>
      <c r="Q150" s="990"/>
      <c r="R150" s="990"/>
      <c r="S150" s="990"/>
      <c r="T150" s="990"/>
      <c r="U150" s="990"/>
      <c r="V150" s="990"/>
      <c r="W150" s="990"/>
      <c r="X150" s="990"/>
    </row>
    <row r="151" spans="1:24" s="896" customFormat="1" ht="25.5">
      <c r="A151" s="987">
        <f t="shared" si="3"/>
        <v>77</v>
      </c>
      <c r="B151" s="988">
        <v>133</v>
      </c>
      <c r="C151" s="899" t="s">
        <v>9477</v>
      </c>
      <c r="D151" s="988" t="s">
        <v>2671</v>
      </c>
      <c r="E151" s="989">
        <v>6.77</v>
      </c>
      <c r="F151" s="990"/>
      <c r="G151" s="990"/>
      <c r="H151" s="990"/>
      <c r="I151" s="990"/>
      <c r="J151" s="990"/>
      <c r="K151" s="990"/>
      <c r="L151" s="990"/>
      <c r="M151" s="990"/>
      <c r="N151" s="990"/>
      <c r="O151" s="990"/>
      <c r="P151" s="990"/>
      <c r="Q151" s="990"/>
      <c r="R151" s="990"/>
      <c r="S151" s="990"/>
      <c r="T151" s="990"/>
      <c r="U151" s="990"/>
      <c r="V151" s="990"/>
      <c r="W151" s="990"/>
      <c r="X151" s="990"/>
    </row>
    <row r="152" spans="1:24" s="896" customFormat="1" ht="25.5">
      <c r="A152" s="987">
        <f t="shared" si="3"/>
        <v>78</v>
      </c>
      <c r="B152" s="988">
        <v>43617</v>
      </c>
      <c r="C152" s="899" t="s">
        <v>9478</v>
      </c>
      <c r="D152" s="988" t="s">
        <v>2671</v>
      </c>
      <c r="E152" s="989">
        <v>7.56</v>
      </c>
      <c r="F152" s="990"/>
      <c r="G152" s="990"/>
      <c r="H152" s="990"/>
      <c r="I152" s="990"/>
      <c r="J152" s="990"/>
      <c r="K152" s="990"/>
      <c r="L152" s="990"/>
      <c r="M152" s="990"/>
      <c r="N152" s="990"/>
      <c r="O152" s="990"/>
      <c r="P152" s="990"/>
      <c r="Q152" s="990"/>
      <c r="R152" s="990"/>
      <c r="S152" s="990"/>
      <c r="T152" s="990"/>
      <c r="U152" s="990"/>
      <c r="V152" s="990"/>
      <c r="W152" s="990"/>
      <c r="X152" s="990"/>
    </row>
    <row r="153" spans="1:24" s="896" customFormat="1" ht="25.5">
      <c r="A153" s="987">
        <f t="shared" si="3"/>
        <v>79</v>
      </c>
      <c r="B153" s="988">
        <v>132</v>
      </c>
      <c r="C153" s="899" t="s">
        <v>9479</v>
      </c>
      <c r="D153" s="988" t="s">
        <v>2671</v>
      </c>
      <c r="E153" s="989">
        <v>7.02</v>
      </c>
      <c r="F153" s="990"/>
      <c r="G153" s="990"/>
      <c r="H153" s="990"/>
      <c r="I153" s="990"/>
      <c r="J153" s="990"/>
      <c r="K153" s="990"/>
      <c r="L153" s="990"/>
      <c r="M153" s="990"/>
      <c r="N153" s="990"/>
      <c r="O153" s="990"/>
      <c r="P153" s="990"/>
      <c r="Q153" s="990"/>
      <c r="R153" s="990"/>
      <c r="S153" s="990"/>
      <c r="T153" s="990"/>
      <c r="U153" s="990"/>
      <c r="V153" s="990"/>
      <c r="W153" s="990"/>
      <c r="X153" s="990"/>
    </row>
    <row r="154" spans="1:24" s="896" customFormat="1" ht="25.5">
      <c r="A154" s="987">
        <f t="shared" si="3"/>
        <v>80</v>
      </c>
      <c r="B154" s="988">
        <v>43618</v>
      </c>
      <c r="C154" s="899" t="s">
        <v>9480</v>
      </c>
      <c r="D154" s="988" t="s">
        <v>2670</v>
      </c>
      <c r="E154" s="989">
        <v>17.670000000000002</v>
      </c>
      <c r="F154" s="990"/>
      <c r="G154" s="990"/>
      <c r="H154" s="990"/>
      <c r="I154" s="990"/>
      <c r="J154" s="990"/>
      <c r="K154" s="990"/>
      <c r="L154" s="990"/>
      <c r="M154" s="990"/>
      <c r="N154" s="990"/>
      <c r="O154" s="990"/>
      <c r="P154" s="990"/>
      <c r="Q154" s="990"/>
      <c r="R154" s="990"/>
      <c r="S154" s="990"/>
      <c r="T154" s="990"/>
      <c r="U154" s="990"/>
      <c r="V154" s="990"/>
      <c r="W154" s="990"/>
      <c r="X154" s="990"/>
    </row>
    <row r="155" spans="1:24" s="896" customFormat="1" ht="38.25">
      <c r="A155" s="987">
        <f t="shared" si="3"/>
        <v>81</v>
      </c>
      <c r="B155" s="988">
        <v>37476</v>
      </c>
      <c r="C155" s="899" t="s">
        <v>9481</v>
      </c>
      <c r="D155" s="988" t="s">
        <v>2666</v>
      </c>
      <c r="E155" s="989">
        <v>2462.52</v>
      </c>
      <c r="F155" s="990"/>
      <c r="G155" s="990"/>
      <c r="H155" s="990"/>
      <c r="I155" s="990"/>
      <c r="J155" s="990"/>
      <c r="K155" s="990"/>
      <c r="L155" s="990"/>
      <c r="M155" s="990"/>
      <c r="N155" s="990"/>
      <c r="O155" s="990"/>
      <c r="P155" s="990"/>
      <c r="Q155" s="990"/>
      <c r="R155" s="990"/>
      <c r="S155" s="990"/>
      <c r="T155" s="990"/>
      <c r="U155" s="990"/>
      <c r="V155" s="990"/>
      <c r="W155" s="990"/>
      <c r="X155" s="990"/>
    </row>
    <row r="156" spans="1:24" s="896" customFormat="1" ht="38.25">
      <c r="A156" s="987">
        <f t="shared" si="3"/>
        <v>82</v>
      </c>
      <c r="B156" s="988">
        <v>37478</v>
      </c>
      <c r="C156" s="899" t="s">
        <v>9482</v>
      </c>
      <c r="D156" s="988" t="s">
        <v>2666</v>
      </c>
      <c r="E156" s="989">
        <v>3084.36</v>
      </c>
      <c r="F156" s="990"/>
      <c r="G156" s="990"/>
      <c r="H156" s="990"/>
      <c r="I156" s="990"/>
      <c r="J156" s="990"/>
      <c r="K156" s="990"/>
      <c r="L156" s="990"/>
      <c r="M156" s="990"/>
      <c r="N156" s="990"/>
      <c r="O156" s="990"/>
      <c r="P156" s="990"/>
      <c r="Q156" s="990"/>
      <c r="R156" s="990"/>
      <c r="S156" s="990"/>
      <c r="T156" s="990"/>
      <c r="U156" s="990"/>
      <c r="V156" s="990"/>
      <c r="W156" s="990"/>
      <c r="X156" s="990"/>
    </row>
    <row r="157" spans="1:24" s="896" customFormat="1" ht="38.25">
      <c r="A157" s="987">
        <f t="shared" si="3"/>
        <v>83</v>
      </c>
      <c r="B157" s="988">
        <v>37477</v>
      </c>
      <c r="C157" s="899" t="s">
        <v>9483</v>
      </c>
      <c r="D157" s="988" t="s">
        <v>2666</v>
      </c>
      <c r="E157" s="989">
        <v>4178.82</v>
      </c>
      <c r="F157" s="990"/>
      <c r="G157" s="990"/>
      <c r="H157" s="990"/>
      <c r="I157" s="990"/>
      <c r="J157" s="990"/>
      <c r="K157" s="990"/>
      <c r="L157" s="990"/>
      <c r="M157" s="990"/>
      <c r="N157" s="990"/>
      <c r="O157" s="990"/>
      <c r="P157" s="990"/>
      <c r="Q157" s="990"/>
      <c r="R157" s="990"/>
      <c r="S157" s="990"/>
      <c r="T157" s="990"/>
      <c r="U157" s="990"/>
      <c r="V157" s="990"/>
      <c r="W157" s="990"/>
      <c r="X157" s="990"/>
    </row>
    <row r="158" spans="1:24" s="896" customFormat="1" ht="38.25">
      <c r="A158" s="987">
        <f t="shared" si="3"/>
        <v>84</v>
      </c>
      <c r="B158" s="988">
        <v>37479</v>
      </c>
      <c r="C158" s="899" t="s">
        <v>9484</v>
      </c>
      <c r="D158" s="988" t="s">
        <v>2666</v>
      </c>
      <c r="E158" s="989">
        <v>4956.13</v>
      </c>
      <c r="F158" s="990"/>
      <c r="G158" s="990"/>
      <c r="H158" s="990"/>
      <c r="I158" s="990"/>
      <c r="J158" s="990"/>
      <c r="K158" s="990"/>
      <c r="L158" s="990"/>
      <c r="M158" s="990"/>
      <c r="N158" s="990"/>
      <c r="O158" s="990"/>
      <c r="P158" s="990"/>
      <c r="Q158" s="990"/>
      <c r="R158" s="990"/>
      <c r="S158" s="990"/>
      <c r="T158" s="990"/>
      <c r="U158" s="990"/>
      <c r="V158" s="990"/>
      <c r="W158" s="990"/>
      <c r="X158" s="990"/>
    </row>
    <row r="159" spans="1:24" s="896" customFormat="1">
      <c r="A159" s="987">
        <f t="shared" si="3"/>
        <v>85</v>
      </c>
      <c r="B159" s="988">
        <v>4319</v>
      </c>
      <c r="C159" s="899" t="s">
        <v>9485</v>
      </c>
      <c r="D159" s="988" t="s">
        <v>2666</v>
      </c>
      <c r="E159" s="989">
        <v>1.38</v>
      </c>
      <c r="F159" s="990"/>
      <c r="G159" s="990"/>
      <c r="H159" s="990"/>
      <c r="I159" s="990"/>
      <c r="J159" s="990"/>
      <c r="K159" s="990"/>
      <c r="L159" s="990"/>
      <c r="M159" s="990"/>
      <c r="N159" s="990"/>
      <c r="O159" s="990"/>
      <c r="P159" s="990"/>
      <c r="Q159" s="990"/>
      <c r="R159" s="990"/>
      <c r="S159" s="990"/>
      <c r="T159" s="990"/>
      <c r="U159" s="990"/>
      <c r="V159" s="990"/>
      <c r="W159" s="990"/>
      <c r="X159" s="990"/>
    </row>
    <row r="160" spans="1:24" s="896" customFormat="1">
      <c r="A160" s="987">
        <f t="shared" si="3"/>
        <v>86</v>
      </c>
      <c r="B160" s="988">
        <v>42409</v>
      </c>
      <c r="C160" s="899" t="s">
        <v>9486</v>
      </c>
      <c r="D160" s="988" t="s">
        <v>2670</v>
      </c>
      <c r="E160" s="989">
        <v>11.13</v>
      </c>
      <c r="F160" s="990"/>
      <c r="G160" s="990"/>
      <c r="H160" s="990"/>
      <c r="I160" s="990"/>
      <c r="J160" s="990"/>
      <c r="K160" s="990"/>
      <c r="L160" s="990"/>
      <c r="M160" s="990"/>
      <c r="N160" s="990"/>
      <c r="O160" s="990"/>
      <c r="P160" s="990"/>
      <c r="Q160" s="990"/>
      <c r="R160" s="990"/>
      <c r="S160" s="990"/>
      <c r="T160" s="990"/>
      <c r="U160" s="990"/>
      <c r="V160" s="990"/>
      <c r="W160" s="990"/>
      <c r="X160" s="990"/>
    </row>
    <row r="161" spans="1:24" s="896" customFormat="1">
      <c r="A161" s="987">
        <f t="shared" si="3"/>
        <v>87</v>
      </c>
      <c r="B161" s="988">
        <v>40553</v>
      </c>
      <c r="C161" s="899" t="s">
        <v>9487</v>
      </c>
      <c r="D161" s="988" t="s">
        <v>2668</v>
      </c>
      <c r="E161" s="989">
        <v>25</v>
      </c>
      <c r="F161" s="990"/>
      <c r="G161" s="990"/>
      <c r="H161" s="990"/>
      <c r="I161" s="990"/>
      <c r="J161" s="990"/>
      <c r="K161" s="990"/>
      <c r="L161" s="990"/>
      <c r="M161" s="990"/>
      <c r="N161" s="990"/>
      <c r="O161" s="990"/>
      <c r="P161" s="990"/>
      <c r="Q161" s="990"/>
      <c r="R161" s="990"/>
      <c r="S161" s="990"/>
      <c r="T161" s="990"/>
      <c r="U161" s="990"/>
      <c r="V161" s="990"/>
      <c r="W161" s="990"/>
      <c r="X161" s="990"/>
    </row>
    <row r="162" spans="1:24" s="896" customFormat="1">
      <c r="A162" s="987">
        <f t="shared" si="3"/>
        <v>88</v>
      </c>
      <c r="B162" s="988">
        <v>6114</v>
      </c>
      <c r="C162" s="899" t="s">
        <v>9488</v>
      </c>
      <c r="D162" s="988" t="s">
        <v>2665</v>
      </c>
      <c r="E162" s="989">
        <v>16.88</v>
      </c>
      <c r="F162" s="990"/>
      <c r="G162" s="990"/>
      <c r="H162" s="990"/>
      <c r="I162" s="990"/>
      <c r="J162" s="990"/>
      <c r="K162" s="990"/>
      <c r="L162" s="990"/>
      <c r="M162" s="990"/>
      <c r="N162" s="990"/>
      <c r="O162" s="990"/>
      <c r="P162" s="990"/>
      <c r="Q162" s="990"/>
      <c r="R162" s="990"/>
      <c r="S162" s="990"/>
      <c r="T162" s="990"/>
      <c r="U162" s="990"/>
      <c r="V162" s="990"/>
      <c r="W162" s="990"/>
      <c r="X162" s="990"/>
    </row>
    <row r="163" spans="1:24" s="896" customFormat="1">
      <c r="A163" s="987">
        <f t="shared" si="3"/>
        <v>89</v>
      </c>
      <c r="B163" s="988">
        <v>40912</v>
      </c>
      <c r="C163" s="899" t="s">
        <v>9489</v>
      </c>
      <c r="D163" s="988" t="s">
        <v>2672</v>
      </c>
      <c r="E163" s="989">
        <v>2970.21</v>
      </c>
      <c r="F163" s="990"/>
      <c r="G163" s="990"/>
      <c r="H163" s="990"/>
      <c r="I163" s="990"/>
      <c r="J163" s="990"/>
      <c r="K163" s="990"/>
      <c r="L163" s="990"/>
      <c r="M163" s="990"/>
      <c r="N163" s="990"/>
      <c r="O163" s="990"/>
      <c r="P163" s="990"/>
      <c r="Q163" s="990"/>
      <c r="R163" s="990"/>
      <c r="S163" s="990"/>
      <c r="T163" s="990"/>
      <c r="U163" s="990"/>
      <c r="V163" s="990"/>
      <c r="W163" s="990"/>
      <c r="X163" s="990"/>
    </row>
    <row r="164" spans="1:24" s="896" customFormat="1">
      <c r="A164" s="987">
        <f t="shared" si="3"/>
        <v>90</v>
      </c>
      <c r="B164" s="988">
        <v>247</v>
      </c>
      <c r="C164" s="899" t="s">
        <v>9490</v>
      </c>
      <c r="D164" s="988" t="s">
        <v>2665</v>
      </c>
      <c r="E164" s="989">
        <v>18.32</v>
      </c>
      <c r="F164" s="990"/>
      <c r="G164" s="990"/>
      <c r="H164" s="990"/>
      <c r="I164" s="990"/>
      <c r="J164" s="990"/>
      <c r="K164" s="990"/>
      <c r="L164" s="990"/>
      <c r="M164" s="990"/>
      <c r="N164" s="990"/>
      <c r="O164" s="990"/>
      <c r="P164" s="990"/>
      <c r="Q164" s="990"/>
      <c r="R164" s="990"/>
      <c r="S164" s="990"/>
      <c r="T164" s="990"/>
      <c r="U164" s="990"/>
      <c r="V164" s="990"/>
      <c r="W164" s="990"/>
      <c r="X164" s="990"/>
    </row>
    <row r="165" spans="1:24" s="896" customFormat="1">
      <c r="A165" s="987">
        <f t="shared" si="3"/>
        <v>91</v>
      </c>
      <c r="B165" s="988">
        <v>40919</v>
      </c>
      <c r="C165" s="899" t="s">
        <v>9491</v>
      </c>
      <c r="D165" s="988" t="s">
        <v>2672</v>
      </c>
      <c r="E165" s="989">
        <v>3221.17</v>
      </c>
      <c r="F165" s="990"/>
      <c r="G165" s="990"/>
      <c r="H165" s="990"/>
      <c r="I165" s="990"/>
      <c r="J165" s="990"/>
      <c r="K165" s="990"/>
      <c r="L165" s="990"/>
      <c r="M165" s="990"/>
      <c r="N165" s="990"/>
      <c r="O165" s="990"/>
      <c r="P165" s="990"/>
      <c r="Q165" s="990"/>
      <c r="R165" s="990"/>
      <c r="S165" s="990"/>
      <c r="T165" s="990"/>
      <c r="U165" s="990"/>
      <c r="V165" s="990"/>
      <c r="W165" s="990"/>
      <c r="X165" s="990"/>
    </row>
    <row r="166" spans="1:24" s="896" customFormat="1">
      <c r="A166" s="987">
        <f t="shared" si="3"/>
        <v>92</v>
      </c>
      <c r="B166" s="988">
        <v>40984</v>
      </c>
      <c r="C166" s="899" t="s">
        <v>9492</v>
      </c>
      <c r="D166" s="988" t="s">
        <v>2672</v>
      </c>
      <c r="E166" s="989">
        <v>2792.27</v>
      </c>
      <c r="F166" s="990"/>
      <c r="G166" s="990"/>
      <c r="H166" s="990"/>
      <c r="I166" s="990"/>
      <c r="J166" s="990"/>
      <c r="K166" s="990"/>
      <c r="L166" s="990"/>
      <c r="M166" s="990"/>
      <c r="N166" s="990"/>
      <c r="O166" s="990"/>
      <c r="P166" s="990"/>
      <c r="Q166" s="990"/>
      <c r="R166" s="990"/>
      <c r="S166" s="990"/>
      <c r="T166" s="990"/>
      <c r="U166" s="990"/>
      <c r="V166" s="990"/>
      <c r="W166" s="990"/>
      <c r="X166" s="990"/>
    </row>
    <row r="167" spans="1:24" s="896" customFormat="1">
      <c r="A167" s="987">
        <f t="shared" si="3"/>
        <v>93</v>
      </c>
      <c r="B167" s="988">
        <v>44499</v>
      </c>
      <c r="C167" s="899" t="s">
        <v>9493</v>
      </c>
      <c r="D167" s="988" t="s">
        <v>2665</v>
      </c>
      <c r="E167" s="989">
        <v>15.87</v>
      </c>
      <c r="F167" s="990"/>
      <c r="G167" s="990"/>
      <c r="H167" s="990"/>
      <c r="I167" s="990"/>
      <c r="J167" s="990"/>
      <c r="K167" s="990"/>
      <c r="L167" s="990"/>
      <c r="M167" s="990"/>
      <c r="N167" s="990"/>
      <c r="O167" s="990"/>
      <c r="P167" s="990"/>
      <c r="Q167" s="990"/>
      <c r="R167" s="990"/>
      <c r="S167" s="990"/>
      <c r="T167" s="990"/>
      <c r="U167" s="990"/>
      <c r="V167" s="990"/>
      <c r="W167" s="990"/>
      <c r="X167" s="990"/>
    </row>
    <row r="168" spans="1:24" s="896" customFormat="1">
      <c r="A168" s="987">
        <f t="shared" si="3"/>
        <v>94</v>
      </c>
      <c r="B168" s="988">
        <v>248</v>
      </c>
      <c r="C168" s="899" t="s">
        <v>9494</v>
      </c>
      <c r="D168" s="988" t="s">
        <v>2665</v>
      </c>
      <c r="E168" s="989">
        <v>18.32</v>
      </c>
      <c r="F168" s="990"/>
      <c r="G168" s="990"/>
      <c r="H168" s="990"/>
      <c r="I168" s="990"/>
      <c r="J168" s="990"/>
      <c r="K168" s="990"/>
      <c r="L168" s="990"/>
      <c r="M168" s="990"/>
      <c r="N168" s="990"/>
      <c r="O168" s="990"/>
      <c r="P168" s="990"/>
      <c r="Q168" s="990"/>
      <c r="R168" s="990"/>
      <c r="S168" s="990"/>
      <c r="T168" s="990"/>
      <c r="U168" s="990"/>
      <c r="V168" s="990"/>
      <c r="W168" s="990"/>
      <c r="X168" s="990"/>
    </row>
    <row r="169" spans="1:24" s="896" customFormat="1">
      <c r="A169" s="987">
        <f t="shared" si="3"/>
        <v>95</v>
      </c>
      <c r="B169" s="988">
        <v>41086</v>
      </c>
      <c r="C169" s="899" t="s">
        <v>9495</v>
      </c>
      <c r="D169" s="988" t="s">
        <v>2672</v>
      </c>
      <c r="E169" s="989">
        <v>3221.17</v>
      </c>
      <c r="F169" s="990"/>
      <c r="G169" s="990"/>
      <c r="H169" s="990"/>
      <c r="I169" s="990"/>
      <c r="J169" s="990"/>
      <c r="K169" s="990"/>
      <c r="L169" s="990"/>
      <c r="M169" s="990"/>
      <c r="N169" s="990"/>
      <c r="O169" s="990"/>
      <c r="P169" s="990"/>
      <c r="Q169" s="990"/>
      <c r="R169" s="990"/>
      <c r="S169" s="990"/>
      <c r="T169" s="990"/>
      <c r="U169" s="990"/>
      <c r="V169" s="990"/>
      <c r="W169" s="990"/>
      <c r="X169" s="990"/>
    </row>
    <row r="170" spans="1:24" s="896" customFormat="1">
      <c r="A170" s="987">
        <f t="shared" si="3"/>
        <v>96</v>
      </c>
      <c r="B170" s="988">
        <v>34466</v>
      </c>
      <c r="C170" s="899" t="s">
        <v>9496</v>
      </c>
      <c r="D170" s="988" t="s">
        <v>2665</v>
      </c>
      <c r="E170" s="989">
        <v>18.32</v>
      </c>
      <c r="F170" s="990"/>
      <c r="G170" s="990"/>
      <c r="H170" s="990"/>
      <c r="I170" s="990"/>
      <c r="J170" s="990"/>
      <c r="K170" s="990"/>
      <c r="L170" s="990"/>
      <c r="M170" s="990"/>
      <c r="N170" s="990"/>
      <c r="O170" s="990"/>
      <c r="P170" s="990"/>
      <c r="Q170" s="990"/>
      <c r="R170" s="990"/>
      <c r="S170" s="990"/>
      <c r="T170" s="990"/>
      <c r="U170" s="990"/>
      <c r="V170" s="990"/>
      <c r="W170" s="990"/>
      <c r="X170" s="990"/>
    </row>
    <row r="171" spans="1:24" s="896" customFormat="1">
      <c r="A171" s="987">
        <f t="shared" si="3"/>
        <v>97</v>
      </c>
      <c r="B171" s="988">
        <v>41083</v>
      </c>
      <c r="C171" s="899" t="s">
        <v>9497</v>
      </c>
      <c r="D171" s="988" t="s">
        <v>2672</v>
      </c>
      <c r="E171" s="989">
        <v>3221.17</v>
      </c>
      <c r="F171" s="990"/>
      <c r="G171" s="990"/>
      <c r="H171" s="990"/>
      <c r="I171" s="990"/>
      <c r="J171" s="990"/>
      <c r="K171" s="990"/>
      <c r="L171" s="990"/>
      <c r="M171" s="990"/>
      <c r="N171" s="990"/>
      <c r="O171" s="990"/>
      <c r="P171" s="990"/>
      <c r="Q171" s="990"/>
      <c r="R171" s="990"/>
      <c r="S171" s="990"/>
      <c r="T171" s="990"/>
      <c r="U171" s="990"/>
      <c r="V171" s="990"/>
      <c r="W171" s="990"/>
      <c r="X171" s="990"/>
    </row>
    <row r="172" spans="1:24" s="896" customFormat="1">
      <c r="A172" s="987">
        <f t="shared" si="3"/>
        <v>98</v>
      </c>
      <c r="B172" s="988">
        <v>252</v>
      </c>
      <c r="C172" s="899" t="s">
        <v>9498</v>
      </c>
      <c r="D172" s="988" t="s">
        <v>2665</v>
      </c>
      <c r="E172" s="989">
        <v>18.32</v>
      </c>
      <c r="F172" s="990"/>
      <c r="G172" s="990"/>
      <c r="H172" s="990"/>
      <c r="I172" s="990"/>
      <c r="J172" s="990"/>
      <c r="K172" s="990"/>
      <c r="L172" s="990"/>
      <c r="M172" s="990"/>
      <c r="N172" s="990"/>
      <c r="O172" s="990"/>
      <c r="P172" s="990"/>
      <c r="Q172" s="990"/>
      <c r="R172" s="990"/>
      <c r="S172" s="990"/>
      <c r="T172" s="990"/>
      <c r="U172" s="990"/>
      <c r="V172" s="990"/>
      <c r="W172" s="990"/>
      <c r="X172" s="990"/>
    </row>
    <row r="173" spans="1:24" s="896" customFormat="1">
      <c r="A173" s="987">
        <f t="shared" si="3"/>
        <v>99</v>
      </c>
      <c r="B173" s="988">
        <v>40909</v>
      </c>
      <c r="C173" s="899" t="s">
        <v>9499</v>
      </c>
      <c r="D173" s="988" t="s">
        <v>2672</v>
      </c>
      <c r="E173" s="989">
        <v>3221.17</v>
      </c>
      <c r="F173" s="990"/>
      <c r="G173" s="990"/>
      <c r="H173" s="990"/>
      <c r="I173" s="990"/>
      <c r="J173" s="990"/>
      <c r="K173" s="990"/>
      <c r="L173" s="990"/>
      <c r="M173" s="990"/>
      <c r="N173" s="990"/>
      <c r="O173" s="990"/>
      <c r="P173" s="990"/>
      <c r="Q173" s="990"/>
      <c r="R173" s="990"/>
      <c r="S173" s="990"/>
      <c r="T173" s="990"/>
      <c r="U173" s="990"/>
      <c r="V173" s="990"/>
      <c r="W173" s="990"/>
      <c r="X173" s="990"/>
    </row>
    <row r="174" spans="1:24" s="896" customFormat="1">
      <c r="A174" s="987">
        <f t="shared" si="3"/>
        <v>100</v>
      </c>
      <c r="B174" s="988">
        <v>242</v>
      </c>
      <c r="C174" s="899" t="s">
        <v>9500</v>
      </c>
      <c r="D174" s="988" t="s">
        <v>2665</v>
      </c>
      <c r="E174" s="989">
        <v>18.32</v>
      </c>
      <c r="F174" s="990"/>
      <c r="G174" s="990"/>
      <c r="H174" s="990"/>
      <c r="I174" s="990"/>
      <c r="J174" s="990"/>
      <c r="K174" s="990"/>
      <c r="L174" s="990"/>
      <c r="M174" s="990"/>
      <c r="N174" s="990"/>
      <c r="O174" s="990"/>
      <c r="P174" s="990"/>
      <c r="Q174" s="990"/>
      <c r="R174" s="990"/>
      <c r="S174" s="990"/>
      <c r="T174" s="990"/>
      <c r="U174" s="990"/>
      <c r="V174" s="990"/>
      <c r="W174" s="990"/>
      <c r="X174" s="990"/>
    </row>
    <row r="175" spans="1:24" s="896" customFormat="1">
      <c r="A175" s="987">
        <f t="shared" si="3"/>
        <v>101</v>
      </c>
      <c r="B175" s="988">
        <v>41085</v>
      </c>
      <c r="C175" s="899" t="s">
        <v>9501</v>
      </c>
      <c r="D175" s="988" t="s">
        <v>2672</v>
      </c>
      <c r="E175" s="989">
        <v>3221</v>
      </c>
      <c r="F175" s="990"/>
      <c r="G175" s="990"/>
      <c r="H175" s="990"/>
      <c r="I175" s="990"/>
      <c r="J175" s="990"/>
      <c r="K175" s="990"/>
      <c r="L175" s="990"/>
      <c r="M175" s="990"/>
      <c r="N175" s="990"/>
      <c r="O175" s="990"/>
      <c r="P175" s="990"/>
      <c r="Q175" s="990"/>
      <c r="R175" s="990"/>
      <c r="S175" s="990"/>
      <c r="T175" s="990"/>
      <c r="U175" s="990"/>
      <c r="V175" s="990"/>
      <c r="W175" s="990"/>
      <c r="X175" s="990"/>
    </row>
    <row r="176" spans="1:24" s="896" customFormat="1" ht="25.5">
      <c r="A176" s="987">
        <f t="shared" si="3"/>
        <v>102</v>
      </c>
      <c r="B176" s="988">
        <v>427</v>
      </c>
      <c r="C176" s="899" t="s">
        <v>9502</v>
      </c>
      <c r="D176" s="988" t="s">
        <v>2666</v>
      </c>
      <c r="E176" s="989">
        <v>4.6900000000000004</v>
      </c>
      <c r="F176" s="990"/>
      <c r="G176" s="990"/>
      <c r="H176" s="990"/>
      <c r="I176" s="990"/>
      <c r="J176" s="990"/>
      <c r="K176" s="990"/>
      <c r="L176" s="990"/>
      <c r="M176" s="990"/>
      <c r="N176" s="990"/>
      <c r="O176" s="990"/>
      <c r="P176" s="990"/>
      <c r="Q176" s="990"/>
      <c r="R176" s="990"/>
      <c r="S176" s="990"/>
      <c r="T176" s="990"/>
      <c r="U176" s="990"/>
      <c r="V176" s="990"/>
      <c r="W176" s="990"/>
      <c r="X176" s="990"/>
    </row>
    <row r="177" spans="1:24" s="896" customFormat="1" ht="25.5">
      <c r="A177" s="987">
        <f t="shared" si="3"/>
        <v>103</v>
      </c>
      <c r="B177" s="988">
        <v>417</v>
      </c>
      <c r="C177" s="899" t="s">
        <v>9503</v>
      </c>
      <c r="D177" s="988" t="s">
        <v>2666</v>
      </c>
      <c r="E177" s="989">
        <v>2.21</v>
      </c>
      <c r="F177" s="990"/>
      <c r="G177" s="990"/>
      <c r="H177" s="990"/>
      <c r="I177" s="990"/>
      <c r="J177" s="990"/>
      <c r="K177" s="990"/>
      <c r="L177" s="990"/>
      <c r="M177" s="990"/>
      <c r="N177" s="990"/>
      <c r="O177" s="990"/>
      <c r="P177" s="990"/>
      <c r="Q177" s="990"/>
      <c r="R177" s="990"/>
      <c r="S177" s="990"/>
      <c r="T177" s="990"/>
      <c r="U177" s="990"/>
      <c r="V177" s="990"/>
      <c r="W177" s="990"/>
      <c r="X177" s="990"/>
    </row>
    <row r="178" spans="1:24" s="896" customFormat="1" ht="25.5">
      <c r="A178" s="987">
        <f t="shared" si="3"/>
        <v>104</v>
      </c>
      <c r="B178" s="988">
        <v>11273</v>
      </c>
      <c r="C178" s="899" t="s">
        <v>9504</v>
      </c>
      <c r="D178" s="988" t="s">
        <v>2666</v>
      </c>
      <c r="E178" s="989">
        <v>6.86</v>
      </c>
      <c r="F178" s="990"/>
      <c r="G178" s="990"/>
      <c r="H178" s="990"/>
      <c r="I178" s="990"/>
      <c r="J178" s="990"/>
      <c r="K178" s="990"/>
      <c r="L178" s="990"/>
      <c r="M178" s="990"/>
      <c r="N178" s="990"/>
      <c r="O178" s="990"/>
      <c r="P178" s="990"/>
      <c r="Q178" s="990"/>
      <c r="R178" s="990"/>
      <c r="S178" s="990"/>
      <c r="T178" s="990"/>
      <c r="U178" s="990"/>
      <c r="V178" s="990"/>
      <c r="W178" s="990"/>
      <c r="X178" s="990"/>
    </row>
    <row r="179" spans="1:24" s="896" customFormat="1" ht="25.5">
      <c r="A179" s="987">
        <f t="shared" si="3"/>
        <v>105</v>
      </c>
      <c r="B179" s="988">
        <v>11272</v>
      </c>
      <c r="C179" s="899" t="s">
        <v>9505</v>
      </c>
      <c r="D179" s="988" t="s">
        <v>2666</v>
      </c>
      <c r="E179" s="989">
        <v>4.1399999999999997</v>
      </c>
      <c r="F179" s="990"/>
      <c r="G179" s="990"/>
      <c r="H179" s="990"/>
      <c r="I179" s="990"/>
      <c r="J179" s="990"/>
      <c r="K179" s="990"/>
      <c r="L179" s="990"/>
      <c r="M179" s="990"/>
      <c r="N179" s="990"/>
      <c r="O179" s="990"/>
      <c r="P179" s="990"/>
      <c r="Q179" s="990"/>
      <c r="R179" s="990"/>
      <c r="S179" s="990"/>
      <c r="T179" s="990"/>
      <c r="U179" s="990"/>
      <c r="V179" s="990"/>
      <c r="W179" s="990"/>
      <c r="X179" s="990"/>
    </row>
    <row r="180" spans="1:24" s="896" customFormat="1" ht="25.5">
      <c r="A180" s="987">
        <f t="shared" si="3"/>
        <v>106</v>
      </c>
      <c r="B180" s="988">
        <v>11275</v>
      </c>
      <c r="C180" s="899" t="s">
        <v>9506</v>
      </c>
      <c r="D180" s="988" t="s">
        <v>2666</v>
      </c>
      <c r="E180" s="989">
        <v>1.66</v>
      </c>
      <c r="F180" s="990"/>
      <c r="G180" s="990"/>
      <c r="H180" s="990"/>
      <c r="I180" s="990"/>
      <c r="J180" s="990"/>
      <c r="K180" s="990"/>
      <c r="L180" s="990"/>
      <c r="M180" s="990"/>
      <c r="N180" s="990"/>
      <c r="O180" s="990"/>
      <c r="P180" s="990"/>
      <c r="Q180" s="990"/>
      <c r="R180" s="990"/>
      <c r="S180" s="990"/>
      <c r="T180" s="990"/>
      <c r="U180" s="990"/>
      <c r="V180" s="990"/>
      <c r="W180" s="990"/>
      <c r="X180" s="990"/>
    </row>
    <row r="181" spans="1:24" s="896" customFormat="1" ht="25.5">
      <c r="A181" s="987">
        <f t="shared" si="3"/>
        <v>107</v>
      </c>
      <c r="B181" s="988">
        <v>11274</v>
      </c>
      <c r="C181" s="899" t="s">
        <v>9507</v>
      </c>
      <c r="D181" s="988" t="s">
        <v>2666</v>
      </c>
      <c r="E181" s="989">
        <v>1.26</v>
      </c>
      <c r="F181" s="990"/>
      <c r="G181" s="990"/>
      <c r="H181" s="990"/>
      <c r="I181" s="990"/>
      <c r="J181" s="990"/>
      <c r="K181" s="990"/>
      <c r="L181" s="990"/>
      <c r="M181" s="990"/>
      <c r="N181" s="990"/>
      <c r="O181" s="990"/>
      <c r="P181" s="990"/>
      <c r="Q181" s="990"/>
      <c r="R181" s="990"/>
      <c r="S181" s="990"/>
      <c r="T181" s="990"/>
      <c r="U181" s="990"/>
      <c r="V181" s="990"/>
      <c r="W181" s="990"/>
      <c r="X181" s="990"/>
    </row>
    <row r="182" spans="1:24" s="896" customFormat="1">
      <c r="A182" s="987">
        <f t="shared" si="3"/>
        <v>108</v>
      </c>
      <c r="B182" s="988">
        <v>38470</v>
      </c>
      <c r="C182" s="899" t="s">
        <v>9508</v>
      </c>
      <c r="D182" s="988" t="s">
        <v>2666</v>
      </c>
      <c r="E182" s="989">
        <v>48</v>
      </c>
      <c r="F182" s="990"/>
      <c r="G182" s="990"/>
      <c r="H182" s="990"/>
      <c r="I182" s="990"/>
      <c r="J182" s="990"/>
      <c r="K182" s="990"/>
      <c r="L182" s="990"/>
      <c r="M182" s="990"/>
      <c r="N182" s="990"/>
      <c r="O182" s="990"/>
      <c r="P182" s="990"/>
      <c r="Q182" s="990"/>
      <c r="R182" s="990"/>
      <c r="S182" s="990"/>
      <c r="T182" s="990"/>
      <c r="U182" s="990"/>
      <c r="V182" s="990"/>
      <c r="W182" s="990"/>
      <c r="X182" s="990"/>
    </row>
    <row r="183" spans="1:24" s="896" customFormat="1">
      <c r="A183" s="987">
        <f t="shared" si="3"/>
        <v>109</v>
      </c>
      <c r="B183" s="988">
        <v>38547</v>
      </c>
      <c r="C183" s="899" t="s">
        <v>9509</v>
      </c>
      <c r="D183" s="988" t="s">
        <v>2666</v>
      </c>
      <c r="E183" s="989">
        <v>130.97999999999999</v>
      </c>
      <c r="F183" s="990"/>
      <c r="G183" s="990"/>
      <c r="H183" s="990"/>
      <c r="I183" s="990"/>
      <c r="J183" s="990"/>
      <c r="K183" s="990"/>
      <c r="L183" s="990"/>
      <c r="M183" s="990"/>
      <c r="N183" s="990"/>
      <c r="O183" s="990"/>
      <c r="P183" s="990"/>
      <c r="Q183" s="990"/>
      <c r="R183" s="990"/>
      <c r="S183" s="990"/>
      <c r="T183" s="990"/>
      <c r="U183" s="990"/>
      <c r="V183" s="990"/>
      <c r="W183" s="990"/>
      <c r="X183" s="990"/>
    </row>
    <row r="184" spans="1:24" s="896" customFormat="1">
      <c r="A184" s="987">
        <f t="shared" si="3"/>
        <v>110</v>
      </c>
      <c r="B184" s="988">
        <v>38469</v>
      </c>
      <c r="C184" s="899" t="s">
        <v>9510</v>
      </c>
      <c r="D184" s="988" t="s">
        <v>2666</v>
      </c>
      <c r="E184" s="989">
        <v>140.84</v>
      </c>
      <c r="F184" s="990"/>
      <c r="G184" s="990"/>
      <c r="H184" s="990"/>
      <c r="I184" s="990"/>
      <c r="J184" s="990"/>
      <c r="K184" s="990"/>
      <c r="L184" s="990"/>
      <c r="M184" s="990"/>
      <c r="N184" s="990"/>
      <c r="O184" s="990"/>
      <c r="P184" s="990"/>
      <c r="Q184" s="990"/>
      <c r="R184" s="990"/>
      <c r="S184" s="990"/>
      <c r="T184" s="990"/>
      <c r="U184" s="990"/>
      <c r="V184" s="990"/>
      <c r="W184" s="990"/>
      <c r="X184" s="990"/>
    </row>
    <row r="185" spans="1:24" s="896" customFormat="1">
      <c r="A185" s="987">
        <f t="shared" si="3"/>
        <v>111</v>
      </c>
      <c r="B185" s="988">
        <v>38467</v>
      </c>
      <c r="C185" s="899" t="s">
        <v>9511</v>
      </c>
      <c r="D185" s="988" t="s">
        <v>2666</v>
      </c>
      <c r="E185" s="989">
        <v>79.25</v>
      </c>
      <c r="F185" s="990"/>
      <c r="G185" s="990"/>
      <c r="H185" s="990"/>
      <c r="I185" s="990"/>
      <c r="J185" s="990"/>
      <c r="K185" s="990"/>
      <c r="L185" s="990"/>
      <c r="M185" s="990"/>
      <c r="N185" s="990"/>
      <c r="O185" s="990"/>
      <c r="P185" s="990"/>
      <c r="Q185" s="990"/>
      <c r="R185" s="990"/>
      <c r="S185" s="990"/>
      <c r="T185" s="990"/>
      <c r="U185" s="990"/>
      <c r="V185" s="990"/>
      <c r="W185" s="990"/>
      <c r="X185" s="990"/>
    </row>
    <row r="186" spans="1:24" s="896" customFormat="1">
      <c r="A186" s="987">
        <f t="shared" si="3"/>
        <v>112</v>
      </c>
      <c r="B186" s="988">
        <v>38468</v>
      </c>
      <c r="C186" s="899" t="s">
        <v>9512</v>
      </c>
      <c r="D186" s="988" t="s">
        <v>2666</v>
      </c>
      <c r="E186" s="989">
        <v>87.2</v>
      </c>
      <c r="F186" s="990"/>
      <c r="G186" s="990"/>
      <c r="H186" s="990"/>
      <c r="I186" s="990"/>
      <c r="J186" s="990"/>
      <c r="K186" s="990"/>
      <c r="L186" s="990"/>
      <c r="M186" s="990"/>
      <c r="N186" s="990"/>
      <c r="O186" s="990"/>
      <c r="P186" s="990"/>
      <c r="Q186" s="990"/>
      <c r="R186" s="990"/>
      <c r="S186" s="990"/>
      <c r="T186" s="990"/>
      <c r="U186" s="990"/>
      <c r="V186" s="990"/>
      <c r="W186" s="990"/>
      <c r="X186" s="990"/>
    </row>
    <row r="187" spans="1:24" s="896" customFormat="1">
      <c r="A187" s="987">
        <f t="shared" si="3"/>
        <v>113</v>
      </c>
      <c r="B187" s="988">
        <v>38471</v>
      </c>
      <c r="C187" s="899" t="s">
        <v>9513</v>
      </c>
      <c r="D187" s="988" t="s">
        <v>2666</v>
      </c>
      <c r="E187" s="989">
        <v>113.25</v>
      </c>
      <c r="F187" s="990"/>
      <c r="G187" s="990"/>
      <c r="H187" s="990"/>
      <c r="I187" s="990"/>
      <c r="J187" s="990"/>
      <c r="K187" s="990"/>
      <c r="L187" s="990"/>
      <c r="M187" s="990"/>
      <c r="N187" s="990"/>
      <c r="O187" s="990"/>
      <c r="P187" s="990"/>
      <c r="Q187" s="990"/>
      <c r="R187" s="990"/>
      <c r="S187" s="990"/>
      <c r="T187" s="990"/>
      <c r="U187" s="990"/>
      <c r="V187" s="990"/>
      <c r="W187" s="990"/>
      <c r="X187" s="990"/>
    </row>
    <row r="188" spans="1:24" s="896" customFormat="1">
      <c r="A188" s="987">
        <f t="shared" si="3"/>
        <v>114</v>
      </c>
      <c r="B188" s="988">
        <v>37370</v>
      </c>
      <c r="C188" s="899" t="s">
        <v>9514</v>
      </c>
      <c r="D188" s="988" t="s">
        <v>2665</v>
      </c>
      <c r="E188" s="989">
        <v>3.28</v>
      </c>
      <c r="F188" s="990"/>
      <c r="G188" s="990"/>
      <c r="H188" s="990"/>
      <c r="I188" s="990"/>
      <c r="J188" s="990"/>
      <c r="K188" s="990"/>
      <c r="L188" s="990"/>
      <c r="M188" s="990"/>
      <c r="N188" s="990"/>
      <c r="O188" s="990"/>
      <c r="P188" s="990"/>
      <c r="Q188" s="990"/>
      <c r="R188" s="990"/>
      <c r="S188" s="990"/>
      <c r="T188" s="990"/>
      <c r="U188" s="990"/>
      <c r="V188" s="990"/>
      <c r="W188" s="990"/>
      <c r="X188" s="990"/>
    </row>
    <row r="189" spans="1:24" s="896" customFormat="1">
      <c r="A189" s="987">
        <f t="shared" si="3"/>
        <v>115</v>
      </c>
      <c r="B189" s="988">
        <v>40862</v>
      </c>
      <c r="C189" s="899" t="s">
        <v>9515</v>
      </c>
      <c r="D189" s="988" t="s">
        <v>2672</v>
      </c>
      <c r="E189" s="989">
        <v>617.63</v>
      </c>
      <c r="F189" s="990"/>
      <c r="G189" s="990"/>
      <c r="H189" s="990"/>
      <c r="I189" s="990"/>
      <c r="J189" s="990"/>
      <c r="K189" s="990"/>
      <c r="L189" s="990"/>
      <c r="M189" s="990"/>
      <c r="N189" s="990"/>
      <c r="O189" s="990"/>
      <c r="P189" s="990"/>
      <c r="Q189" s="990"/>
      <c r="R189" s="990"/>
      <c r="S189" s="990"/>
      <c r="T189" s="990"/>
      <c r="U189" s="990"/>
      <c r="V189" s="990"/>
      <c r="W189" s="990"/>
      <c r="X189" s="990"/>
    </row>
    <row r="190" spans="1:24" s="896" customFormat="1" ht="25.5">
      <c r="A190" s="987">
        <f t="shared" si="3"/>
        <v>116</v>
      </c>
      <c r="B190" s="988">
        <v>10658</v>
      </c>
      <c r="C190" s="899" t="s">
        <v>9516</v>
      </c>
      <c r="D190" s="988" t="s">
        <v>2666</v>
      </c>
      <c r="E190" s="989">
        <v>7770</v>
      </c>
      <c r="F190" s="990"/>
      <c r="G190" s="990"/>
      <c r="H190" s="990"/>
      <c r="I190" s="990"/>
      <c r="J190" s="990"/>
      <c r="K190" s="990"/>
      <c r="L190" s="990"/>
      <c r="M190" s="990"/>
      <c r="N190" s="990"/>
      <c r="O190" s="990"/>
      <c r="P190" s="990"/>
      <c r="Q190" s="990"/>
      <c r="R190" s="990"/>
      <c r="S190" s="990"/>
      <c r="T190" s="990"/>
      <c r="U190" s="990"/>
      <c r="V190" s="990"/>
      <c r="W190" s="990"/>
      <c r="X190" s="990"/>
    </row>
    <row r="191" spans="1:24" s="896" customFormat="1">
      <c r="A191" s="987">
        <f t="shared" si="3"/>
        <v>117</v>
      </c>
      <c r="B191" s="988">
        <v>253</v>
      </c>
      <c r="C191" s="899" t="s">
        <v>9517</v>
      </c>
      <c r="D191" s="988" t="s">
        <v>2665</v>
      </c>
      <c r="E191" s="989">
        <v>23.94</v>
      </c>
      <c r="F191" s="990"/>
      <c r="G191" s="990"/>
      <c r="H191" s="990"/>
      <c r="I191" s="990"/>
      <c r="J191" s="990"/>
      <c r="K191" s="990"/>
      <c r="L191" s="990"/>
      <c r="M191" s="990"/>
      <c r="N191" s="990"/>
      <c r="O191" s="990"/>
      <c r="P191" s="990"/>
      <c r="Q191" s="990"/>
      <c r="R191" s="990"/>
      <c r="S191" s="990"/>
      <c r="T191" s="990"/>
      <c r="U191" s="990"/>
      <c r="V191" s="990"/>
      <c r="W191" s="990"/>
      <c r="X191" s="990"/>
    </row>
    <row r="192" spans="1:24" s="896" customFormat="1">
      <c r="A192" s="987">
        <f t="shared" si="3"/>
        <v>118</v>
      </c>
      <c r="B192" s="988">
        <v>40809</v>
      </c>
      <c r="C192" s="899" t="s">
        <v>9518</v>
      </c>
      <c r="D192" s="988" t="s">
        <v>2672</v>
      </c>
      <c r="E192" s="989">
        <v>4207.42</v>
      </c>
      <c r="F192" s="990"/>
      <c r="G192" s="990"/>
      <c r="H192" s="990"/>
      <c r="I192" s="990"/>
      <c r="J192" s="990"/>
      <c r="K192" s="990"/>
      <c r="L192" s="990"/>
      <c r="M192" s="990"/>
      <c r="N192" s="990"/>
      <c r="O192" s="990"/>
      <c r="P192" s="990"/>
      <c r="Q192" s="990"/>
      <c r="R192" s="990"/>
      <c r="S192" s="990"/>
      <c r="T192" s="990"/>
      <c r="U192" s="990"/>
      <c r="V192" s="990"/>
      <c r="W192" s="990"/>
      <c r="X192" s="990"/>
    </row>
    <row r="193" spans="1:24" s="896" customFormat="1" ht="38.25">
      <c r="A193" s="987">
        <f t="shared" si="3"/>
        <v>119</v>
      </c>
      <c r="B193" s="988">
        <v>42428</v>
      </c>
      <c r="C193" s="899" t="s">
        <v>9519</v>
      </c>
      <c r="D193" s="988" t="s">
        <v>2666</v>
      </c>
      <c r="E193" s="989">
        <v>2251</v>
      </c>
      <c r="F193" s="990"/>
      <c r="G193" s="990"/>
      <c r="H193" s="990"/>
      <c r="I193" s="990"/>
      <c r="J193" s="990"/>
      <c r="K193" s="990"/>
      <c r="L193" s="990"/>
      <c r="M193" s="990"/>
      <c r="N193" s="990"/>
      <c r="O193" s="990"/>
      <c r="P193" s="990"/>
      <c r="Q193" s="990"/>
      <c r="R193" s="990"/>
      <c r="S193" s="990"/>
      <c r="T193" s="990"/>
      <c r="U193" s="990"/>
      <c r="V193" s="990"/>
      <c r="W193" s="990"/>
      <c r="X193" s="990"/>
    </row>
    <row r="194" spans="1:24" s="896" customFormat="1">
      <c r="A194" s="987">
        <f t="shared" si="3"/>
        <v>120</v>
      </c>
      <c r="B194" s="988">
        <v>583</v>
      </c>
      <c r="C194" s="899" t="s">
        <v>9520</v>
      </c>
      <c r="D194" s="988" t="s">
        <v>2670</v>
      </c>
      <c r="E194" s="989">
        <v>45.16</v>
      </c>
      <c r="F194" s="990"/>
      <c r="G194" s="990"/>
      <c r="H194" s="990"/>
      <c r="I194" s="990"/>
      <c r="J194" s="990"/>
      <c r="K194" s="990"/>
      <c r="L194" s="990"/>
      <c r="M194" s="990"/>
      <c r="N194" s="990"/>
      <c r="O194" s="990"/>
      <c r="P194" s="990"/>
      <c r="Q194" s="990"/>
      <c r="R194" s="990"/>
      <c r="S194" s="990"/>
      <c r="T194" s="990"/>
      <c r="U194" s="990"/>
      <c r="V194" s="990"/>
      <c r="W194" s="990"/>
      <c r="X194" s="990"/>
    </row>
    <row r="195" spans="1:24" s="896" customFormat="1">
      <c r="A195" s="987">
        <f t="shared" si="3"/>
        <v>121</v>
      </c>
      <c r="B195" s="988">
        <v>301</v>
      </c>
      <c r="C195" s="899" t="s">
        <v>9521</v>
      </c>
      <c r="D195" s="988" t="s">
        <v>2666</v>
      </c>
      <c r="E195" s="989">
        <v>2.7</v>
      </c>
      <c r="F195" s="990"/>
      <c r="G195" s="990"/>
      <c r="H195" s="990"/>
      <c r="I195" s="990"/>
      <c r="J195" s="990"/>
      <c r="K195" s="990"/>
      <c r="L195" s="990"/>
      <c r="M195" s="990"/>
      <c r="N195" s="990"/>
      <c r="O195" s="990"/>
      <c r="P195" s="990"/>
      <c r="Q195" s="990"/>
      <c r="R195" s="990"/>
      <c r="S195" s="990"/>
      <c r="T195" s="990"/>
      <c r="U195" s="990"/>
      <c r="V195" s="990"/>
      <c r="W195" s="990"/>
      <c r="X195" s="990"/>
    </row>
    <row r="196" spans="1:24" s="896" customFormat="1">
      <c r="A196" s="987">
        <f t="shared" si="3"/>
        <v>122</v>
      </c>
      <c r="B196" s="988">
        <v>296</v>
      </c>
      <c r="C196" s="899" t="s">
        <v>9522</v>
      </c>
      <c r="D196" s="988" t="s">
        <v>2666</v>
      </c>
      <c r="E196" s="989">
        <v>1.52</v>
      </c>
      <c r="F196" s="990"/>
      <c r="G196" s="990"/>
      <c r="H196" s="990"/>
      <c r="I196" s="990"/>
      <c r="J196" s="990"/>
      <c r="K196" s="990"/>
      <c r="L196" s="990"/>
      <c r="M196" s="990"/>
      <c r="N196" s="990"/>
      <c r="O196" s="990"/>
      <c r="P196" s="990"/>
      <c r="Q196" s="990"/>
      <c r="R196" s="990"/>
      <c r="S196" s="990"/>
      <c r="T196" s="990"/>
      <c r="U196" s="990"/>
      <c r="V196" s="990"/>
      <c r="W196" s="990"/>
      <c r="X196" s="990"/>
    </row>
    <row r="197" spans="1:24" s="896" customFormat="1">
      <c r="A197" s="987">
        <f t="shared" si="3"/>
        <v>123</v>
      </c>
      <c r="B197" s="988">
        <v>297</v>
      </c>
      <c r="C197" s="899" t="s">
        <v>9523</v>
      </c>
      <c r="D197" s="988" t="s">
        <v>2666</v>
      </c>
      <c r="E197" s="989">
        <v>2.2400000000000002</v>
      </c>
      <c r="F197" s="990"/>
      <c r="G197" s="990"/>
      <c r="H197" s="990"/>
      <c r="I197" s="990"/>
      <c r="J197" s="990"/>
      <c r="K197" s="990"/>
      <c r="L197" s="990"/>
      <c r="M197" s="990"/>
      <c r="N197" s="990"/>
      <c r="O197" s="990"/>
      <c r="P197" s="990"/>
      <c r="Q197" s="990"/>
      <c r="R197" s="990"/>
      <c r="S197" s="990"/>
      <c r="T197" s="990"/>
      <c r="U197" s="990"/>
      <c r="V197" s="990"/>
      <c r="W197" s="990"/>
      <c r="X197" s="990"/>
    </row>
    <row r="198" spans="1:24" s="896" customFormat="1">
      <c r="A198" s="987">
        <f t="shared" si="3"/>
        <v>124</v>
      </c>
      <c r="B198" s="988">
        <v>299</v>
      </c>
      <c r="C198" s="899" t="s">
        <v>9524</v>
      </c>
      <c r="D198" s="988" t="s">
        <v>2666</v>
      </c>
      <c r="E198" s="989">
        <v>3.17</v>
      </c>
      <c r="F198" s="990"/>
      <c r="G198" s="990"/>
      <c r="H198" s="990"/>
      <c r="I198" s="990"/>
      <c r="J198" s="990"/>
      <c r="K198" s="990"/>
      <c r="L198" s="990"/>
      <c r="M198" s="990"/>
      <c r="N198" s="990"/>
      <c r="O198" s="990"/>
      <c r="P198" s="990"/>
      <c r="Q198" s="990"/>
      <c r="R198" s="990"/>
      <c r="S198" s="990"/>
      <c r="T198" s="990"/>
      <c r="U198" s="990"/>
      <c r="V198" s="990"/>
      <c r="W198" s="990"/>
      <c r="X198" s="990"/>
    </row>
    <row r="199" spans="1:24" s="896" customFormat="1">
      <c r="A199" s="987">
        <f t="shared" si="3"/>
        <v>125</v>
      </c>
      <c r="B199" s="988">
        <v>300</v>
      </c>
      <c r="C199" s="899" t="s">
        <v>9525</v>
      </c>
      <c r="D199" s="988" t="s">
        <v>2666</v>
      </c>
      <c r="E199" s="989">
        <v>10.96</v>
      </c>
      <c r="F199" s="990"/>
      <c r="G199" s="990"/>
      <c r="H199" s="990"/>
      <c r="I199" s="990"/>
      <c r="J199" s="990"/>
      <c r="K199" s="990"/>
      <c r="L199" s="990"/>
      <c r="M199" s="990"/>
      <c r="N199" s="990"/>
      <c r="O199" s="990"/>
      <c r="P199" s="990"/>
      <c r="Q199" s="990"/>
      <c r="R199" s="990"/>
      <c r="S199" s="990"/>
      <c r="T199" s="990"/>
      <c r="U199" s="990"/>
      <c r="V199" s="990"/>
      <c r="W199" s="990"/>
      <c r="X199" s="990"/>
    </row>
    <row r="200" spans="1:24" s="896" customFormat="1">
      <c r="A200" s="987">
        <f t="shared" si="3"/>
        <v>126</v>
      </c>
      <c r="B200" s="988">
        <v>20085</v>
      </c>
      <c r="C200" s="899" t="s">
        <v>9526</v>
      </c>
      <c r="D200" s="988" t="s">
        <v>2666</v>
      </c>
      <c r="E200" s="989">
        <v>2</v>
      </c>
      <c r="F200" s="990"/>
      <c r="G200" s="990"/>
      <c r="H200" s="990"/>
      <c r="I200" s="990"/>
      <c r="J200" s="990"/>
      <c r="K200" s="990"/>
      <c r="L200" s="990"/>
      <c r="M200" s="990"/>
      <c r="N200" s="990"/>
      <c r="O200" s="990"/>
      <c r="P200" s="990"/>
      <c r="Q200" s="990"/>
      <c r="R200" s="990"/>
      <c r="S200" s="990"/>
      <c r="T200" s="990"/>
      <c r="U200" s="990"/>
      <c r="V200" s="990"/>
      <c r="W200" s="990"/>
      <c r="X200" s="990"/>
    </row>
    <row r="201" spans="1:24" s="896" customFormat="1">
      <c r="A201" s="987">
        <f t="shared" si="3"/>
        <v>127</v>
      </c>
      <c r="B201" s="988">
        <v>298</v>
      </c>
      <c r="C201" s="899" t="s">
        <v>9527</v>
      </c>
      <c r="D201" s="988" t="s">
        <v>2666</v>
      </c>
      <c r="E201" s="989">
        <v>2.4300000000000002</v>
      </c>
      <c r="F201" s="990"/>
      <c r="G201" s="990"/>
      <c r="H201" s="990"/>
      <c r="I201" s="990"/>
      <c r="J201" s="990"/>
      <c r="K201" s="990"/>
      <c r="L201" s="990"/>
      <c r="M201" s="990"/>
      <c r="N201" s="990"/>
      <c r="O201" s="990"/>
      <c r="P201" s="990"/>
      <c r="Q201" s="990"/>
      <c r="R201" s="990"/>
      <c r="S201" s="990"/>
      <c r="T201" s="990"/>
      <c r="U201" s="990"/>
      <c r="V201" s="990"/>
      <c r="W201" s="990"/>
      <c r="X201" s="990"/>
    </row>
    <row r="202" spans="1:24" s="896" customFormat="1">
      <c r="A202" s="987">
        <f t="shared" si="3"/>
        <v>128</v>
      </c>
      <c r="B202" s="988">
        <v>311</v>
      </c>
      <c r="C202" s="899" t="s">
        <v>9528</v>
      </c>
      <c r="D202" s="988" t="s">
        <v>2666</v>
      </c>
      <c r="E202" s="989">
        <v>9.0399999999999991</v>
      </c>
      <c r="F202" s="990"/>
      <c r="G202" s="990"/>
      <c r="H202" s="990"/>
      <c r="I202" s="990"/>
      <c r="J202" s="990"/>
      <c r="K202" s="990"/>
      <c r="L202" s="990"/>
      <c r="M202" s="990"/>
      <c r="N202" s="990"/>
      <c r="O202" s="990"/>
      <c r="P202" s="990"/>
      <c r="Q202" s="990"/>
      <c r="R202" s="990"/>
      <c r="S202" s="990"/>
      <c r="T202" s="990"/>
      <c r="U202" s="990"/>
      <c r="V202" s="990"/>
      <c r="W202" s="990"/>
      <c r="X202" s="990"/>
    </row>
    <row r="203" spans="1:24" s="896" customFormat="1">
      <c r="A203" s="987">
        <f t="shared" si="3"/>
        <v>129</v>
      </c>
      <c r="B203" s="988">
        <v>318</v>
      </c>
      <c r="C203" s="899" t="s">
        <v>9529</v>
      </c>
      <c r="D203" s="988" t="s">
        <v>2666</v>
      </c>
      <c r="E203" s="989">
        <v>18.2</v>
      </c>
      <c r="F203" s="990"/>
      <c r="G203" s="990"/>
      <c r="H203" s="990"/>
      <c r="I203" s="990"/>
      <c r="J203" s="990"/>
      <c r="K203" s="990"/>
      <c r="L203" s="990"/>
      <c r="M203" s="990"/>
      <c r="N203" s="990"/>
      <c r="O203" s="990"/>
      <c r="P203" s="990"/>
      <c r="Q203" s="990"/>
      <c r="R203" s="990"/>
      <c r="S203" s="990"/>
      <c r="T203" s="990"/>
      <c r="U203" s="990"/>
      <c r="V203" s="990"/>
      <c r="W203" s="990"/>
      <c r="X203" s="990"/>
    </row>
    <row r="204" spans="1:24" s="896" customFormat="1">
      <c r="A204" s="987">
        <f t="shared" ref="A204:A267" si="4">A203+1</f>
        <v>130</v>
      </c>
      <c r="B204" s="988">
        <v>319</v>
      </c>
      <c r="C204" s="899" t="s">
        <v>9530</v>
      </c>
      <c r="D204" s="988" t="s">
        <v>2666</v>
      </c>
      <c r="E204" s="989">
        <v>28.54</v>
      </c>
      <c r="F204" s="990"/>
      <c r="G204" s="990"/>
      <c r="H204" s="990"/>
      <c r="I204" s="990"/>
      <c r="J204" s="990"/>
      <c r="K204" s="990"/>
      <c r="L204" s="990"/>
      <c r="M204" s="990"/>
      <c r="N204" s="990"/>
      <c r="O204" s="990"/>
      <c r="P204" s="990"/>
      <c r="Q204" s="990"/>
      <c r="R204" s="990"/>
      <c r="S204" s="990"/>
      <c r="T204" s="990"/>
      <c r="U204" s="990"/>
      <c r="V204" s="990"/>
      <c r="W204" s="990"/>
      <c r="X204" s="990"/>
    </row>
    <row r="205" spans="1:24" s="896" customFormat="1">
      <c r="A205" s="987">
        <f t="shared" si="4"/>
        <v>131</v>
      </c>
      <c r="B205" s="988">
        <v>303</v>
      </c>
      <c r="C205" s="899" t="s">
        <v>9531</v>
      </c>
      <c r="D205" s="988" t="s">
        <v>2666</v>
      </c>
      <c r="E205" s="989">
        <v>2.99</v>
      </c>
      <c r="F205" s="990"/>
      <c r="G205" s="990"/>
      <c r="H205" s="990"/>
      <c r="I205" s="990"/>
      <c r="J205" s="990"/>
      <c r="K205" s="990"/>
      <c r="L205" s="990"/>
      <c r="M205" s="990"/>
      <c r="N205" s="990"/>
      <c r="O205" s="990"/>
      <c r="P205" s="990"/>
      <c r="Q205" s="990"/>
      <c r="R205" s="990"/>
      <c r="S205" s="990"/>
      <c r="T205" s="990"/>
      <c r="U205" s="990"/>
      <c r="V205" s="990"/>
      <c r="W205" s="990"/>
      <c r="X205" s="990"/>
    </row>
    <row r="206" spans="1:24" s="896" customFormat="1">
      <c r="A206" s="987">
        <f t="shared" si="4"/>
        <v>132</v>
      </c>
      <c r="B206" s="988">
        <v>305</v>
      </c>
      <c r="C206" s="899" t="s">
        <v>9532</v>
      </c>
      <c r="D206" s="988" t="s">
        <v>2666</v>
      </c>
      <c r="E206" s="989">
        <v>9.41</v>
      </c>
      <c r="F206" s="990"/>
      <c r="G206" s="990"/>
      <c r="H206" s="990"/>
      <c r="I206" s="990"/>
      <c r="J206" s="990"/>
      <c r="K206" s="990"/>
      <c r="L206" s="990"/>
      <c r="M206" s="990"/>
      <c r="N206" s="990"/>
      <c r="O206" s="990"/>
      <c r="P206" s="990"/>
      <c r="Q206" s="990"/>
      <c r="R206" s="990"/>
      <c r="S206" s="990"/>
      <c r="T206" s="990"/>
      <c r="U206" s="990"/>
      <c r="V206" s="990"/>
      <c r="W206" s="990"/>
      <c r="X206" s="990"/>
    </row>
    <row r="207" spans="1:24" s="896" customFormat="1">
      <c r="A207" s="987">
        <f t="shared" si="4"/>
        <v>133</v>
      </c>
      <c r="B207" s="988">
        <v>306</v>
      </c>
      <c r="C207" s="899" t="s">
        <v>9533</v>
      </c>
      <c r="D207" s="988" t="s">
        <v>2666</v>
      </c>
      <c r="E207" s="989">
        <v>14.27</v>
      </c>
      <c r="F207" s="990"/>
      <c r="G207" s="990"/>
      <c r="H207" s="990"/>
      <c r="I207" s="990"/>
      <c r="J207" s="990"/>
      <c r="K207" s="990"/>
      <c r="L207" s="990"/>
      <c r="M207" s="990"/>
      <c r="N207" s="990"/>
      <c r="O207" s="990"/>
      <c r="P207" s="990"/>
      <c r="Q207" s="990"/>
      <c r="R207" s="990"/>
      <c r="S207" s="990"/>
      <c r="T207" s="990"/>
      <c r="U207" s="990"/>
      <c r="V207" s="990"/>
      <c r="W207" s="990"/>
      <c r="X207" s="990"/>
    </row>
    <row r="208" spans="1:24" s="896" customFormat="1">
      <c r="A208" s="987">
        <f t="shared" si="4"/>
        <v>134</v>
      </c>
      <c r="B208" s="988">
        <v>307</v>
      </c>
      <c r="C208" s="899" t="s">
        <v>9534</v>
      </c>
      <c r="D208" s="988" t="s">
        <v>2666</v>
      </c>
      <c r="E208" s="989">
        <v>36.049999999999997</v>
      </c>
      <c r="F208" s="990"/>
      <c r="G208" s="990"/>
      <c r="H208" s="990"/>
      <c r="I208" s="990"/>
      <c r="J208" s="990"/>
      <c r="K208" s="990"/>
      <c r="L208" s="990"/>
      <c r="M208" s="990"/>
      <c r="N208" s="990"/>
      <c r="O208" s="990"/>
      <c r="P208" s="990"/>
      <c r="Q208" s="990"/>
      <c r="R208" s="990"/>
      <c r="S208" s="990"/>
      <c r="T208" s="990"/>
      <c r="U208" s="990"/>
      <c r="V208" s="990"/>
      <c r="W208" s="990"/>
      <c r="X208" s="990"/>
    </row>
    <row r="209" spans="1:24" s="896" customFormat="1">
      <c r="A209" s="987">
        <f t="shared" si="4"/>
        <v>135</v>
      </c>
      <c r="B209" s="988">
        <v>309</v>
      </c>
      <c r="C209" s="899" t="s">
        <v>9535</v>
      </c>
      <c r="D209" s="988" t="s">
        <v>2666</v>
      </c>
      <c r="E209" s="989">
        <v>59.06</v>
      </c>
      <c r="F209" s="990"/>
      <c r="G209" s="990"/>
      <c r="H209" s="990"/>
      <c r="I209" s="990"/>
      <c r="J209" s="990"/>
      <c r="K209" s="990"/>
      <c r="L209" s="990"/>
      <c r="M209" s="990"/>
      <c r="N209" s="990"/>
      <c r="O209" s="990"/>
      <c r="P209" s="990"/>
      <c r="Q209" s="990"/>
      <c r="R209" s="990"/>
      <c r="S209" s="990"/>
      <c r="T209" s="990"/>
      <c r="U209" s="990"/>
      <c r="V209" s="990"/>
      <c r="W209" s="990"/>
      <c r="X209" s="990"/>
    </row>
    <row r="210" spans="1:24" s="896" customFormat="1">
      <c r="A210" s="987">
        <f t="shared" si="4"/>
        <v>136</v>
      </c>
      <c r="B210" s="988">
        <v>310</v>
      </c>
      <c r="C210" s="899" t="s">
        <v>9536</v>
      </c>
      <c r="D210" s="988" t="s">
        <v>2666</v>
      </c>
      <c r="E210" s="989">
        <v>81.849999999999994</v>
      </c>
      <c r="F210" s="990"/>
      <c r="G210" s="990"/>
      <c r="H210" s="990"/>
      <c r="I210" s="990"/>
      <c r="J210" s="990"/>
      <c r="K210" s="990"/>
      <c r="L210" s="990"/>
      <c r="M210" s="990"/>
      <c r="N210" s="990"/>
      <c r="O210" s="990"/>
      <c r="P210" s="990"/>
      <c r="Q210" s="990"/>
      <c r="R210" s="990"/>
      <c r="S210" s="990"/>
      <c r="T210" s="990"/>
      <c r="U210" s="990"/>
      <c r="V210" s="990"/>
      <c r="W210" s="990"/>
      <c r="X210" s="990"/>
    </row>
    <row r="211" spans="1:24" s="896" customFormat="1">
      <c r="A211" s="987">
        <f t="shared" si="4"/>
        <v>137</v>
      </c>
      <c r="B211" s="988">
        <v>328</v>
      </c>
      <c r="C211" s="899" t="s">
        <v>9537</v>
      </c>
      <c r="D211" s="988" t="s">
        <v>2666</v>
      </c>
      <c r="E211" s="989">
        <v>7.15</v>
      </c>
      <c r="F211" s="990"/>
      <c r="G211" s="990"/>
      <c r="H211" s="990"/>
      <c r="I211" s="990"/>
      <c r="J211" s="990"/>
      <c r="K211" s="990"/>
      <c r="L211" s="990"/>
      <c r="M211" s="990"/>
      <c r="N211" s="990"/>
      <c r="O211" s="990"/>
      <c r="P211" s="990"/>
      <c r="Q211" s="990"/>
      <c r="R211" s="990"/>
      <c r="S211" s="990"/>
      <c r="T211" s="990"/>
      <c r="U211" s="990"/>
      <c r="V211" s="990"/>
      <c r="W211" s="990"/>
      <c r="X211" s="990"/>
    </row>
    <row r="212" spans="1:24" s="896" customFormat="1">
      <c r="A212" s="987">
        <f t="shared" si="4"/>
        <v>138</v>
      </c>
      <c r="B212" s="988">
        <v>325</v>
      </c>
      <c r="C212" s="899" t="s">
        <v>9538</v>
      </c>
      <c r="D212" s="988" t="s">
        <v>2666</v>
      </c>
      <c r="E212" s="989">
        <v>2.11</v>
      </c>
      <c r="F212" s="990"/>
      <c r="G212" s="990"/>
      <c r="H212" s="990"/>
      <c r="I212" s="990"/>
      <c r="J212" s="990"/>
      <c r="K212" s="990"/>
      <c r="L212" s="990"/>
      <c r="M212" s="990"/>
      <c r="N212" s="990"/>
      <c r="O212" s="990"/>
      <c r="P212" s="990"/>
      <c r="Q212" s="990"/>
      <c r="R212" s="990"/>
      <c r="S212" s="990"/>
      <c r="T212" s="990"/>
      <c r="U212" s="990"/>
      <c r="V212" s="990"/>
      <c r="W212" s="990"/>
      <c r="X212" s="990"/>
    </row>
    <row r="213" spans="1:24" s="896" customFormat="1">
      <c r="A213" s="987">
        <f t="shared" si="4"/>
        <v>139</v>
      </c>
      <c r="B213" s="988">
        <v>20326</v>
      </c>
      <c r="C213" s="899" t="s">
        <v>9539</v>
      </c>
      <c r="D213" s="988" t="s">
        <v>2666</v>
      </c>
      <c r="E213" s="989">
        <v>3.86</v>
      </c>
      <c r="F213" s="990"/>
      <c r="G213" s="990"/>
      <c r="H213" s="990"/>
      <c r="I213" s="990"/>
      <c r="J213" s="990"/>
      <c r="K213" s="990"/>
      <c r="L213" s="990"/>
      <c r="M213" s="990"/>
      <c r="N213" s="990"/>
      <c r="O213" s="990"/>
      <c r="P213" s="990"/>
      <c r="Q213" s="990"/>
      <c r="R213" s="990"/>
      <c r="S213" s="990"/>
      <c r="T213" s="990"/>
      <c r="U213" s="990"/>
      <c r="V213" s="990"/>
      <c r="W213" s="990"/>
      <c r="X213" s="990"/>
    </row>
    <row r="214" spans="1:24" s="896" customFormat="1">
      <c r="A214" s="987">
        <f t="shared" si="4"/>
        <v>140</v>
      </c>
      <c r="B214" s="988">
        <v>329</v>
      </c>
      <c r="C214" s="899" t="s">
        <v>9540</v>
      </c>
      <c r="D214" s="988" t="s">
        <v>2666</v>
      </c>
      <c r="E214" s="989">
        <v>5.98</v>
      </c>
      <c r="F214" s="990"/>
      <c r="G214" s="990"/>
      <c r="H214" s="990"/>
      <c r="I214" s="990"/>
      <c r="J214" s="990"/>
      <c r="K214" s="990"/>
      <c r="L214" s="990"/>
      <c r="M214" s="990"/>
      <c r="N214" s="990"/>
      <c r="O214" s="990"/>
      <c r="P214" s="990"/>
      <c r="Q214" s="990"/>
      <c r="R214" s="990"/>
      <c r="S214" s="990"/>
      <c r="T214" s="990"/>
      <c r="U214" s="990"/>
      <c r="V214" s="990"/>
      <c r="W214" s="990"/>
      <c r="X214" s="990"/>
    </row>
    <row r="215" spans="1:24" s="896" customFormat="1">
      <c r="A215" s="987">
        <f t="shared" si="4"/>
        <v>141</v>
      </c>
      <c r="B215" s="988">
        <v>308</v>
      </c>
      <c r="C215" s="899" t="s">
        <v>9541</v>
      </c>
      <c r="D215" s="988" t="s">
        <v>2666</v>
      </c>
      <c r="E215" s="989">
        <v>80.459999999999994</v>
      </c>
      <c r="F215" s="990"/>
      <c r="G215" s="990"/>
      <c r="H215" s="990"/>
      <c r="I215" s="990"/>
      <c r="J215" s="990"/>
      <c r="K215" s="990"/>
      <c r="L215" s="990"/>
      <c r="M215" s="990"/>
      <c r="N215" s="990"/>
      <c r="O215" s="990"/>
      <c r="P215" s="990"/>
      <c r="Q215" s="990"/>
      <c r="R215" s="990"/>
      <c r="S215" s="990"/>
      <c r="T215" s="990"/>
      <c r="U215" s="990"/>
      <c r="V215" s="990"/>
      <c r="W215" s="990"/>
      <c r="X215" s="990"/>
    </row>
    <row r="216" spans="1:24" s="896" customFormat="1" ht="25.5">
      <c r="A216" s="987">
        <f t="shared" si="4"/>
        <v>142</v>
      </c>
      <c r="B216" s="988">
        <v>39642</v>
      </c>
      <c r="C216" s="899" t="s">
        <v>9542</v>
      </c>
      <c r="D216" s="988" t="s">
        <v>2666</v>
      </c>
      <c r="E216" s="989">
        <v>2.65</v>
      </c>
      <c r="F216" s="990"/>
      <c r="G216" s="990"/>
      <c r="H216" s="990"/>
      <c r="I216" s="990"/>
      <c r="J216" s="990"/>
      <c r="K216" s="990"/>
      <c r="L216" s="990"/>
      <c r="M216" s="990"/>
      <c r="N216" s="990"/>
      <c r="O216" s="990"/>
      <c r="P216" s="990"/>
      <c r="Q216" s="990"/>
      <c r="R216" s="990"/>
      <c r="S216" s="990"/>
      <c r="T216" s="990"/>
      <c r="U216" s="990"/>
      <c r="V216" s="990"/>
      <c r="W216" s="990"/>
      <c r="X216" s="990"/>
    </row>
    <row r="217" spans="1:24" s="896" customFormat="1" ht="25.5">
      <c r="A217" s="987">
        <f t="shared" si="4"/>
        <v>143</v>
      </c>
      <c r="B217" s="988">
        <v>39641</v>
      </c>
      <c r="C217" s="899" t="s">
        <v>9543</v>
      </c>
      <c r="D217" s="988" t="s">
        <v>2666</v>
      </c>
      <c r="E217" s="989">
        <v>2.3199999999999998</v>
      </c>
      <c r="F217" s="990"/>
      <c r="G217" s="990"/>
      <c r="H217" s="990"/>
      <c r="I217" s="990"/>
      <c r="J217" s="990"/>
      <c r="K217" s="990"/>
      <c r="L217" s="990"/>
      <c r="M217" s="990"/>
      <c r="N217" s="990"/>
      <c r="O217" s="990"/>
      <c r="P217" s="990"/>
      <c r="Q217" s="990"/>
      <c r="R217" s="990"/>
      <c r="S217" s="990"/>
      <c r="T217" s="990"/>
      <c r="U217" s="990"/>
      <c r="V217" s="990"/>
      <c r="W217" s="990"/>
      <c r="X217" s="990"/>
    </row>
    <row r="218" spans="1:24" s="896" customFormat="1" ht="25.5">
      <c r="A218" s="987">
        <f t="shared" si="4"/>
        <v>144</v>
      </c>
      <c r="B218" s="988">
        <v>39643</v>
      </c>
      <c r="C218" s="899" t="s">
        <v>9544</v>
      </c>
      <c r="D218" s="988" t="s">
        <v>2666</v>
      </c>
      <c r="E218" s="989">
        <v>3.11</v>
      </c>
      <c r="F218" s="990"/>
      <c r="G218" s="990"/>
      <c r="H218" s="990"/>
      <c r="I218" s="990"/>
      <c r="J218" s="990"/>
      <c r="K218" s="990"/>
      <c r="L218" s="990"/>
      <c r="M218" s="990"/>
      <c r="N218" s="990"/>
      <c r="O218" s="990"/>
      <c r="P218" s="990"/>
      <c r="Q218" s="990"/>
      <c r="R218" s="990"/>
      <c r="S218" s="990"/>
      <c r="T218" s="990"/>
      <c r="U218" s="990"/>
      <c r="V218" s="990"/>
      <c r="W218" s="990"/>
      <c r="X218" s="990"/>
    </row>
    <row r="219" spans="1:24" s="896" customFormat="1" ht="25.5">
      <c r="A219" s="987">
        <f t="shared" si="4"/>
        <v>145</v>
      </c>
      <c r="B219" s="988">
        <v>39644</v>
      </c>
      <c r="C219" s="899" t="s">
        <v>9545</v>
      </c>
      <c r="D219" s="988" t="s">
        <v>2666</v>
      </c>
      <c r="E219" s="989">
        <v>4.82</v>
      </c>
      <c r="F219" s="990"/>
      <c r="G219" s="990"/>
      <c r="H219" s="990"/>
      <c r="I219" s="990"/>
      <c r="J219" s="990"/>
      <c r="K219" s="990"/>
      <c r="L219" s="990"/>
      <c r="M219" s="990"/>
      <c r="N219" s="990"/>
      <c r="O219" s="990"/>
      <c r="P219" s="990"/>
      <c r="Q219" s="990"/>
      <c r="R219" s="990"/>
      <c r="S219" s="990"/>
      <c r="T219" s="990"/>
      <c r="U219" s="990"/>
      <c r="V219" s="990"/>
      <c r="W219" s="990"/>
      <c r="X219" s="990"/>
    </row>
    <row r="220" spans="1:24" s="896" customFormat="1" ht="25.5">
      <c r="A220" s="987">
        <f t="shared" si="4"/>
        <v>146</v>
      </c>
      <c r="B220" s="988">
        <v>39645</v>
      </c>
      <c r="C220" s="899" t="s">
        <v>9546</v>
      </c>
      <c r="D220" s="988" t="s">
        <v>2666</v>
      </c>
      <c r="E220" s="989">
        <v>5.29</v>
      </c>
      <c r="F220" s="990"/>
      <c r="G220" s="990"/>
      <c r="H220" s="990"/>
      <c r="I220" s="990"/>
      <c r="J220" s="990"/>
      <c r="K220" s="990"/>
      <c r="L220" s="990"/>
      <c r="M220" s="990"/>
      <c r="N220" s="990"/>
      <c r="O220" s="990"/>
      <c r="P220" s="990"/>
      <c r="Q220" s="990"/>
      <c r="R220" s="990"/>
      <c r="S220" s="990"/>
      <c r="T220" s="990"/>
      <c r="U220" s="990"/>
      <c r="V220" s="990"/>
      <c r="W220" s="990"/>
      <c r="X220" s="990"/>
    </row>
    <row r="221" spans="1:24" s="896" customFormat="1">
      <c r="A221" s="987">
        <f t="shared" si="4"/>
        <v>147</v>
      </c>
      <c r="B221" s="988">
        <v>41610</v>
      </c>
      <c r="C221" s="899" t="s">
        <v>9547</v>
      </c>
      <c r="D221" s="988" t="s">
        <v>2666</v>
      </c>
      <c r="E221" s="989">
        <v>456.85</v>
      </c>
      <c r="F221" s="990"/>
      <c r="G221" s="990"/>
      <c r="H221" s="990"/>
      <c r="I221" s="990"/>
      <c r="J221" s="990"/>
      <c r="K221" s="990"/>
      <c r="L221" s="990"/>
      <c r="M221" s="990"/>
      <c r="N221" s="990"/>
      <c r="O221" s="990"/>
      <c r="P221" s="990"/>
      <c r="Q221" s="990"/>
      <c r="R221" s="990"/>
      <c r="S221" s="990"/>
      <c r="T221" s="990"/>
      <c r="U221" s="990"/>
      <c r="V221" s="990"/>
      <c r="W221" s="990"/>
      <c r="X221" s="990"/>
    </row>
    <row r="222" spans="1:24" s="896" customFormat="1">
      <c r="A222" s="987">
        <f t="shared" si="4"/>
        <v>148</v>
      </c>
      <c r="B222" s="988">
        <v>41611</v>
      </c>
      <c r="C222" s="899" t="s">
        <v>9548</v>
      </c>
      <c r="D222" s="988" t="s">
        <v>2666</v>
      </c>
      <c r="E222" s="989">
        <v>720.1</v>
      </c>
      <c r="F222" s="990"/>
      <c r="G222" s="990"/>
      <c r="H222" s="990"/>
      <c r="I222" s="990"/>
      <c r="J222" s="990"/>
      <c r="K222" s="990"/>
      <c r="L222" s="990"/>
      <c r="M222" s="990"/>
      <c r="N222" s="990"/>
      <c r="O222" s="990"/>
      <c r="P222" s="990"/>
      <c r="Q222" s="990"/>
      <c r="R222" s="990"/>
      <c r="S222" s="990"/>
      <c r="T222" s="990"/>
      <c r="U222" s="990"/>
      <c r="V222" s="990"/>
      <c r="W222" s="990"/>
      <c r="X222" s="990"/>
    </row>
    <row r="223" spans="1:24" s="896" customFormat="1">
      <c r="A223" s="987">
        <f t="shared" si="4"/>
        <v>149</v>
      </c>
      <c r="B223" s="988">
        <v>41612</v>
      </c>
      <c r="C223" s="899" t="s">
        <v>9549</v>
      </c>
      <c r="D223" s="988" t="s">
        <v>2666</v>
      </c>
      <c r="E223" s="989">
        <v>1011.12</v>
      </c>
      <c r="F223" s="990"/>
      <c r="G223" s="990"/>
      <c r="H223" s="990"/>
      <c r="I223" s="990"/>
      <c r="J223" s="990"/>
      <c r="K223" s="990"/>
      <c r="L223" s="990"/>
      <c r="M223" s="990"/>
      <c r="N223" s="990"/>
      <c r="O223" s="990"/>
      <c r="P223" s="990"/>
      <c r="Q223" s="990"/>
      <c r="R223" s="990"/>
      <c r="S223" s="990"/>
      <c r="T223" s="990"/>
      <c r="U223" s="990"/>
      <c r="V223" s="990"/>
      <c r="W223" s="990"/>
      <c r="X223" s="990"/>
    </row>
    <row r="224" spans="1:24" s="896" customFormat="1" ht="25.5">
      <c r="A224" s="987">
        <f t="shared" si="4"/>
        <v>150</v>
      </c>
      <c r="B224" s="988">
        <v>41637</v>
      </c>
      <c r="C224" s="899" t="s">
        <v>9550</v>
      </c>
      <c r="D224" s="988" t="s">
        <v>2666</v>
      </c>
      <c r="E224" s="989">
        <v>94.52</v>
      </c>
      <c r="F224" s="990"/>
      <c r="G224" s="990"/>
      <c r="H224" s="990"/>
      <c r="I224" s="990"/>
      <c r="J224" s="990"/>
      <c r="K224" s="990"/>
      <c r="L224" s="990"/>
      <c r="M224" s="990"/>
      <c r="N224" s="990"/>
      <c r="O224" s="990"/>
      <c r="P224" s="990"/>
      <c r="Q224" s="990"/>
      <c r="R224" s="990"/>
      <c r="S224" s="990"/>
      <c r="T224" s="990"/>
      <c r="U224" s="990"/>
      <c r="V224" s="990"/>
      <c r="W224" s="990"/>
      <c r="X224" s="990"/>
    </row>
    <row r="225" spans="1:24" s="896" customFormat="1" ht="25.5">
      <c r="A225" s="987">
        <f t="shared" si="4"/>
        <v>151</v>
      </c>
      <c r="B225" s="988">
        <v>41638</v>
      </c>
      <c r="C225" s="899" t="s">
        <v>9551</v>
      </c>
      <c r="D225" s="988" t="s">
        <v>2666</v>
      </c>
      <c r="E225" s="989">
        <v>123.12</v>
      </c>
      <c r="F225" s="990"/>
      <c r="G225" s="990"/>
      <c r="H225" s="990"/>
      <c r="I225" s="990"/>
      <c r="J225" s="990"/>
      <c r="K225" s="990"/>
      <c r="L225" s="990"/>
      <c r="M225" s="990"/>
      <c r="N225" s="990"/>
      <c r="O225" s="990"/>
      <c r="P225" s="990"/>
      <c r="Q225" s="990"/>
      <c r="R225" s="990"/>
      <c r="S225" s="990"/>
      <c r="T225" s="990"/>
      <c r="U225" s="990"/>
      <c r="V225" s="990"/>
      <c r="W225" s="990"/>
      <c r="X225" s="990"/>
    </row>
    <row r="226" spans="1:24" s="896" customFormat="1" ht="25.5">
      <c r="A226" s="987">
        <f t="shared" si="4"/>
        <v>152</v>
      </c>
      <c r="B226" s="988">
        <v>41639</v>
      </c>
      <c r="C226" s="899" t="s">
        <v>9552</v>
      </c>
      <c r="D226" s="988" t="s">
        <v>2666</v>
      </c>
      <c r="E226" s="989">
        <v>297.86</v>
      </c>
      <c r="F226" s="990"/>
      <c r="G226" s="990"/>
      <c r="H226" s="990"/>
      <c r="I226" s="990"/>
      <c r="J226" s="990"/>
      <c r="K226" s="990"/>
      <c r="L226" s="990"/>
      <c r="M226" s="990"/>
      <c r="N226" s="990"/>
      <c r="O226" s="990"/>
      <c r="P226" s="990"/>
      <c r="Q226" s="990"/>
      <c r="R226" s="990"/>
      <c r="S226" s="990"/>
      <c r="T226" s="990"/>
      <c r="U226" s="990"/>
      <c r="V226" s="990"/>
      <c r="W226" s="990"/>
      <c r="X226" s="990"/>
    </row>
    <row r="227" spans="1:24" s="896" customFormat="1">
      <c r="A227" s="987">
        <f t="shared" si="4"/>
        <v>153</v>
      </c>
      <c r="B227" s="988">
        <v>11789</v>
      </c>
      <c r="C227" s="899" t="s">
        <v>9553</v>
      </c>
      <c r="D227" s="988" t="s">
        <v>2666</v>
      </c>
      <c r="E227" s="989">
        <v>0.62</v>
      </c>
      <c r="F227" s="990"/>
      <c r="G227" s="990"/>
      <c r="H227" s="990"/>
      <c r="I227" s="990"/>
      <c r="J227" s="990"/>
      <c r="K227" s="990"/>
      <c r="L227" s="990"/>
      <c r="M227" s="990"/>
      <c r="N227" s="990"/>
      <c r="O227" s="990"/>
      <c r="P227" s="990"/>
      <c r="Q227" s="990"/>
      <c r="R227" s="990"/>
      <c r="S227" s="990"/>
      <c r="T227" s="990"/>
      <c r="U227" s="990"/>
      <c r="V227" s="990"/>
      <c r="W227" s="990"/>
      <c r="X227" s="990"/>
    </row>
    <row r="228" spans="1:24" s="896" customFormat="1" ht="25.5">
      <c r="A228" s="987">
        <f t="shared" si="4"/>
        <v>154</v>
      </c>
      <c r="B228" s="988">
        <v>20975</v>
      </c>
      <c r="C228" s="899" t="s">
        <v>9554</v>
      </c>
      <c r="D228" s="988" t="s">
        <v>2666</v>
      </c>
      <c r="E228" s="989">
        <v>15.66</v>
      </c>
      <c r="F228" s="990"/>
      <c r="G228" s="990"/>
      <c r="H228" s="990"/>
      <c r="I228" s="990"/>
      <c r="J228" s="990"/>
      <c r="K228" s="990"/>
      <c r="L228" s="990"/>
      <c r="M228" s="990"/>
      <c r="N228" s="990"/>
      <c r="O228" s="990"/>
      <c r="P228" s="990"/>
      <c r="Q228" s="990"/>
      <c r="R228" s="990"/>
      <c r="S228" s="990"/>
      <c r="T228" s="990"/>
      <c r="U228" s="990"/>
      <c r="V228" s="990"/>
      <c r="W228" s="990"/>
      <c r="X228" s="990"/>
    </row>
    <row r="229" spans="1:24" s="896" customFormat="1" ht="25.5">
      <c r="A229" s="987">
        <f t="shared" si="4"/>
        <v>155</v>
      </c>
      <c r="B229" s="988">
        <v>20976</v>
      </c>
      <c r="C229" s="899" t="s">
        <v>9555</v>
      </c>
      <c r="D229" s="988" t="s">
        <v>2666</v>
      </c>
      <c r="E229" s="989">
        <v>23.66</v>
      </c>
      <c r="F229" s="990"/>
      <c r="G229" s="990"/>
      <c r="H229" s="990"/>
      <c r="I229" s="990"/>
      <c r="J229" s="990"/>
      <c r="K229" s="990"/>
      <c r="L229" s="990"/>
      <c r="M229" s="990"/>
      <c r="N229" s="990"/>
      <c r="O229" s="990"/>
      <c r="P229" s="990"/>
      <c r="Q229" s="990"/>
      <c r="R229" s="990"/>
      <c r="S229" s="990"/>
      <c r="T229" s="990"/>
      <c r="U229" s="990"/>
      <c r="V229" s="990"/>
      <c r="W229" s="990"/>
      <c r="X229" s="990"/>
    </row>
    <row r="230" spans="1:24" s="896" customFormat="1">
      <c r="A230" s="987">
        <f t="shared" si="4"/>
        <v>156</v>
      </c>
      <c r="B230" s="988">
        <v>40340</v>
      </c>
      <c r="C230" s="899" t="s">
        <v>9556</v>
      </c>
      <c r="D230" s="988" t="s">
        <v>2666</v>
      </c>
      <c r="E230" s="989">
        <v>19.86</v>
      </c>
      <c r="F230" s="990"/>
      <c r="G230" s="990"/>
      <c r="H230" s="990"/>
      <c r="I230" s="990"/>
      <c r="J230" s="990"/>
      <c r="K230" s="990"/>
      <c r="L230" s="990"/>
      <c r="M230" s="990"/>
      <c r="N230" s="990"/>
      <c r="O230" s="990"/>
      <c r="P230" s="990"/>
      <c r="Q230" s="990"/>
      <c r="R230" s="990"/>
      <c r="S230" s="990"/>
      <c r="T230" s="990"/>
      <c r="U230" s="990"/>
      <c r="V230" s="990"/>
      <c r="W230" s="990"/>
      <c r="X230" s="990"/>
    </row>
    <row r="231" spans="1:24" s="896" customFormat="1">
      <c r="A231" s="987">
        <f t="shared" si="4"/>
        <v>157</v>
      </c>
      <c r="B231" s="988">
        <v>40341</v>
      </c>
      <c r="C231" s="899" t="s">
        <v>9557</v>
      </c>
      <c r="D231" s="988" t="s">
        <v>2666</v>
      </c>
      <c r="E231" s="989">
        <v>23.7</v>
      </c>
      <c r="F231" s="990"/>
      <c r="G231" s="990"/>
      <c r="H231" s="990"/>
      <c r="I231" s="990"/>
      <c r="J231" s="990"/>
      <c r="K231" s="990"/>
      <c r="L231" s="990"/>
      <c r="M231" s="990"/>
      <c r="N231" s="990"/>
      <c r="O231" s="990"/>
      <c r="P231" s="990"/>
      <c r="Q231" s="990"/>
      <c r="R231" s="990"/>
      <c r="S231" s="990"/>
      <c r="T231" s="990"/>
      <c r="U231" s="990"/>
      <c r="V231" s="990"/>
      <c r="W231" s="990"/>
      <c r="X231" s="990"/>
    </row>
    <row r="232" spans="1:24" s="896" customFormat="1">
      <c r="A232" s="987">
        <f t="shared" si="4"/>
        <v>158</v>
      </c>
      <c r="B232" s="988">
        <v>40342</v>
      </c>
      <c r="C232" s="899" t="s">
        <v>9558</v>
      </c>
      <c r="D232" s="988" t="s">
        <v>2666</v>
      </c>
      <c r="E232" s="989">
        <v>28.27</v>
      </c>
      <c r="F232" s="990"/>
      <c r="G232" s="990"/>
      <c r="H232" s="990"/>
      <c r="I232" s="990"/>
      <c r="J232" s="990"/>
      <c r="K232" s="990"/>
      <c r="L232" s="990"/>
      <c r="M232" s="990"/>
      <c r="N232" s="990"/>
      <c r="O232" s="990"/>
      <c r="P232" s="990"/>
      <c r="Q232" s="990"/>
      <c r="R232" s="990"/>
      <c r="S232" s="990"/>
      <c r="T232" s="990"/>
      <c r="U232" s="990"/>
      <c r="V232" s="990"/>
      <c r="W232" s="990"/>
      <c r="X232" s="990"/>
    </row>
    <row r="233" spans="1:24" s="896" customFormat="1">
      <c r="A233" s="987">
        <f t="shared" si="4"/>
        <v>159</v>
      </c>
      <c r="B233" s="988">
        <v>40343</v>
      </c>
      <c r="C233" s="899" t="s">
        <v>9559</v>
      </c>
      <c r="D233" s="988" t="s">
        <v>2666</v>
      </c>
      <c r="E233" s="989">
        <v>33.53</v>
      </c>
      <c r="F233" s="990"/>
      <c r="G233" s="990"/>
      <c r="H233" s="990"/>
      <c r="I233" s="990"/>
      <c r="J233" s="990"/>
      <c r="K233" s="990"/>
      <c r="L233" s="990"/>
      <c r="M233" s="990"/>
      <c r="N233" s="990"/>
      <c r="O233" s="990"/>
      <c r="P233" s="990"/>
      <c r="Q233" s="990"/>
      <c r="R233" s="990"/>
      <c r="S233" s="990"/>
      <c r="T233" s="990"/>
      <c r="U233" s="990"/>
      <c r="V233" s="990"/>
      <c r="W233" s="990"/>
      <c r="X233" s="990"/>
    </row>
    <row r="234" spans="1:24" s="896" customFormat="1">
      <c r="A234" s="987">
        <f t="shared" si="4"/>
        <v>160</v>
      </c>
      <c r="B234" s="988">
        <v>40344</v>
      </c>
      <c r="C234" s="899" t="s">
        <v>9560</v>
      </c>
      <c r="D234" s="988" t="s">
        <v>2666</v>
      </c>
      <c r="E234" s="989">
        <v>45.71</v>
      </c>
      <c r="F234" s="990"/>
      <c r="G234" s="990"/>
      <c r="H234" s="990"/>
      <c r="I234" s="990"/>
      <c r="J234" s="990"/>
      <c r="K234" s="990"/>
      <c r="L234" s="990"/>
      <c r="M234" s="990"/>
      <c r="N234" s="990"/>
      <c r="O234" s="990"/>
      <c r="P234" s="990"/>
      <c r="Q234" s="990"/>
      <c r="R234" s="990"/>
      <c r="S234" s="990"/>
      <c r="T234" s="990"/>
      <c r="U234" s="990"/>
      <c r="V234" s="990"/>
      <c r="W234" s="990"/>
      <c r="X234" s="990"/>
    </row>
    <row r="235" spans="1:24" s="896" customFormat="1">
      <c r="A235" s="987">
        <f t="shared" si="4"/>
        <v>161</v>
      </c>
      <c r="B235" s="988">
        <v>40345</v>
      </c>
      <c r="C235" s="899" t="s">
        <v>9561</v>
      </c>
      <c r="D235" s="988" t="s">
        <v>2666</v>
      </c>
      <c r="E235" s="989">
        <v>56.32</v>
      </c>
      <c r="F235" s="990"/>
      <c r="G235" s="990"/>
      <c r="H235" s="990"/>
      <c r="I235" s="990"/>
      <c r="J235" s="990"/>
      <c r="K235" s="990"/>
      <c r="L235" s="990"/>
      <c r="M235" s="990"/>
      <c r="N235" s="990"/>
      <c r="O235" s="990"/>
      <c r="P235" s="990"/>
      <c r="Q235" s="990"/>
      <c r="R235" s="990"/>
      <c r="S235" s="990"/>
      <c r="T235" s="990"/>
      <c r="U235" s="990"/>
      <c r="V235" s="990"/>
      <c r="W235" s="990"/>
      <c r="X235" s="990"/>
    </row>
    <row r="236" spans="1:24" s="896" customFormat="1">
      <c r="A236" s="987">
        <f t="shared" si="4"/>
        <v>162</v>
      </c>
      <c r="B236" s="988">
        <v>40346</v>
      </c>
      <c r="C236" s="899" t="s">
        <v>9562</v>
      </c>
      <c r="D236" s="988" t="s">
        <v>2666</v>
      </c>
      <c r="E236" s="989">
        <v>65.34</v>
      </c>
      <c r="F236" s="990"/>
      <c r="G236" s="990"/>
      <c r="H236" s="990"/>
      <c r="I236" s="990"/>
      <c r="J236" s="990"/>
      <c r="K236" s="990"/>
      <c r="L236" s="990"/>
      <c r="M236" s="990"/>
      <c r="N236" s="990"/>
      <c r="O236" s="990"/>
      <c r="P236" s="990"/>
      <c r="Q236" s="990"/>
      <c r="R236" s="990"/>
      <c r="S236" s="990"/>
      <c r="T236" s="990"/>
      <c r="U236" s="990"/>
      <c r="V236" s="990"/>
      <c r="W236" s="990"/>
      <c r="X236" s="990"/>
    </row>
    <row r="237" spans="1:24" s="896" customFormat="1">
      <c r="A237" s="987">
        <f t="shared" si="4"/>
        <v>163</v>
      </c>
      <c r="B237" s="988">
        <v>40347</v>
      </c>
      <c r="C237" s="899" t="s">
        <v>9563</v>
      </c>
      <c r="D237" s="988" t="s">
        <v>2666</v>
      </c>
      <c r="E237" s="989">
        <v>82.09</v>
      </c>
      <c r="F237" s="990"/>
      <c r="G237" s="990"/>
      <c r="H237" s="990"/>
      <c r="I237" s="990"/>
      <c r="J237" s="990"/>
      <c r="K237" s="990"/>
      <c r="L237" s="990"/>
      <c r="M237" s="990"/>
      <c r="N237" s="990"/>
      <c r="O237" s="990"/>
      <c r="P237" s="990"/>
      <c r="Q237" s="990"/>
      <c r="R237" s="990"/>
      <c r="S237" s="990"/>
      <c r="T237" s="990"/>
      <c r="U237" s="990"/>
      <c r="V237" s="990"/>
      <c r="W237" s="990"/>
      <c r="X237" s="990"/>
    </row>
    <row r="238" spans="1:24" s="896" customFormat="1">
      <c r="A238" s="987">
        <f t="shared" si="4"/>
        <v>164</v>
      </c>
      <c r="B238" s="988">
        <v>6138</v>
      </c>
      <c r="C238" s="899" t="s">
        <v>9564</v>
      </c>
      <c r="D238" s="988" t="s">
        <v>2666</v>
      </c>
      <c r="E238" s="989">
        <v>10.26</v>
      </c>
      <c r="F238" s="990"/>
      <c r="G238" s="990"/>
      <c r="H238" s="990"/>
      <c r="I238" s="990"/>
      <c r="J238" s="990"/>
      <c r="K238" s="990"/>
      <c r="L238" s="990"/>
      <c r="M238" s="990"/>
      <c r="N238" s="990"/>
      <c r="O238" s="990"/>
      <c r="P238" s="990"/>
      <c r="Q238" s="990"/>
      <c r="R238" s="990"/>
      <c r="S238" s="990"/>
      <c r="T238" s="990"/>
      <c r="U238" s="990"/>
      <c r="V238" s="990"/>
      <c r="W238" s="990"/>
      <c r="X238" s="990"/>
    </row>
    <row r="239" spans="1:24" s="896" customFormat="1">
      <c r="A239" s="987">
        <f t="shared" si="4"/>
        <v>165</v>
      </c>
      <c r="B239" s="988">
        <v>38840</v>
      </c>
      <c r="C239" s="899" t="s">
        <v>9565</v>
      </c>
      <c r="D239" s="988" t="s">
        <v>2666</v>
      </c>
      <c r="E239" s="989">
        <v>2.19</v>
      </c>
      <c r="F239" s="990"/>
      <c r="G239" s="990"/>
      <c r="H239" s="990"/>
      <c r="I239" s="990"/>
      <c r="J239" s="990"/>
      <c r="K239" s="990"/>
      <c r="L239" s="990"/>
      <c r="M239" s="990"/>
      <c r="N239" s="990"/>
      <c r="O239" s="990"/>
      <c r="P239" s="990"/>
      <c r="Q239" s="990"/>
      <c r="R239" s="990"/>
      <c r="S239" s="990"/>
      <c r="T239" s="990"/>
      <c r="U239" s="990"/>
      <c r="V239" s="990"/>
      <c r="W239" s="990"/>
      <c r="X239" s="990"/>
    </row>
    <row r="240" spans="1:24" s="896" customFormat="1">
      <c r="A240" s="987">
        <f t="shared" si="4"/>
        <v>166</v>
      </c>
      <c r="B240" s="988">
        <v>38841</v>
      </c>
      <c r="C240" s="899" t="s">
        <v>9566</v>
      </c>
      <c r="D240" s="988" t="s">
        <v>2666</v>
      </c>
      <c r="E240" s="989">
        <v>2.4300000000000002</v>
      </c>
      <c r="F240" s="990"/>
      <c r="G240" s="990"/>
      <c r="H240" s="990"/>
      <c r="I240" s="990"/>
      <c r="J240" s="990"/>
      <c r="K240" s="990"/>
      <c r="L240" s="990"/>
      <c r="M240" s="990"/>
      <c r="N240" s="990"/>
      <c r="O240" s="990"/>
      <c r="P240" s="990"/>
      <c r="Q240" s="990"/>
      <c r="R240" s="990"/>
      <c r="S240" s="990"/>
      <c r="T240" s="990"/>
      <c r="U240" s="990"/>
      <c r="V240" s="990"/>
      <c r="W240" s="990"/>
      <c r="X240" s="990"/>
    </row>
    <row r="241" spans="1:24" s="896" customFormat="1">
      <c r="A241" s="987">
        <f t="shared" si="4"/>
        <v>167</v>
      </c>
      <c r="B241" s="988">
        <v>38842</v>
      </c>
      <c r="C241" s="899" t="s">
        <v>9567</v>
      </c>
      <c r="D241" s="988" t="s">
        <v>2666</v>
      </c>
      <c r="E241" s="989">
        <v>4.8099999999999996</v>
      </c>
      <c r="F241" s="990"/>
      <c r="G241" s="990"/>
      <c r="H241" s="990"/>
      <c r="I241" s="990"/>
      <c r="J241" s="990"/>
      <c r="K241" s="990"/>
      <c r="L241" s="990"/>
      <c r="M241" s="990"/>
      <c r="N241" s="990"/>
      <c r="O241" s="990"/>
      <c r="P241" s="990"/>
      <c r="Q241" s="990"/>
      <c r="R241" s="990"/>
      <c r="S241" s="990"/>
      <c r="T241" s="990"/>
      <c r="U241" s="990"/>
      <c r="V241" s="990"/>
      <c r="W241" s="990"/>
      <c r="X241" s="990"/>
    </row>
    <row r="242" spans="1:24" s="896" customFormat="1">
      <c r="A242" s="987">
        <f t="shared" si="4"/>
        <v>168</v>
      </c>
      <c r="B242" s="988">
        <v>38843</v>
      </c>
      <c r="C242" s="899" t="s">
        <v>9568</v>
      </c>
      <c r="D242" s="988" t="s">
        <v>2666</v>
      </c>
      <c r="E242" s="989">
        <v>7.51</v>
      </c>
      <c r="F242" s="990"/>
      <c r="G242" s="990"/>
      <c r="H242" s="990"/>
      <c r="I242" s="990"/>
      <c r="J242" s="990"/>
      <c r="K242" s="990"/>
      <c r="L242" s="990"/>
      <c r="M242" s="990"/>
      <c r="N242" s="990"/>
      <c r="O242" s="990"/>
      <c r="P242" s="990"/>
      <c r="Q242" s="990"/>
      <c r="R242" s="990"/>
      <c r="S242" s="990"/>
      <c r="T242" s="990"/>
      <c r="U242" s="990"/>
      <c r="V242" s="990"/>
      <c r="W242" s="990"/>
      <c r="X242" s="990"/>
    </row>
    <row r="243" spans="1:24" s="896" customFormat="1" ht="25.5">
      <c r="A243" s="987">
        <f t="shared" si="4"/>
        <v>169</v>
      </c>
      <c r="B243" s="988">
        <v>43424</v>
      </c>
      <c r="C243" s="899" t="s">
        <v>9569</v>
      </c>
      <c r="D243" s="988" t="s">
        <v>2666</v>
      </c>
      <c r="E243" s="989">
        <v>382.77</v>
      </c>
      <c r="F243" s="990"/>
      <c r="G243" s="990"/>
      <c r="H243" s="990"/>
      <c r="I243" s="990"/>
      <c r="J243" s="990"/>
      <c r="K243" s="990"/>
      <c r="L243" s="990"/>
      <c r="M243" s="990"/>
      <c r="N243" s="990"/>
      <c r="O243" s="990"/>
      <c r="P243" s="990"/>
      <c r="Q243" s="990"/>
      <c r="R243" s="990"/>
      <c r="S243" s="990"/>
      <c r="T243" s="990"/>
      <c r="U243" s="990"/>
      <c r="V243" s="990"/>
      <c r="W243" s="990"/>
      <c r="X243" s="990"/>
    </row>
    <row r="244" spans="1:24" s="896" customFormat="1" ht="25.5">
      <c r="A244" s="987">
        <f t="shared" si="4"/>
        <v>170</v>
      </c>
      <c r="B244" s="988">
        <v>43426</v>
      </c>
      <c r="C244" s="899" t="s">
        <v>9570</v>
      </c>
      <c r="D244" s="988" t="s">
        <v>2666</v>
      </c>
      <c r="E244" s="989">
        <v>1320.18</v>
      </c>
      <c r="F244" s="990"/>
      <c r="G244" s="990"/>
      <c r="H244" s="990"/>
      <c r="I244" s="990"/>
      <c r="J244" s="990"/>
      <c r="K244" s="990"/>
      <c r="L244" s="990"/>
      <c r="M244" s="990"/>
      <c r="N244" s="990"/>
      <c r="O244" s="990"/>
      <c r="P244" s="990"/>
      <c r="Q244" s="990"/>
      <c r="R244" s="990"/>
      <c r="S244" s="990"/>
      <c r="T244" s="990"/>
      <c r="U244" s="990"/>
      <c r="V244" s="990"/>
      <c r="W244" s="990"/>
      <c r="X244" s="990"/>
    </row>
    <row r="245" spans="1:24" s="896" customFormat="1" ht="25.5">
      <c r="A245" s="987">
        <f t="shared" si="4"/>
        <v>171</v>
      </c>
      <c r="B245" s="988">
        <v>12565</v>
      </c>
      <c r="C245" s="899" t="s">
        <v>9571</v>
      </c>
      <c r="D245" s="988" t="s">
        <v>2666</v>
      </c>
      <c r="E245" s="989">
        <v>462.97</v>
      </c>
      <c r="F245" s="990"/>
      <c r="G245" s="990"/>
      <c r="H245" s="990"/>
      <c r="I245" s="990"/>
      <c r="J245" s="990"/>
      <c r="K245" s="990"/>
      <c r="L245" s="990"/>
      <c r="M245" s="990"/>
      <c r="N245" s="990"/>
      <c r="O245" s="990"/>
      <c r="P245" s="990"/>
      <c r="Q245" s="990"/>
      <c r="R245" s="990"/>
      <c r="S245" s="990"/>
      <c r="T245" s="990"/>
      <c r="U245" s="990"/>
      <c r="V245" s="990"/>
      <c r="W245" s="990"/>
      <c r="X245" s="990"/>
    </row>
    <row r="246" spans="1:24" s="896" customFormat="1" ht="25.5">
      <c r="A246" s="987">
        <f t="shared" si="4"/>
        <v>172</v>
      </c>
      <c r="B246" s="988">
        <v>12567</v>
      </c>
      <c r="C246" s="899" t="s">
        <v>9572</v>
      </c>
      <c r="D246" s="988" t="s">
        <v>2666</v>
      </c>
      <c r="E246" s="989">
        <v>621.84</v>
      </c>
      <c r="F246" s="990"/>
      <c r="G246" s="990"/>
      <c r="H246" s="990"/>
      <c r="I246" s="990"/>
      <c r="J246" s="990"/>
      <c r="K246" s="990"/>
      <c r="L246" s="990"/>
      <c r="M246" s="990"/>
      <c r="N246" s="990"/>
      <c r="O246" s="990"/>
      <c r="P246" s="990"/>
      <c r="Q246" s="990"/>
      <c r="R246" s="990"/>
      <c r="S246" s="990"/>
      <c r="T246" s="990"/>
      <c r="U246" s="990"/>
      <c r="V246" s="990"/>
      <c r="W246" s="990"/>
      <c r="X246" s="990"/>
    </row>
    <row r="247" spans="1:24" s="896" customFormat="1" ht="25.5">
      <c r="A247" s="987">
        <f t="shared" si="4"/>
        <v>173</v>
      </c>
      <c r="B247" s="988">
        <v>12568</v>
      </c>
      <c r="C247" s="899" t="s">
        <v>9573</v>
      </c>
      <c r="D247" s="988" t="s">
        <v>2666</v>
      </c>
      <c r="E247" s="989">
        <v>870.58</v>
      </c>
      <c r="F247" s="990"/>
      <c r="G247" s="990"/>
      <c r="H247" s="990"/>
      <c r="I247" s="990"/>
      <c r="J247" s="990"/>
      <c r="K247" s="990"/>
      <c r="L247" s="990"/>
      <c r="M247" s="990"/>
      <c r="N247" s="990"/>
      <c r="O247" s="990"/>
      <c r="P247" s="990"/>
      <c r="Q247" s="990"/>
      <c r="R247" s="990"/>
      <c r="S247" s="990"/>
      <c r="T247" s="990"/>
      <c r="U247" s="990"/>
      <c r="V247" s="990"/>
      <c r="W247" s="990"/>
      <c r="X247" s="990"/>
    </row>
    <row r="248" spans="1:24" s="896" customFormat="1" ht="25.5">
      <c r="A248" s="987">
        <f t="shared" si="4"/>
        <v>174</v>
      </c>
      <c r="B248" s="988">
        <v>43441</v>
      </c>
      <c r="C248" s="899" t="s">
        <v>9574</v>
      </c>
      <c r="D248" s="988" t="s">
        <v>2666</v>
      </c>
      <c r="E248" s="989">
        <v>111.93</v>
      </c>
      <c r="F248" s="990"/>
      <c r="G248" s="990"/>
      <c r="H248" s="990"/>
      <c r="I248" s="990"/>
      <c r="J248" s="990"/>
      <c r="K248" s="990"/>
      <c r="L248" s="990"/>
      <c r="M248" s="990"/>
      <c r="N248" s="990"/>
      <c r="O248" s="990"/>
      <c r="P248" s="990"/>
      <c r="Q248" s="990"/>
      <c r="R248" s="990"/>
      <c r="S248" s="990"/>
      <c r="T248" s="990"/>
      <c r="U248" s="990"/>
      <c r="V248" s="990"/>
      <c r="W248" s="990"/>
      <c r="X248" s="990"/>
    </row>
    <row r="249" spans="1:24" s="896" customFormat="1" ht="25.5">
      <c r="A249" s="987">
        <f t="shared" si="4"/>
        <v>175</v>
      </c>
      <c r="B249" s="988">
        <v>43423</v>
      </c>
      <c r="C249" s="899" t="s">
        <v>9575</v>
      </c>
      <c r="D249" s="988" t="s">
        <v>2666</v>
      </c>
      <c r="E249" s="989">
        <v>52.23</v>
      </c>
      <c r="F249" s="990"/>
      <c r="G249" s="990"/>
      <c r="H249" s="990"/>
      <c r="I249" s="990"/>
      <c r="J249" s="990"/>
      <c r="K249" s="990"/>
      <c r="L249" s="990"/>
      <c r="M249" s="990"/>
      <c r="N249" s="990"/>
      <c r="O249" s="990"/>
      <c r="P249" s="990"/>
      <c r="Q249" s="990"/>
      <c r="R249" s="990"/>
      <c r="S249" s="990"/>
      <c r="T249" s="990"/>
      <c r="U249" s="990"/>
      <c r="V249" s="990"/>
      <c r="W249" s="990"/>
      <c r="X249" s="990"/>
    </row>
    <row r="250" spans="1:24" s="896" customFormat="1" ht="25.5">
      <c r="A250" s="987">
        <f t="shared" si="4"/>
        <v>176</v>
      </c>
      <c r="B250" s="988">
        <v>12532</v>
      </c>
      <c r="C250" s="899" t="s">
        <v>9576</v>
      </c>
      <c r="D250" s="988" t="s">
        <v>2666</v>
      </c>
      <c r="E250" s="989">
        <v>80.56</v>
      </c>
      <c r="F250" s="990"/>
      <c r="G250" s="990"/>
      <c r="H250" s="990"/>
      <c r="I250" s="990"/>
      <c r="J250" s="990"/>
      <c r="K250" s="990"/>
      <c r="L250" s="990"/>
      <c r="M250" s="990"/>
      <c r="N250" s="990"/>
      <c r="O250" s="990"/>
      <c r="P250" s="990"/>
      <c r="Q250" s="990"/>
      <c r="R250" s="990"/>
      <c r="S250" s="990"/>
      <c r="T250" s="990"/>
      <c r="U250" s="990"/>
      <c r="V250" s="990"/>
      <c r="W250" s="990"/>
      <c r="X250" s="990"/>
    </row>
    <row r="251" spans="1:24" s="896" customFormat="1" ht="38.25">
      <c r="A251" s="987">
        <f t="shared" si="4"/>
        <v>177</v>
      </c>
      <c r="B251" s="988">
        <v>43444</v>
      </c>
      <c r="C251" s="899" t="s">
        <v>9577</v>
      </c>
      <c r="D251" s="988" t="s">
        <v>2666</v>
      </c>
      <c r="E251" s="989">
        <v>270.5</v>
      </c>
      <c r="F251" s="990"/>
      <c r="G251" s="990"/>
      <c r="H251" s="990"/>
      <c r="I251" s="990"/>
      <c r="J251" s="990"/>
      <c r="K251" s="990"/>
      <c r="L251" s="990"/>
      <c r="M251" s="990"/>
      <c r="N251" s="990"/>
      <c r="O251" s="990"/>
      <c r="P251" s="990"/>
      <c r="Q251" s="990"/>
      <c r="R251" s="990"/>
      <c r="S251" s="990"/>
      <c r="T251" s="990"/>
      <c r="U251" s="990"/>
      <c r="V251" s="990"/>
      <c r="W251" s="990"/>
      <c r="X251" s="990"/>
    </row>
    <row r="252" spans="1:24" s="896" customFormat="1" ht="25.5">
      <c r="A252" s="987">
        <f t="shared" si="4"/>
        <v>178</v>
      </c>
      <c r="B252" s="988">
        <v>12551</v>
      </c>
      <c r="C252" s="899" t="s">
        <v>9578</v>
      </c>
      <c r="D252" s="988" t="s">
        <v>2666</v>
      </c>
      <c r="E252" s="989">
        <v>192.99</v>
      </c>
      <c r="F252" s="990"/>
      <c r="G252" s="990"/>
      <c r="H252" s="990"/>
      <c r="I252" s="990"/>
      <c r="J252" s="990"/>
      <c r="K252" s="990"/>
      <c r="L252" s="990"/>
      <c r="M252" s="990"/>
      <c r="N252" s="990"/>
      <c r="O252" s="990"/>
      <c r="P252" s="990"/>
      <c r="Q252" s="990"/>
      <c r="R252" s="990"/>
      <c r="S252" s="990"/>
      <c r="T252" s="990"/>
      <c r="U252" s="990"/>
      <c r="V252" s="990"/>
      <c r="W252" s="990"/>
      <c r="X252" s="990"/>
    </row>
    <row r="253" spans="1:24" s="896" customFormat="1" ht="38.25">
      <c r="A253" s="987">
        <f t="shared" si="4"/>
        <v>179</v>
      </c>
      <c r="B253" s="988">
        <v>43442</v>
      </c>
      <c r="C253" s="899" t="s">
        <v>9579</v>
      </c>
      <c r="D253" s="988" t="s">
        <v>2666</v>
      </c>
      <c r="E253" s="989">
        <v>149.24</v>
      </c>
      <c r="F253" s="990"/>
      <c r="G253" s="990"/>
      <c r="H253" s="990"/>
      <c r="I253" s="990"/>
      <c r="J253" s="990"/>
      <c r="K253" s="990"/>
      <c r="L253" s="990"/>
      <c r="M253" s="990"/>
      <c r="N253" s="990"/>
      <c r="O253" s="990"/>
      <c r="P253" s="990"/>
      <c r="Q253" s="990"/>
      <c r="R253" s="990"/>
      <c r="S253" s="990"/>
      <c r="T253" s="990"/>
      <c r="U253" s="990"/>
      <c r="V253" s="990"/>
      <c r="W253" s="990"/>
      <c r="X253" s="990"/>
    </row>
    <row r="254" spans="1:24" s="896" customFormat="1" ht="38.25">
      <c r="A254" s="987">
        <f t="shared" si="4"/>
        <v>180</v>
      </c>
      <c r="B254" s="988">
        <v>43443</v>
      </c>
      <c r="C254" s="899" t="s">
        <v>9580</v>
      </c>
      <c r="D254" s="988" t="s">
        <v>2666</v>
      </c>
      <c r="E254" s="989">
        <v>195.88</v>
      </c>
      <c r="F254" s="990"/>
      <c r="G254" s="990"/>
      <c r="H254" s="990"/>
      <c r="I254" s="990"/>
      <c r="J254" s="990"/>
      <c r="K254" s="990"/>
      <c r="L254" s="990"/>
      <c r="M254" s="990"/>
      <c r="N254" s="990"/>
      <c r="O254" s="990"/>
      <c r="P254" s="990"/>
      <c r="Q254" s="990"/>
      <c r="R254" s="990"/>
      <c r="S254" s="990"/>
      <c r="T254" s="990"/>
      <c r="U254" s="990"/>
      <c r="V254" s="990"/>
      <c r="W254" s="990"/>
      <c r="X254" s="990"/>
    </row>
    <row r="255" spans="1:24" s="896" customFormat="1" ht="25.5">
      <c r="A255" s="987">
        <f t="shared" si="4"/>
        <v>181</v>
      </c>
      <c r="B255" s="988">
        <v>12544</v>
      </c>
      <c r="C255" s="899" t="s">
        <v>9581</v>
      </c>
      <c r="D255" s="988" t="s">
        <v>2666</v>
      </c>
      <c r="E255" s="989">
        <v>105.71</v>
      </c>
      <c r="F255" s="990"/>
      <c r="G255" s="990"/>
      <c r="H255" s="990"/>
      <c r="I255" s="990"/>
      <c r="J255" s="990"/>
      <c r="K255" s="990"/>
      <c r="L255" s="990"/>
      <c r="M255" s="990"/>
      <c r="N255" s="990"/>
      <c r="O255" s="990"/>
      <c r="P255" s="990"/>
      <c r="Q255" s="990"/>
      <c r="R255" s="990"/>
      <c r="S255" s="990"/>
      <c r="T255" s="990"/>
      <c r="U255" s="990"/>
      <c r="V255" s="990"/>
      <c r="W255" s="990"/>
      <c r="X255" s="990"/>
    </row>
    <row r="256" spans="1:24" s="896" customFormat="1" ht="25.5">
      <c r="A256" s="987">
        <f t="shared" si="4"/>
        <v>182</v>
      </c>
      <c r="B256" s="988">
        <v>12547</v>
      </c>
      <c r="C256" s="899" t="s">
        <v>9582</v>
      </c>
      <c r="D256" s="988" t="s">
        <v>2666</v>
      </c>
      <c r="E256" s="989">
        <v>142.16999999999999</v>
      </c>
      <c r="F256" s="990"/>
      <c r="G256" s="990"/>
      <c r="H256" s="990"/>
      <c r="I256" s="990"/>
      <c r="J256" s="990"/>
      <c r="K256" s="990"/>
      <c r="L256" s="990"/>
      <c r="M256" s="990"/>
      <c r="N256" s="990"/>
      <c r="O256" s="990"/>
      <c r="P256" s="990"/>
      <c r="Q256" s="990"/>
      <c r="R256" s="990"/>
      <c r="S256" s="990"/>
      <c r="T256" s="990"/>
      <c r="U256" s="990"/>
      <c r="V256" s="990"/>
      <c r="W256" s="990"/>
      <c r="X256" s="990"/>
    </row>
    <row r="257" spans="1:24" s="896" customFormat="1" ht="38.25">
      <c r="A257" s="987">
        <f t="shared" si="4"/>
        <v>183</v>
      </c>
      <c r="B257" s="988">
        <v>43445</v>
      </c>
      <c r="C257" s="899" t="s">
        <v>9583</v>
      </c>
      <c r="D257" s="988" t="s">
        <v>2666</v>
      </c>
      <c r="E257" s="989">
        <v>373.1</v>
      </c>
      <c r="F257" s="990"/>
      <c r="G257" s="990"/>
      <c r="H257" s="990"/>
      <c r="I257" s="990"/>
      <c r="J257" s="990"/>
      <c r="K257" s="990"/>
      <c r="L257" s="990"/>
      <c r="M257" s="990"/>
      <c r="N257" s="990"/>
      <c r="O257" s="990"/>
      <c r="P257" s="990"/>
      <c r="Q257" s="990"/>
      <c r="R257" s="990"/>
      <c r="S257" s="990"/>
      <c r="T257" s="990"/>
      <c r="U257" s="990"/>
      <c r="V257" s="990"/>
      <c r="W257" s="990"/>
      <c r="X257" s="990"/>
    </row>
    <row r="258" spans="1:24" s="896" customFormat="1" ht="25.5">
      <c r="A258" s="987">
        <f t="shared" si="4"/>
        <v>184</v>
      </c>
      <c r="B258" s="988">
        <v>12563</v>
      </c>
      <c r="C258" s="899" t="s">
        <v>9584</v>
      </c>
      <c r="D258" s="988" t="s">
        <v>2666</v>
      </c>
      <c r="E258" s="989">
        <v>266.94</v>
      </c>
      <c r="F258" s="990"/>
      <c r="G258" s="990"/>
      <c r="H258" s="990"/>
      <c r="I258" s="990"/>
      <c r="J258" s="990"/>
      <c r="K258" s="990"/>
      <c r="L258" s="990"/>
      <c r="M258" s="990"/>
      <c r="N258" s="990"/>
      <c r="O258" s="990"/>
      <c r="P258" s="990"/>
      <c r="Q258" s="990"/>
      <c r="R258" s="990"/>
      <c r="S258" s="990"/>
      <c r="T258" s="990"/>
      <c r="U258" s="990"/>
      <c r="V258" s="990"/>
      <c r="W258" s="990"/>
      <c r="X258" s="990"/>
    </row>
    <row r="259" spans="1:24" s="896" customFormat="1" ht="25.5">
      <c r="A259" s="987">
        <f t="shared" si="4"/>
        <v>185</v>
      </c>
      <c r="B259" s="988">
        <v>43425</v>
      </c>
      <c r="C259" s="899" t="s">
        <v>9585</v>
      </c>
      <c r="D259" s="988" t="s">
        <v>2666</v>
      </c>
      <c r="E259" s="989">
        <v>167.89</v>
      </c>
      <c r="F259" s="990"/>
      <c r="G259" s="990"/>
      <c r="H259" s="990"/>
      <c r="I259" s="990"/>
      <c r="J259" s="990"/>
      <c r="K259" s="990"/>
      <c r="L259" s="990"/>
      <c r="M259" s="990"/>
      <c r="N259" s="990"/>
      <c r="O259" s="990"/>
      <c r="P259" s="990"/>
      <c r="Q259" s="990"/>
      <c r="R259" s="990"/>
      <c r="S259" s="990"/>
      <c r="T259" s="990"/>
      <c r="U259" s="990"/>
      <c r="V259" s="990"/>
      <c r="W259" s="990"/>
      <c r="X259" s="990"/>
    </row>
    <row r="260" spans="1:24" s="896" customFormat="1" ht="25.5">
      <c r="A260" s="987">
        <f t="shared" si="4"/>
        <v>186</v>
      </c>
      <c r="B260" s="988">
        <v>43446</v>
      </c>
      <c r="C260" s="899" t="s">
        <v>9586</v>
      </c>
      <c r="D260" s="988" t="s">
        <v>2666</v>
      </c>
      <c r="E260" s="989">
        <v>354.45</v>
      </c>
      <c r="F260" s="990"/>
      <c r="G260" s="990"/>
      <c r="H260" s="990"/>
      <c r="I260" s="990"/>
      <c r="J260" s="990"/>
      <c r="K260" s="990"/>
      <c r="L260" s="990"/>
      <c r="M260" s="990"/>
      <c r="N260" s="990"/>
      <c r="O260" s="990"/>
      <c r="P260" s="990"/>
      <c r="Q260" s="990"/>
      <c r="R260" s="990"/>
      <c r="S260" s="990"/>
      <c r="T260" s="990"/>
      <c r="U260" s="990"/>
      <c r="V260" s="990"/>
      <c r="W260" s="990"/>
      <c r="X260" s="990"/>
    </row>
    <row r="261" spans="1:24" s="896" customFormat="1" ht="25.5">
      <c r="A261" s="987">
        <f t="shared" si="4"/>
        <v>187</v>
      </c>
      <c r="B261" s="988">
        <v>43447</v>
      </c>
      <c r="C261" s="899" t="s">
        <v>9587</v>
      </c>
      <c r="D261" s="988" t="s">
        <v>2666</v>
      </c>
      <c r="E261" s="989">
        <v>435.29</v>
      </c>
      <c r="F261" s="990"/>
      <c r="G261" s="990"/>
      <c r="H261" s="990"/>
      <c r="I261" s="990"/>
      <c r="J261" s="990"/>
      <c r="K261" s="990"/>
      <c r="L261" s="990"/>
      <c r="M261" s="990"/>
      <c r="N261" s="990"/>
      <c r="O261" s="990"/>
      <c r="P261" s="990"/>
      <c r="Q261" s="990"/>
      <c r="R261" s="990"/>
      <c r="S261" s="990"/>
      <c r="T261" s="990"/>
      <c r="U261" s="990"/>
      <c r="V261" s="990"/>
      <c r="W261" s="990"/>
      <c r="X261" s="990"/>
    </row>
    <row r="262" spans="1:24" s="896" customFormat="1" ht="25.5">
      <c r="A262" s="987">
        <f t="shared" si="4"/>
        <v>188</v>
      </c>
      <c r="B262" s="988">
        <v>43448</v>
      </c>
      <c r="C262" s="899" t="s">
        <v>9588</v>
      </c>
      <c r="D262" s="988" t="s">
        <v>2666</v>
      </c>
      <c r="E262" s="989">
        <v>609.41</v>
      </c>
      <c r="F262" s="990"/>
      <c r="G262" s="990"/>
      <c r="H262" s="990"/>
      <c r="I262" s="990"/>
      <c r="J262" s="990"/>
      <c r="K262" s="990"/>
      <c r="L262" s="990"/>
      <c r="M262" s="990"/>
      <c r="N262" s="990"/>
      <c r="O262" s="990"/>
      <c r="P262" s="990"/>
      <c r="Q262" s="990"/>
      <c r="R262" s="990"/>
      <c r="S262" s="990"/>
      <c r="T262" s="990"/>
      <c r="U262" s="990"/>
      <c r="V262" s="990"/>
      <c r="W262" s="990"/>
      <c r="X262" s="990"/>
    </row>
    <row r="263" spans="1:24" s="896" customFormat="1" ht="25.5">
      <c r="A263" s="987">
        <f t="shared" si="4"/>
        <v>189</v>
      </c>
      <c r="B263" s="988">
        <v>13761</v>
      </c>
      <c r="C263" s="899" t="s">
        <v>9589</v>
      </c>
      <c r="D263" s="988" t="s">
        <v>2666</v>
      </c>
      <c r="E263" s="989">
        <v>2872.74</v>
      </c>
      <c r="F263" s="990"/>
      <c r="G263" s="990"/>
      <c r="H263" s="990"/>
      <c r="I263" s="990"/>
      <c r="J263" s="990"/>
      <c r="K263" s="990"/>
      <c r="L263" s="990"/>
      <c r="M263" s="990"/>
      <c r="N263" s="990"/>
      <c r="O263" s="990"/>
      <c r="P263" s="990"/>
      <c r="Q263" s="990"/>
      <c r="R263" s="990"/>
      <c r="S263" s="990"/>
      <c r="T263" s="990"/>
      <c r="U263" s="990"/>
      <c r="V263" s="990"/>
      <c r="W263" s="990"/>
      <c r="X263" s="990"/>
    </row>
    <row r="264" spans="1:24" s="896" customFormat="1" ht="25.5">
      <c r="A264" s="987">
        <f t="shared" si="4"/>
        <v>190</v>
      </c>
      <c r="B264" s="988">
        <v>4814</v>
      </c>
      <c r="C264" s="899" t="s">
        <v>9590</v>
      </c>
      <c r="D264" s="988" t="s">
        <v>2666</v>
      </c>
      <c r="E264" s="989">
        <v>89.54</v>
      </c>
      <c r="F264" s="990"/>
      <c r="G264" s="990"/>
      <c r="H264" s="990"/>
      <c r="I264" s="990"/>
      <c r="J264" s="990"/>
      <c r="K264" s="990"/>
      <c r="L264" s="990"/>
      <c r="M264" s="990"/>
      <c r="N264" s="990"/>
      <c r="O264" s="990"/>
      <c r="P264" s="990"/>
      <c r="Q264" s="990"/>
      <c r="R264" s="990"/>
      <c r="S264" s="990"/>
      <c r="T264" s="990"/>
      <c r="U264" s="990"/>
      <c r="V264" s="990"/>
      <c r="W264" s="990"/>
      <c r="X264" s="990"/>
    </row>
    <row r="265" spans="1:24" s="896" customFormat="1">
      <c r="A265" s="987">
        <f t="shared" si="4"/>
        <v>191</v>
      </c>
      <c r="B265" s="988">
        <v>44473</v>
      </c>
      <c r="C265" s="899" t="s">
        <v>9591</v>
      </c>
      <c r="D265" s="988" t="s">
        <v>2666</v>
      </c>
      <c r="E265" s="989">
        <v>2812.24</v>
      </c>
      <c r="F265" s="990"/>
      <c r="G265" s="990"/>
      <c r="H265" s="990"/>
      <c r="I265" s="990"/>
      <c r="J265" s="990"/>
      <c r="K265" s="990"/>
      <c r="L265" s="990"/>
      <c r="M265" s="990"/>
      <c r="N265" s="990"/>
      <c r="O265" s="990"/>
      <c r="P265" s="990"/>
      <c r="Q265" s="990"/>
      <c r="R265" s="990"/>
      <c r="S265" s="990"/>
      <c r="T265" s="990"/>
      <c r="U265" s="990"/>
      <c r="V265" s="990"/>
      <c r="W265" s="990"/>
      <c r="X265" s="990"/>
    </row>
    <row r="266" spans="1:24" s="896" customFormat="1">
      <c r="A266" s="987">
        <f t="shared" si="4"/>
        <v>192</v>
      </c>
      <c r="B266" s="988">
        <v>6122</v>
      </c>
      <c r="C266" s="899" t="s">
        <v>9592</v>
      </c>
      <c r="D266" s="988" t="s">
        <v>2665</v>
      </c>
      <c r="E266" s="989">
        <v>21.12</v>
      </c>
      <c r="F266" s="990"/>
      <c r="G266" s="990"/>
      <c r="H266" s="990"/>
      <c r="I266" s="990"/>
      <c r="J266" s="990"/>
      <c r="K266" s="990"/>
      <c r="L266" s="990"/>
      <c r="M266" s="990"/>
      <c r="N266" s="990"/>
      <c r="O266" s="990"/>
      <c r="P266" s="990"/>
      <c r="Q266" s="990"/>
      <c r="R266" s="990"/>
      <c r="S266" s="990"/>
      <c r="T266" s="990"/>
      <c r="U266" s="990"/>
      <c r="V266" s="990"/>
      <c r="W266" s="990"/>
      <c r="X266" s="990"/>
    </row>
    <row r="267" spans="1:24" s="896" customFormat="1">
      <c r="A267" s="987">
        <f t="shared" si="4"/>
        <v>193</v>
      </c>
      <c r="B267" s="988">
        <v>40810</v>
      </c>
      <c r="C267" s="899" t="s">
        <v>9593</v>
      </c>
      <c r="D267" s="988" t="s">
        <v>2672</v>
      </c>
      <c r="E267" s="989">
        <v>3713</v>
      </c>
      <c r="F267" s="990"/>
      <c r="G267" s="990"/>
      <c r="H267" s="990"/>
      <c r="I267" s="990"/>
      <c r="J267" s="990"/>
      <c r="K267" s="990"/>
      <c r="L267" s="990"/>
      <c r="M267" s="990"/>
      <c r="N267" s="990"/>
      <c r="O267" s="990"/>
      <c r="P267" s="990"/>
      <c r="Q267" s="990"/>
      <c r="R267" s="990"/>
      <c r="S267" s="990"/>
      <c r="T267" s="990"/>
      <c r="U267" s="990"/>
      <c r="V267" s="990"/>
      <c r="W267" s="990"/>
      <c r="X267" s="990"/>
    </row>
    <row r="268" spans="1:24" s="896" customFormat="1">
      <c r="A268" s="987">
        <f t="shared" ref="A268:A331" si="5">A267+1</f>
        <v>194</v>
      </c>
      <c r="B268" s="988">
        <v>21100</v>
      </c>
      <c r="C268" s="899" t="s">
        <v>9594</v>
      </c>
      <c r="D268" s="988" t="s">
        <v>2666</v>
      </c>
      <c r="E268" s="989">
        <v>2710.33</v>
      </c>
      <c r="F268" s="990"/>
      <c r="G268" s="990"/>
      <c r="H268" s="990"/>
      <c r="I268" s="990"/>
      <c r="J268" s="990"/>
      <c r="K268" s="990"/>
      <c r="L268" s="990"/>
      <c r="M268" s="990"/>
      <c r="N268" s="990"/>
      <c r="O268" s="990"/>
      <c r="P268" s="990"/>
      <c r="Q268" s="990"/>
      <c r="R268" s="990"/>
      <c r="S268" s="990"/>
      <c r="T268" s="990"/>
      <c r="U268" s="990"/>
      <c r="V268" s="990"/>
      <c r="W268" s="990"/>
      <c r="X268" s="990"/>
    </row>
    <row r="269" spans="1:24" s="896" customFormat="1" ht="25.5">
      <c r="A269" s="987">
        <f t="shared" si="5"/>
        <v>195</v>
      </c>
      <c r="B269" s="988">
        <v>11816</v>
      </c>
      <c r="C269" s="899" t="s">
        <v>9595</v>
      </c>
      <c r="D269" s="988" t="s">
        <v>2666</v>
      </c>
      <c r="E269" s="989">
        <v>2890</v>
      </c>
      <c r="F269" s="990"/>
      <c r="G269" s="990"/>
      <c r="H269" s="990"/>
      <c r="I269" s="990"/>
      <c r="J269" s="990"/>
      <c r="K269" s="990"/>
      <c r="L269" s="990"/>
      <c r="M269" s="990"/>
      <c r="N269" s="990"/>
      <c r="O269" s="990"/>
      <c r="P269" s="990"/>
      <c r="Q269" s="990"/>
      <c r="R269" s="990"/>
      <c r="S269" s="990"/>
      <c r="T269" s="990"/>
      <c r="U269" s="990"/>
      <c r="V269" s="990"/>
      <c r="W269" s="990"/>
      <c r="X269" s="990"/>
    </row>
    <row r="270" spans="1:24" s="896" customFormat="1" ht="25.5">
      <c r="A270" s="987">
        <f t="shared" si="5"/>
        <v>196</v>
      </c>
      <c r="B270" s="988">
        <v>11814</v>
      </c>
      <c r="C270" s="899" t="s">
        <v>9596</v>
      </c>
      <c r="D270" s="988" t="s">
        <v>2666</v>
      </c>
      <c r="E270" s="989">
        <v>6290.8</v>
      </c>
      <c r="F270" s="990"/>
      <c r="G270" s="990"/>
      <c r="H270" s="990"/>
      <c r="I270" s="990"/>
      <c r="J270" s="990"/>
      <c r="K270" s="990"/>
      <c r="L270" s="990"/>
      <c r="M270" s="990"/>
      <c r="N270" s="990"/>
      <c r="O270" s="990"/>
      <c r="P270" s="990"/>
      <c r="Q270" s="990"/>
      <c r="R270" s="990"/>
      <c r="S270" s="990"/>
      <c r="T270" s="990"/>
      <c r="U270" s="990"/>
      <c r="V270" s="990"/>
      <c r="W270" s="990"/>
      <c r="X270" s="990"/>
    </row>
    <row r="271" spans="1:24" s="896" customFormat="1" ht="38.25">
      <c r="A271" s="987">
        <f t="shared" si="5"/>
        <v>197</v>
      </c>
      <c r="B271" s="988">
        <v>14186</v>
      </c>
      <c r="C271" s="899" t="s">
        <v>9597</v>
      </c>
      <c r="D271" s="988" t="s">
        <v>2666</v>
      </c>
      <c r="E271" s="989">
        <v>7898.95</v>
      </c>
      <c r="F271" s="990"/>
      <c r="G271" s="990"/>
      <c r="H271" s="990"/>
      <c r="I271" s="990"/>
      <c r="J271" s="990"/>
      <c r="K271" s="990"/>
      <c r="L271" s="990"/>
      <c r="M271" s="990"/>
      <c r="N271" s="990"/>
      <c r="O271" s="990"/>
      <c r="P271" s="990"/>
      <c r="Q271" s="990"/>
      <c r="R271" s="990"/>
      <c r="S271" s="990"/>
      <c r="T271" s="990"/>
      <c r="U271" s="990"/>
      <c r="V271" s="990"/>
      <c r="W271" s="990"/>
      <c r="X271" s="990"/>
    </row>
    <row r="272" spans="1:24" s="896" customFormat="1" ht="25.5">
      <c r="A272" s="987">
        <f t="shared" si="5"/>
        <v>198</v>
      </c>
      <c r="B272" s="988">
        <v>14185</v>
      </c>
      <c r="C272" s="899" t="s">
        <v>9598</v>
      </c>
      <c r="D272" s="988" t="s">
        <v>2666</v>
      </c>
      <c r="E272" s="989">
        <v>10232.219999999999</v>
      </c>
      <c r="F272" s="990"/>
      <c r="G272" s="990"/>
      <c r="H272" s="990"/>
      <c r="I272" s="990"/>
      <c r="J272" s="990"/>
      <c r="K272" s="990"/>
      <c r="L272" s="990"/>
      <c r="M272" s="990"/>
      <c r="N272" s="990"/>
      <c r="O272" s="990"/>
      <c r="P272" s="990"/>
      <c r="Q272" s="990"/>
      <c r="R272" s="990"/>
      <c r="S272" s="990"/>
      <c r="T272" s="990"/>
      <c r="U272" s="990"/>
      <c r="V272" s="990"/>
      <c r="W272" s="990"/>
      <c r="X272" s="990"/>
    </row>
    <row r="273" spans="1:24" s="896" customFormat="1" ht="25.5">
      <c r="A273" s="987">
        <f t="shared" si="5"/>
        <v>199</v>
      </c>
      <c r="B273" s="988">
        <v>11811</v>
      </c>
      <c r="C273" s="899" t="s">
        <v>9599</v>
      </c>
      <c r="D273" s="988" t="s">
        <v>2666</v>
      </c>
      <c r="E273" s="989">
        <v>3912.41</v>
      </c>
      <c r="F273" s="990"/>
      <c r="G273" s="990"/>
      <c r="H273" s="990"/>
      <c r="I273" s="990"/>
      <c r="J273" s="990"/>
      <c r="K273" s="990"/>
      <c r="L273" s="990"/>
      <c r="M273" s="990"/>
      <c r="N273" s="990"/>
      <c r="O273" s="990"/>
      <c r="P273" s="990"/>
      <c r="Q273" s="990"/>
      <c r="R273" s="990"/>
      <c r="S273" s="990"/>
      <c r="T273" s="990"/>
      <c r="U273" s="990"/>
      <c r="V273" s="990"/>
      <c r="W273" s="990"/>
      <c r="X273" s="990"/>
    </row>
    <row r="274" spans="1:24" s="896" customFormat="1">
      <c r="A274" s="987">
        <f t="shared" si="5"/>
        <v>200</v>
      </c>
      <c r="B274" s="988">
        <v>44498</v>
      </c>
      <c r="C274" s="899" t="s">
        <v>9600</v>
      </c>
      <c r="D274" s="988" t="s">
        <v>2666</v>
      </c>
      <c r="E274" s="989">
        <v>337406.47</v>
      </c>
      <c r="F274" s="990"/>
      <c r="G274" s="990"/>
      <c r="H274" s="990"/>
      <c r="I274" s="990"/>
      <c r="J274" s="990"/>
      <c r="K274" s="990"/>
      <c r="L274" s="990"/>
      <c r="M274" s="990"/>
      <c r="N274" s="990"/>
      <c r="O274" s="990"/>
      <c r="P274" s="990"/>
      <c r="Q274" s="990"/>
      <c r="R274" s="990"/>
      <c r="S274" s="990"/>
      <c r="T274" s="990"/>
      <c r="U274" s="990"/>
      <c r="V274" s="990"/>
      <c r="W274" s="990"/>
      <c r="X274" s="990"/>
    </row>
    <row r="275" spans="1:24" s="896" customFormat="1" ht="25.5">
      <c r="A275" s="987">
        <f t="shared" si="5"/>
        <v>201</v>
      </c>
      <c r="B275" s="988">
        <v>34469</v>
      </c>
      <c r="C275" s="899" t="s">
        <v>9601</v>
      </c>
      <c r="D275" s="988" t="s">
        <v>2666</v>
      </c>
      <c r="E275" s="989">
        <v>10937.09</v>
      </c>
      <c r="F275" s="990"/>
      <c r="G275" s="990"/>
      <c r="H275" s="990"/>
      <c r="I275" s="990"/>
      <c r="J275" s="990"/>
      <c r="K275" s="990"/>
      <c r="L275" s="990"/>
      <c r="M275" s="990"/>
      <c r="N275" s="990"/>
      <c r="O275" s="990"/>
      <c r="P275" s="990"/>
      <c r="Q275" s="990"/>
      <c r="R275" s="990"/>
      <c r="S275" s="990"/>
      <c r="T275" s="990"/>
      <c r="U275" s="990"/>
      <c r="V275" s="990"/>
      <c r="W275" s="990"/>
      <c r="X275" s="990"/>
    </row>
    <row r="276" spans="1:24" s="896" customFormat="1" ht="25.5">
      <c r="A276" s="987">
        <f t="shared" si="5"/>
        <v>202</v>
      </c>
      <c r="B276" s="988">
        <v>34476</v>
      </c>
      <c r="C276" s="899" t="s">
        <v>9602</v>
      </c>
      <c r="D276" s="988" t="s">
        <v>2666</v>
      </c>
      <c r="E276" s="989">
        <v>5704.15</v>
      </c>
      <c r="F276" s="990"/>
      <c r="G276" s="990"/>
      <c r="H276" s="990"/>
      <c r="I276" s="990"/>
      <c r="J276" s="990"/>
      <c r="K276" s="990"/>
      <c r="L276" s="990"/>
      <c r="M276" s="990"/>
      <c r="N276" s="990"/>
      <c r="O276" s="990"/>
      <c r="P276" s="990"/>
      <c r="Q276" s="990"/>
      <c r="R276" s="990"/>
      <c r="S276" s="990"/>
      <c r="T276" s="990"/>
      <c r="U276" s="990"/>
      <c r="V276" s="990"/>
      <c r="W276" s="990"/>
      <c r="X276" s="990"/>
    </row>
    <row r="277" spans="1:24" s="896" customFormat="1" ht="25.5">
      <c r="A277" s="987">
        <f t="shared" si="5"/>
        <v>203</v>
      </c>
      <c r="B277" s="988">
        <v>34477</v>
      </c>
      <c r="C277" s="899" t="s">
        <v>9603</v>
      </c>
      <c r="D277" s="988" t="s">
        <v>2666</v>
      </c>
      <c r="E277" s="989">
        <v>7570.51</v>
      </c>
      <c r="F277" s="990"/>
      <c r="G277" s="990"/>
      <c r="H277" s="990"/>
      <c r="I277" s="990"/>
      <c r="J277" s="990"/>
      <c r="K277" s="990"/>
      <c r="L277" s="990"/>
      <c r="M277" s="990"/>
      <c r="N277" s="990"/>
      <c r="O277" s="990"/>
      <c r="P277" s="990"/>
      <c r="Q277" s="990"/>
      <c r="R277" s="990"/>
      <c r="S277" s="990"/>
      <c r="T277" s="990"/>
      <c r="U277" s="990"/>
      <c r="V277" s="990"/>
      <c r="W277" s="990"/>
      <c r="X277" s="990"/>
    </row>
    <row r="278" spans="1:24" s="896" customFormat="1" ht="25.5">
      <c r="A278" s="987">
        <f t="shared" si="5"/>
        <v>204</v>
      </c>
      <c r="B278" s="988">
        <v>34482</v>
      </c>
      <c r="C278" s="899" t="s">
        <v>9604</v>
      </c>
      <c r="D278" s="988" t="s">
        <v>2666</v>
      </c>
      <c r="E278" s="989">
        <v>7070.44</v>
      </c>
      <c r="F278" s="990"/>
      <c r="G278" s="990"/>
      <c r="H278" s="990"/>
      <c r="I278" s="990"/>
      <c r="J278" s="990"/>
      <c r="K278" s="990"/>
      <c r="L278" s="990"/>
      <c r="M278" s="990"/>
      <c r="N278" s="990"/>
      <c r="O278" s="990"/>
      <c r="P278" s="990"/>
      <c r="Q278" s="990"/>
      <c r="R278" s="990"/>
      <c r="S278" s="990"/>
      <c r="T278" s="990"/>
      <c r="U278" s="990"/>
      <c r="V278" s="990"/>
      <c r="W278" s="990"/>
      <c r="X278" s="990"/>
    </row>
    <row r="279" spans="1:24" s="896" customFormat="1" ht="38.25">
      <c r="A279" s="987">
        <f t="shared" si="5"/>
        <v>205</v>
      </c>
      <c r="B279" s="988">
        <v>34472</v>
      </c>
      <c r="C279" s="899" t="s">
        <v>9605</v>
      </c>
      <c r="D279" s="988" t="s">
        <v>2666</v>
      </c>
      <c r="E279" s="989">
        <v>3365</v>
      </c>
      <c r="F279" s="990"/>
      <c r="G279" s="990"/>
      <c r="H279" s="990"/>
      <c r="I279" s="990"/>
      <c r="J279" s="990"/>
      <c r="K279" s="990"/>
      <c r="L279" s="990"/>
      <c r="M279" s="990"/>
      <c r="N279" s="990"/>
      <c r="O279" s="990"/>
      <c r="P279" s="990"/>
      <c r="Q279" s="990"/>
      <c r="R279" s="990"/>
      <c r="S279" s="990"/>
      <c r="T279" s="990"/>
      <c r="U279" s="990"/>
      <c r="V279" s="990"/>
      <c r="W279" s="990"/>
      <c r="X279" s="990"/>
    </row>
    <row r="280" spans="1:24" s="896" customFormat="1" ht="25.5">
      <c r="A280" s="987">
        <f t="shared" si="5"/>
        <v>206</v>
      </c>
      <c r="B280" s="988">
        <v>42425</v>
      </c>
      <c r="C280" s="899" t="s">
        <v>9606</v>
      </c>
      <c r="D280" s="988" t="s">
        <v>2666</v>
      </c>
      <c r="E280" s="989">
        <v>2166.67</v>
      </c>
      <c r="F280" s="990"/>
      <c r="G280" s="990"/>
      <c r="H280" s="990"/>
      <c r="I280" s="990"/>
      <c r="J280" s="990"/>
      <c r="K280" s="990"/>
      <c r="L280" s="990"/>
      <c r="M280" s="990"/>
      <c r="N280" s="990"/>
      <c r="O280" s="990"/>
      <c r="P280" s="990"/>
      <c r="Q280" s="990"/>
      <c r="R280" s="990"/>
      <c r="S280" s="990"/>
      <c r="T280" s="990"/>
      <c r="U280" s="990"/>
      <c r="V280" s="990"/>
      <c r="W280" s="990"/>
      <c r="X280" s="990"/>
    </row>
    <row r="281" spans="1:24" s="896" customFormat="1" ht="25.5">
      <c r="A281" s="987">
        <f t="shared" si="5"/>
        <v>207</v>
      </c>
      <c r="B281" s="988">
        <v>42422</v>
      </c>
      <c r="C281" s="899" t="s">
        <v>9607</v>
      </c>
      <c r="D281" s="988" t="s">
        <v>2666</v>
      </c>
      <c r="E281" s="989">
        <v>3216.5</v>
      </c>
      <c r="F281" s="990"/>
      <c r="G281" s="990"/>
      <c r="H281" s="990"/>
      <c r="I281" s="990"/>
      <c r="J281" s="990"/>
      <c r="K281" s="990"/>
      <c r="L281" s="990"/>
      <c r="M281" s="990"/>
      <c r="N281" s="990"/>
      <c r="O281" s="990"/>
      <c r="P281" s="990"/>
      <c r="Q281" s="990"/>
      <c r="R281" s="990"/>
      <c r="S281" s="990"/>
      <c r="T281" s="990"/>
      <c r="U281" s="990"/>
      <c r="V281" s="990"/>
      <c r="W281" s="990"/>
      <c r="X281" s="990"/>
    </row>
    <row r="282" spans="1:24" s="896" customFormat="1" ht="25.5">
      <c r="A282" s="987">
        <f t="shared" si="5"/>
        <v>208</v>
      </c>
      <c r="B282" s="988">
        <v>43184</v>
      </c>
      <c r="C282" s="899" t="s">
        <v>9608</v>
      </c>
      <c r="D282" s="988" t="s">
        <v>2666</v>
      </c>
      <c r="E282" s="989">
        <v>4445.51</v>
      </c>
      <c r="F282" s="990"/>
      <c r="G282" s="990"/>
      <c r="H282" s="990"/>
      <c r="I282" s="990"/>
      <c r="J282" s="990"/>
      <c r="K282" s="990"/>
      <c r="L282" s="990"/>
      <c r="M282" s="990"/>
      <c r="N282" s="990"/>
      <c r="O282" s="990"/>
      <c r="P282" s="990"/>
      <c r="Q282" s="990"/>
      <c r="R282" s="990"/>
      <c r="S282" s="990"/>
      <c r="T282" s="990"/>
      <c r="U282" s="990"/>
      <c r="V282" s="990"/>
      <c r="W282" s="990"/>
      <c r="X282" s="990"/>
    </row>
    <row r="283" spans="1:24" s="896" customFormat="1" ht="25.5">
      <c r="A283" s="987">
        <f t="shared" si="5"/>
        <v>209</v>
      </c>
      <c r="B283" s="988">
        <v>42424</v>
      </c>
      <c r="C283" s="899" t="s">
        <v>9609</v>
      </c>
      <c r="D283" s="988" t="s">
        <v>2666</v>
      </c>
      <c r="E283" s="989">
        <v>1935.03</v>
      </c>
      <c r="F283" s="990"/>
      <c r="G283" s="990"/>
      <c r="H283" s="990"/>
      <c r="I283" s="990"/>
      <c r="J283" s="990"/>
      <c r="K283" s="990"/>
      <c r="L283" s="990"/>
      <c r="M283" s="990"/>
      <c r="N283" s="990"/>
      <c r="O283" s="990"/>
      <c r="P283" s="990"/>
      <c r="Q283" s="990"/>
      <c r="R283" s="990"/>
      <c r="S283" s="990"/>
      <c r="T283" s="990"/>
      <c r="U283" s="990"/>
      <c r="V283" s="990"/>
      <c r="W283" s="990"/>
      <c r="X283" s="990"/>
    </row>
    <row r="284" spans="1:24" s="896" customFormat="1" ht="38.25">
      <c r="A284" s="987">
        <f t="shared" si="5"/>
        <v>210</v>
      </c>
      <c r="B284" s="988">
        <v>42421</v>
      </c>
      <c r="C284" s="899" t="s">
        <v>9610</v>
      </c>
      <c r="D284" s="988" t="s">
        <v>2666</v>
      </c>
      <c r="E284" s="989">
        <v>17618.22</v>
      </c>
      <c r="F284" s="990"/>
      <c r="G284" s="990"/>
      <c r="H284" s="990"/>
      <c r="I284" s="990"/>
      <c r="J284" s="990"/>
      <c r="K284" s="990"/>
      <c r="L284" s="990"/>
      <c r="M284" s="990"/>
      <c r="N284" s="990"/>
      <c r="O284" s="990"/>
      <c r="P284" s="990"/>
      <c r="Q284" s="990"/>
      <c r="R284" s="990"/>
      <c r="S284" s="990"/>
      <c r="T284" s="990"/>
      <c r="U284" s="990"/>
      <c r="V284" s="990"/>
      <c r="W284" s="990"/>
      <c r="X284" s="990"/>
    </row>
    <row r="285" spans="1:24" s="896" customFormat="1" ht="25.5">
      <c r="A285" s="987">
        <f t="shared" si="5"/>
        <v>211</v>
      </c>
      <c r="B285" s="988">
        <v>42416</v>
      </c>
      <c r="C285" s="899" t="s">
        <v>9611</v>
      </c>
      <c r="D285" s="988" t="s">
        <v>2666</v>
      </c>
      <c r="E285" s="989">
        <v>8341.68</v>
      </c>
      <c r="F285" s="990"/>
      <c r="G285" s="990"/>
      <c r="H285" s="990"/>
      <c r="I285" s="990"/>
      <c r="J285" s="990"/>
      <c r="K285" s="990"/>
      <c r="L285" s="990"/>
      <c r="M285" s="990"/>
      <c r="N285" s="990"/>
      <c r="O285" s="990"/>
      <c r="P285" s="990"/>
      <c r="Q285" s="990"/>
      <c r="R285" s="990"/>
      <c r="S285" s="990"/>
      <c r="T285" s="990"/>
      <c r="U285" s="990"/>
      <c r="V285" s="990"/>
      <c r="W285" s="990"/>
      <c r="X285" s="990"/>
    </row>
    <row r="286" spans="1:24" s="896" customFormat="1" ht="25.5">
      <c r="A286" s="987">
        <f t="shared" si="5"/>
        <v>212</v>
      </c>
      <c r="B286" s="988">
        <v>42417</v>
      </c>
      <c r="C286" s="899" t="s">
        <v>9612</v>
      </c>
      <c r="D286" s="988" t="s">
        <v>2666</v>
      </c>
      <c r="E286" s="989">
        <v>9351.7099999999991</v>
      </c>
      <c r="F286" s="990"/>
      <c r="G286" s="990"/>
      <c r="H286" s="990"/>
      <c r="I286" s="990"/>
      <c r="J286" s="990"/>
      <c r="K286" s="990"/>
      <c r="L286" s="990"/>
      <c r="M286" s="990"/>
      <c r="N286" s="990"/>
      <c r="O286" s="990"/>
      <c r="P286" s="990"/>
      <c r="Q286" s="990"/>
      <c r="R286" s="990"/>
      <c r="S286" s="990"/>
      <c r="T286" s="990"/>
      <c r="U286" s="990"/>
      <c r="V286" s="990"/>
      <c r="W286" s="990"/>
      <c r="X286" s="990"/>
    </row>
    <row r="287" spans="1:24" s="896" customFormat="1" ht="25.5">
      <c r="A287" s="987">
        <f t="shared" si="5"/>
        <v>213</v>
      </c>
      <c r="B287" s="988">
        <v>42419</v>
      </c>
      <c r="C287" s="899" t="s">
        <v>9613</v>
      </c>
      <c r="D287" s="988" t="s">
        <v>2666</v>
      </c>
      <c r="E287" s="989">
        <v>10565.45</v>
      </c>
      <c r="F287" s="990"/>
      <c r="G287" s="990"/>
      <c r="H287" s="990"/>
      <c r="I287" s="990"/>
      <c r="J287" s="990"/>
      <c r="K287" s="990"/>
      <c r="L287" s="990"/>
      <c r="M287" s="990"/>
      <c r="N287" s="990"/>
      <c r="O287" s="990"/>
      <c r="P287" s="990"/>
      <c r="Q287" s="990"/>
      <c r="R287" s="990"/>
      <c r="S287" s="990"/>
      <c r="T287" s="990"/>
      <c r="U287" s="990"/>
      <c r="V287" s="990"/>
      <c r="W287" s="990"/>
      <c r="X287" s="990"/>
    </row>
    <row r="288" spans="1:24" s="896" customFormat="1" ht="25.5">
      <c r="A288" s="987">
        <f t="shared" si="5"/>
        <v>214</v>
      </c>
      <c r="B288" s="988">
        <v>42420</v>
      </c>
      <c r="C288" s="899" t="s">
        <v>9614</v>
      </c>
      <c r="D288" s="988" t="s">
        <v>2666</v>
      </c>
      <c r="E288" s="989">
        <v>14521.43</v>
      </c>
      <c r="F288" s="990"/>
      <c r="G288" s="990"/>
      <c r="H288" s="990"/>
      <c r="I288" s="990"/>
      <c r="J288" s="990"/>
      <c r="K288" s="990"/>
      <c r="L288" s="990"/>
      <c r="M288" s="990"/>
      <c r="N288" s="990"/>
      <c r="O288" s="990"/>
      <c r="P288" s="990"/>
      <c r="Q288" s="990"/>
      <c r="R288" s="990"/>
      <c r="S288" s="990"/>
      <c r="T288" s="990"/>
      <c r="U288" s="990"/>
      <c r="V288" s="990"/>
      <c r="W288" s="990"/>
      <c r="X288" s="990"/>
    </row>
    <row r="289" spans="1:24" s="896" customFormat="1" ht="25.5">
      <c r="A289" s="987">
        <f t="shared" si="5"/>
        <v>215</v>
      </c>
      <c r="B289" s="988">
        <v>43195</v>
      </c>
      <c r="C289" s="899" t="s">
        <v>9615</v>
      </c>
      <c r="D289" s="988" t="s">
        <v>2666</v>
      </c>
      <c r="E289" s="989">
        <v>5113.2</v>
      </c>
      <c r="F289" s="990"/>
      <c r="G289" s="990"/>
      <c r="H289" s="990"/>
      <c r="I289" s="990"/>
      <c r="J289" s="990"/>
      <c r="K289" s="990"/>
      <c r="L289" s="990"/>
      <c r="M289" s="990"/>
      <c r="N289" s="990"/>
      <c r="O289" s="990"/>
      <c r="P289" s="990"/>
      <c r="Q289" s="990"/>
      <c r="R289" s="990"/>
      <c r="S289" s="990"/>
      <c r="T289" s="990"/>
      <c r="U289" s="990"/>
      <c r="V289" s="990"/>
      <c r="W289" s="990"/>
      <c r="X289" s="990"/>
    </row>
    <row r="290" spans="1:24" s="896" customFormat="1" ht="25.5">
      <c r="A290" s="987">
        <f t="shared" si="5"/>
        <v>216</v>
      </c>
      <c r="B290" s="988">
        <v>43196</v>
      </c>
      <c r="C290" s="899" t="s">
        <v>9616</v>
      </c>
      <c r="D290" s="988" t="s">
        <v>2666</v>
      </c>
      <c r="E290" s="989">
        <v>6337.08</v>
      </c>
      <c r="F290" s="990"/>
      <c r="G290" s="990"/>
      <c r="H290" s="990"/>
      <c r="I290" s="990"/>
      <c r="J290" s="990"/>
      <c r="K290" s="990"/>
      <c r="L290" s="990"/>
      <c r="M290" s="990"/>
      <c r="N290" s="990"/>
      <c r="O290" s="990"/>
      <c r="P290" s="990"/>
      <c r="Q290" s="990"/>
      <c r="R290" s="990"/>
      <c r="S290" s="990"/>
      <c r="T290" s="990"/>
      <c r="U290" s="990"/>
      <c r="V290" s="990"/>
      <c r="W290" s="990"/>
      <c r="X290" s="990"/>
    </row>
    <row r="291" spans="1:24" s="896" customFormat="1" ht="25.5">
      <c r="A291" s="987">
        <f t="shared" si="5"/>
        <v>217</v>
      </c>
      <c r="B291" s="988">
        <v>43198</v>
      </c>
      <c r="C291" s="899" t="s">
        <v>9617</v>
      </c>
      <c r="D291" s="988" t="s">
        <v>2666</v>
      </c>
      <c r="E291" s="989">
        <v>9416.75</v>
      </c>
      <c r="F291" s="990"/>
      <c r="G291" s="990"/>
      <c r="H291" s="990"/>
      <c r="I291" s="990"/>
      <c r="J291" s="990"/>
      <c r="K291" s="990"/>
      <c r="L291" s="990"/>
      <c r="M291" s="990"/>
      <c r="N291" s="990"/>
      <c r="O291" s="990"/>
      <c r="P291" s="990"/>
      <c r="Q291" s="990"/>
      <c r="R291" s="990"/>
      <c r="S291" s="990"/>
      <c r="T291" s="990"/>
      <c r="U291" s="990"/>
      <c r="V291" s="990"/>
      <c r="W291" s="990"/>
      <c r="X291" s="990"/>
    </row>
    <row r="292" spans="1:24" s="896" customFormat="1" ht="25.5">
      <c r="A292" s="987">
        <f t="shared" si="5"/>
        <v>218</v>
      </c>
      <c r="B292" s="988">
        <v>43199</v>
      </c>
      <c r="C292" s="899" t="s">
        <v>9618</v>
      </c>
      <c r="D292" s="988" t="s">
        <v>2666</v>
      </c>
      <c r="E292" s="989">
        <v>9761.81</v>
      </c>
      <c r="F292" s="990"/>
      <c r="G292" s="990"/>
      <c r="H292" s="990"/>
      <c r="I292" s="990"/>
      <c r="J292" s="990"/>
      <c r="K292" s="990"/>
      <c r="L292" s="990"/>
      <c r="M292" s="990"/>
      <c r="N292" s="990"/>
      <c r="O292" s="990"/>
      <c r="P292" s="990"/>
      <c r="Q292" s="990"/>
      <c r="R292" s="990"/>
      <c r="S292" s="990"/>
      <c r="T292" s="990"/>
      <c r="U292" s="990"/>
      <c r="V292" s="990"/>
      <c r="W292" s="990"/>
      <c r="X292" s="990"/>
    </row>
    <row r="293" spans="1:24" s="896" customFormat="1" ht="25.5">
      <c r="A293" s="987">
        <f t="shared" si="5"/>
        <v>219</v>
      </c>
      <c r="B293" s="988">
        <v>43200</v>
      </c>
      <c r="C293" s="899" t="s">
        <v>9619</v>
      </c>
      <c r="D293" s="988" t="s">
        <v>2666</v>
      </c>
      <c r="E293" s="989">
        <v>11202.39</v>
      </c>
      <c r="F293" s="990"/>
      <c r="G293" s="990"/>
      <c r="H293" s="990"/>
      <c r="I293" s="990"/>
      <c r="J293" s="990"/>
      <c r="K293" s="990"/>
      <c r="L293" s="990"/>
      <c r="M293" s="990"/>
      <c r="N293" s="990"/>
      <c r="O293" s="990"/>
      <c r="P293" s="990"/>
      <c r="Q293" s="990"/>
      <c r="R293" s="990"/>
      <c r="S293" s="990"/>
      <c r="T293" s="990"/>
      <c r="U293" s="990"/>
      <c r="V293" s="990"/>
      <c r="W293" s="990"/>
      <c r="X293" s="990"/>
    </row>
    <row r="294" spans="1:24" s="896" customFormat="1" ht="25.5">
      <c r="A294" s="987">
        <f t="shared" si="5"/>
        <v>220</v>
      </c>
      <c r="B294" s="988">
        <v>39556</v>
      </c>
      <c r="C294" s="899" t="s">
        <v>9620</v>
      </c>
      <c r="D294" s="988" t="s">
        <v>2666</v>
      </c>
      <c r="E294" s="989">
        <v>6118.41</v>
      </c>
      <c r="F294" s="990"/>
      <c r="G294" s="990"/>
      <c r="H294" s="990"/>
      <c r="I294" s="990"/>
      <c r="J294" s="990"/>
      <c r="K294" s="990"/>
      <c r="L294" s="990"/>
      <c r="M294" s="990"/>
      <c r="N294" s="990"/>
      <c r="O294" s="990"/>
      <c r="P294" s="990"/>
      <c r="Q294" s="990"/>
      <c r="R294" s="990"/>
      <c r="S294" s="990"/>
      <c r="T294" s="990"/>
      <c r="U294" s="990"/>
      <c r="V294" s="990"/>
      <c r="W294" s="990"/>
      <c r="X294" s="990"/>
    </row>
    <row r="295" spans="1:24" s="896" customFormat="1" ht="25.5">
      <c r="A295" s="987">
        <f t="shared" si="5"/>
        <v>221</v>
      </c>
      <c r="B295" s="988">
        <v>39557</v>
      </c>
      <c r="C295" s="899" t="s">
        <v>9621</v>
      </c>
      <c r="D295" s="988" t="s">
        <v>2666</v>
      </c>
      <c r="E295" s="989">
        <v>6588.2</v>
      </c>
      <c r="F295" s="990"/>
      <c r="G295" s="990"/>
      <c r="H295" s="990"/>
      <c r="I295" s="990"/>
      <c r="J295" s="990"/>
      <c r="K295" s="990"/>
      <c r="L295" s="990"/>
      <c r="M295" s="990"/>
      <c r="N295" s="990"/>
      <c r="O295" s="990"/>
      <c r="P295" s="990"/>
      <c r="Q295" s="990"/>
      <c r="R295" s="990"/>
      <c r="S295" s="990"/>
      <c r="T295" s="990"/>
      <c r="U295" s="990"/>
      <c r="V295" s="990"/>
      <c r="W295" s="990"/>
      <c r="X295" s="990"/>
    </row>
    <row r="296" spans="1:24" s="896" customFormat="1" ht="25.5">
      <c r="A296" s="987">
        <f t="shared" si="5"/>
        <v>222</v>
      </c>
      <c r="B296" s="988">
        <v>39559</v>
      </c>
      <c r="C296" s="899" t="s">
        <v>9622</v>
      </c>
      <c r="D296" s="988" t="s">
        <v>2666</v>
      </c>
      <c r="E296" s="989">
        <v>9736.09</v>
      </c>
      <c r="F296" s="990"/>
      <c r="G296" s="990"/>
      <c r="H296" s="990"/>
      <c r="I296" s="990"/>
      <c r="J296" s="990"/>
      <c r="K296" s="990"/>
      <c r="L296" s="990"/>
      <c r="M296" s="990"/>
      <c r="N296" s="990"/>
      <c r="O296" s="990"/>
      <c r="P296" s="990"/>
      <c r="Q296" s="990"/>
      <c r="R296" s="990"/>
      <c r="S296" s="990"/>
      <c r="T296" s="990"/>
      <c r="U296" s="990"/>
      <c r="V296" s="990"/>
      <c r="W296" s="990"/>
      <c r="X296" s="990"/>
    </row>
    <row r="297" spans="1:24" s="896" customFormat="1" ht="25.5">
      <c r="A297" s="987">
        <f t="shared" si="5"/>
        <v>223</v>
      </c>
      <c r="B297" s="988">
        <v>39560</v>
      </c>
      <c r="C297" s="899" t="s">
        <v>9623</v>
      </c>
      <c r="D297" s="988" t="s">
        <v>2666</v>
      </c>
      <c r="E297" s="989">
        <v>11263.7</v>
      </c>
      <c r="F297" s="990"/>
      <c r="G297" s="990"/>
      <c r="H297" s="990"/>
      <c r="I297" s="990"/>
      <c r="J297" s="990"/>
      <c r="K297" s="990"/>
      <c r="L297" s="990"/>
      <c r="M297" s="990"/>
      <c r="N297" s="990"/>
      <c r="O297" s="990"/>
      <c r="P297" s="990"/>
      <c r="Q297" s="990"/>
      <c r="R297" s="990"/>
      <c r="S297" s="990"/>
      <c r="T297" s="990"/>
      <c r="U297" s="990"/>
      <c r="V297" s="990"/>
      <c r="W297" s="990"/>
      <c r="X297" s="990"/>
    </row>
    <row r="298" spans="1:24" s="896" customFormat="1" ht="25.5">
      <c r="A298" s="987">
        <f t="shared" si="5"/>
        <v>224</v>
      </c>
      <c r="B298" s="988">
        <v>39561</v>
      </c>
      <c r="C298" s="899" t="s">
        <v>9624</v>
      </c>
      <c r="D298" s="988" t="s">
        <v>2666</v>
      </c>
      <c r="E298" s="989">
        <v>11783.27</v>
      </c>
      <c r="F298" s="990"/>
      <c r="G298" s="990"/>
      <c r="H298" s="990"/>
      <c r="I298" s="990"/>
      <c r="J298" s="990"/>
      <c r="K298" s="990"/>
      <c r="L298" s="990"/>
      <c r="M298" s="990"/>
      <c r="N298" s="990"/>
      <c r="O298" s="990"/>
      <c r="P298" s="990"/>
      <c r="Q298" s="990"/>
      <c r="R298" s="990"/>
      <c r="S298" s="990"/>
      <c r="T298" s="990"/>
      <c r="U298" s="990"/>
      <c r="V298" s="990"/>
      <c r="W298" s="990"/>
      <c r="X298" s="990"/>
    </row>
    <row r="299" spans="1:24" s="896" customFormat="1" ht="25.5">
      <c r="A299" s="987">
        <f t="shared" si="5"/>
        <v>225</v>
      </c>
      <c r="B299" s="988">
        <v>43190</v>
      </c>
      <c r="C299" s="899" t="s">
        <v>9625</v>
      </c>
      <c r="D299" s="988" t="s">
        <v>2666</v>
      </c>
      <c r="E299" s="989">
        <v>1738.9</v>
      </c>
      <c r="F299" s="990"/>
      <c r="G299" s="990"/>
      <c r="H299" s="990"/>
      <c r="I299" s="990"/>
      <c r="J299" s="990"/>
      <c r="K299" s="990"/>
      <c r="L299" s="990"/>
      <c r="M299" s="990"/>
      <c r="N299" s="990"/>
      <c r="O299" s="990"/>
      <c r="P299" s="990"/>
      <c r="Q299" s="990"/>
      <c r="R299" s="990"/>
      <c r="S299" s="990"/>
      <c r="T299" s="990"/>
      <c r="U299" s="990"/>
      <c r="V299" s="990"/>
      <c r="W299" s="990"/>
      <c r="X299" s="990"/>
    </row>
    <row r="300" spans="1:24" s="896" customFormat="1" ht="25.5">
      <c r="A300" s="987">
        <f t="shared" si="5"/>
        <v>226</v>
      </c>
      <c r="B300" s="988">
        <v>39555</v>
      </c>
      <c r="C300" s="899" t="s">
        <v>9626</v>
      </c>
      <c r="D300" s="988" t="s">
        <v>2666</v>
      </c>
      <c r="E300" s="989">
        <v>1881.04</v>
      </c>
      <c r="F300" s="990"/>
      <c r="G300" s="990"/>
      <c r="H300" s="990"/>
      <c r="I300" s="990"/>
      <c r="J300" s="990"/>
      <c r="K300" s="990"/>
      <c r="L300" s="990"/>
      <c r="M300" s="990"/>
      <c r="N300" s="990"/>
      <c r="O300" s="990"/>
      <c r="P300" s="990"/>
      <c r="Q300" s="990"/>
      <c r="R300" s="990"/>
      <c r="S300" s="990"/>
      <c r="T300" s="990"/>
      <c r="U300" s="990"/>
      <c r="V300" s="990"/>
      <c r="W300" s="990"/>
      <c r="X300" s="990"/>
    </row>
    <row r="301" spans="1:24" s="896" customFormat="1" ht="25.5">
      <c r="A301" s="987">
        <f t="shared" si="5"/>
        <v>227</v>
      </c>
      <c r="B301" s="988">
        <v>43191</v>
      </c>
      <c r="C301" s="899" t="s">
        <v>9627</v>
      </c>
      <c r="D301" s="988" t="s">
        <v>2666</v>
      </c>
      <c r="E301" s="989">
        <v>2502.04</v>
      </c>
      <c r="F301" s="990"/>
      <c r="G301" s="990"/>
      <c r="H301" s="990"/>
      <c r="I301" s="990"/>
      <c r="J301" s="990"/>
      <c r="K301" s="990"/>
      <c r="L301" s="990"/>
      <c r="M301" s="990"/>
      <c r="N301" s="990"/>
      <c r="O301" s="990"/>
      <c r="P301" s="990"/>
      <c r="Q301" s="990"/>
      <c r="R301" s="990"/>
      <c r="S301" s="990"/>
      <c r="T301" s="990"/>
      <c r="U301" s="990"/>
      <c r="V301" s="990"/>
      <c r="W301" s="990"/>
      <c r="X301" s="990"/>
    </row>
    <row r="302" spans="1:24" s="896" customFormat="1" ht="25.5">
      <c r="A302" s="987">
        <f t="shared" si="5"/>
        <v>228</v>
      </c>
      <c r="B302" s="988">
        <v>39548</v>
      </c>
      <c r="C302" s="899" t="s">
        <v>9628</v>
      </c>
      <c r="D302" s="988" t="s">
        <v>2666</v>
      </c>
      <c r="E302" s="989">
        <v>2790.16</v>
      </c>
      <c r="F302" s="990"/>
      <c r="G302" s="990"/>
      <c r="H302" s="990"/>
      <c r="I302" s="990"/>
      <c r="J302" s="990"/>
      <c r="K302" s="990"/>
      <c r="L302" s="990"/>
      <c r="M302" s="990"/>
      <c r="N302" s="990"/>
      <c r="O302" s="990"/>
      <c r="P302" s="990"/>
      <c r="Q302" s="990"/>
      <c r="R302" s="990"/>
      <c r="S302" s="990"/>
      <c r="T302" s="990"/>
      <c r="U302" s="990"/>
      <c r="V302" s="990"/>
      <c r="W302" s="990"/>
      <c r="X302" s="990"/>
    </row>
    <row r="303" spans="1:24" s="896" customFormat="1" ht="25.5">
      <c r="A303" s="987">
        <f t="shared" si="5"/>
        <v>229</v>
      </c>
      <c r="B303" s="988">
        <v>43192</v>
      </c>
      <c r="C303" s="899" t="s">
        <v>9629</v>
      </c>
      <c r="D303" s="988" t="s">
        <v>2666</v>
      </c>
      <c r="E303" s="989">
        <v>3277.45</v>
      </c>
      <c r="F303" s="990"/>
      <c r="G303" s="990"/>
      <c r="H303" s="990"/>
      <c r="I303" s="990"/>
      <c r="J303" s="990"/>
      <c r="K303" s="990"/>
      <c r="L303" s="990"/>
      <c r="M303" s="990"/>
      <c r="N303" s="990"/>
      <c r="O303" s="990"/>
      <c r="P303" s="990"/>
      <c r="Q303" s="990"/>
      <c r="R303" s="990"/>
      <c r="S303" s="990"/>
      <c r="T303" s="990"/>
      <c r="U303" s="990"/>
      <c r="V303" s="990"/>
      <c r="W303" s="990"/>
      <c r="X303" s="990"/>
    </row>
    <row r="304" spans="1:24" s="896" customFormat="1" ht="25.5">
      <c r="A304" s="987">
        <f t="shared" si="5"/>
        <v>230</v>
      </c>
      <c r="B304" s="988">
        <v>39554</v>
      </c>
      <c r="C304" s="899" t="s">
        <v>9630</v>
      </c>
      <c r="D304" s="988" t="s">
        <v>2666</v>
      </c>
      <c r="E304" s="989">
        <v>3689.57</v>
      </c>
      <c r="F304" s="990"/>
      <c r="G304" s="990"/>
      <c r="H304" s="990"/>
      <c r="I304" s="990"/>
      <c r="J304" s="990"/>
      <c r="K304" s="990"/>
      <c r="L304" s="990"/>
      <c r="M304" s="990"/>
      <c r="N304" s="990"/>
      <c r="O304" s="990"/>
      <c r="P304" s="990"/>
      <c r="Q304" s="990"/>
      <c r="R304" s="990"/>
      <c r="S304" s="990"/>
      <c r="T304" s="990"/>
      <c r="U304" s="990"/>
      <c r="V304" s="990"/>
      <c r="W304" s="990"/>
      <c r="X304" s="990"/>
    </row>
    <row r="305" spans="1:24" s="896" customFormat="1" ht="25.5">
      <c r="A305" s="987">
        <f t="shared" si="5"/>
        <v>231</v>
      </c>
      <c r="B305" s="988">
        <v>43194</v>
      </c>
      <c r="C305" s="899" t="s">
        <v>9631</v>
      </c>
      <c r="D305" s="988" t="s">
        <v>2666</v>
      </c>
      <c r="E305" s="989">
        <v>1489.66</v>
      </c>
      <c r="F305" s="990"/>
      <c r="G305" s="990"/>
      <c r="H305" s="990"/>
      <c r="I305" s="990"/>
      <c r="J305" s="990"/>
      <c r="K305" s="990"/>
      <c r="L305" s="990"/>
      <c r="M305" s="990"/>
      <c r="N305" s="990"/>
      <c r="O305" s="990"/>
      <c r="P305" s="990"/>
      <c r="Q305" s="990"/>
      <c r="R305" s="990"/>
      <c r="S305" s="990"/>
      <c r="T305" s="990"/>
      <c r="U305" s="990"/>
      <c r="V305" s="990"/>
      <c r="W305" s="990"/>
      <c r="X305" s="990"/>
    </row>
    <row r="306" spans="1:24" s="896" customFormat="1" ht="25.5">
      <c r="A306" s="987">
        <f t="shared" si="5"/>
        <v>232</v>
      </c>
      <c r="B306" s="988">
        <v>39551</v>
      </c>
      <c r="C306" s="899" t="s">
        <v>9632</v>
      </c>
      <c r="D306" s="988" t="s">
        <v>2666</v>
      </c>
      <c r="E306" s="989">
        <v>1640.28</v>
      </c>
      <c r="F306" s="990"/>
      <c r="G306" s="990"/>
      <c r="H306" s="990"/>
      <c r="I306" s="990"/>
      <c r="J306" s="990"/>
      <c r="K306" s="990"/>
      <c r="L306" s="990"/>
      <c r="M306" s="990"/>
      <c r="N306" s="990"/>
      <c r="O306" s="990"/>
      <c r="P306" s="990"/>
      <c r="Q306" s="990"/>
      <c r="R306" s="990"/>
      <c r="S306" s="990"/>
      <c r="T306" s="990"/>
      <c r="U306" s="990"/>
      <c r="V306" s="990"/>
      <c r="W306" s="990"/>
      <c r="X306" s="990"/>
    </row>
    <row r="307" spans="1:24" s="896" customFormat="1" ht="25.5">
      <c r="A307" s="987">
        <f t="shared" si="5"/>
        <v>233</v>
      </c>
      <c r="B307" s="988">
        <v>43185</v>
      </c>
      <c r="C307" s="899" t="s">
        <v>9633</v>
      </c>
      <c r="D307" s="988" t="s">
        <v>2666</v>
      </c>
      <c r="E307" s="989">
        <v>4661.37</v>
      </c>
      <c r="F307" s="990"/>
      <c r="G307" s="990"/>
      <c r="H307" s="990"/>
      <c r="I307" s="990"/>
      <c r="J307" s="990"/>
      <c r="K307" s="990"/>
      <c r="L307" s="990"/>
      <c r="M307" s="990"/>
      <c r="N307" s="990"/>
      <c r="O307" s="990"/>
      <c r="P307" s="990"/>
      <c r="Q307" s="990"/>
      <c r="R307" s="990"/>
      <c r="S307" s="990"/>
      <c r="T307" s="990"/>
      <c r="U307" s="990"/>
      <c r="V307" s="990"/>
      <c r="W307" s="990"/>
      <c r="X307" s="990"/>
    </row>
    <row r="308" spans="1:24" s="896" customFormat="1" ht="25.5">
      <c r="A308" s="987">
        <f t="shared" si="5"/>
        <v>234</v>
      </c>
      <c r="B308" s="988">
        <v>43186</v>
      </c>
      <c r="C308" s="899" t="s">
        <v>9634</v>
      </c>
      <c r="D308" s="988" t="s">
        <v>2666</v>
      </c>
      <c r="E308" s="989">
        <v>4916.8100000000004</v>
      </c>
      <c r="F308" s="990"/>
      <c r="G308" s="990"/>
      <c r="H308" s="990"/>
      <c r="I308" s="990"/>
      <c r="J308" s="990"/>
      <c r="K308" s="990"/>
      <c r="L308" s="990"/>
      <c r="M308" s="990"/>
      <c r="N308" s="990"/>
      <c r="O308" s="990"/>
      <c r="P308" s="990"/>
      <c r="Q308" s="990"/>
      <c r="R308" s="990"/>
      <c r="S308" s="990"/>
      <c r="T308" s="990"/>
      <c r="U308" s="990"/>
      <c r="V308" s="990"/>
      <c r="W308" s="990"/>
      <c r="X308" s="990"/>
    </row>
    <row r="309" spans="1:24" s="896" customFormat="1" ht="25.5">
      <c r="A309" s="987">
        <f t="shared" si="5"/>
        <v>235</v>
      </c>
      <c r="B309" s="988">
        <v>43187</v>
      </c>
      <c r="C309" s="899" t="s">
        <v>9635</v>
      </c>
      <c r="D309" s="988" t="s">
        <v>2666</v>
      </c>
      <c r="E309" s="989">
        <v>6524.65</v>
      </c>
      <c r="F309" s="990"/>
      <c r="G309" s="990"/>
      <c r="H309" s="990"/>
      <c r="I309" s="990"/>
      <c r="J309" s="990"/>
      <c r="K309" s="990"/>
      <c r="L309" s="990"/>
      <c r="M309" s="990"/>
      <c r="N309" s="990"/>
      <c r="O309" s="990"/>
      <c r="P309" s="990"/>
      <c r="Q309" s="990"/>
      <c r="R309" s="990"/>
      <c r="S309" s="990"/>
      <c r="T309" s="990"/>
      <c r="U309" s="990"/>
      <c r="V309" s="990"/>
      <c r="W309" s="990"/>
      <c r="X309" s="990"/>
    </row>
    <row r="310" spans="1:24" s="896" customFormat="1" ht="25.5">
      <c r="A310" s="987">
        <f t="shared" si="5"/>
        <v>236</v>
      </c>
      <c r="B310" s="988">
        <v>43188</v>
      </c>
      <c r="C310" s="899" t="s">
        <v>9636</v>
      </c>
      <c r="D310" s="988" t="s">
        <v>2666</v>
      </c>
      <c r="E310" s="989">
        <v>7905.48</v>
      </c>
      <c r="F310" s="990"/>
      <c r="G310" s="990"/>
      <c r="H310" s="990"/>
      <c r="I310" s="990"/>
      <c r="J310" s="990"/>
      <c r="K310" s="990"/>
      <c r="L310" s="990"/>
      <c r="M310" s="990"/>
      <c r="N310" s="990"/>
      <c r="O310" s="990"/>
      <c r="P310" s="990"/>
      <c r="Q310" s="990"/>
      <c r="R310" s="990"/>
      <c r="S310" s="990"/>
      <c r="T310" s="990"/>
      <c r="U310" s="990"/>
      <c r="V310" s="990"/>
      <c r="W310" s="990"/>
      <c r="X310" s="990"/>
    </row>
    <row r="311" spans="1:24" s="896" customFormat="1" ht="25.5">
      <c r="A311" s="987">
        <f t="shared" si="5"/>
        <v>237</v>
      </c>
      <c r="B311" s="988">
        <v>43189</v>
      </c>
      <c r="C311" s="899" t="s">
        <v>9637</v>
      </c>
      <c r="D311" s="988" t="s">
        <v>2666</v>
      </c>
      <c r="E311" s="989">
        <v>8892.35</v>
      </c>
      <c r="F311" s="990"/>
      <c r="G311" s="990"/>
      <c r="H311" s="990"/>
      <c r="I311" s="990"/>
      <c r="J311" s="990"/>
      <c r="K311" s="990"/>
      <c r="L311" s="990"/>
      <c r="M311" s="990"/>
      <c r="N311" s="990"/>
      <c r="O311" s="990"/>
      <c r="P311" s="990"/>
      <c r="Q311" s="990"/>
      <c r="R311" s="990"/>
      <c r="S311" s="990"/>
      <c r="T311" s="990"/>
      <c r="U311" s="990"/>
      <c r="V311" s="990"/>
      <c r="W311" s="990"/>
      <c r="X311" s="990"/>
    </row>
    <row r="312" spans="1:24" s="896" customFormat="1">
      <c r="A312" s="987">
        <f t="shared" si="5"/>
        <v>238</v>
      </c>
      <c r="B312" s="988">
        <v>39580</v>
      </c>
      <c r="C312" s="899" t="s">
        <v>9638</v>
      </c>
      <c r="D312" s="988" t="s">
        <v>2666</v>
      </c>
      <c r="E312" s="989">
        <v>70075.37</v>
      </c>
      <c r="F312" s="990"/>
      <c r="G312" s="990"/>
      <c r="H312" s="990"/>
      <c r="I312" s="990"/>
      <c r="J312" s="990"/>
      <c r="K312" s="990"/>
      <c r="L312" s="990"/>
      <c r="M312" s="990"/>
      <c r="N312" s="990"/>
      <c r="O312" s="990"/>
      <c r="P312" s="990"/>
      <c r="Q312" s="990"/>
      <c r="R312" s="990"/>
      <c r="S312" s="990"/>
      <c r="T312" s="990"/>
      <c r="U312" s="990"/>
      <c r="V312" s="990"/>
      <c r="W312" s="990"/>
      <c r="X312" s="990"/>
    </row>
    <row r="313" spans="1:24" s="896" customFormat="1">
      <c r="A313" s="987">
        <f t="shared" si="5"/>
        <v>239</v>
      </c>
      <c r="B313" s="988">
        <v>39577</v>
      </c>
      <c r="C313" s="899" t="s">
        <v>9639</v>
      </c>
      <c r="D313" s="988" t="s">
        <v>2666</v>
      </c>
      <c r="E313" s="989">
        <v>21933.439999999999</v>
      </c>
      <c r="F313" s="990"/>
      <c r="G313" s="990"/>
      <c r="H313" s="990"/>
      <c r="I313" s="990"/>
      <c r="J313" s="990"/>
      <c r="K313" s="990"/>
      <c r="L313" s="990"/>
      <c r="M313" s="990"/>
      <c r="N313" s="990"/>
      <c r="O313" s="990"/>
      <c r="P313" s="990"/>
      <c r="Q313" s="990"/>
      <c r="R313" s="990"/>
      <c r="S313" s="990"/>
      <c r="T313" s="990"/>
      <c r="U313" s="990"/>
      <c r="V313" s="990"/>
      <c r="W313" s="990"/>
      <c r="X313" s="990"/>
    </row>
    <row r="314" spans="1:24" s="896" customFormat="1">
      <c r="A314" s="987">
        <f t="shared" si="5"/>
        <v>240</v>
      </c>
      <c r="B314" s="988">
        <v>39578</v>
      </c>
      <c r="C314" s="899" t="s">
        <v>9640</v>
      </c>
      <c r="D314" s="988" t="s">
        <v>2666</v>
      </c>
      <c r="E314" s="989">
        <v>28305.54</v>
      </c>
      <c r="F314" s="990"/>
      <c r="G314" s="990"/>
      <c r="H314" s="990"/>
      <c r="I314" s="990"/>
      <c r="J314" s="990"/>
      <c r="K314" s="990"/>
      <c r="L314" s="990"/>
      <c r="M314" s="990"/>
      <c r="N314" s="990"/>
      <c r="O314" s="990"/>
      <c r="P314" s="990"/>
      <c r="Q314" s="990"/>
      <c r="R314" s="990"/>
      <c r="S314" s="990"/>
      <c r="T314" s="990"/>
      <c r="U314" s="990"/>
      <c r="V314" s="990"/>
      <c r="W314" s="990"/>
      <c r="X314" s="990"/>
    </row>
    <row r="315" spans="1:24" s="896" customFormat="1">
      <c r="A315" s="987">
        <f t="shared" si="5"/>
        <v>241</v>
      </c>
      <c r="B315" s="988">
        <v>39579</v>
      </c>
      <c r="C315" s="899" t="s">
        <v>9641</v>
      </c>
      <c r="D315" s="988" t="s">
        <v>2666</v>
      </c>
      <c r="E315" s="989">
        <v>41182.35</v>
      </c>
      <c r="F315" s="990"/>
      <c r="G315" s="990"/>
      <c r="H315" s="990"/>
      <c r="I315" s="990"/>
      <c r="J315" s="990"/>
      <c r="K315" s="990"/>
      <c r="L315" s="990"/>
      <c r="M315" s="990"/>
      <c r="N315" s="990"/>
      <c r="O315" s="990"/>
      <c r="P315" s="990"/>
      <c r="Q315" s="990"/>
      <c r="R315" s="990"/>
      <c r="S315" s="990"/>
      <c r="T315" s="990"/>
      <c r="U315" s="990"/>
      <c r="V315" s="990"/>
      <c r="W315" s="990"/>
      <c r="X315" s="990"/>
    </row>
    <row r="316" spans="1:24" s="896" customFormat="1" ht="25.5">
      <c r="A316" s="987">
        <f t="shared" si="5"/>
        <v>242</v>
      </c>
      <c r="B316" s="988">
        <v>39826</v>
      </c>
      <c r="C316" s="899" t="s">
        <v>9642</v>
      </c>
      <c r="D316" s="988" t="s">
        <v>2666</v>
      </c>
      <c r="E316" s="989">
        <v>5057.9399999999996</v>
      </c>
      <c r="F316" s="990"/>
      <c r="G316" s="990"/>
      <c r="H316" s="990"/>
      <c r="I316" s="990"/>
      <c r="J316" s="990"/>
      <c r="K316" s="990"/>
      <c r="L316" s="990"/>
      <c r="M316" s="990"/>
      <c r="N316" s="990"/>
      <c r="O316" s="990"/>
      <c r="P316" s="990"/>
      <c r="Q316" s="990"/>
      <c r="R316" s="990"/>
      <c r="S316" s="990"/>
      <c r="T316" s="990"/>
      <c r="U316" s="990"/>
      <c r="V316" s="990"/>
      <c r="W316" s="990"/>
      <c r="X316" s="990"/>
    </row>
    <row r="317" spans="1:24" s="896" customFormat="1">
      <c r="A317" s="987">
        <f t="shared" si="5"/>
        <v>243</v>
      </c>
      <c r="B317" s="988">
        <v>10700</v>
      </c>
      <c r="C317" s="899" t="s">
        <v>9643</v>
      </c>
      <c r="D317" s="988" t="s">
        <v>2666</v>
      </c>
      <c r="E317" s="989">
        <v>29166.42</v>
      </c>
      <c r="F317" s="990"/>
      <c r="G317" s="990"/>
      <c r="H317" s="990"/>
      <c r="I317" s="990"/>
      <c r="J317" s="990"/>
      <c r="K317" s="990"/>
      <c r="L317" s="990"/>
      <c r="M317" s="990"/>
      <c r="N317" s="990"/>
      <c r="O317" s="990"/>
      <c r="P317" s="990"/>
      <c r="Q317" s="990"/>
      <c r="R317" s="990"/>
      <c r="S317" s="990"/>
      <c r="T317" s="990"/>
      <c r="U317" s="990"/>
      <c r="V317" s="990"/>
      <c r="W317" s="990"/>
      <c r="X317" s="990"/>
    </row>
    <row r="318" spans="1:24" s="896" customFormat="1">
      <c r="A318" s="987">
        <f t="shared" si="5"/>
        <v>244</v>
      </c>
      <c r="B318" s="988">
        <v>346</v>
      </c>
      <c r="C318" s="899" t="s">
        <v>9644</v>
      </c>
      <c r="D318" s="988" t="s">
        <v>2670</v>
      </c>
      <c r="E318" s="989">
        <v>33.94</v>
      </c>
      <c r="F318" s="990"/>
      <c r="G318" s="990"/>
      <c r="H318" s="990"/>
      <c r="I318" s="990"/>
      <c r="J318" s="990"/>
      <c r="K318" s="990"/>
      <c r="L318" s="990"/>
      <c r="M318" s="990"/>
      <c r="N318" s="990"/>
      <c r="O318" s="990"/>
      <c r="P318" s="990"/>
      <c r="Q318" s="990"/>
      <c r="R318" s="990"/>
      <c r="S318" s="990"/>
      <c r="T318" s="990"/>
      <c r="U318" s="990"/>
      <c r="V318" s="990"/>
      <c r="W318" s="990"/>
      <c r="X318" s="990"/>
    </row>
    <row r="319" spans="1:24" s="896" customFormat="1">
      <c r="A319" s="987">
        <f t="shared" si="5"/>
        <v>245</v>
      </c>
      <c r="B319" s="988">
        <v>3312</v>
      </c>
      <c r="C319" s="899" t="s">
        <v>9645</v>
      </c>
      <c r="D319" s="988" t="s">
        <v>2670</v>
      </c>
      <c r="E319" s="989">
        <v>30.05</v>
      </c>
      <c r="F319" s="990"/>
      <c r="G319" s="990"/>
      <c r="H319" s="990"/>
      <c r="I319" s="990"/>
      <c r="J319" s="990"/>
      <c r="K319" s="990"/>
      <c r="L319" s="990"/>
      <c r="M319" s="990"/>
      <c r="N319" s="990"/>
      <c r="O319" s="990"/>
      <c r="P319" s="990"/>
      <c r="Q319" s="990"/>
      <c r="R319" s="990"/>
      <c r="S319" s="990"/>
      <c r="T319" s="990"/>
      <c r="U319" s="990"/>
      <c r="V319" s="990"/>
      <c r="W319" s="990"/>
      <c r="X319" s="990"/>
    </row>
    <row r="320" spans="1:24" s="896" customFormat="1">
      <c r="A320" s="987">
        <f t="shared" si="5"/>
        <v>246</v>
      </c>
      <c r="B320" s="988">
        <v>339</v>
      </c>
      <c r="C320" s="899" t="s">
        <v>9646</v>
      </c>
      <c r="D320" s="988" t="s">
        <v>2669</v>
      </c>
      <c r="E320" s="989">
        <v>1.75</v>
      </c>
      <c r="F320" s="990"/>
      <c r="G320" s="990"/>
      <c r="H320" s="990"/>
      <c r="I320" s="990"/>
      <c r="J320" s="990"/>
      <c r="K320" s="990"/>
      <c r="L320" s="990"/>
      <c r="M320" s="990"/>
      <c r="N320" s="990"/>
      <c r="O320" s="990"/>
      <c r="P320" s="990"/>
      <c r="Q320" s="990"/>
      <c r="R320" s="990"/>
      <c r="S320" s="990"/>
      <c r="T320" s="990"/>
      <c r="U320" s="990"/>
      <c r="V320" s="990"/>
      <c r="W320" s="990"/>
      <c r="X320" s="990"/>
    </row>
    <row r="321" spans="1:24" s="896" customFormat="1">
      <c r="A321" s="987">
        <f t="shared" si="5"/>
        <v>247</v>
      </c>
      <c r="B321" s="988">
        <v>340</v>
      </c>
      <c r="C321" s="899" t="s">
        <v>9647</v>
      </c>
      <c r="D321" s="988" t="s">
        <v>2669</v>
      </c>
      <c r="E321" s="989">
        <v>1.58</v>
      </c>
      <c r="F321" s="990"/>
      <c r="G321" s="990"/>
      <c r="H321" s="990"/>
      <c r="I321" s="990"/>
      <c r="J321" s="990"/>
      <c r="K321" s="990"/>
      <c r="L321" s="990"/>
      <c r="M321" s="990"/>
      <c r="N321" s="990"/>
      <c r="O321" s="990"/>
      <c r="P321" s="990"/>
      <c r="Q321" s="990"/>
      <c r="R321" s="990"/>
      <c r="S321" s="990"/>
      <c r="T321" s="990"/>
      <c r="U321" s="990"/>
      <c r="V321" s="990"/>
      <c r="W321" s="990"/>
      <c r="X321" s="990"/>
    </row>
    <row r="322" spans="1:24" s="896" customFormat="1" ht="25.5">
      <c r="A322" s="987">
        <f t="shared" si="5"/>
        <v>248</v>
      </c>
      <c r="B322" s="988">
        <v>43130</v>
      </c>
      <c r="C322" s="899" t="s">
        <v>9648</v>
      </c>
      <c r="D322" s="988" t="s">
        <v>2670</v>
      </c>
      <c r="E322" s="989">
        <v>28.65</v>
      </c>
      <c r="F322" s="990"/>
      <c r="G322" s="990"/>
      <c r="H322" s="990"/>
      <c r="I322" s="990"/>
      <c r="J322" s="990"/>
      <c r="K322" s="990"/>
      <c r="L322" s="990"/>
      <c r="M322" s="990"/>
      <c r="N322" s="990"/>
      <c r="O322" s="990"/>
      <c r="P322" s="990"/>
      <c r="Q322" s="990"/>
      <c r="R322" s="990"/>
      <c r="S322" s="990"/>
      <c r="T322" s="990"/>
      <c r="U322" s="990"/>
      <c r="V322" s="990"/>
      <c r="W322" s="990"/>
      <c r="X322" s="990"/>
    </row>
    <row r="323" spans="1:24" s="896" customFormat="1">
      <c r="A323" s="987">
        <f t="shared" si="5"/>
        <v>249</v>
      </c>
      <c r="B323" s="988">
        <v>344</v>
      </c>
      <c r="C323" s="899" t="s">
        <v>9649</v>
      </c>
      <c r="D323" s="988" t="s">
        <v>2670</v>
      </c>
      <c r="E323" s="989">
        <v>37.659999999999997</v>
      </c>
      <c r="F323" s="990"/>
      <c r="G323" s="990"/>
      <c r="H323" s="990"/>
      <c r="I323" s="990"/>
      <c r="J323" s="990"/>
      <c r="K323" s="990"/>
      <c r="L323" s="990"/>
      <c r="M323" s="990"/>
      <c r="N323" s="990"/>
      <c r="O323" s="990"/>
      <c r="P323" s="990"/>
      <c r="Q323" s="990"/>
      <c r="R323" s="990"/>
      <c r="S323" s="990"/>
      <c r="T323" s="990"/>
      <c r="U323" s="990"/>
      <c r="V323" s="990"/>
      <c r="W323" s="990"/>
      <c r="X323" s="990"/>
    </row>
    <row r="324" spans="1:24" s="896" customFormat="1">
      <c r="A324" s="987">
        <f t="shared" si="5"/>
        <v>250</v>
      </c>
      <c r="B324" s="988">
        <v>345</v>
      </c>
      <c r="C324" s="899" t="s">
        <v>9650</v>
      </c>
      <c r="D324" s="988" t="s">
        <v>2670</v>
      </c>
      <c r="E324" s="989">
        <v>40.86</v>
      </c>
      <c r="F324" s="990"/>
      <c r="G324" s="990"/>
      <c r="H324" s="990"/>
      <c r="I324" s="990"/>
      <c r="J324" s="990"/>
      <c r="K324" s="990"/>
      <c r="L324" s="990"/>
      <c r="M324" s="990"/>
      <c r="N324" s="990"/>
      <c r="O324" s="990"/>
      <c r="P324" s="990"/>
      <c r="Q324" s="990"/>
      <c r="R324" s="990"/>
      <c r="S324" s="990"/>
      <c r="T324" s="990"/>
      <c r="U324" s="990"/>
      <c r="V324" s="990"/>
      <c r="W324" s="990"/>
      <c r="X324" s="990"/>
    </row>
    <row r="325" spans="1:24" s="896" customFormat="1" ht="25.5">
      <c r="A325" s="987">
        <f t="shared" si="5"/>
        <v>251</v>
      </c>
      <c r="B325" s="988">
        <v>43131</v>
      </c>
      <c r="C325" s="899" t="s">
        <v>9651</v>
      </c>
      <c r="D325" s="988" t="s">
        <v>2670</v>
      </c>
      <c r="E325" s="989">
        <v>33.28</v>
      </c>
      <c r="F325" s="990"/>
      <c r="G325" s="990"/>
      <c r="H325" s="990"/>
      <c r="I325" s="990"/>
      <c r="J325" s="990"/>
      <c r="K325" s="990"/>
      <c r="L325" s="990"/>
      <c r="M325" s="990"/>
      <c r="N325" s="990"/>
      <c r="O325" s="990"/>
      <c r="P325" s="990"/>
      <c r="Q325" s="990"/>
      <c r="R325" s="990"/>
      <c r="S325" s="990"/>
      <c r="T325" s="990"/>
      <c r="U325" s="990"/>
      <c r="V325" s="990"/>
      <c r="W325" s="990"/>
      <c r="X325" s="990"/>
    </row>
    <row r="326" spans="1:24" s="896" customFormat="1">
      <c r="A326" s="987">
        <f t="shared" si="5"/>
        <v>252</v>
      </c>
      <c r="B326" s="988">
        <v>3313</v>
      </c>
      <c r="C326" s="899" t="s">
        <v>9652</v>
      </c>
      <c r="D326" s="988" t="s">
        <v>2670</v>
      </c>
      <c r="E326" s="989">
        <v>38.68</v>
      </c>
      <c r="F326" s="990"/>
      <c r="G326" s="990"/>
      <c r="H326" s="990"/>
      <c r="I326" s="990"/>
      <c r="J326" s="990"/>
      <c r="K326" s="990"/>
      <c r="L326" s="990"/>
      <c r="M326" s="990"/>
      <c r="N326" s="990"/>
      <c r="O326" s="990"/>
      <c r="P326" s="990"/>
      <c r="Q326" s="990"/>
      <c r="R326" s="990"/>
      <c r="S326" s="990"/>
      <c r="T326" s="990"/>
      <c r="U326" s="990"/>
      <c r="V326" s="990"/>
      <c r="W326" s="990"/>
      <c r="X326" s="990"/>
    </row>
    <row r="327" spans="1:24" s="896" customFormat="1" ht="25.5">
      <c r="A327" s="987">
        <f t="shared" si="5"/>
        <v>253</v>
      </c>
      <c r="B327" s="988">
        <v>43132</v>
      </c>
      <c r="C327" s="899" t="s">
        <v>9653</v>
      </c>
      <c r="D327" s="988" t="s">
        <v>2670</v>
      </c>
      <c r="E327" s="989">
        <v>28.65</v>
      </c>
      <c r="F327" s="990"/>
      <c r="G327" s="990"/>
      <c r="H327" s="990"/>
      <c r="I327" s="990"/>
      <c r="J327" s="990"/>
      <c r="K327" s="990"/>
      <c r="L327" s="990"/>
      <c r="M327" s="990"/>
      <c r="N327" s="990"/>
      <c r="O327" s="990"/>
      <c r="P327" s="990"/>
      <c r="Q327" s="990"/>
      <c r="R327" s="990"/>
      <c r="S327" s="990"/>
      <c r="T327" s="990"/>
      <c r="U327" s="990"/>
      <c r="V327" s="990"/>
      <c r="W327" s="990"/>
      <c r="X327" s="990"/>
    </row>
    <row r="328" spans="1:24" s="896" customFormat="1">
      <c r="A328" s="987">
        <f t="shared" si="5"/>
        <v>254</v>
      </c>
      <c r="B328" s="988">
        <v>366</v>
      </c>
      <c r="C328" s="899" t="s">
        <v>9654</v>
      </c>
      <c r="D328" s="988" t="s">
        <v>2668</v>
      </c>
      <c r="E328" s="989">
        <v>81.650000000000006</v>
      </c>
      <c r="F328" s="990"/>
      <c r="G328" s="990"/>
      <c r="H328" s="990"/>
      <c r="I328" s="990"/>
      <c r="J328" s="990"/>
      <c r="K328" s="990"/>
      <c r="L328" s="990"/>
      <c r="M328" s="990"/>
      <c r="N328" s="990"/>
      <c r="O328" s="990"/>
      <c r="P328" s="990"/>
      <c r="Q328" s="990"/>
      <c r="R328" s="990"/>
      <c r="S328" s="990"/>
      <c r="T328" s="990"/>
      <c r="U328" s="990"/>
      <c r="V328" s="990"/>
      <c r="W328" s="990"/>
      <c r="X328" s="990"/>
    </row>
    <row r="329" spans="1:24" s="896" customFormat="1">
      <c r="A329" s="987">
        <f t="shared" si="5"/>
        <v>255</v>
      </c>
      <c r="B329" s="988">
        <v>367</v>
      </c>
      <c r="C329" s="899" t="s">
        <v>9655</v>
      </c>
      <c r="D329" s="988" t="s">
        <v>2668</v>
      </c>
      <c r="E329" s="989">
        <v>82.71</v>
      </c>
      <c r="F329" s="990"/>
      <c r="G329" s="990"/>
      <c r="H329" s="990"/>
      <c r="I329" s="990"/>
      <c r="J329" s="990"/>
      <c r="K329" s="990"/>
      <c r="L329" s="990"/>
      <c r="M329" s="990"/>
      <c r="N329" s="990"/>
      <c r="O329" s="990"/>
      <c r="P329" s="990"/>
      <c r="Q329" s="990"/>
      <c r="R329" s="990"/>
      <c r="S329" s="990"/>
      <c r="T329" s="990"/>
      <c r="U329" s="990"/>
      <c r="V329" s="990"/>
      <c r="W329" s="990"/>
      <c r="X329" s="990"/>
    </row>
    <row r="330" spans="1:24" s="896" customFormat="1">
      <c r="A330" s="987">
        <f t="shared" si="5"/>
        <v>256</v>
      </c>
      <c r="B330" s="988">
        <v>370</v>
      </c>
      <c r="C330" s="899" t="s">
        <v>9656</v>
      </c>
      <c r="D330" s="988" t="s">
        <v>2668</v>
      </c>
      <c r="E330" s="989">
        <v>81.650000000000006</v>
      </c>
      <c r="F330" s="990"/>
      <c r="G330" s="990"/>
      <c r="H330" s="990"/>
      <c r="I330" s="990"/>
      <c r="J330" s="990"/>
      <c r="K330" s="990"/>
      <c r="L330" s="990"/>
      <c r="M330" s="990"/>
      <c r="N330" s="990"/>
      <c r="O330" s="990"/>
      <c r="P330" s="990"/>
      <c r="Q330" s="990"/>
      <c r="R330" s="990"/>
      <c r="S330" s="990"/>
      <c r="T330" s="990"/>
      <c r="U330" s="990"/>
      <c r="V330" s="990"/>
      <c r="W330" s="990"/>
      <c r="X330" s="990"/>
    </row>
    <row r="331" spans="1:24" s="896" customFormat="1" ht="25.5">
      <c r="A331" s="987">
        <f t="shared" si="5"/>
        <v>257</v>
      </c>
      <c r="B331" s="988">
        <v>368</v>
      </c>
      <c r="C331" s="899" t="s">
        <v>9657</v>
      </c>
      <c r="D331" s="988" t="s">
        <v>2668</v>
      </c>
      <c r="E331" s="989">
        <v>40.82</v>
      </c>
      <c r="F331" s="990"/>
      <c r="G331" s="990"/>
      <c r="H331" s="990"/>
      <c r="I331" s="990"/>
      <c r="J331" s="990"/>
      <c r="K331" s="990"/>
      <c r="L331" s="990"/>
      <c r="M331" s="990"/>
      <c r="N331" s="990"/>
      <c r="O331" s="990"/>
      <c r="P331" s="990"/>
      <c r="Q331" s="990"/>
      <c r="R331" s="990"/>
      <c r="S331" s="990"/>
      <c r="T331" s="990"/>
      <c r="U331" s="990"/>
      <c r="V331" s="990"/>
      <c r="W331" s="990"/>
      <c r="X331" s="990"/>
    </row>
    <row r="332" spans="1:24" s="896" customFormat="1" ht="25.5">
      <c r="A332" s="987">
        <f t="shared" ref="A332:A395" si="6">A331+1</f>
        <v>258</v>
      </c>
      <c r="B332" s="988">
        <v>11075</v>
      </c>
      <c r="C332" s="899" t="s">
        <v>9658</v>
      </c>
      <c r="D332" s="988" t="s">
        <v>2668</v>
      </c>
      <c r="E332" s="989">
        <v>937.09</v>
      </c>
      <c r="F332" s="990"/>
      <c r="G332" s="990"/>
      <c r="H332" s="990"/>
      <c r="I332" s="990"/>
      <c r="J332" s="990"/>
      <c r="K332" s="990"/>
      <c r="L332" s="990"/>
      <c r="M332" s="990"/>
      <c r="N332" s="990"/>
      <c r="O332" s="990"/>
      <c r="P332" s="990"/>
      <c r="Q332" s="990"/>
      <c r="R332" s="990"/>
      <c r="S332" s="990"/>
      <c r="T332" s="990"/>
      <c r="U332" s="990"/>
      <c r="V332" s="990"/>
      <c r="W332" s="990"/>
      <c r="X332" s="990"/>
    </row>
    <row r="333" spans="1:24" s="896" customFormat="1">
      <c r="A333" s="987">
        <f t="shared" si="6"/>
        <v>259</v>
      </c>
      <c r="B333" s="988">
        <v>1381</v>
      </c>
      <c r="C333" s="899" t="s">
        <v>9659</v>
      </c>
      <c r="D333" s="988" t="s">
        <v>2670</v>
      </c>
      <c r="E333" s="989">
        <v>0.7</v>
      </c>
      <c r="F333" s="990"/>
      <c r="G333" s="990"/>
      <c r="H333" s="990"/>
      <c r="I333" s="990"/>
      <c r="J333" s="990"/>
      <c r="K333" s="990"/>
      <c r="L333" s="990"/>
      <c r="M333" s="990"/>
      <c r="N333" s="990"/>
      <c r="O333" s="990"/>
      <c r="P333" s="990"/>
      <c r="Q333" s="990"/>
      <c r="R333" s="990"/>
      <c r="S333" s="990"/>
      <c r="T333" s="990"/>
      <c r="U333" s="990"/>
      <c r="V333" s="990"/>
      <c r="W333" s="990"/>
      <c r="X333" s="990"/>
    </row>
    <row r="334" spans="1:24" s="896" customFormat="1">
      <c r="A334" s="987">
        <f t="shared" si="6"/>
        <v>260</v>
      </c>
      <c r="B334" s="988">
        <v>34353</v>
      </c>
      <c r="C334" s="899" t="s">
        <v>9660</v>
      </c>
      <c r="D334" s="988" t="s">
        <v>2670</v>
      </c>
      <c r="E334" s="989">
        <v>1.3</v>
      </c>
      <c r="F334" s="990"/>
      <c r="G334" s="990"/>
      <c r="H334" s="990"/>
      <c r="I334" s="990"/>
      <c r="J334" s="990"/>
      <c r="K334" s="990"/>
      <c r="L334" s="990"/>
      <c r="M334" s="990"/>
      <c r="N334" s="990"/>
      <c r="O334" s="990"/>
      <c r="P334" s="990"/>
      <c r="Q334" s="990"/>
      <c r="R334" s="990"/>
      <c r="S334" s="990"/>
      <c r="T334" s="990"/>
      <c r="U334" s="990"/>
      <c r="V334" s="990"/>
      <c r="W334" s="990"/>
      <c r="X334" s="990"/>
    </row>
    <row r="335" spans="1:24" s="896" customFormat="1">
      <c r="A335" s="987">
        <f t="shared" si="6"/>
        <v>261</v>
      </c>
      <c r="B335" s="988">
        <v>37595</v>
      </c>
      <c r="C335" s="899" t="s">
        <v>9661</v>
      </c>
      <c r="D335" s="988" t="s">
        <v>2670</v>
      </c>
      <c r="E335" s="989">
        <v>2.15</v>
      </c>
      <c r="F335" s="990"/>
      <c r="G335" s="990"/>
      <c r="H335" s="990"/>
      <c r="I335" s="990"/>
      <c r="J335" s="990"/>
      <c r="K335" s="990"/>
      <c r="L335" s="990"/>
      <c r="M335" s="990"/>
      <c r="N335" s="990"/>
      <c r="O335" s="990"/>
      <c r="P335" s="990"/>
      <c r="Q335" s="990"/>
      <c r="R335" s="990"/>
      <c r="S335" s="990"/>
      <c r="T335" s="990"/>
      <c r="U335" s="990"/>
      <c r="V335" s="990"/>
      <c r="W335" s="990"/>
      <c r="X335" s="990"/>
    </row>
    <row r="336" spans="1:24" s="896" customFormat="1">
      <c r="A336" s="987">
        <f t="shared" si="6"/>
        <v>262</v>
      </c>
      <c r="B336" s="988">
        <v>37596</v>
      </c>
      <c r="C336" s="899" t="s">
        <v>9662</v>
      </c>
      <c r="D336" s="988" t="s">
        <v>2670</v>
      </c>
      <c r="E336" s="989">
        <v>2.4700000000000002</v>
      </c>
      <c r="F336" s="990"/>
      <c r="G336" s="990"/>
      <c r="H336" s="990"/>
      <c r="I336" s="990"/>
      <c r="J336" s="990"/>
      <c r="K336" s="990"/>
      <c r="L336" s="990"/>
      <c r="M336" s="990"/>
      <c r="N336" s="990"/>
      <c r="O336" s="990"/>
      <c r="P336" s="990"/>
      <c r="Q336" s="990"/>
      <c r="R336" s="990"/>
      <c r="S336" s="990"/>
      <c r="T336" s="990"/>
      <c r="U336" s="990"/>
      <c r="V336" s="990"/>
      <c r="W336" s="990"/>
      <c r="X336" s="990"/>
    </row>
    <row r="337" spans="1:24" s="896" customFormat="1" ht="25.5">
      <c r="A337" s="987">
        <f t="shared" si="6"/>
        <v>263</v>
      </c>
      <c r="B337" s="988">
        <v>371</v>
      </c>
      <c r="C337" s="899" t="s">
        <v>9663</v>
      </c>
      <c r="D337" s="988" t="s">
        <v>2670</v>
      </c>
      <c r="E337" s="989">
        <v>0.76</v>
      </c>
      <c r="F337" s="990"/>
      <c r="G337" s="990"/>
      <c r="H337" s="990"/>
      <c r="I337" s="990"/>
      <c r="J337" s="990"/>
      <c r="K337" s="990"/>
      <c r="L337" s="990"/>
      <c r="M337" s="990"/>
      <c r="N337" s="990"/>
      <c r="O337" s="990"/>
      <c r="P337" s="990"/>
      <c r="Q337" s="990"/>
      <c r="R337" s="990"/>
      <c r="S337" s="990"/>
      <c r="T337" s="990"/>
      <c r="U337" s="990"/>
      <c r="V337" s="990"/>
      <c r="W337" s="990"/>
      <c r="X337" s="990"/>
    </row>
    <row r="338" spans="1:24" s="896" customFormat="1">
      <c r="A338" s="987">
        <f t="shared" si="6"/>
        <v>264</v>
      </c>
      <c r="B338" s="988">
        <v>37553</v>
      </c>
      <c r="C338" s="899" t="s">
        <v>9664</v>
      </c>
      <c r="D338" s="988" t="s">
        <v>2670</v>
      </c>
      <c r="E338" s="989">
        <v>1.43</v>
      </c>
      <c r="F338" s="990"/>
      <c r="G338" s="990"/>
      <c r="H338" s="990"/>
      <c r="I338" s="990"/>
      <c r="J338" s="990"/>
      <c r="K338" s="990"/>
      <c r="L338" s="990"/>
      <c r="M338" s="990"/>
      <c r="N338" s="990"/>
      <c r="O338" s="990"/>
      <c r="P338" s="990"/>
      <c r="Q338" s="990"/>
      <c r="R338" s="990"/>
      <c r="S338" s="990"/>
      <c r="T338" s="990"/>
      <c r="U338" s="990"/>
      <c r="V338" s="990"/>
      <c r="W338" s="990"/>
      <c r="X338" s="990"/>
    </row>
    <row r="339" spans="1:24" s="896" customFormat="1">
      <c r="A339" s="987">
        <f t="shared" si="6"/>
        <v>265</v>
      </c>
      <c r="B339" s="988">
        <v>37552</v>
      </c>
      <c r="C339" s="899" t="s">
        <v>9665</v>
      </c>
      <c r="D339" s="988" t="s">
        <v>2670</v>
      </c>
      <c r="E339" s="989">
        <v>2.2999999999999998</v>
      </c>
      <c r="F339" s="990"/>
      <c r="G339" s="990"/>
      <c r="H339" s="990"/>
      <c r="I339" s="990"/>
      <c r="J339" s="990"/>
      <c r="K339" s="990"/>
      <c r="L339" s="990"/>
      <c r="M339" s="990"/>
      <c r="N339" s="990"/>
      <c r="O339" s="990"/>
      <c r="P339" s="990"/>
      <c r="Q339" s="990"/>
      <c r="R339" s="990"/>
      <c r="S339" s="990"/>
      <c r="T339" s="990"/>
      <c r="U339" s="990"/>
      <c r="V339" s="990"/>
      <c r="W339" s="990"/>
      <c r="X339" s="990"/>
    </row>
    <row r="340" spans="1:24" s="896" customFormat="1">
      <c r="A340" s="987">
        <f t="shared" si="6"/>
        <v>266</v>
      </c>
      <c r="B340" s="988">
        <v>36880</v>
      </c>
      <c r="C340" s="899" t="s">
        <v>9666</v>
      </c>
      <c r="D340" s="988" t="s">
        <v>2670</v>
      </c>
      <c r="E340" s="989">
        <v>2.33</v>
      </c>
      <c r="F340" s="990"/>
      <c r="G340" s="990"/>
      <c r="H340" s="990"/>
      <c r="I340" s="990"/>
      <c r="J340" s="990"/>
      <c r="K340" s="990"/>
      <c r="L340" s="990"/>
      <c r="M340" s="990"/>
      <c r="N340" s="990"/>
      <c r="O340" s="990"/>
      <c r="P340" s="990"/>
      <c r="Q340" s="990"/>
      <c r="R340" s="990"/>
      <c r="S340" s="990"/>
      <c r="T340" s="990"/>
      <c r="U340" s="990"/>
      <c r="V340" s="990"/>
      <c r="W340" s="990"/>
      <c r="X340" s="990"/>
    </row>
    <row r="341" spans="1:24" s="896" customFormat="1">
      <c r="A341" s="987">
        <f t="shared" si="6"/>
        <v>267</v>
      </c>
      <c r="B341" s="988">
        <v>34355</v>
      </c>
      <c r="C341" s="899" t="s">
        <v>9667</v>
      </c>
      <c r="D341" s="988" t="s">
        <v>2670</v>
      </c>
      <c r="E341" s="989">
        <v>2.0099999999999998</v>
      </c>
      <c r="F341" s="990"/>
      <c r="G341" s="990"/>
      <c r="H341" s="990"/>
      <c r="I341" s="990"/>
      <c r="J341" s="990"/>
      <c r="K341" s="990"/>
      <c r="L341" s="990"/>
      <c r="M341" s="990"/>
      <c r="N341" s="990"/>
      <c r="O341" s="990"/>
      <c r="P341" s="990"/>
      <c r="Q341" s="990"/>
      <c r="R341" s="990"/>
      <c r="S341" s="990"/>
      <c r="T341" s="990"/>
      <c r="U341" s="990"/>
      <c r="V341" s="990"/>
      <c r="W341" s="990"/>
      <c r="X341" s="990"/>
    </row>
    <row r="342" spans="1:24" s="896" customFormat="1">
      <c r="A342" s="987">
        <f t="shared" si="6"/>
        <v>268</v>
      </c>
      <c r="B342" s="988">
        <v>130</v>
      </c>
      <c r="C342" s="899" t="s">
        <v>9668</v>
      </c>
      <c r="D342" s="988" t="s">
        <v>2670</v>
      </c>
      <c r="E342" s="989">
        <v>3.89</v>
      </c>
      <c r="F342" s="990"/>
      <c r="G342" s="990"/>
      <c r="H342" s="990"/>
      <c r="I342" s="990"/>
      <c r="J342" s="990"/>
      <c r="K342" s="990"/>
      <c r="L342" s="990"/>
      <c r="M342" s="990"/>
      <c r="N342" s="990"/>
      <c r="O342" s="990"/>
      <c r="P342" s="990"/>
      <c r="Q342" s="990"/>
      <c r="R342" s="990"/>
      <c r="S342" s="990"/>
      <c r="T342" s="990"/>
      <c r="U342" s="990"/>
      <c r="V342" s="990"/>
      <c r="W342" s="990"/>
      <c r="X342" s="990"/>
    </row>
    <row r="343" spans="1:24" s="896" customFormat="1" ht="25.5">
      <c r="A343" s="987">
        <f t="shared" si="6"/>
        <v>269</v>
      </c>
      <c r="B343" s="988">
        <v>135</v>
      </c>
      <c r="C343" s="899" t="s">
        <v>9669</v>
      </c>
      <c r="D343" s="988" t="s">
        <v>2670</v>
      </c>
      <c r="E343" s="989">
        <v>3.13</v>
      </c>
      <c r="F343" s="990"/>
      <c r="G343" s="990"/>
      <c r="H343" s="990"/>
      <c r="I343" s="990"/>
      <c r="J343" s="990"/>
      <c r="K343" s="990"/>
      <c r="L343" s="990"/>
      <c r="M343" s="990"/>
      <c r="N343" s="990"/>
      <c r="O343" s="990"/>
      <c r="P343" s="990"/>
      <c r="Q343" s="990"/>
      <c r="R343" s="990"/>
      <c r="S343" s="990"/>
      <c r="T343" s="990"/>
      <c r="U343" s="990"/>
      <c r="V343" s="990"/>
      <c r="W343" s="990"/>
      <c r="X343" s="990"/>
    </row>
    <row r="344" spans="1:24" s="896" customFormat="1">
      <c r="A344" s="987">
        <f t="shared" si="6"/>
        <v>270</v>
      </c>
      <c r="B344" s="988">
        <v>36886</v>
      </c>
      <c r="C344" s="899" t="s">
        <v>9670</v>
      </c>
      <c r="D344" s="988" t="s">
        <v>2670</v>
      </c>
      <c r="E344" s="989">
        <v>0.72</v>
      </c>
      <c r="F344" s="990"/>
      <c r="G344" s="990"/>
      <c r="H344" s="990"/>
      <c r="I344" s="990"/>
      <c r="J344" s="990"/>
      <c r="K344" s="990"/>
      <c r="L344" s="990"/>
      <c r="M344" s="990"/>
      <c r="N344" s="990"/>
      <c r="O344" s="990"/>
      <c r="P344" s="990"/>
      <c r="Q344" s="990"/>
      <c r="R344" s="990"/>
      <c r="S344" s="990"/>
      <c r="T344" s="990"/>
      <c r="U344" s="990"/>
      <c r="V344" s="990"/>
      <c r="W344" s="990"/>
      <c r="X344" s="990"/>
    </row>
    <row r="345" spans="1:24" s="896" customFormat="1" ht="25.5">
      <c r="A345" s="987">
        <f t="shared" si="6"/>
        <v>271</v>
      </c>
      <c r="B345" s="988">
        <v>38546</v>
      </c>
      <c r="C345" s="899" t="s">
        <v>9671</v>
      </c>
      <c r="D345" s="988" t="s">
        <v>2668</v>
      </c>
      <c r="E345" s="989">
        <v>420.09</v>
      </c>
      <c r="F345" s="990"/>
      <c r="G345" s="990"/>
      <c r="H345" s="990"/>
      <c r="I345" s="990"/>
      <c r="J345" s="990"/>
      <c r="K345" s="990"/>
      <c r="L345" s="990"/>
      <c r="M345" s="990"/>
      <c r="N345" s="990"/>
      <c r="O345" s="990"/>
      <c r="P345" s="990"/>
      <c r="Q345" s="990"/>
      <c r="R345" s="990"/>
      <c r="S345" s="990"/>
      <c r="T345" s="990"/>
      <c r="U345" s="990"/>
      <c r="V345" s="990"/>
      <c r="W345" s="990"/>
      <c r="X345" s="990"/>
    </row>
    <row r="346" spans="1:24" s="896" customFormat="1">
      <c r="A346" s="987">
        <f t="shared" si="6"/>
        <v>272</v>
      </c>
      <c r="B346" s="988">
        <v>34549</v>
      </c>
      <c r="C346" s="899" t="s">
        <v>9672</v>
      </c>
      <c r="D346" s="988" t="s">
        <v>2668</v>
      </c>
      <c r="E346" s="989">
        <v>674.15</v>
      </c>
      <c r="F346" s="990"/>
      <c r="G346" s="990"/>
      <c r="H346" s="990"/>
      <c r="I346" s="990"/>
      <c r="J346" s="990"/>
      <c r="K346" s="990"/>
      <c r="L346" s="990"/>
      <c r="M346" s="990"/>
      <c r="N346" s="990"/>
      <c r="O346" s="990"/>
      <c r="P346" s="990"/>
      <c r="Q346" s="990"/>
      <c r="R346" s="990"/>
      <c r="S346" s="990"/>
      <c r="T346" s="990"/>
      <c r="U346" s="990"/>
      <c r="V346" s="990"/>
      <c r="W346" s="990"/>
      <c r="X346" s="990"/>
    </row>
    <row r="347" spans="1:24" s="896" customFormat="1">
      <c r="A347" s="987">
        <f t="shared" si="6"/>
        <v>273</v>
      </c>
      <c r="B347" s="988">
        <v>6081</v>
      </c>
      <c r="C347" s="899" t="s">
        <v>9673</v>
      </c>
      <c r="D347" s="988" t="s">
        <v>2668</v>
      </c>
      <c r="E347" s="989">
        <v>47.19</v>
      </c>
      <c r="F347" s="990"/>
      <c r="G347" s="990"/>
      <c r="H347" s="990"/>
      <c r="I347" s="990"/>
      <c r="J347" s="990"/>
      <c r="K347" s="990"/>
      <c r="L347" s="990"/>
      <c r="M347" s="990"/>
      <c r="N347" s="990"/>
      <c r="O347" s="990"/>
      <c r="P347" s="990"/>
      <c r="Q347" s="990"/>
      <c r="R347" s="990"/>
      <c r="S347" s="990"/>
      <c r="T347" s="990"/>
      <c r="U347" s="990"/>
      <c r="V347" s="990"/>
      <c r="W347" s="990"/>
      <c r="X347" s="990"/>
    </row>
    <row r="348" spans="1:24" s="896" customFormat="1">
      <c r="A348" s="987">
        <f t="shared" si="6"/>
        <v>274</v>
      </c>
      <c r="B348" s="988">
        <v>6077</v>
      </c>
      <c r="C348" s="899" t="s">
        <v>9674</v>
      </c>
      <c r="D348" s="988" t="s">
        <v>2668</v>
      </c>
      <c r="E348" s="989">
        <v>33.700000000000003</v>
      </c>
      <c r="F348" s="990"/>
      <c r="G348" s="990"/>
      <c r="H348" s="990"/>
      <c r="I348" s="990"/>
      <c r="J348" s="990"/>
      <c r="K348" s="990"/>
      <c r="L348" s="990"/>
      <c r="M348" s="990"/>
      <c r="N348" s="990"/>
      <c r="O348" s="990"/>
      <c r="P348" s="990"/>
      <c r="Q348" s="990"/>
      <c r="R348" s="990"/>
      <c r="S348" s="990"/>
      <c r="T348" s="990"/>
      <c r="U348" s="990"/>
      <c r="V348" s="990"/>
      <c r="W348" s="990"/>
      <c r="X348" s="990"/>
    </row>
    <row r="349" spans="1:24" s="896" customFormat="1">
      <c r="A349" s="987">
        <f t="shared" si="6"/>
        <v>275</v>
      </c>
      <c r="B349" s="988">
        <v>6079</v>
      </c>
      <c r="C349" s="899" t="s">
        <v>9675</v>
      </c>
      <c r="D349" s="988" t="s">
        <v>2668</v>
      </c>
      <c r="E349" s="989">
        <v>33.700000000000003</v>
      </c>
      <c r="F349" s="990"/>
      <c r="G349" s="990"/>
      <c r="H349" s="990"/>
      <c r="I349" s="990"/>
      <c r="J349" s="990"/>
      <c r="K349" s="990"/>
      <c r="L349" s="990"/>
      <c r="M349" s="990"/>
      <c r="N349" s="990"/>
      <c r="O349" s="990"/>
      <c r="P349" s="990"/>
      <c r="Q349" s="990"/>
      <c r="R349" s="990"/>
      <c r="S349" s="990"/>
      <c r="T349" s="990"/>
      <c r="U349" s="990"/>
      <c r="V349" s="990"/>
      <c r="W349" s="990"/>
      <c r="X349" s="990"/>
    </row>
    <row r="350" spans="1:24" s="896" customFormat="1" ht="25.5">
      <c r="A350" s="987">
        <f t="shared" si="6"/>
        <v>276</v>
      </c>
      <c r="B350" s="988">
        <v>1091</v>
      </c>
      <c r="C350" s="899" t="s">
        <v>9676</v>
      </c>
      <c r="D350" s="988" t="s">
        <v>2666</v>
      </c>
      <c r="E350" s="989">
        <v>18.690000000000001</v>
      </c>
      <c r="F350" s="990"/>
      <c r="G350" s="990"/>
      <c r="H350" s="990"/>
      <c r="I350" s="990"/>
      <c r="J350" s="990"/>
      <c r="K350" s="990"/>
      <c r="L350" s="990"/>
      <c r="M350" s="990"/>
      <c r="N350" s="990"/>
      <c r="O350" s="990"/>
      <c r="P350" s="990"/>
      <c r="Q350" s="990"/>
      <c r="R350" s="990"/>
      <c r="S350" s="990"/>
      <c r="T350" s="990"/>
      <c r="U350" s="990"/>
      <c r="V350" s="990"/>
      <c r="W350" s="990"/>
      <c r="X350" s="990"/>
    </row>
    <row r="351" spans="1:24" s="896" customFormat="1" ht="25.5">
      <c r="A351" s="987">
        <f t="shared" si="6"/>
        <v>277</v>
      </c>
      <c r="B351" s="988">
        <v>1094</v>
      </c>
      <c r="C351" s="899" t="s">
        <v>9677</v>
      </c>
      <c r="D351" s="988" t="s">
        <v>2666</v>
      </c>
      <c r="E351" s="989">
        <v>13.07</v>
      </c>
      <c r="F351" s="990"/>
      <c r="G351" s="990"/>
      <c r="H351" s="990"/>
      <c r="I351" s="990"/>
      <c r="J351" s="990"/>
      <c r="K351" s="990"/>
      <c r="L351" s="990"/>
      <c r="M351" s="990"/>
      <c r="N351" s="990"/>
      <c r="O351" s="990"/>
      <c r="P351" s="990"/>
      <c r="Q351" s="990"/>
      <c r="R351" s="990"/>
      <c r="S351" s="990"/>
      <c r="T351" s="990"/>
      <c r="U351" s="990"/>
      <c r="V351" s="990"/>
      <c r="W351" s="990"/>
      <c r="X351" s="990"/>
    </row>
    <row r="352" spans="1:24" s="896" customFormat="1" ht="25.5">
      <c r="A352" s="987">
        <f t="shared" si="6"/>
        <v>278</v>
      </c>
      <c r="B352" s="988">
        <v>1095</v>
      </c>
      <c r="C352" s="899" t="s">
        <v>9678</v>
      </c>
      <c r="D352" s="988" t="s">
        <v>2666</v>
      </c>
      <c r="E352" s="989">
        <v>27.78</v>
      </c>
      <c r="F352" s="990"/>
      <c r="G352" s="990"/>
      <c r="H352" s="990"/>
      <c r="I352" s="990"/>
      <c r="J352" s="990"/>
      <c r="K352" s="990"/>
      <c r="L352" s="990"/>
      <c r="M352" s="990"/>
      <c r="N352" s="990"/>
      <c r="O352" s="990"/>
      <c r="P352" s="990"/>
      <c r="Q352" s="990"/>
      <c r="R352" s="990"/>
      <c r="S352" s="990"/>
      <c r="T352" s="990"/>
      <c r="U352" s="990"/>
      <c r="V352" s="990"/>
      <c r="W352" s="990"/>
      <c r="X352" s="990"/>
    </row>
    <row r="353" spans="1:24" s="896" customFormat="1" ht="25.5">
      <c r="A353" s="987">
        <f t="shared" si="6"/>
        <v>279</v>
      </c>
      <c r="B353" s="988">
        <v>1092</v>
      </c>
      <c r="C353" s="899" t="s">
        <v>9679</v>
      </c>
      <c r="D353" s="988" t="s">
        <v>2666</v>
      </c>
      <c r="E353" s="989">
        <v>21.5</v>
      </c>
      <c r="F353" s="990"/>
      <c r="G353" s="990"/>
      <c r="H353" s="990"/>
      <c r="I353" s="990"/>
      <c r="J353" s="990"/>
      <c r="K353" s="990"/>
      <c r="L353" s="990"/>
      <c r="M353" s="990"/>
      <c r="N353" s="990"/>
      <c r="O353" s="990"/>
      <c r="P353" s="990"/>
      <c r="Q353" s="990"/>
      <c r="R353" s="990"/>
      <c r="S353" s="990"/>
      <c r="T353" s="990"/>
      <c r="U353" s="990"/>
      <c r="V353" s="990"/>
      <c r="W353" s="990"/>
      <c r="X353" s="990"/>
    </row>
    <row r="354" spans="1:24" s="896" customFormat="1" ht="25.5">
      <c r="A354" s="987">
        <f t="shared" si="6"/>
        <v>280</v>
      </c>
      <c r="B354" s="988">
        <v>1093</v>
      </c>
      <c r="C354" s="899" t="s">
        <v>9680</v>
      </c>
      <c r="D354" s="988" t="s">
        <v>2666</v>
      </c>
      <c r="E354" s="989">
        <v>50.21</v>
      </c>
      <c r="F354" s="990"/>
      <c r="G354" s="990"/>
      <c r="H354" s="990"/>
      <c r="I354" s="990"/>
      <c r="J354" s="990"/>
      <c r="K354" s="990"/>
      <c r="L354" s="990"/>
      <c r="M354" s="990"/>
      <c r="N354" s="990"/>
      <c r="O354" s="990"/>
      <c r="P354" s="990"/>
      <c r="Q354" s="990"/>
      <c r="R354" s="990"/>
      <c r="S354" s="990"/>
      <c r="T354" s="990"/>
      <c r="U354" s="990"/>
      <c r="V354" s="990"/>
      <c r="W354" s="990"/>
      <c r="X354" s="990"/>
    </row>
    <row r="355" spans="1:24" s="896" customFormat="1" ht="25.5">
      <c r="A355" s="987">
        <f t="shared" si="6"/>
        <v>281</v>
      </c>
      <c r="B355" s="988">
        <v>1090</v>
      </c>
      <c r="C355" s="899" t="s">
        <v>9681</v>
      </c>
      <c r="D355" s="988" t="s">
        <v>2666</v>
      </c>
      <c r="E355" s="989">
        <v>35.950000000000003</v>
      </c>
      <c r="F355" s="990"/>
      <c r="G355" s="990"/>
      <c r="H355" s="990"/>
      <c r="I355" s="990"/>
      <c r="J355" s="990"/>
      <c r="K355" s="990"/>
      <c r="L355" s="990"/>
      <c r="M355" s="990"/>
      <c r="N355" s="990"/>
      <c r="O355" s="990"/>
      <c r="P355" s="990"/>
      <c r="Q355" s="990"/>
      <c r="R355" s="990"/>
      <c r="S355" s="990"/>
      <c r="T355" s="990"/>
      <c r="U355" s="990"/>
      <c r="V355" s="990"/>
      <c r="W355" s="990"/>
      <c r="X355" s="990"/>
    </row>
    <row r="356" spans="1:24" s="896" customFormat="1" ht="25.5">
      <c r="A356" s="987">
        <f t="shared" si="6"/>
        <v>282</v>
      </c>
      <c r="B356" s="988">
        <v>1096</v>
      </c>
      <c r="C356" s="899" t="s">
        <v>9682</v>
      </c>
      <c r="D356" s="988" t="s">
        <v>2666</v>
      </c>
      <c r="E356" s="989">
        <v>64.69</v>
      </c>
      <c r="F356" s="990"/>
      <c r="G356" s="990"/>
      <c r="H356" s="990"/>
      <c r="I356" s="990"/>
      <c r="J356" s="990"/>
      <c r="K356" s="990"/>
      <c r="L356" s="990"/>
      <c r="M356" s="990"/>
      <c r="N356" s="990"/>
      <c r="O356" s="990"/>
      <c r="P356" s="990"/>
      <c r="Q356" s="990"/>
      <c r="R356" s="990"/>
      <c r="S356" s="990"/>
      <c r="T356" s="990"/>
      <c r="U356" s="990"/>
      <c r="V356" s="990"/>
      <c r="W356" s="990"/>
      <c r="X356" s="990"/>
    </row>
    <row r="357" spans="1:24" s="896" customFormat="1" ht="25.5">
      <c r="A357" s="987">
        <f t="shared" si="6"/>
        <v>283</v>
      </c>
      <c r="B357" s="988">
        <v>1097</v>
      </c>
      <c r="C357" s="899" t="s">
        <v>9683</v>
      </c>
      <c r="D357" s="988" t="s">
        <v>2666</v>
      </c>
      <c r="E357" s="989">
        <v>54.92</v>
      </c>
      <c r="F357" s="990"/>
      <c r="G357" s="990"/>
      <c r="H357" s="990"/>
      <c r="I357" s="990"/>
      <c r="J357" s="990"/>
      <c r="K357" s="990"/>
      <c r="L357" s="990"/>
      <c r="M357" s="990"/>
      <c r="N357" s="990"/>
      <c r="O357" s="990"/>
      <c r="P357" s="990"/>
      <c r="Q357" s="990"/>
      <c r="R357" s="990"/>
      <c r="S357" s="990"/>
      <c r="T357" s="990"/>
      <c r="U357" s="990"/>
      <c r="V357" s="990"/>
      <c r="W357" s="990"/>
      <c r="X357" s="990"/>
    </row>
    <row r="358" spans="1:24" s="896" customFormat="1">
      <c r="A358" s="987">
        <f t="shared" si="6"/>
        <v>284</v>
      </c>
      <c r="B358" s="988">
        <v>378</v>
      </c>
      <c r="C358" s="899" t="s">
        <v>9684</v>
      </c>
      <c r="D358" s="988" t="s">
        <v>2665</v>
      </c>
      <c r="E358" s="989">
        <v>23.94</v>
      </c>
      <c r="F358" s="990"/>
      <c r="G358" s="990"/>
      <c r="H358" s="990"/>
      <c r="I358" s="990"/>
      <c r="J358" s="990"/>
      <c r="K358" s="990"/>
      <c r="L358" s="990"/>
      <c r="M358" s="990"/>
      <c r="N358" s="990"/>
      <c r="O358" s="990"/>
      <c r="P358" s="990"/>
      <c r="Q358" s="990"/>
      <c r="R358" s="990"/>
      <c r="S358" s="990"/>
      <c r="T358" s="990"/>
      <c r="U358" s="990"/>
      <c r="V358" s="990"/>
      <c r="W358" s="990"/>
      <c r="X358" s="990"/>
    </row>
    <row r="359" spans="1:24" s="896" customFormat="1">
      <c r="A359" s="987">
        <f t="shared" si="6"/>
        <v>285</v>
      </c>
      <c r="B359" s="988">
        <v>40911</v>
      </c>
      <c r="C359" s="899" t="s">
        <v>9685</v>
      </c>
      <c r="D359" s="988" t="s">
        <v>2672</v>
      </c>
      <c r="E359" s="989">
        <v>4207.42</v>
      </c>
      <c r="F359" s="990"/>
      <c r="G359" s="990"/>
      <c r="H359" s="990"/>
      <c r="I359" s="990"/>
      <c r="J359" s="990"/>
      <c r="K359" s="990"/>
      <c r="L359" s="990"/>
      <c r="M359" s="990"/>
      <c r="N359" s="990"/>
      <c r="O359" s="990"/>
      <c r="P359" s="990"/>
      <c r="Q359" s="990"/>
      <c r="R359" s="990"/>
      <c r="S359" s="990"/>
      <c r="T359" s="990"/>
      <c r="U359" s="990"/>
      <c r="V359" s="990"/>
      <c r="W359" s="990"/>
      <c r="X359" s="990"/>
    </row>
    <row r="360" spans="1:24" s="896" customFormat="1">
      <c r="A360" s="987">
        <f t="shared" si="6"/>
        <v>286</v>
      </c>
      <c r="B360" s="988">
        <v>33939</v>
      </c>
      <c r="C360" s="899" t="s">
        <v>9686</v>
      </c>
      <c r="D360" s="988" t="s">
        <v>2665</v>
      </c>
      <c r="E360" s="989">
        <v>74.23</v>
      </c>
      <c r="F360" s="990"/>
      <c r="G360" s="990"/>
      <c r="H360" s="990"/>
      <c r="I360" s="990"/>
      <c r="J360" s="990"/>
      <c r="K360" s="990"/>
      <c r="L360" s="990"/>
      <c r="M360" s="990"/>
      <c r="N360" s="990"/>
      <c r="O360" s="990"/>
      <c r="P360" s="990"/>
      <c r="Q360" s="990"/>
      <c r="R360" s="990"/>
      <c r="S360" s="990"/>
      <c r="T360" s="990"/>
      <c r="U360" s="990"/>
      <c r="V360" s="990"/>
      <c r="W360" s="990"/>
      <c r="X360" s="990"/>
    </row>
    <row r="361" spans="1:24" s="896" customFormat="1">
      <c r="A361" s="987">
        <f t="shared" si="6"/>
        <v>287</v>
      </c>
      <c r="B361" s="988">
        <v>40815</v>
      </c>
      <c r="C361" s="899" t="s">
        <v>9687</v>
      </c>
      <c r="D361" s="988" t="s">
        <v>2672</v>
      </c>
      <c r="E361" s="989">
        <v>13046.07</v>
      </c>
      <c r="F361" s="990"/>
      <c r="G361" s="990"/>
      <c r="H361" s="990"/>
      <c r="I361" s="990"/>
      <c r="J361" s="990"/>
      <c r="K361" s="990"/>
      <c r="L361" s="990"/>
      <c r="M361" s="990"/>
      <c r="N361" s="990"/>
      <c r="O361" s="990"/>
      <c r="P361" s="990"/>
      <c r="Q361" s="990"/>
      <c r="R361" s="990"/>
      <c r="S361" s="990"/>
      <c r="T361" s="990"/>
      <c r="U361" s="990"/>
      <c r="V361" s="990"/>
      <c r="W361" s="990"/>
      <c r="X361" s="990"/>
    </row>
    <row r="362" spans="1:24" s="896" customFormat="1">
      <c r="A362" s="987">
        <f t="shared" si="6"/>
        <v>288</v>
      </c>
      <c r="B362" s="988">
        <v>34760</v>
      </c>
      <c r="C362" s="899" t="s">
        <v>9688</v>
      </c>
      <c r="D362" s="988" t="s">
        <v>2665</v>
      </c>
      <c r="E362" s="989">
        <v>71.84</v>
      </c>
      <c r="F362" s="990"/>
      <c r="G362" s="990"/>
      <c r="H362" s="990"/>
      <c r="I362" s="990"/>
      <c r="J362" s="990"/>
      <c r="K362" s="990"/>
      <c r="L362" s="990"/>
      <c r="M362" s="990"/>
      <c r="N362" s="990"/>
      <c r="O362" s="990"/>
      <c r="P362" s="990"/>
      <c r="Q362" s="990"/>
      <c r="R362" s="990"/>
      <c r="S362" s="990"/>
      <c r="T362" s="990"/>
      <c r="U362" s="990"/>
      <c r="V362" s="990"/>
      <c r="W362" s="990"/>
      <c r="X362" s="990"/>
    </row>
    <row r="363" spans="1:24" s="896" customFormat="1">
      <c r="A363" s="987">
        <f t="shared" si="6"/>
        <v>289</v>
      </c>
      <c r="B363" s="988">
        <v>40935</v>
      </c>
      <c r="C363" s="899" t="s">
        <v>9689</v>
      </c>
      <c r="D363" s="988" t="s">
        <v>2672</v>
      </c>
      <c r="E363" s="989">
        <v>12629.05</v>
      </c>
      <c r="F363" s="990"/>
      <c r="G363" s="990"/>
      <c r="H363" s="990"/>
      <c r="I363" s="990"/>
      <c r="J363" s="990"/>
      <c r="K363" s="990"/>
      <c r="L363" s="990"/>
      <c r="M363" s="990"/>
      <c r="N363" s="990"/>
      <c r="O363" s="990"/>
      <c r="P363" s="990"/>
      <c r="Q363" s="990"/>
      <c r="R363" s="990"/>
      <c r="S363" s="990"/>
      <c r="T363" s="990"/>
      <c r="U363" s="990"/>
      <c r="V363" s="990"/>
      <c r="W363" s="990"/>
      <c r="X363" s="990"/>
    </row>
    <row r="364" spans="1:24" s="896" customFormat="1">
      <c r="A364" s="987">
        <f t="shared" si="6"/>
        <v>290</v>
      </c>
      <c r="B364" s="988">
        <v>33952</v>
      </c>
      <c r="C364" s="899" t="s">
        <v>9690</v>
      </c>
      <c r="D364" s="988" t="s">
        <v>2665</v>
      </c>
      <c r="E364" s="989">
        <v>105.44</v>
      </c>
      <c r="F364" s="990"/>
      <c r="G364" s="990"/>
      <c r="H364" s="990"/>
      <c r="I364" s="990"/>
      <c r="J364" s="990"/>
      <c r="K364" s="990"/>
      <c r="L364" s="990"/>
      <c r="M364" s="990"/>
      <c r="N364" s="990"/>
      <c r="O364" s="990"/>
      <c r="P364" s="990"/>
      <c r="Q364" s="990"/>
      <c r="R364" s="990"/>
      <c r="S364" s="990"/>
      <c r="T364" s="990"/>
      <c r="U364" s="990"/>
      <c r="V364" s="990"/>
      <c r="W364" s="990"/>
      <c r="X364" s="990"/>
    </row>
    <row r="365" spans="1:24" s="896" customFormat="1">
      <c r="A365" s="987">
        <f t="shared" si="6"/>
        <v>291</v>
      </c>
      <c r="B365" s="988">
        <v>40816</v>
      </c>
      <c r="C365" s="899" t="s">
        <v>9691</v>
      </c>
      <c r="D365" s="988" t="s">
        <v>2672</v>
      </c>
      <c r="E365" s="989">
        <v>18530.849999999999</v>
      </c>
      <c r="F365" s="990"/>
      <c r="G365" s="990"/>
      <c r="H365" s="990"/>
      <c r="I365" s="990"/>
      <c r="J365" s="990"/>
      <c r="K365" s="990"/>
      <c r="L365" s="990"/>
      <c r="M365" s="990"/>
      <c r="N365" s="990"/>
      <c r="O365" s="990"/>
      <c r="P365" s="990"/>
      <c r="Q365" s="990"/>
      <c r="R365" s="990"/>
      <c r="S365" s="990"/>
      <c r="T365" s="990"/>
      <c r="U365" s="990"/>
      <c r="V365" s="990"/>
      <c r="W365" s="990"/>
      <c r="X365" s="990"/>
    </row>
    <row r="366" spans="1:24" s="896" customFormat="1">
      <c r="A366" s="987">
        <f t="shared" si="6"/>
        <v>292</v>
      </c>
      <c r="B366" s="988">
        <v>33953</v>
      </c>
      <c r="C366" s="899" t="s">
        <v>9692</v>
      </c>
      <c r="D366" s="988" t="s">
        <v>2665</v>
      </c>
      <c r="E366" s="989">
        <v>139.38999999999999</v>
      </c>
      <c r="F366" s="990"/>
      <c r="G366" s="990"/>
      <c r="H366" s="990"/>
      <c r="I366" s="990"/>
      <c r="J366" s="990"/>
      <c r="K366" s="990"/>
      <c r="L366" s="990"/>
      <c r="M366" s="990"/>
      <c r="N366" s="990"/>
      <c r="O366" s="990"/>
      <c r="P366" s="990"/>
      <c r="Q366" s="990"/>
      <c r="R366" s="990"/>
      <c r="S366" s="990"/>
      <c r="T366" s="990"/>
      <c r="U366" s="990"/>
      <c r="V366" s="990"/>
      <c r="W366" s="990"/>
      <c r="X366" s="990"/>
    </row>
    <row r="367" spans="1:24" s="896" customFormat="1">
      <c r="A367" s="987">
        <f t="shared" si="6"/>
        <v>293</v>
      </c>
      <c r="B367" s="988">
        <v>40817</v>
      </c>
      <c r="C367" s="899" t="s">
        <v>9693</v>
      </c>
      <c r="D367" s="988" t="s">
        <v>2672</v>
      </c>
      <c r="E367" s="989">
        <v>24499.43</v>
      </c>
      <c r="F367" s="990"/>
      <c r="G367" s="990"/>
      <c r="H367" s="990"/>
      <c r="I367" s="990"/>
      <c r="J367" s="990"/>
      <c r="K367" s="990"/>
      <c r="L367" s="990"/>
      <c r="M367" s="990"/>
      <c r="N367" s="990"/>
      <c r="O367" s="990"/>
      <c r="P367" s="990"/>
      <c r="Q367" s="990"/>
      <c r="R367" s="990"/>
      <c r="S367" s="990"/>
      <c r="T367" s="990"/>
      <c r="U367" s="990"/>
      <c r="V367" s="990"/>
      <c r="W367" s="990"/>
      <c r="X367" s="990"/>
    </row>
    <row r="368" spans="1:24" s="896" customFormat="1" ht="25.5">
      <c r="A368" s="987">
        <f t="shared" si="6"/>
        <v>294</v>
      </c>
      <c r="B368" s="988">
        <v>13348</v>
      </c>
      <c r="C368" s="899" t="s">
        <v>9694</v>
      </c>
      <c r="D368" s="988" t="s">
        <v>2666</v>
      </c>
      <c r="E368" s="989">
        <v>1.27</v>
      </c>
      <c r="F368" s="990"/>
      <c r="G368" s="990"/>
      <c r="H368" s="990"/>
      <c r="I368" s="990"/>
      <c r="J368" s="990"/>
      <c r="K368" s="990"/>
      <c r="L368" s="990"/>
      <c r="M368" s="990"/>
      <c r="N368" s="990"/>
      <c r="O368" s="990"/>
      <c r="P368" s="990"/>
      <c r="Q368" s="990"/>
      <c r="R368" s="990"/>
      <c r="S368" s="990"/>
      <c r="T368" s="990"/>
      <c r="U368" s="990"/>
      <c r="V368" s="990"/>
      <c r="W368" s="990"/>
      <c r="X368" s="990"/>
    </row>
    <row r="369" spans="1:24" s="896" customFormat="1">
      <c r="A369" s="987">
        <f t="shared" si="6"/>
        <v>295</v>
      </c>
      <c r="B369" s="988">
        <v>39211</v>
      </c>
      <c r="C369" s="899" t="s">
        <v>9695</v>
      </c>
      <c r="D369" s="988" t="s">
        <v>2666</v>
      </c>
      <c r="E369" s="989">
        <v>1.71</v>
      </c>
      <c r="F369" s="990"/>
      <c r="G369" s="990"/>
      <c r="H369" s="990"/>
      <c r="I369" s="990"/>
      <c r="J369" s="990"/>
      <c r="K369" s="990"/>
      <c r="L369" s="990"/>
      <c r="M369" s="990"/>
      <c r="N369" s="990"/>
      <c r="O369" s="990"/>
      <c r="P369" s="990"/>
      <c r="Q369" s="990"/>
      <c r="R369" s="990"/>
      <c r="S369" s="990"/>
      <c r="T369" s="990"/>
      <c r="U369" s="990"/>
      <c r="V369" s="990"/>
      <c r="W369" s="990"/>
      <c r="X369" s="990"/>
    </row>
    <row r="370" spans="1:24" s="896" customFormat="1">
      <c r="A370" s="987">
        <f t="shared" si="6"/>
        <v>296</v>
      </c>
      <c r="B370" s="988">
        <v>39212</v>
      </c>
      <c r="C370" s="899" t="s">
        <v>9696</v>
      </c>
      <c r="D370" s="988" t="s">
        <v>2666</v>
      </c>
      <c r="E370" s="989">
        <v>1.9</v>
      </c>
      <c r="F370" s="990"/>
      <c r="G370" s="990"/>
      <c r="H370" s="990"/>
      <c r="I370" s="990"/>
      <c r="J370" s="990"/>
      <c r="K370" s="990"/>
      <c r="L370" s="990"/>
      <c r="M370" s="990"/>
      <c r="N370" s="990"/>
      <c r="O370" s="990"/>
      <c r="P370" s="990"/>
      <c r="Q370" s="990"/>
      <c r="R370" s="990"/>
      <c r="S370" s="990"/>
      <c r="T370" s="990"/>
      <c r="U370" s="990"/>
      <c r="V370" s="990"/>
      <c r="W370" s="990"/>
      <c r="X370" s="990"/>
    </row>
    <row r="371" spans="1:24" s="896" customFormat="1">
      <c r="A371" s="987">
        <f t="shared" si="6"/>
        <v>297</v>
      </c>
      <c r="B371" s="988">
        <v>39208</v>
      </c>
      <c r="C371" s="899" t="s">
        <v>9697</v>
      </c>
      <c r="D371" s="988" t="s">
        <v>2666</v>
      </c>
      <c r="E371" s="989">
        <v>0.52</v>
      </c>
      <c r="F371" s="990"/>
      <c r="G371" s="990"/>
      <c r="H371" s="990"/>
      <c r="I371" s="990"/>
      <c r="J371" s="990"/>
      <c r="K371" s="990"/>
      <c r="L371" s="990"/>
      <c r="M371" s="990"/>
      <c r="N371" s="990"/>
      <c r="O371" s="990"/>
      <c r="P371" s="990"/>
      <c r="Q371" s="990"/>
      <c r="R371" s="990"/>
      <c r="S371" s="990"/>
      <c r="T371" s="990"/>
      <c r="U371" s="990"/>
      <c r="V371" s="990"/>
      <c r="W371" s="990"/>
      <c r="X371" s="990"/>
    </row>
    <row r="372" spans="1:24" s="896" customFormat="1">
      <c r="A372" s="987">
        <f t="shared" si="6"/>
        <v>298</v>
      </c>
      <c r="B372" s="988">
        <v>39210</v>
      </c>
      <c r="C372" s="899" t="s">
        <v>9698</v>
      </c>
      <c r="D372" s="988" t="s">
        <v>2666</v>
      </c>
      <c r="E372" s="989">
        <v>0.95</v>
      </c>
      <c r="F372" s="990"/>
      <c r="G372" s="990"/>
      <c r="H372" s="990"/>
      <c r="I372" s="990"/>
      <c r="J372" s="990"/>
      <c r="K372" s="990"/>
      <c r="L372" s="990"/>
      <c r="M372" s="990"/>
      <c r="N372" s="990"/>
      <c r="O372" s="990"/>
      <c r="P372" s="990"/>
      <c r="Q372" s="990"/>
      <c r="R372" s="990"/>
      <c r="S372" s="990"/>
      <c r="T372" s="990"/>
      <c r="U372" s="990"/>
      <c r="V372" s="990"/>
      <c r="W372" s="990"/>
      <c r="X372" s="990"/>
    </row>
    <row r="373" spans="1:24" s="896" customFormat="1">
      <c r="A373" s="987">
        <f t="shared" si="6"/>
        <v>299</v>
      </c>
      <c r="B373" s="988">
        <v>39214</v>
      </c>
      <c r="C373" s="899" t="s">
        <v>9699</v>
      </c>
      <c r="D373" s="988" t="s">
        <v>2666</v>
      </c>
      <c r="E373" s="989">
        <v>3.52</v>
      </c>
      <c r="F373" s="990"/>
      <c r="G373" s="990"/>
      <c r="H373" s="990"/>
      <c r="I373" s="990"/>
      <c r="J373" s="990"/>
      <c r="K373" s="990"/>
      <c r="L373" s="990"/>
      <c r="M373" s="990"/>
      <c r="N373" s="990"/>
      <c r="O373" s="990"/>
      <c r="P373" s="990"/>
      <c r="Q373" s="990"/>
      <c r="R373" s="990"/>
      <c r="S373" s="990"/>
      <c r="T373" s="990"/>
      <c r="U373" s="990"/>
      <c r="V373" s="990"/>
      <c r="W373" s="990"/>
      <c r="X373" s="990"/>
    </row>
    <row r="374" spans="1:24" s="896" customFormat="1">
      <c r="A374" s="987">
        <f t="shared" si="6"/>
        <v>300</v>
      </c>
      <c r="B374" s="988">
        <v>39213</v>
      </c>
      <c r="C374" s="899" t="s">
        <v>9700</v>
      </c>
      <c r="D374" s="988" t="s">
        <v>2666</v>
      </c>
      <c r="E374" s="989">
        <v>2.4900000000000002</v>
      </c>
      <c r="F374" s="990"/>
      <c r="G374" s="990"/>
      <c r="H374" s="990"/>
      <c r="I374" s="990"/>
      <c r="J374" s="990"/>
      <c r="K374" s="990"/>
      <c r="L374" s="990"/>
      <c r="M374" s="990"/>
      <c r="N374" s="990"/>
      <c r="O374" s="990"/>
      <c r="P374" s="990"/>
      <c r="Q374" s="990"/>
      <c r="R374" s="990"/>
      <c r="S374" s="990"/>
      <c r="T374" s="990"/>
      <c r="U374" s="990"/>
      <c r="V374" s="990"/>
      <c r="W374" s="990"/>
      <c r="X374" s="990"/>
    </row>
    <row r="375" spans="1:24" s="896" customFormat="1">
      <c r="A375" s="987">
        <f t="shared" si="6"/>
        <v>301</v>
      </c>
      <c r="B375" s="988">
        <v>39209</v>
      </c>
      <c r="C375" s="899" t="s">
        <v>9701</v>
      </c>
      <c r="D375" s="988" t="s">
        <v>2666</v>
      </c>
      <c r="E375" s="989">
        <v>0.62</v>
      </c>
      <c r="F375" s="990"/>
      <c r="G375" s="990"/>
      <c r="H375" s="990"/>
      <c r="I375" s="990"/>
      <c r="J375" s="990"/>
      <c r="K375" s="990"/>
      <c r="L375" s="990"/>
      <c r="M375" s="990"/>
      <c r="N375" s="990"/>
      <c r="O375" s="990"/>
      <c r="P375" s="990"/>
      <c r="Q375" s="990"/>
      <c r="R375" s="990"/>
      <c r="S375" s="990"/>
      <c r="T375" s="990"/>
      <c r="U375" s="990"/>
      <c r="V375" s="990"/>
      <c r="W375" s="990"/>
      <c r="X375" s="990"/>
    </row>
    <row r="376" spans="1:24" s="896" customFormat="1">
      <c r="A376" s="987">
        <f t="shared" si="6"/>
        <v>302</v>
      </c>
      <c r="B376" s="988">
        <v>39207</v>
      </c>
      <c r="C376" s="899" t="s">
        <v>9702</v>
      </c>
      <c r="D376" s="988" t="s">
        <v>2666</v>
      </c>
      <c r="E376" s="989">
        <v>0.95</v>
      </c>
      <c r="F376" s="990"/>
      <c r="G376" s="990"/>
      <c r="H376" s="990"/>
      <c r="I376" s="990"/>
      <c r="J376" s="990"/>
      <c r="K376" s="990"/>
      <c r="L376" s="990"/>
      <c r="M376" s="990"/>
      <c r="N376" s="990"/>
      <c r="O376" s="990"/>
      <c r="P376" s="990"/>
      <c r="Q376" s="990"/>
      <c r="R376" s="990"/>
      <c r="S376" s="990"/>
      <c r="T376" s="990"/>
      <c r="U376" s="990"/>
      <c r="V376" s="990"/>
      <c r="W376" s="990"/>
      <c r="X376" s="990"/>
    </row>
    <row r="377" spans="1:24" s="896" customFormat="1">
      <c r="A377" s="987">
        <f t="shared" si="6"/>
        <v>303</v>
      </c>
      <c r="B377" s="988">
        <v>39215</v>
      </c>
      <c r="C377" s="899" t="s">
        <v>9703</v>
      </c>
      <c r="D377" s="988" t="s">
        <v>2666</v>
      </c>
      <c r="E377" s="989">
        <v>6.42</v>
      </c>
      <c r="F377" s="990"/>
      <c r="G377" s="990"/>
      <c r="H377" s="990"/>
      <c r="I377" s="990"/>
      <c r="J377" s="990"/>
      <c r="K377" s="990"/>
      <c r="L377" s="990"/>
      <c r="M377" s="990"/>
      <c r="N377" s="990"/>
      <c r="O377" s="990"/>
      <c r="P377" s="990"/>
      <c r="Q377" s="990"/>
      <c r="R377" s="990"/>
      <c r="S377" s="990"/>
      <c r="T377" s="990"/>
      <c r="U377" s="990"/>
      <c r="V377" s="990"/>
      <c r="W377" s="990"/>
      <c r="X377" s="990"/>
    </row>
    <row r="378" spans="1:24" s="896" customFormat="1">
      <c r="A378" s="987">
        <f t="shared" si="6"/>
        <v>304</v>
      </c>
      <c r="B378" s="988">
        <v>39216</v>
      </c>
      <c r="C378" s="899" t="s">
        <v>9704</v>
      </c>
      <c r="D378" s="988" t="s">
        <v>2666</v>
      </c>
      <c r="E378" s="989">
        <v>8.9600000000000009</v>
      </c>
      <c r="F378" s="990"/>
      <c r="G378" s="990"/>
      <c r="H378" s="990"/>
      <c r="I378" s="990"/>
      <c r="J378" s="990"/>
      <c r="K378" s="990"/>
      <c r="L378" s="990"/>
      <c r="M378" s="990"/>
      <c r="N378" s="990"/>
      <c r="O378" s="990"/>
      <c r="P378" s="990"/>
      <c r="Q378" s="990"/>
      <c r="R378" s="990"/>
      <c r="S378" s="990"/>
      <c r="T378" s="990"/>
      <c r="U378" s="990"/>
      <c r="V378" s="990"/>
      <c r="W378" s="990"/>
      <c r="X378" s="990"/>
    </row>
    <row r="379" spans="1:24" s="896" customFormat="1" ht="25.5">
      <c r="A379" s="987">
        <f t="shared" si="6"/>
        <v>305</v>
      </c>
      <c r="B379" s="988">
        <v>11267</v>
      </c>
      <c r="C379" s="899" t="s">
        <v>9705</v>
      </c>
      <c r="D379" s="988" t="s">
        <v>2666</v>
      </c>
      <c r="E379" s="989">
        <v>1.1100000000000001</v>
      </c>
      <c r="F379" s="990"/>
      <c r="G379" s="990"/>
      <c r="H379" s="990"/>
      <c r="I379" s="990"/>
      <c r="J379" s="990"/>
      <c r="K379" s="990"/>
      <c r="L379" s="990"/>
      <c r="M379" s="990"/>
      <c r="N379" s="990"/>
      <c r="O379" s="990"/>
      <c r="P379" s="990"/>
      <c r="Q379" s="990"/>
      <c r="R379" s="990"/>
      <c r="S379" s="990"/>
      <c r="T379" s="990"/>
      <c r="U379" s="990"/>
      <c r="V379" s="990"/>
      <c r="W379" s="990"/>
      <c r="X379" s="990"/>
    </row>
    <row r="380" spans="1:24" s="896" customFormat="1" ht="25.5">
      <c r="A380" s="987">
        <f t="shared" si="6"/>
        <v>306</v>
      </c>
      <c r="B380" s="988">
        <v>379</v>
      </c>
      <c r="C380" s="899" t="s">
        <v>9706</v>
      </c>
      <c r="D380" s="988" t="s">
        <v>2666</v>
      </c>
      <c r="E380" s="989">
        <v>1.1200000000000001</v>
      </c>
      <c r="F380" s="990"/>
      <c r="G380" s="990"/>
      <c r="H380" s="990"/>
      <c r="I380" s="990"/>
      <c r="J380" s="990"/>
      <c r="K380" s="990"/>
      <c r="L380" s="990"/>
      <c r="M380" s="990"/>
      <c r="N380" s="990"/>
      <c r="O380" s="990"/>
      <c r="P380" s="990"/>
      <c r="Q380" s="990"/>
      <c r="R380" s="990"/>
      <c r="S380" s="990"/>
      <c r="T380" s="990"/>
      <c r="U380" s="990"/>
      <c r="V380" s="990"/>
      <c r="W380" s="990"/>
      <c r="X380" s="990"/>
    </row>
    <row r="381" spans="1:24" s="896" customFormat="1" ht="25.5">
      <c r="A381" s="987">
        <f t="shared" si="6"/>
        <v>307</v>
      </c>
      <c r="B381" s="988">
        <v>510</v>
      </c>
      <c r="C381" s="899" t="s">
        <v>9707</v>
      </c>
      <c r="D381" s="988" t="s">
        <v>2670</v>
      </c>
      <c r="E381" s="989">
        <v>9.8699999999999992</v>
      </c>
      <c r="F381" s="990"/>
      <c r="G381" s="990"/>
      <c r="H381" s="990"/>
      <c r="I381" s="990"/>
      <c r="J381" s="990"/>
      <c r="K381" s="990"/>
      <c r="L381" s="990"/>
      <c r="M381" s="990"/>
      <c r="N381" s="990"/>
      <c r="O381" s="990"/>
      <c r="P381" s="990"/>
      <c r="Q381" s="990"/>
      <c r="R381" s="990"/>
      <c r="S381" s="990"/>
      <c r="T381" s="990"/>
      <c r="U381" s="990"/>
      <c r="V381" s="990"/>
      <c r="W381" s="990"/>
      <c r="X381" s="990"/>
    </row>
    <row r="382" spans="1:24" s="896" customFormat="1" ht="25.5">
      <c r="A382" s="987">
        <f t="shared" si="6"/>
        <v>308</v>
      </c>
      <c r="B382" s="988">
        <v>516</v>
      </c>
      <c r="C382" s="899" t="s">
        <v>9708</v>
      </c>
      <c r="D382" s="988" t="s">
        <v>2670</v>
      </c>
      <c r="E382" s="989">
        <v>11.69</v>
      </c>
      <c r="F382" s="990"/>
      <c r="G382" s="990"/>
      <c r="H382" s="990"/>
      <c r="I382" s="990"/>
      <c r="J382" s="990"/>
      <c r="K382" s="990"/>
      <c r="L382" s="990"/>
      <c r="M382" s="990"/>
      <c r="N382" s="990"/>
      <c r="O382" s="990"/>
      <c r="P382" s="990"/>
      <c r="Q382" s="990"/>
      <c r="R382" s="990"/>
      <c r="S382" s="990"/>
      <c r="T382" s="990"/>
      <c r="U382" s="990"/>
      <c r="V382" s="990"/>
      <c r="W382" s="990"/>
      <c r="X382" s="990"/>
    </row>
    <row r="383" spans="1:24" s="896" customFormat="1" ht="25.5">
      <c r="A383" s="987">
        <f t="shared" si="6"/>
        <v>309</v>
      </c>
      <c r="B383" s="988">
        <v>509</v>
      </c>
      <c r="C383" s="899" t="s">
        <v>9709</v>
      </c>
      <c r="D383" s="988" t="s">
        <v>2670</v>
      </c>
      <c r="E383" s="989">
        <v>13.12</v>
      </c>
      <c r="F383" s="990"/>
      <c r="G383" s="990"/>
      <c r="H383" s="990"/>
      <c r="I383" s="990"/>
      <c r="J383" s="990"/>
      <c r="K383" s="990"/>
      <c r="L383" s="990"/>
      <c r="M383" s="990"/>
      <c r="N383" s="990"/>
      <c r="O383" s="990"/>
      <c r="P383" s="990"/>
      <c r="Q383" s="990"/>
      <c r="R383" s="990"/>
      <c r="S383" s="990"/>
      <c r="T383" s="990"/>
      <c r="U383" s="990"/>
      <c r="V383" s="990"/>
      <c r="W383" s="990"/>
      <c r="X383" s="990"/>
    </row>
    <row r="384" spans="1:24" s="896" customFormat="1">
      <c r="A384" s="987">
        <f t="shared" si="6"/>
        <v>310</v>
      </c>
      <c r="B384" s="988">
        <v>40331</v>
      </c>
      <c r="C384" s="899" t="s">
        <v>9710</v>
      </c>
      <c r="D384" s="988" t="s">
        <v>2665</v>
      </c>
      <c r="E384" s="989">
        <v>21.96</v>
      </c>
      <c r="F384" s="990"/>
      <c r="G384" s="990"/>
      <c r="H384" s="990"/>
      <c r="I384" s="990"/>
      <c r="J384" s="990"/>
      <c r="K384" s="990"/>
      <c r="L384" s="990"/>
      <c r="M384" s="990"/>
      <c r="N384" s="990"/>
      <c r="O384" s="990"/>
      <c r="P384" s="990"/>
      <c r="Q384" s="990"/>
      <c r="R384" s="990"/>
      <c r="S384" s="990"/>
      <c r="T384" s="990"/>
      <c r="U384" s="990"/>
      <c r="V384" s="990"/>
      <c r="W384" s="990"/>
      <c r="X384" s="990"/>
    </row>
    <row r="385" spans="1:24" s="896" customFormat="1">
      <c r="A385" s="987">
        <f t="shared" si="6"/>
        <v>311</v>
      </c>
      <c r="B385" s="988">
        <v>40930</v>
      </c>
      <c r="C385" s="899" t="s">
        <v>9711</v>
      </c>
      <c r="D385" s="988" t="s">
        <v>2672</v>
      </c>
      <c r="E385" s="989">
        <v>3862.27</v>
      </c>
      <c r="F385" s="990"/>
      <c r="G385" s="990"/>
      <c r="H385" s="990"/>
      <c r="I385" s="990"/>
      <c r="J385" s="990"/>
      <c r="K385" s="990"/>
      <c r="L385" s="990"/>
      <c r="M385" s="990"/>
      <c r="N385" s="990"/>
      <c r="O385" s="990"/>
      <c r="P385" s="990"/>
      <c r="Q385" s="990"/>
      <c r="R385" s="990"/>
      <c r="S385" s="990"/>
      <c r="T385" s="990"/>
      <c r="U385" s="990"/>
      <c r="V385" s="990"/>
      <c r="W385" s="990"/>
      <c r="X385" s="990"/>
    </row>
    <row r="386" spans="1:24" s="896" customFormat="1">
      <c r="A386" s="987">
        <f t="shared" si="6"/>
        <v>312</v>
      </c>
      <c r="B386" s="988">
        <v>11761</v>
      </c>
      <c r="C386" s="899" t="s">
        <v>9712</v>
      </c>
      <c r="D386" s="988" t="s">
        <v>2666</v>
      </c>
      <c r="E386" s="989">
        <v>80.86</v>
      </c>
      <c r="F386" s="990"/>
      <c r="G386" s="990"/>
      <c r="H386" s="990"/>
      <c r="I386" s="990"/>
      <c r="J386" s="990"/>
      <c r="K386" s="990"/>
      <c r="L386" s="990"/>
      <c r="M386" s="990"/>
      <c r="N386" s="990"/>
      <c r="O386" s="990"/>
      <c r="P386" s="990"/>
      <c r="Q386" s="990"/>
      <c r="R386" s="990"/>
      <c r="S386" s="990"/>
      <c r="T386" s="990"/>
      <c r="U386" s="990"/>
      <c r="V386" s="990"/>
      <c r="W386" s="990"/>
      <c r="X386" s="990"/>
    </row>
    <row r="387" spans="1:24" s="896" customFormat="1">
      <c r="A387" s="987">
        <f t="shared" si="6"/>
        <v>313</v>
      </c>
      <c r="B387" s="988">
        <v>377</v>
      </c>
      <c r="C387" s="899" t="s">
        <v>9713</v>
      </c>
      <c r="D387" s="988" t="s">
        <v>2666</v>
      </c>
      <c r="E387" s="989">
        <v>38</v>
      </c>
      <c r="F387" s="990"/>
      <c r="G387" s="990"/>
      <c r="H387" s="990"/>
      <c r="I387" s="990"/>
      <c r="J387" s="990"/>
      <c r="K387" s="990"/>
      <c r="L387" s="990"/>
      <c r="M387" s="990"/>
      <c r="N387" s="990"/>
      <c r="O387" s="990"/>
      <c r="P387" s="990"/>
      <c r="Q387" s="990"/>
      <c r="R387" s="990"/>
      <c r="S387" s="990"/>
      <c r="T387" s="990"/>
      <c r="U387" s="990"/>
      <c r="V387" s="990"/>
      <c r="W387" s="990"/>
      <c r="X387" s="990"/>
    </row>
    <row r="388" spans="1:24" s="896" customFormat="1">
      <c r="A388" s="987">
        <f t="shared" si="6"/>
        <v>314</v>
      </c>
      <c r="B388" s="988">
        <v>7588</v>
      </c>
      <c r="C388" s="899" t="s">
        <v>9714</v>
      </c>
      <c r="D388" s="988" t="s">
        <v>2666</v>
      </c>
      <c r="E388" s="989">
        <v>54.95</v>
      </c>
      <c r="F388" s="990"/>
      <c r="G388" s="990"/>
      <c r="H388" s="990"/>
      <c r="I388" s="990"/>
      <c r="J388" s="990"/>
      <c r="K388" s="990"/>
      <c r="L388" s="990"/>
      <c r="M388" s="990"/>
      <c r="N388" s="990"/>
      <c r="O388" s="990"/>
      <c r="P388" s="990"/>
      <c r="Q388" s="990"/>
      <c r="R388" s="990"/>
      <c r="S388" s="990"/>
      <c r="T388" s="990"/>
      <c r="U388" s="990"/>
      <c r="V388" s="990"/>
      <c r="W388" s="990"/>
      <c r="X388" s="990"/>
    </row>
    <row r="389" spans="1:24" s="896" customFormat="1">
      <c r="A389" s="987">
        <f t="shared" si="6"/>
        <v>315</v>
      </c>
      <c r="B389" s="988">
        <v>34392</v>
      </c>
      <c r="C389" s="899" t="s">
        <v>9715</v>
      </c>
      <c r="D389" s="988" t="s">
        <v>2665</v>
      </c>
      <c r="E389" s="989">
        <v>18.32</v>
      </c>
      <c r="F389" s="990"/>
      <c r="G389" s="990"/>
      <c r="H389" s="990"/>
      <c r="I389" s="990"/>
      <c r="J389" s="990"/>
      <c r="K389" s="990"/>
      <c r="L389" s="990"/>
      <c r="M389" s="990"/>
      <c r="N389" s="990"/>
      <c r="O389" s="990"/>
      <c r="P389" s="990"/>
      <c r="Q389" s="990"/>
      <c r="R389" s="990"/>
      <c r="S389" s="990"/>
      <c r="T389" s="990"/>
      <c r="U389" s="990"/>
      <c r="V389" s="990"/>
      <c r="W389" s="990"/>
      <c r="X389" s="990"/>
    </row>
    <row r="390" spans="1:24" s="896" customFormat="1">
      <c r="A390" s="987">
        <f t="shared" si="6"/>
        <v>316</v>
      </c>
      <c r="B390" s="988">
        <v>40908</v>
      </c>
      <c r="C390" s="899" t="s">
        <v>9716</v>
      </c>
      <c r="D390" s="988" t="s">
        <v>2672</v>
      </c>
      <c r="E390" s="989">
        <v>3221.17</v>
      </c>
      <c r="F390" s="990"/>
      <c r="G390" s="990"/>
      <c r="H390" s="990"/>
      <c r="I390" s="990"/>
      <c r="J390" s="990"/>
      <c r="K390" s="990"/>
      <c r="L390" s="990"/>
      <c r="M390" s="990"/>
      <c r="N390" s="990"/>
      <c r="O390" s="990"/>
      <c r="P390" s="990"/>
      <c r="Q390" s="990"/>
      <c r="R390" s="990"/>
      <c r="S390" s="990"/>
      <c r="T390" s="990"/>
      <c r="U390" s="990"/>
      <c r="V390" s="990"/>
      <c r="W390" s="990"/>
      <c r="X390" s="990"/>
    </row>
    <row r="391" spans="1:24" s="896" customFormat="1">
      <c r="A391" s="987">
        <f t="shared" si="6"/>
        <v>317</v>
      </c>
      <c r="B391" s="988">
        <v>34551</v>
      </c>
      <c r="C391" s="899" t="s">
        <v>9717</v>
      </c>
      <c r="D391" s="988" t="s">
        <v>2665</v>
      </c>
      <c r="E391" s="989">
        <v>16.88</v>
      </c>
      <c r="F391" s="990"/>
      <c r="G391" s="990"/>
      <c r="H391" s="990"/>
      <c r="I391" s="990"/>
      <c r="J391" s="990"/>
      <c r="K391" s="990"/>
      <c r="L391" s="990"/>
      <c r="M391" s="990"/>
      <c r="N391" s="990"/>
      <c r="O391" s="990"/>
      <c r="P391" s="990"/>
      <c r="Q391" s="990"/>
      <c r="R391" s="990"/>
      <c r="S391" s="990"/>
      <c r="T391" s="990"/>
      <c r="U391" s="990"/>
      <c r="V391" s="990"/>
      <c r="W391" s="990"/>
      <c r="X391" s="990"/>
    </row>
    <row r="392" spans="1:24" s="896" customFormat="1">
      <c r="A392" s="987">
        <f t="shared" si="6"/>
        <v>318</v>
      </c>
      <c r="B392" s="988">
        <v>41078</v>
      </c>
      <c r="C392" s="899" t="s">
        <v>9718</v>
      </c>
      <c r="D392" s="988" t="s">
        <v>2672</v>
      </c>
      <c r="E392" s="989">
        <v>2970.21</v>
      </c>
      <c r="F392" s="990"/>
      <c r="G392" s="990"/>
      <c r="H392" s="990"/>
      <c r="I392" s="990"/>
      <c r="J392" s="990"/>
      <c r="K392" s="990"/>
      <c r="L392" s="990"/>
      <c r="M392" s="990"/>
      <c r="N392" s="990"/>
      <c r="O392" s="990"/>
      <c r="P392" s="990"/>
      <c r="Q392" s="990"/>
      <c r="R392" s="990"/>
      <c r="S392" s="990"/>
      <c r="T392" s="990"/>
      <c r="U392" s="990"/>
      <c r="V392" s="990"/>
      <c r="W392" s="990"/>
      <c r="X392" s="990"/>
    </row>
    <row r="393" spans="1:24" s="896" customFormat="1">
      <c r="A393" s="987">
        <f t="shared" si="6"/>
        <v>319</v>
      </c>
      <c r="B393" s="988">
        <v>246</v>
      </c>
      <c r="C393" s="899" t="s">
        <v>9719</v>
      </c>
      <c r="D393" s="988" t="s">
        <v>2665</v>
      </c>
      <c r="E393" s="989">
        <v>18.32</v>
      </c>
      <c r="F393" s="990"/>
      <c r="G393" s="990"/>
      <c r="H393" s="990"/>
      <c r="I393" s="990"/>
      <c r="J393" s="990"/>
      <c r="K393" s="990"/>
      <c r="L393" s="990"/>
      <c r="M393" s="990"/>
      <c r="N393" s="990"/>
      <c r="O393" s="990"/>
      <c r="P393" s="990"/>
      <c r="Q393" s="990"/>
      <c r="R393" s="990"/>
      <c r="S393" s="990"/>
      <c r="T393" s="990"/>
      <c r="U393" s="990"/>
      <c r="V393" s="990"/>
      <c r="W393" s="990"/>
      <c r="X393" s="990"/>
    </row>
    <row r="394" spans="1:24" s="896" customFormat="1">
      <c r="A394" s="987">
        <f t="shared" si="6"/>
        <v>320</v>
      </c>
      <c r="B394" s="988">
        <v>40927</v>
      </c>
      <c r="C394" s="899" t="s">
        <v>9720</v>
      </c>
      <c r="D394" s="988" t="s">
        <v>2672</v>
      </c>
      <c r="E394" s="989">
        <v>3221.17</v>
      </c>
      <c r="F394" s="990"/>
      <c r="G394" s="990"/>
      <c r="H394" s="990"/>
      <c r="I394" s="990"/>
      <c r="J394" s="990"/>
      <c r="K394" s="990"/>
      <c r="L394" s="990"/>
      <c r="M394" s="990"/>
      <c r="N394" s="990"/>
      <c r="O394" s="990"/>
      <c r="P394" s="990"/>
      <c r="Q394" s="990"/>
      <c r="R394" s="990"/>
      <c r="S394" s="990"/>
      <c r="T394" s="990"/>
      <c r="U394" s="990"/>
      <c r="V394" s="990"/>
      <c r="W394" s="990"/>
      <c r="X394" s="990"/>
    </row>
    <row r="395" spans="1:24" s="896" customFormat="1">
      <c r="A395" s="987">
        <f t="shared" si="6"/>
        <v>321</v>
      </c>
      <c r="B395" s="988">
        <v>2350</v>
      </c>
      <c r="C395" s="899" t="s">
        <v>9721</v>
      </c>
      <c r="D395" s="988" t="s">
        <v>2665</v>
      </c>
      <c r="E395" s="989">
        <v>19.16</v>
      </c>
      <c r="F395" s="990"/>
      <c r="G395" s="990"/>
      <c r="H395" s="990"/>
      <c r="I395" s="990"/>
      <c r="J395" s="990"/>
      <c r="K395" s="990"/>
      <c r="L395" s="990"/>
      <c r="M395" s="990"/>
      <c r="N395" s="990"/>
      <c r="O395" s="990"/>
      <c r="P395" s="990"/>
      <c r="Q395" s="990"/>
      <c r="R395" s="990"/>
      <c r="S395" s="990"/>
      <c r="T395" s="990"/>
      <c r="U395" s="990"/>
      <c r="V395" s="990"/>
      <c r="W395" s="990"/>
      <c r="X395" s="990"/>
    </row>
    <row r="396" spans="1:24" s="896" customFormat="1">
      <c r="A396" s="987">
        <f t="shared" ref="A396:A459" si="7">A395+1</f>
        <v>322</v>
      </c>
      <c r="B396" s="988">
        <v>40812</v>
      </c>
      <c r="C396" s="899" t="s">
        <v>9722</v>
      </c>
      <c r="D396" s="988" t="s">
        <v>2672</v>
      </c>
      <c r="E396" s="989">
        <v>3370.96</v>
      </c>
      <c r="F396" s="990"/>
      <c r="G396" s="990"/>
      <c r="H396" s="990"/>
      <c r="I396" s="990"/>
      <c r="J396" s="990"/>
      <c r="K396" s="990"/>
      <c r="L396" s="990"/>
      <c r="M396" s="990"/>
      <c r="N396" s="990"/>
      <c r="O396" s="990"/>
      <c r="P396" s="990"/>
      <c r="Q396" s="990"/>
      <c r="R396" s="990"/>
      <c r="S396" s="990"/>
      <c r="T396" s="990"/>
      <c r="U396" s="990"/>
      <c r="V396" s="990"/>
      <c r="W396" s="990"/>
      <c r="X396" s="990"/>
    </row>
    <row r="397" spans="1:24" s="896" customFormat="1">
      <c r="A397" s="987">
        <f t="shared" si="7"/>
        <v>323</v>
      </c>
      <c r="B397" s="988">
        <v>245</v>
      </c>
      <c r="C397" s="899" t="s">
        <v>9723</v>
      </c>
      <c r="D397" s="988" t="s">
        <v>2665</v>
      </c>
      <c r="E397" s="989">
        <v>25.55</v>
      </c>
      <c r="F397" s="990"/>
      <c r="G397" s="990"/>
      <c r="H397" s="990"/>
      <c r="I397" s="990"/>
      <c r="J397" s="990"/>
      <c r="K397" s="990"/>
      <c r="L397" s="990"/>
      <c r="M397" s="990"/>
      <c r="N397" s="990"/>
      <c r="O397" s="990"/>
      <c r="P397" s="990"/>
      <c r="Q397" s="990"/>
      <c r="R397" s="990"/>
      <c r="S397" s="990"/>
      <c r="T397" s="990"/>
      <c r="U397" s="990"/>
      <c r="V397" s="990"/>
      <c r="W397" s="990"/>
      <c r="X397" s="990"/>
    </row>
    <row r="398" spans="1:24" s="896" customFormat="1">
      <c r="A398" s="987">
        <f t="shared" si="7"/>
        <v>324</v>
      </c>
      <c r="B398" s="988">
        <v>41090</v>
      </c>
      <c r="C398" s="899" t="s">
        <v>9724</v>
      </c>
      <c r="D398" s="988" t="s">
        <v>2672</v>
      </c>
      <c r="E398" s="989">
        <v>4494.62</v>
      </c>
      <c r="F398" s="990"/>
      <c r="G398" s="990"/>
      <c r="H398" s="990"/>
      <c r="I398" s="990"/>
      <c r="J398" s="990"/>
      <c r="K398" s="990"/>
      <c r="L398" s="990"/>
      <c r="M398" s="990"/>
      <c r="N398" s="990"/>
      <c r="O398" s="990"/>
      <c r="P398" s="990"/>
      <c r="Q398" s="990"/>
      <c r="R398" s="990"/>
      <c r="S398" s="990"/>
      <c r="T398" s="990"/>
      <c r="U398" s="990"/>
      <c r="V398" s="990"/>
      <c r="W398" s="990"/>
      <c r="X398" s="990"/>
    </row>
    <row r="399" spans="1:24" s="896" customFormat="1">
      <c r="A399" s="987">
        <f t="shared" si="7"/>
        <v>325</v>
      </c>
      <c r="B399" s="988">
        <v>251</v>
      </c>
      <c r="C399" s="899" t="s">
        <v>9725</v>
      </c>
      <c r="D399" s="988" t="s">
        <v>2665</v>
      </c>
      <c r="E399" s="989">
        <v>15.81</v>
      </c>
      <c r="F399" s="990"/>
      <c r="G399" s="990"/>
      <c r="H399" s="990"/>
      <c r="I399" s="990"/>
      <c r="J399" s="990"/>
      <c r="K399" s="990"/>
      <c r="L399" s="990"/>
      <c r="M399" s="990"/>
      <c r="N399" s="990"/>
      <c r="O399" s="990"/>
      <c r="P399" s="990"/>
      <c r="Q399" s="990"/>
      <c r="R399" s="990"/>
      <c r="S399" s="990"/>
      <c r="T399" s="990"/>
      <c r="U399" s="990"/>
      <c r="V399" s="990"/>
      <c r="W399" s="990"/>
      <c r="X399" s="990"/>
    </row>
    <row r="400" spans="1:24" s="896" customFormat="1">
      <c r="A400" s="987">
        <f t="shared" si="7"/>
        <v>326</v>
      </c>
      <c r="B400" s="988">
        <v>40975</v>
      </c>
      <c r="C400" s="899" t="s">
        <v>9726</v>
      </c>
      <c r="D400" s="988" t="s">
        <v>2672</v>
      </c>
      <c r="E400" s="989">
        <v>2781.75</v>
      </c>
      <c r="F400" s="990"/>
      <c r="G400" s="990"/>
      <c r="H400" s="990"/>
      <c r="I400" s="990"/>
      <c r="J400" s="990"/>
      <c r="K400" s="990"/>
      <c r="L400" s="990"/>
      <c r="M400" s="990"/>
      <c r="N400" s="990"/>
      <c r="O400" s="990"/>
      <c r="P400" s="990"/>
      <c r="Q400" s="990"/>
      <c r="R400" s="990"/>
      <c r="S400" s="990"/>
      <c r="T400" s="990"/>
      <c r="U400" s="990"/>
      <c r="V400" s="990"/>
      <c r="W400" s="990"/>
      <c r="X400" s="990"/>
    </row>
    <row r="401" spans="1:24" s="896" customFormat="1">
      <c r="A401" s="987">
        <f t="shared" si="7"/>
        <v>327</v>
      </c>
      <c r="B401" s="988">
        <v>6127</v>
      </c>
      <c r="C401" s="899" t="s">
        <v>9727</v>
      </c>
      <c r="D401" s="988" t="s">
        <v>2665</v>
      </c>
      <c r="E401" s="989">
        <v>16.88</v>
      </c>
      <c r="F401" s="990"/>
      <c r="G401" s="990"/>
      <c r="H401" s="990"/>
      <c r="I401" s="990"/>
      <c r="J401" s="990"/>
      <c r="K401" s="990"/>
      <c r="L401" s="990"/>
      <c r="M401" s="990"/>
      <c r="N401" s="990"/>
      <c r="O401" s="990"/>
      <c r="P401" s="990"/>
      <c r="Q401" s="990"/>
      <c r="R401" s="990"/>
      <c r="S401" s="990"/>
      <c r="T401" s="990"/>
      <c r="U401" s="990"/>
      <c r="V401" s="990"/>
      <c r="W401" s="990"/>
      <c r="X401" s="990"/>
    </row>
    <row r="402" spans="1:24" s="896" customFormat="1">
      <c r="A402" s="987">
        <f t="shared" si="7"/>
        <v>328</v>
      </c>
      <c r="B402" s="988">
        <v>41072</v>
      </c>
      <c r="C402" s="899" t="s">
        <v>9728</v>
      </c>
      <c r="D402" s="988" t="s">
        <v>2672</v>
      </c>
      <c r="E402" s="989">
        <v>2970.21</v>
      </c>
      <c r="F402" s="990"/>
      <c r="G402" s="990"/>
      <c r="H402" s="990"/>
      <c r="I402" s="990"/>
      <c r="J402" s="990"/>
      <c r="K402" s="990"/>
      <c r="L402" s="990"/>
      <c r="M402" s="990"/>
      <c r="N402" s="990"/>
      <c r="O402" s="990"/>
      <c r="P402" s="990"/>
      <c r="Q402" s="990"/>
      <c r="R402" s="990"/>
      <c r="S402" s="990"/>
      <c r="T402" s="990"/>
      <c r="U402" s="990"/>
      <c r="V402" s="990"/>
      <c r="W402" s="990"/>
      <c r="X402" s="990"/>
    </row>
    <row r="403" spans="1:24" s="896" customFormat="1">
      <c r="A403" s="987">
        <f t="shared" si="7"/>
        <v>329</v>
      </c>
      <c r="B403" s="988">
        <v>6121</v>
      </c>
      <c r="C403" s="899" t="s">
        <v>9729</v>
      </c>
      <c r="D403" s="988" t="s">
        <v>2665</v>
      </c>
      <c r="E403" s="989">
        <v>16.899999999999999</v>
      </c>
      <c r="F403" s="990"/>
      <c r="G403" s="990"/>
      <c r="H403" s="990"/>
      <c r="I403" s="990"/>
      <c r="J403" s="990"/>
      <c r="K403" s="990"/>
      <c r="L403" s="990"/>
      <c r="M403" s="990"/>
      <c r="N403" s="990"/>
      <c r="O403" s="990"/>
      <c r="P403" s="990"/>
      <c r="Q403" s="990"/>
      <c r="R403" s="990"/>
      <c r="S403" s="990"/>
      <c r="T403" s="990"/>
      <c r="U403" s="990"/>
      <c r="V403" s="990"/>
      <c r="W403" s="990"/>
      <c r="X403" s="990"/>
    </row>
    <row r="404" spans="1:24" s="896" customFormat="1">
      <c r="A404" s="987">
        <f t="shared" si="7"/>
        <v>330</v>
      </c>
      <c r="B404" s="988">
        <v>41071</v>
      </c>
      <c r="C404" s="899" t="s">
        <v>9730</v>
      </c>
      <c r="D404" s="988" t="s">
        <v>2672</v>
      </c>
      <c r="E404" s="989">
        <v>2971.28</v>
      </c>
      <c r="F404" s="990"/>
      <c r="G404" s="990"/>
      <c r="H404" s="990"/>
      <c r="I404" s="990"/>
      <c r="J404" s="990"/>
      <c r="K404" s="990"/>
      <c r="L404" s="990"/>
      <c r="M404" s="990"/>
      <c r="N404" s="990"/>
      <c r="O404" s="990"/>
      <c r="P404" s="990"/>
      <c r="Q404" s="990"/>
      <c r="R404" s="990"/>
      <c r="S404" s="990"/>
      <c r="T404" s="990"/>
      <c r="U404" s="990"/>
      <c r="V404" s="990"/>
      <c r="W404" s="990"/>
      <c r="X404" s="990"/>
    </row>
    <row r="405" spans="1:24" s="896" customFormat="1">
      <c r="A405" s="987">
        <f t="shared" si="7"/>
        <v>331</v>
      </c>
      <c r="B405" s="988">
        <v>244</v>
      </c>
      <c r="C405" s="899" t="s">
        <v>9731</v>
      </c>
      <c r="D405" s="988" t="s">
        <v>2665</v>
      </c>
      <c r="E405" s="989">
        <v>10.75</v>
      </c>
      <c r="F405" s="990"/>
      <c r="G405" s="990"/>
      <c r="H405" s="990"/>
      <c r="I405" s="990"/>
      <c r="J405" s="990"/>
      <c r="K405" s="990"/>
      <c r="L405" s="990"/>
      <c r="M405" s="990"/>
      <c r="N405" s="990"/>
      <c r="O405" s="990"/>
      <c r="P405" s="990"/>
      <c r="Q405" s="990"/>
      <c r="R405" s="990"/>
      <c r="S405" s="990"/>
      <c r="T405" s="990"/>
      <c r="U405" s="990"/>
      <c r="V405" s="990"/>
      <c r="W405" s="990"/>
      <c r="X405" s="990"/>
    </row>
    <row r="406" spans="1:24" s="896" customFormat="1">
      <c r="A406" s="987">
        <f t="shared" si="7"/>
        <v>332</v>
      </c>
      <c r="B406" s="988">
        <v>41093</v>
      </c>
      <c r="C406" s="899" t="s">
        <v>9732</v>
      </c>
      <c r="D406" s="988" t="s">
        <v>2672</v>
      </c>
      <c r="E406" s="989">
        <v>1893.46</v>
      </c>
      <c r="F406" s="990"/>
      <c r="G406" s="990"/>
      <c r="H406" s="990"/>
      <c r="I406" s="990"/>
      <c r="J406" s="990"/>
      <c r="K406" s="990"/>
      <c r="L406" s="990"/>
      <c r="M406" s="990"/>
      <c r="N406" s="990"/>
      <c r="O406" s="990"/>
      <c r="P406" s="990"/>
      <c r="Q406" s="990"/>
      <c r="R406" s="990"/>
      <c r="S406" s="990"/>
      <c r="T406" s="990"/>
      <c r="U406" s="990"/>
      <c r="V406" s="990"/>
      <c r="W406" s="990"/>
      <c r="X406" s="990"/>
    </row>
    <row r="407" spans="1:24" s="896" customFormat="1">
      <c r="A407" s="987">
        <f t="shared" si="7"/>
        <v>333</v>
      </c>
      <c r="B407" s="988">
        <v>532</v>
      </c>
      <c r="C407" s="899" t="s">
        <v>9733</v>
      </c>
      <c r="D407" s="988" t="s">
        <v>2665</v>
      </c>
      <c r="E407" s="989">
        <v>34.909999999999997</v>
      </c>
      <c r="F407" s="990"/>
      <c r="G407" s="990"/>
      <c r="H407" s="990"/>
      <c r="I407" s="990"/>
      <c r="J407" s="990"/>
      <c r="K407" s="990"/>
      <c r="L407" s="990"/>
      <c r="M407" s="990"/>
      <c r="N407" s="990"/>
      <c r="O407" s="990"/>
      <c r="P407" s="990"/>
      <c r="Q407" s="990"/>
      <c r="R407" s="990"/>
      <c r="S407" s="990"/>
      <c r="T407" s="990"/>
      <c r="U407" s="990"/>
      <c r="V407" s="990"/>
      <c r="W407" s="990"/>
      <c r="X407" s="990"/>
    </row>
    <row r="408" spans="1:24" s="896" customFormat="1">
      <c r="A408" s="987">
        <f t="shared" si="7"/>
        <v>334</v>
      </c>
      <c r="B408" s="988">
        <v>40931</v>
      </c>
      <c r="C408" s="899" t="s">
        <v>9734</v>
      </c>
      <c r="D408" s="988" t="s">
        <v>2672</v>
      </c>
      <c r="E408" s="989">
        <v>6138.35</v>
      </c>
      <c r="F408" s="990"/>
      <c r="G408" s="990"/>
      <c r="H408" s="990"/>
      <c r="I408" s="990"/>
      <c r="J408" s="990"/>
      <c r="K408" s="990"/>
      <c r="L408" s="990"/>
      <c r="M408" s="990"/>
      <c r="N408" s="990"/>
      <c r="O408" s="990"/>
      <c r="P408" s="990"/>
      <c r="Q408" s="990"/>
      <c r="R408" s="990"/>
      <c r="S408" s="990"/>
      <c r="T408" s="990"/>
      <c r="U408" s="990"/>
      <c r="V408" s="990"/>
      <c r="W408" s="990"/>
      <c r="X408" s="990"/>
    </row>
    <row r="409" spans="1:24" s="896" customFormat="1">
      <c r="A409" s="987">
        <f t="shared" si="7"/>
        <v>335</v>
      </c>
      <c r="B409" s="988">
        <v>36150</v>
      </c>
      <c r="C409" s="899" t="s">
        <v>9735</v>
      </c>
      <c r="D409" s="988" t="s">
        <v>2666</v>
      </c>
      <c r="E409" s="989">
        <v>59.4</v>
      </c>
      <c r="F409" s="990"/>
      <c r="G409" s="990"/>
      <c r="H409" s="990"/>
      <c r="I409" s="990"/>
      <c r="J409" s="990"/>
      <c r="K409" s="990"/>
      <c r="L409" s="990"/>
      <c r="M409" s="990"/>
      <c r="N409" s="990"/>
      <c r="O409" s="990"/>
      <c r="P409" s="990"/>
      <c r="Q409" s="990"/>
      <c r="R409" s="990"/>
      <c r="S409" s="990"/>
      <c r="T409" s="990"/>
      <c r="U409" s="990"/>
      <c r="V409" s="990"/>
      <c r="W409" s="990"/>
      <c r="X409" s="990"/>
    </row>
    <row r="410" spans="1:24" s="896" customFormat="1">
      <c r="A410" s="987">
        <f t="shared" si="7"/>
        <v>336</v>
      </c>
      <c r="B410" s="988">
        <v>4760</v>
      </c>
      <c r="C410" s="899" t="s">
        <v>9736</v>
      </c>
      <c r="D410" s="988" t="s">
        <v>2665</v>
      </c>
      <c r="E410" s="989">
        <v>23.94</v>
      </c>
      <c r="F410" s="990"/>
      <c r="G410" s="990"/>
      <c r="H410" s="990"/>
      <c r="I410" s="990"/>
      <c r="J410" s="990"/>
      <c r="K410" s="990"/>
      <c r="L410" s="990"/>
      <c r="M410" s="990"/>
      <c r="N410" s="990"/>
      <c r="O410" s="990"/>
      <c r="P410" s="990"/>
      <c r="Q410" s="990"/>
      <c r="R410" s="990"/>
      <c r="S410" s="990"/>
      <c r="T410" s="990"/>
      <c r="U410" s="990"/>
      <c r="V410" s="990"/>
      <c r="W410" s="990"/>
      <c r="X410" s="990"/>
    </row>
    <row r="411" spans="1:24" s="896" customFormat="1">
      <c r="A411" s="987">
        <f t="shared" si="7"/>
        <v>337</v>
      </c>
      <c r="B411" s="988">
        <v>41069</v>
      </c>
      <c r="C411" s="899" t="s">
        <v>9737</v>
      </c>
      <c r="D411" s="988" t="s">
        <v>2672</v>
      </c>
      <c r="E411" s="989">
        <v>4207.42</v>
      </c>
      <c r="F411" s="990"/>
      <c r="G411" s="990"/>
      <c r="H411" s="990"/>
      <c r="I411" s="990"/>
      <c r="J411" s="990"/>
      <c r="K411" s="990"/>
      <c r="L411" s="990"/>
      <c r="M411" s="990"/>
      <c r="N411" s="990"/>
      <c r="O411" s="990"/>
      <c r="P411" s="990"/>
      <c r="Q411" s="990"/>
      <c r="R411" s="990"/>
      <c r="S411" s="990"/>
      <c r="T411" s="990"/>
      <c r="U411" s="990"/>
      <c r="V411" s="990"/>
      <c r="W411" s="990"/>
      <c r="X411" s="990"/>
    </row>
    <row r="412" spans="1:24" s="896" customFormat="1" ht="25.5">
      <c r="A412" s="987">
        <f t="shared" si="7"/>
        <v>338</v>
      </c>
      <c r="B412" s="988">
        <v>10422</v>
      </c>
      <c r="C412" s="899" t="s">
        <v>9738</v>
      </c>
      <c r="D412" s="988" t="s">
        <v>2666</v>
      </c>
      <c r="E412" s="989">
        <v>349.28</v>
      </c>
      <c r="F412" s="990"/>
      <c r="G412" s="990"/>
      <c r="H412" s="990"/>
      <c r="I412" s="990"/>
      <c r="J412" s="990"/>
      <c r="K412" s="990"/>
      <c r="L412" s="990"/>
      <c r="M412" s="990"/>
      <c r="N412" s="990"/>
      <c r="O412" s="990"/>
      <c r="P412" s="990"/>
      <c r="Q412" s="990"/>
      <c r="R412" s="990"/>
      <c r="S412" s="990"/>
      <c r="T412" s="990"/>
      <c r="U412" s="990"/>
      <c r="V412" s="990"/>
      <c r="W412" s="990"/>
      <c r="X412" s="990"/>
    </row>
    <row r="413" spans="1:24" s="896" customFormat="1" ht="25.5">
      <c r="A413" s="987">
        <f t="shared" si="7"/>
        <v>339</v>
      </c>
      <c r="B413" s="988">
        <v>44019</v>
      </c>
      <c r="C413" s="899" t="s">
        <v>9739</v>
      </c>
      <c r="D413" s="988" t="s">
        <v>2666</v>
      </c>
      <c r="E413" s="989">
        <v>483.49</v>
      </c>
      <c r="F413" s="990"/>
      <c r="G413" s="990"/>
      <c r="H413" s="990"/>
      <c r="I413" s="990"/>
      <c r="J413" s="990"/>
      <c r="K413" s="990"/>
      <c r="L413" s="990"/>
      <c r="M413" s="990"/>
      <c r="N413" s="990"/>
      <c r="O413" s="990"/>
      <c r="P413" s="990"/>
      <c r="Q413" s="990"/>
      <c r="R413" s="990"/>
      <c r="S413" s="990"/>
      <c r="T413" s="990"/>
      <c r="U413" s="990"/>
      <c r="V413" s="990"/>
      <c r="W413" s="990"/>
      <c r="X413" s="990"/>
    </row>
    <row r="414" spans="1:24" s="896" customFormat="1" ht="25.5">
      <c r="A414" s="987">
        <f t="shared" si="7"/>
        <v>340</v>
      </c>
      <c r="B414" s="988">
        <v>36520</v>
      </c>
      <c r="C414" s="899" t="s">
        <v>9740</v>
      </c>
      <c r="D414" s="988" t="s">
        <v>2666</v>
      </c>
      <c r="E414" s="989">
        <v>587.86</v>
      </c>
      <c r="F414" s="990"/>
      <c r="G414" s="990"/>
      <c r="H414" s="990"/>
      <c r="I414" s="990"/>
      <c r="J414" s="990"/>
      <c r="K414" s="990"/>
      <c r="L414" s="990"/>
      <c r="M414" s="990"/>
      <c r="N414" s="990"/>
      <c r="O414" s="990"/>
      <c r="P414" s="990"/>
      <c r="Q414" s="990"/>
      <c r="R414" s="990"/>
      <c r="S414" s="990"/>
      <c r="T414" s="990"/>
      <c r="U414" s="990"/>
      <c r="V414" s="990"/>
      <c r="W414" s="990"/>
      <c r="X414" s="990"/>
    </row>
    <row r="415" spans="1:24" s="896" customFormat="1" ht="25.5">
      <c r="A415" s="987">
        <f t="shared" si="7"/>
        <v>341</v>
      </c>
      <c r="B415" s="988">
        <v>42319</v>
      </c>
      <c r="C415" s="899" t="s">
        <v>9741</v>
      </c>
      <c r="D415" s="988" t="s">
        <v>2666</v>
      </c>
      <c r="E415" s="989">
        <v>526.76</v>
      </c>
      <c r="F415" s="990"/>
      <c r="G415" s="990"/>
      <c r="H415" s="990"/>
      <c r="I415" s="990"/>
      <c r="J415" s="990"/>
      <c r="K415" s="990"/>
      <c r="L415" s="990"/>
      <c r="M415" s="990"/>
      <c r="N415" s="990"/>
      <c r="O415" s="990"/>
      <c r="P415" s="990"/>
      <c r="Q415" s="990"/>
      <c r="R415" s="990"/>
      <c r="S415" s="990"/>
      <c r="T415" s="990"/>
      <c r="U415" s="990"/>
      <c r="V415" s="990"/>
      <c r="W415" s="990"/>
      <c r="X415" s="990"/>
    </row>
    <row r="416" spans="1:24" s="896" customFormat="1" ht="25.5">
      <c r="A416" s="987">
        <f t="shared" si="7"/>
        <v>342</v>
      </c>
      <c r="B416" s="988">
        <v>10420</v>
      </c>
      <c r="C416" s="899" t="s">
        <v>9742</v>
      </c>
      <c r="D416" s="988" t="s">
        <v>2666</v>
      </c>
      <c r="E416" s="989">
        <v>186.86</v>
      </c>
      <c r="F416" s="990"/>
      <c r="G416" s="990"/>
      <c r="H416" s="990"/>
      <c r="I416" s="990"/>
      <c r="J416" s="990"/>
      <c r="K416" s="990"/>
      <c r="L416" s="990"/>
      <c r="M416" s="990"/>
      <c r="N416" s="990"/>
      <c r="O416" s="990"/>
      <c r="P416" s="990"/>
      <c r="Q416" s="990"/>
      <c r="R416" s="990"/>
      <c r="S416" s="990"/>
      <c r="T416" s="990"/>
      <c r="U416" s="990"/>
      <c r="V416" s="990"/>
      <c r="W416" s="990"/>
      <c r="X416" s="990"/>
    </row>
    <row r="417" spans="1:24" s="896" customFormat="1" ht="25.5">
      <c r="A417" s="987">
        <f t="shared" si="7"/>
        <v>343</v>
      </c>
      <c r="B417" s="988">
        <v>10421</v>
      </c>
      <c r="C417" s="899" t="s">
        <v>9743</v>
      </c>
      <c r="D417" s="988" t="s">
        <v>2666</v>
      </c>
      <c r="E417" s="989">
        <v>205.33</v>
      </c>
      <c r="F417" s="990"/>
      <c r="G417" s="990"/>
      <c r="H417" s="990"/>
      <c r="I417" s="990"/>
      <c r="J417" s="990"/>
      <c r="K417" s="990"/>
      <c r="L417" s="990"/>
      <c r="M417" s="990"/>
      <c r="N417" s="990"/>
      <c r="O417" s="990"/>
      <c r="P417" s="990"/>
      <c r="Q417" s="990"/>
      <c r="R417" s="990"/>
      <c r="S417" s="990"/>
      <c r="T417" s="990"/>
      <c r="U417" s="990"/>
      <c r="V417" s="990"/>
      <c r="W417" s="990"/>
      <c r="X417" s="990"/>
    </row>
    <row r="418" spans="1:24" s="896" customFormat="1">
      <c r="A418" s="987">
        <f t="shared" si="7"/>
        <v>344</v>
      </c>
      <c r="B418" s="988">
        <v>11786</v>
      </c>
      <c r="C418" s="899" t="s">
        <v>9744</v>
      </c>
      <c r="D418" s="988" t="s">
        <v>2666</v>
      </c>
      <c r="E418" s="989">
        <v>414.03</v>
      </c>
      <c r="F418" s="990"/>
      <c r="G418" s="990"/>
      <c r="H418" s="990"/>
      <c r="I418" s="990"/>
      <c r="J418" s="990"/>
      <c r="K418" s="990"/>
      <c r="L418" s="990"/>
      <c r="M418" s="990"/>
      <c r="N418" s="990"/>
      <c r="O418" s="990"/>
      <c r="P418" s="990"/>
      <c r="Q418" s="990"/>
      <c r="R418" s="990"/>
      <c r="S418" s="990"/>
      <c r="T418" s="990"/>
      <c r="U418" s="990"/>
      <c r="V418" s="990"/>
      <c r="W418" s="990"/>
      <c r="X418" s="990"/>
    </row>
    <row r="419" spans="1:24" s="896" customFormat="1">
      <c r="A419" s="987">
        <f t="shared" si="7"/>
        <v>345</v>
      </c>
      <c r="B419" s="988">
        <v>10</v>
      </c>
      <c r="C419" s="899" t="s">
        <v>9745</v>
      </c>
      <c r="D419" s="988" t="s">
        <v>2666</v>
      </c>
      <c r="E419" s="989">
        <v>12.77</v>
      </c>
      <c r="F419" s="990"/>
      <c r="G419" s="990"/>
      <c r="H419" s="990"/>
      <c r="I419" s="990"/>
      <c r="J419" s="990"/>
      <c r="K419" s="990"/>
      <c r="L419" s="990"/>
      <c r="M419" s="990"/>
      <c r="N419" s="990"/>
      <c r="O419" s="990"/>
      <c r="P419" s="990"/>
      <c r="Q419" s="990"/>
      <c r="R419" s="990"/>
      <c r="S419" s="990"/>
      <c r="T419" s="990"/>
      <c r="U419" s="990"/>
      <c r="V419" s="990"/>
      <c r="W419" s="990"/>
      <c r="X419" s="990"/>
    </row>
    <row r="420" spans="1:24" s="896" customFormat="1">
      <c r="A420" s="987">
        <f t="shared" si="7"/>
        <v>346</v>
      </c>
      <c r="B420" s="988">
        <v>4815</v>
      </c>
      <c r="C420" s="899" t="s">
        <v>9746</v>
      </c>
      <c r="D420" s="988" t="s">
        <v>2666</v>
      </c>
      <c r="E420" s="989">
        <v>8.4</v>
      </c>
      <c r="F420" s="990"/>
      <c r="G420" s="990"/>
      <c r="H420" s="990"/>
      <c r="I420" s="990"/>
      <c r="J420" s="990"/>
      <c r="K420" s="990"/>
      <c r="L420" s="990"/>
      <c r="M420" s="990"/>
      <c r="N420" s="990"/>
      <c r="O420" s="990"/>
      <c r="P420" s="990"/>
      <c r="Q420" s="990"/>
      <c r="R420" s="990"/>
      <c r="S420" s="990"/>
      <c r="T420" s="990"/>
      <c r="U420" s="990"/>
      <c r="V420" s="990"/>
      <c r="W420" s="990"/>
      <c r="X420" s="990"/>
    </row>
    <row r="421" spans="1:24" s="896" customFormat="1">
      <c r="A421" s="987">
        <f t="shared" si="7"/>
        <v>347</v>
      </c>
      <c r="B421" s="988">
        <v>541</v>
      </c>
      <c r="C421" s="899" t="s">
        <v>9747</v>
      </c>
      <c r="D421" s="988" t="s">
        <v>2666</v>
      </c>
      <c r="E421" s="989">
        <v>199</v>
      </c>
      <c r="F421" s="990"/>
      <c r="G421" s="990"/>
      <c r="H421" s="990"/>
      <c r="I421" s="990"/>
      <c r="J421" s="990"/>
      <c r="K421" s="990"/>
      <c r="L421" s="990"/>
      <c r="M421" s="990"/>
      <c r="N421" s="990"/>
      <c r="O421" s="990"/>
      <c r="P421" s="990"/>
      <c r="Q421" s="990"/>
      <c r="R421" s="990"/>
      <c r="S421" s="990"/>
      <c r="T421" s="990"/>
      <c r="U421" s="990"/>
      <c r="V421" s="990"/>
      <c r="W421" s="990"/>
      <c r="X421" s="990"/>
    </row>
    <row r="422" spans="1:24" s="896" customFormat="1">
      <c r="A422" s="987">
        <f t="shared" si="7"/>
        <v>348</v>
      </c>
      <c r="B422" s="988">
        <v>542</v>
      </c>
      <c r="C422" s="899" t="s">
        <v>9748</v>
      </c>
      <c r="D422" s="988" t="s">
        <v>2666</v>
      </c>
      <c r="E422" s="989">
        <v>249.45</v>
      </c>
      <c r="F422" s="990"/>
      <c r="G422" s="990"/>
      <c r="H422" s="990"/>
      <c r="I422" s="990"/>
      <c r="J422" s="990"/>
      <c r="K422" s="990"/>
      <c r="L422" s="990"/>
      <c r="M422" s="990"/>
      <c r="N422" s="990"/>
      <c r="O422" s="990"/>
      <c r="P422" s="990"/>
      <c r="Q422" s="990"/>
      <c r="R422" s="990"/>
      <c r="S422" s="990"/>
      <c r="T422" s="990"/>
      <c r="U422" s="990"/>
      <c r="V422" s="990"/>
      <c r="W422" s="990"/>
      <c r="X422" s="990"/>
    </row>
    <row r="423" spans="1:24" s="896" customFormat="1">
      <c r="A423" s="987">
        <f t="shared" si="7"/>
        <v>349</v>
      </c>
      <c r="B423" s="988">
        <v>540</v>
      </c>
      <c r="C423" s="899" t="s">
        <v>9749</v>
      </c>
      <c r="D423" s="988" t="s">
        <v>2666</v>
      </c>
      <c r="E423" s="989">
        <v>562.13</v>
      </c>
      <c r="F423" s="990"/>
      <c r="G423" s="990"/>
      <c r="H423" s="990"/>
      <c r="I423" s="990"/>
      <c r="J423" s="990"/>
      <c r="K423" s="990"/>
      <c r="L423" s="990"/>
      <c r="M423" s="990"/>
      <c r="N423" s="990"/>
      <c r="O423" s="990"/>
      <c r="P423" s="990"/>
      <c r="Q423" s="990"/>
      <c r="R423" s="990"/>
      <c r="S423" s="990"/>
      <c r="T423" s="990"/>
      <c r="U423" s="990"/>
      <c r="V423" s="990"/>
      <c r="W423" s="990"/>
      <c r="X423" s="990"/>
    </row>
    <row r="424" spans="1:24" s="896" customFormat="1" ht="38.25">
      <c r="A424" s="987">
        <f t="shared" si="7"/>
        <v>350</v>
      </c>
      <c r="B424" s="988">
        <v>38364</v>
      </c>
      <c r="C424" s="899" t="s">
        <v>9750</v>
      </c>
      <c r="D424" s="991" t="s">
        <v>2666</v>
      </c>
      <c r="E424" s="989">
        <v>974.84</v>
      </c>
      <c r="F424" s="990"/>
      <c r="G424" s="990"/>
      <c r="H424" s="990"/>
      <c r="I424" s="990"/>
      <c r="J424" s="990"/>
      <c r="K424" s="990"/>
      <c r="L424" s="990"/>
      <c r="M424" s="990"/>
      <c r="N424" s="990"/>
      <c r="O424" s="990"/>
      <c r="P424" s="990"/>
      <c r="Q424" s="990"/>
      <c r="R424" s="990"/>
      <c r="S424" s="990"/>
      <c r="T424" s="990"/>
      <c r="U424" s="990"/>
      <c r="V424" s="990"/>
      <c r="W424" s="990"/>
      <c r="X424" s="990"/>
    </row>
    <row r="425" spans="1:24" s="896" customFormat="1">
      <c r="A425" s="987">
        <f t="shared" si="7"/>
        <v>351</v>
      </c>
      <c r="B425" s="988">
        <v>11692</v>
      </c>
      <c r="C425" s="899" t="s">
        <v>9751</v>
      </c>
      <c r="D425" s="988" t="s">
        <v>2667</v>
      </c>
      <c r="E425" s="989">
        <v>696.44</v>
      </c>
      <c r="F425" s="990"/>
      <c r="G425" s="990"/>
      <c r="H425" s="990"/>
      <c r="I425" s="990"/>
      <c r="J425" s="990"/>
      <c r="K425" s="990"/>
      <c r="L425" s="990"/>
      <c r="M425" s="990"/>
      <c r="N425" s="990"/>
      <c r="O425" s="990"/>
      <c r="P425" s="990"/>
      <c r="Q425" s="990"/>
      <c r="R425" s="990"/>
      <c r="S425" s="990"/>
      <c r="T425" s="990"/>
      <c r="U425" s="990"/>
      <c r="V425" s="990"/>
      <c r="W425" s="990"/>
      <c r="X425" s="990"/>
    </row>
    <row r="426" spans="1:24" s="896" customFormat="1" ht="25.5">
      <c r="A426" s="987">
        <f t="shared" si="7"/>
        <v>352</v>
      </c>
      <c r="B426" s="988">
        <v>1746</v>
      </c>
      <c r="C426" s="899" t="s">
        <v>9752</v>
      </c>
      <c r="D426" s="988" t="s">
        <v>2666</v>
      </c>
      <c r="E426" s="989">
        <v>309.95</v>
      </c>
      <c r="F426" s="990"/>
      <c r="G426" s="990"/>
      <c r="H426" s="990"/>
      <c r="I426" s="990"/>
      <c r="J426" s="990"/>
      <c r="K426" s="990"/>
      <c r="L426" s="990"/>
      <c r="M426" s="990"/>
      <c r="N426" s="990"/>
      <c r="O426" s="990"/>
      <c r="P426" s="990"/>
      <c r="Q426" s="990"/>
      <c r="R426" s="990"/>
      <c r="S426" s="990"/>
      <c r="T426" s="990"/>
      <c r="U426" s="990"/>
      <c r="V426" s="990"/>
      <c r="W426" s="990"/>
      <c r="X426" s="990"/>
    </row>
    <row r="427" spans="1:24" s="896" customFormat="1" ht="25.5">
      <c r="A427" s="987">
        <f t="shared" si="7"/>
        <v>353</v>
      </c>
      <c r="B427" s="988">
        <v>1748</v>
      </c>
      <c r="C427" s="899" t="s">
        <v>9753</v>
      </c>
      <c r="D427" s="988" t="s">
        <v>2666</v>
      </c>
      <c r="E427" s="989">
        <v>412.16</v>
      </c>
      <c r="F427" s="990"/>
      <c r="G427" s="990"/>
      <c r="H427" s="990"/>
      <c r="I427" s="990"/>
      <c r="J427" s="990"/>
      <c r="K427" s="990"/>
      <c r="L427" s="990"/>
      <c r="M427" s="990"/>
      <c r="N427" s="990"/>
      <c r="O427" s="990"/>
      <c r="P427" s="990"/>
      <c r="Q427" s="990"/>
      <c r="R427" s="990"/>
      <c r="S427" s="990"/>
      <c r="T427" s="990"/>
      <c r="U427" s="990"/>
      <c r="V427" s="990"/>
      <c r="W427" s="990"/>
      <c r="X427" s="990"/>
    </row>
    <row r="428" spans="1:24" s="896" customFormat="1" ht="25.5">
      <c r="A428" s="987">
        <f t="shared" si="7"/>
        <v>354</v>
      </c>
      <c r="B428" s="988">
        <v>1749</v>
      </c>
      <c r="C428" s="899" t="s">
        <v>9754</v>
      </c>
      <c r="D428" s="988" t="s">
        <v>2666</v>
      </c>
      <c r="E428" s="989">
        <v>597.14</v>
      </c>
      <c r="F428" s="990"/>
      <c r="G428" s="990"/>
      <c r="H428" s="990"/>
      <c r="I428" s="990"/>
      <c r="J428" s="990"/>
      <c r="K428" s="990"/>
      <c r="L428" s="990"/>
      <c r="M428" s="990"/>
      <c r="N428" s="990"/>
      <c r="O428" s="990"/>
      <c r="P428" s="990"/>
      <c r="Q428" s="990"/>
      <c r="R428" s="990"/>
      <c r="S428" s="990"/>
      <c r="T428" s="990"/>
      <c r="U428" s="990"/>
      <c r="V428" s="990"/>
      <c r="W428" s="990"/>
      <c r="X428" s="990"/>
    </row>
    <row r="429" spans="1:24" s="896" customFormat="1" ht="25.5">
      <c r="A429" s="987">
        <f t="shared" si="7"/>
        <v>355</v>
      </c>
      <c r="B429" s="988">
        <v>37412</v>
      </c>
      <c r="C429" s="899" t="s">
        <v>9755</v>
      </c>
      <c r="D429" s="988" t="s">
        <v>2666</v>
      </c>
      <c r="E429" s="989">
        <v>302.97000000000003</v>
      </c>
      <c r="F429" s="990"/>
      <c r="G429" s="990"/>
      <c r="H429" s="990"/>
      <c r="I429" s="990"/>
      <c r="J429" s="990"/>
      <c r="K429" s="990"/>
      <c r="L429" s="990"/>
      <c r="M429" s="990"/>
      <c r="N429" s="990"/>
      <c r="O429" s="990"/>
      <c r="P429" s="990"/>
      <c r="Q429" s="990"/>
      <c r="R429" s="990"/>
      <c r="S429" s="990"/>
      <c r="T429" s="990"/>
      <c r="U429" s="990"/>
      <c r="V429" s="990"/>
      <c r="W429" s="990"/>
      <c r="X429" s="990"/>
    </row>
    <row r="430" spans="1:24" s="896" customFormat="1" ht="25.5">
      <c r="A430" s="987">
        <f t="shared" si="7"/>
        <v>356</v>
      </c>
      <c r="B430" s="988">
        <v>1745</v>
      </c>
      <c r="C430" s="899" t="s">
        <v>9756</v>
      </c>
      <c r="D430" s="988" t="s">
        <v>2666</v>
      </c>
      <c r="E430" s="989">
        <v>360.28</v>
      </c>
      <c r="F430" s="990"/>
      <c r="G430" s="990"/>
      <c r="H430" s="990"/>
      <c r="I430" s="990"/>
      <c r="J430" s="990"/>
      <c r="K430" s="990"/>
      <c r="L430" s="990"/>
      <c r="M430" s="990"/>
      <c r="N430" s="990"/>
      <c r="O430" s="990"/>
      <c r="P430" s="990"/>
      <c r="Q430" s="990"/>
      <c r="R430" s="990"/>
      <c r="S430" s="990"/>
      <c r="T430" s="990"/>
      <c r="U430" s="990"/>
      <c r="V430" s="990"/>
      <c r="W430" s="990"/>
      <c r="X430" s="990"/>
    </row>
    <row r="431" spans="1:24" s="896" customFormat="1" ht="25.5">
      <c r="A431" s="987">
        <f t="shared" si="7"/>
        <v>357</v>
      </c>
      <c r="B431" s="988">
        <v>1750</v>
      </c>
      <c r="C431" s="899" t="s">
        <v>9757</v>
      </c>
      <c r="D431" s="988" t="s">
        <v>2666</v>
      </c>
      <c r="E431" s="989">
        <v>841.92</v>
      </c>
      <c r="F431" s="990"/>
      <c r="G431" s="990"/>
      <c r="H431" s="990"/>
      <c r="I431" s="990"/>
      <c r="J431" s="990"/>
      <c r="K431" s="990"/>
      <c r="L431" s="990"/>
      <c r="M431" s="990"/>
      <c r="N431" s="990"/>
      <c r="O431" s="990"/>
      <c r="P431" s="990"/>
      <c r="Q431" s="990"/>
      <c r="R431" s="990"/>
      <c r="S431" s="990"/>
      <c r="T431" s="990"/>
      <c r="U431" s="990"/>
      <c r="V431" s="990"/>
      <c r="W431" s="990"/>
      <c r="X431" s="990"/>
    </row>
    <row r="432" spans="1:24" s="896" customFormat="1" ht="25.5">
      <c r="A432" s="987">
        <f t="shared" si="7"/>
        <v>358</v>
      </c>
      <c r="B432" s="988">
        <v>11687</v>
      </c>
      <c r="C432" s="899" t="s">
        <v>9758</v>
      </c>
      <c r="D432" s="988" t="s">
        <v>2669</v>
      </c>
      <c r="E432" s="989">
        <v>1341.43</v>
      </c>
      <c r="F432" s="990"/>
      <c r="G432" s="990"/>
      <c r="H432" s="990"/>
      <c r="I432" s="990"/>
      <c r="J432" s="990"/>
      <c r="K432" s="990"/>
      <c r="L432" s="990"/>
      <c r="M432" s="990"/>
      <c r="N432" s="990"/>
      <c r="O432" s="990"/>
      <c r="P432" s="990"/>
      <c r="Q432" s="990"/>
      <c r="R432" s="990"/>
      <c r="S432" s="990"/>
      <c r="T432" s="990"/>
      <c r="U432" s="990"/>
      <c r="V432" s="990"/>
      <c r="W432" s="990"/>
      <c r="X432" s="990"/>
    </row>
    <row r="433" spans="1:24" s="896" customFormat="1" ht="25.5">
      <c r="A433" s="987">
        <f t="shared" si="7"/>
        <v>359</v>
      </c>
      <c r="B433" s="988">
        <v>11689</v>
      </c>
      <c r="C433" s="899" t="s">
        <v>9759</v>
      </c>
      <c r="D433" s="988" t="s">
        <v>2669</v>
      </c>
      <c r="E433" s="989">
        <v>1680.73</v>
      </c>
      <c r="F433" s="990"/>
      <c r="G433" s="990"/>
      <c r="H433" s="990"/>
      <c r="I433" s="990"/>
      <c r="J433" s="990"/>
      <c r="K433" s="990"/>
      <c r="L433" s="990"/>
      <c r="M433" s="990"/>
      <c r="N433" s="990"/>
      <c r="O433" s="990"/>
      <c r="P433" s="990"/>
      <c r="Q433" s="990"/>
      <c r="R433" s="990"/>
      <c r="S433" s="990"/>
      <c r="T433" s="990"/>
      <c r="U433" s="990"/>
      <c r="V433" s="990"/>
      <c r="W433" s="990"/>
      <c r="X433" s="990"/>
    </row>
    <row r="434" spans="1:24" s="896" customFormat="1">
      <c r="A434" s="987">
        <f t="shared" si="7"/>
        <v>360</v>
      </c>
      <c r="B434" s="988">
        <v>11693</v>
      </c>
      <c r="C434" s="899" t="s">
        <v>9760</v>
      </c>
      <c r="D434" s="988" t="s">
        <v>2667</v>
      </c>
      <c r="E434" s="989">
        <v>220.65</v>
      </c>
      <c r="F434" s="990"/>
      <c r="G434" s="990"/>
      <c r="H434" s="990"/>
      <c r="I434" s="990"/>
      <c r="J434" s="990"/>
      <c r="K434" s="990"/>
      <c r="L434" s="990"/>
      <c r="M434" s="990"/>
      <c r="N434" s="990"/>
      <c r="O434" s="990"/>
      <c r="P434" s="990"/>
      <c r="Q434" s="990"/>
      <c r="R434" s="990"/>
      <c r="S434" s="990"/>
      <c r="T434" s="990"/>
      <c r="U434" s="990"/>
      <c r="V434" s="990"/>
      <c r="W434" s="990"/>
      <c r="X434" s="990"/>
    </row>
    <row r="435" spans="1:24" s="896" customFormat="1">
      <c r="A435" s="987">
        <f t="shared" si="7"/>
        <v>361</v>
      </c>
      <c r="B435" s="988">
        <v>36215</v>
      </c>
      <c r="C435" s="899" t="s">
        <v>9761</v>
      </c>
      <c r="D435" s="988" t="s">
        <v>2666</v>
      </c>
      <c r="E435" s="989">
        <v>897.92</v>
      </c>
      <c r="F435" s="990"/>
      <c r="G435" s="990"/>
      <c r="H435" s="990"/>
      <c r="I435" s="990"/>
      <c r="J435" s="990"/>
      <c r="K435" s="990"/>
      <c r="L435" s="990"/>
      <c r="M435" s="990"/>
      <c r="N435" s="990"/>
      <c r="O435" s="990"/>
      <c r="P435" s="990"/>
      <c r="Q435" s="990"/>
      <c r="R435" s="990"/>
      <c r="S435" s="990"/>
      <c r="T435" s="990"/>
      <c r="U435" s="990"/>
      <c r="V435" s="990"/>
      <c r="W435" s="990"/>
      <c r="X435" s="990"/>
    </row>
    <row r="436" spans="1:24" s="896" customFormat="1" ht="38.25">
      <c r="A436" s="987">
        <f t="shared" si="7"/>
        <v>362</v>
      </c>
      <c r="B436" s="988">
        <v>42439</v>
      </c>
      <c r="C436" s="899" t="s">
        <v>9762</v>
      </c>
      <c r="D436" s="988" t="s">
        <v>2666</v>
      </c>
      <c r="E436" s="989">
        <v>1197.21</v>
      </c>
      <c r="F436" s="990"/>
      <c r="G436" s="990"/>
      <c r="H436" s="990"/>
      <c r="I436" s="990"/>
      <c r="J436" s="990"/>
      <c r="K436" s="990"/>
      <c r="L436" s="990"/>
      <c r="M436" s="990"/>
      <c r="N436" s="990"/>
      <c r="O436" s="990"/>
      <c r="P436" s="990"/>
      <c r="Q436" s="990"/>
      <c r="R436" s="990"/>
      <c r="S436" s="990"/>
      <c r="T436" s="990"/>
      <c r="U436" s="990"/>
      <c r="V436" s="990"/>
      <c r="W436" s="990"/>
      <c r="X436" s="990"/>
    </row>
    <row r="437" spans="1:24" s="896" customFormat="1">
      <c r="A437" s="987">
        <f t="shared" si="7"/>
        <v>363</v>
      </c>
      <c r="B437" s="988">
        <v>38381</v>
      </c>
      <c r="C437" s="899" t="s">
        <v>9763</v>
      </c>
      <c r="D437" s="988" t="s">
        <v>2666</v>
      </c>
      <c r="E437" s="989">
        <v>8.7899999999999991</v>
      </c>
      <c r="F437" s="990"/>
      <c r="G437" s="990"/>
      <c r="H437" s="990"/>
      <c r="I437" s="990"/>
      <c r="J437" s="990"/>
      <c r="K437" s="990"/>
      <c r="L437" s="990"/>
      <c r="M437" s="990"/>
      <c r="N437" s="990"/>
      <c r="O437" s="990"/>
      <c r="P437" s="990"/>
      <c r="Q437" s="990"/>
      <c r="R437" s="990"/>
      <c r="S437" s="990"/>
      <c r="T437" s="990"/>
      <c r="U437" s="990"/>
      <c r="V437" s="990"/>
      <c r="W437" s="990"/>
      <c r="X437" s="990"/>
    </row>
    <row r="438" spans="1:24" s="896" customFormat="1">
      <c r="A438" s="987">
        <f t="shared" si="7"/>
        <v>364</v>
      </c>
      <c r="B438" s="988">
        <v>39621</v>
      </c>
      <c r="C438" s="899" t="s">
        <v>9764</v>
      </c>
      <c r="D438" s="988" t="s">
        <v>2673</v>
      </c>
      <c r="E438" s="989">
        <v>1264.6500000000001</v>
      </c>
      <c r="F438" s="990"/>
      <c r="G438" s="990"/>
      <c r="H438" s="990"/>
      <c r="I438" s="990"/>
      <c r="J438" s="990"/>
      <c r="K438" s="990"/>
      <c r="L438" s="990"/>
      <c r="M438" s="990"/>
      <c r="N438" s="990"/>
      <c r="O438" s="990"/>
      <c r="P438" s="990"/>
      <c r="Q438" s="990"/>
      <c r="R438" s="990"/>
      <c r="S438" s="990"/>
      <c r="T438" s="990"/>
      <c r="U438" s="990"/>
      <c r="V438" s="990"/>
      <c r="W438" s="990"/>
      <c r="X438" s="990"/>
    </row>
    <row r="439" spans="1:24" s="896" customFormat="1">
      <c r="A439" s="987">
        <f t="shared" si="7"/>
        <v>365</v>
      </c>
      <c r="B439" s="988">
        <v>39624</v>
      </c>
      <c r="C439" s="899" t="s">
        <v>9765</v>
      </c>
      <c r="D439" s="988" t="s">
        <v>2673</v>
      </c>
      <c r="E439" s="989">
        <v>1395.04</v>
      </c>
      <c r="F439" s="990"/>
      <c r="G439" s="990"/>
      <c r="H439" s="990"/>
      <c r="I439" s="990"/>
      <c r="J439" s="990"/>
      <c r="K439" s="990"/>
      <c r="L439" s="990"/>
      <c r="M439" s="990"/>
      <c r="N439" s="990"/>
      <c r="O439" s="990"/>
      <c r="P439" s="990"/>
      <c r="Q439" s="990"/>
      <c r="R439" s="990"/>
      <c r="S439" s="990"/>
      <c r="T439" s="990"/>
      <c r="U439" s="990"/>
      <c r="V439" s="990"/>
      <c r="W439" s="990"/>
      <c r="X439" s="990"/>
    </row>
    <row r="440" spans="1:24" s="896" customFormat="1">
      <c r="A440" s="987">
        <f t="shared" si="7"/>
        <v>366</v>
      </c>
      <c r="B440" s="988">
        <v>39615</v>
      </c>
      <c r="C440" s="899" t="s">
        <v>9766</v>
      </c>
      <c r="D440" s="988" t="s">
        <v>2666</v>
      </c>
      <c r="E440" s="989">
        <v>563.73</v>
      </c>
      <c r="F440" s="990"/>
      <c r="G440" s="990"/>
      <c r="H440" s="990"/>
      <c r="I440" s="990"/>
      <c r="J440" s="990"/>
      <c r="K440" s="990"/>
      <c r="L440" s="990"/>
      <c r="M440" s="990"/>
      <c r="N440" s="990"/>
      <c r="O440" s="990"/>
      <c r="P440" s="990"/>
      <c r="Q440" s="990"/>
      <c r="R440" s="990"/>
      <c r="S440" s="990"/>
      <c r="T440" s="990"/>
      <c r="U440" s="990"/>
      <c r="V440" s="990"/>
      <c r="W440" s="990"/>
      <c r="X440" s="990"/>
    </row>
    <row r="441" spans="1:24" s="896" customFormat="1">
      <c r="A441" s="987">
        <f t="shared" si="7"/>
        <v>367</v>
      </c>
      <c r="B441" s="988">
        <v>39620</v>
      </c>
      <c r="C441" s="899" t="s">
        <v>9767</v>
      </c>
      <c r="D441" s="988" t="s">
        <v>2666</v>
      </c>
      <c r="E441" s="989">
        <v>860.96</v>
      </c>
      <c r="F441" s="990"/>
      <c r="G441" s="990"/>
      <c r="H441" s="990"/>
      <c r="I441" s="990"/>
      <c r="J441" s="990"/>
      <c r="K441" s="990"/>
      <c r="L441" s="990"/>
      <c r="M441" s="990"/>
      <c r="N441" s="990"/>
      <c r="O441" s="990"/>
      <c r="P441" s="990"/>
      <c r="Q441" s="990"/>
      <c r="R441" s="990"/>
      <c r="S441" s="990"/>
      <c r="T441" s="990"/>
      <c r="U441" s="990"/>
      <c r="V441" s="990"/>
      <c r="W441" s="990"/>
      <c r="X441" s="990"/>
    </row>
    <row r="442" spans="1:24" s="896" customFormat="1">
      <c r="A442" s="987">
        <f t="shared" si="7"/>
        <v>368</v>
      </c>
      <c r="B442" s="988">
        <v>39623</v>
      </c>
      <c r="C442" s="899" t="s">
        <v>9768</v>
      </c>
      <c r="D442" s="988" t="s">
        <v>2666</v>
      </c>
      <c r="E442" s="989">
        <v>922.17</v>
      </c>
      <c r="F442" s="990"/>
      <c r="G442" s="990"/>
      <c r="H442" s="990"/>
      <c r="I442" s="990"/>
      <c r="J442" s="990"/>
      <c r="K442" s="990"/>
      <c r="L442" s="990"/>
      <c r="M442" s="990"/>
      <c r="N442" s="990"/>
      <c r="O442" s="990"/>
      <c r="P442" s="990"/>
      <c r="Q442" s="990"/>
      <c r="R442" s="990"/>
      <c r="S442" s="990"/>
      <c r="T442" s="990"/>
      <c r="U442" s="990"/>
      <c r="V442" s="990"/>
      <c r="W442" s="990"/>
      <c r="X442" s="990"/>
    </row>
    <row r="443" spans="1:24" s="896" customFormat="1">
      <c r="A443" s="987">
        <f t="shared" si="7"/>
        <v>369</v>
      </c>
      <c r="B443" s="988">
        <v>36207</v>
      </c>
      <c r="C443" s="899" t="s">
        <v>9769</v>
      </c>
      <c r="D443" s="988" t="s">
        <v>2666</v>
      </c>
      <c r="E443" s="989">
        <v>397.71</v>
      </c>
      <c r="F443" s="990"/>
      <c r="G443" s="990"/>
      <c r="H443" s="990"/>
      <c r="I443" s="990"/>
      <c r="J443" s="990"/>
      <c r="K443" s="990"/>
      <c r="L443" s="990"/>
      <c r="M443" s="990"/>
      <c r="N443" s="990"/>
      <c r="O443" s="990"/>
      <c r="P443" s="990"/>
      <c r="Q443" s="990"/>
      <c r="R443" s="990"/>
      <c r="S443" s="990"/>
      <c r="T443" s="990"/>
      <c r="U443" s="990"/>
      <c r="V443" s="990"/>
      <c r="W443" s="990"/>
      <c r="X443" s="990"/>
    </row>
    <row r="444" spans="1:24" s="896" customFormat="1">
      <c r="A444" s="987">
        <f t="shared" si="7"/>
        <v>370</v>
      </c>
      <c r="B444" s="988">
        <v>36209</v>
      </c>
      <c r="C444" s="899" t="s">
        <v>9770</v>
      </c>
      <c r="D444" s="988" t="s">
        <v>2666</v>
      </c>
      <c r="E444" s="989">
        <v>456.44</v>
      </c>
      <c r="F444" s="990"/>
      <c r="G444" s="990"/>
      <c r="H444" s="990"/>
      <c r="I444" s="990"/>
      <c r="J444" s="990"/>
      <c r="K444" s="990"/>
      <c r="L444" s="990"/>
      <c r="M444" s="990"/>
      <c r="N444" s="990"/>
      <c r="O444" s="990"/>
      <c r="P444" s="990"/>
      <c r="Q444" s="990"/>
      <c r="R444" s="990"/>
      <c r="S444" s="990"/>
      <c r="T444" s="990"/>
      <c r="U444" s="990"/>
      <c r="V444" s="990"/>
      <c r="W444" s="990"/>
      <c r="X444" s="990"/>
    </row>
    <row r="445" spans="1:24" s="896" customFormat="1" ht="25.5">
      <c r="A445" s="987">
        <f t="shared" si="7"/>
        <v>371</v>
      </c>
      <c r="B445" s="988">
        <v>36210</v>
      </c>
      <c r="C445" s="899" t="s">
        <v>9771</v>
      </c>
      <c r="D445" s="988" t="s">
        <v>2666</v>
      </c>
      <c r="E445" s="989">
        <v>493.85</v>
      </c>
      <c r="F445" s="990"/>
      <c r="G445" s="990"/>
      <c r="H445" s="990"/>
      <c r="I445" s="990"/>
      <c r="J445" s="990"/>
      <c r="K445" s="990"/>
      <c r="L445" s="990"/>
      <c r="M445" s="990"/>
      <c r="N445" s="990"/>
      <c r="O445" s="990"/>
      <c r="P445" s="990"/>
      <c r="Q445" s="990"/>
      <c r="R445" s="990"/>
      <c r="S445" s="990"/>
      <c r="T445" s="990"/>
      <c r="U445" s="990"/>
      <c r="V445" s="990"/>
      <c r="W445" s="990"/>
      <c r="X445" s="990"/>
    </row>
    <row r="446" spans="1:24" s="896" customFormat="1" ht="25.5">
      <c r="A446" s="987">
        <f t="shared" si="7"/>
        <v>372</v>
      </c>
      <c r="B446" s="988">
        <v>36204</v>
      </c>
      <c r="C446" s="899" t="s">
        <v>9772</v>
      </c>
      <c r="D446" s="988" t="s">
        <v>2666</v>
      </c>
      <c r="E446" s="989">
        <v>175.1</v>
      </c>
      <c r="F446" s="990"/>
      <c r="G446" s="990"/>
      <c r="H446" s="990"/>
      <c r="I446" s="990"/>
      <c r="J446" s="990"/>
      <c r="K446" s="990"/>
      <c r="L446" s="990"/>
      <c r="M446" s="990"/>
      <c r="N446" s="990"/>
      <c r="O446" s="990"/>
      <c r="P446" s="990"/>
      <c r="Q446" s="990"/>
      <c r="R446" s="990"/>
      <c r="S446" s="990"/>
      <c r="T446" s="990"/>
      <c r="U446" s="990"/>
      <c r="V446" s="990"/>
      <c r="W446" s="990"/>
      <c r="X446" s="990"/>
    </row>
    <row r="447" spans="1:24" s="896" customFormat="1" ht="25.5">
      <c r="A447" s="987">
        <f t="shared" si="7"/>
        <v>373</v>
      </c>
      <c r="B447" s="988">
        <v>36205</v>
      </c>
      <c r="C447" s="899" t="s">
        <v>9773</v>
      </c>
      <c r="D447" s="988" t="s">
        <v>2666</v>
      </c>
      <c r="E447" s="989">
        <v>194.46</v>
      </c>
      <c r="F447" s="990"/>
      <c r="G447" s="990"/>
      <c r="H447" s="990"/>
      <c r="I447" s="990"/>
      <c r="J447" s="990"/>
      <c r="K447" s="990"/>
      <c r="L447" s="990"/>
      <c r="M447" s="990"/>
      <c r="N447" s="990"/>
      <c r="O447" s="990"/>
      <c r="P447" s="990"/>
      <c r="Q447" s="990"/>
      <c r="R447" s="990"/>
      <c r="S447" s="990"/>
      <c r="T447" s="990"/>
      <c r="U447" s="990"/>
      <c r="V447" s="990"/>
      <c r="W447" s="990"/>
      <c r="X447" s="990"/>
    </row>
    <row r="448" spans="1:24" s="896" customFormat="1" ht="25.5">
      <c r="A448" s="987">
        <f t="shared" si="7"/>
        <v>374</v>
      </c>
      <c r="B448" s="988">
        <v>36081</v>
      </c>
      <c r="C448" s="899" t="s">
        <v>9774</v>
      </c>
      <c r="D448" s="988" t="s">
        <v>2666</v>
      </c>
      <c r="E448" s="989">
        <v>207.35</v>
      </c>
      <c r="F448" s="990"/>
      <c r="G448" s="990"/>
      <c r="H448" s="990"/>
      <c r="I448" s="990"/>
      <c r="J448" s="990"/>
      <c r="K448" s="990"/>
      <c r="L448" s="990"/>
      <c r="M448" s="990"/>
      <c r="N448" s="990"/>
      <c r="O448" s="990"/>
      <c r="P448" s="990"/>
      <c r="Q448" s="990"/>
      <c r="R448" s="990"/>
      <c r="S448" s="990"/>
      <c r="T448" s="990"/>
      <c r="U448" s="990"/>
      <c r="V448" s="990"/>
      <c r="W448" s="990"/>
      <c r="X448" s="990"/>
    </row>
    <row r="449" spans="1:24" s="896" customFormat="1" ht="25.5">
      <c r="A449" s="987">
        <f t="shared" si="7"/>
        <v>375</v>
      </c>
      <c r="B449" s="988">
        <v>36206</v>
      </c>
      <c r="C449" s="899" t="s">
        <v>9775</v>
      </c>
      <c r="D449" s="988" t="s">
        <v>2666</v>
      </c>
      <c r="E449" s="989">
        <v>217.23</v>
      </c>
      <c r="F449" s="990"/>
      <c r="G449" s="990"/>
      <c r="H449" s="990"/>
      <c r="I449" s="990"/>
      <c r="J449" s="990"/>
      <c r="K449" s="990"/>
      <c r="L449" s="990"/>
      <c r="M449" s="990"/>
      <c r="N449" s="990"/>
      <c r="O449" s="990"/>
      <c r="P449" s="990"/>
      <c r="Q449" s="990"/>
      <c r="R449" s="990"/>
      <c r="S449" s="990"/>
      <c r="T449" s="990"/>
      <c r="U449" s="990"/>
      <c r="V449" s="990"/>
      <c r="W449" s="990"/>
      <c r="X449" s="990"/>
    </row>
    <row r="450" spans="1:24" s="896" customFormat="1">
      <c r="A450" s="987">
        <f t="shared" si="7"/>
        <v>376</v>
      </c>
      <c r="B450" s="988">
        <v>36218</v>
      </c>
      <c r="C450" s="899" t="s">
        <v>9776</v>
      </c>
      <c r="D450" s="988" t="s">
        <v>2666</v>
      </c>
      <c r="E450" s="989">
        <v>136.94</v>
      </c>
      <c r="F450" s="990"/>
      <c r="G450" s="990"/>
      <c r="H450" s="990"/>
      <c r="I450" s="990"/>
      <c r="J450" s="990"/>
      <c r="K450" s="990"/>
      <c r="L450" s="990"/>
      <c r="M450" s="990"/>
      <c r="N450" s="990"/>
      <c r="O450" s="990"/>
      <c r="P450" s="990"/>
      <c r="Q450" s="990"/>
      <c r="R450" s="990"/>
      <c r="S450" s="990"/>
      <c r="T450" s="990"/>
      <c r="U450" s="990"/>
      <c r="V450" s="990"/>
      <c r="W450" s="990"/>
      <c r="X450" s="990"/>
    </row>
    <row r="451" spans="1:24" s="896" customFormat="1">
      <c r="A451" s="987">
        <f t="shared" si="7"/>
        <v>377</v>
      </c>
      <c r="B451" s="988">
        <v>36220</v>
      </c>
      <c r="C451" s="899" t="s">
        <v>9777</v>
      </c>
      <c r="D451" s="988" t="s">
        <v>2666</v>
      </c>
      <c r="E451" s="989">
        <v>157.03</v>
      </c>
      <c r="F451" s="990"/>
      <c r="G451" s="990"/>
      <c r="H451" s="990"/>
      <c r="I451" s="990"/>
      <c r="J451" s="990"/>
      <c r="K451" s="990"/>
      <c r="L451" s="990"/>
      <c r="M451" s="990"/>
      <c r="N451" s="990"/>
      <c r="O451" s="990"/>
      <c r="P451" s="990"/>
      <c r="Q451" s="990"/>
      <c r="R451" s="990"/>
      <c r="S451" s="990"/>
      <c r="T451" s="990"/>
      <c r="U451" s="990"/>
      <c r="V451" s="990"/>
      <c r="W451" s="990"/>
      <c r="X451" s="990"/>
    </row>
    <row r="452" spans="1:24" s="896" customFormat="1">
      <c r="A452" s="987">
        <f t="shared" si="7"/>
        <v>378</v>
      </c>
      <c r="B452" s="988">
        <v>36080</v>
      </c>
      <c r="C452" s="899" t="s">
        <v>9778</v>
      </c>
      <c r="D452" s="988" t="s">
        <v>2666</v>
      </c>
      <c r="E452" s="989">
        <v>169.85</v>
      </c>
      <c r="F452" s="990"/>
      <c r="G452" s="990"/>
      <c r="H452" s="990"/>
      <c r="I452" s="990"/>
      <c r="J452" s="990"/>
      <c r="K452" s="990"/>
      <c r="L452" s="990"/>
      <c r="M452" s="990"/>
      <c r="N452" s="990"/>
      <c r="O452" s="990"/>
      <c r="P452" s="990"/>
      <c r="Q452" s="990"/>
      <c r="R452" s="990"/>
      <c r="S452" s="990"/>
      <c r="T452" s="990"/>
      <c r="U452" s="990"/>
      <c r="V452" s="990"/>
      <c r="W452" s="990"/>
      <c r="X452" s="990"/>
    </row>
    <row r="453" spans="1:24" s="896" customFormat="1">
      <c r="A453" s="987">
        <f t="shared" si="7"/>
        <v>379</v>
      </c>
      <c r="B453" s="988">
        <v>36223</v>
      </c>
      <c r="C453" s="899" t="s">
        <v>9779</v>
      </c>
      <c r="D453" s="988" t="s">
        <v>2666</v>
      </c>
      <c r="E453" s="989">
        <v>177.86</v>
      </c>
      <c r="F453" s="990"/>
      <c r="G453" s="990"/>
      <c r="H453" s="990"/>
      <c r="I453" s="990"/>
      <c r="J453" s="990"/>
      <c r="K453" s="990"/>
      <c r="L453" s="990"/>
      <c r="M453" s="990"/>
      <c r="N453" s="990"/>
      <c r="O453" s="990"/>
      <c r="P453" s="990"/>
      <c r="Q453" s="990"/>
      <c r="R453" s="990"/>
      <c r="S453" s="990"/>
      <c r="T453" s="990"/>
      <c r="U453" s="990"/>
      <c r="V453" s="990"/>
      <c r="W453" s="990"/>
      <c r="X453" s="990"/>
    </row>
    <row r="454" spans="1:24" s="896" customFormat="1">
      <c r="A454" s="987">
        <f t="shared" si="7"/>
        <v>380</v>
      </c>
      <c r="B454" s="988">
        <v>546</v>
      </c>
      <c r="C454" s="899" t="s">
        <v>9780</v>
      </c>
      <c r="D454" s="988" t="s">
        <v>2670</v>
      </c>
      <c r="E454" s="989">
        <v>11.88</v>
      </c>
      <c r="F454" s="990"/>
      <c r="G454" s="990"/>
      <c r="H454" s="990"/>
      <c r="I454" s="990"/>
      <c r="J454" s="990"/>
      <c r="K454" s="990"/>
      <c r="L454" s="990"/>
      <c r="M454" s="990"/>
      <c r="N454" s="990"/>
      <c r="O454" s="990"/>
      <c r="P454" s="990"/>
      <c r="Q454" s="990"/>
      <c r="R454" s="990"/>
      <c r="S454" s="990"/>
      <c r="T454" s="990"/>
      <c r="U454" s="990"/>
      <c r="V454" s="990"/>
      <c r="W454" s="990"/>
      <c r="X454" s="990"/>
    </row>
    <row r="455" spans="1:24" s="896" customFormat="1">
      <c r="A455" s="987">
        <f t="shared" si="7"/>
        <v>381</v>
      </c>
      <c r="B455" s="988">
        <v>566</v>
      </c>
      <c r="C455" s="899" t="s">
        <v>9781</v>
      </c>
      <c r="D455" s="988" t="s">
        <v>2669</v>
      </c>
      <c r="E455" s="989">
        <v>5.64</v>
      </c>
      <c r="F455" s="990"/>
      <c r="G455" s="990"/>
      <c r="H455" s="990"/>
      <c r="I455" s="990"/>
      <c r="J455" s="990"/>
      <c r="K455" s="990"/>
      <c r="L455" s="990"/>
      <c r="M455" s="990"/>
      <c r="N455" s="990"/>
      <c r="O455" s="990"/>
      <c r="P455" s="990"/>
      <c r="Q455" s="990"/>
      <c r="R455" s="990"/>
      <c r="S455" s="990"/>
      <c r="T455" s="990"/>
      <c r="U455" s="990"/>
      <c r="V455" s="990"/>
      <c r="W455" s="990"/>
      <c r="X455" s="990"/>
    </row>
    <row r="456" spans="1:24" s="896" customFormat="1">
      <c r="A456" s="987">
        <f t="shared" si="7"/>
        <v>382</v>
      </c>
      <c r="B456" s="988">
        <v>565</v>
      </c>
      <c r="C456" s="899" t="s">
        <v>9782</v>
      </c>
      <c r="D456" s="988" t="s">
        <v>2669</v>
      </c>
      <c r="E456" s="989">
        <v>20.55</v>
      </c>
      <c r="F456" s="990"/>
      <c r="G456" s="990"/>
      <c r="H456" s="990"/>
      <c r="I456" s="990"/>
      <c r="J456" s="990"/>
      <c r="K456" s="990"/>
      <c r="L456" s="990"/>
      <c r="M456" s="990"/>
      <c r="N456" s="990"/>
      <c r="O456" s="990"/>
      <c r="P456" s="990"/>
      <c r="Q456" s="990"/>
      <c r="R456" s="990"/>
      <c r="S456" s="990"/>
      <c r="T456" s="990"/>
      <c r="U456" s="990"/>
      <c r="V456" s="990"/>
      <c r="W456" s="990"/>
      <c r="X456" s="990"/>
    </row>
    <row r="457" spans="1:24" s="896" customFormat="1">
      <c r="A457" s="987">
        <f t="shared" si="7"/>
        <v>383</v>
      </c>
      <c r="B457" s="988">
        <v>555</v>
      </c>
      <c r="C457" s="899" t="s">
        <v>9783</v>
      </c>
      <c r="D457" s="988" t="s">
        <v>2669</v>
      </c>
      <c r="E457" s="989">
        <v>14.57</v>
      </c>
      <c r="F457" s="990"/>
      <c r="G457" s="990"/>
      <c r="H457" s="990"/>
      <c r="I457" s="990"/>
      <c r="J457" s="990"/>
      <c r="K457" s="990"/>
      <c r="L457" s="990"/>
      <c r="M457" s="990"/>
      <c r="N457" s="990"/>
      <c r="O457" s="990"/>
      <c r="P457" s="990"/>
      <c r="Q457" s="990"/>
      <c r="R457" s="990"/>
      <c r="S457" s="990"/>
      <c r="T457" s="990"/>
      <c r="U457" s="990"/>
      <c r="V457" s="990"/>
      <c r="W457" s="990"/>
      <c r="X457" s="990"/>
    </row>
    <row r="458" spans="1:24" s="896" customFormat="1">
      <c r="A458" s="987">
        <f t="shared" si="7"/>
        <v>384</v>
      </c>
      <c r="B458" s="988">
        <v>557</v>
      </c>
      <c r="C458" s="899" t="s">
        <v>9784</v>
      </c>
      <c r="D458" s="988" t="s">
        <v>2669</v>
      </c>
      <c r="E458" s="989">
        <v>45.71</v>
      </c>
      <c r="F458" s="990"/>
      <c r="G458" s="990"/>
      <c r="H458" s="990"/>
      <c r="I458" s="990"/>
      <c r="J458" s="990"/>
      <c r="K458" s="990"/>
      <c r="L458" s="990"/>
      <c r="M458" s="990"/>
      <c r="N458" s="990"/>
      <c r="O458" s="990"/>
      <c r="P458" s="990"/>
      <c r="Q458" s="990"/>
      <c r="R458" s="990"/>
      <c r="S458" s="990"/>
      <c r="T458" s="990"/>
      <c r="U458" s="990"/>
      <c r="V458" s="990"/>
      <c r="W458" s="990"/>
      <c r="X458" s="990"/>
    </row>
    <row r="459" spans="1:24" s="896" customFormat="1">
      <c r="A459" s="987">
        <f t="shared" si="7"/>
        <v>385</v>
      </c>
      <c r="B459" s="988">
        <v>552</v>
      </c>
      <c r="C459" s="899" t="s">
        <v>9785</v>
      </c>
      <c r="D459" s="988" t="s">
        <v>2669</v>
      </c>
      <c r="E459" s="989">
        <v>22.68</v>
      </c>
      <c r="F459" s="990"/>
      <c r="G459" s="990"/>
      <c r="H459" s="990"/>
      <c r="I459" s="990"/>
      <c r="J459" s="990"/>
      <c r="K459" s="990"/>
      <c r="L459" s="990"/>
      <c r="M459" s="990"/>
      <c r="N459" s="990"/>
      <c r="O459" s="990"/>
      <c r="P459" s="990"/>
      <c r="Q459" s="990"/>
      <c r="R459" s="990"/>
      <c r="S459" s="990"/>
      <c r="T459" s="990"/>
      <c r="U459" s="990"/>
      <c r="V459" s="990"/>
      <c r="W459" s="990"/>
      <c r="X459" s="990"/>
    </row>
    <row r="460" spans="1:24" s="896" customFormat="1">
      <c r="A460" s="987">
        <f t="shared" ref="A460:A523" si="8">A459+1</f>
        <v>386</v>
      </c>
      <c r="B460" s="988">
        <v>563</v>
      </c>
      <c r="C460" s="899" t="s">
        <v>9786</v>
      </c>
      <c r="D460" s="988" t="s">
        <v>2669</v>
      </c>
      <c r="E460" s="989">
        <v>34.08</v>
      </c>
      <c r="F460" s="990"/>
      <c r="G460" s="990"/>
      <c r="H460" s="990"/>
      <c r="I460" s="990"/>
      <c r="J460" s="990"/>
      <c r="K460" s="990"/>
      <c r="L460" s="990"/>
      <c r="M460" s="990"/>
      <c r="N460" s="990"/>
      <c r="O460" s="990"/>
      <c r="P460" s="990"/>
      <c r="Q460" s="990"/>
      <c r="R460" s="990"/>
      <c r="S460" s="990"/>
      <c r="T460" s="990"/>
      <c r="U460" s="990"/>
      <c r="V460" s="990"/>
      <c r="W460" s="990"/>
      <c r="X460" s="990"/>
    </row>
    <row r="461" spans="1:24" s="896" customFormat="1">
      <c r="A461" s="987">
        <f t="shared" si="8"/>
        <v>387</v>
      </c>
      <c r="B461" s="988">
        <v>549</v>
      </c>
      <c r="C461" s="899" t="s">
        <v>9787</v>
      </c>
      <c r="D461" s="988" t="s">
        <v>2669</v>
      </c>
      <c r="E461" s="989">
        <v>61.33</v>
      </c>
      <c r="F461" s="990"/>
      <c r="G461" s="990"/>
      <c r="H461" s="990"/>
      <c r="I461" s="990"/>
      <c r="J461" s="990"/>
      <c r="K461" s="990"/>
      <c r="L461" s="990"/>
      <c r="M461" s="990"/>
      <c r="N461" s="990"/>
      <c r="O461" s="990"/>
      <c r="P461" s="990"/>
      <c r="Q461" s="990"/>
      <c r="R461" s="990"/>
      <c r="S461" s="990"/>
      <c r="T461" s="990"/>
      <c r="U461" s="990"/>
      <c r="V461" s="990"/>
      <c r="W461" s="990"/>
      <c r="X461" s="990"/>
    </row>
    <row r="462" spans="1:24" s="896" customFormat="1">
      <c r="A462" s="987">
        <f t="shared" si="8"/>
        <v>388</v>
      </c>
      <c r="B462" s="988">
        <v>551</v>
      </c>
      <c r="C462" s="899" t="s">
        <v>9788</v>
      </c>
      <c r="D462" s="988" t="s">
        <v>2669</v>
      </c>
      <c r="E462" s="989">
        <v>121.45</v>
      </c>
      <c r="F462" s="990"/>
      <c r="G462" s="990"/>
      <c r="H462" s="990"/>
      <c r="I462" s="990"/>
      <c r="J462" s="990"/>
      <c r="K462" s="990"/>
      <c r="L462" s="990"/>
      <c r="M462" s="990"/>
      <c r="N462" s="990"/>
      <c r="O462" s="990"/>
      <c r="P462" s="990"/>
      <c r="Q462" s="990"/>
      <c r="R462" s="990"/>
      <c r="S462" s="990"/>
      <c r="T462" s="990"/>
      <c r="U462" s="990"/>
      <c r="V462" s="990"/>
      <c r="W462" s="990"/>
      <c r="X462" s="990"/>
    </row>
    <row r="463" spans="1:24" s="896" customFormat="1">
      <c r="A463" s="987">
        <f t="shared" si="8"/>
        <v>389</v>
      </c>
      <c r="B463" s="988">
        <v>559</v>
      </c>
      <c r="C463" s="899" t="s">
        <v>9789</v>
      </c>
      <c r="D463" s="988" t="s">
        <v>2669</v>
      </c>
      <c r="E463" s="989">
        <v>30.36</v>
      </c>
      <c r="F463" s="990"/>
      <c r="G463" s="990"/>
      <c r="H463" s="990"/>
      <c r="I463" s="990"/>
      <c r="J463" s="990"/>
      <c r="K463" s="990"/>
      <c r="L463" s="990"/>
      <c r="M463" s="990"/>
      <c r="N463" s="990"/>
      <c r="O463" s="990"/>
      <c r="P463" s="990"/>
      <c r="Q463" s="990"/>
      <c r="R463" s="990"/>
      <c r="S463" s="990"/>
      <c r="T463" s="990"/>
      <c r="U463" s="990"/>
      <c r="V463" s="990"/>
      <c r="W463" s="990"/>
      <c r="X463" s="990"/>
    </row>
    <row r="464" spans="1:24" s="896" customFormat="1">
      <c r="A464" s="987">
        <f t="shared" si="8"/>
        <v>390</v>
      </c>
      <c r="B464" s="988">
        <v>560</v>
      </c>
      <c r="C464" s="899" t="s">
        <v>9790</v>
      </c>
      <c r="D464" s="988" t="s">
        <v>2669</v>
      </c>
      <c r="E464" s="989">
        <v>37.979999999999997</v>
      </c>
      <c r="F464" s="990"/>
      <c r="G464" s="990"/>
      <c r="H464" s="990"/>
      <c r="I464" s="990"/>
      <c r="J464" s="990"/>
      <c r="K464" s="990"/>
      <c r="L464" s="990"/>
      <c r="M464" s="990"/>
      <c r="N464" s="990"/>
      <c r="O464" s="990"/>
      <c r="P464" s="990"/>
      <c r="Q464" s="990"/>
      <c r="R464" s="990"/>
      <c r="S464" s="990"/>
      <c r="T464" s="990"/>
      <c r="U464" s="990"/>
      <c r="V464" s="990"/>
      <c r="W464" s="990"/>
      <c r="X464" s="990"/>
    </row>
    <row r="465" spans="1:24" s="896" customFormat="1">
      <c r="A465" s="987">
        <f t="shared" si="8"/>
        <v>391</v>
      </c>
      <c r="B465" s="988">
        <v>547</v>
      </c>
      <c r="C465" s="899" t="s">
        <v>9791</v>
      </c>
      <c r="D465" s="988" t="s">
        <v>2669</v>
      </c>
      <c r="E465" s="989">
        <v>45.48</v>
      </c>
      <c r="F465" s="990"/>
      <c r="G465" s="990"/>
      <c r="H465" s="990"/>
      <c r="I465" s="990"/>
      <c r="J465" s="990"/>
      <c r="K465" s="990"/>
      <c r="L465" s="990"/>
      <c r="M465" s="990"/>
      <c r="N465" s="990"/>
      <c r="O465" s="990"/>
      <c r="P465" s="990"/>
      <c r="Q465" s="990"/>
      <c r="R465" s="990"/>
      <c r="S465" s="990"/>
      <c r="T465" s="990"/>
      <c r="U465" s="990"/>
      <c r="V465" s="990"/>
      <c r="W465" s="990"/>
      <c r="X465" s="990"/>
    </row>
    <row r="466" spans="1:24" s="896" customFormat="1" ht="25.5">
      <c r="A466" s="987">
        <f t="shared" si="8"/>
        <v>392</v>
      </c>
      <c r="B466" s="988">
        <v>38127</v>
      </c>
      <c r="C466" s="899" t="s">
        <v>9792</v>
      </c>
      <c r="D466" s="988" t="s">
        <v>2666</v>
      </c>
      <c r="E466" s="989">
        <v>333.09</v>
      </c>
      <c r="F466" s="990"/>
      <c r="G466" s="990"/>
      <c r="H466" s="990"/>
      <c r="I466" s="990"/>
      <c r="J466" s="990"/>
      <c r="K466" s="990"/>
      <c r="L466" s="990"/>
      <c r="M466" s="990"/>
      <c r="N466" s="990"/>
      <c r="O466" s="990"/>
      <c r="P466" s="990"/>
      <c r="Q466" s="990"/>
      <c r="R466" s="990"/>
      <c r="S466" s="990"/>
      <c r="T466" s="990"/>
      <c r="U466" s="990"/>
      <c r="V466" s="990"/>
      <c r="W466" s="990"/>
      <c r="X466" s="990"/>
    </row>
    <row r="467" spans="1:24" s="896" customFormat="1">
      <c r="A467" s="987">
        <f t="shared" si="8"/>
        <v>393</v>
      </c>
      <c r="B467" s="988">
        <v>38060</v>
      </c>
      <c r="C467" s="899" t="s">
        <v>9793</v>
      </c>
      <c r="D467" s="988" t="s">
        <v>2666</v>
      </c>
      <c r="E467" s="989">
        <v>59.44</v>
      </c>
      <c r="F467" s="990"/>
      <c r="G467" s="990"/>
      <c r="H467" s="990"/>
      <c r="I467" s="990"/>
      <c r="J467" s="990"/>
      <c r="K467" s="990"/>
      <c r="L467" s="990"/>
      <c r="M467" s="990"/>
      <c r="N467" s="990"/>
      <c r="O467" s="990"/>
      <c r="P467" s="990"/>
      <c r="Q467" s="990"/>
      <c r="R467" s="990"/>
      <c r="S467" s="990"/>
      <c r="T467" s="990"/>
      <c r="U467" s="990"/>
      <c r="V467" s="990"/>
      <c r="W467" s="990"/>
      <c r="X467" s="990"/>
    </row>
    <row r="468" spans="1:24" s="896" customFormat="1">
      <c r="A468" s="987">
        <f t="shared" si="8"/>
        <v>394</v>
      </c>
      <c r="B468" s="988">
        <v>10956</v>
      </c>
      <c r="C468" s="899" t="s">
        <v>9794</v>
      </c>
      <c r="D468" s="988" t="s">
        <v>2666</v>
      </c>
      <c r="E468" s="989">
        <v>65.180000000000007</v>
      </c>
      <c r="F468" s="990"/>
      <c r="G468" s="990"/>
      <c r="H468" s="990"/>
      <c r="I468" s="990"/>
      <c r="J468" s="990"/>
      <c r="K468" s="990"/>
      <c r="L468" s="990"/>
      <c r="M468" s="990"/>
      <c r="N468" s="990"/>
      <c r="O468" s="990"/>
      <c r="P468" s="990"/>
      <c r="Q468" s="990"/>
      <c r="R468" s="990"/>
      <c r="S468" s="990"/>
      <c r="T468" s="990"/>
      <c r="U468" s="990"/>
      <c r="V468" s="990"/>
      <c r="W468" s="990"/>
      <c r="X468" s="990"/>
    </row>
    <row r="469" spans="1:24" s="896" customFormat="1">
      <c r="A469" s="987">
        <f t="shared" si="8"/>
        <v>395</v>
      </c>
      <c r="B469" s="988">
        <v>39380</v>
      </c>
      <c r="C469" s="899" t="s">
        <v>9795</v>
      </c>
      <c r="D469" s="988" t="s">
        <v>2666</v>
      </c>
      <c r="E469" s="989">
        <v>25.28</v>
      </c>
      <c r="F469" s="990"/>
      <c r="G469" s="990"/>
      <c r="H469" s="990"/>
      <c r="I469" s="990"/>
      <c r="J469" s="990"/>
      <c r="K469" s="990"/>
      <c r="L469" s="990"/>
      <c r="M469" s="990"/>
      <c r="N469" s="990"/>
      <c r="O469" s="990"/>
      <c r="P469" s="990"/>
      <c r="Q469" s="990"/>
      <c r="R469" s="990"/>
      <c r="S469" s="990"/>
      <c r="T469" s="990"/>
      <c r="U469" s="990"/>
      <c r="V469" s="990"/>
      <c r="W469" s="990"/>
      <c r="X469" s="990"/>
    </row>
    <row r="470" spans="1:24" s="896" customFormat="1">
      <c r="A470" s="987">
        <f t="shared" si="8"/>
        <v>396</v>
      </c>
      <c r="B470" s="988">
        <v>44172</v>
      </c>
      <c r="C470" s="899" t="s">
        <v>9796</v>
      </c>
      <c r="D470" s="988" t="s">
        <v>2666</v>
      </c>
      <c r="E470" s="989">
        <v>7.24</v>
      </c>
      <c r="F470" s="990"/>
      <c r="G470" s="990"/>
      <c r="H470" s="990"/>
      <c r="I470" s="990"/>
      <c r="J470" s="990"/>
      <c r="K470" s="990"/>
      <c r="L470" s="990"/>
      <c r="M470" s="990"/>
      <c r="N470" s="990"/>
      <c r="O470" s="990"/>
      <c r="P470" s="990"/>
      <c r="Q470" s="990"/>
      <c r="R470" s="990"/>
      <c r="S470" s="990"/>
      <c r="T470" s="990"/>
      <c r="U470" s="990"/>
      <c r="V470" s="990"/>
      <c r="W470" s="990"/>
      <c r="X470" s="990"/>
    </row>
    <row r="471" spans="1:24" s="896" customFormat="1">
      <c r="A471" s="987">
        <f t="shared" si="8"/>
        <v>397</v>
      </c>
      <c r="B471" s="988">
        <v>37597</v>
      </c>
      <c r="C471" s="899" t="s">
        <v>9797</v>
      </c>
      <c r="D471" s="988" t="s">
        <v>2666</v>
      </c>
      <c r="E471" s="989">
        <v>619421.87</v>
      </c>
      <c r="F471" s="990"/>
      <c r="G471" s="990"/>
      <c r="H471" s="990"/>
      <c r="I471" s="990"/>
      <c r="J471" s="990"/>
      <c r="K471" s="990"/>
      <c r="L471" s="990"/>
      <c r="M471" s="990"/>
      <c r="N471" s="990"/>
      <c r="O471" s="990"/>
      <c r="P471" s="990"/>
      <c r="Q471" s="990"/>
      <c r="R471" s="990"/>
      <c r="S471" s="990"/>
      <c r="T471" s="990"/>
      <c r="U471" s="990"/>
      <c r="V471" s="990"/>
      <c r="W471" s="990"/>
      <c r="X471" s="990"/>
    </row>
    <row r="472" spans="1:24" s="896" customFormat="1" ht="51">
      <c r="A472" s="987">
        <f t="shared" si="8"/>
        <v>398</v>
      </c>
      <c r="B472" s="988">
        <v>183</v>
      </c>
      <c r="C472" s="899" t="s">
        <v>9798</v>
      </c>
      <c r="D472" s="988" t="s">
        <v>2674</v>
      </c>
      <c r="E472" s="989">
        <v>218.45</v>
      </c>
      <c r="F472" s="990"/>
      <c r="G472" s="990"/>
      <c r="H472" s="990"/>
      <c r="I472" s="990"/>
      <c r="J472" s="990"/>
      <c r="K472" s="990"/>
      <c r="L472" s="990"/>
      <c r="M472" s="990"/>
      <c r="N472" s="990"/>
      <c r="O472" s="990"/>
      <c r="P472" s="990"/>
      <c r="Q472" s="990"/>
      <c r="R472" s="990"/>
      <c r="S472" s="990"/>
      <c r="T472" s="990"/>
      <c r="U472" s="990"/>
      <c r="V472" s="990"/>
      <c r="W472" s="990"/>
      <c r="X472" s="990"/>
    </row>
    <row r="473" spans="1:24" s="896" customFormat="1" ht="38.25">
      <c r="A473" s="987">
        <f t="shared" si="8"/>
        <v>399</v>
      </c>
      <c r="B473" s="988">
        <v>184</v>
      </c>
      <c r="C473" s="899" t="s">
        <v>9799</v>
      </c>
      <c r="D473" s="988" t="s">
        <v>2674</v>
      </c>
      <c r="E473" s="989">
        <v>135.29</v>
      </c>
      <c r="F473" s="990"/>
      <c r="G473" s="990"/>
      <c r="H473" s="990"/>
      <c r="I473" s="990"/>
      <c r="J473" s="990"/>
      <c r="K473" s="990"/>
      <c r="L473" s="990"/>
      <c r="M473" s="990"/>
      <c r="N473" s="990"/>
      <c r="O473" s="990"/>
      <c r="P473" s="990"/>
      <c r="Q473" s="990"/>
      <c r="R473" s="990"/>
      <c r="S473" s="990"/>
      <c r="T473" s="990"/>
      <c r="U473" s="990"/>
      <c r="V473" s="990"/>
      <c r="W473" s="990"/>
      <c r="X473" s="990"/>
    </row>
    <row r="474" spans="1:24" s="896" customFormat="1" ht="51">
      <c r="A474" s="987">
        <f t="shared" si="8"/>
        <v>400</v>
      </c>
      <c r="B474" s="988">
        <v>181</v>
      </c>
      <c r="C474" s="899" t="s">
        <v>9800</v>
      </c>
      <c r="D474" s="988" t="s">
        <v>2674</v>
      </c>
      <c r="E474" s="989">
        <v>291.73</v>
      </c>
      <c r="F474" s="990"/>
      <c r="G474" s="990"/>
      <c r="H474" s="990"/>
      <c r="I474" s="990"/>
      <c r="J474" s="990"/>
      <c r="K474" s="990"/>
      <c r="L474" s="990"/>
      <c r="M474" s="990"/>
      <c r="N474" s="990"/>
      <c r="O474" s="990"/>
      <c r="P474" s="990"/>
      <c r="Q474" s="990"/>
      <c r="R474" s="990"/>
      <c r="S474" s="990"/>
      <c r="T474" s="990"/>
      <c r="U474" s="990"/>
      <c r="V474" s="990"/>
      <c r="W474" s="990"/>
      <c r="X474" s="990"/>
    </row>
    <row r="475" spans="1:24" s="896" customFormat="1" ht="38.25">
      <c r="A475" s="987">
        <f t="shared" si="8"/>
        <v>401</v>
      </c>
      <c r="B475" s="988">
        <v>20001</v>
      </c>
      <c r="C475" s="899" t="s">
        <v>9801</v>
      </c>
      <c r="D475" s="988" t="s">
        <v>2674</v>
      </c>
      <c r="E475" s="989">
        <v>169.12</v>
      </c>
      <c r="F475" s="990"/>
      <c r="G475" s="990"/>
      <c r="H475" s="990"/>
      <c r="I475" s="990"/>
      <c r="J475" s="990"/>
      <c r="K475" s="990"/>
      <c r="L475" s="990"/>
      <c r="M475" s="990"/>
      <c r="N475" s="990"/>
      <c r="O475" s="990"/>
      <c r="P475" s="990"/>
      <c r="Q475" s="990"/>
      <c r="R475" s="990"/>
      <c r="S475" s="990"/>
      <c r="T475" s="990"/>
      <c r="U475" s="990"/>
      <c r="V475" s="990"/>
      <c r="W475" s="990"/>
      <c r="X475" s="990"/>
    </row>
    <row r="476" spans="1:24" s="896" customFormat="1" ht="25.5">
      <c r="A476" s="987">
        <f t="shared" si="8"/>
        <v>402</v>
      </c>
      <c r="B476" s="988">
        <v>39837</v>
      </c>
      <c r="C476" s="899" t="s">
        <v>9802</v>
      </c>
      <c r="D476" s="988" t="s">
        <v>2674</v>
      </c>
      <c r="E476" s="989">
        <v>304.83</v>
      </c>
      <c r="F476" s="990"/>
      <c r="G476" s="990"/>
      <c r="H476" s="990"/>
      <c r="I476" s="990"/>
      <c r="J476" s="990"/>
      <c r="K476" s="990"/>
      <c r="L476" s="990"/>
      <c r="M476" s="990"/>
      <c r="N476" s="990"/>
      <c r="O476" s="990"/>
      <c r="P476" s="990"/>
      <c r="Q476" s="990"/>
      <c r="R476" s="990"/>
      <c r="S476" s="990"/>
      <c r="T476" s="990"/>
      <c r="U476" s="990"/>
      <c r="V476" s="990"/>
      <c r="W476" s="990"/>
      <c r="X476" s="990"/>
    </row>
    <row r="477" spans="1:24" s="896" customFormat="1">
      <c r="A477" s="987">
        <f t="shared" si="8"/>
        <v>403</v>
      </c>
      <c r="B477" s="988">
        <v>43366</v>
      </c>
      <c r="C477" s="899" t="s">
        <v>9803</v>
      </c>
      <c r="D477" s="988" t="s">
        <v>2670</v>
      </c>
      <c r="E477" s="989">
        <v>1.42</v>
      </c>
      <c r="F477" s="990"/>
      <c r="G477" s="990"/>
      <c r="H477" s="990"/>
      <c r="I477" s="990"/>
      <c r="J477" s="990"/>
      <c r="K477" s="990"/>
      <c r="L477" s="990"/>
      <c r="M477" s="990"/>
      <c r="N477" s="990"/>
      <c r="O477" s="990"/>
      <c r="P477" s="990"/>
      <c r="Q477" s="990"/>
      <c r="R477" s="990"/>
      <c r="S477" s="990"/>
      <c r="T477" s="990"/>
      <c r="U477" s="990"/>
      <c r="V477" s="990"/>
      <c r="W477" s="990"/>
      <c r="X477" s="990"/>
    </row>
    <row r="478" spans="1:24" s="896" customFormat="1" ht="25.5">
      <c r="A478" s="987">
        <f t="shared" si="8"/>
        <v>404</v>
      </c>
      <c r="B478" s="988">
        <v>10535</v>
      </c>
      <c r="C478" s="899" t="s">
        <v>9804</v>
      </c>
      <c r="D478" s="988" t="s">
        <v>2666</v>
      </c>
      <c r="E478" s="989">
        <v>4785</v>
      </c>
      <c r="F478" s="990"/>
      <c r="G478" s="990"/>
      <c r="H478" s="990"/>
      <c r="I478" s="990"/>
      <c r="J478" s="990"/>
      <c r="K478" s="990"/>
      <c r="L478" s="990"/>
      <c r="M478" s="990"/>
      <c r="N478" s="990"/>
      <c r="O478" s="990"/>
      <c r="P478" s="990"/>
      <c r="Q478" s="990"/>
      <c r="R478" s="990"/>
      <c r="S478" s="990"/>
      <c r="T478" s="990"/>
      <c r="U478" s="990"/>
      <c r="V478" s="990"/>
      <c r="W478" s="990"/>
      <c r="X478" s="990"/>
    </row>
    <row r="479" spans="1:24" s="896" customFormat="1" ht="25.5">
      <c r="A479" s="987">
        <f t="shared" si="8"/>
        <v>405</v>
      </c>
      <c r="B479" s="988">
        <v>10537</v>
      </c>
      <c r="C479" s="899" t="s">
        <v>9805</v>
      </c>
      <c r="D479" s="988" t="s">
        <v>2666</v>
      </c>
      <c r="E479" s="989">
        <v>6525.44</v>
      </c>
      <c r="F479" s="990"/>
      <c r="G479" s="990"/>
      <c r="H479" s="990"/>
      <c r="I479" s="990"/>
      <c r="J479" s="990"/>
      <c r="K479" s="990"/>
      <c r="L479" s="990"/>
      <c r="M479" s="990"/>
      <c r="N479" s="990"/>
      <c r="O479" s="990"/>
      <c r="P479" s="990"/>
      <c r="Q479" s="990"/>
      <c r="R479" s="990"/>
      <c r="S479" s="990"/>
      <c r="T479" s="990"/>
      <c r="U479" s="990"/>
      <c r="V479" s="990"/>
      <c r="W479" s="990"/>
      <c r="X479" s="990"/>
    </row>
    <row r="480" spans="1:24" s="896" customFormat="1" ht="25.5">
      <c r="A480" s="987">
        <f t="shared" si="8"/>
        <v>406</v>
      </c>
      <c r="B480" s="988">
        <v>13891</v>
      </c>
      <c r="C480" s="899" t="s">
        <v>9806</v>
      </c>
      <c r="D480" s="988" t="s">
        <v>2666</v>
      </c>
      <c r="E480" s="989">
        <v>5985.3</v>
      </c>
      <c r="F480" s="990"/>
      <c r="G480" s="990"/>
      <c r="H480" s="990"/>
      <c r="I480" s="990"/>
      <c r="J480" s="990"/>
      <c r="K480" s="990"/>
      <c r="L480" s="990"/>
      <c r="M480" s="990"/>
      <c r="N480" s="990"/>
      <c r="O480" s="990"/>
      <c r="P480" s="990"/>
      <c r="Q480" s="990"/>
      <c r="R480" s="990"/>
      <c r="S480" s="990"/>
      <c r="T480" s="990"/>
      <c r="U480" s="990"/>
      <c r="V480" s="990"/>
      <c r="W480" s="990"/>
      <c r="X480" s="990"/>
    </row>
    <row r="481" spans="1:24" s="896" customFormat="1" ht="25.5">
      <c r="A481" s="987">
        <f t="shared" si="8"/>
        <v>407</v>
      </c>
      <c r="B481" s="988">
        <v>44492</v>
      </c>
      <c r="C481" s="899" t="s">
        <v>9807</v>
      </c>
      <c r="D481" s="988" t="s">
        <v>2666</v>
      </c>
      <c r="E481" s="989">
        <v>26033.64</v>
      </c>
      <c r="F481" s="990"/>
      <c r="G481" s="990"/>
      <c r="H481" s="990"/>
      <c r="I481" s="990"/>
      <c r="J481" s="990"/>
      <c r="K481" s="990"/>
      <c r="L481" s="990"/>
      <c r="M481" s="990"/>
      <c r="N481" s="990"/>
      <c r="O481" s="990"/>
      <c r="P481" s="990"/>
      <c r="Q481" s="990"/>
      <c r="R481" s="990"/>
      <c r="S481" s="990"/>
      <c r="T481" s="990"/>
      <c r="U481" s="990"/>
      <c r="V481" s="990"/>
      <c r="W481" s="990"/>
      <c r="X481" s="990"/>
    </row>
    <row r="482" spans="1:24" s="896" customFormat="1" ht="25.5">
      <c r="A482" s="987">
        <f t="shared" si="8"/>
        <v>408</v>
      </c>
      <c r="B482" s="988">
        <v>36396</v>
      </c>
      <c r="C482" s="899" t="s">
        <v>9808</v>
      </c>
      <c r="D482" s="988" t="s">
        <v>2666</v>
      </c>
      <c r="E482" s="989">
        <v>5474.36</v>
      </c>
      <c r="F482" s="990"/>
      <c r="G482" s="990"/>
      <c r="H482" s="990"/>
      <c r="I482" s="990"/>
      <c r="J482" s="990"/>
      <c r="K482" s="990"/>
      <c r="L482" s="990"/>
      <c r="M482" s="990"/>
      <c r="N482" s="990"/>
      <c r="O482" s="990"/>
      <c r="P482" s="990"/>
      <c r="Q482" s="990"/>
      <c r="R482" s="990"/>
      <c r="S482" s="990"/>
      <c r="T482" s="990"/>
      <c r="U482" s="990"/>
      <c r="V482" s="990"/>
      <c r="W482" s="990"/>
      <c r="X482" s="990"/>
    </row>
    <row r="483" spans="1:24" s="896" customFormat="1" ht="25.5">
      <c r="A483" s="987">
        <f t="shared" si="8"/>
        <v>409</v>
      </c>
      <c r="B483" s="988">
        <v>36397</v>
      </c>
      <c r="C483" s="899" t="s">
        <v>9809</v>
      </c>
      <c r="D483" s="988" t="s">
        <v>2666</v>
      </c>
      <c r="E483" s="989">
        <v>19464.400000000001</v>
      </c>
      <c r="F483" s="990"/>
      <c r="G483" s="990"/>
      <c r="H483" s="990"/>
      <c r="I483" s="990"/>
      <c r="J483" s="990"/>
      <c r="K483" s="990"/>
      <c r="L483" s="990"/>
      <c r="M483" s="990"/>
      <c r="N483" s="990"/>
      <c r="O483" s="990"/>
      <c r="P483" s="990"/>
      <c r="Q483" s="990"/>
      <c r="R483" s="990"/>
      <c r="S483" s="990"/>
      <c r="T483" s="990"/>
      <c r="U483" s="990"/>
      <c r="V483" s="990"/>
      <c r="W483" s="990"/>
      <c r="X483" s="990"/>
    </row>
    <row r="484" spans="1:24" s="896" customFormat="1" ht="25.5">
      <c r="A484" s="987">
        <f t="shared" si="8"/>
        <v>410</v>
      </c>
      <c r="B484" s="988">
        <v>36398</v>
      </c>
      <c r="C484" s="899" t="s">
        <v>9810</v>
      </c>
      <c r="D484" s="988" t="s">
        <v>2666</v>
      </c>
      <c r="E484" s="989">
        <v>23657.360000000001</v>
      </c>
      <c r="F484" s="990"/>
      <c r="G484" s="990"/>
      <c r="H484" s="990"/>
      <c r="I484" s="990"/>
      <c r="J484" s="990"/>
      <c r="K484" s="990"/>
      <c r="L484" s="990"/>
      <c r="M484" s="990"/>
      <c r="N484" s="990"/>
      <c r="O484" s="990"/>
      <c r="P484" s="990"/>
      <c r="Q484" s="990"/>
      <c r="R484" s="990"/>
      <c r="S484" s="990"/>
      <c r="T484" s="990"/>
      <c r="U484" s="990"/>
      <c r="V484" s="990"/>
      <c r="W484" s="990"/>
      <c r="X484" s="990"/>
    </row>
    <row r="485" spans="1:24" s="896" customFormat="1">
      <c r="A485" s="987">
        <f t="shared" si="8"/>
        <v>411</v>
      </c>
      <c r="B485" s="988">
        <v>647</v>
      </c>
      <c r="C485" s="899" t="s">
        <v>9811</v>
      </c>
      <c r="D485" s="988" t="s">
        <v>2665</v>
      </c>
      <c r="E485" s="989">
        <v>21.05</v>
      </c>
      <c r="F485" s="990"/>
      <c r="G485" s="990"/>
      <c r="H485" s="990"/>
      <c r="I485" s="990"/>
      <c r="J485" s="990"/>
      <c r="K485" s="990"/>
      <c r="L485" s="990"/>
      <c r="M485" s="990"/>
      <c r="N485" s="990"/>
      <c r="O485" s="990"/>
      <c r="P485" s="990"/>
      <c r="Q485" s="990"/>
      <c r="R485" s="990"/>
      <c r="S485" s="990"/>
      <c r="T485" s="990"/>
      <c r="U485" s="990"/>
      <c r="V485" s="990"/>
      <c r="W485" s="990"/>
      <c r="X485" s="990"/>
    </row>
    <row r="486" spans="1:24" s="896" customFormat="1">
      <c r="A486" s="987">
        <f t="shared" si="8"/>
        <v>412</v>
      </c>
      <c r="B486" s="988">
        <v>40920</v>
      </c>
      <c r="C486" s="899" t="s">
        <v>9812</v>
      </c>
      <c r="D486" s="988" t="s">
        <v>2672</v>
      </c>
      <c r="E486" s="989">
        <v>3703.81</v>
      </c>
      <c r="F486" s="990"/>
      <c r="G486" s="990"/>
      <c r="H486" s="990"/>
      <c r="I486" s="990"/>
      <c r="J486" s="990"/>
      <c r="K486" s="990"/>
      <c r="L486" s="990"/>
      <c r="M486" s="990"/>
      <c r="N486" s="990"/>
      <c r="O486" s="990"/>
      <c r="P486" s="990"/>
      <c r="Q486" s="990"/>
      <c r="R486" s="990"/>
      <c r="S486" s="990"/>
      <c r="T486" s="990"/>
      <c r="U486" s="990"/>
      <c r="V486" s="990"/>
      <c r="W486" s="990"/>
      <c r="X486" s="990"/>
    </row>
    <row r="487" spans="1:24" s="896" customFormat="1">
      <c r="A487" s="987">
        <f t="shared" si="8"/>
        <v>413</v>
      </c>
      <c r="B487" s="988">
        <v>715</v>
      </c>
      <c r="C487" s="899" t="s">
        <v>9813</v>
      </c>
      <c r="D487" s="988" t="s">
        <v>2666</v>
      </c>
      <c r="E487" s="989">
        <v>19.899999999999999</v>
      </c>
      <c r="F487" s="990"/>
      <c r="G487" s="990"/>
      <c r="H487" s="990"/>
      <c r="I487" s="990"/>
      <c r="J487" s="990"/>
      <c r="K487" s="990"/>
      <c r="L487" s="990"/>
      <c r="M487" s="990"/>
      <c r="N487" s="990"/>
      <c r="O487" s="990"/>
      <c r="P487" s="990"/>
      <c r="Q487" s="990"/>
      <c r="R487" s="990"/>
      <c r="S487" s="990"/>
      <c r="T487" s="990"/>
      <c r="U487" s="990"/>
      <c r="V487" s="990"/>
      <c r="W487" s="990"/>
      <c r="X487" s="990"/>
    </row>
    <row r="488" spans="1:24" s="896" customFormat="1">
      <c r="A488" s="987">
        <f t="shared" si="8"/>
        <v>414</v>
      </c>
      <c r="B488" s="988">
        <v>716</v>
      </c>
      <c r="C488" s="899" t="s">
        <v>9814</v>
      </c>
      <c r="D488" s="988" t="s">
        <v>2666</v>
      </c>
      <c r="E488" s="989">
        <v>22.5</v>
      </c>
      <c r="F488" s="990"/>
      <c r="G488" s="990"/>
      <c r="H488" s="990"/>
      <c r="I488" s="990"/>
      <c r="J488" s="990"/>
      <c r="K488" s="990"/>
      <c r="L488" s="990"/>
      <c r="M488" s="990"/>
      <c r="N488" s="990"/>
      <c r="O488" s="990"/>
      <c r="P488" s="990"/>
      <c r="Q488" s="990"/>
      <c r="R488" s="990"/>
      <c r="S488" s="990"/>
      <c r="T488" s="990"/>
      <c r="U488" s="990"/>
      <c r="V488" s="990"/>
      <c r="W488" s="990"/>
      <c r="X488" s="990"/>
    </row>
    <row r="489" spans="1:24" s="896" customFormat="1" ht="25.5">
      <c r="A489" s="987">
        <f t="shared" si="8"/>
        <v>415</v>
      </c>
      <c r="B489" s="988">
        <v>38783</v>
      </c>
      <c r="C489" s="899" t="s">
        <v>9815</v>
      </c>
      <c r="D489" s="988" t="s">
        <v>2666</v>
      </c>
      <c r="E489" s="989">
        <v>1.07</v>
      </c>
      <c r="F489" s="990"/>
      <c r="G489" s="990"/>
      <c r="H489" s="990"/>
      <c r="I489" s="990"/>
      <c r="J489" s="990"/>
      <c r="K489" s="990"/>
      <c r="L489" s="990"/>
      <c r="M489" s="990"/>
      <c r="N489" s="990"/>
      <c r="O489" s="990"/>
      <c r="P489" s="990"/>
      <c r="Q489" s="990"/>
      <c r="R489" s="990"/>
      <c r="S489" s="990"/>
      <c r="T489" s="990"/>
      <c r="U489" s="990"/>
      <c r="V489" s="990"/>
      <c r="W489" s="990"/>
      <c r="X489" s="990"/>
    </row>
    <row r="490" spans="1:24" s="896" customFormat="1" ht="25.5">
      <c r="A490" s="987">
        <f t="shared" si="8"/>
        <v>416</v>
      </c>
      <c r="B490" s="988">
        <v>37593</v>
      </c>
      <c r="C490" s="899" t="s">
        <v>9816</v>
      </c>
      <c r="D490" s="988" t="s">
        <v>2666</v>
      </c>
      <c r="E490" s="989">
        <v>2.63</v>
      </c>
      <c r="F490" s="990"/>
      <c r="G490" s="990"/>
      <c r="H490" s="990"/>
      <c r="I490" s="990"/>
      <c r="J490" s="990"/>
      <c r="K490" s="990"/>
      <c r="L490" s="990"/>
      <c r="M490" s="990"/>
      <c r="N490" s="990"/>
      <c r="O490" s="990"/>
      <c r="P490" s="990"/>
      <c r="Q490" s="990"/>
      <c r="R490" s="990"/>
      <c r="S490" s="990"/>
      <c r="T490" s="990"/>
      <c r="U490" s="990"/>
      <c r="V490" s="990"/>
      <c r="W490" s="990"/>
      <c r="X490" s="990"/>
    </row>
    <row r="491" spans="1:24" s="896" customFormat="1" ht="25.5">
      <c r="A491" s="987">
        <f t="shared" si="8"/>
        <v>417</v>
      </c>
      <c r="B491" s="988">
        <v>37594</v>
      </c>
      <c r="C491" s="899" t="s">
        <v>9817</v>
      </c>
      <c r="D491" s="988" t="s">
        <v>2666</v>
      </c>
      <c r="E491" s="989">
        <v>3.27</v>
      </c>
      <c r="F491" s="990"/>
      <c r="G491" s="990"/>
      <c r="H491" s="990"/>
      <c r="I491" s="990"/>
      <c r="J491" s="990"/>
      <c r="K491" s="990"/>
      <c r="L491" s="990"/>
      <c r="M491" s="990"/>
      <c r="N491" s="990"/>
      <c r="O491" s="990"/>
      <c r="P491" s="990"/>
      <c r="Q491" s="990"/>
      <c r="R491" s="990"/>
      <c r="S491" s="990"/>
      <c r="T491" s="990"/>
      <c r="U491" s="990"/>
      <c r="V491" s="990"/>
      <c r="W491" s="990"/>
      <c r="X491" s="990"/>
    </row>
    <row r="492" spans="1:24" s="896" customFormat="1" ht="25.5">
      <c r="A492" s="987">
        <f t="shared" si="8"/>
        <v>418</v>
      </c>
      <c r="B492" s="988">
        <v>37592</v>
      </c>
      <c r="C492" s="899" t="s">
        <v>9818</v>
      </c>
      <c r="D492" s="988" t="s">
        <v>2666</v>
      </c>
      <c r="E492" s="989">
        <v>2.0699999999999998</v>
      </c>
      <c r="F492" s="990"/>
      <c r="G492" s="990"/>
      <c r="H492" s="990"/>
      <c r="I492" s="990"/>
      <c r="J492" s="990"/>
      <c r="K492" s="990"/>
      <c r="L492" s="990"/>
      <c r="M492" s="990"/>
      <c r="N492" s="990"/>
      <c r="O492" s="990"/>
      <c r="P492" s="990"/>
      <c r="Q492" s="990"/>
      <c r="R492" s="990"/>
      <c r="S492" s="990"/>
      <c r="T492" s="990"/>
      <c r="U492" s="990"/>
      <c r="V492" s="990"/>
      <c r="W492" s="990"/>
      <c r="X492" s="990"/>
    </row>
    <row r="493" spans="1:24" s="896" customFormat="1" ht="25.5">
      <c r="A493" s="987">
        <f t="shared" si="8"/>
        <v>419</v>
      </c>
      <c r="B493" s="988">
        <v>7270</v>
      </c>
      <c r="C493" s="899" t="s">
        <v>9819</v>
      </c>
      <c r="D493" s="988" t="s">
        <v>2666</v>
      </c>
      <c r="E493" s="989">
        <v>0.92</v>
      </c>
      <c r="F493" s="990"/>
      <c r="G493" s="990"/>
      <c r="H493" s="990"/>
      <c r="I493" s="990"/>
      <c r="J493" s="990"/>
      <c r="K493" s="990"/>
      <c r="L493" s="990"/>
      <c r="M493" s="990"/>
      <c r="N493" s="990"/>
      <c r="O493" s="990"/>
      <c r="P493" s="990"/>
      <c r="Q493" s="990"/>
      <c r="R493" s="990"/>
      <c r="S493" s="990"/>
      <c r="T493" s="990"/>
      <c r="U493" s="990"/>
      <c r="V493" s="990"/>
      <c r="W493" s="990"/>
      <c r="X493" s="990"/>
    </row>
    <row r="494" spans="1:24" s="896" customFormat="1" ht="25.5">
      <c r="A494" s="987">
        <f t="shared" si="8"/>
        <v>420</v>
      </c>
      <c r="B494" s="988">
        <v>7267</v>
      </c>
      <c r="C494" s="899" t="s">
        <v>9820</v>
      </c>
      <c r="D494" s="988" t="s">
        <v>2666</v>
      </c>
      <c r="E494" s="989">
        <v>0.72</v>
      </c>
      <c r="F494" s="990"/>
      <c r="G494" s="990"/>
      <c r="H494" s="990"/>
      <c r="I494" s="990"/>
      <c r="J494" s="990"/>
      <c r="K494" s="990"/>
      <c r="L494" s="990"/>
      <c r="M494" s="990"/>
      <c r="N494" s="990"/>
      <c r="O494" s="990"/>
      <c r="P494" s="990"/>
      <c r="Q494" s="990"/>
      <c r="R494" s="990"/>
      <c r="S494" s="990"/>
      <c r="T494" s="990"/>
      <c r="U494" s="990"/>
      <c r="V494" s="990"/>
      <c r="W494" s="990"/>
      <c r="X494" s="990"/>
    </row>
    <row r="495" spans="1:24" s="896" customFormat="1" ht="25.5">
      <c r="A495" s="987">
        <f t="shared" si="8"/>
        <v>421</v>
      </c>
      <c r="B495" s="988">
        <v>7271</v>
      </c>
      <c r="C495" s="899" t="s">
        <v>9821</v>
      </c>
      <c r="D495" s="988" t="s">
        <v>2666</v>
      </c>
      <c r="E495" s="989">
        <v>0.8</v>
      </c>
      <c r="F495" s="990"/>
      <c r="G495" s="990"/>
      <c r="H495" s="990"/>
      <c r="I495" s="990"/>
      <c r="J495" s="990"/>
      <c r="K495" s="990"/>
      <c r="L495" s="990"/>
      <c r="M495" s="990"/>
      <c r="N495" s="990"/>
      <c r="O495" s="990"/>
      <c r="P495" s="990"/>
      <c r="Q495" s="990"/>
      <c r="R495" s="990"/>
      <c r="S495" s="990"/>
      <c r="T495" s="990"/>
      <c r="U495" s="990"/>
      <c r="V495" s="990"/>
      <c r="W495" s="990"/>
      <c r="X495" s="990"/>
    </row>
    <row r="496" spans="1:24" s="896" customFormat="1" ht="25.5">
      <c r="A496" s="987">
        <f t="shared" si="8"/>
        <v>422</v>
      </c>
      <c r="B496" s="988">
        <v>7268</v>
      </c>
      <c r="C496" s="899" t="s">
        <v>9822</v>
      </c>
      <c r="D496" s="988" t="s">
        <v>2666</v>
      </c>
      <c r="E496" s="989">
        <v>1.1100000000000001</v>
      </c>
      <c r="F496" s="990"/>
      <c r="G496" s="990"/>
      <c r="H496" s="990"/>
      <c r="I496" s="990"/>
      <c r="J496" s="990"/>
      <c r="K496" s="990"/>
      <c r="L496" s="990"/>
      <c r="M496" s="990"/>
      <c r="N496" s="990"/>
      <c r="O496" s="990"/>
      <c r="P496" s="990"/>
      <c r="Q496" s="990"/>
      <c r="R496" s="990"/>
      <c r="S496" s="990"/>
      <c r="T496" s="990"/>
      <c r="U496" s="990"/>
      <c r="V496" s="990"/>
      <c r="W496" s="990"/>
      <c r="X496" s="990"/>
    </row>
    <row r="497" spans="1:24" s="896" customFormat="1">
      <c r="A497" s="987">
        <f t="shared" si="8"/>
        <v>423</v>
      </c>
      <c r="B497" s="988">
        <v>34556</v>
      </c>
      <c r="C497" s="899" t="s">
        <v>9823</v>
      </c>
      <c r="D497" s="988" t="s">
        <v>2666</v>
      </c>
      <c r="E497" s="989">
        <v>3.62</v>
      </c>
      <c r="F497" s="990"/>
      <c r="G497" s="990"/>
      <c r="H497" s="990"/>
      <c r="I497" s="990"/>
      <c r="J497" s="990"/>
      <c r="K497" s="990"/>
      <c r="L497" s="990"/>
      <c r="M497" s="990"/>
      <c r="N497" s="990"/>
      <c r="O497" s="990"/>
      <c r="P497" s="990"/>
      <c r="Q497" s="990"/>
      <c r="R497" s="990"/>
      <c r="S497" s="990"/>
      <c r="T497" s="990"/>
      <c r="U497" s="990"/>
      <c r="V497" s="990"/>
      <c r="W497" s="990"/>
      <c r="X497" s="990"/>
    </row>
    <row r="498" spans="1:24" s="896" customFormat="1">
      <c r="A498" s="987">
        <f t="shared" si="8"/>
        <v>424</v>
      </c>
      <c r="B498" s="988">
        <v>37873</v>
      </c>
      <c r="C498" s="899" t="s">
        <v>9824</v>
      </c>
      <c r="D498" s="988" t="s">
        <v>2666</v>
      </c>
      <c r="E498" s="989">
        <v>3.69</v>
      </c>
      <c r="F498" s="990"/>
      <c r="G498" s="990"/>
      <c r="H498" s="990"/>
      <c r="I498" s="990"/>
      <c r="J498" s="990"/>
      <c r="K498" s="990"/>
      <c r="L498" s="990"/>
      <c r="M498" s="990"/>
      <c r="N498" s="990"/>
      <c r="O498" s="990"/>
      <c r="P498" s="990"/>
      <c r="Q498" s="990"/>
      <c r="R498" s="990"/>
      <c r="S498" s="990"/>
      <c r="T498" s="990"/>
      <c r="U498" s="990"/>
      <c r="V498" s="990"/>
      <c r="W498" s="990"/>
      <c r="X498" s="990"/>
    </row>
    <row r="499" spans="1:24" s="896" customFormat="1">
      <c r="A499" s="987">
        <f t="shared" si="8"/>
        <v>425</v>
      </c>
      <c r="B499" s="988">
        <v>34564</v>
      </c>
      <c r="C499" s="899" t="s">
        <v>9825</v>
      </c>
      <c r="D499" s="988" t="s">
        <v>2666</v>
      </c>
      <c r="E499" s="989">
        <v>3.86</v>
      </c>
      <c r="F499" s="990"/>
      <c r="G499" s="990"/>
      <c r="H499" s="990"/>
      <c r="I499" s="990"/>
      <c r="J499" s="990"/>
      <c r="K499" s="990"/>
      <c r="L499" s="990"/>
      <c r="M499" s="990"/>
      <c r="N499" s="990"/>
      <c r="O499" s="990"/>
      <c r="P499" s="990"/>
      <c r="Q499" s="990"/>
      <c r="R499" s="990"/>
      <c r="S499" s="990"/>
      <c r="T499" s="990"/>
      <c r="U499" s="990"/>
      <c r="V499" s="990"/>
      <c r="W499" s="990"/>
      <c r="X499" s="990"/>
    </row>
    <row r="500" spans="1:24" s="896" customFormat="1">
      <c r="A500" s="987">
        <f t="shared" si="8"/>
        <v>426</v>
      </c>
      <c r="B500" s="988">
        <v>34565</v>
      </c>
      <c r="C500" s="899" t="s">
        <v>9826</v>
      </c>
      <c r="D500" s="988" t="s">
        <v>2666</v>
      </c>
      <c r="E500" s="989">
        <v>4.09</v>
      </c>
      <c r="F500" s="990"/>
      <c r="G500" s="990"/>
      <c r="H500" s="990"/>
      <c r="I500" s="990"/>
      <c r="J500" s="990"/>
      <c r="K500" s="990"/>
      <c r="L500" s="990"/>
      <c r="M500" s="990"/>
      <c r="N500" s="990"/>
      <c r="O500" s="990"/>
      <c r="P500" s="990"/>
      <c r="Q500" s="990"/>
      <c r="R500" s="990"/>
      <c r="S500" s="990"/>
      <c r="T500" s="990"/>
      <c r="U500" s="990"/>
      <c r="V500" s="990"/>
      <c r="W500" s="990"/>
      <c r="X500" s="990"/>
    </row>
    <row r="501" spans="1:24" s="896" customFormat="1">
      <c r="A501" s="987">
        <f t="shared" si="8"/>
        <v>427</v>
      </c>
      <c r="B501" s="988">
        <v>38590</v>
      </c>
      <c r="C501" s="899" t="s">
        <v>9827</v>
      </c>
      <c r="D501" s="988" t="s">
        <v>2666</v>
      </c>
      <c r="E501" s="989">
        <v>3.02</v>
      </c>
      <c r="F501" s="990"/>
      <c r="G501" s="990"/>
      <c r="H501" s="990"/>
      <c r="I501" s="990"/>
      <c r="J501" s="990"/>
      <c r="K501" s="990"/>
      <c r="L501" s="990"/>
      <c r="M501" s="990"/>
      <c r="N501" s="990"/>
      <c r="O501" s="990"/>
      <c r="P501" s="990"/>
      <c r="Q501" s="990"/>
      <c r="R501" s="990"/>
      <c r="S501" s="990"/>
      <c r="T501" s="990"/>
      <c r="U501" s="990"/>
      <c r="V501" s="990"/>
      <c r="W501" s="990"/>
      <c r="X501" s="990"/>
    </row>
    <row r="502" spans="1:24" s="896" customFormat="1">
      <c r="A502" s="987">
        <f t="shared" si="8"/>
        <v>428</v>
      </c>
      <c r="B502" s="988">
        <v>34566</v>
      </c>
      <c r="C502" s="899" t="s">
        <v>9828</v>
      </c>
      <c r="D502" s="988" t="s">
        <v>2666</v>
      </c>
      <c r="E502" s="989">
        <v>3.17</v>
      </c>
      <c r="F502" s="990"/>
      <c r="G502" s="990"/>
      <c r="H502" s="990"/>
      <c r="I502" s="990"/>
      <c r="J502" s="990"/>
      <c r="K502" s="990"/>
      <c r="L502" s="990"/>
      <c r="M502" s="990"/>
      <c r="N502" s="990"/>
      <c r="O502" s="990"/>
      <c r="P502" s="990"/>
      <c r="Q502" s="990"/>
      <c r="R502" s="990"/>
      <c r="S502" s="990"/>
      <c r="T502" s="990"/>
      <c r="U502" s="990"/>
      <c r="V502" s="990"/>
      <c r="W502" s="990"/>
      <c r="X502" s="990"/>
    </row>
    <row r="503" spans="1:24" s="896" customFormat="1">
      <c r="A503" s="987">
        <f t="shared" si="8"/>
        <v>429</v>
      </c>
      <c r="B503" s="988">
        <v>34567</v>
      </c>
      <c r="C503" s="899" t="s">
        <v>9829</v>
      </c>
      <c r="D503" s="988" t="s">
        <v>2666</v>
      </c>
      <c r="E503" s="989">
        <v>3.36</v>
      </c>
      <c r="F503" s="990"/>
      <c r="G503" s="990"/>
      <c r="H503" s="990"/>
      <c r="I503" s="990"/>
      <c r="J503" s="990"/>
      <c r="K503" s="990"/>
      <c r="L503" s="990"/>
      <c r="M503" s="990"/>
      <c r="N503" s="990"/>
      <c r="O503" s="990"/>
      <c r="P503" s="990"/>
      <c r="Q503" s="990"/>
      <c r="R503" s="990"/>
      <c r="S503" s="990"/>
      <c r="T503" s="990"/>
      <c r="U503" s="990"/>
      <c r="V503" s="990"/>
      <c r="W503" s="990"/>
      <c r="X503" s="990"/>
    </row>
    <row r="504" spans="1:24" s="896" customFormat="1">
      <c r="A504" s="987">
        <f t="shared" si="8"/>
        <v>430</v>
      </c>
      <c r="B504" s="988">
        <v>38591</v>
      </c>
      <c r="C504" s="899" t="s">
        <v>9830</v>
      </c>
      <c r="D504" s="988" t="s">
        <v>2666</v>
      </c>
      <c r="E504" s="989">
        <v>3.05</v>
      </c>
      <c r="F504" s="990"/>
      <c r="G504" s="990"/>
      <c r="H504" s="990"/>
      <c r="I504" s="990"/>
      <c r="J504" s="990"/>
      <c r="K504" s="990"/>
      <c r="L504" s="990"/>
      <c r="M504" s="990"/>
      <c r="N504" s="990"/>
      <c r="O504" s="990"/>
      <c r="P504" s="990"/>
      <c r="Q504" s="990"/>
      <c r="R504" s="990"/>
      <c r="S504" s="990"/>
      <c r="T504" s="990"/>
      <c r="U504" s="990"/>
      <c r="V504" s="990"/>
      <c r="W504" s="990"/>
      <c r="X504" s="990"/>
    </row>
    <row r="505" spans="1:24" s="896" customFormat="1">
      <c r="A505" s="987">
        <f t="shared" si="8"/>
        <v>431</v>
      </c>
      <c r="B505" s="988">
        <v>34568</v>
      </c>
      <c r="C505" s="899" t="s">
        <v>9831</v>
      </c>
      <c r="D505" s="988" t="s">
        <v>2666</v>
      </c>
      <c r="E505" s="989">
        <v>3.97</v>
      </c>
      <c r="F505" s="990"/>
      <c r="G505" s="990"/>
      <c r="H505" s="990"/>
      <c r="I505" s="990"/>
      <c r="J505" s="990"/>
      <c r="K505" s="990"/>
      <c r="L505" s="990"/>
      <c r="M505" s="990"/>
      <c r="N505" s="990"/>
      <c r="O505" s="990"/>
      <c r="P505" s="990"/>
      <c r="Q505" s="990"/>
      <c r="R505" s="990"/>
      <c r="S505" s="990"/>
      <c r="T505" s="990"/>
      <c r="U505" s="990"/>
      <c r="V505" s="990"/>
      <c r="W505" s="990"/>
      <c r="X505" s="990"/>
    </row>
    <row r="506" spans="1:24" s="896" customFormat="1">
      <c r="A506" s="987">
        <f t="shared" si="8"/>
        <v>432</v>
      </c>
      <c r="B506" s="988">
        <v>34569</v>
      </c>
      <c r="C506" s="899" t="s">
        <v>9832</v>
      </c>
      <c r="D506" s="988" t="s">
        <v>2666</v>
      </c>
      <c r="E506" s="989">
        <v>4.09</v>
      </c>
      <c r="F506" s="990"/>
      <c r="G506" s="990"/>
      <c r="H506" s="990"/>
      <c r="I506" s="990"/>
      <c r="J506" s="990"/>
      <c r="K506" s="990"/>
      <c r="L506" s="990"/>
      <c r="M506" s="990"/>
      <c r="N506" s="990"/>
      <c r="O506" s="990"/>
      <c r="P506" s="990"/>
      <c r="Q506" s="990"/>
      <c r="R506" s="990"/>
      <c r="S506" s="990"/>
      <c r="T506" s="990"/>
      <c r="U506" s="990"/>
      <c r="V506" s="990"/>
      <c r="W506" s="990"/>
      <c r="X506" s="990"/>
    </row>
    <row r="507" spans="1:24" s="896" customFormat="1">
      <c r="A507" s="987">
        <f t="shared" si="8"/>
        <v>433</v>
      </c>
      <c r="B507" s="988">
        <v>34570</v>
      </c>
      <c r="C507" s="899" t="s">
        <v>9833</v>
      </c>
      <c r="D507" s="988" t="s">
        <v>2666</v>
      </c>
      <c r="E507" s="989">
        <v>4.4400000000000004</v>
      </c>
      <c r="F507" s="990"/>
      <c r="G507" s="990"/>
      <c r="H507" s="990"/>
      <c r="I507" s="990"/>
      <c r="J507" s="990"/>
      <c r="K507" s="990"/>
      <c r="L507" s="990"/>
      <c r="M507" s="990"/>
      <c r="N507" s="990"/>
      <c r="O507" s="990"/>
      <c r="P507" s="990"/>
      <c r="Q507" s="990"/>
      <c r="R507" s="990"/>
      <c r="S507" s="990"/>
      <c r="T507" s="990"/>
      <c r="U507" s="990"/>
      <c r="V507" s="990"/>
      <c r="W507" s="990"/>
      <c r="X507" s="990"/>
    </row>
    <row r="508" spans="1:24" s="896" customFormat="1">
      <c r="A508" s="987">
        <f t="shared" si="8"/>
        <v>434</v>
      </c>
      <c r="B508" s="988">
        <v>25070</v>
      </c>
      <c r="C508" s="899" t="s">
        <v>9834</v>
      </c>
      <c r="D508" s="988" t="s">
        <v>2666</v>
      </c>
      <c r="E508" s="989">
        <v>3.34</v>
      </c>
      <c r="F508" s="990"/>
      <c r="G508" s="990"/>
      <c r="H508" s="990"/>
      <c r="I508" s="990"/>
      <c r="J508" s="990"/>
      <c r="K508" s="990"/>
      <c r="L508" s="990"/>
      <c r="M508" s="990"/>
      <c r="N508" s="990"/>
      <c r="O508" s="990"/>
      <c r="P508" s="990"/>
      <c r="Q508" s="990"/>
      <c r="R508" s="990"/>
      <c r="S508" s="990"/>
      <c r="T508" s="990"/>
      <c r="U508" s="990"/>
      <c r="V508" s="990"/>
      <c r="W508" s="990"/>
      <c r="X508" s="990"/>
    </row>
    <row r="509" spans="1:24" s="896" customFormat="1">
      <c r="A509" s="987">
        <f t="shared" si="8"/>
        <v>435</v>
      </c>
      <c r="B509" s="988">
        <v>34571</v>
      </c>
      <c r="C509" s="899" t="s">
        <v>9835</v>
      </c>
      <c r="D509" s="988" t="s">
        <v>2666</v>
      </c>
      <c r="E509" s="989">
        <v>3.37</v>
      </c>
      <c r="F509" s="990"/>
      <c r="G509" s="990"/>
      <c r="H509" s="990"/>
      <c r="I509" s="990"/>
      <c r="J509" s="990"/>
      <c r="K509" s="990"/>
      <c r="L509" s="990"/>
      <c r="M509" s="990"/>
      <c r="N509" s="990"/>
      <c r="O509" s="990"/>
      <c r="P509" s="990"/>
      <c r="Q509" s="990"/>
      <c r="R509" s="990"/>
      <c r="S509" s="990"/>
      <c r="T509" s="990"/>
      <c r="U509" s="990"/>
      <c r="V509" s="990"/>
      <c r="W509" s="990"/>
      <c r="X509" s="990"/>
    </row>
    <row r="510" spans="1:24" s="896" customFormat="1">
      <c r="A510" s="987">
        <f t="shared" si="8"/>
        <v>436</v>
      </c>
      <c r="B510" s="988">
        <v>34573</v>
      </c>
      <c r="C510" s="899" t="s">
        <v>9836</v>
      </c>
      <c r="D510" s="988" t="s">
        <v>2666</v>
      </c>
      <c r="E510" s="989">
        <v>3.54</v>
      </c>
      <c r="F510" s="990"/>
      <c r="G510" s="990"/>
      <c r="H510" s="990"/>
      <c r="I510" s="990"/>
      <c r="J510" s="990"/>
      <c r="K510" s="990"/>
      <c r="L510" s="990"/>
      <c r="M510" s="990"/>
      <c r="N510" s="990"/>
      <c r="O510" s="990"/>
      <c r="P510" s="990"/>
      <c r="Q510" s="990"/>
      <c r="R510" s="990"/>
      <c r="S510" s="990"/>
      <c r="T510" s="990"/>
      <c r="U510" s="990"/>
      <c r="V510" s="990"/>
      <c r="W510" s="990"/>
      <c r="X510" s="990"/>
    </row>
    <row r="511" spans="1:24" s="896" customFormat="1">
      <c r="A511" s="987">
        <f t="shared" si="8"/>
        <v>437</v>
      </c>
      <c r="B511" s="988">
        <v>37107</v>
      </c>
      <c r="C511" s="899" t="s">
        <v>9837</v>
      </c>
      <c r="D511" s="988" t="s">
        <v>2666</v>
      </c>
      <c r="E511" s="989">
        <v>4.68</v>
      </c>
      <c r="F511" s="990"/>
      <c r="G511" s="990"/>
      <c r="H511" s="990"/>
      <c r="I511" s="990"/>
      <c r="J511" s="990"/>
      <c r="K511" s="990"/>
      <c r="L511" s="990"/>
      <c r="M511" s="990"/>
      <c r="N511" s="990"/>
      <c r="O511" s="990"/>
      <c r="P511" s="990"/>
      <c r="Q511" s="990"/>
      <c r="R511" s="990"/>
      <c r="S511" s="990"/>
      <c r="T511" s="990"/>
      <c r="U511" s="990"/>
      <c r="V511" s="990"/>
      <c r="W511" s="990"/>
      <c r="X511" s="990"/>
    </row>
    <row r="512" spans="1:24" s="896" customFormat="1">
      <c r="A512" s="987">
        <f t="shared" si="8"/>
        <v>438</v>
      </c>
      <c r="B512" s="988">
        <v>34576</v>
      </c>
      <c r="C512" s="899" t="s">
        <v>9838</v>
      </c>
      <c r="D512" s="988" t="s">
        <v>2666</v>
      </c>
      <c r="E512" s="989">
        <v>5.17</v>
      </c>
      <c r="F512" s="990"/>
      <c r="G512" s="990"/>
      <c r="H512" s="990"/>
      <c r="I512" s="990"/>
      <c r="J512" s="990"/>
      <c r="K512" s="990"/>
      <c r="L512" s="990"/>
      <c r="M512" s="990"/>
      <c r="N512" s="990"/>
      <c r="O512" s="990"/>
      <c r="P512" s="990"/>
      <c r="Q512" s="990"/>
      <c r="R512" s="990"/>
      <c r="S512" s="990"/>
      <c r="T512" s="990"/>
      <c r="U512" s="990"/>
      <c r="V512" s="990"/>
      <c r="W512" s="990"/>
      <c r="X512" s="990"/>
    </row>
    <row r="513" spans="1:24" s="896" customFormat="1">
      <c r="A513" s="987">
        <f t="shared" si="8"/>
        <v>439</v>
      </c>
      <c r="B513" s="988">
        <v>34577</v>
      </c>
      <c r="C513" s="899" t="s">
        <v>9839</v>
      </c>
      <c r="D513" s="988" t="s">
        <v>2666</v>
      </c>
      <c r="E513" s="989">
        <v>5.39</v>
      </c>
      <c r="F513" s="990"/>
      <c r="G513" s="990"/>
      <c r="H513" s="990"/>
      <c r="I513" s="990"/>
      <c r="J513" s="990"/>
      <c r="K513" s="990"/>
      <c r="L513" s="990"/>
      <c r="M513" s="990"/>
      <c r="N513" s="990"/>
      <c r="O513" s="990"/>
      <c r="P513" s="990"/>
      <c r="Q513" s="990"/>
      <c r="R513" s="990"/>
      <c r="S513" s="990"/>
      <c r="T513" s="990"/>
      <c r="U513" s="990"/>
      <c r="V513" s="990"/>
      <c r="W513" s="990"/>
      <c r="X513" s="990"/>
    </row>
    <row r="514" spans="1:24" s="896" customFormat="1">
      <c r="A514" s="987">
        <f t="shared" si="8"/>
        <v>440</v>
      </c>
      <c r="B514" s="988">
        <v>34578</v>
      </c>
      <c r="C514" s="899" t="s">
        <v>9840</v>
      </c>
      <c r="D514" s="988" t="s">
        <v>2666</v>
      </c>
      <c r="E514" s="989">
        <v>5.85</v>
      </c>
      <c r="F514" s="990"/>
      <c r="G514" s="990"/>
      <c r="H514" s="990"/>
      <c r="I514" s="990"/>
      <c r="J514" s="990"/>
      <c r="K514" s="990"/>
      <c r="L514" s="990"/>
      <c r="M514" s="990"/>
      <c r="N514" s="990"/>
      <c r="O514" s="990"/>
      <c r="P514" s="990"/>
      <c r="Q514" s="990"/>
      <c r="R514" s="990"/>
      <c r="S514" s="990"/>
      <c r="T514" s="990"/>
      <c r="U514" s="990"/>
      <c r="V514" s="990"/>
      <c r="W514" s="990"/>
      <c r="X514" s="990"/>
    </row>
    <row r="515" spans="1:24" s="896" customFormat="1">
      <c r="A515" s="987">
        <f t="shared" si="8"/>
        <v>441</v>
      </c>
      <c r="B515" s="988">
        <v>34579</v>
      </c>
      <c r="C515" s="899" t="s">
        <v>9841</v>
      </c>
      <c r="D515" s="988" t="s">
        <v>2666</v>
      </c>
      <c r="E515" s="989">
        <v>6.24</v>
      </c>
      <c r="F515" s="990"/>
      <c r="G515" s="990"/>
      <c r="H515" s="990"/>
      <c r="I515" s="990"/>
      <c r="J515" s="990"/>
      <c r="K515" s="990"/>
      <c r="L515" s="990"/>
      <c r="M515" s="990"/>
      <c r="N515" s="990"/>
      <c r="O515" s="990"/>
      <c r="P515" s="990"/>
      <c r="Q515" s="990"/>
      <c r="R515" s="990"/>
      <c r="S515" s="990"/>
      <c r="T515" s="990"/>
      <c r="U515" s="990"/>
      <c r="V515" s="990"/>
      <c r="W515" s="990"/>
      <c r="X515" s="990"/>
    </row>
    <row r="516" spans="1:24" s="896" customFormat="1">
      <c r="A516" s="987">
        <f t="shared" si="8"/>
        <v>442</v>
      </c>
      <c r="B516" s="988">
        <v>25067</v>
      </c>
      <c r="C516" s="899" t="s">
        <v>9842</v>
      </c>
      <c r="D516" s="988" t="s">
        <v>2666</v>
      </c>
      <c r="E516" s="989">
        <v>4.17</v>
      </c>
      <c r="F516" s="990"/>
      <c r="G516" s="990"/>
      <c r="H516" s="990"/>
      <c r="I516" s="990"/>
      <c r="J516" s="990"/>
      <c r="K516" s="990"/>
      <c r="L516" s="990"/>
      <c r="M516" s="990"/>
      <c r="N516" s="990"/>
      <c r="O516" s="990"/>
      <c r="P516" s="990"/>
      <c r="Q516" s="990"/>
      <c r="R516" s="990"/>
      <c r="S516" s="990"/>
      <c r="T516" s="990"/>
      <c r="U516" s="990"/>
      <c r="V516" s="990"/>
      <c r="W516" s="990"/>
      <c r="X516" s="990"/>
    </row>
    <row r="517" spans="1:24" s="896" customFormat="1">
      <c r="A517" s="987">
        <f t="shared" si="8"/>
        <v>443</v>
      </c>
      <c r="B517" s="988">
        <v>34580</v>
      </c>
      <c r="C517" s="899" t="s">
        <v>9843</v>
      </c>
      <c r="D517" s="988" t="s">
        <v>2666</v>
      </c>
      <c r="E517" s="989">
        <v>4.66</v>
      </c>
      <c r="F517" s="990"/>
      <c r="G517" s="990"/>
      <c r="H517" s="990"/>
      <c r="I517" s="990"/>
      <c r="J517" s="990"/>
      <c r="K517" s="990"/>
      <c r="L517" s="990"/>
      <c r="M517" s="990"/>
      <c r="N517" s="990"/>
      <c r="O517" s="990"/>
      <c r="P517" s="990"/>
      <c r="Q517" s="990"/>
      <c r="R517" s="990"/>
      <c r="S517" s="990"/>
      <c r="T517" s="990"/>
      <c r="U517" s="990"/>
      <c r="V517" s="990"/>
      <c r="W517" s="990"/>
      <c r="X517" s="990"/>
    </row>
    <row r="518" spans="1:24" s="896" customFormat="1">
      <c r="A518" s="987">
        <f t="shared" si="8"/>
        <v>444</v>
      </c>
      <c r="B518" s="988">
        <v>25071</v>
      </c>
      <c r="C518" s="899" t="s">
        <v>9844</v>
      </c>
      <c r="D518" s="988" t="s">
        <v>2666</v>
      </c>
      <c r="E518" s="989">
        <v>2.3199999999999998</v>
      </c>
      <c r="F518" s="990"/>
      <c r="G518" s="990"/>
      <c r="H518" s="990"/>
      <c r="I518" s="990"/>
      <c r="J518" s="990"/>
      <c r="K518" s="990"/>
      <c r="L518" s="990"/>
      <c r="M518" s="990"/>
      <c r="N518" s="990"/>
      <c r="O518" s="990"/>
      <c r="P518" s="990"/>
      <c r="Q518" s="990"/>
      <c r="R518" s="990"/>
      <c r="S518" s="990"/>
      <c r="T518" s="990"/>
      <c r="U518" s="990"/>
      <c r="V518" s="990"/>
      <c r="W518" s="990"/>
      <c r="X518" s="990"/>
    </row>
    <row r="519" spans="1:24" s="896" customFormat="1">
      <c r="A519" s="987">
        <f t="shared" si="8"/>
        <v>445</v>
      </c>
      <c r="B519" s="988">
        <v>44171</v>
      </c>
      <c r="C519" s="899" t="s">
        <v>9845</v>
      </c>
      <c r="D519" s="988" t="s">
        <v>2666</v>
      </c>
      <c r="E519" s="989">
        <v>20.67</v>
      </c>
      <c r="F519" s="990"/>
      <c r="G519" s="990"/>
      <c r="H519" s="990"/>
      <c r="I519" s="990"/>
      <c r="J519" s="990"/>
      <c r="K519" s="990"/>
      <c r="L519" s="990"/>
      <c r="M519" s="990"/>
      <c r="N519" s="990"/>
      <c r="O519" s="990"/>
      <c r="P519" s="990"/>
      <c r="Q519" s="990"/>
      <c r="R519" s="990"/>
      <c r="S519" s="990"/>
      <c r="T519" s="990"/>
      <c r="U519" s="990"/>
      <c r="V519" s="990"/>
      <c r="W519" s="990"/>
      <c r="X519" s="990"/>
    </row>
    <row r="520" spans="1:24" s="896" customFormat="1">
      <c r="A520" s="987">
        <f t="shared" si="8"/>
        <v>446</v>
      </c>
      <c r="B520" s="988">
        <v>38395</v>
      </c>
      <c r="C520" s="899" t="s">
        <v>9846</v>
      </c>
      <c r="D520" s="988" t="s">
        <v>2666</v>
      </c>
      <c r="E520" s="989">
        <v>7.34</v>
      </c>
      <c r="F520" s="990"/>
      <c r="G520" s="990"/>
      <c r="H520" s="990"/>
      <c r="I520" s="990"/>
      <c r="J520" s="990"/>
      <c r="K520" s="990"/>
      <c r="L520" s="990"/>
      <c r="M520" s="990"/>
      <c r="N520" s="990"/>
      <c r="O520" s="990"/>
      <c r="P520" s="990"/>
      <c r="Q520" s="990"/>
      <c r="R520" s="990"/>
      <c r="S520" s="990"/>
      <c r="T520" s="990"/>
      <c r="U520" s="990"/>
      <c r="V520" s="990"/>
      <c r="W520" s="990"/>
      <c r="X520" s="990"/>
    </row>
    <row r="521" spans="1:24" s="896" customFormat="1">
      <c r="A521" s="987">
        <f t="shared" si="8"/>
        <v>447</v>
      </c>
      <c r="B521" s="988">
        <v>34583</v>
      </c>
      <c r="C521" s="899" t="s">
        <v>9847</v>
      </c>
      <c r="D521" s="988" t="s">
        <v>2667</v>
      </c>
      <c r="E521" s="989">
        <v>55.76</v>
      </c>
      <c r="F521" s="990"/>
      <c r="G521" s="990"/>
      <c r="H521" s="990"/>
      <c r="I521" s="990"/>
      <c r="J521" s="990"/>
      <c r="K521" s="990"/>
      <c r="L521" s="990"/>
      <c r="M521" s="990"/>
      <c r="N521" s="990"/>
      <c r="O521" s="990"/>
      <c r="P521" s="990"/>
      <c r="Q521" s="990"/>
      <c r="R521" s="990"/>
      <c r="S521" s="990"/>
      <c r="T521" s="990"/>
      <c r="U521" s="990"/>
      <c r="V521" s="990"/>
      <c r="W521" s="990"/>
      <c r="X521" s="990"/>
    </row>
    <row r="522" spans="1:24" s="896" customFormat="1">
      <c r="A522" s="987">
        <f t="shared" si="8"/>
        <v>448</v>
      </c>
      <c r="B522" s="988">
        <v>34584</v>
      </c>
      <c r="C522" s="899" t="s">
        <v>9848</v>
      </c>
      <c r="D522" s="988" t="s">
        <v>2667</v>
      </c>
      <c r="E522" s="989">
        <v>40.89</v>
      </c>
      <c r="F522" s="990"/>
      <c r="G522" s="990"/>
      <c r="H522" s="990"/>
      <c r="I522" s="990"/>
      <c r="J522" s="990"/>
      <c r="K522" s="990"/>
      <c r="L522" s="990"/>
      <c r="M522" s="990"/>
      <c r="N522" s="990"/>
      <c r="O522" s="990"/>
      <c r="P522" s="990"/>
      <c r="Q522" s="990"/>
      <c r="R522" s="990"/>
      <c r="S522" s="990"/>
      <c r="T522" s="990"/>
      <c r="U522" s="990"/>
      <c r="V522" s="990"/>
      <c r="W522" s="990"/>
      <c r="X522" s="990"/>
    </row>
    <row r="523" spans="1:24" s="896" customFormat="1" ht="25.5">
      <c r="A523" s="987">
        <f t="shared" si="8"/>
        <v>449</v>
      </c>
      <c r="B523" s="988">
        <v>709</v>
      </c>
      <c r="C523" s="899" t="s">
        <v>9849</v>
      </c>
      <c r="D523" s="988" t="s">
        <v>2667</v>
      </c>
      <c r="E523" s="989">
        <v>813.39</v>
      </c>
      <c r="F523" s="990"/>
      <c r="G523" s="990"/>
      <c r="H523" s="990"/>
      <c r="I523" s="990"/>
      <c r="J523" s="990"/>
      <c r="K523" s="990"/>
      <c r="L523" s="990"/>
      <c r="M523" s="990"/>
      <c r="N523" s="990"/>
      <c r="O523" s="990"/>
      <c r="P523" s="990"/>
      <c r="Q523" s="990"/>
      <c r="R523" s="990"/>
      <c r="S523" s="990"/>
      <c r="T523" s="990"/>
      <c r="U523" s="990"/>
      <c r="V523" s="990"/>
      <c r="W523" s="990"/>
      <c r="X523" s="990"/>
    </row>
    <row r="524" spans="1:24" s="896" customFormat="1">
      <c r="A524" s="987">
        <f t="shared" ref="A524:A587" si="9">A523+1</f>
        <v>450</v>
      </c>
      <c r="B524" s="988">
        <v>34599</v>
      </c>
      <c r="C524" s="899" t="s">
        <v>9850</v>
      </c>
      <c r="D524" s="988" t="s">
        <v>2666</v>
      </c>
      <c r="E524" s="989">
        <v>2.38</v>
      </c>
      <c r="F524" s="990"/>
      <c r="G524" s="990"/>
      <c r="H524" s="990"/>
      <c r="I524" s="990"/>
      <c r="J524" s="990"/>
      <c r="K524" s="990"/>
      <c r="L524" s="990"/>
      <c r="M524" s="990"/>
      <c r="N524" s="990"/>
      <c r="O524" s="990"/>
      <c r="P524" s="990"/>
      <c r="Q524" s="990"/>
      <c r="R524" s="990"/>
      <c r="S524" s="990"/>
      <c r="T524" s="990"/>
      <c r="U524" s="990"/>
      <c r="V524" s="990"/>
      <c r="W524" s="990"/>
      <c r="X524" s="990"/>
    </row>
    <row r="525" spans="1:24" s="896" customFormat="1">
      <c r="A525" s="987">
        <f t="shared" si="9"/>
        <v>451</v>
      </c>
      <c r="B525" s="988">
        <v>34592</v>
      </c>
      <c r="C525" s="899" t="s">
        <v>9851</v>
      </c>
      <c r="D525" s="988" t="s">
        <v>2666</v>
      </c>
      <c r="E525" s="989">
        <v>2.65</v>
      </c>
      <c r="F525" s="990"/>
      <c r="G525" s="990"/>
      <c r="H525" s="990"/>
      <c r="I525" s="990"/>
      <c r="J525" s="990"/>
      <c r="K525" s="990"/>
      <c r="L525" s="990"/>
      <c r="M525" s="990"/>
      <c r="N525" s="990"/>
      <c r="O525" s="990"/>
      <c r="P525" s="990"/>
      <c r="Q525" s="990"/>
      <c r="R525" s="990"/>
      <c r="S525" s="990"/>
      <c r="T525" s="990"/>
      <c r="U525" s="990"/>
      <c r="V525" s="990"/>
      <c r="W525" s="990"/>
      <c r="X525" s="990"/>
    </row>
    <row r="526" spans="1:24" s="896" customFormat="1">
      <c r="A526" s="987">
        <f t="shared" si="9"/>
        <v>452</v>
      </c>
      <c r="B526" s="988">
        <v>37103</v>
      </c>
      <c r="C526" s="899" t="s">
        <v>9852</v>
      </c>
      <c r="D526" s="988" t="s">
        <v>2666</v>
      </c>
      <c r="E526" s="989">
        <v>3.04</v>
      </c>
      <c r="F526" s="990"/>
      <c r="G526" s="990"/>
      <c r="H526" s="990"/>
      <c r="I526" s="990"/>
      <c r="J526" s="990"/>
      <c r="K526" s="990"/>
      <c r="L526" s="990"/>
      <c r="M526" s="990"/>
      <c r="N526" s="990"/>
      <c r="O526" s="990"/>
      <c r="P526" s="990"/>
      <c r="Q526" s="990"/>
      <c r="R526" s="990"/>
      <c r="S526" s="990"/>
      <c r="T526" s="990"/>
      <c r="U526" s="990"/>
      <c r="V526" s="990"/>
      <c r="W526" s="990"/>
      <c r="X526" s="990"/>
    </row>
    <row r="527" spans="1:24" s="896" customFormat="1">
      <c r="A527" s="987">
        <f t="shared" si="9"/>
        <v>453</v>
      </c>
      <c r="B527" s="988">
        <v>34555</v>
      </c>
      <c r="C527" s="899" t="s">
        <v>9853</v>
      </c>
      <c r="D527" s="988" t="s">
        <v>2666</v>
      </c>
      <c r="E527" s="989">
        <v>3.86</v>
      </c>
      <c r="F527" s="990"/>
      <c r="G527" s="990"/>
      <c r="H527" s="990"/>
      <c r="I527" s="990"/>
      <c r="J527" s="990"/>
      <c r="K527" s="990"/>
      <c r="L527" s="990"/>
      <c r="M527" s="990"/>
      <c r="N527" s="990"/>
      <c r="O527" s="990"/>
      <c r="P527" s="990"/>
      <c r="Q527" s="990"/>
      <c r="R527" s="990"/>
      <c r="S527" s="990"/>
      <c r="T527" s="990"/>
      <c r="U527" s="990"/>
      <c r="V527" s="990"/>
      <c r="W527" s="990"/>
      <c r="X527" s="990"/>
    </row>
    <row r="528" spans="1:24" s="896" customFormat="1">
      <c r="A528" s="987">
        <f t="shared" si="9"/>
        <v>454</v>
      </c>
      <c r="B528" s="988">
        <v>674</v>
      </c>
      <c r="C528" s="899" t="s">
        <v>9854</v>
      </c>
      <c r="D528" s="988" t="s">
        <v>2667</v>
      </c>
      <c r="E528" s="989">
        <v>77.61</v>
      </c>
      <c r="F528" s="990"/>
      <c r="G528" s="990"/>
      <c r="H528" s="990"/>
      <c r="I528" s="990"/>
      <c r="J528" s="990"/>
      <c r="K528" s="990"/>
      <c r="L528" s="990"/>
      <c r="M528" s="990"/>
      <c r="N528" s="990"/>
      <c r="O528" s="990"/>
      <c r="P528" s="990"/>
      <c r="Q528" s="990"/>
      <c r="R528" s="990"/>
      <c r="S528" s="990"/>
      <c r="T528" s="990"/>
      <c r="U528" s="990"/>
      <c r="V528" s="990"/>
      <c r="W528" s="990"/>
      <c r="X528" s="990"/>
    </row>
    <row r="529" spans="1:24" s="896" customFormat="1">
      <c r="A529" s="987">
        <f t="shared" si="9"/>
        <v>455</v>
      </c>
      <c r="B529" s="988">
        <v>34600</v>
      </c>
      <c r="C529" s="899" t="s">
        <v>9855</v>
      </c>
      <c r="D529" s="988" t="s">
        <v>2667</v>
      </c>
      <c r="E529" s="989">
        <v>114</v>
      </c>
      <c r="F529" s="990"/>
      <c r="G529" s="990"/>
      <c r="H529" s="990"/>
      <c r="I529" s="990"/>
      <c r="J529" s="990"/>
      <c r="K529" s="990"/>
      <c r="L529" s="990"/>
      <c r="M529" s="990"/>
      <c r="N529" s="990"/>
      <c r="O529" s="990"/>
      <c r="P529" s="990"/>
      <c r="Q529" s="990"/>
      <c r="R529" s="990"/>
      <c r="S529" s="990"/>
      <c r="T529" s="990"/>
      <c r="U529" s="990"/>
      <c r="V529" s="990"/>
      <c r="W529" s="990"/>
      <c r="X529" s="990"/>
    </row>
    <row r="530" spans="1:24" s="896" customFormat="1">
      <c r="A530" s="987">
        <f t="shared" si="9"/>
        <v>456</v>
      </c>
      <c r="B530" s="988">
        <v>652</v>
      </c>
      <c r="C530" s="899" t="s">
        <v>9856</v>
      </c>
      <c r="D530" s="988" t="s">
        <v>2667</v>
      </c>
      <c r="E530" s="989">
        <v>174.63</v>
      </c>
      <c r="F530" s="990"/>
      <c r="G530" s="990"/>
      <c r="H530" s="990"/>
      <c r="I530" s="990"/>
      <c r="J530" s="990"/>
      <c r="K530" s="990"/>
      <c r="L530" s="990"/>
      <c r="M530" s="990"/>
      <c r="N530" s="990"/>
      <c r="O530" s="990"/>
      <c r="P530" s="990"/>
      <c r="Q530" s="990"/>
      <c r="R530" s="990"/>
      <c r="S530" s="990"/>
      <c r="T530" s="990"/>
      <c r="U530" s="990"/>
      <c r="V530" s="990"/>
      <c r="W530" s="990"/>
      <c r="X530" s="990"/>
    </row>
    <row r="531" spans="1:24" s="896" customFormat="1">
      <c r="A531" s="987">
        <f t="shared" si="9"/>
        <v>457</v>
      </c>
      <c r="B531" s="988">
        <v>651</v>
      </c>
      <c r="C531" s="899" t="s">
        <v>9857</v>
      </c>
      <c r="D531" s="988" t="s">
        <v>2666</v>
      </c>
      <c r="E531" s="989">
        <v>2.92</v>
      </c>
      <c r="F531" s="990"/>
      <c r="G531" s="990"/>
      <c r="H531" s="990"/>
      <c r="I531" s="990"/>
      <c r="J531" s="990"/>
      <c r="K531" s="990"/>
      <c r="L531" s="990"/>
      <c r="M531" s="990"/>
      <c r="N531" s="990"/>
      <c r="O531" s="990"/>
      <c r="P531" s="990"/>
      <c r="Q531" s="990"/>
      <c r="R531" s="990"/>
      <c r="S531" s="990"/>
      <c r="T531" s="990"/>
      <c r="U531" s="990"/>
      <c r="V531" s="990"/>
      <c r="W531" s="990"/>
      <c r="X531" s="990"/>
    </row>
    <row r="532" spans="1:24" s="896" customFormat="1">
      <c r="A532" s="987">
        <f t="shared" si="9"/>
        <v>458</v>
      </c>
      <c r="B532" s="988">
        <v>654</v>
      </c>
      <c r="C532" s="899" t="s">
        <v>9858</v>
      </c>
      <c r="D532" s="988" t="s">
        <v>2666</v>
      </c>
      <c r="E532" s="989">
        <v>3.62</v>
      </c>
      <c r="F532" s="990"/>
      <c r="G532" s="990"/>
      <c r="H532" s="990"/>
      <c r="I532" s="990"/>
      <c r="J532" s="990"/>
      <c r="K532" s="990"/>
      <c r="L532" s="990"/>
      <c r="M532" s="990"/>
      <c r="N532" s="990"/>
      <c r="O532" s="990"/>
      <c r="P532" s="990"/>
      <c r="Q532" s="990"/>
      <c r="R532" s="990"/>
      <c r="S532" s="990"/>
      <c r="T532" s="990"/>
      <c r="U532" s="990"/>
      <c r="V532" s="990"/>
      <c r="W532" s="990"/>
      <c r="X532" s="990"/>
    </row>
    <row r="533" spans="1:24" s="896" customFormat="1">
      <c r="A533" s="987">
        <f t="shared" si="9"/>
        <v>459</v>
      </c>
      <c r="B533" s="988">
        <v>650</v>
      </c>
      <c r="C533" s="899" t="s">
        <v>9859</v>
      </c>
      <c r="D533" s="988" t="s">
        <v>2666</v>
      </c>
      <c r="E533" s="989">
        <v>2.34</v>
      </c>
      <c r="F533" s="990"/>
      <c r="G533" s="990"/>
      <c r="H533" s="990"/>
      <c r="I533" s="990"/>
      <c r="J533" s="990"/>
      <c r="K533" s="990"/>
      <c r="L533" s="990"/>
      <c r="M533" s="990"/>
      <c r="N533" s="990"/>
      <c r="O533" s="990"/>
      <c r="P533" s="990"/>
      <c r="Q533" s="990"/>
      <c r="R533" s="990"/>
      <c r="S533" s="990"/>
      <c r="T533" s="990"/>
      <c r="U533" s="990"/>
      <c r="V533" s="990"/>
      <c r="W533" s="990"/>
      <c r="X533" s="990"/>
    </row>
    <row r="534" spans="1:24" s="896" customFormat="1">
      <c r="A534" s="987">
        <f t="shared" si="9"/>
        <v>460</v>
      </c>
      <c r="B534" s="988">
        <v>718</v>
      </c>
      <c r="C534" s="899" t="s">
        <v>9860</v>
      </c>
      <c r="D534" s="988" t="s">
        <v>2666</v>
      </c>
      <c r="E534" s="989">
        <v>19.66</v>
      </c>
      <c r="F534" s="990"/>
      <c r="G534" s="990"/>
      <c r="H534" s="990"/>
      <c r="I534" s="990"/>
      <c r="J534" s="990"/>
      <c r="K534" s="990"/>
      <c r="L534" s="990"/>
      <c r="M534" s="990"/>
      <c r="N534" s="990"/>
      <c r="O534" s="990"/>
      <c r="P534" s="990"/>
      <c r="Q534" s="990"/>
      <c r="R534" s="990"/>
      <c r="S534" s="990"/>
      <c r="T534" s="990"/>
      <c r="U534" s="990"/>
      <c r="V534" s="990"/>
      <c r="W534" s="990"/>
      <c r="X534" s="990"/>
    </row>
    <row r="535" spans="1:24" s="896" customFormat="1" ht="25.5">
      <c r="A535" s="987">
        <f t="shared" si="9"/>
        <v>461</v>
      </c>
      <c r="B535" s="988">
        <v>11981</v>
      </c>
      <c r="C535" s="899" t="s">
        <v>9861</v>
      </c>
      <c r="D535" s="988" t="s">
        <v>2666</v>
      </c>
      <c r="E535" s="989">
        <v>19.100000000000001</v>
      </c>
      <c r="F535" s="990"/>
      <c r="G535" s="990"/>
      <c r="H535" s="990"/>
      <c r="I535" s="990"/>
      <c r="J535" s="990"/>
      <c r="K535" s="990"/>
      <c r="L535" s="990"/>
      <c r="M535" s="990"/>
      <c r="N535" s="990"/>
      <c r="O535" s="990"/>
      <c r="P535" s="990"/>
      <c r="Q535" s="990"/>
      <c r="R535" s="990"/>
      <c r="S535" s="990"/>
      <c r="T535" s="990"/>
      <c r="U535" s="990"/>
      <c r="V535" s="990"/>
      <c r="W535" s="990"/>
      <c r="X535" s="990"/>
    </row>
    <row r="536" spans="1:24" s="896" customFormat="1">
      <c r="A536" s="987">
        <f t="shared" si="9"/>
        <v>462</v>
      </c>
      <c r="B536" s="988">
        <v>34586</v>
      </c>
      <c r="C536" s="899" t="s">
        <v>9862</v>
      </c>
      <c r="D536" s="988" t="s">
        <v>2666</v>
      </c>
      <c r="E536" s="989">
        <v>2.2400000000000002</v>
      </c>
      <c r="F536" s="990"/>
      <c r="G536" s="990"/>
      <c r="H536" s="990"/>
      <c r="I536" s="990"/>
      <c r="J536" s="990"/>
      <c r="K536" s="990"/>
      <c r="L536" s="990"/>
      <c r="M536" s="990"/>
      <c r="N536" s="990"/>
      <c r="O536" s="990"/>
      <c r="P536" s="990"/>
      <c r="Q536" s="990"/>
      <c r="R536" s="990"/>
      <c r="S536" s="990"/>
      <c r="T536" s="990"/>
      <c r="U536" s="990"/>
      <c r="V536" s="990"/>
      <c r="W536" s="990"/>
      <c r="X536" s="990"/>
    </row>
    <row r="537" spans="1:24" s="896" customFormat="1">
      <c r="A537" s="987">
        <f t="shared" si="9"/>
        <v>463</v>
      </c>
      <c r="B537" s="988">
        <v>38603</v>
      </c>
      <c r="C537" s="899" t="s">
        <v>9863</v>
      </c>
      <c r="D537" s="988" t="s">
        <v>2666</v>
      </c>
      <c r="E537" s="989">
        <v>2.72</v>
      </c>
      <c r="F537" s="990"/>
      <c r="G537" s="990"/>
      <c r="H537" s="990"/>
      <c r="I537" s="990"/>
      <c r="J537" s="990"/>
      <c r="K537" s="990"/>
      <c r="L537" s="990"/>
      <c r="M537" s="990"/>
      <c r="N537" s="990"/>
      <c r="O537" s="990"/>
      <c r="P537" s="990"/>
      <c r="Q537" s="990"/>
      <c r="R537" s="990"/>
      <c r="S537" s="990"/>
      <c r="T537" s="990"/>
      <c r="U537" s="990"/>
      <c r="V537" s="990"/>
      <c r="W537" s="990"/>
      <c r="X537" s="990"/>
    </row>
    <row r="538" spans="1:24" s="896" customFormat="1">
      <c r="A538" s="987">
        <f t="shared" si="9"/>
        <v>464</v>
      </c>
      <c r="B538" s="988">
        <v>34588</v>
      </c>
      <c r="C538" s="899" t="s">
        <v>9864</v>
      </c>
      <c r="D538" s="988" t="s">
        <v>2666</v>
      </c>
      <c r="E538" s="989">
        <v>2.93</v>
      </c>
      <c r="F538" s="990"/>
      <c r="G538" s="990"/>
      <c r="H538" s="990"/>
      <c r="I538" s="990"/>
      <c r="J538" s="990"/>
      <c r="K538" s="990"/>
      <c r="L538" s="990"/>
      <c r="M538" s="990"/>
      <c r="N538" s="990"/>
      <c r="O538" s="990"/>
      <c r="P538" s="990"/>
      <c r="Q538" s="990"/>
      <c r="R538" s="990"/>
      <c r="S538" s="990"/>
      <c r="T538" s="990"/>
      <c r="U538" s="990"/>
      <c r="V538" s="990"/>
      <c r="W538" s="990"/>
      <c r="X538" s="990"/>
    </row>
    <row r="539" spans="1:24" s="896" customFormat="1">
      <c r="A539" s="987">
        <f t="shared" si="9"/>
        <v>465</v>
      </c>
      <c r="B539" s="988">
        <v>34590</v>
      </c>
      <c r="C539" s="899" t="s">
        <v>9865</v>
      </c>
      <c r="D539" s="988" t="s">
        <v>2666</v>
      </c>
      <c r="E539" s="989">
        <v>2.68</v>
      </c>
      <c r="F539" s="990"/>
      <c r="G539" s="990"/>
      <c r="H539" s="990"/>
      <c r="I539" s="990"/>
      <c r="J539" s="990"/>
      <c r="K539" s="990"/>
      <c r="L539" s="990"/>
      <c r="M539" s="990"/>
      <c r="N539" s="990"/>
      <c r="O539" s="990"/>
      <c r="P539" s="990"/>
      <c r="Q539" s="990"/>
      <c r="R539" s="990"/>
      <c r="S539" s="990"/>
      <c r="T539" s="990"/>
      <c r="U539" s="990"/>
      <c r="V539" s="990"/>
      <c r="W539" s="990"/>
      <c r="X539" s="990"/>
    </row>
    <row r="540" spans="1:24" s="896" customFormat="1">
      <c r="A540" s="987">
        <f t="shared" si="9"/>
        <v>466</v>
      </c>
      <c r="B540" s="988">
        <v>34591</v>
      </c>
      <c r="C540" s="899" t="s">
        <v>9866</v>
      </c>
      <c r="D540" s="988" t="s">
        <v>2666</v>
      </c>
      <c r="E540" s="989">
        <v>3.63</v>
      </c>
      <c r="F540" s="990"/>
      <c r="G540" s="990"/>
      <c r="H540" s="990"/>
      <c r="I540" s="990"/>
      <c r="J540" s="990"/>
      <c r="K540" s="990"/>
      <c r="L540" s="990"/>
      <c r="M540" s="990"/>
      <c r="N540" s="990"/>
      <c r="O540" s="990"/>
      <c r="P540" s="990"/>
      <c r="Q540" s="990"/>
      <c r="R540" s="990"/>
      <c r="S540" s="990"/>
      <c r="T540" s="990"/>
      <c r="U540" s="990"/>
      <c r="V540" s="990"/>
      <c r="W540" s="990"/>
      <c r="X540" s="990"/>
    </row>
    <row r="541" spans="1:24" s="896" customFormat="1">
      <c r="A541" s="987">
        <f t="shared" si="9"/>
        <v>467</v>
      </c>
      <c r="B541" s="988">
        <v>41372</v>
      </c>
      <c r="C541" s="899" t="s">
        <v>9867</v>
      </c>
      <c r="D541" s="988" t="s">
        <v>2667</v>
      </c>
      <c r="E541" s="989">
        <v>108.92</v>
      </c>
      <c r="F541" s="990"/>
      <c r="G541" s="990"/>
      <c r="H541" s="990"/>
      <c r="I541" s="990"/>
      <c r="J541" s="990"/>
      <c r="K541" s="990"/>
      <c r="L541" s="990"/>
      <c r="M541" s="990"/>
      <c r="N541" s="990"/>
      <c r="O541" s="990"/>
      <c r="P541" s="990"/>
      <c r="Q541" s="990"/>
      <c r="R541" s="990"/>
      <c r="S541" s="990"/>
      <c r="T541" s="990"/>
      <c r="U541" s="990"/>
      <c r="V541" s="990"/>
      <c r="W541" s="990"/>
      <c r="X541" s="990"/>
    </row>
    <row r="542" spans="1:24" s="896" customFormat="1">
      <c r="A542" s="987">
        <f t="shared" si="9"/>
        <v>468</v>
      </c>
      <c r="B542" s="988">
        <v>41371</v>
      </c>
      <c r="C542" s="899" t="s">
        <v>9868</v>
      </c>
      <c r="D542" s="988" t="s">
        <v>2667</v>
      </c>
      <c r="E542" s="989">
        <v>64.38</v>
      </c>
      <c r="F542" s="990"/>
      <c r="G542" s="990"/>
      <c r="H542" s="990"/>
      <c r="I542" s="990"/>
      <c r="J542" s="990"/>
      <c r="K542" s="990"/>
      <c r="L542" s="990"/>
      <c r="M542" s="990"/>
      <c r="N542" s="990"/>
      <c r="O542" s="990"/>
      <c r="P542" s="990"/>
      <c r="Q542" s="990"/>
      <c r="R542" s="990"/>
      <c r="S542" s="990"/>
      <c r="T542" s="990"/>
      <c r="U542" s="990"/>
      <c r="V542" s="990"/>
      <c r="W542" s="990"/>
      <c r="X542" s="990"/>
    </row>
    <row r="543" spans="1:24" s="896" customFormat="1" ht="25.5">
      <c r="A543" s="987">
        <f t="shared" si="9"/>
        <v>469</v>
      </c>
      <c r="B543" s="988">
        <v>40517</v>
      </c>
      <c r="C543" s="899" t="s">
        <v>9869</v>
      </c>
      <c r="D543" s="988" t="s">
        <v>2667</v>
      </c>
      <c r="E543" s="989">
        <v>37.729999999999997</v>
      </c>
      <c r="F543" s="990"/>
      <c r="G543" s="990"/>
      <c r="H543" s="990"/>
      <c r="I543" s="990"/>
      <c r="J543" s="990"/>
      <c r="K543" s="990"/>
      <c r="L543" s="990"/>
      <c r="M543" s="990"/>
      <c r="N543" s="990"/>
      <c r="O543" s="990"/>
      <c r="P543" s="990"/>
      <c r="Q543" s="990"/>
      <c r="R543" s="990"/>
      <c r="S543" s="990"/>
      <c r="T543" s="990"/>
      <c r="U543" s="990"/>
      <c r="V543" s="990"/>
      <c r="W543" s="990"/>
      <c r="X543" s="990"/>
    </row>
    <row r="544" spans="1:24" s="896" customFormat="1" ht="38.25">
      <c r="A544" s="987">
        <f t="shared" si="9"/>
        <v>470</v>
      </c>
      <c r="B544" s="988">
        <v>40515</v>
      </c>
      <c r="C544" s="899" t="s">
        <v>9870</v>
      </c>
      <c r="D544" s="988" t="s">
        <v>2667</v>
      </c>
      <c r="E544" s="989">
        <v>84.89</v>
      </c>
      <c r="F544" s="990"/>
      <c r="G544" s="990"/>
      <c r="H544" s="990"/>
      <c r="I544" s="990"/>
      <c r="J544" s="990"/>
      <c r="K544" s="990"/>
      <c r="L544" s="990"/>
      <c r="M544" s="990"/>
      <c r="N544" s="990"/>
      <c r="O544" s="990"/>
      <c r="P544" s="990"/>
      <c r="Q544" s="990"/>
      <c r="R544" s="990"/>
      <c r="S544" s="990"/>
      <c r="T544" s="990"/>
      <c r="U544" s="990"/>
      <c r="V544" s="990"/>
      <c r="W544" s="990"/>
      <c r="X544" s="990"/>
    </row>
    <row r="545" spans="1:24" s="896" customFormat="1" ht="38.25">
      <c r="A545" s="987">
        <f t="shared" si="9"/>
        <v>471</v>
      </c>
      <c r="B545" s="988">
        <v>40529</v>
      </c>
      <c r="C545" s="899" t="s">
        <v>9871</v>
      </c>
      <c r="D545" s="988" t="s">
        <v>2667</v>
      </c>
      <c r="E545" s="989">
        <v>54.23</v>
      </c>
      <c r="F545" s="990"/>
      <c r="G545" s="990"/>
      <c r="H545" s="990"/>
      <c r="I545" s="990"/>
      <c r="J545" s="990"/>
      <c r="K545" s="990"/>
      <c r="L545" s="990"/>
      <c r="M545" s="990"/>
      <c r="N545" s="990"/>
      <c r="O545" s="990"/>
      <c r="P545" s="990"/>
      <c r="Q545" s="990"/>
      <c r="R545" s="990"/>
      <c r="S545" s="990"/>
      <c r="T545" s="990"/>
      <c r="U545" s="990"/>
      <c r="V545" s="990"/>
      <c r="W545" s="990"/>
      <c r="X545" s="990"/>
    </row>
    <row r="546" spans="1:24" s="896" customFormat="1" ht="38.25">
      <c r="A546" s="987">
        <f t="shared" si="9"/>
        <v>472</v>
      </c>
      <c r="B546" s="988">
        <v>36170</v>
      </c>
      <c r="C546" s="899" t="s">
        <v>9872</v>
      </c>
      <c r="D546" s="988" t="s">
        <v>2667</v>
      </c>
      <c r="E546" s="989">
        <v>45</v>
      </c>
      <c r="F546" s="990"/>
      <c r="G546" s="990"/>
      <c r="H546" s="990"/>
      <c r="I546" s="990"/>
      <c r="J546" s="990"/>
      <c r="K546" s="990"/>
      <c r="L546" s="990"/>
      <c r="M546" s="990"/>
      <c r="N546" s="990"/>
      <c r="O546" s="990"/>
      <c r="P546" s="990"/>
      <c r="Q546" s="990"/>
      <c r="R546" s="990"/>
      <c r="S546" s="990"/>
      <c r="T546" s="990"/>
      <c r="U546" s="990"/>
      <c r="V546" s="990"/>
      <c r="W546" s="990"/>
      <c r="X546" s="990"/>
    </row>
    <row r="547" spans="1:24" s="896" customFormat="1" ht="38.25">
      <c r="A547" s="987">
        <f t="shared" si="9"/>
        <v>473</v>
      </c>
      <c r="B547" s="988">
        <v>40524</v>
      </c>
      <c r="C547" s="899" t="s">
        <v>9873</v>
      </c>
      <c r="D547" s="988" t="s">
        <v>2667</v>
      </c>
      <c r="E547" s="989">
        <v>53.05</v>
      </c>
      <c r="F547" s="990"/>
      <c r="G547" s="990"/>
      <c r="H547" s="990"/>
      <c r="I547" s="990"/>
      <c r="J547" s="990"/>
      <c r="K547" s="990"/>
      <c r="L547" s="990"/>
      <c r="M547" s="990"/>
      <c r="N547" s="990"/>
      <c r="O547" s="990"/>
      <c r="P547" s="990"/>
      <c r="Q547" s="990"/>
      <c r="R547" s="990"/>
      <c r="S547" s="990"/>
      <c r="T547" s="990"/>
      <c r="U547" s="990"/>
      <c r="V547" s="990"/>
      <c r="W547" s="990"/>
      <c r="X547" s="990"/>
    </row>
    <row r="548" spans="1:24" s="896" customFormat="1" ht="38.25">
      <c r="A548" s="987">
        <f t="shared" si="9"/>
        <v>474</v>
      </c>
      <c r="B548" s="988">
        <v>36156</v>
      </c>
      <c r="C548" s="899" t="s">
        <v>9874</v>
      </c>
      <c r="D548" s="988" t="s">
        <v>2667</v>
      </c>
      <c r="E548" s="989">
        <v>41.26</v>
      </c>
      <c r="F548" s="990"/>
      <c r="G548" s="990"/>
      <c r="H548" s="990"/>
      <c r="I548" s="990"/>
      <c r="J548" s="990"/>
      <c r="K548" s="990"/>
      <c r="L548" s="990"/>
      <c r="M548" s="990"/>
      <c r="N548" s="990"/>
      <c r="O548" s="990"/>
      <c r="P548" s="990"/>
      <c r="Q548" s="990"/>
      <c r="R548" s="990"/>
      <c r="S548" s="990"/>
      <c r="T548" s="990"/>
      <c r="U548" s="990"/>
      <c r="V548" s="990"/>
      <c r="W548" s="990"/>
      <c r="X548" s="990"/>
    </row>
    <row r="549" spans="1:24" s="896" customFormat="1" ht="38.25">
      <c r="A549" s="987">
        <f t="shared" si="9"/>
        <v>475</v>
      </c>
      <c r="B549" s="988">
        <v>36155</v>
      </c>
      <c r="C549" s="899" t="s">
        <v>9875</v>
      </c>
      <c r="D549" s="988" t="s">
        <v>2667</v>
      </c>
      <c r="E549" s="989">
        <v>35.619999999999997</v>
      </c>
      <c r="F549" s="990"/>
      <c r="G549" s="990"/>
      <c r="H549" s="990"/>
      <c r="I549" s="990"/>
      <c r="J549" s="990"/>
      <c r="K549" s="990"/>
      <c r="L549" s="990"/>
      <c r="M549" s="990"/>
      <c r="N549" s="990"/>
      <c r="O549" s="990"/>
      <c r="P549" s="990"/>
      <c r="Q549" s="990"/>
      <c r="R549" s="990"/>
      <c r="S549" s="990"/>
      <c r="T549" s="990"/>
      <c r="U549" s="990"/>
      <c r="V549" s="990"/>
      <c r="W549" s="990"/>
      <c r="X549" s="990"/>
    </row>
    <row r="550" spans="1:24" s="896" customFormat="1" ht="38.25">
      <c r="A550" s="987">
        <f t="shared" si="9"/>
        <v>476</v>
      </c>
      <c r="B550" s="988">
        <v>36154</v>
      </c>
      <c r="C550" s="899" t="s">
        <v>9876</v>
      </c>
      <c r="D550" s="988" t="s">
        <v>2667</v>
      </c>
      <c r="E550" s="989">
        <v>49.52</v>
      </c>
      <c r="F550" s="990"/>
      <c r="G550" s="990"/>
      <c r="H550" s="990"/>
      <c r="I550" s="990"/>
      <c r="J550" s="990"/>
      <c r="K550" s="990"/>
      <c r="L550" s="990"/>
      <c r="M550" s="990"/>
      <c r="N550" s="990"/>
      <c r="O550" s="990"/>
      <c r="P550" s="990"/>
      <c r="Q550" s="990"/>
      <c r="R550" s="990"/>
      <c r="S550" s="990"/>
      <c r="T550" s="990"/>
      <c r="U550" s="990"/>
      <c r="V550" s="990"/>
      <c r="W550" s="990"/>
      <c r="X550" s="990"/>
    </row>
    <row r="551" spans="1:24" s="896" customFormat="1" ht="25.5">
      <c r="A551" s="987">
        <f t="shared" si="9"/>
        <v>477</v>
      </c>
      <c r="B551" s="988">
        <v>695</v>
      </c>
      <c r="C551" s="899" t="s">
        <v>9877</v>
      </c>
      <c r="D551" s="988" t="s">
        <v>2667</v>
      </c>
      <c r="E551" s="989">
        <v>36.369999999999997</v>
      </c>
      <c r="F551" s="990"/>
      <c r="G551" s="990"/>
      <c r="H551" s="990"/>
      <c r="I551" s="990"/>
      <c r="J551" s="990"/>
      <c r="K551" s="990"/>
      <c r="L551" s="990"/>
      <c r="M551" s="990"/>
      <c r="N551" s="990"/>
      <c r="O551" s="990"/>
      <c r="P551" s="990"/>
      <c r="Q551" s="990"/>
      <c r="R551" s="990"/>
      <c r="S551" s="990"/>
      <c r="T551" s="990"/>
      <c r="U551" s="990"/>
      <c r="V551" s="990"/>
      <c r="W551" s="990"/>
      <c r="X551" s="990"/>
    </row>
    <row r="552" spans="1:24" s="896" customFormat="1" ht="25.5">
      <c r="A552" s="987">
        <f t="shared" si="9"/>
        <v>478</v>
      </c>
      <c r="B552" s="988">
        <v>679</v>
      </c>
      <c r="C552" s="899" t="s">
        <v>9878</v>
      </c>
      <c r="D552" s="988" t="s">
        <v>2667</v>
      </c>
      <c r="E552" s="989">
        <v>54.23</v>
      </c>
      <c r="F552" s="990"/>
      <c r="G552" s="990"/>
      <c r="H552" s="990"/>
      <c r="I552" s="990"/>
      <c r="J552" s="990"/>
      <c r="K552" s="990"/>
      <c r="L552" s="990"/>
      <c r="M552" s="990"/>
      <c r="N552" s="990"/>
      <c r="O552" s="990"/>
      <c r="P552" s="990"/>
      <c r="Q552" s="990"/>
      <c r="R552" s="990"/>
      <c r="S552" s="990"/>
      <c r="T552" s="990"/>
      <c r="U552" s="990"/>
      <c r="V552" s="990"/>
      <c r="W552" s="990"/>
      <c r="X552" s="990"/>
    </row>
    <row r="553" spans="1:24" s="896" customFormat="1" ht="25.5">
      <c r="A553" s="987">
        <f t="shared" si="9"/>
        <v>479</v>
      </c>
      <c r="B553" s="988">
        <v>711</v>
      </c>
      <c r="C553" s="899" t="s">
        <v>9879</v>
      </c>
      <c r="D553" s="988" t="s">
        <v>2667</v>
      </c>
      <c r="E553" s="989">
        <v>35.869999999999997</v>
      </c>
      <c r="F553" s="990"/>
      <c r="G553" s="990"/>
      <c r="H553" s="990"/>
      <c r="I553" s="990"/>
      <c r="J553" s="990"/>
      <c r="K553" s="990"/>
      <c r="L553" s="990"/>
      <c r="M553" s="990"/>
      <c r="N553" s="990"/>
      <c r="O553" s="990"/>
      <c r="P553" s="990"/>
      <c r="Q553" s="990"/>
      <c r="R553" s="990"/>
      <c r="S553" s="990"/>
      <c r="T553" s="990"/>
      <c r="U553" s="990"/>
      <c r="V553" s="990"/>
      <c r="W553" s="990"/>
      <c r="X553" s="990"/>
    </row>
    <row r="554" spans="1:24" s="896" customFormat="1" ht="25.5">
      <c r="A554" s="987">
        <f t="shared" si="9"/>
        <v>480</v>
      </c>
      <c r="B554" s="988">
        <v>712</v>
      </c>
      <c r="C554" s="899" t="s">
        <v>9880</v>
      </c>
      <c r="D554" s="988" t="s">
        <v>2667</v>
      </c>
      <c r="E554" s="989">
        <v>45.19</v>
      </c>
      <c r="F554" s="990"/>
      <c r="G554" s="990"/>
      <c r="H554" s="990"/>
      <c r="I554" s="990"/>
      <c r="J554" s="990"/>
      <c r="K554" s="990"/>
      <c r="L554" s="990"/>
      <c r="M554" s="990"/>
      <c r="N554" s="990"/>
      <c r="O554" s="990"/>
      <c r="P554" s="990"/>
      <c r="Q554" s="990"/>
      <c r="R554" s="990"/>
      <c r="S554" s="990"/>
      <c r="T554" s="990"/>
      <c r="U554" s="990"/>
      <c r="V554" s="990"/>
      <c r="W554" s="990"/>
      <c r="X554" s="990"/>
    </row>
    <row r="555" spans="1:24" s="896" customFormat="1" ht="25.5">
      <c r="A555" s="987">
        <f t="shared" si="9"/>
        <v>481</v>
      </c>
      <c r="B555" s="988">
        <v>12614</v>
      </c>
      <c r="C555" s="899" t="s">
        <v>9881</v>
      </c>
      <c r="D555" s="988" t="s">
        <v>2666</v>
      </c>
      <c r="E555" s="989">
        <v>22.83</v>
      </c>
      <c r="F555" s="990"/>
      <c r="G555" s="990"/>
      <c r="H555" s="990"/>
      <c r="I555" s="990"/>
      <c r="J555" s="990"/>
      <c r="K555" s="990"/>
      <c r="L555" s="990"/>
      <c r="M555" s="990"/>
      <c r="N555" s="990"/>
      <c r="O555" s="990"/>
      <c r="P555" s="990"/>
      <c r="Q555" s="990"/>
      <c r="R555" s="990"/>
      <c r="S555" s="990"/>
      <c r="T555" s="990"/>
      <c r="U555" s="990"/>
      <c r="V555" s="990"/>
      <c r="W555" s="990"/>
      <c r="X555" s="990"/>
    </row>
    <row r="556" spans="1:24" s="896" customFormat="1">
      <c r="A556" s="987">
        <f t="shared" si="9"/>
        <v>482</v>
      </c>
      <c r="B556" s="988">
        <v>6140</v>
      </c>
      <c r="C556" s="899" t="s">
        <v>9882</v>
      </c>
      <c r="D556" s="988" t="s">
        <v>2666</v>
      </c>
      <c r="E556" s="989">
        <v>4.18</v>
      </c>
      <c r="F556" s="990"/>
      <c r="G556" s="990"/>
      <c r="H556" s="990"/>
      <c r="I556" s="990"/>
      <c r="J556" s="990"/>
      <c r="K556" s="990"/>
      <c r="L556" s="990"/>
      <c r="M556" s="990"/>
      <c r="N556" s="990"/>
      <c r="O556" s="990"/>
      <c r="P556" s="990"/>
      <c r="Q556" s="990"/>
      <c r="R556" s="990"/>
      <c r="S556" s="990"/>
      <c r="T556" s="990"/>
      <c r="U556" s="990"/>
      <c r="V556" s="990"/>
      <c r="W556" s="990"/>
      <c r="X556" s="990"/>
    </row>
    <row r="557" spans="1:24" s="896" customFormat="1">
      <c r="A557" s="987">
        <f t="shared" si="9"/>
        <v>483</v>
      </c>
      <c r="B557" s="988">
        <v>38399</v>
      </c>
      <c r="C557" s="899" t="s">
        <v>9883</v>
      </c>
      <c r="D557" s="988" t="s">
        <v>2666</v>
      </c>
      <c r="E557" s="989">
        <v>209.95</v>
      </c>
      <c r="F557" s="990"/>
      <c r="G557" s="990"/>
      <c r="H557" s="990"/>
      <c r="I557" s="990"/>
      <c r="J557" s="990"/>
      <c r="K557" s="990"/>
      <c r="L557" s="990"/>
      <c r="M557" s="990"/>
      <c r="N557" s="990"/>
      <c r="O557" s="990"/>
      <c r="P557" s="990"/>
      <c r="Q557" s="990"/>
      <c r="R557" s="990"/>
      <c r="S557" s="990"/>
      <c r="T557" s="990"/>
      <c r="U557" s="990"/>
      <c r="V557" s="990"/>
      <c r="W557" s="990"/>
      <c r="X557" s="990"/>
    </row>
    <row r="558" spans="1:24" s="896" customFormat="1" ht="38.25">
      <c r="A558" s="987">
        <f t="shared" si="9"/>
        <v>484</v>
      </c>
      <c r="B558" s="988">
        <v>735</v>
      </c>
      <c r="C558" s="899" t="s">
        <v>9884</v>
      </c>
      <c r="D558" s="988" t="s">
        <v>2666</v>
      </c>
      <c r="E558" s="989">
        <v>2394.6799999999998</v>
      </c>
      <c r="F558" s="990"/>
      <c r="G558" s="990"/>
      <c r="H558" s="990"/>
      <c r="I558" s="990"/>
      <c r="J558" s="990"/>
      <c r="K558" s="990"/>
      <c r="L558" s="990"/>
      <c r="M558" s="990"/>
      <c r="N558" s="990"/>
      <c r="O558" s="990"/>
      <c r="P558" s="990"/>
      <c r="Q558" s="990"/>
      <c r="R558" s="990"/>
      <c r="S558" s="990"/>
      <c r="T558" s="990"/>
      <c r="U558" s="990"/>
      <c r="V558" s="990"/>
      <c r="W558" s="990"/>
      <c r="X558" s="990"/>
    </row>
    <row r="559" spans="1:24" s="896" customFormat="1" ht="38.25">
      <c r="A559" s="987">
        <f t="shared" si="9"/>
        <v>485</v>
      </c>
      <c r="B559" s="988">
        <v>736</v>
      </c>
      <c r="C559" s="899" t="s">
        <v>9885</v>
      </c>
      <c r="D559" s="988" t="s">
        <v>2666</v>
      </c>
      <c r="E559" s="989">
        <v>2013.49</v>
      </c>
      <c r="F559" s="990"/>
      <c r="G559" s="990"/>
      <c r="H559" s="990"/>
      <c r="I559" s="990"/>
      <c r="J559" s="990"/>
      <c r="K559" s="990"/>
      <c r="L559" s="990"/>
      <c r="M559" s="990"/>
      <c r="N559" s="990"/>
      <c r="O559" s="990"/>
      <c r="P559" s="990"/>
      <c r="Q559" s="990"/>
      <c r="R559" s="990"/>
      <c r="S559" s="990"/>
      <c r="T559" s="990"/>
      <c r="U559" s="990"/>
      <c r="V559" s="990"/>
      <c r="W559" s="990"/>
      <c r="X559" s="990"/>
    </row>
    <row r="560" spans="1:24" s="896" customFormat="1" ht="25.5">
      <c r="A560" s="987">
        <f t="shared" si="9"/>
        <v>486</v>
      </c>
      <c r="B560" s="988">
        <v>729</v>
      </c>
      <c r="C560" s="899" t="s">
        <v>9886</v>
      </c>
      <c r="D560" s="988" t="s">
        <v>2666</v>
      </c>
      <c r="E560" s="989">
        <v>820.52</v>
      </c>
      <c r="F560" s="990"/>
      <c r="G560" s="990"/>
      <c r="H560" s="990"/>
      <c r="I560" s="990"/>
      <c r="J560" s="990"/>
      <c r="K560" s="990"/>
      <c r="L560" s="990"/>
      <c r="M560" s="990"/>
      <c r="N560" s="990"/>
      <c r="O560" s="990"/>
      <c r="P560" s="990"/>
      <c r="Q560" s="990"/>
      <c r="R560" s="990"/>
      <c r="S560" s="990"/>
      <c r="T560" s="990"/>
      <c r="U560" s="990"/>
      <c r="V560" s="990"/>
      <c r="W560" s="990"/>
      <c r="X560" s="990"/>
    </row>
    <row r="561" spans="1:24" s="896" customFormat="1" ht="38.25">
      <c r="A561" s="987">
        <f t="shared" si="9"/>
        <v>487</v>
      </c>
      <c r="B561" s="988">
        <v>39925</v>
      </c>
      <c r="C561" s="899" t="s">
        <v>9887</v>
      </c>
      <c r="D561" s="988" t="s">
        <v>2666</v>
      </c>
      <c r="E561" s="989">
        <v>11856.44</v>
      </c>
      <c r="F561" s="990"/>
      <c r="G561" s="990"/>
      <c r="H561" s="990"/>
      <c r="I561" s="990"/>
      <c r="J561" s="990"/>
      <c r="K561" s="990"/>
      <c r="L561" s="990"/>
      <c r="M561" s="990"/>
      <c r="N561" s="990"/>
      <c r="O561" s="990"/>
      <c r="P561" s="990"/>
      <c r="Q561" s="990"/>
      <c r="R561" s="990"/>
      <c r="S561" s="990"/>
      <c r="T561" s="990"/>
      <c r="U561" s="990"/>
      <c r="V561" s="990"/>
      <c r="W561" s="990"/>
      <c r="X561" s="990"/>
    </row>
    <row r="562" spans="1:24" s="896" customFormat="1" ht="25.5">
      <c r="A562" s="987">
        <f t="shared" si="9"/>
        <v>488</v>
      </c>
      <c r="B562" s="988">
        <v>731</v>
      </c>
      <c r="C562" s="899" t="s">
        <v>9888</v>
      </c>
      <c r="D562" s="988" t="s">
        <v>2666</v>
      </c>
      <c r="E562" s="989">
        <v>798.57</v>
      </c>
      <c r="F562" s="990"/>
      <c r="G562" s="990"/>
      <c r="H562" s="990"/>
      <c r="I562" s="990"/>
      <c r="J562" s="990"/>
      <c r="K562" s="990"/>
      <c r="L562" s="990"/>
      <c r="M562" s="990"/>
      <c r="N562" s="990"/>
      <c r="O562" s="990"/>
      <c r="P562" s="990"/>
      <c r="Q562" s="990"/>
      <c r="R562" s="990"/>
      <c r="S562" s="990"/>
      <c r="T562" s="990"/>
      <c r="U562" s="990"/>
      <c r="V562" s="990"/>
      <c r="W562" s="990"/>
      <c r="X562" s="990"/>
    </row>
    <row r="563" spans="1:24" s="896" customFormat="1" ht="38.25">
      <c r="A563" s="987">
        <f t="shared" si="9"/>
        <v>489</v>
      </c>
      <c r="B563" s="988">
        <v>10575</v>
      </c>
      <c r="C563" s="899" t="s">
        <v>9889</v>
      </c>
      <c r="D563" s="988" t="s">
        <v>2666</v>
      </c>
      <c r="E563" s="989">
        <v>1246.22</v>
      </c>
      <c r="F563" s="990"/>
      <c r="G563" s="990"/>
      <c r="H563" s="990"/>
      <c r="I563" s="990"/>
      <c r="J563" s="990"/>
      <c r="K563" s="990"/>
      <c r="L563" s="990"/>
      <c r="M563" s="990"/>
      <c r="N563" s="990"/>
      <c r="O563" s="990"/>
      <c r="P563" s="990"/>
      <c r="Q563" s="990"/>
      <c r="R563" s="990"/>
      <c r="S563" s="990"/>
      <c r="T563" s="990"/>
      <c r="U563" s="990"/>
      <c r="V563" s="990"/>
      <c r="W563" s="990"/>
      <c r="X563" s="990"/>
    </row>
    <row r="564" spans="1:24" s="896" customFormat="1" ht="38.25">
      <c r="A564" s="987">
        <f t="shared" si="9"/>
        <v>490</v>
      </c>
      <c r="B564" s="988">
        <v>733</v>
      </c>
      <c r="C564" s="899" t="s">
        <v>9890</v>
      </c>
      <c r="D564" s="988" t="s">
        <v>2666</v>
      </c>
      <c r="E564" s="989">
        <v>1364.46</v>
      </c>
      <c r="F564" s="990"/>
      <c r="G564" s="990"/>
      <c r="H564" s="990"/>
      <c r="I564" s="990"/>
      <c r="J564" s="990"/>
      <c r="K564" s="990"/>
      <c r="L564" s="990"/>
      <c r="M564" s="990"/>
      <c r="N564" s="990"/>
      <c r="O564" s="990"/>
      <c r="P564" s="990"/>
      <c r="Q564" s="990"/>
      <c r="R564" s="990"/>
      <c r="S564" s="990"/>
      <c r="T564" s="990"/>
      <c r="U564" s="990"/>
      <c r="V564" s="990"/>
      <c r="W564" s="990"/>
      <c r="X564" s="990"/>
    </row>
    <row r="565" spans="1:24" s="896" customFormat="1" ht="38.25">
      <c r="A565" s="987">
        <f t="shared" si="9"/>
        <v>491</v>
      </c>
      <c r="B565" s="988">
        <v>732</v>
      </c>
      <c r="C565" s="899" t="s">
        <v>9891</v>
      </c>
      <c r="D565" s="988" t="s">
        <v>2666</v>
      </c>
      <c r="E565" s="989">
        <v>1346.12</v>
      </c>
      <c r="F565" s="990"/>
      <c r="G565" s="990"/>
      <c r="H565" s="990"/>
      <c r="I565" s="990"/>
      <c r="J565" s="990"/>
      <c r="K565" s="990"/>
      <c r="L565" s="990"/>
      <c r="M565" s="990"/>
      <c r="N565" s="990"/>
      <c r="O565" s="990"/>
      <c r="P565" s="990"/>
      <c r="Q565" s="990"/>
      <c r="R565" s="990"/>
      <c r="S565" s="990"/>
      <c r="T565" s="990"/>
      <c r="U565" s="990"/>
      <c r="V565" s="990"/>
      <c r="W565" s="990"/>
      <c r="X565" s="990"/>
    </row>
    <row r="566" spans="1:24" s="896" customFormat="1" ht="38.25">
      <c r="A566" s="987">
        <f t="shared" si="9"/>
        <v>492</v>
      </c>
      <c r="B566" s="988">
        <v>737</v>
      </c>
      <c r="C566" s="899" t="s">
        <v>9892</v>
      </c>
      <c r="D566" s="988" t="s">
        <v>2666</v>
      </c>
      <c r="E566" s="989">
        <v>7548.65</v>
      </c>
      <c r="F566" s="990"/>
      <c r="G566" s="990"/>
      <c r="H566" s="990"/>
      <c r="I566" s="990"/>
      <c r="J566" s="990"/>
      <c r="K566" s="990"/>
      <c r="L566" s="990"/>
      <c r="M566" s="990"/>
      <c r="N566" s="990"/>
      <c r="O566" s="990"/>
      <c r="P566" s="990"/>
      <c r="Q566" s="990"/>
      <c r="R566" s="990"/>
      <c r="S566" s="990"/>
      <c r="T566" s="990"/>
      <c r="U566" s="990"/>
      <c r="V566" s="990"/>
      <c r="W566" s="990"/>
      <c r="X566" s="990"/>
    </row>
    <row r="567" spans="1:24" s="896" customFormat="1" ht="38.25">
      <c r="A567" s="987">
        <f t="shared" si="9"/>
        <v>493</v>
      </c>
      <c r="B567" s="988">
        <v>738</v>
      </c>
      <c r="C567" s="899" t="s">
        <v>9893</v>
      </c>
      <c r="D567" s="988" t="s">
        <v>2666</v>
      </c>
      <c r="E567" s="989">
        <v>3500.25</v>
      </c>
      <c r="F567" s="990"/>
      <c r="G567" s="990"/>
      <c r="H567" s="990"/>
      <c r="I567" s="990"/>
      <c r="J567" s="990"/>
      <c r="K567" s="990"/>
      <c r="L567" s="990"/>
      <c r="M567" s="990"/>
      <c r="N567" s="990"/>
      <c r="O567" s="990"/>
      <c r="P567" s="990"/>
      <c r="Q567" s="990"/>
      <c r="R567" s="990"/>
      <c r="S567" s="990"/>
      <c r="T567" s="990"/>
      <c r="U567" s="990"/>
      <c r="V567" s="990"/>
      <c r="W567" s="990"/>
      <c r="X567" s="990"/>
    </row>
    <row r="568" spans="1:24" s="896" customFormat="1" ht="38.25">
      <c r="A568" s="987">
        <f t="shared" si="9"/>
        <v>494</v>
      </c>
      <c r="B568" s="988">
        <v>740</v>
      </c>
      <c r="C568" s="899" t="s">
        <v>9894</v>
      </c>
      <c r="D568" s="988" t="s">
        <v>2666</v>
      </c>
      <c r="E568" s="989">
        <v>7101.29</v>
      </c>
      <c r="F568" s="990"/>
      <c r="G568" s="990"/>
      <c r="H568" s="990"/>
      <c r="I568" s="990"/>
      <c r="J568" s="990"/>
      <c r="K568" s="990"/>
      <c r="L568" s="990"/>
      <c r="M568" s="990"/>
      <c r="N568" s="990"/>
      <c r="O568" s="990"/>
      <c r="P568" s="990"/>
      <c r="Q568" s="990"/>
      <c r="R568" s="990"/>
      <c r="S568" s="990"/>
      <c r="T568" s="990"/>
      <c r="U568" s="990"/>
      <c r="V568" s="990"/>
      <c r="W568" s="990"/>
      <c r="X568" s="990"/>
    </row>
    <row r="569" spans="1:24" s="896" customFormat="1" ht="38.25">
      <c r="A569" s="987">
        <f t="shared" si="9"/>
        <v>495</v>
      </c>
      <c r="B569" s="988">
        <v>734</v>
      </c>
      <c r="C569" s="899" t="s">
        <v>9895</v>
      </c>
      <c r="D569" s="988" t="s">
        <v>2666</v>
      </c>
      <c r="E569" s="989">
        <v>1443.04</v>
      </c>
      <c r="F569" s="990"/>
      <c r="G569" s="990"/>
      <c r="H569" s="990"/>
      <c r="I569" s="990"/>
      <c r="J569" s="990"/>
      <c r="K569" s="990"/>
      <c r="L569" s="990"/>
      <c r="M569" s="990"/>
      <c r="N569" s="990"/>
      <c r="O569" s="990"/>
      <c r="P569" s="990"/>
      <c r="Q569" s="990"/>
      <c r="R569" s="990"/>
      <c r="S569" s="990"/>
      <c r="T569" s="990"/>
      <c r="U569" s="990"/>
      <c r="V569" s="990"/>
      <c r="W569" s="990"/>
      <c r="X569" s="990"/>
    </row>
    <row r="570" spans="1:24" s="896" customFormat="1">
      <c r="A570" s="987">
        <f t="shared" si="9"/>
        <v>496</v>
      </c>
      <c r="B570" s="988">
        <v>39008</v>
      </c>
      <c r="C570" s="899" t="s">
        <v>9896</v>
      </c>
      <c r="D570" s="988" t="s">
        <v>2666</v>
      </c>
      <c r="E570" s="989">
        <v>58330.61</v>
      </c>
      <c r="F570" s="990"/>
      <c r="G570" s="990"/>
      <c r="H570" s="990"/>
      <c r="I570" s="990"/>
      <c r="J570" s="990"/>
      <c r="K570" s="990"/>
      <c r="L570" s="990"/>
      <c r="M570" s="990"/>
      <c r="N570" s="990"/>
      <c r="O570" s="990"/>
      <c r="P570" s="990"/>
      <c r="Q570" s="990"/>
      <c r="R570" s="990"/>
      <c r="S570" s="990"/>
      <c r="T570" s="990"/>
      <c r="U570" s="990"/>
      <c r="V570" s="990"/>
      <c r="W570" s="990"/>
      <c r="X570" s="990"/>
    </row>
    <row r="571" spans="1:24" s="896" customFormat="1">
      <c r="A571" s="987">
        <f t="shared" si="9"/>
        <v>497</v>
      </c>
      <c r="B571" s="988">
        <v>39009</v>
      </c>
      <c r="C571" s="899" t="s">
        <v>9897</v>
      </c>
      <c r="D571" s="988" t="s">
        <v>2666</v>
      </c>
      <c r="E571" s="989">
        <v>62494.02</v>
      </c>
      <c r="F571" s="990"/>
      <c r="G571" s="990"/>
      <c r="H571" s="990"/>
      <c r="I571" s="990"/>
      <c r="J571" s="990"/>
      <c r="K571" s="990"/>
      <c r="L571" s="990"/>
      <c r="M571" s="990"/>
      <c r="N571" s="990"/>
      <c r="O571" s="990"/>
      <c r="P571" s="990"/>
      <c r="Q571" s="990"/>
      <c r="R571" s="990"/>
      <c r="S571" s="990"/>
      <c r="T571" s="990"/>
      <c r="U571" s="990"/>
      <c r="V571" s="990"/>
      <c r="W571" s="990"/>
      <c r="X571" s="990"/>
    </row>
    <row r="572" spans="1:24" s="896" customFormat="1" ht="38.25">
      <c r="A572" s="987">
        <f t="shared" si="9"/>
        <v>498</v>
      </c>
      <c r="B572" s="988">
        <v>10587</v>
      </c>
      <c r="C572" s="899" t="s">
        <v>9898</v>
      </c>
      <c r="D572" s="988" t="s">
        <v>2666</v>
      </c>
      <c r="E572" s="989">
        <v>4221.76</v>
      </c>
      <c r="F572" s="990"/>
      <c r="G572" s="990"/>
      <c r="H572" s="990"/>
      <c r="I572" s="990"/>
      <c r="J572" s="990"/>
      <c r="K572" s="990"/>
      <c r="L572" s="990"/>
      <c r="M572" s="990"/>
      <c r="N572" s="990"/>
      <c r="O572" s="990"/>
      <c r="P572" s="990"/>
      <c r="Q572" s="990"/>
      <c r="R572" s="990"/>
      <c r="S572" s="990"/>
      <c r="T572" s="990"/>
      <c r="U572" s="990"/>
      <c r="V572" s="990"/>
      <c r="W572" s="990"/>
      <c r="X572" s="990"/>
    </row>
    <row r="573" spans="1:24" s="896" customFormat="1" ht="38.25">
      <c r="A573" s="987">
        <f t="shared" si="9"/>
        <v>499</v>
      </c>
      <c r="B573" s="988">
        <v>759</v>
      </c>
      <c r="C573" s="899" t="s">
        <v>9899</v>
      </c>
      <c r="D573" s="988" t="s">
        <v>2666</v>
      </c>
      <c r="E573" s="989">
        <v>6070.06</v>
      </c>
      <c r="F573" s="990"/>
      <c r="G573" s="990"/>
      <c r="H573" s="990"/>
      <c r="I573" s="990"/>
      <c r="J573" s="990"/>
      <c r="K573" s="990"/>
      <c r="L573" s="990"/>
      <c r="M573" s="990"/>
      <c r="N573" s="990"/>
      <c r="O573" s="990"/>
      <c r="P573" s="990"/>
      <c r="Q573" s="990"/>
      <c r="R573" s="990"/>
      <c r="S573" s="990"/>
      <c r="T573" s="990"/>
      <c r="U573" s="990"/>
      <c r="V573" s="990"/>
      <c r="W573" s="990"/>
      <c r="X573" s="990"/>
    </row>
    <row r="574" spans="1:24" s="896" customFormat="1" ht="38.25">
      <c r="A574" s="987">
        <f t="shared" si="9"/>
        <v>500</v>
      </c>
      <c r="B574" s="988">
        <v>761</v>
      </c>
      <c r="C574" s="899" t="s">
        <v>9900</v>
      </c>
      <c r="D574" s="988" t="s">
        <v>2666</v>
      </c>
      <c r="E574" s="989">
        <v>10289.26</v>
      </c>
      <c r="F574" s="990"/>
      <c r="G574" s="990"/>
      <c r="H574" s="990"/>
      <c r="I574" s="990"/>
      <c r="J574" s="990"/>
      <c r="K574" s="990"/>
      <c r="L574" s="990"/>
      <c r="M574" s="990"/>
      <c r="N574" s="990"/>
      <c r="O574" s="990"/>
      <c r="P574" s="990"/>
      <c r="Q574" s="990"/>
      <c r="R574" s="990"/>
      <c r="S574" s="990"/>
      <c r="T574" s="990"/>
      <c r="U574" s="990"/>
      <c r="V574" s="990"/>
      <c r="W574" s="990"/>
      <c r="X574" s="990"/>
    </row>
    <row r="575" spans="1:24" s="896" customFormat="1" ht="38.25">
      <c r="A575" s="987">
        <f t="shared" si="9"/>
        <v>501</v>
      </c>
      <c r="B575" s="988">
        <v>750</v>
      </c>
      <c r="C575" s="899" t="s">
        <v>9901</v>
      </c>
      <c r="D575" s="988" t="s">
        <v>2666</v>
      </c>
      <c r="E575" s="989">
        <v>9768.83</v>
      </c>
      <c r="F575" s="990"/>
      <c r="G575" s="990"/>
      <c r="H575" s="990"/>
      <c r="I575" s="990"/>
      <c r="J575" s="990"/>
      <c r="K575" s="990"/>
      <c r="L575" s="990"/>
      <c r="M575" s="990"/>
      <c r="N575" s="990"/>
      <c r="O575" s="990"/>
      <c r="P575" s="990"/>
      <c r="Q575" s="990"/>
      <c r="R575" s="990"/>
      <c r="S575" s="990"/>
      <c r="T575" s="990"/>
      <c r="U575" s="990"/>
      <c r="V575" s="990"/>
      <c r="W575" s="990"/>
      <c r="X575" s="990"/>
    </row>
    <row r="576" spans="1:24" s="896" customFormat="1" ht="38.25">
      <c r="A576" s="987">
        <f t="shared" si="9"/>
        <v>502</v>
      </c>
      <c r="B576" s="988">
        <v>755</v>
      </c>
      <c r="C576" s="899" t="s">
        <v>9902</v>
      </c>
      <c r="D576" s="988" t="s">
        <v>2666</v>
      </c>
      <c r="E576" s="989">
        <v>40086.550000000003</v>
      </c>
      <c r="F576" s="990"/>
      <c r="G576" s="990"/>
      <c r="H576" s="990"/>
      <c r="I576" s="990"/>
      <c r="J576" s="990"/>
      <c r="K576" s="990"/>
      <c r="L576" s="990"/>
      <c r="M576" s="990"/>
      <c r="N576" s="990"/>
      <c r="O576" s="990"/>
      <c r="P576" s="990"/>
      <c r="Q576" s="990"/>
      <c r="R576" s="990"/>
      <c r="S576" s="990"/>
      <c r="T576" s="990"/>
      <c r="U576" s="990"/>
      <c r="V576" s="990"/>
      <c r="W576" s="990"/>
      <c r="X576" s="990"/>
    </row>
    <row r="577" spans="1:24" s="896" customFormat="1" ht="38.25">
      <c r="A577" s="987">
        <f t="shared" si="9"/>
        <v>503</v>
      </c>
      <c r="B577" s="988">
        <v>749</v>
      </c>
      <c r="C577" s="899" t="s">
        <v>9903</v>
      </c>
      <c r="D577" s="988" t="s">
        <v>2666</v>
      </c>
      <c r="E577" s="989">
        <v>14743.09</v>
      </c>
      <c r="F577" s="990"/>
      <c r="G577" s="990"/>
      <c r="H577" s="990"/>
      <c r="I577" s="990"/>
      <c r="J577" s="990"/>
      <c r="K577" s="990"/>
      <c r="L577" s="990"/>
      <c r="M577" s="990"/>
      <c r="N577" s="990"/>
      <c r="O577" s="990"/>
      <c r="P577" s="990"/>
      <c r="Q577" s="990"/>
      <c r="R577" s="990"/>
      <c r="S577" s="990"/>
      <c r="T577" s="990"/>
      <c r="U577" s="990"/>
      <c r="V577" s="990"/>
      <c r="W577" s="990"/>
      <c r="X577" s="990"/>
    </row>
    <row r="578" spans="1:24" s="896" customFormat="1" ht="38.25">
      <c r="A578" s="987">
        <f t="shared" si="9"/>
        <v>504</v>
      </c>
      <c r="B578" s="988">
        <v>756</v>
      </c>
      <c r="C578" s="899" t="s">
        <v>9904</v>
      </c>
      <c r="D578" s="988" t="s">
        <v>2666</v>
      </c>
      <c r="E578" s="989">
        <v>43719.75</v>
      </c>
      <c r="F578" s="990"/>
      <c r="G578" s="990"/>
      <c r="H578" s="990"/>
      <c r="I578" s="990"/>
      <c r="J578" s="990"/>
      <c r="K578" s="990"/>
      <c r="L578" s="990"/>
      <c r="M578" s="990"/>
      <c r="N578" s="990"/>
      <c r="O578" s="990"/>
      <c r="P578" s="990"/>
      <c r="Q578" s="990"/>
      <c r="R578" s="990"/>
      <c r="S578" s="990"/>
      <c r="T578" s="990"/>
      <c r="U578" s="990"/>
      <c r="V578" s="990"/>
      <c r="W578" s="990"/>
      <c r="X578" s="990"/>
    </row>
    <row r="579" spans="1:24" s="896" customFormat="1" ht="38.25">
      <c r="A579" s="987">
        <f t="shared" si="9"/>
        <v>505</v>
      </c>
      <c r="B579" s="988">
        <v>757</v>
      </c>
      <c r="C579" s="899" t="s">
        <v>9905</v>
      </c>
      <c r="D579" s="988" t="s">
        <v>2666</v>
      </c>
      <c r="E579" s="989">
        <v>19851.560000000001</v>
      </c>
      <c r="F579" s="990"/>
      <c r="G579" s="990"/>
      <c r="H579" s="990"/>
      <c r="I579" s="990"/>
      <c r="J579" s="990"/>
      <c r="K579" s="990"/>
      <c r="L579" s="990"/>
      <c r="M579" s="990"/>
      <c r="N579" s="990"/>
      <c r="O579" s="990"/>
      <c r="P579" s="990"/>
      <c r="Q579" s="990"/>
      <c r="R579" s="990"/>
      <c r="S579" s="990"/>
      <c r="T579" s="990"/>
      <c r="U579" s="990"/>
      <c r="V579" s="990"/>
      <c r="W579" s="990"/>
      <c r="X579" s="990"/>
    </row>
    <row r="580" spans="1:24" s="896" customFormat="1" ht="38.25">
      <c r="A580" s="987">
        <f t="shared" si="9"/>
        <v>506</v>
      </c>
      <c r="B580" s="988">
        <v>10588</v>
      </c>
      <c r="C580" s="899" t="s">
        <v>9906</v>
      </c>
      <c r="D580" s="988" t="s">
        <v>2666</v>
      </c>
      <c r="E580" s="989">
        <v>4382.72</v>
      </c>
      <c r="F580" s="990"/>
      <c r="G580" s="990"/>
      <c r="H580" s="990"/>
      <c r="I580" s="990"/>
      <c r="J580" s="990"/>
      <c r="K580" s="990"/>
      <c r="L580" s="990"/>
      <c r="M580" s="990"/>
      <c r="N580" s="990"/>
      <c r="O580" s="990"/>
      <c r="P580" s="990"/>
      <c r="Q580" s="990"/>
      <c r="R580" s="990"/>
      <c r="S580" s="990"/>
      <c r="T580" s="990"/>
      <c r="U580" s="990"/>
      <c r="V580" s="990"/>
      <c r="W580" s="990"/>
      <c r="X580" s="990"/>
    </row>
    <row r="581" spans="1:24" s="896" customFormat="1" ht="38.25">
      <c r="A581" s="987">
        <f t="shared" si="9"/>
        <v>507</v>
      </c>
      <c r="B581" s="988">
        <v>10592</v>
      </c>
      <c r="C581" s="899" t="s">
        <v>9907</v>
      </c>
      <c r="D581" s="988" t="s">
        <v>2666</v>
      </c>
      <c r="E581" s="989">
        <v>5293.75</v>
      </c>
      <c r="F581" s="990"/>
      <c r="G581" s="990"/>
      <c r="H581" s="990"/>
      <c r="I581" s="990"/>
      <c r="J581" s="990"/>
      <c r="K581" s="990"/>
      <c r="L581" s="990"/>
      <c r="M581" s="990"/>
      <c r="N581" s="990"/>
      <c r="O581" s="990"/>
      <c r="P581" s="990"/>
      <c r="Q581" s="990"/>
      <c r="R581" s="990"/>
      <c r="S581" s="990"/>
      <c r="T581" s="990"/>
      <c r="U581" s="990"/>
      <c r="V581" s="990"/>
      <c r="W581" s="990"/>
      <c r="X581" s="990"/>
    </row>
    <row r="582" spans="1:24" s="896" customFormat="1" ht="38.25">
      <c r="A582" s="987">
        <f t="shared" si="9"/>
        <v>508</v>
      </c>
      <c r="B582" s="988">
        <v>10589</v>
      </c>
      <c r="C582" s="899" t="s">
        <v>9908</v>
      </c>
      <c r="D582" s="988" t="s">
        <v>2666</v>
      </c>
      <c r="E582" s="989">
        <v>7111.82</v>
      </c>
      <c r="F582" s="990"/>
      <c r="G582" s="990"/>
      <c r="H582" s="990"/>
      <c r="I582" s="990"/>
      <c r="J582" s="990"/>
      <c r="K582" s="990"/>
      <c r="L582" s="990"/>
      <c r="M582" s="990"/>
      <c r="N582" s="990"/>
      <c r="O582" s="990"/>
      <c r="P582" s="990"/>
      <c r="Q582" s="990"/>
      <c r="R582" s="990"/>
      <c r="S582" s="990"/>
      <c r="T582" s="990"/>
      <c r="U582" s="990"/>
      <c r="V582" s="990"/>
      <c r="W582" s="990"/>
      <c r="X582" s="990"/>
    </row>
    <row r="583" spans="1:24" s="896" customFormat="1" ht="38.25">
      <c r="A583" s="987">
        <f t="shared" si="9"/>
        <v>509</v>
      </c>
      <c r="B583" s="988">
        <v>760</v>
      </c>
      <c r="C583" s="899" t="s">
        <v>9909</v>
      </c>
      <c r="D583" s="988" t="s">
        <v>2666</v>
      </c>
      <c r="E583" s="989">
        <v>39703.120000000003</v>
      </c>
      <c r="F583" s="990"/>
      <c r="G583" s="990"/>
      <c r="H583" s="990"/>
      <c r="I583" s="990"/>
      <c r="J583" s="990"/>
      <c r="K583" s="990"/>
      <c r="L583" s="990"/>
      <c r="M583" s="990"/>
      <c r="N583" s="990"/>
      <c r="O583" s="990"/>
      <c r="P583" s="990"/>
      <c r="Q583" s="990"/>
      <c r="R583" s="990"/>
      <c r="S583" s="990"/>
      <c r="T583" s="990"/>
      <c r="U583" s="990"/>
      <c r="V583" s="990"/>
      <c r="W583" s="990"/>
      <c r="X583" s="990"/>
    </row>
    <row r="584" spans="1:24" s="896" customFormat="1" ht="38.25">
      <c r="A584" s="987">
        <f t="shared" si="9"/>
        <v>510</v>
      </c>
      <c r="B584" s="988">
        <v>751</v>
      </c>
      <c r="C584" s="899" t="s">
        <v>9910</v>
      </c>
      <c r="D584" s="988" t="s">
        <v>2666</v>
      </c>
      <c r="E584" s="989">
        <v>6253.24</v>
      </c>
      <c r="F584" s="990"/>
      <c r="G584" s="990"/>
      <c r="H584" s="990"/>
      <c r="I584" s="990"/>
      <c r="J584" s="990"/>
      <c r="K584" s="990"/>
      <c r="L584" s="990"/>
      <c r="M584" s="990"/>
      <c r="N584" s="990"/>
      <c r="O584" s="990"/>
      <c r="P584" s="990"/>
      <c r="Q584" s="990"/>
      <c r="R584" s="990"/>
      <c r="S584" s="990"/>
      <c r="T584" s="990"/>
      <c r="U584" s="990"/>
      <c r="V584" s="990"/>
      <c r="W584" s="990"/>
      <c r="X584" s="990"/>
    </row>
    <row r="585" spans="1:24" s="896" customFormat="1" ht="38.25">
      <c r="A585" s="987">
        <f t="shared" si="9"/>
        <v>511</v>
      </c>
      <c r="B585" s="988">
        <v>754</v>
      </c>
      <c r="C585" s="899" t="s">
        <v>9911</v>
      </c>
      <c r="D585" s="988" t="s">
        <v>2666</v>
      </c>
      <c r="E585" s="989">
        <v>9925.7800000000007</v>
      </c>
      <c r="F585" s="990"/>
      <c r="G585" s="990"/>
      <c r="H585" s="990"/>
      <c r="I585" s="990"/>
      <c r="J585" s="990"/>
      <c r="K585" s="990"/>
      <c r="L585" s="990"/>
      <c r="M585" s="990"/>
      <c r="N585" s="990"/>
      <c r="O585" s="990"/>
      <c r="P585" s="990"/>
      <c r="Q585" s="990"/>
      <c r="R585" s="990"/>
      <c r="S585" s="990"/>
      <c r="T585" s="990"/>
      <c r="U585" s="990"/>
      <c r="V585" s="990"/>
      <c r="W585" s="990"/>
      <c r="X585" s="990"/>
    </row>
    <row r="586" spans="1:24" s="896" customFormat="1">
      <c r="A586" s="987">
        <f t="shared" si="9"/>
        <v>512</v>
      </c>
      <c r="B586" s="988">
        <v>44489</v>
      </c>
      <c r="C586" s="899" t="s">
        <v>9912</v>
      </c>
      <c r="D586" s="988" t="s">
        <v>2666</v>
      </c>
      <c r="E586" s="989">
        <v>203980.9</v>
      </c>
      <c r="F586" s="990"/>
      <c r="G586" s="990"/>
      <c r="H586" s="990"/>
      <c r="I586" s="990"/>
      <c r="J586" s="990"/>
      <c r="K586" s="990"/>
      <c r="L586" s="990"/>
      <c r="M586" s="990"/>
      <c r="N586" s="990"/>
      <c r="O586" s="990"/>
      <c r="P586" s="990"/>
      <c r="Q586" s="990"/>
      <c r="R586" s="990"/>
      <c r="S586" s="990"/>
      <c r="T586" s="990"/>
      <c r="U586" s="990"/>
      <c r="V586" s="990"/>
      <c r="W586" s="990"/>
      <c r="X586" s="990"/>
    </row>
    <row r="587" spans="1:24" s="896" customFormat="1" ht="25.5">
      <c r="A587" s="987">
        <f t="shared" si="9"/>
        <v>513</v>
      </c>
      <c r="B587" s="988">
        <v>39917</v>
      </c>
      <c r="C587" s="899" t="s">
        <v>9913</v>
      </c>
      <c r="D587" s="988" t="s">
        <v>2666</v>
      </c>
      <c r="E587" s="989">
        <v>89600.02</v>
      </c>
      <c r="F587" s="990"/>
      <c r="G587" s="990"/>
      <c r="H587" s="990"/>
      <c r="I587" s="990"/>
      <c r="J587" s="990"/>
      <c r="K587" s="990"/>
      <c r="L587" s="990"/>
      <c r="M587" s="990"/>
      <c r="N587" s="990"/>
      <c r="O587" s="990"/>
      <c r="P587" s="990"/>
      <c r="Q587" s="990"/>
      <c r="R587" s="990"/>
      <c r="S587" s="990"/>
      <c r="T587" s="990"/>
      <c r="U587" s="990"/>
      <c r="V587" s="990"/>
      <c r="W587" s="990"/>
      <c r="X587" s="990"/>
    </row>
    <row r="588" spans="1:24" s="896" customFormat="1">
      <c r="A588" s="987">
        <f t="shared" ref="A588:A651" si="10">A587+1</f>
        <v>514</v>
      </c>
      <c r="B588" s="988">
        <v>38167</v>
      </c>
      <c r="C588" s="899" t="s">
        <v>9914</v>
      </c>
      <c r="D588" s="988" t="s">
        <v>2673</v>
      </c>
      <c r="E588" s="989">
        <v>27.25</v>
      </c>
      <c r="F588" s="990"/>
      <c r="G588" s="990"/>
      <c r="H588" s="990"/>
      <c r="I588" s="990"/>
      <c r="J588" s="990"/>
      <c r="K588" s="990"/>
      <c r="L588" s="990"/>
      <c r="M588" s="990"/>
      <c r="N588" s="990"/>
      <c r="O588" s="990"/>
      <c r="P588" s="990"/>
      <c r="Q588" s="990"/>
      <c r="R588" s="990"/>
      <c r="S588" s="990"/>
      <c r="T588" s="990"/>
      <c r="U588" s="990"/>
      <c r="V588" s="990"/>
      <c r="W588" s="990"/>
      <c r="X588" s="990"/>
    </row>
    <row r="589" spans="1:24" s="896" customFormat="1">
      <c r="A589" s="987">
        <f t="shared" si="10"/>
        <v>515</v>
      </c>
      <c r="B589" s="988">
        <v>36145</v>
      </c>
      <c r="C589" s="899" t="s">
        <v>9915</v>
      </c>
      <c r="D589" s="988" t="s">
        <v>2673</v>
      </c>
      <c r="E589" s="989">
        <v>57.6</v>
      </c>
      <c r="F589" s="990"/>
      <c r="G589" s="990"/>
      <c r="H589" s="990"/>
      <c r="I589" s="990"/>
      <c r="J589" s="990"/>
      <c r="K589" s="990"/>
      <c r="L589" s="990"/>
      <c r="M589" s="990"/>
      <c r="N589" s="990"/>
      <c r="O589" s="990"/>
      <c r="P589" s="990"/>
      <c r="Q589" s="990"/>
      <c r="R589" s="990"/>
      <c r="S589" s="990"/>
      <c r="T589" s="990"/>
      <c r="U589" s="990"/>
      <c r="V589" s="990"/>
      <c r="W589" s="990"/>
      <c r="X589" s="990"/>
    </row>
    <row r="590" spans="1:24" s="896" customFormat="1">
      <c r="A590" s="987">
        <f t="shared" si="10"/>
        <v>516</v>
      </c>
      <c r="B590" s="988">
        <v>12893</v>
      </c>
      <c r="C590" s="899" t="s">
        <v>9916</v>
      </c>
      <c r="D590" s="988" t="s">
        <v>2673</v>
      </c>
      <c r="E590" s="989">
        <v>96</v>
      </c>
      <c r="F590" s="990"/>
      <c r="G590" s="990"/>
      <c r="H590" s="990"/>
      <c r="I590" s="990"/>
      <c r="J590" s="990"/>
      <c r="K590" s="990"/>
      <c r="L590" s="990"/>
      <c r="M590" s="990"/>
      <c r="N590" s="990"/>
      <c r="O590" s="990"/>
      <c r="P590" s="990"/>
      <c r="Q590" s="990"/>
      <c r="R590" s="990"/>
      <c r="S590" s="990"/>
      <c r="T590" s="990"/>
      <c r="U590" s="990"/>
      <c r="V590" s="990"/>
      <c r="W590" s="990"/>
      <c r="X590" s="990"/>
    </row>
    <row r="591" spans="1:24" s="896" customFormat="1">
      <c r="A591" s="987">
        <f t="shared" si="10"/>
        <v>517</v>
      </c>
      <c r="B591" s="988">
        <v>11685</v>
      </c>
      <c r="C591" s="899" t="s">
        <v>9917</v>
      </c>
      <c r="D591" s="988" t="s">
        <v>2666</v>
      </c>
      <c r="E591" s="989">
        <v>58.95</v>
      </c>
      <c r="F591" s="990"/>
      <c r="G591" s="990"/>
      <c r="H591" s="990"/>
      <c r="I591" s="990"/>
      <c r="J591" s="990"/>
      <c r="K591" s="990"/>
      <c r="L591" s="990"/>
      <c r="M591" s="990"/>
      <c r="N591" s="990"/>
      <c r="O591" s="990"/>
      <c r="P591" s="990"/>
      <c r="Q591" s="990"/>
      <c r="R591" s="990"/>
      <c r="S591" s="990"/>
      <c r="T591" s="990"/>
      <c r="U591" s="990"/>
      <c r="V591" s="990"/>
      <c r="W591" s="990"/>
      <c r="X591" s="990"/>
    </row>
    <row r="592" spans="1:24" s="896" customFormat="1">
      <c r="A592" s="987">
        <f t="shared" si="10"/>
        <v>518</v>
      </c>
      <c r="B592" s="988">
        <v>11680</v>
      </c>
      <c r="C592" s="899" t="s">
        <v>9918</v>
      </c>
      <c r="D592" s="988" t="s">
        <v>2666</v>
      </c>
      <c r="E592" s="989">
        <v>15.7</v>
      </c>
      <c r="F592" s="990"/>
      <c r="G592" s="990"/>
      <c r="H592" s="990"/>
      <c r="I592" s="990"/>
      <c r="J592" s="990"/>
      <c r="K592" s="990"/>
      <c r="L592" s="990"/>
      <c r="M592" s="990"/>
      <c r="N592" s="990"/>
      <c r="O592" s="990"/>
      <c r="P592" s="990"/>
      <c r="Q592" s="990"/>
      <c r="R592" s="990"/>
      <c r="S592" s="990"/>
      <c r="T592" s="990"/>
      <c r="U592" s="990"/>
      <c r="V592" s="990"/>
      <c r="W592" s="990"/>
      <c r="X592" s="990"/>
    </row>
    <row r="593" spans="1:24" s="896" customFormat="1">
      <c r="A593" s="987">
        <f t="shared" si="10"/>
        <v>519</v>
      </c>
      <c r="B593" s="988">
        <v>11679</v>
      </c>
      <c r="C593" s="899" t="s">
        <v>9919</v>
      </c>
      <c r="D593" s="988" t="s">
        <v>2666</v>
      </c>
      <c r="E593" s="989">
        <v>21.29</v>
      </c>
      <c r="F593" s="990"/>
      <c r="G593" s="990"/>
      <c r="H593" s="990"/>
      <c r="I593" s="990"/>
      <c r="J593" s="990"/>
      <c r="K593" s="990"/>
      <c r="L593" s="990"/>
      <c r="M593" s="990"/>
      <c r="N593" s="990"/>
      <c r="O593" s="990"/>
      <c r="P593" s="990"/>
      <c r="Q593" s="990"/>
      <c r="R593" s="990"/>
      <c r="S593" s="990"/>
      <c r="T593" s="990"/>
      <c r="U593" s="990"/>
      <c r="V593" s="990"/>
      <c r="W593" s="990"/>
      <c r="X593" s="990"/>
    </row>
    <row r="594" spans="1:24" s="896" customFormat="1">
      <c r="A594" s="987">
        <f t="shared" si="10"/>
        <v>520</v>
      </c>
      <c r="B594" s="988">
        <v>2512</v>
      </c>
      <c r="C594" s="899" t="s">
        <v>9920</v>
      </c>
      <c r="D594" s="988" t="s">
        <v>2666</v>
      </c>
      <c r="E594" s="989">
        <v>48.6</v>
      </c>
      <c r="F594" s="990"/>
      <c r="G594" s="990"/>
      <c r="H594" s="990"/>
      <c r="I594" s="990"/>
      <c r="J594" s="990"/>
      <c r="K594" s="990"/>
      <c r="L594" s="990"/>
      <c r="M594" s="990"/>
      <c r="N594" s="990"/>
      <c r="O594" s="990"/>
      <c r="P594" s="990"/>
      <c r="Q594" s="990"/>
      <c r="R594" s="990"/>
      <c r="S594" s="990"/>
      <c r="T594" s="990"/>
      <c r="U594" s="990"/>
      <c r="V594" s="990"/>
      <c r="W594" s="990"/>
      <c r="X594" s="990"/>
    </row>
    <row r="595" spans="1:24" s="896" customFormat="1">
      <c r="A595" s="987">
        <f t="shared" si="10"/>
        <v>521</v>
      </c>
      <c r="B595" s="988">
        <v>4374</v>
      </c>
      <c r="C595" s="899" t="s">
        <v>9921</v>
      </c>
      <c r="D595" s="988" t="s">
        <v>2666</v>
      </c>
      <c r="E595" s="989">
        <v>0.44</v>
      </c>
      <c r="F595" s="990"/>
      <c r="G595" s="990"/>
      <c r="H595" s="990"/>
      <c r="I595" s="990"/>
      <c r="J595" s="990"/>
      <c r="K595" s="990"/>
      <c r="L595" s="990"/>
      <c r="M595" s="990"/>
      <c r="N595" s="990"/>
      <c r="O595" s="990"/>
      <c r="P595" s="990"/>
      <c r="Q595" s="990"/>
      <c r="R595" s="990"/>
      <c r="S595" s="990"/>
      <c r="T595" s="990"/>
      <c r="U595" s="990"/>
      <c r="V595" s="990"/>
      <c r="W595" s="990"/>
      <c r="X595" s="990"/>
    </row>
    <row r="596" spans="1:24" s="896" customFormat="1" ht="25.5">
      <c r="A596" s="987">
        <f t="shared" si="10"/>
        <v>522</v>
      </c>
      <c r="B596" s="988">
        <v>7568</v>
      </c>
      <c r="C596" s="899" t="s">
        <v>9922</v>
      </c>
      <c r="D596" s="988" t="s">
        <v>2666</v>
      </c>
      <c r="E596" s="989">
        <v>0.73</v>
      </c>
      <c r="F596" s="990"/>
      <c r="G596" s="990"/>
      <c r="H596" s="990"/>
      <c r="I596" s="990"/>
      <c r="J596" s="990"/>
      <c r="K596" s="990"/>
      <c r="L596" s="990"/>
      <c r="M596" s="990"/>
      <c r="N596" s="990"/>
      <c r="O596" s="990"/>
      <c r="P596" s="990"/>
      <c r="Q596" s="990"/>
      <c r="R596" s="990"/>
      <c r="S596" s="990"/>
      <c r="T596" s="990"/>
      <c r="U596" s="990"/>
      <c r="V596" s="990"/>
      <c r="W596" s="990"/>
      <c r="X596" s="990"/>
    </row>
    <row r="597" spans="1:24" s="896" customFormat="1" ht="25.5">
      <c r="A597" s="987">
        <f t="shared" si="10"/>
        <v>523</v>
      </c>
      <c r="B597" s="988">
        <v>7584</v>
      </c>
      <c r="C597" s="899" t="s">
        <v>9923</v>
      </c>
      <c r="D597" s="988" t="s">
        <v>2666</v>
      </c>
      <c r="E597" s="989">
        <v>1.1200000000000001</v>
      </c>
      <c r="F597" s="990"/>
      <c r="G597" s="990"/>
      <c r="H597" s="990"/>
      <c r="I597" s="990"/>
      <c r="J597" s="990"/>
      <c r="K597" s="990"/>
      <c r="L597" s="990"/>
      <c r="M597" s="990"/>
      <c r="N597" s="990"/>
      <c r="O597" s="990"/>
      <c r="P597" s="990"/>
      <c r="Q597" s="990"/>
      <c r="R597" s="990"/>
      <c r="S597" s="990"/>
      <c r="T597" s="990"/>
      <c r="U597" s="990"/>
      <c r="V597" s="990"/>
      <c r="W597" s="990"/>
      <c r="X597" s="990"/>
    </row>
    <row r="598" spans="1:24" s="896" customFormat="1">
      <c r="A598" s="987">
        <f t="shared" si="10"/>
        <v>524</v>
      </c>
      <c r="B598" s="988">
        <v>11945</v>
      </c>
      <c r="C598" s="899" t="s">
        <v>9924</v>
      </c>
      <c r="D598" s="988" t="s">
        <v>2666</v>
      </c>
      <c r="E598" s="989">
        <v>7.0000000000000007E-2</v>
      </c>
      <c r="F598" s="990"/>
      <c r="G598" s="990"/>
      <c r="H598" s="990"/>
      <c r="I598" s="990"/>
      <c r="J598" s="990"/>
      <c r="K598" s="990"/>
      <c r="L598" s="990"/>
      <c r="M598" s="990"/>
      <c r="N598" s="990"/>
      <c r="O598" s="990"/>
      <c r="P598" s="990"/>
      <c r="Q598" s="990"/>
      <c r="R598" s="990"/>
      <c r="S598" s="990"/>
      <c r="T598" s="990"/>
      <c r="U598" s="990"/>
      <c r="V598" s="990"/>
      <c r="W598" s="990"/>
      <c r="X598" s="990"/>
    </row>
    <row r="599" spans="1:24" s="896" customFormat="1">
      <c r="A599" s="987">
        <f t="shared" si="10"/>
        <v>525</v>
      </c>
      <c r="B599" s="988">
        <v>11946</v>
      </c>
      <c r="C599" s="899" t="s">
        <v>9925</v>
      </c>
      <c r="D599" s="988" t="s">
        <v>2666</v>
      </c>
      <c r="E599" s="989">
        <v>0.08</v>
      </c>
      <c r="F599" s="990"/>
      <c r="G599" s="990"/>
      <c r="H599" s="990"/>
      <c r="I599" s="990"/>
      <c r="J599" s="990"/>
      <c r="K599" s="990"/>
      <c r="L599" s="990"/>
      <c r="M599" s="990"/>
      <c r="N599" s="990"/>
      <c r="O599" s="990"/>
      <c r="P599" s="990"/>
      <c r="Q599" s="990"/>
      <c r="R599" s="990"/>
      <c r="S599" s="990"/>
      <c r="T599" s="990"/>
      <c r="U599" s="990"/>
      <c r="V599" s="990"/>
      <c r="W599" s="990"/>
      <c r="X599" s="990"/>
    </row>
    <row r="600" spans="1:24" s="896" customFormat="1">
      <c r="A600" s="987">
        <f t="shared" si="10"/>
        <v>526</v>
      </c>
      <c r="B600" s="988">
        <v>4375</v>
      </c>
      <c r="C600" s="899" t="s">
        <v>9926</v>
      </c>
      <c r="D600" s="988" t="s">
        <v>2666</v>
      </c>
      <c r="E600" s="989">
        <v>0.12</v>
      </c>
      <c r="F600" s="990"/>
      <c r="G600" s="990"/>
      <c r="H600" s="990"/>
      <c r="I600" s="990"/>
      <c r="J600" s="990"/>
      <c r="K600" s="990"/>
      <c r="L600" s="990"/>
      <c r="M600" s="990"/>
      <c r="N600" s="990"/>
      <c r="O600" s="990"/>
      <c r="P600" s="990"/>
      <c r="Q600" s="990"/>
      <c r="R600" s="990"/>
      <c r="S600" s="990"/>
      <c r="T600" s="990"/>
      <c r="U600" s="990"/>
      <c r="V600" s="990"/>
      <c r="W600" s="990"/>
      <c r="X600" s="990"/>
    </row>
    <row r="601" spans="1:24" s="896" customFormat="1" ht="25.5">
      <c r="A601" s="987">
        <f t="shared" si="10"/>
        <v>527</v>
      </c>
      <c r="B601" s="988">
        <v>11950</v>
      </c>
      <c r="C601" s="899" t="s">
        <v>9927</v>
      </c>
      <c r="D601" s="988" t="s">
        <v>2666</v>
      </c>
      <c r="E601" s="989">
        <v>0.24</v>
      </c>
      <c r="F601" s="990"/>
      <c r="G601" s="990"/>
      <c r="H601" s="990"/>
      <c r="I601" s="990"/>
      <c r="J601" s="990"/>
      <c r="K601" s="990"/>
      <c r="L601" s="990"/>
      <c r="M601" s="990"/>
      <c r="N601" s="990"/>
      <c r="O601" s="990"/>
      <c r="P601" s="990"/>
      <c r="Q601" s="990"/>
      <c r="R601" s="990"/>
      <c r="S601" s="990"/>
      <c r="T601" s="990"/>
      <c r="U601" s="990"/>
      <c r="V601" s="990"/>
      <c r="W601" s="990"/>
      <c r="X601" s="990"/>
    </row>
    <row r="602" spans="1:24" s="896" customFormat="1">
      <c r="A602" s="987">
        <f t="shared" si="10"/>
        <v>528</v>
      </c>
      <c r="B602" s="988">
        <v>4376</v>
      </c>
      <c r="C602" s="899" t="s">
        <v>9928</v>
      </c>
      <c r="D602" s="988" t="s">
        <v>2666</v>
      </c>
      <c r="E602" s="989">
        <v>0.23</v>
      </c>
      <c r="F602" s="990"/>
      <c r="G602" s="990"/>
      <c r="H602" s="990"/>
      <c r="I602" s="990"/>
      <c r="J602" s="990"/>
      <c r="K602" s="990"/>
      <c r="L602" s="990"/>
      <c r="M602" s="990"/>
      <c r="N602" s="990"/>
      <c r="O602" s="990"/>
      <c r="P602" s="990"/>
      <c r="Q602" s="990"/>
      <c r="R602" s="990"/>
      <c r="S602" s="990"/>
      <c r="T602" s="990"/>
      <c r="U602" s="990"/>
      <c r="V602" s="990"/>
      <c r="W602" s="990"/>
      <c r="X602" s="990"/>
    </row>
    <row r="603" spans="1:24" s="896" customFormat="1" ht="25.5">
      <c r="A603" s="987">
        <f t="shared" si="10"/>
        <v>529</v>
      </c>
      <c r="B603" s="988">
        <v>7583</v>
      </c>
      <c r="C603" s="899" t="s">
        <v>9929</v>
      </c>
      <c r="D603" s="988" t="s">
        <v>2666</v>
      </c>
      <c r="E603" s="989">
        <v>0.5</v>
      </c>
      <c r="F603" s="990"/>
      <c r="G603" s="990"/>
      <c r="H603" s="990"/>
      <c r="I603" s="990"/>
      <c r="J603" s="990"/>
      <c r="K603" s="990"/>
      <c r="L603" s="990"/>
      <c r="M603" s="990"/>
      <c r="N603" s="990"/>
      <c r="O603" s="990"/>
      <c r="P603" s="990"/>
      <c r="Q603" s="990"/>
      <c r="R603" s="990"/>
      <c r="S603" s="990"/>
      <c r="T603" s="990"/>
      <c r="U603" s="990"/>
      <c r="V603" s="990"/>
      <c r="W603" s="990"/>
      <c r="X603" s="990"/>
    </row>
    <row r="604" spans="1:24" s="896" customFormat="1" ht="25.5">
      <c r="A604" s="987">
        <f t="shared" si="10"/>
        <v>530</v>
      </c>
      <c r="B604" s="988">
        <v>4350</v>
      </c>
      <c r="C604" s="899" t="s">
        <v>9930</v>
      </c>
      <c r="D604" s="988" t="s">
        <v>2666</v>
      </c>
      <c r="E604" s="989">
        <v>0.56000000000000005</v>
      </c>
      <c r="F604" s="990"/>
      <c r="G604" s="990"/>
      <c r="H604" s="990"/>
      <c r="I604" s="990"/>
      <c r="J604" s="990"/>
      <c r="K604" s="990"/>
      <c r="L604" s="990"/>
      <c r="M604" s="990"/>
      <c r="N604" s="990"/>
      <c r="O604" s="990"/>
      <c r="P604" s="990"/>
      <c r="Q604" s="990"/>
      <c r="R604" s="990"/>
      <c r="S604" s="990"/>
      <c r="T604" s="990"/>
      <c r="U604" s="990"/>
      <c r="V604" s="990"/>
      <c r="W604" s="990"/>
      <c r="X604" s="990"/>
    </row>
    <row r="605" spans="1:24" s="896" customFormat="1" ht="25.5">
      <c r="A605" s="987">
        <f t="shared" si="10"/>
        <v>531</v>
      </c>
      <c r="B605" s="988">
        <v>39886</v>
      </c>
      <c r="C605" s="899" t="s">
        <v>9931</v>
      </c>
      <c r="D605" s="988" t="s">
        <v>2666</v>
      </c>
      <c r="E605" s="989">
        <v>6.35</v>
      </c>
      <c r="F605" s="990"/>
      <c r="G605" s="990"/>
      <c r="H605" s="990"/>
      <c r="I605" s="990"/>
      <c r="J605" s="990"/>
      <c r="K605" s="990"/>
      <c r="L605" s="990"/>
      <c r="M605" s="990"/>
      <c r="N605" s="990"/>
      <c r="O605" s="990"/>
      <c r="P605" s="990"/>
      <c r="Q605" s="990"/>
      <c r="R605" s="990"/>
      <c r="S605" s="990"/>
      <c r="T605" s="990"/>
      <c r="U605" s="990"/>
      <c r="V605" s="990"/>
      <c r="W605" s="990"/>
      <c r="X605" s="990"/>
    </row>
    <row r="606" spans="1:24" s="896" customFormat="1" ht="25.5">
      <c r="A606" s="987">
        <f t="shared" si="10"/>
        <v>532</v>
      </c>
      <c r="B606" s="988">
        <v>39887</v>
      </c>
      <c r="C606" s="899" t="s">
        <v>9932</v>
      </c>
      <c r="D606" s="988" t="s">
        <v>2666</v>
      </c>
      <c r="E606" s="989">
        <v>9.5299999999999994</v>
      </c>
      <c r="F606" s="990"/>
      <c r="G606" s="990"/>
      <c r="H606" s="990"/>
      <c r="I606" s="990"/>
      <c r="J606" s="990"/>
      <c r="K606" s="990"/>
      <c r="L606" s="990"/>
      <c r="M606" s="990"/>
      <c r="N606" s="990"/>
      <c r="O606" s="990"/>
      <c r="P606" s="990"/>
      <c r="Q606" s="990"/>
      <c r="R606" s="990"/>
      <c r="S606" s="990"/>
      <c r="T606" s="990"/>
      <c r="U606" s="990"/>
      <c r="V606" s="990"/>
      <c r="W606" s="990"/>
      <c r="X606" s="990"/>
    </row>
    <row r="607" spans="1:24" s="896" customFormat="1" ht="25.5">
      <c r="A607" s="987">
        <f t="shared" si="10"/>
        <v>533</v>
      </c>
      <c r="B607" s="988">
        <v>39888</v>
      </c>
      <c r="C607" s="899" t="s">
        <v>9933</v>
      </c>
      <c r="D607" s="988" t="s">
        <v>2666</v>
      </c>
      <c r="E607" s="989">
        <v>21.8</v>
      </c>
      <c r="F607" s="990"/>
      <c r="G607" s="990"/>
      <c r="H607" s="990"/>
      <c r="I607" s="990"/>
      <c r="J607" s="990"/>
      <c r="K607" s="990"/>
      <c r="L607" s="990"/>
      <c r="M607" s="990"/>
      <c r="N607" s="990"/>
      <c r="O607" s="990"/>
      <c r="P607" s="990"/>
      <c r="Q607" s="990"/>
      <c r="R607" s="990"/>
      <c r="S607" s="990"/>
      <c r="T607" s="990"/>
      <c r="U607" s="990"/>
      <c r="V607" s="990"/>
      <c r="W607" s="990"/>
      <c r="X607" s="990"/>
    </row>
    <row r="608" spans="1:24" s="896" customFormat="1" ht="25.5">
      <c r="A608" s="987">
        <f t="shared" si="10"/>
        <v>534</v>
      </c>
      <c r="B608" s="988">
        <v>39890</v>
      </c>
      <c r="C608" s="899" t="s">
        <v>9934</v>
      </c>
      <c r="D608" s="988" t="s">
        <v>2666</v>
      </c>
      <c r="E608" s="989">
        <v>37.22</v>
      </c>
      <c r="F608" s="990"/>
      <c r="G608" s="990"/>
      <c r="H608" s="990"/>
      <c r="I608" s="990"/>
      <c r="J608" s="990"/>
      <c r="K608" s="990"/>
      <c r="L608" s="990"/>
      <c r="M608" s="990"/>
      <c r="N608" s="990"/>
      <c r="O608" s="990"/>
      <c r="P608" s="990"/>
      <c r="Q608" s="990"/>
      <c r="R608" s="990"/>
      <c r="S608" s="990"/>
      <c r="T608" s="990"/>
      <c r="U608" s="990"/>
      <c r="V608" s="990"/>
      <c r="W608" s="990"/>
      <c r="X608" s="990"/>
    </row>
    <row r="609" spans="1:24" s="896" customFormat="1" ht="25.5">
      <c r="A609" s="987">
        <f t="shared" si="10"/>
        <v>535</v>
      </c>
      <c r="B609" s="988">
        <v>39891</v>
      </c>
      <c r="C609" s="899" t="s">
        <v>9935</v>
      </c>
      <c r="D609" s="988" t="s">
        <v>2666</v>
      </c>
      <c r="E609" s="989">
        <v>52.48</v>
      </c>
      <c r="F609" s="990"/>
      <c r="G609" s="990"/>
      <c r="H609" s="990"/>
      <c r="I609" s="990"/>
      <c r="J609" s="990"/>
      <c r="K609" s="990"/>
      <c r="L609" s="990"/>
      <c r="M609" s="990"/>
      <c r="N609" s="990"/>
      <c r="O609" s="990"/>
      <c r="P609" s="990"/>
      <c r="Q609" s="990"/>
      <c r="R609" s="990"/>
      <c r="S609" s="990"/>
      <c r="T609" s="990"/>
      <c r="U609" s="990"/>
      <c r="V609" s="990"/>
      <c r="W609" s="990"/>
      <c r="X609" s="990"/>
    </row>
    <row r="610" spans="1:24" s="896" customFormat="1" ht="25.5">
      <c r="A610" s="987">
        <f t="shared" si="10"/>
        <v>536</v>
      </c>
      <c r="B610" s="988">
        <v>39892</v>
      </c>
      <c r="C610" s="899" t="s">
        <v>9936</v>
      </c>
      <c r="D610" s="988" t="s">
        <v>2666</v>
      </c>
      <c r="E610" s="989">
        <v>163.58000000000001</v>
      </c>
      <c r="F610" s="990"/>
      <c r="G610" s="990"/>
      <c r="H610" s="990"/>
      <c r="I610" s="990"/>
      <c r="J610" s="990"/>
      <c r="K610" s="990"/>
      <c r="L610" s="990"/>
      <c r="M610" s="990"/>
      <c r="N610" s="990"/>
      <c r="O610" s="990"/>
      <c r="P610" s="990"/>
      <c r="Q610" s="990"/>
      <c r="R610" s="990"/>
      <c r="S610" s="990"/>
      <c r="T610" s="990"/>
      <c r="U610" s="990"/>
      <c r="V610" s="990"/>
      <c r="W610" s="990"/>
      <c r="X610" s="990"/>
    </row>
    <row r="611" spans="1:24" s="896" customFormat="1">
      <c r="A611" s="987">
        <f t="shared" si="10"/>
        <v>537</v>
      </c>
      <c r="B611" s="988">
        <v>790</v>
      </c>
      <c r="C611" s="899" t="s">
        <v>9937</v>
      </c>
      <c r="D611" s="988" t="s">
        <v>2666</v>
      </c>
      <c r="E611" s="989">
        <v>21.7</v>
      </c>
      <c r="F611" s="990"/>
      <c r="G611" s="990"/>
      <c r="H611" s="990"/>
      <c r="I611" s="990"/>
      <c r="J611" s="990"/>
      <c r="K611" s="990"/>
      <c r="L611" s="990"/>
      <c r="M611" s="990"/>
      <c r="N611" s="990"/>
      <c r="O611" s="990"/>
      <c r="P611" s="990"/>
      <c r="Q611" s="990"/>
      <c r="R611" s="990"/>
      <c r="S611" s="990"/>
      <c r="T611" s="990"/>
      <c r="U611" s="990"/>
      <c r="V611" s="990"/>
      <c r="W611" s="990"/>
      <c r="X611" s="990"/>
    </row>
    <row r="612" spans="1:24" s="896" customFormat="1">
      <c r="A612" s="987">
        <f t="shared" si="10"/>
        <v>538</v>
      </c>
      <c r="B612" s="988">
        <v>766</v>
      </c>
      <c r="C612" s="899" t="s">
        <v>9938</v>
      </c>
      <c r="D612" s="988" t="s">
        <v>2666</v>
      </c>
      <c r="E612" s="989">
        <v>21.7</v>
      </c>
      <c r="F612" s="990"/>
      <c r="G612" s="990"/>
      <c r="H612" s="990"/>
      <c r="I612" s="990"/>
      <c r="J612" s="990"/>
      <c r="K612" s="990"/>
      <c r="L612" s="990"/>
      <c r="M612" s="990"/>
      <c r="N612" s="990"/>
      <c r="O612" s="990"/>
      <c r="P612" s="990"/>
      <c r="Q612" s="990"/>
      <c r="R612" s="990"/>
      <c r="S612" s="990"/>
      <c r="T612" s="990"/>
      <c r="U612" s="990"/>
      <c r="V612" s="990"/>
      <c r="W612" s="990"/>
      <c r="X612" s="990"/>
    </row>
    <row r="613" spans="1:24" s="896" customFormat="1">
      <c r="A613" s="987">
        <f t="shared" si="10"/>
        <v>539</v>
      </c>
      <c r="B613" s="988">
        <v>791</v>
      </c>
      <c r="C613" s="899" t="s">
        <v>9939</v>
      </c>
      <c r="D613" s="988" t="s">
        <v>2666</v>
      </c>
      <c r="E613" s="989">
        <v>21.7</v>
      </c>
      <c r="F613" s="990"/>
      <c r="G613" s="990"/>
      <c r="H613" s="990"/>
      <c r="I613" s="990"/>
      <c r="J613" s="990"/>
      <c r="K613" s="990"/>
      <c r="L613" s="990"/>
      <c r="M613" s="990"/>
      <c r="N613" s="990"/>
      <c r="O613" s="990"/>
      <c r="P613" s="990"/>
      <c r="Q613" s="990"/>
      <c r="R613" s="990"/>
      <c r="S613" s="990"/>
      <c r="T613" s="990"/>
      <c r="U613" s="990"/>
      <c r="V613" s="990"/>
      <c r="W613" s="990"/>
      <c r="X613" s="990"/>
    </row>
    <row r="614" spans="1:24" s="896" customFormat="1">
      <c r="A614" s="987">
        <f t="shared" si="10"/>
        <v>540</v>
      </c>
      <c r="B614" s="988">
        <v>767</v>
      </c>
      <c r="C614" s="899" t="s">
        <v>9940</v>
      </c>
      <c r="D614" s="988" t="s">
        <v>2666</v>
      </c>
      <c r="E614" s="989">
        <v>21.7</v>
      </c>
      <c r="F614" s="990"/>
      <c r="G614" s="990"/>
      <c r="H614" s="990"/>
      <c r="I614" s="990"/>
      <c r="J614" s="990"/>
      <c r="K614" s="990"/>
      <c r="L614" s="990"/>
      <c r="M614" s="990"/>
      <c r="N614" s="990"/>
      <c r="O614" s="990"/>
      <c r="P614" s="990"/>
      <c r="Q614" s="990"/>
      <c r="R614" s="990"/>
      <c r="S614" s="990"/>
      <c r="T614" s="990"/>
      <c r="U614" s="990"/>
      <c r="V614" s="990"/>
      <c r="W614" s="990"/>
      <c r="X614" s="990"/>
    </row>
    <row r="615" spans="1:24" s="896" customFormat="1">
      <c r="A615" s="987">
        <f t="shared" si="10"/>
        <v>541</v>
      </c>
      <c r="B615" s="988">
        <v>768</v>
      </c>
      <c r="C615" s="899" t="s">
        <v>9941</v>
      </c>
      <c r="D615" s="988" t="s">
        <v>2666</v>
      </c>
      <c r="E615" s="989">
        <v>17.04</v>
      </c>
      <c r="F615" s="990"/>
      <c r="G615" s="990"/>
      <c r="H615" s="990"/>
      <c r="I615" s="990"/>
      <c r="J615" s="990"/>
      <c r="K615" s="990"/>
      <c r="L615" s="990"/>
      <c r="M615" s="990"/>
      <c r="N615" s="990"/>
      <c r="O615" s="990"/>
      <c r="P615" s="990"/>
      <c r="Q615" s="990"/>
      <c r="R615" s="990"/>
      <c r="S615" s="990"/>
      <c r="T615" s="990"/>
      <c r="U615" s="990"/>
      <c r="V615" s="990"/>
      <c r="W615" s="990"/>
      <c r="X615" s="990"/>
    </row>
    <row r="616" spans="1:24" s="896" customFormat="1">
      <c r="A616" s="987">
        <f t="shared" si="10"/>
        <v>542</v>
      </c>
      <c r="B616" s="988">
        <v>789</v>
      </c>
      <c r="C616" s="899" t="s">
        <v>9942</v>
      </c>
      <c r="D616" s="988" t="s">
        <v>2666</v>
      </c>
      <c r="E616" s="989">
        <v>16.68</v>
      </c>
      <c r="F616" s="990"/>
      <c r="G616" s="990"/>
      <c r="H616" s="990"/>
      <c r="I616" s="990"/>
      <c r="J616" s="990"/>
      <c r="K616" s="990"/>
      <c r="L616" s="990"/>
      <c r="M616" s="990"/>
      <c r="N616" s="990"/>
      <c r="O616" s="990"/>
      <c r="P616" s="990"/>
      <c r="Q616" s="990"/>
      <c r="R616" s="990"/>
      <c r="S616" s="990"/>
      <c r="T616" s="990"/>
      <c r="U616" s="990"/>
      <c r="V616" s="990"/>
      <c r="W616" s="990"/>
      <c r="X616" s="990"/>
    </row>
    <row r="617" spans="1:24" s="896" customFormat="1">
      <c r="A617" s="987">
        <f t="shared" si="10"/>
        <v>543</v>
      </c>
      <c r="B617" s="988">
        <v>769</v>
      </c>
      <c r="C617" s="899" t="s">
        <v>9943</v>
      </c>
      <c r="D617" s="988" t="s">
        <v>2666</v>
      </c>
      <c r="E617" s="989">
        <v>17.04</v>
      </c>
      <c r="F617" s="990"/>
      <c r="G617" s="990"/>
      <c r="H617" s="990"/>
      <c r="I617" s="990"/>
      <c r="J617" s="990"/>
      <c r="K617" s="990"/>
      <c r="L617" s="990"/>
      <c r="M617" s="990"/>
      <c r="N617" s="990"/>
      <c r="O617" s="990"/>
      <c r="P617" s="990"/>
      <c r="Q617" s="990"/>
      <c r="R617" s="990"/>
      <c r="S617" s="990"/>
      <c r="T617" s="990"/>
      <c r="U617" s="990"/>
      <c r="V617" s="990"/>
      <c r="W617" s="990"/>
      <c r="X617" s="990"/>
    </row>
    <row r="618" spans="1:24" s="896" customFormat="1">
      <c r="A618" s="987">
        <f t="shared" si="10"/>
        <v>544</v>
      </c>
      <c r="B618" s="988">
        <v>770</v>
      </c>
      <c r="C618" s="899" t="s">
        <v>9944</v>
      </c>
      <c r="D618" s="988" t="s">
        <v>2666</v>
      </c>
      <c r="E618" s="989">
        <v>6.01</v>
      </c>
      <c r="F618" s="990"/>
      <c r="G618" s="990"/>
      <c r="H618" s="990"/>
      <c r="I618" s="990"/>
      <c r="J618" s="990"/>
      <c r="K618" s="990"/>
      <c r="L618" s="990"/>
      <c r="M618" s="990"/>
      <c r="N618" s="990"/>
      <c r="O618" s="990"/>
      <c r="P618" s="990"/>
      <c r="Q618" s="990"/>
      <c r="R618" s="990"/>
      <c r="S618" s="990"/>
      <c r="T618" s="990"/>
      <c r="U618" s="990"/>
      <c r="V618" s="990"/>
      <c r="W618" s="990"/>
      <c r="X618" s="990"/>
    </row>
    <row r="619" spans="1:24" s="896" customFormat="1">
      <c r="A619" s="987">
        <f t="shared" si="10"/>
        <v>545</v>
      </c>
      <c r="B619" s="988">
        <v>12394</v>
      </c>
      <c r="C619" s="899" t="s">
        <v>9945</v>
      </c>
      <c r="D619" s="988" t="s">
        <v>2666</v>
      </c>
      <c r="E619" s="989">
        <v>6.01</v>
      </c>
      <c r="F619" s="990"/>
      <c r="G619" s="990"/>
      <c r="H619" s="990"/>
      <c r="I619" s="990"/>
      <c r="J619" s="990"/>
      <c r="K619" s="990"/>
      <c r="L619" s="990"/>
      <c r="M619" s="990"/>
      <c r="N619" s="990"/>
      <c r="O619" s="990"/>
      <c r="P619" s="990"/>
      <c r="Q619" s="990"/>
      <c r="R619" s="990"/>
      <c r="S619" s="990"/>
      <c r="T619" s="990"/>
      <c r="U619" s="990"/>
      <c r="V619" s="990"/>
      <c r="W619" s="990"/>
      <c r="X619" s="990"/>
    </row>
    <row r="620" spans="1:24" s="896" customFormat="1">
      <c r="A620" s="987">
        <f t="shared" si="10"/>
        <v>546</v>
      </c>
      <c r="B620" s="988">
        <v>764</v>
      </c>
      <c r="C620" s="899" t="s">
        <v>9946</v>
      </c>
      <c r="D620" s="988" t="s">
        <v>2666</v>
      </c>
      <c r="E620" s="989">
        <v>10.49</v>
      </c>
      <c r="F620" s="990"/>
      <c r="G620" s="990"/>
      <c r="H620" s="990"/>
      <c r="I620" s="990"/>
      <c r="J620" s="990"/>
      <c r="K620" s="990"/>
      <c r="L620" s="990"/>
      <c r="M620" s="990"/>
      <c r="N620" s="990"/>
      <c r="O620" s="990"/>
      <c r="P620" s="990"/>
      <c r="Q620" s="990"/>
      <c r="R620" s="990"/>
      <c r="S620" s="990"/>
      <c r="T620" s="990"/>
      <c r="U620" s="990"/>
      <c r="V620" s="990"/>
      <c r="W620" s="990"/>
      <c r="X620" s="990"/>
    </row>
    <row r="621" spans="1:24" s="896" customFormat="1">
      <c r="A621" s="987">
        <f t="shared" si="10"/>
        <v>547</v>
      </c>
      <c r="B621" s="988">
        <v>765</v>
      </c>
      <c r="C621" s="899" t="s">
        <v>9947</v>
      </c>
      <c r="D621" s="988" t="s">
        <v>2666</v>
      </c>
      <c r="E621" s="989">
        <v>10.49</v>
      </c>
      <c r="F621" s="990"/>
      <c r="G621" s="990"/>
      <c r="H621" s="990"/>
      <c r="I621" s="990"/>
      <c r="J621" s="990"/>
      <c r="K621" s="990"/>
      <c r="L621" s="990"/>
      <c r="M621" s="990"/>
      <c r="N621" s="990"/>
      <c r="O621" s="990"/>
      <c r="P621" s="990"/>
      <c r="Q621" s="990"/>
      <c r="R621" s="990"/>
      <c r="S621" s="990"/>
      <c r="T621" s="990"/>
      <c r="U621" s="990"/>
      <c r="V621" s="990"/>
      <c r="W621" s="990"/>
      <c r="X621" s="990"/>
    </row>
    <row r="622" spans="1:24" s="896" customFormat="1">
      <c r="A622" s="987">
        <f t="shared" si="10"/>
        <v>548</v>
      </c>
      <c r="B622" s="988">
        <v>787</v>
      </c>
      <c r="C622" s="899" t="s">
        <v>9948</v>
      </c>
      <c r="D622" s="988" t="s">
        <v>2666</v>
      </c>
      <c r="E622" s="989">
        <v>46.86</v>
      </c>
      <c r="F622" s="990"/>
      <c r="G622" s="990"/>
      <c r="H622" s="990"/>
      <c r="I622" s="990"/>
      <c r="J622" s="990"/>
      <c r="K622" s="990"/>
      <c r="L622" s="990"/>
      <c r="M622" s="990"/>
      <c r="N622" s="990"/>
      <c r="O622" s="990"/>
      <c r="P622" s="990"/>
      <c r="Q622" s="990"/>
      <c r="R622" s="990"/>
      <c r="S622" s="990"/>
      <c r="T622" s="990"/>
      <c r="U622" s="990"/>
      <c r="V622" s="990"/>
      <c r="W622" s="990"/>
      <c r="X622" s="990"/>
    </row>
    <row r="623" spans="1:24" s="896" customFormat="1">
      <c r="A623" s="987">
        <f t="shared" si="10"/>
        <v>549</v>
      </c>
      <c r="B623" s="988">
        <v>774</v>
      </c>
      <c r="C623" s="899" t="s">
        <v>9949</v>
      </c>
      <c r="D623" s="988" t="s">
        <v>2666</v>
      </c>
      <c r="E623" s="989">
        <v>46.86</v>
      </c>
      <c r="F623" s="990"/>
      <c r="G623" s="990"/>
      <c r="H623" s="990"/>
      <c r="I623" s="990"/>
      <c r="J623" s="990"/>
      <c r="K623" s="990"/>
      <c r="L623" s="990"/>
      <c r="M623" s="990"/>
      <c r="N623" s="990"/>
      <c r="O623" s="990"/>
      <c r="P623" s="990"/>
      <c r="Q623" s="990"/>
      <c r="R623" s="990"/>
      <c r="S623" s="990"/>
      <c r="T623" s="990"/>
      <c r="U623" s="990"/>
      <c r="V623" s="990"/>
      <c r="W623" s="990"/>
      <c r="X623" s="990"/>
    </row>
    <row r="624" spans="1:24" s="896" customFormat="1">
      <c r="A624" s="987">
        <f t="shared" si="10"/>
        <v>550</v>
      </c>
      <c r="B624" s="988">
        <v>773</v>
      </c>
      <c r="C624" s="899" t="s">
        <v>9950</v>
      </c>
      <c r="D624" s="988" t="s">
        <v>2666</v>
      </c>
      <c r="E624" s="989">
        <v>46.86</v>
      </c>
      <c r="F624" s="990"/>
      <c r="G624" s="990"/>
      <c r="H624" s="990"/>
      <c r="I624" s="990"/>
      <c r="J624" s="990"/>
      <c r="K624" s="990"/>
      <c r="L624" s="990"/>
      <c r="M624" s="990"/>
      <c r="N624" s="990"/>
      <c r="O624" s="990"/>
      <c r="P624" s="990"/>
      <c r="Q624" s="990"/>
      <c r="R624" s="990"/>
      <c r="S624" s="990"/>
      <c r="T624" s="990"/>
      <c r="U624" s="990"/>
      <c r="V624" s="990"/>
      <c r="W624" s="990"/>
      <c r="X624" s="990"/>
    </row>
    <row r="625" spans="1:24" s="896" customFormat="1">
      <c r="A625" s="987">
        <f t="shared" si="10"/>
        <v>551</v>
      </c>
      <c r="B625" s="988">
        <v>775</v>
      </c>
      <c r="C625" s="899" t="s">
        <v>9951</v>
      </c>
      <c r="D625" s="988" t="s">
        <v>2666</v>
      </c>
      <c r="E625" s="989">
        <v>46.86</v>
      </c>
      <c r="F625" s="990"/>
      <c r="G625" s="990"/>
      <c r="H625" s="990"/>
      <c r="I625" s="990"/>
      <c r="J625" s="990"/>
      <c r="K625" s="990"/>
      <c r="L625" s="990"/>
      <c r="M625" s="990"/>
      <c r="N625" s="990"/>
      <c r="O625" s="990"/>
      <c r="P625" s="990"/>
      <c r="Q625" s="990"/>
      <c r="R625" s="990"/>
      <c r="S625" s="990"/>
      <c r="T625" s="990"/>
      <c r="U625" s="990"/>
      <c r="V625" s="990"/>
      <c r="W625" s="990"/>
      <c r="X625" s="990"/>
    </row>
    <row r="626" spans="1:24" s="896" customFormat="1">
      <c r="A626" s="987">
        <f t="shared" si="10"/>
        <v>552</v>
      </c>
      <c r="B626" s="988">
        <v>788</v>
      </c>
      <c r="C626" s="899" t="s">
        <v>9952</v>
      </c>
      <c r="D626" s="988" t="s">
        <v>2666</v>
      </c>
      <c r="E626" s="989">
        <v>29.12</v>
      </c>
      <c r="F626" s="990"/>
      <c r="G626" s="990"/>
      <c r="H626" s="990"/>
      <c r="I626" s="990"/>
      <c r="J626" s="990"/>
      <c r="K626" s="990"/>
      <c r="L626" s="990"/>
      <c r="M626" s="990"/>
      <c r="N626" s="990"/>
      <c r="O626" s="990"/>
      <c r="P626" s="990"/>
      <c r="Q626" s="990"/>
      <c r="R626" s="990"/>
      <c r="S626" s="990"/>
      <c r="T626" s="990"/>
      <c r="U626" s="990"/>
      <c r="V626" s="990"/>
      <c r="W626" s="990"/>
      <c r="X626" s="990"/>
    </row>
    <row r="627" spans="1:24" s="896" customFormat="1">
      <c r="A627" s="987">
        <f t="shared" si="10"/>
        <v>553</v>
      </c>
      <c r="B627" s="988">
        <v>772</v>
      </c>
      <c r="C627" s="899" t="s">
        <v>9953</v>
      </c>
      <c r="D627" s="988" t="s">
        <v>2666</v>
      </c>
      <c r="E627" s="989">
        <v>29.12</v>
      </c>
      <c r="F627" s="990"/>
      <c r="G627" s="990"/>
      <c r="H627" s="990"/>
      <c r="I627" s="990"/>
      <c r="J627" s="990"/>
      <c r="K627" s="990"/>
      <c r="L627" s="990"/>
      <c r="M627" s="990"/>
      <c r="N627" s="990"/>
      <c r="O627" s="990"/>
      <c r="P627" s="990"/>
      <c r="Q627" s="990"/>
      <c r="R627" s="990"/>
      <c r="S627" s="990"/>
      <c r="T627" s="990"/>
      <c r="U627" s="990"/>
      <c r="V627" s="990"/>
      <c r="W627" s="990"/>
      <c r="X627" s="990"/>
    </row>
    <row r="628" spans="1:24" s="896" customFormat="1">
      <c r="A628" s="987">
        <f t="shared" si="10"/>
        <v>554</v>
      </c>
      <c r="B628" s="988">
        <v>771</v>
      </c>
      <c r="C628" s="899" t="s">
        <v>9954</v>
      </c>
      <c r="D628" s="988" t="s">
        <v>2666</v>
      </c>
      <c r="E628" s="989">
        <v>29.12</v>
      </c>
      <c r="F628" s="990"/>
      <c r="G628" s="990"/>
      <c r="H628" s="990"/>
      <c r="I628" s="990"/>
      <c r="J628" s="990"/>
      <c r="K628" s="990"/>
      <c r="L628" s="990"/>
      <c r="M628" s="990"/>
      <c r="N628" s="990"/>
      <c r="O628" s="990"/>
      <c r="P628" s="990"/>
      <c r="Q628" s="990"/>
      <c r="R628" s="990"/>
      <c r="S628" s="990"/>
      <c r="T628" s="990"/>
      <c r="U628" s="990"/>
      <c r="V628" s="990"/>
      <c r="W628" s="990"/>
      <c r="X628" s="990"/>
    </row>
    <row r="629" spans="1:24" s="896" customFormat="1">
      <c r="A629" s="987">
        <f t="shared" si="10"/>
        <v>555</v>
      </c>
      <c r="B629" s="988">
        <v>779</v>
      </c>
      <c r="C629" s="899" t="s">
        <v>9955</v>
      </c>
      <c r="D629" s="988" t="s">
        <v>2666</v>
      </c>
      <c r="E629" s="989">
        <v>7.24</v>
      </c>
      <c r="F629" s="990"/>
      <c r="G629" s="990"/>
      <c r="H629" s="990"/>
      <c r="I629" s="990"/>
      <c r="J629" s="990"/>
      <c r="K629" s="990"/>
      <c r="L629" s="990"/>
      <c r="M629" s="990"/>
      <c r="N629" s="990"/>
      <c r="O629" s="990"/>
      <c r="P629" s="990"/>
      <c r="Q629" s="990"/>
      <c r="R629" s="990"/>
      <c r="S629" s="990"/>
      <c r="T629" s="990"/>
      <c r="U629" s="990"/>
      <c r="V629" s="990"/>
      <c r="W629" s="990"/>
      <c r="X629" s="990"/>
    </row>
    <row r="630" spans="1:24" s="896" customFormat="1">
      <c r="A630" s="987">
        <f t="shared" si="10"/>
        <v>556</v>
      </c>
      <c r="B630" s="988">
        <v>776</v>
      </c>
      <c r="C630" s="899" t="s">
        <v>9956</v>
      </c>
      <c r="D630" s="988" t="s">
        <v>2666</v>
      </c>
      <c r="E630" s="989">
        <v>69.08</v>
      </c>
      <c r="F630" s="990"/>
      <c r="G630" s="990"/>
      <c r="H630" s="990"/>
      <c r="I630" s="990"/>
      <c r="J630" s="990"/>
      <c r="K630" s="990"/>
      <c r="L630" s="990"/>
      <c r="M630" s="990"/>
      <c r="N630" s="990"/>
      <c r="O630" s="990"/>
      <c r="P630" s="990"/>
      <c r="Q630" s="990"/>
      <c r="R630" s="990"/>
      <c r="S630" s="990"/>
      <c r="T630" s="990"/>
      <c r="U630" s="990"/>
      <c r="V630" s="990"/>
      <c r="W630" s="990"/>
      <c r="X630" s="990"/>
    </row>
    <row r="631" spans="1:24" s="896" customFormat="1">
      <c r="A631" s="987">
        <f t="shared" si="10"/>
        <v>557</v>
      </c>
      <c r="B631" s="988">
        <v>777</v>
      </c>
      <c r="C631" s="899" t="s">
        <v>9957</v>
      </c>
      <c r="D631" s="988" t="s">
        <v>2666</v>
      </c>
      <c r="E631" s="989">
        <v>67.150000000000006</v>
      </c>
      <c r="F631" s="990"/>
      <c r="G631" s="990"/>
      <c r="H631" s="990"/>
      <c r="I631" s="990"/>
      <c r="J631" s="990"/>
      <c r="K631" s="990"/>
      <c r="L631" s="990"/>
      <c r="M631" s="990"/>
      <c r="N631" s="990"/>
      <c r="O631" s="990"/>
      <c r="P631" s="990"/>
      <c r="Q631" s="990"/>
      <c r="R631" s="990"/>
      <c r="S631" s="990"/>
      <c r="T631" s="990"/>
      <c r="U631" s="990"/>
      <c r="V631" s="990"/>
      <c r="W631" s="990"/>
      <c r="X631" s="990"/>
    </row>
    <row r="632" spans="1:24" s="896" customFormat="1">
      <c r="A632" s="987">
        <f t="shared" si="10"/>
        <v>558</v>
      </c>
      <c r="B632" s="988">
        <v>780</v>
      </c>
      <c r="C632" s="899" t="s">
        <v>9958</v>
      </c>
      <c r="D632" s="988" t="s">
        <v>2666</v>
      </c>
      <c r="E632" s="989">
        <v>67.489999999999995</v>
      </c>
      <c r="F632" s="990"/>
      <c r="G632" s="990"/>
      <c r="H632" s="990"/>
      <c r="I632" s="990"/>
      <c r="J632" s="990"/>
      <c r="K632" s="990"/>
      <c r="L632" s="990"/>
      <c r="M632" s="990"/>
      <c r="N632" s="990"/>
      <c r="O632" s="990"/>
      <c r="P632" s="990"/>
      <c r="Q632" s="990"/>
      <c r="R632" s="990"/>
      <c r="S632" s="990"/>
      <c r="T632" s="990"/>
      <c r="U632" s="990"/>
      <c r="V632" s="990"/>
      <c r="W632" s="990"/>
      <c r="X632" s="990"/>
    </row>
    <row r="633" spans="1:24" s="896" customFormat="1">
      <c r="A633" s="987">
        <f t="shared" si="10"/>
        <v>559</v>
      </c>
      <c r="B633" s="988">
        <v>778</v>
      </c>
      <c r="C633" s="899" t="s">
        <v>9959</v>
      </c>
      <c r="D633" s="988" t="s">
        <v>2666</v>
      </c>
      <c r="E633" s="989">
        <v>69.08</v>
      </c>
      <c r="F633" s="990"/>
      <c r="G633" s="990"/>
      <c r="H633" s="990"/>
      <c r="I633" s="990"/>
      <c r="J633" s="990"/>
      <c r="K633" s="990"/>
      <c r="L633" s="990"/>
      <c r="M633" s="990"/>
      <c r="N633" s="990"/>
      <c r="O633" s="990"/>
      <c r="P633" s="990"/>
      <c r="Q633" s="990"/>
      <c r="R633" s="990"/>
      <c r="S633" s="990"/>
      <c r="T633" s="990"/>
      <c r="U633" s="990"/>
      <c r="V633" s="990"/>
      <c r="W633" s="990"/>
      <c r="X633" s="990"/>
    </row>
    <row r="634" spans="1:24" s="896" customFormat="1">
      <c r="A634" s="987">
        <f t="shared" si="10"/>
        <v>560</v>
      </c>
      <c r="B634" s="988">
        <v>781</v>
      </c>
      <c r="C634" s="899" t="s">
        <v>9960</v>
      </c>
      <c r="D634" s="988" t="s">
        <v>2666</v>
      </c>
      <c r="E634" s="989">
        <v>127.63</v>
      </c>
      <c r="F634" s="990"/>
      <c r="G634" s="990"/>
      <c r="H634" s="990"/>
      <c r="I634" s="990"/>
      <c r="J634" s="990"/>
      <c r="K634" s="990"/>
      <c r="L634" s="990"/>
      <c r="M634" s="990"/>
      <c r="N634" s="990"/>
      <c r="O634" s="990"/>
      <c r="P634" s="990"/>
      <c r="Q634" s="990"/>
      <c r="R634" s="990"/>
      <c r="S634" s="990"/>
      <c r="T634" s="990"/>
      <c r="U634" s="990"/>
      <c r="V634" s="990"/>
      <c r="W634" s="990"/>
      <c r="X634" s="990"/>
    </row>
    <row r="635" spans="1:24" s="896" customFormat="1">
      <c r="A635" s="987">
        <f t="shared" si="10"/>
        <v>561</v>
      </c>
      <c r="B635" s="988">
        <v>786</v>
      </c>
      <c r="C635" s="899" t="s">
        <v>9961</v>
      </c>
      <c r="D635" s="988" t="s">
        <v>2666</v>
      </c>
      <c r="E635" s="989">
        <v>127.63</v>
      </c>
      <c r="F635" s="990"/>
      <c r="G635" s="990"/>
      <c r="H635" s="990"/>
      <c r="I635" s="990"/>
      <c r="J635" s="990"/>
      <c r="K635" s="990"/>
      <c r="L635" s="990"/>
      <c r="M635" s="990"/>
      <c r="N635" s="990"/>
      <c r="O635" s="990"/>
      <c r="P635" s="990"/>
      <c r="Q635" s="990"/>
      <c r="R635" s="990"/>
      <c r="S635" s="990"/>
      <c r="T635" s="990"/>
      <c r="U635" s="990"/>
      <c r="V635" s="990"/>
      <c r="W635" s="990"/>
      <c r="X635" s="990"/>
    </row>
    <row r="636" spans="1:24" s="896" customFormat="1">
      <c r="A636" s="987">
        <f t="shared" si="10"/>
        <v>562</v>
      </c>
      <c r="B636" s="988">
        <v>782</v>
      </c>
      <c r="C636" s="899" t="s">
        <v>9962</v>
      </c>
      <c r="D636" s="988" t="s">
        <v>2666</v>
      </c>
      <c r="E636" s="989">
        <v>127.63</v>
      </c>
      <c r="F636" s="990"/>
      <c r="G636" s="990"/>
      <c r="H636" s="990"/>
      <c r="I636" s="990"/>
      <c r="J636" s="990"/>
      <c r="K636" s="990"/>
      <c r="L636" s="990"/>
      <c r="M636" s="990"/>
      <c r="N636" s="990"/>
      <c r="O636" s="990"/>
      <c r="P636" s="990"/>
      <c r="Q636" s="990"/>
      <c r="R636" s="990"/>
      <c r="S636" s="990"/>
      <c r="T636" s="990"/>
      <c r="U636" s="990"/>
      <c r="V636" s="990"/>
      <c r="W636" s="990"/>
      <c r="X636" s="990"/>
    </row>
    <row r="637" spans="1:24" s="896" customFormat="1">
      <c r="A637" s="987">
        <f t="shared" si="10"/>
        <v>563</v>
      </c>
      <c r="B637" s="988">
        <v>783</v>
      </c>
      <c r="C637" s="899" t="s">
        <v>9963</v>
      </c>
      <c r="D637" s="988" t="s">
        <v>2666</v>
      </c>
      <c r="E637" s="989">
        <v>349.3</v>
      </c>
      <c r="F637" s="990"/>
      <c r="G637" s="990"/>
      <c r="H637" s="990"/>
      <c r="I637" s="990"/>
      <c r="J637" s="990"/>
      <c r="K637" s="990"/>
      <c r="L637" s="990"/>
      <c r="M637" s="990"/>
      <c r="N637" s="990"/>
      <c r="O637" s="990"/>
      <c r="P637" s="990"/>
      <c r="Q637" s="990"/>
      <c r="R637" s="990"/>
      <c r="S637" s="990"/>
      <c r="T637" s="990"/>
      <c r="U637" s="990"/>
      <c r="V637" s="990"/>
      <c r="W637" s="990"/>
      <c r="X637" s="990"/>
    </row>
    <row r="638" spans="1:24" s="896" customFormat="1">
      <c r="A638" s="987">
        <f t="shared" si="10"/>
        <v>564</v>
      </c>
      <c r="B638" s="988">
        <v>785</v>
      </c>
      <c r="C638" s="899" t="s">
        <v>9964</v>
      </c>
      <c r="D638" s="988" t="s">
        <v>2666</v>
      </c>
      <c r="E638" s="989">
        <v>369.07</v>
      </c>
      <c r="F638" s="990"/>
      <c r="G638" s="990"/>
      <c r="H638" s="990"/>
      <c r="I638" s="990"/>
      <c r="J638" s="990"/>
      <c r="K638" s="990"/>
      <c r="L638" s="990"/>
      <c r="M638" s="990"/>
      <c r="N638" s="990"/>
      <c r="O638" s="990"/>
      <c r="P638" s="990"/>
      <c r="Q638" s="990"/>
      <c r="R638" s="990"/>
      <c r="S638" s="990"/>
      <c r="T638" s="990"/>
      <c r="U638" s="990"/>
      <c r="V638" s="990"/>
      <c r="W638" s="990"/>
      <c r="X638" s="990"/>
    </row>
    <row r="639" spans="1:24" s="896" customFormat="1">
      <c r="A639" s="987">
        <f t="shared" si="10"/>
        <v>565</v>
      </c>
      <c r="B639" s="988">
        <v>784</v>
      </c>
      <c r="C639" s="899" t="s">
        <v>9965</v>
      </c>
      <c r="D639" s="988" t="s">
        <v>2666</v>
      </c>
      <c r="E639" s="989">
        <v>395.92</v>
      </c>
      <c r="F639" s="990"/>
      <c r="G639" s="990"/>
      <c r="H639" s="990"/>
      <c r="I639" s="990"/>
      <c r="J639" s="990"/>
      <c r="K639" s="990"/>
      <c r="L639" s="990"/>
      <c r="M639" s="990"/>
      <c r="N639" s="990"/>
      <c r="O639" s="990"/>
      <c r="P639" s="990"/>
      <c r="Q639" s="990"/>
      <c r="R639" s="990"/>
      <c r="S639" s="990"/>
      <c r="T639" s="990"/>
      <c r="U639" s="990"/>
      <c r="V639" s="990"/>
      <c r="W639" s="990"/>
      <c r="X639" s="990"/>
    </row>
    <row r="640" spans="1:24" s="896" customFormat="1" ht="25.5">
      <c r="A640" s="987">
        <f t="shared" si="10"/>
        <v>566</v>
      </c>
      <c r="B640" s="988">
        <v>831</v>
      </c>
      <c r="C640" s="899" t="s">
        <v>9966</v>
      </c>
      <c r="D640" s="988" t="s">
        <v>2666</v>
      </c>
      <c r="E640" s="989">
        <v>96.05</v>
      </c>
      <c r="F640" s="990"/>
      <c r="G640" s="990"/>
      <c r="H640" s="990"/>
      <c r="I640" s="990"/>
      <c r="J640" s="990"/>
      <c r="K640" s="990"/>
      <c r="L640" s="990"/>
      <c r="M640" s="990"/>
      <c r="N640" s="990"/>
      <c r="O640" s="990"/>
      <c r="P640" s="990"/>
      <c r="Q640" s="990"/>
      <c r="R640" s="990"/>
      <c r="S640" s="990"/>
      <c r="T640" s="990"/>
      <c r="U640" s="990"/>
      <c r="V640" s="990"/>
      <c r="W640" s="990"/>
      <c r="X640" s="990"/>
    </row>
    <row r="641" spans="1:24" s="896" customFormat="1" ht="25.5">
      <c r="A641" s="987">
        <f t="shared" si="10"/>
        <v>567</v>
      </c>
      <c r="B641" s="988">
        <v>828</v>
      </c>
      <c r="C641" s="899" t="s">
        <v>9967</v>
      </c>
      <c r="D641" s="988" t="s">
        <v>2666</v>
      </c>
      <c r="E641" s="989">
        <v>0.55000000000000004</v>
      </c>
      <c r="F641" s="990"/>
      <c r="G641" s="990"/>
      <c r="H641" s="990"/>
      <c r="I641" s="990"/>
      <c r="J641" s="990"/>
      <c r="K641" s="990"/>
      <c r="L641" s="990"/>
      <c r="M641" s="990"/>
      <c r="N641" s="990"/>
      <c r="O641" s="990"/>
      <c r="P641" s="990"/>
      <c r="Q641" s="990"/>
      <c r="R641" s="990"/>
      <c r="S641" s="990"/>
      <c r="T641" s="990"/>
      <c r="U641" s="990"/>
      <c r="V641" s="990"/>
      <c r="W641" s="990"/>
      <c r="X641" s="990"/>
    </row>
    <row r="642" spans="1:24" s="896" customFormat="1" ht="25.5">
      <c r="A642" s="987">
        <f t="shared" si="10"/>
        <v>568</v>
      </c>
      <c r="B642" s="988">
        <v>829</v>
      </c>
      <c r="C642" s="899" t="s">
        <v>9968</v>
      </c>
      <c r="D642" s="988" t="s">
        <v>2666</v>
      </c>
      <c r="E642" s="989">
        <v>1.1599999999999999</v>
      </c>
      <c r="F642" s="990"/>
      <c r="G642" s="990"/>
      <c r="H642" s="990"/>
      <c r="I642" s="990"/>
      <c r="J642" s="990"/>
      <c r="K642" s="990"/>
      <c r="L642" s="990"/>
      <c r="M642" s="990"/>
      <c r="N642" s="990"/>
      <c r="O642" s="990"/>
      <c r="P642" s="990"/>
      <c r="Q642" s="990"/>
      <c r="R642" s="990"/>
      <c r="S642" s="990"/>
      <c r="T642" s="990"/>
      <c r="U642" s="990"/>
      <c r="V642" s="990"/>
      <c r="W642" s="990"/>
      <c r="X642" s="990"/>
    </row>
    <row r="643" spans="1:24" s="896" customFormat="1" ht="25.5">
      <c r="A643" s="987">
        <f t="shared" si="10"/>
        <v>569</v>
      </c>
      <c r="B643" s="988">
        <v>812</v>
      </c>
      <c r="C643" s="899" t="s">
        <v>9969</v>
      </c>
      <c r="D643" s="988" t="s">
        <v>2666</v>
      </c>
      <c r="E643" s="989">
        <v>2.52</v>
      </c>
      <c r="F643" s="990"/>
      <c r="G643" s="990"/>
      <c r="H643" s="990"/>
      <c r="I643" s="990"/>
      <c r="J643" s="990"/>
      <c r="K643" s="990"/>
      <c r="L643" s="990"/>
      <c r="M643" s="990"/>
      <c r="N643" s="990"/>
      <c r="O643" s="990"/>
      <c r="P643" s="990"/>
      <c r="Q643" s="990"/>
      <c r="R643" s="990"/>
      <c r="S643" s="990"/>
      <c r="T643" s="990"/>
      <c r="U643" s="990"/>
      <c r="V643" s="990"/>
      <c r="W643" s="990"/>
      <c r="X643" s="990"/>
    </row>
    <row r="644" spans="1:24" s="896" customFormat="1" ht="25.5">
      <c r="A644" s="987">
        <f t="shared" si="10"/>
        <v>570</v>
      </c>
      <c r="B644" s="988">
        <v>819</v>
      </c>
      <c r="C644" s="899" t="s">
        <v>9970</v>
      </c>
      <c r="D644" s="988" t="s">
        <v>2666</v>
      </c>
      <c r="E644" s="989">
        <v>4.1500000000000004</v>
      </c>
      <c r="F644" s="990"/>
      <c r="G644" s="990"/>
      <c r="H644" s="990"/>
      <c r="I644" s="990"/>
      <c r="J644" s="990"/>
      <c r="K644" s="990"/>
      <c r="L644" s="990"/>
      <c r="M644" s="990"/>
      <c r="N644" s="990"/>
      <c r="O644" s="990"/>
      <c r="P644" s="990"/>
      <c r="Q644" s="990"/>
      <c r="R644" s="990"/>
      <c r="S644" s="990"/>
      <c r="T644" s="990"/>
      <c r="U644" s="990"/>
      <c r="V644" s="990"/>
      <c r="W644" s="990"/>
      <c r="X644" s="990"/>
    </row>
    <row r="645" spans="1:24" s="896" customFormat="1" ht="25.5">
      <c r="A645" s="987">
        <f t="shared" si="10"/>
        <v>571</v>
      </c>
      <c r="B645" s="988">
        <v>818</v>
      </c>
      <c r="C645" s="899" t="s">
        <v>9971</v>
      </c>
      <c r="D645" s="988" t="s">
        <v>2666</v>
      </c>
      <c r="E645" s="989">
        <v>6.97</v>
      </c>
      <c r="F645" s="990"/>
      <c r="G645" s="990"/>
      <c r="H645" s="990"/>
      <c r="I645" s="990"/>
      <c r="J645" s="990"/>
      <c r="K645" s="990"/>
      <c r="L645" s="990"/>
      <c r="M645" s="990"/>
      <c r="N645" s="990"/>
      <c r="O645" s="990"/>
      <c r="P645" s="990"/>
      <c r="Q645" s="990"/>
      <c r="R645" s="990"/>
      <c r="S645" s="990"/>
      <c r="T645" s="990"/>
      <c r="U645" s="990"/>
      <c r="V645" s="990"/>
      <c r="W645" s="990"/>
      <c r="X645" s="990"/>
    </row>
    <row r="646" spans="1:24" s="896" customFormat="1" ht="25.5">
      <c r="A646" s="987">
        <f t="shared" si="10"/>
        <v>572</v>
      </c>
      <c r="B646" s="988">
        <v>823</v>
      </c>
      <c r="C646" s="899" t="s">
        <v>9972</v>
      </c>
      <c r="D646" s="988" t="s">
        <v>2666</v>
      </c>
      <c r="E646" s="989">
        <v>21.01</v>
      </c>
      <c r="F646" s="990"/>
      <c r="G646" s="990"/>
      <c r="H646" s="990"/>
      <c r="I646" s="990"/>
      <c r="J646" s="990"/>
      <c r="K646" s="990"/>
      <c r="L646" s="990"/>
      <c r="M646" s="990"/>
      <c r="N646" s="990"/>
      <c r="O646" s="990"/>
      <c r="P646" s="990"/>
      <c r="Q646" s="990"/>
      <c r="R646" s="990"/>
      <c r="S646" s="990"/>
      <c r="T646" s="990"/>
      <c r="U646" s="990"/>
      <c r="V646" s="990"/>
      <c r="W646" s="990"/>
      <c r="X646" s="990"/>
    </row>
    <row r="647" spans="1:24" s="896" customFormat="1" ht="25.5">
      <c r="A647" s="987">
        <f t="shared" si="10"/>
        <v>573</v>
      </c>
      <c r="B647" s="988">
        <v>830</v>
      </c>
      <c r="C647" s="899" t="s">
        <v>9973</v>
      </c>
      <c r="D647" s="988" t="s">
        <v>2666</v>
      </c>
      <c r="E647" s="989">
        <v>17.309999999999999</v>
      </c>
      <c r="F647" s="990"/>
      <c r="G647" s="990"/>
      <c r="H647" s="990"/>
      <c r="I647" s="990"/>
      <c r="J647" s="990"/>
      <c r="K647" s="990"/>
      <c r="L647" s="990"/>
      <c r="M647" s="990"/>
      <c r="N647" s="990"/>
      <c r="O647" s="990"/>
      <c r="P647" s="990"/>
      <c r="Q647" s="990"/>
      <c r="R647" s="990"/>
      <c r="S647" s="990"/>
      <c r="T647" s="990"/>
      <c r="U647" s="990"/>
      <c r="V647" s="990"/>
      <c r="W647" s="990"/>
      <c r="X647" s="990"/>
    </row>
    <row r="648" spans="1:24" s="896" customFormat="1" ht="25.5">
      <c r="A648" s="987">
        <f t="shared" si="10"/>
        <v>574</v>
      </c>
      <c r="B648" s="988">
        <v>826</v>
      </c>
      <c r="C648" s="899" t="s">
        <v>9974</v>
      </c>
      <c r="D648" s="988" t="s">
        <v>2666</v>
      </c>
      <c r="E648" s="989">
        <v>53.87</v>
      </c>
      <c r="F648" s="990"/>
      <c r="G648" s="990"/>
      <c r="H648" s="990"/>
      <c r="I648" s="990"/>
      <c r="J648" s="990"/>
      <c r="K648" s="990"/>
      <c r="L648" s="990"/>
      <c r="M648" s="990"/>
      <c r="N648" s="990"/>
      <c r="O648" s="990"/>
      <c r="P648" s="990"/>
      <c r="Q648" s="990"/>
      <c r="R648" s="990"/>
      <c r="S648" s="990"/>
      <c r="T648" s="990"/>
      <c r="U648" s="990"/>
      <c r="V648" s="990"/>
      <c r="W648" s="990"/>
      <c r="X648" s="990"/>
    </row>
    <row r="649" spans="1:24" s="896" customFormat="1" ht="25.5">
      <c r="A649" s="987">
        <f t="shared" si="10"/>
        <v>575</v>
      </c>
      <c r="B649" s="988">
        <v>827</v>
      </c>
      <c r="C649" s="899" t="s">
        <v>9975</v>
      </c>
      <c r="D649" s="988" t="s">
        <v>2666</v>
      </c>
      <c r="E649" s="989">
        <v>45.51</v>
      </c>
      <c r="F649" s="990"/>
      <c r="G649" s="990"/>
      <c r="H649" s="990"/>
      <c r="I649" s="990"/>
      <c r="J649" s="990"/>
      <c r="K649" s="990"/>
      <c r="L649" s="990"/>
      <c r="M649" s="990"/>
      <c r="N649" s="990"/>
      <c r="O649" s="990"/>
      <c r="P649" s="990"/>
      <c r="Q649" s="990"/>
      <c r="R649" s="990"/>
      <c r="S649" s="990"/>
      <c r="T649" s="990"/>
      <c r="U649" s="990"/>
      <c r="V649" s="990"/>
      <c r="W649" s="990"/>
      <c r="X649" s="990"/>
    </row>
    <row r="650" spans="1:24" s="896" customFormat="1" ht="25.5">
      <c r="A650" s="987">
        <f t="shared" si="10"/>
        <v>576</v>
      </c>
      <c r="B650" s="988">
        <v>832</v>
      </c>
      <c r="C650" s="899" t="s">
        <v>9976</v>
      </c>
      <c r="D650" s="988" t="s">
        <v>2666</v>
      </c>
      <c r="E650" s="989">
        <v>3.15</v>
      </c>
      <c r="F650" s="990"/>
      <c r="G650" s="990"/>
      <c r="H650" s="990"/>
      <c r="I650" s="990"/>
      <c r="J650" s="990"/>
      <c r="K650" s="990"/>
      <c r="L650" s="990"/>
      <c r="M650" s="990"/>
      <c r="N650" s="990"/>
      <c r="O650" s="990"/>
      <c r="P650" s="990"/>
      <c r="Q650" s="990"/>
      <c r="R650" s="990"/>
      <c r="S650" s="990"/>
      <c r="T650" s="990"/>
      <c r="U650" s="990"/>
      <c r="V650" s="990"/>
      <c r="W650" s="990"/>
      <c r="X650" s="990"/>
    </row>
    <row r="651" spans="1:24" s="896" customFormat="1" ht="25.5">
      <c r="A651" s="987">
        <f t="shared" si="10"/>
        <v>577</v>
      </c>
      <c r="B651" s="988">
        <v>833</v>
      </c>
      <c r="C651" s="899" t="s">
        <v>9977</v>
      </c>
      <c r="D651" s="988" t="s">
        <v>2666</v>
      </c>
      <c r="E651" s="989">
        <v>4.46</v>
      </c>
      <c r="F651" s="990"/>
      <c r="G651" s="990"/>
      <c r="H651" s="990"/>
      <c r="I651" s="990"/>
      <c r="J651" s="990"/>
      <c r="K651" s="990"/>
      <c r="L651" s="990"/>
      <c r="M651" s="990"/>
      <c r="N651" s="990"/>
      <c r="O651" s="990"/>
      <c r="P651" s="990"/>
      <c r="Q651" s="990"/>
      <c r="R651" s="990"/>
      <c r="S651" s="990"/>
      <c r="T651" s="990"/>
      <c r="U651" s="990"/>
      <c r="V651" s="990"/>
      <c r="W651" s="990"/>
      <c r="X651" s="990"/>
    </row>
    <row r="652" spans="1:24" s="896" customFormat="1" ht="25.5">
      <c r="A652" s="987">
        <f t="shared" ref="A652:A715" si="11">A651+1</f>
        <v>578</v>
      </c>
      <c r="B652" s="988">
        <v>834</v>
      </c>
      <c r="C652" s="899" t="s">
        <v>9978</v>
      </c>
      <c r="D652" s="988" t="s">
        <v>2666</v>
      </c>
      <c r="E652" s="989">
        <v>4.9000000000000004</v>
      </c>
      <c r="F652" s="990"/>
      <c r="G652" s="990"/>
      <c r="H652" s="990"/>
      <c r="I652" s="990"/>
      <c r="J652" s="990"/>
      <c r="K652" s="990"/>
      <c r="L652" s="990"/>
      <c r="M652" s="990"/>
      <c r="N652" s="990"/>
      <c r="O652" s="990"/>
      <c r="P652" s="990"/>
      <c r="Q652" s="990"/>
      <c r="R652" s="990"/>
      <c r="S652" s="990"/>
      <c r="T652" s="990"/>
      <c r="U652" s="990"/>
      <c r="V652" s="990"/>
      <c r="W652" s="990"/>
      <c r="X652" s="990"/>
    </row>
    <row r="653" spans="1:24" s="896" customFormat="1" ht="25.5">
      <c r="A653" s="987">
        <f t="shared" si="11"/>
        <v>579</v>
      </c>
      <c r="B653" s="988">
        <v>825</v>
      </c>
      <c r="C653" s="899" t="s">
        <v>9979</v>
      </c>
      <c r="D653" s="988" t="s">
        <v>2666</v>
      </c>
      <c r="E653" s="989">
        <v>5.46</v>
      </c>
      <c r="F653" s="990"/>
      <c r="G653" s="990"/>
      <c r="H653" s="990"/>
      <c r="I653" s="990"/>
      <c r="J653" s="990"/>
      <c r="K653" s="990"/>
      <c r="L653" s="990"/>
      <c r="M653" s="990"/>
      <c r="N653" s="990"/>
      <c r="O653" s="990"/>
      <c r="P653" s="990"/>
      <c r="Q653" s="990"/>
      <c r="R653" s="990"/>
      <c r="S653" s="990"/>
      <c r="T653" s="990"/>
      <c r="U653" s="990"/>
      <c r="V653" s="990"/>
      <c r="W653" s="990"/>
      <c r="X653" s="990"/>
    </row>
    <row r="654" spans="1:24" s="896" customFormat="1" ht="25.5">
      <c r="A654" s="987">
        <f t="shared" si="11"/>
        <v>580</v>
      </c>
      <c r="B654" s="988">
        <v>813</v>
      </c>
      <c r="C654" s="899" t="s">
        <v>9980</v>
      </c>
      <c r="D654" s="988" t="s">
        <v>2666</v>
      </c>
      <c r="E654" s="989">
        <v>5.37</v>
      </c>
      <c r="F654" s="990"/>
      <c r="G654" s="990"/>
      <c r="H654" s="990"/>
      <c r="I654" s="990"/>
      <c r="J654" s="990"/>
      <c r="K654" s="990"/>
      <c r="L654" s="990"/>
      <c r="M654" s="990"/>
      <c r="N654" s="990"/>
      <c r="O654" s="990"/>
      <c r="P654" s="990"/>
      <c r="Q654" s="990"/>
      <c r="R654" s="990"/>
      <c r="S654" s="990"/>
      <c r="T654" s="990"/>
      <c r="U654" s="990"/>
      <c r="V654" s="990"/>
      <c r="W654" s="990"/>
      <c r="X654" s="990"/>
    </row>
    <row r="655" spans="1:24" s="896" customFormat="1" ht="25.5">
      <c r="A655" s="987">
        <f t="shared" si="11"/>
        <v>581</v>
      </c>
      <c r="B655" s="988">
        <v>820</v>
      </c>
      <c r="C655" s="899" t="s">
        <v>9981</v>
      </c>
      <c r="D655" s="988" t="s">
        <v>2666</v>
      </c>
      <c r="E655" s="989">
        <v>6.81</v>
      </c>
      <c r="F655" s="990"/>
      <c r="G655" s="990"/>
      <c r="H655" s="990"/>
      <c r="I655" s="990"/>
      <c r="J655" s="990"/>
      <c r="K655" s="990"/>
      <c r="L655" s="990"/>
      <c r="M655" s="990"/>
      <c r="N655" s="990"/>
      <c r="O655" s="990"/>
      <c r="P655" s="990"/>
      <c r="Q655" s="990"/>
      <c r="R655" s="990"/>
      <c r="S655" s="990"/>
      <c r="T655" s="990"/>
      <c r="U655" s="990"/>
      <c r="V655" s="990"/>
      <c r="W655" s="990"/>
      <c r="X655" s="990"/>
    </row>
    <row r="656" spans="1:24" s="896" customFormat="1" ht="25.5">
      <c r="A656" s="987">
        <f t="shared" si="11"/>
        <v>582</v>
      </c>
      <c r="B656" s="988">
        <v>816</v>
      </c>
      <c r="C656" s="899" t="s">
        <v>9982</v>
      </c>
      <c r="D656" s="988" t="s">
        <v>2666</v>
      </c>
      <c r="E656" s="989">
        <v>11.6</v>
      </c>
      <c r="F656" s="990"/>
      <c r="G656" s="990"/>
      <c r="H656" s="990"/>
      <c r="I656" s="990"/>
      <c r="J656" s="990"/>
      <c r="K656" s="990"/>
      <c r="L656" s="990"/>
      <c r="M656" s="990"/>
      <c r="N656" s="990"/>
      <c r="O656" s="990"/>
      <c r="P656" s="990"/>
      <c r="Q656" s="990"/>
      <c r="R656" s="990"/>
      <c r="S656" s="990"/>
      <c r="T656" s="990"/>
      <c r="U656" s="990"/>
      <c r="V656" s="990"/>
      <c r="W656" s="990"/>
      <c r="X656" s="990"/>
    </row>
    <row r="657" spans="1:24" s="896" customFormat="1" ht="25.5">
      <c r="A657" s="987">
        <f t="shared" si="11"/>
        <v>583</v>
      </c>
      <c r="B657" s="988">
        <v>814</v>
      </c>
      <c r="C657" s="899" t="s">
        <v>9983</v>
      </c>
      <c r="D657" s="988" t="s">
        <v>2666</v>
      </c>
      <c r="E657" s="989">
        <v>14.01</v>
      </c>
      <c r="F657" s="990"/>
      <c r="G657" s="990"/>
      <c r="H657" s="990"/>
      <c r="I657" s="990"/>
      <c r="J657" s="990"/>
      <c r="K657" s="990"/>
      <c r="L657" s="990"/>
      <c r="M657" s="990"/>
      <c r="N657" s="990"/>
      <c r="O657" s="990"/>
      <c r="P657" s="990"/>
      <c r="Q657" s="990"/>
      <c r="R657" s="990"/>
      <c r="S657" s="990"/>
      <c r="T657" s="990"/>
      <c r="U657" s="990"/>
      <c r="V657" s="990"/>
      <c r="W657" s="990"/>
      <c r="X657" s="990"/>
    </row>
    <row r="658" spans="1:24" s="896" customFormat="1" ht="25.5">
      <c r="A658" s="987">
        <f t="shared" si="11"/>
        <v>584</v>
      </c>
      <c r="B658" s="988">
        <v>815</v>
      </c>
      <c r="C658" s="899" t="s">
        <v>9984</v>
      </c>
      <c r="D658" s="988" t="s">
        <v>2666</v>
      </c>
      <c r="E658" s="989">
        <v>15.14</v>
      </c>
      <c r="F658" s="990"/>
      <c r="G658" s="990"/>
      <c r="H658" s="990"/>
      <c r="I658" s="990"/>
      <c r="J658" s="990"/>
      <c r="K658" s="990"/>
      <c r="L658" s="990"/>
      <c r="M658" s="990"/>
      <c r="N658" s="990"/>
      <c r="O658" s="990"/>
      <c r="P658" s="990"/>
      <c r="Q658" s="990"/>
      <c r="R658" s="990"/>
      <c r="S658" s="990"/>
      <c r="T658" s="990"/>
      <c r="U658" s="990"/>
      <c r="V658" s="990"/>
      <c r="W658" s="990"/>
      <c r="X658" s="990"/>
    </row>
    <row r="659" spans="1:24" s="896" customFormat="1" ht="25.5">
      <c r="A659" s="987">
        <f t="shared" si="11"/>
        <v>585</v>
      </c>
      <c r="B659" s="988">
        <v>822</v>
      </c>
      <c r="C659" s="899" t="s">
        <v>9985</v>
      </c>
      <c r="D659" s="988" t="s">
        <v>2666</v>
      </c>
      <c r="E659" s="989">
        <v>18.440000000000001</v>
      </c>
      <c r="F659" s="990"/>
      <c r="G659" s="990"/>
      <c r="H659" s="990"/>
      <c r="I659" s="990"/>
      <c r="J659" s="990"/>
      <c r="K659" s="990"/>
      <c r="L659" s="990"/>
      <c r="M659" s="990"/>
      <c r="N659" s="990"/>
      <c r="O659" s="990"/>
      <c r="P659" s="990"/>
      <c r="Q659" s="990"/>
      <c r="R659" s="990"/>
      <c r="S659" s="990"/>
      <c r="T659" s="990"/>
      <c r="U659" s="990"/>
      <c r="V659" s="990"/>
      <c r="W659" s="990"/>
      <c r="X659" s="990"/>
    </row>
    <row r="660" spans="1:24" s="896" customFormat="1" ht="25.5">
      <c r="A660" s="987">
        <f t="shared" si="11"/>
        <v>586</v>
      </c>
      <c r="B660" s="988">
        <v>821</v>
      </c>
      <c r="C660" s="899" t="s">
        <v>9986</v>
      </c>
      <c r="D660" s="988" t="s">
        <v>2666</v>
      </c>
      <c r="E660" s="989">
        <v>21.56</v>
      </c>
      <c r="F660" s="990"/>
      <c r="G660" s="990"/>
      <c r="H660" s="990"/>
      <c r="I660" s="990"/>
      <c r="J660" s="990"/>
      <c r="K660" s="990"/>
      <c r="L660" s="990"/>
      <c r="M660" s="990"/>
      <c r="N660" s="990"/>
      <c r="O660" s="990"/>
      <c r="P660" s="990"/>
      <c r="Q660" s="990"/>
      <c r="R660" s="990"/>
      <c r="S660" s="990"/>
      <c r="T660" s="990"/>
      <c r="U660" s="990"/>
      <c r="V660" s="990"/>
      <c r="W660" s="990"/>
      <c r="X660" s="990"/>
    </row>
    <row r="661" spans="1:24" s="896" customFormat="1" ht="25.5">
      <c r="A661" s="987">
        <f t="shared" si="11"/>
        <v>587</v>
      </c>
      <c r="B661" s="988">
        <v>817</v>
      </c>
      <c r="C661" s="899" t="s">
        <v>9987</v>
      </c>
      <c r="D661" s="988" t="s">
        <v>2666</v>
      </c>
      <c r="E661" s="989">
        <v>25.63</v>
      </c>
      <c r="F661" s="990"/>
      <c r="G661" s="990"/>
      <c r="H661" s="990"/>
      <c r="I661" s="990"/>
      <c r="J661" s="990"/>
      <c r="K661" s="990"/>
      <c r="L661" s="990"/>
      <c r="M661" s="990"/>
      <c r="N661" s="990"/>
      <c r="O661" s="990"/>
      <c r="P661" s="990"/>
      <c r="Q661" s="990"/>
      <c r="R661" s="990"/>
      <c r="S661" s="990"/>
      <c r="T661" s="990"/>
      <c r="U661" s="990"/>
      <c r="V661" s="990"/>
      <c r="W661" s="990"/>
      <c r="X661" s="990"/>
    </row>
    <row r="662" spans="1:24" s="896" customFormat="1">
      <c r="A662" s="987">
        <f t="shared" si="11"/>
        <v>588</v>
      </c>
      <c r="B662" s="988">
        <v>20086</v>
      </c>
      <c r="C662" s="899" t="s">
        <v>9988</v>
      </c>
      <c r="D662" s="988" t="s">
        <v>2666</v>
      </c>
      <c r="E662" s="989">
        <v>3.13</v>
      </c>
      <c r="F662" s="990"/>
      <c r="G662" s="990"/>
      <c r="H662" s="990"/>
      <c r="I662" s="990"/>
      <c r="J662" s="990"/>
      <c r="K662" s="990"/>
      <c r="L662" s="990"/>
      <c r="M662" s="990"/>
      <c r="N662" s="990"/>
      <c r="O662" s="990"/>
      <c r="P662" s="990"/>
      <c r="Q662" s="990"/>
      <c r="R662" s="990"/>
      <c r="S662" s="990"/>
      <c r="T662" s="990"/>
      <c r="U662" s="990"/>
      <c r="V662" s="990"/>
      <c r="W662" s="990"/>
      <c r="X662" s="990"/>
    </row>
    <row r="663" spans="1:24" s="896" customFormat="1">
      <c r="A663" s="987">
        <f t="shared" si="11"/>
        <v>589</v>
      </c>
      <c r="B663" s="988">
        <v>39191</v>
      </c>
      <c r="C663" s="899" t="s">
        <v>9989</v>
      </c>
      <c r="D663" s="988" t="s">
        <v>2666</v>
      </c>
      <c r="E663" s="989">
        <v>20.02</v>
      </c>
      <c r="F663" s="990"/>
      <c r="G663" s="990"/>
      <c r="H663" s="990"/>
      <c r="I663" s="990"/>
      <c r="J663" s="990"/>
      <c r="K663" s="990"/>
      <c r="L663" s="990"/>
      <c r="M663" s="990"/>
      <c r="N663" s="990"/>
      <c r="O663" s="990"/>
      <c r="P663" s="990"/>
      <c r="Q663" s="990"/>
      <c r="R663" s="990"/>
      <c r="S663" s="990"/>
      <c r="T663" s="990"/>
      <c r="U663" s="990"/>
      <c r="V663" s="990"/>
      <c r="W663" s="990"/>
      <c r="X663" s="990"/>
    </row>
    <row r="664" spans="1:24" s="896" customFormat="1">
      <c r="A664" s="987">
        <f t="shared" si="11"/>
        <v>590</v>
      </c>
      <c r="B664" s="988">
        <v>39190</v>
      </c>
      <c r="C664" s="899" t="s">
        <v>9990</v>
      </c>
      <c r="D664" s="988" t="s">
        <v>2666</v>
      </c>
      <c r="E664" s="989">
        <v>20.91</v>
      </c>
      <c r="F664" s="990"/>
      <c r="G664" s="990"/>
      <c r="H664" s="990"/>
      <c r="I664" s="990"/>
      <c r="J664" s="990"/>
      <c r="K664" s="990"/>
      <c r="L664" s="990"/>
      <c r="M664" s="990"/>
      <c r="N664" s="990"/>
      <c r="O664" s="990"/>
      <c r="P664" s="990"/>
      <c r="Q664" s="990"/>
      <c r="R664" s="990"/>
      <c r="S664" s="990"/>
      <c r="T664" s="990"/>
      <c r="U664" s="990"/>
      <c r="V664" s="990"/>
      <c r="W664" s="990"/>
      <c r="X664" s="990"/>
    </row>
    <row r="665" spans="1:24" s="896" customFormat="1">
      <c r="A665" s="987">
        <f t="shared" si="11"/>
        <v>591</v>
      </c>
      <c r="B665" s="988">
        <v>39189</v>
      </c>
      <c r="C665" s="899" t="s">
        <v>9991</v>
      </c>
      <c r="D665" s="988" t="s">
        <v>2666</v>
      </c>
      <c r="E665" s="989">
        <v>22.13</v>
      </c>
      <c r="F665" s="990"/>
      <c r="G665" s="990"/>
      <c r="H665" s="990"/>
      <c r="I665" s="990"/>
      <c r="J665" s="990"/>
      <c r="K665" s="990"/>
      <c r="L665" s="990"/>
      <c r="M665" s="990"/>
      <c r="N665" s="990"/>
      <c r="O665" s="990"/>
      <c r="P665" s="990"/>
      <c r="Q665" s="990"/>
      <c r="R665" s="990"/>
      <c r="S665" s="990"/>
      <c r="T665" s="990"/>
      <c r="U665" s="990"/>
      <c r="V665" s="990"/>
      <c r="W665" s="990"/>
      <c r="X665" s="990"/>
    </row>
    <row r="666" spans="1:24" s="896" customFormat="1">
      <c r="A666" s="987">
        <f t="shared" si="11"/>
        <v>592</v>
      </c>
      <c r="B666" s="988">
        <v>39186</v>
      </c>
      <c r="C666" s="899" t="s">
        <v>9992</v>
      </c>
      <c r="D666" s="988" t="s">
        <v>2666</v>
      </c>
      <c r="E666" s="989">
        <v>19.8</v>
      </c>
      <c r="F666" s="990"/>
      <c r="G666" s="990"/>
      <c r="H666" s="990"/>
      <c r="I666" s="990"/>
      <c r="J666" s="990"/>
      <c r="K666" s="990"/>
      <c r="L666" s="990"/>
      <c r="M666" s="990"/>
      <c r="N666" s="990"/>
      <c r="O666" s="990"/>
      <c r="P666" s="990"/>
      <c r="Q666" s="990"/>
      <c r="R666" s="990"/>
      <c r="S666" s="990"/>
      <c r="T666" s="990"/>
      <c r="U666" s="990"/>
      <c r="V666" s="990"/>
      <c r="W666" s="990"/>
      <c r="X666" s="990"/>
    </row>
    <row r="667" spans="1:24" s="896" customFormat="1">
      <c r="A667" s="987">
        <f t="shared" si="11"/>
        <v>593</v>
      </c>
      <c r="B667" s="988">
        <v>39188</v>
      </c>
      <c r="C667" s="899" t="s">
        <v>9993</v>
      </c>
      <c r="D667" s="988" t="s">
        <v>2666</v>
      </c>
      <c r="E667" s="989">
        <v>16.29</v>
      </c>
      <c r="F667" s="990"/>
      <c r="G667" s="990"/>
      <c r="H667" s="990"/>
      <c r="I667" s="990"/>
      <c r="J667" s="990"/>
      <c r="K667" s="990"/>
      <c r="L667" s="990"/>
      <c r="M667" s="990"/>
      <c r="N667" s="990"/>
      <c r="O667" s="990"/>
      <c r="P667" s="990"/>
      <c r="Q667" s="990"/>
      <c r="R667" s="990"/>
      <c r="S667" s="990"/>
      <c r="T667" s="990"/>
      <c r="U667" s="990"/>
      <c r="V667" s="990"/>
      <c r="W667" s="990"/>
      <c r="X667" s="990"/>
    </row>
    <row r="668" spans="1:24" s="896" customFormat="1">
      <c r="A668" s="987">
        <f t="shared" si="11"/>
        <v>594</v>
      </c>
      <c r="B668" s="988">
        <v>39187</v>
      </c>
      <c r="C668" s="899" t="s">
        <v>9994</v>
      </c>
      <c r="D668" s="988" t="s">
        <v>2666</v>
      </c>
      <c r="E668" s="989">
        <v>17.07</v>
      </c>
      <c r="F668" s="990"/>
      <c r="G668" s="990"/>
      <c r="H668" s="990"/>
      <c r="I668" s="990"/>
      <c r="J668" s="990"/>
      <c r="K668" s="990"/>
      <c r="L668" s="990"/>
      <c r="M668" s="990"/>
      <c r="N668" s="990"/>
      <c r="O668" s="990"/>
      <c r="P668" s="990"/>
      <c r="Q668" s="990"/>
      <c r="R668" s="990"/>
      <c r="S668" s="990"/>
      <c r="T668" s="990"/>
      <c r="U668" s="990"/>
      <c r="V668" s="990"/>
      <c r="W668" s="990"/>
      <c r="X668" s="990"/>
    </row>
    <row r="669" spans="1:24" s="896" customFormat="1">
      <c r="A669" s="987">
        <f t="shared" si="11"/>
        <v>595</v>
      </c>
      <c r="B669" s="988">
        <v>39184</v>
      </c>
      <c r="C669" s="899" t="s">
        <v>9995</v>
      </c>
      <c r="D669" s="988" t="s">
        <v>2666</v>
      </c>
      <c r="E669" s="989">
        <v>6.42</v>
      </c>
      <c r="F669" s="990"/>
      <c r="G669" s="990"/>
      <c r="H669" s="990"/>
      <c r="I669" s="990"/>
      <c r="J669" s="990"/>
      <c r="K669" s="990"/>
      <c r="L669" s="990"/>
      <c r="M669" s="990"/>
      <c r="N669" s="990"/>
      <c r="O669" s="990"/>
      <c r="P669" s="990"/>
      <c r="Q669" s="990"/>
      <c r="R669" s="990"/>
      <c r="S669" s="990"/>
      <c r="T669" s="990"/>
      <c r="U669" s="990"/>
      <c r="V669" s="990"/>
      <c r="W669" s="990"/>
      <c r="X669" s="990"/>
    </row>
    <row r="670" spans="1:24" s="896" customFormat="1">
      <c r="A670" s="987">
        <f t="shared" si="11"/>
        <v>596</v>
      </c>
      <c r="B670" s="988">
        <v>39185</v>
      </c>
      <c r="C670" s="899" t="s">
        <v>9996</v>
      </c>
      <c r="D670" s="988" t="s">
        <v>2666</v>
      </c>
      <c r="E670" s="989">
        <v>5.86</v>
      </c>
      <c r="F670" s="990"/>
      <c r="G670" s="990"/>
      <c r="H670" s="990"/>
      <c r="I670" s="990"/>
      <c r="J670" s="990"/>
      <c r="K670" s="990"/>
      <c r="L670" s="990"/>
      <c r="M670" s="990"/>
      <c r="N670" s="990"/>
      <c r="O670" s="990"/>
      <c r="P670" s="990"/>
      <c r="Q670" s="990"/>
      <c r="R670" s="990"/>
      <c r="S670" s="990"/>
      <c r="T670" s="990"/>
      <c r="U670" s="990"/>
      <c r="V670" s="990"/>
      <c r="W670" s="990"/>
      <c r="X670" s="990"/>
    </row>
    <row r="671" spans="1:24" s="896" customFormat="1">
      <c r="A671" s="987">
        <f t="shared" si="11"/>
        <v>597</v>
      </c>
      <c r="B671" s="988">
        <v>39198</v>
      </c>
      <c r="C671" s="899" t="s">
        <v>9997</v>
      </c>
      <c r="D671" s="988" t="s">
        <v>2666</v>
      </c>
      <c r="E671" s="989">
        <v>65.67</v>
      </c>
      <c r="F671" s="990"/>
      <c r="G671" s="990"/>
      <c r="H671" s="990"/>
      <c r="I671" s="990"/>
      <c r="J671" s="990"/>
      <c r="K671" s="990"/>
      <c r="L671" s="990"/>
      <c r="M671" s="990"/>
      <c r="N671" s="990"/>
      <c r="O671" s="990"/>
      <c r="P671" s="990"/>
      <c r="Q671" s="990"/>
      <c r="R671" s="990"/>
      <c r="S671" s="990"/>
      <c r="T671" s="990"/>
      <c r="U671" s="990"/>
      <c r="V671" s="990"/>
      <c r="W671" s="990"/>
      <c r="X671" s="990"/>
    </row>
    <row r="672" spans="1:24" s="896" customFormat="1">
      <c r="A672" s="987">
        <f t="shared" si="11"/>
        <v>598</v>
      </c>
      <c r="B672" s="988">
        <v>39197</v>
      </c>
      <c r="C672" s="899" t="s">
        <v>9998</v>
      </c>
      <c r="D672" s="988" t="s">
        <v>2666</v>
      </c>
      <c r="E672" s="989">
        <v>68.599999999999994</v>
      </c>
      <c r="F672" s="990"/>
      <c r="G672" s="990"/>
      <c r="H672" s="990"/>
      <c r="I672" s="990"/>
      <c r="J672" s="990"/>
      <c r="K672" s="990"/>
      <c r="L672" s="990"/>
      <c r="M672" s="990"/>
      <c r="N672" s="990"/>
      <c r="O672" s="990"/>
      <c r="P672" s="990"/>
      <c r="Q672" s="990"/>
      <c r="R672" s="990"/>
      <c r="S672" s="990"/>
      <c r="T672" s="990"/>
      <c r="U672" s="990"/>
      <c r="V672" s="990"/>
      <c r="W672" s="990"/>
      <c r="X672" s="990"/>
    </row>
    <row r="673" spans="1:24" s="896" customFormat="1">
      <c r="A673" s="987">
        <f t="shared" si="11"/>
        <v>599</v>
      </c>
      <c r="B673" s="988">
        <v>39196</v>
      </c>
      <c r="C673" s="899" t="s">
        <v>9999</v>
      </c>
      <c r="D673" s="988" t="s">
        <v>2666</v>
      </c>
      <c r="E673" s="989">
        <v>70.739999999999995</v>
      </c>
      <c r="F673" s="990"/>
      <c r="G673" s="990"/>
      <c r="H673" s="990"/>
      <c r="I673" s="990"/>
      <c r="J673" s="990"/>
      <c r="K673" s="990"/>
      <c r="L673" s="990"/>
      <c r="M673" s="990"/>
      <c r="N673" s="990"/>
      <c r="O673" s="990"/>
      <c r="P673" s="990"/>
      <c r="Q673" s="990"/>
      <c r="R673" s="990"/>
      <c r="S673" s="990"/>
      <c r="T673" s="990"/>
      <c r="U673" s="990"/>
      <c r="V673" s="990"/>
      <c r="W673" s="990"/>
      <c r="X673" s="990"/>
    </row>
    <row r="674" spans="1:24" s="896" customFormat="1">
      <c r="A674" s="987">
        <f t="shared" si="11"/>
        <v>600</v>
      </c>
      <c r="B674" s="988">
        <v>39199</v>
      </c>
      <c r="C674" s="899" t="s">
        <v>10000</v>
      </c>
      <c r="D674" s="988" t="s">
        <v>2666</v>
      </c>
      <c r="E674" s="989">
        <v>63.19</v>
      </c>
      <c r="F674" s="990"/>
      <c r="G674" s="990"/>
      <c r="H674" s="990"/>
      <c r="I674" s="990"/>
      <c r="J674" s="990"/>
      <c r="K674" s="990"/>
      <c r="L674" s="990"/>
      <c r="M674" s="990"/>
      <c r="N674" s="990"/>
      <c r="O674" s="990"/>
      <c r="P674" s="990"/>
      <c r="Q674" s="990"/>
      <c r="R674" s="990"/>
      <c r="S674" s="990"/>
      <c r="T674" s="990"/>
      <c r="U674" s="990"/>
      <c r="V674" s="990"/>
      <c r="W674" s="990"/>
      <c r="X674" s="990"/>
    </row>
    <row r="675" spans="1:24" s="896" customFormat="1">
      <c r="A675" s="987">
        <f t="shared" si="11"/>
        <v>601</v>
      </c>
      <c r="B675" s="988">
        <v>39195</v>
      </c>
      <c r="C675" s="899" t="s">
        <v>10001</v>
      </c>
      <c r="D675" s="988" t="s">
        <v>2666</v>
      </c>
      <c r="E675" s="989">
        <v>36.47</v>
      </c>
      <c r="F675" s="990"/>
      <c r="G675" s="990"/>
      <c r="H675" s="990"/>
      <c r="I675" s="990"/>
      <c r="J675" s="990"/>
      <c r="K675" s="990"/>
      <c r="L675" s="990"/>
      <c r="M675" s="990"/>
      <c r="N675" s="990"/>
      <c r="O675" s="990"/>
      <c r="P675" s="990"/>
      <c r="Q675" s="990"/>
      <c r="R675" s="990"/>
      <c r="S675" s="990"/>
      <c r="T675" s="990"/>
      <c r="U675" s="990"/>
      <c r="V675" s="990"/>
      <c r="W675" s="990"/>
      <c r="X675" s="990"/>
    </row>
    <row r="676" spans="1:24" s="896" customFormat="1">
      <c r="A676" s="987">
        <f t="shared" si="11"/>
        <v>602</v>
      </c>
      <c r="B676" s="988">
        <v>39194</v>
      </c>
      <c r="C676" s="899" t="s">
        <v>10002</v>
      </c>
      <c r="D676" s="988" t="s">
        <v>2666</v>
      </c>
      <c r="E676" s="989">
        <v>39.03</v>
      </c>
      <c r="F676" s="990"/>
      <c r="G676" s="990"/>
      <c r="H676" s="990"/>
      <c r="I676" s="990"/>
      <c r="J676" s="990"/>
      <c r="K676" s="990"/>
      <c r="L676" s="990"/>
      <c r="M676" s="990"/>
      <c r="N676" s="990"/>
      <c r="O676" s="990"/>
      <c r="P676" s="990"/>
      <c r="Q676" s="990"/>
      <c r="R676" s="990"/>
      <c r="S676" s="990"/>
      <c r="T676" s="990"/>
      <c r="U676" s="990"/>
      <c r="V676" s="990"/>
      <c r="W676" s="990"/>
      <c r="X676" s="990"/>
    </row>
    <row r="677" spans="1:24" s="896" customFormat="1">
      <c r="A677" s="987">
        <f t="shared" si="11"/>
        <v>603</v>
      </c>
      <c r="B677" s="988">
        <v>39193</v>
      </c>
      <c r="C677" s="899" t="s">
        <v>10003</v>
      </c>
      <c r="D677" s="988" t="s">
        <v>2666</v>
      </c>
      <c r="E677" s="989">
        <v>42.78</v>
      </c>
      <c r="F677" s="990"/>
      <c r="G677" s="990"/>
      <c r="H677" s="990"/>
      <c r="I677" s="990"/>
      <c r="J677" s="990"/>
      <c r="K677" s="990"/>
      <c r="L677" s="990"/>
      <c r="M677" s="990"/>
      <c r="N677" s="990"/>
      <c r="O677" s="990"/>
      <c r="P677" s="990"/>
      <c r="Q677" s="990"/>
      <c r="R677" s="990"/>
      <c r="S677" s="990"/>
      <c r="T677" s="990"/>
      <c r="U677" s="990"/>
      <c r="V677" s="990"/>
      <c r="W677" s="990"/>
      <c r="X677" s="990"/>
    </row>
    <row r="678" spans="1:24" s="896" customFormat="1">
      <c r="A678" s="987">
        <f t="shared" si="11"/>
        <v>604</v>
      </c>
      <c r="B678" s="988">
        <v>39192</v>
      </c>
      <c r="C678" s="899" t="s">
        <v>10004</v>
      </c>
      <c r="D678" s="988" t="s">
        <v>2666</v>
      </c>
      <c r="E678" s="989">
        <v>44.5</v>
      </c>
      <c r="F678" s="990"/>
      <c r="G678" s="990"/>
      <c r="H678" s="990"/>
      <c r="I678" s="990"/>
      <c r="J678" s="990"/>
      <c r="K678" s="990"/>
      <c r="L678" s="990"/>
      <c r="M678" s="990"/>
      <c r="N678" s="990"/>
      <c r="O678" s="990"/>
      <c r="P678" s="990"/>
      <c r="Q678" s="990"/>
      <c r="R678" s="990"/>
      <c r="S678" s="990"/>
      <c r="T678" s="990"/>
      <c r="U678" s="990"/>
      <c r="V678" s="990"/>
      <c r="W678" s="990"/>
      <c r="X678" s="990"/>
    </row>
    <row r="679" spans="1:24" s="896" customFormat="1">
      <c r="A679" s="987">
        <f t="shared" si="11"/>
        <v>605</v>
      </c>
      <c r="B679" s="988">
        <v>39920</v>
      </c>
      <c r="C679" s="899" t="s">
        <v>10005</v>
      </c>
      <c r="D679" s="988" t="s">
        <v>2666</v>
      </c>
      <c r="E679" s="989">
        <v>5.39</v>
      </c>
      <c r="F679" s="990"/>
      <c r="G679" s="990"/>
      <c r="H679" s="990"/>
      <c r="I679" s="990"/>
      <c r="J679" s="990"/>
      <c r="K679" s="990"/>
      <c r="L679" s="990"/>
      <c r="M679" s="990"/>
      <c r="N679" s="990"/>
      <c r="O679" s="990"/>
      <c r="P679" s="990"/>
      <c r="Q679" s="990"/>
      <c r="R679" s="990"/>
      <c r="S679" s="990"/>
      <c r="T679" s="990"/>
      <c r="U679" s="990"/>
      <c r="V679" s="990"/>
      <c r="W679" s="990"/>
      <c r="X679" s="990"/>
    </row>
    <row r="680" spans="1:24" s="896" customFormat="1">
      <c r="A680" s="987">
        <f t="shared" si="11"/>
        <v>606</v>
      </c>
      <c r="B680" s="988">
        <v>39201</v>
      </c>
      <c r="C680" s="899" t="s">
        <v>10006</v>
      </c>
      <c r="D680" s="988" t="s">
        <v>2666</v>
      </c>
      <c r="E680" s="989">
        <v>78.510000000000005</v>
      </c>
      <c r="F680" s="990"/>
      <c r="G680" s="990"/>
      <c r="H680" s="990"/>
      <c r="I680" s="990"/>
      <c r="J680" s="990"/>
      <c r="K680" s="990"/>
      <c r="L680" s="990"/>
      <c r="M680" s="990"/>
      <c r="N680" s="990"/>
      <c r="O680" s="990"/>
      <c r="P680" s="990"/>
      <c r="Q680" s="990"/>
      <c r="R680" s="990"/>
      <c r="S680" s="990"/>
      <c r="T680" s="990"/>
      <c r="U680" s="990"/>
      <c r="V680" s="990"/>
      <c r="W680" s="990"/>
      <c r="X680" s="990"/>
    </row>
    <row r="681" spans="1:24" s="896" customFormat="1">
      <c r="A681" s="987">
        <f t="shared" si="11"/>
        <v>607</v>
      </c>
      <c r="B681" s="988">
        <v>39200</v>
      </c>
      <c r="C681" s="899" t="s">
        <v>10007</v>
      </c>
      <c r="D681" s="988" t="s">
        <v>2666</v>
      </c>
      <c r="E681" s="989">
        <v>79.14</v>
      </c>
      <c r="F681" s="990"/>
      <c r="G681" s="990"/>
      <c r="H681" s="990"/>
      <c r="I681" s="990"/>
      <c r="J681" s="990"/>
      <c r="K681" s="990"/>
      <c r="L681" s="990"/>
      <c r="M681" s="990"/>
      <c r="N681" s="990"/>
      <c r="O681" s="990"/>
      <c r="P681" s="990"/>
      <c r="Q681" s="990"/>
      <c r="R681" s="990"/>
      <c r="S681" s="990"/>
      <c r="T681" s="990"/>
      <c r="U681" s="990"/>
      <c r="V681" s="990"/>
      <c r="W681" s="990"/>
      <c r="X681" s="990"/>
    </row>
    <row r="682" spans="1:24" s="896" customFormat="1">
      <c r="A682" s="987">
        <f t="shared" si="11"/>
        <v>608</v>
      </c>
      <c r="B682" s="988">
        <v>39203</v>
      </c>
      <c r="C682" s="899" t="s">
        <v>10008</v>
      </c>
      <c r="D682" s="988" t="s">
        <v>2666</v>
      </c>
      <c r="E682" s="989">
        <v>63.9</v>
      </c>
      <c r="F682" s="990"/>
      <c r="G682" s="990"/>
      <c r="H682" s="990"/>
      <c r="I682" s="990"/>
      <c r="J682" s="990"/>
      <c r="K682" s="990"/>
      <c r="L682" s="990"/>
      <c r="M682" s="990"/>
      <c r="N682" s="990"/>
      <c r="O682" s="990"/>
      <c r="P682" s="990"/>
      <c r="Q682" s="990"/>
      <c r="R682" s="990"/>
      <c r="S682" s="990"/>
      <c r="T682" s="990"/>
      <c r="U682" s="990"/>
      <c r="V682" s="990"/>
      <c r="W682" s="990"/>
      <c r="X682" s="990"/>
    </row>
    <row r="683" spans="1:24" s="896" customFormat="1">
      <c r="A683" s="987">
        <f t="shared" si="11"/>
        <v>609</v>
      </c>
      <c r="B683" s="988">
        <v>39202</v>
      </c>
      <c r="C683" s="899" t="s">
        <v>10009</v>
      </c>
      <c r="D683" s="988" t="s">
        <v>2666</v>
      </c>
      <c r="E683" s="989">
        <v>75.069999999999993</v>
      </c>
      <c r="F683" s="990"/>
      <c r="G683" s="990"/>
      <c r="H683" s="990"/>
      <c r="I683" s="990"/>
      <c r="J683" s="990"/>
      <c r="K683" s="990"/>
      <c r="L683" s="990"/>
      <c r="M683" s="990"/>
      <c r="N683" s="990"/>
      <c r="O683" s="990"/>
      <c r="P683" s="990"/>
      <c r="Q683" s="990"/>
      <c r="R683" s="990"/>
      <c r="S683" s="990"/>
      <c r="T683" s="990"/>
      <c r="U683" s="990"/>
      <c r="V683" s="990"/>
      <c r="W683" s="990"/>
      <c r="X683" s="990"/>
    </row>
    <row r="684" spans="1:24" s="896" customFormat="1">
      <c r="A684" s="987">
        <f t="shared" si="11"/>
        <v>610</v>
      </c>
      <c r="B684" s="988">
        <v>39205</v>
      </c>
      <c r="C684" s="899" t="s">
        <v>10010</v>
      </c>
      <c r="D684" s="988" t="s">
        <v>2666</v>
      </c>
      <c r="E684" s="989">
        <v>125.24</v>
      </c>
      <c r="F684" s="990"/>
      <c r="G684" s="990"/>
      <c r="H684" s="990"/>
      <c r="I684" s="990"/>
      <c r="J684" s="990"/>
      <c r="K684" s="990"/>
      <c r="L684" s="990"/>
      <c r="M684" s="990"/>
      <c r="N684" s="990"/>
      <c r="O684" s="990"/>
      <c r="P684" s="990"/>
      <c r="Q684" s="990"/>
      <c r="R684" s="990"/>
      <c r="S684" s="990"/>
      <c r="T684" s="990"/>
      <c r="U684" s="990"/>
      <c r="V684" s="990"/>
      <c r="W684" s="990"/>
      <c r="X684" s="990"/>
    </row>
    <row r="685" spans="1:24" s="896" customFormat="1">
      <c r="A685" s="987">
        <f t="shared" si="11"/>
        <v>611</v>
      </c>
      <c r="B685" s="988">
        <v>39204</v>
      </c>
      <c r="C685" s="899" t="s">
        <v>10011</v>
      </c>
      <c r="D685" s="988" t="s">
        <v>2666</v>
      </c>
      <c r="E685" s="989">
        <v>128.27000000000001</v>
      </c>
      <c r="F685" s="990"/>
      <c r="G685" s="990"/>
      <c r="H685" s="990"/>
      <c r="I685" s="990"/>
      <c r="J685" s="990"/>
      <c r="K685" s="990"/>
      <c r="L685" s="990"/>
      <c r="M685" s="990"/>
      <c r="N685" s="990"/>
      <c r="O685" s="990"/>
      <c r="P685" s="990"/>
      <c r="Q685" s="990"/>
      <c r="R685" s="990"/>
      <c r="S685" s="990"/>
      <c r="T685" s="990"/>
      <c r="U685" s="990"/>
      <c r="V685" s="990"/>
      <c r="W685" s="990"/>
      <c r="X685" s="990"/>
    </row>
    <row r="686" spans="1:24" s="896" customFormat="1">
      <c r="A686" s="987">
        <f t="shared" si="11"/>
        <v>612</v>
      </c>
      <c r="B686" s="988">
        <v>39206</v>
      </c>
      <c r="C686" s="899" t="s">
        <v>10012</v>
      </c>
      <c r="D686" s="988" t="s">
        <v>2666</v>
      </c>
      <c r="E686" s="989">
        <v>121.69</v>
      </c>
      <c r="F686" s="990"/>
      <c r="G686" s="990"/>
      <c r="H686" s="990"/>
      <c r="I686" s="990"/>
      <c r="J686" s="990"/>
      <c r="K686" s="990"/>
      <c r="L686" s="990"/>
      <c r="M686" s="990"/>
      <c r="N686" s="990"/>
      <c r="O686" s="990"/>
      <c r="P686" s="990"/>
      <c r="Q686" s="990"/>
      <c r="R686" s="990"/>
      <c r="S686" s="990"/>
      <c r="T686" s="990"/>
      <c r="U686" s="990"/>
      <c r="V686" s="990"/>
      <c r="W686" s="990"/>
      <c r="X686" s="990"/>
    </row>
    <row r="687" spans="1:24" s="896" customFormat="1">
      <c r="A687" s="987">
        <f t="shared" si="11"/>
        <v>613</v>
      </c>
      <c r="B687" s="988">
        <v>797</v>
      </c>
      <c r="C687" s="899" t="s">
        <v>10013</v>
      </c>
      <c r="D687" s="988" t="s">
        <v>2666</v>
      </c>
      <c r="E687" s="989">
        <v>10.02</v>
      </c>
      <c r="F687" s="990"/>
      <c r="G687" s="990"/>
      <c r="H687" s="990"/>
      <c r="I687" s="990"/>
      <c r="J687" s="990"/>
      <c r="K687" s="990"/>
      <c r="L687" s="990"/>
      <c r="M687" s="990"/>
      <c r="N687" s="990"/>
      <c r="O687" s="990"/>
      <c r="P687" s="990"/>
      <c r="Q687" s="990"/>
      <c r="R687" s="990"/>
      <c r="S687" s="990"/>
      <c r="T687" s="990"/>
      <c r="U687" s="990"/>
      <c r="V687" s="990"/>
      <c r="W687" s="990"/>
      <c r="X687" s="990"/>
    </row>
    <row r="688" spans="1:24" s="896" customFormat="1">
      <c r="A688" s="987">
        <f t="shared" si="11"/>
        <v>614</v>
      </c>
      <c r="B688" s="988">
        <v>798</v>
      </c>
      <c r="C688" s="899" t="s">
        <v>10014</v>
      </c>
      <c r="D688" s="988" t="s">
        <v>2666</v>
      </c>
      <c r="E688" s="989">
        <v>1.37</v>
      </c>
      <c r="F688" s="990"/>
      <c r="G688" s="990"/>
      <c r="H688" s="990"/>
      <c r="I688" s="990"/>
      <c r="J688" s="990"/>
      <c r="K688" s="990"/>
      <c r="L688" s="990"/>
      <c r="M688" s="990"/>
      <c r="N688" s="990"/>
      <c r="O688" s="990"/>
      <c r="P688" s="990"/>
      <c r="Q688" s="990"/>
      <c r="R688" s="990"/>
      <c r="S688" s="990"/>
      <c r="T688" s="990"/>
      <c r="U688" s="990"/>
      <c r="V688" s="990"/>
      <c r="W688" s="990"/>
      <c r="X688" s="990"/>
    </row>
    <row r="689" spans="1:24" s="896" customFormat="1">
      <c r="A689" s="987">
        <f t="shared" si="11"/>
        <v>615</v>
      </c>
      <c r="B689" s="988">
        <v>796</v>
      </c>
      <c r="C689" s="899" t="s">
        <v>10015</v>
      </c>
      <c r="D689" s="988" t="s">
        <v>2666</v>
      </c>
      <c r="E689" s="989">
        <v>9.6</v>
      </c>
      <c r="F689" s="990"/>
      <c r="G689" s="990"/>
      <c r="H689" s="990"/>
      <c r="I689" s="990"/>
      <c r="J689" s="990"/>
      <c r="K689" s="990"/>
      <c r="L689" s="990"/>
      <c r="M689" s="990"/>
      <c r="N689" s="990"/>
      <c r="O689" s="990"/>
      <c r="P689" s="990"/>
      <c r="Q689" s="990"/>
      <c r="R689" s="990"/>
      <c r="S689" s="990"/>
      <c r="T689" s="990"/>
      <c r="U689" s="990"/>
      <c r="V689" s="990"/>
      <c r="W689" s="990"/>
      <c r="X689" s="990"/>
    </row>
    <row r="690" spans="1:24" s="896" customFormat="1">
      <c r="A690" s="987">
        <f t="shared" si="11"/>
        <v>616</v>
      </c>
      <c r="B690" s="988">
        <v>799</v>
      </c>
      <c r="C690" s="899" t="s">
        <v>10016</v>
      </c>
      <c r="D690" s="988" t="s">
        <v>2666</v>
      </c>
      <c r="E690" s="989">
        <v>4.5199999999999996</v>
      </c>
      <c r="F690" s="990"/>
      <c r="G690" s="990"/>
      <c r="H690" s="990"/>
      <c r="I690" s="990"/>
      <c r="J690" s="990"/>
      <c r="K690" s="990"/>
      <c r="L690" s="990"/>
      <c r="M690" s="990"/>
      <c r="N690" s="990"/>
      <c r="O690" s="990"/>
      <c r="P690" s="990"/>
      <c r="Q690" s="990"/>
      <c r="R690" s="990"/>
      <c r="S690" s="990"/>
      <c r="T690" s="990"/>
      <c r="U690" s="990"/>
      <c r="V690" s="990"/>
      <c r="W690" s="990"/>
      <c r="X690" s="990"/>
    </row>
    <row r="691" spans="1:24" s="896" customFormat="1">
      <c r="A691" s="987">
        <f t="shared" si="11"/>
        <v>617</v>
      </c>
      <c r="B691" s="988">
        <v>792</v>
      </c>
      <c r="C691" s="899" t="s">
        <v>10017</v>
      </c>
      <c r="D691" s="988" t="s">
        <v>2666</v>
      </c>
      <c r="E691" s="989">
        <v>4.59</v>
      </c>
      <c r="F691" s="990"/>
      <c r="G691" s="990"/>
      <c r="H691" s="990"/>
      <c r="I691" s="990"/>
      <c r="J691" s="990"/>
      <c r="K691" s="990"/>
      <c r="L691" s="990"/>
      <c r="M691" s="990"/>
      <c r="N691" s="990"/>
      <c r="O691" s="990"/>
      <c r="P691" s="990"/>
      <c r="Q691" s="990"/>
      <c r="R691" s="990"/>
      <c r="S691" s="990"/>
      <c r="T691" s="990"/>
      <c r="U691" s="990"/>
      <c r="V691" s="990"/>
      <c r="W691" s="990"/>
      <c r="X691" s="990"/>
    </row>
    <row r="692" spans="1:24" s="896" customFormat="1">
      <c r="A692" s="987">
        <f t="shared" si="11"/>
        <v>618</v>
      </c>
      <c r="B692" s="988">
        <v>804</v>
      </c>
      <c r="C692" s="899" t="s">
        <v>10018</v>
      </c>
      <c r="D692" s="988" t="s">
        <v>2666</v>
      </c>
      <c r="E692" s="989">
        <v>22.76</v>
      </c>
      <c r="F692" s="990"/>
      <c r="G692" s="990"/>
      <c r="H692" s="990"/>
      <c r="I692" s="990"/>
      <c r="J692" s="990"/>
      <c r="K692" s="990"/>
      <c r="L692" s="990"/>
      <c r="M692" s="990"/>
      <c r="N692" s="990"/>
      <c r="O692" s="990"/>
      <c r="P692" s="990"/>
      <c r="Q692" s="990"/>
      <c r="R692" s="990"/>
      <c r="S692" s="990"/>
      <c r="T692" s="990"/>
      <c r="U692" s="990"/>
      <c r="V692" s="990"/>
      <c r="W692" s="990"/>
      <c r="X692" s="990"/>
    </row>
    <row r="693" spans="1:24" s="896" customFormat="1">
      <c r="A693" s="987">
        <f t="shared" si="11"/>
        <v>619</v>
      </c>
      <c r="B693" s="988">
        <v>793</v>
      </c>
      <c r="C693" s="899" t="s">
        <v>10019</v>
      </c>
      <c r="D693" s="988" t="s">
        <v>2666</v>
      </c>
      <c r="E693" s="989">
        <v>9.77</v>
      </c>
      <c r="F693" s="990"/>
      <c r="G693" s="990"/>
      <c r="H693" s="990"/>
      <c r="I693" s="990"/>
      <c r="J693" s="990"/>
      <c r="K693" s="990"/>
      <c r="L693" s="990"/>
      <c r="M693" s="990"/>
      <c r="N693" s="990"/>
      <c r="O693" s="990"/>
      <c r="P693" s="990"/>
      <c r="Q693" s="990"/>
      <c r="R693" s="990"/>
      <c r="S693" s="990"/>
      <c r="T693" s="990"/>
      <c r="U693" s="990"/>
      <c r="V693" s="990"/>
      <c r="W693" s="990"/>
      <c r="X693" s="990"/>
    </row>
    <row r="694" spans="1:24" s="896" customFormat="1">
      <c r="A694" s="987">
        <f t="shared" si="11"/>
        <v>620</v>
      </c>
      <c r="B694" s="988">
        <v>801</v>
      </c>
      <c r="C694" s="899" t="s">
        <v>10020</v>
      </c>
      <c r="D694" s="988" t="s">
        <v>2666</v>
      </c>
      <c r="E694" s="989">
        <v>6.97</v>
      </c>
      <c r="F694" s="990"/>
      <c r="G694" s="990"/>
      <c r="H694" s="990"/>
      <c r="I694" s="990"/>
      <c r="J694" s="990"/>
      <c r="K694" s="990"/>
      <c r="L694" s="990"/>
      <c r="M694" s="990"/>
      <c r="N694" s="990"/>
      <c r="O694" s="990"/>
      <c r="P694" s="990"/>
      <c r="Q694" s="990"/>
      <c r="R694" s="990"/>
      <c r="S694" s="990"/>
      <c r="T694" s="990"/>
      <c r="U694" s="990"/>
      <c r="V694" s="990"/>
      <c r="W694" s="990"/>
      <c r="X694" s="990"/>
    </row>
    <row r="695" spans="1:24" s="896" customFormat="1">
      <c r="A695" s="987">
        <f t="shared" si="11"/>
        <v>621</v>
      </c>
      <c r="B695" s="988">
        <v>794</v>
      </c>
      <c r="C695" s="899" t="s">
        <v>10021</v>
      </c>
      <c r="D695" s="988" t="s">
        <v>2666</v>
      </c>
      <c r="E695" s="989">
        <v>7.2</v>
      </c>
      <c r="F695" s="990"/>
      <c r="G695" s="990"/>
      <c r="H695" s="990"/>
      <c r="I695" s="990"/>
      <c r="J695" s="990"/>
      <c r="K695" s="990"/>
      <c r="L695" s="990"/>
      <c r="M695" s="990"/>
      <c r="N695" s="990"/>
      <c r="O695" s="990"/>
      <c r="P695" s="990"/>
      <c r="Q695" s="990"/>
      <c r="R695" s="990"/>
      <c r="S695" s="990"/>
      <c r="T695" s="990"/>
      <c r="U695" s="990"/>
      <c r="V695" s="990"/>
      <c r="W695" s="990"/>
      <c r="X695" s="990"/>
    </row>
    <row r="696" spans="1:24" s="896" customFormat="1">
      <c r="A696" s="987">
        <f t="shared" si="11"/>
        <v>622</v>
      </c>
      <c r="B696" s="988">
        <v>802</v>
      </c>
      <c r="C696" s="899" t="s">
        <v>10022</v>
      </c>
      <c r="D696" s="988" t="s">
        <v>2666</v>
      </c>
      <c r="E696" s="989">
        <v>20.079999999999998</v>
      </c>
      <c r="F696" s="990"/>
      <c r="G696" s="990"/>
      <c r="H696" s="990"/>
      <c r="I696" s="990"/>
      <c r="J696" s="990"/>
      <c r="K696" s="990"/>
      <c r="L696" s="990"/>
      <c r="M696" s="990"/>
      <c r="N696" s="990"/>
      <c r="O696" s="990"/>
      <c r="P696" s="990"/>
      <c r="Q696" s="990"/>
      <c r="R696" s="990"/>
      <c r="S696" s="990"/>
      <c r="T696" s="990"/>
      <c r="U696" s="990"/>
      <c r="V696" s="990"/>
      <c r="W696" s="990"/>
      <c r="X696" s="990"/>
    </row>
    <row r="697" spans="1:24" s="896" customFormat="1">
      <c r="A697" s="987">
        <f t="shared" si="11"/>
        <v>623</v>
      </c>
      <c r="B697" s="988">
        <v>803</v>
      </c>
      <c r="C697" s="899" t="s">
        <v>10023</v>
      </c>
      <c r="D697" s="988" t="s">
        <v>2666</v>
      </c>
      <c r="E697" s="989">
        <v>17.510000000000002</v>
      </c>
      <c r="F697" s="990"/>
      <c r="G697" s="990"/>
      <c r="H697" s="990"/>
      <c r="I697" s="990"/>
      <c r="J697" s="990"/>
      <c r="K697" s="990"/>
      <c r="L697" s="990"/>
      <c r="M697" s="990"/>
      <c r="N697" s="990"/>
      <c r="O697" s="990"/>
      <c r="P697" s="990"/>
      <c r="Q697" s="990"/>
      <c r="R697" s="990"/>
      <c r="S697" s="990"/>
      <c r="T697" s="990"/>
      <c r="U697" s="990"/>
      <c r="V697" s="990"/>
      <c r="W697" s="990"/>
      <c r="X697" s="990"/>
    </row>
    <row r="698" spans="1:24" s="896" customFormat="1">
      <c r="A698" s="987">
        <f t="shared" si="11"/>
        <v>624</v>
      </c>
      <c r="B698" s="988">
        <v>38001</v>
      </c>
      <c r="C698" s="899" t="s">
        <v>10024</v>
      </c>
      <c r="D698" s="988" t="s">
        <v>2666</v>
      </c>
      <c r="E698" s="989">
        <v>1.6</v>
      </c>
      <c r="F698" s="990"/>
      <c r="G698" s="990"/>
      <c r="H698" s="990"/>
      <c r="I698" s="990"/>
      <c r="J698" s="990"/>
      <c r="K698" s="990"/>
      <c r="L698" s="990"/>
      <c r="M698" s="990"/>
      <c r="N698" s="990"/>
      <c r="O698" s="990"/>
      <c r="P698" s="990"/>
      <c r="Q698" s="990"/>
      <c r="R698" s="990"/>
      <c r="S698" s="990"/>
      <c r="T698" s="990"/>
      <c r="U698" s="990"/>
      <c r="V698" s="990"/>
      <c r="W698" s="990"/>
      <c r="X698" s="990"/>
    </row>
    <row r="699" spans="1:24" s="896" customFormat="1">
      <c r="A699" s="987">
        <f t="shared" si="11"/>
        <v>625</v>
      </c>
      <c r="B699" s="988">
        <v>38002</v>
      </c>
      <c r="C699" s="899" t="s">
        <v>10025</v>
      </c>
      <c r="D699" s="988" t="s">
        <v>2666</v>
      </c>
      <c r="E699" s="989">
        <v>2.97</v>
      </c>
      <c r="F699" s="990"/>
      <c r="G699" s="990"/>
      <c r="H699" s="990"/>
      <c r="I699" s="990"/>
      <c r="J699" s="990"/>
      <c r="K699" s="990"/>
      <c r="L699" s="990"/>
      <c r="M699" s="990"/>
      <c r="N699" s="990"/>
      <c r="O699" s="990"/>
      <c r="P699" s="990"/>
      <c r="Q699" s="990"/>
      <c r="R699" s="990"/>
      <c r="S699" s="990"/>
      <c r="T699" s="990"/>
      <c r="U699" s="990"/>
      <c r="V699" s="990"/>
      <c r="W699" s="990"/>
      <c r="X699" s="990"/>
    </row>
    <row r="700" spans="1:24" s="896" customFormat="1">
      <c r="A700" s="987">
        <f t="shared" si="11"/>
        <v>626</v>
      </c>
      <c r="B700" s="988">
        <v>38003</v>
      </c>
      <c r="C700" s="899" t="s">
        <v>10026</v>
      </c>
      <c r="D700" s="988" t="s">
        <v>2666</v>
      </c>
      <c r="E700" s="989">
        <v>35.61</v>
      </c>
      <c r="F700" s="990"/>
      <c r="G700" s="990"/>
      <c r="H700" s="990"/>
      <c r="I700" s="990"/>
      <c r="J700" s="990"/>
      <c r="K700" s="990"/>
      <c r="L700" s="990"/>
      <c r="M700" s="990"/>
      <c r="N700" s="990"/>
      <c r="O700" s="990"/>
      <c r="P700" s="990"/>
      <c r="Q700" s="990"/>
      <c r="R700" s="990"/>
      <c r="S700" s="990"/>
      <c r="T700" s="990"/>
      <c r="U700" s="990"/>
      <c r="V700" s="990"/>
      <c r="W700" s="990"/>
      <c r="X700" s="990"/>
    </row>
    <row r="701" spans="1:24" s="896" customFormat="1">
      <c r="A701" s="987">
        <f t="shared" si="11"/>
        <v>627</v>
      </c>
      <c r="B701" s="988">
        <v>38004</v>
      </c>
      <c r="C701" s="899" t="s">
        <v>10027</v>
      </c>
      <c r="D701" s="988" t="s">
        <v>2666</v>
      </c>
      <c r="E701" s="989">
        <v>47.62</v>
      </c>
      <c r="F701" s="990"/>
      <c r="G701" s="990"/>
      <c r="H701" s="990"/>
      <c r="I701" s="990"/>
      <c r="J701" s="990"/>
      <c r="K701" s="990"/>
      <c r="L701" s="990"/>
      <c r="M701" s="990"/>
      <c r="N701" s="990"/>
      <c r="O701" s="990"/>
      <c r="P701" s="990"/>
      <c r="Q701" s="990"/>
      <c r="R701" s="990"/>
      <c r="S701" s="990"/>
      <c r="T701" s="990"/>
      <c r="U701" s="990"/>
      <c r="V701" s="990"/>
      <c r="W701" s="990"/>
      <c r="X701" s="990"/>
    </row>
    <row r="702" spans="1:24" s="896" customFormat="1">
      <c r="A702" s="987">
        <f t="shared" si="11"/>
        <v>628</v>
      </c>
      <c r="B702" s="988">
        <v>36327</v>
      </c>
      <c r="C702" s="899" t="s">
        <v>10028</v>
      </c>
      <c r="D702" s="988" t="s">
        <v>2666</v>
      </c>
      <c r="E702" s="989">
        <v>3.02</v>
      </c>
      <c r="F702" s="990"/>
      <c r="G702" s="990"/>
      <c r="H702" s="990"/>
      <c r="I702" s="990"/>
      <c r="J702" s="990"/>
      <c r="K702" s="990"/>
      <c r="L702" s="990"/>
      <c r="M702" s="990"/>
      <c r="N702" s="990"/>
      <c r="O702" s="990"/>
      <c r="P702" s="990"/>
      <c r="Q702" s="990"/>
      <c r="R702" s="990"/>
      <c r="S702" s="990"/>
      <c r="T702" s="990"/>
      <c r="U702" s="990"/>
      <c r="V702" s="990"/>
      <c r="W702" s="990"/>
      <c r="X702" s="990"/>
    </row>
    <row r="703" spans="1:24" s="896" customFormat="1">
      <c r="A703" s="987">
        <f t="shared" si="11"/>
        <v>629</v>
      </c>
      <c r="B703" s="988">
        <v>38992</v>
      </c>
      <c r="C703" s="899" t="s">
        <v>10029</v>
      </c>
      <c r="D703" s="988" t="s">
        <v>2666</v>
      </c>
      <c r="E703" s="989">
        <v>4.82</v>
      </c>
      <c r="F703" s="990"/>
      <c r="G703" s="990"/>
      <c r="H703" s="990"/>
      <c r="I703" s="990"/>
      <c r="J703" s="990"/>
      <c r="K703" s="990"/>
      <c r="L703" s="990"/>
      <c r="M703" s="990"/>
      <c r="N703" s="990"/>
      <c r="O703" s="990"/>
      <c r="P703" s="990"/>
      <c r="Q703" s="990"/>
      <c r="R703" s="990"/>
      <c r="S703" s="990"/>
      <c r="T703" s="990"/>
      <c r="U703" s="990"/>
      <c r="V703" s="990"/>
      <c r="W703" s="990"/>
      <c r="X703" s="990"/>
    </row>
    <row r="704" spans="1:24" s="896" customFormat="1">
      <c r="A704" s="987">
        <f t="shared" si="11"/>
        <v>630</v>
      </c>
      <c r="B704" s="988">
        <v>38993</v>
      </c>
      <c r="C704" s="899" t="s">
        <v>10030</v>
      </c>
      <c r="D704" s="988" t="s">
        <v>2666</v>
      </c>
      <c r="E704" s="989">
        <v>13.76</v>
      </c>
      <c r="F704" s="990"/>
      <c r="G704" s="990"/>
      <c r="H704" s="990"/>
      <c r="I704" s="990"/>
      <c r="J704" s="990"/>
      <c r="K704" s="990"/>
      <c r="L704" s="990"/>
      <c r="M704" s="990"/>
      <c r="N704" s="990"/>
      <c r="O704" s="990"/>
      <c r="P704" s="990"/>
      <c r="Q704" s="990"/>
      <c r="R704" s="990"/>
      <c r="S704" s="990"/>
      <c r="T704" s="990"/>
      <c r="U704" s="990"/>
      <c r="V704" s="990"/>
      <c r="W704" s="990"/>
      <c r="X704" s="990"/>
    </row>
    <row r="705" spans="1:24" s="896" customFormat="1" ht="25.5">
      <c r="A705" s="987">
        <f t="shared" si="11"/>
        <v>631</v>
      </c>
      <c r="B705" s="988">
        <v>38418</v>
      </c>
      <c r="C705" s="899" t="s">
        <v>10031</v>
      </c>
      <c r="D705" s="988" t="s">
        <v>2666</v>
      </c>
      <c r="E705" s="989">
        <v>9.09</v>
      </c>
      <c r="F705" s="990"/>
      <c r="G705" s="990"/>
      <c r="H705" s="990"/>
      <c r="I705" s="990"/>
      <c r="J705" s="990"/>
      <c r="K705" s="990"/>
      <c r="L705" s="990"/>
      <c r="M705" s="990"/>
      <c r="N705" s="990"/>
      <c r="O705" s="990"/>
      <c r="P705" s="990"/>
      <c r="Q705" s="990"/>
      <c r="R705" s="990"/>
      <c r="S705" s="990"/>
      <c r="T705" s="990"/>
      <c r="U705" s="990"/>
      <c r="V705" s="990"/>
      <c r="W705" s="990"/>
      <c r="X705" s="990"/>
    </row>
    <row r="706" spans="1:24" s="896" customFormat="1">
      <c r="A706" s="987">
        <f t="shared" si="11"/>
        <v>632</v>
      </c>
      <c r="B706" s="988">
        <v>39178</v>
      </c>
      <c r="C706" s="899" t="s">
        <v>10032</v>
      </c>
      <c r="D706" s="988" t="s">
        <v>2666</v>
      </c>
      <c r="E706" s="989">
        <v>2.16</v>
      </c>
      <c r="F706" s="990"/>
      <c r="G706" s="990"/>
      <c r="H706" s="990"/>
      <c r="I706" s="990"/>
      <c r="J706" s="990"/>
      <c r="K706" s="990"/>
      <c r="L706" s="990"/>
      <c r="M706" s="990"/>
      <c r="N706" s="990"/>
      <c r="O706" s="990"/>
      <c r="P706" s="990"/>
      <c r="Q706" s="990"/>
      <c r="R706" s="990"/>
      <c r="S706" s="990"/>
      <c r="T706" s="990"/>
      <c r="U706" s="990"/>
      <c r="V706" s="990"/>
      <c r="W706" s="990"/>
      <c r="X706" s="990"/>
    </row>
    <row r="707" spans="1:24" s="896" customFormat="1">
      <c r="A707" s="987">
        <f t="shared" si="11"/>
        <v>633</v>
      </c>
      <c r="B707" s="988">
        <v>39177</v>
      </c>
      <c r="C707" s="899" t="s">
        <v>10033</v>
      </c>
      <c r="D707" s="988" t="s">
        <v>2666</v>
      </c>
      <c r="E707" s="989">
        <v>1.96</v>
      </c>
      <c r="F707" s="990"/>
      <c r="G707" s="990"/>
      <c r="H707" s="990"/>
      <c r="I707" s="990"/>
      <c r="J707" s="990"/>
      <c r="K707" s="990"/>
      <c r="L707" s="990"/>
      <c r="M707" s="990"/>
      <c r="N707" s="990"/>
      <c r="O707" s="990"/>
      <c r="P707" s="990"/>
      <c r="Q707" s="990"/>
      <c r="R707" s="990"/>
      <c r="S707" s="990"/>
      <c r="T707" s="990"/>
      <c r="U707" s="990"/>
      <c r="V707" s="990"/>
      <c r="W707" s="990"/>
      <c r="X707" s="990"/>
    </row>
    <row r="708" spans="1:24" s="896" customFormat="1">
      <c r="A708" s="987">
        <f t="shared" si="11"/>
        <v>634</v>
      </c>
      <c r="B708" s="988">
        <v>39174</v>
      </c>
      <c r="C708" s="899" t="s">
        <v>10034</v>
      </c>
      <c r="D708" s="988" t="s">
        <v>2666</v>
      </c>
      <c r="E708" s="989">
        <v>0.98</v>
      </c>
      <c r="F708" s="990"/>
      <c r="G708" s="990"/>
      <c r="H708" s="990"/>
      <c r="I708" s="990"/>
      <c r="J708" s="990"/>
      <c r="K708" s="990"/>
      <c r="L708" s="990"/>
      <c r="M708" s="990"/>
      <c r="N708" s="990"/>
      <c r="O708" s="990"/>
      <c r="P708" s="990"/>
      <c r="Q708" s="990"/>
      <c r="R708" s="990"/>
      <c r="S708" s="990"/>
      <c r="T708" s="990"/>
      <c r="U708" s="990"/>
      <c r="V708" s="990"/>
      <c r="W708" s="990"/>
      <c r="X708" s="990"/>
    </row>
    <row r="709" spans="1:24" s="896" customFormat="1">
      <c r="A709" s="987">
        <f t="shared" si="11"/>
        <v>635</v>
      </c>
      <c r="B709" s="988">
        <v>39176</v>
      </c>
      <c r="C709" s="899" t="s">
        <v>10035</v>
      </c>
      <c r="D709" s="988" t="s">
        <v>2666</v>
      </c>
      <c r="E709" s="989">
        <v>1.28</v>
      </c>
      <c r="F709" s="990"/>
      <c r="G709" s="990"/>
      <c r="H709" s="990"/>
      <c r="I709" s="990"/>
      <c r="J709" s="990"/>
      <c r="K709" s="990"/>
      <c r="L709" s="990"/>
      <c r="M709" s="990"/>
      <c r="N709" s="990"/>
      <c r="O709" s="990"/>
      <c r="P709" s="990"/>
      <c r="Q709" s="990"/>
      <c r="R709" s="990"/>
      <c r="S709" s="990"/>
      <c r="T709" s="990"/>
      <c r="U709" s="990"/>
      <c r="V709" s="990"/>
      <c r="W709" s="990"/>
      <c r="X709" s="990"/>
    </row>
    <row r="710" spans="1:24" s="896" customFormat="1">
      <c r="A710" s="987">
        <f t="shared" si="11"/>
        <v>636</v>
      </c>
      <c r="B710" s="988">
        <v>39180</v>
      </c>
      <c r="C710" s="899" t="s">
        <v>10036</v>
      </c>
      <c r="D710" s="988" t="s">
        <v>2666</v>
      </c>
      <c r="E710" s="989">
        <v>5.88</v>
      </c>
      <c r="F710" s="990"/>
      <c r="G710" s="990"/>
      <c r="H710" s="990"/>
      <c r="I710" s="990"/>
      <c r="J710" s="990"/>
      <c r="K710" s="990"/>
      <c r="L710" s="990"/>
      <c r="M710" s="990"/>
      <c r="N710" s="990"/>
      <c r="O710" s="990"/>
      <c r="P710" s="990"/>
      <c r="Q710" s="990"/>
      <c r="R710" s="990"/>
      <c r="S710" s="990"/>
      <c r="T710" s="990"/>
      <c r="U710" s="990"/>
      <c r="V710" s="990"/>
      <c r="W710" s="990"/>
      <c r="X710" s="990"/>
    </row>
    <row r="711" spans="1:24" s="896" customFormat="1">
      <c r="A711" s="987">
        <f t="shared" si="11"/>
        <v>637</v>
      </c>
      <c r="B711" s="988">
        <v>39179</v>
      </c>
      <c r="C711" s="899" t="s">
        <v>10037</v>
      </c>
      <c r="D711" s="988" t="s">
        <v>2666</v>
      </c>
      <c r="E711" s="989">
        <v>5.2</v>
      </c>
      <c r="F711" s="990"/>
      <c r="G711" s="990"/>
      <c r="H711" s="990"/>
      <c r="I711" s="990"/>
      <c r="J711" s="990"/>
      <c r="K711" s="990"/>
      <c r="L711" s="990"/>
      <c r="M711" s="990"/>
      <c r="N711" s="990"/>
      <c r="O711" s="990"/>
      <c r="P711" s="990"/>
      <c r="Q711" s="990"/>
      <c r="R711" s="990"/>
      <c r="S711" s="990"/>
      <c r="T711" s="990"/>
      <c r="U711" s="990"/>
      <c r="V711" s="990"/>
      <c r="W711" s="990"/>
      <c r="X711" s="990"/>
    </row>
    <row r="712" spans="1:24" s="896" customFormat="1">
      <c r="A712" s="987">
        <f t="shared" si="11"/>
        <v>638</v>
      </c>
      <c r="B712" s="988">
        <v>39175</v>
      </c>
      <c r="C712" s="899" t="s">
        <v>10038</v>
      </c>
      <c r="D712" s="988" t="s">
        <v>2666</v>
      </c>
      <c r="E712" s="989">
        <v>1.19</v>
      </c>
      <c r="F712" s="990"/>
      <c r="G712" s="990"/>
      <c r="H712" s="990"/>
      <c r="I712" s="990"/>
      <c r="J712" s="990"/>
      <c r="K712" s="990"/>
      <c r="L712" s="990"/>
      <c r="M712" s="990"/>
      <c r="N712" s="990"/>
      <c r="O712" s="990"/>
      <c r="P712" s="990"/>
      <c r="Q712" s="990"/>
      <c r="R712" s="990"/>
      <c r="S712" s="990"/>
      <c r="T712" s="990"/>
      <c r="U712" s="990"/>
      <c r="V712" s="990"/>
      <c r="W712" s="990"/>
      <c r="X712" s="990"/>
    </row>
    <row r="713" spans="1:24" s="896" customFormat="1">
      <c r="A713" s="987">
        <f t="shared" si="11"/>
        <v>639</v>
      </c>
      <c r="B713" s="988">
        <v>39217</v>
      </c>
      <c r="C713" s="899" t="s">
        <v>10039</v>
      </c>
      <c r="D713" s="988" t="s">
        <v>2666</v>
      </c>
      <c r="E713" s="989">
        <v>0.92</v>
      </c>
      <c r="F713" s="990"/>
      <c r="G713" s="990"/>
      <c r="H713" s="990"/>
      <c r="I713" s="990"/>
      <c r="J713" s="990"/>
      <c r="K713" s="990"/>
      <c r="L713" s="990"/>
      <c r="M713" s="990"/>
      <c r="N713" s="990"/>
      <c r="O713" s="990"/>
      <c r="P713" s="990"/>
      <c r="Q713" s="990"/>
      <c r="R713" s="990"/>
      <c r="S713" s="990"/>
      <c r="T713" s="990"/>
      <c r="U713" s="990"/>
      <c r="V713" s="990"/>
      <c r="W713" s="990"/>
      <c r="X713" s="990"/>
    </row>
    <row r="714" spans="1:24" s="896" customFormat="1">
      <c r="A714" s="987">
        <f t="shared" si="11"/>
        <v>640</v>
      </c>
      <c r="B714" s="988">
        <v>39181</v>
      </c>
      <c r="C714" s="899" t="s">
        <v>10040</v>
      </c>
      <c r="D714" s="988" t="s">
        <v>2666</v>
      </c>
      <c r="E714" s="989">
        <v>7.88</v>
      </c>
      <c r="F714" s="990"/>
      <c r="G714" s="990"/>
      <c r="H714" s="990"/>
      <c r="I714" s="990"/>
      <c r="J714" s="990"/>
      <c r="K714" s="990"/>
      <c r="L714" s="990"/>
      <c r="M714" s="990"/>
      <c r="N714" s="990"/>
      <c r="O714" s="990"/>
      <c r="P714" s="990"/>
      <c r="Q714" s="990"/>
      <c r="R714" s="990"/>
      <c r="S714" s="990"/>
      <c r="T714" s="990"/>
      <c r="U714" s="990"/>
      <c r="V714" s="990"/>
      <c r="W714" s="990"/>
      <c r="X714" s="990"/>
    </row>
    <row r="715" spans="1:24" s="896" customFormat="1">
      <c r="A715" s="987">
        <f t="shared" si="11"/>
        <v>641</v>
      </c>
      <c r="B715" s="988">
        <v>39182</v>
      </c>
      <c r="C715" s="899" t="s">
        <v>10041</v>
      </c>
      <c r="D715" s="988" t="s">
        <v>2666</v>
      </c>
      <c r="E715" s="989">
        <v>11.08</v>
      </c>
      <c r="F715" s="990"/>
      <c r="G715" s="990"/>
      <c r="H715" s="990"/>
      <c r="I715" s="990"/>
      <c r="J715" s="990"/>
      <c r="K715" s="990"/>
      <c r="L715" s="990"/>
      <c r="M715" s="990"/>
      <c r="N715" s="990"/>
      <c r="O715" s="990"/>
      <c r="P715" s="990"/>
      <c r="Q715" s="990"/>
      <c r="R715" s="990"/>
      <c r="S715" s="990"/>
      <c r="T715" s="990"/>
      <c r="U715" s="990"/>
      <c r="V715" s="990"/>
      <c r="W715" s="990"/>
      <c r="X715" s="990"/>
    </row>
    <row r="716" spans="1:24" s="896" customFormat="1" ht="25.5">
      <c r="A716" s="987">
        <f t="shared" ref="A716:A779" si="12">A715+1</f>
        <v>642</v>
      </c>
      <c r="B716" s="988">
        <v>12616</v>
      </c>
      <c r="C716" s="899" t="s">
        <v>10042</v>
      </c>
      <c r="D716" s="988" t="s">
        <v>2666</v>
      </c>
      <c r="E716" s="989">
        <v>6.77</v>
      </c>
      <c r="F716" s="990"/>
      <c r="G716" s="990"/>
      <c r="H716" s="990"/>
      <c r="I716" s="990"/>
      <c r="J716" s="990"/>
      <c r="K716" s="990"/>
      <c r="L716" s="990"/>
      <c r="M716" s="990"/>
      <c r="N716" s="990"/>
      <c r="O716" s="990"/>
      <c r="P716" s="990"/>
      <c r="Q716" s="990"/>
      <c r="R716" s="990"/>
      <c r="S716" s="990"/>
      <c r="T716" s="990"/>
      <c r="U716" s="990"/>
      <c r="V716" s="990"/>
      <c r="W716" s="990"/>
      <c r="X716" s="990"/>
    </row>
    <row r="717" spans="1:24" s="896" customFormat="1" ht="38.25">
      <c r="A717" s="987">
        <f t="shared" si="12"/>
        <v>643</v>
      </c>
      <c r="B717" s="988">
        <v>1049</v>
      </c>
      <c r="C717" s="899" t="s">
        <v>10043</v>
      </c>
      <c r="D717" s="988" t="s">
        <v>2666</v>
      </c>
      <c r="E717" s="989">
        <v>9.2799999999999994</v>
      </c>
      <c r="F717" s="990"/>
      <c r="G717" s="990"/>
      <c r="H717" s="990"/>
      <c r="I717" s="990"/>
      <c r="J717" s="990"/>
      <c r="K717" s="990"/>
      <c r="L717" s="990"/>
      <c r="M717" s="990"/>
      <c r="N717" s="990"/>
      <c r="O717" s="990"/>
      <c r="P717" s="990"/>
      <c r="Q717" s="990"/>
      <c r="R717" s="990"/>
      <c r="S717" s="990"/>
      <c r="T717" s="990"/>
      <c r="U717" s="990"/>
      <c r="V717" s="990"/>
      <c r="W717" s="990"/>
      <c r="X717" s="990"/>
    </row>
    <row r="718" spans="1:24" s="896" customFormat="1" ht="38.25">
      <c r="A718" s="987">
        <f t="shared" si="12"/>
        <v>644</v>
      </c>
      <c r="B718" s="988">
        <v>1099</v>
      </c>
      <c r="C718" s="899" t="s">
        <v>10044</v>
      </c>
      <c r="D718" s="988" t="s">
        <v>2666</v>
      </c>
      <c r="E718" s="989">
        <v>7.1</v>
      </c>
      <c r="F718" s="990"/>
      <c r="G718" s="990"/>
      <c r="H718" s="990"/>
      <c r="I718" s="990"/>
      <c r="J718" s="990"/>
      <c r="K718" s="990"/>
      <c r="L718" s="990"/>
      <c r="M718" s="990"/>
      <c r="N718" s="990"/>
      <c r="O718" s="990"/>
      <c r="P718" s="990"/>
      <c r="Q718" s="990"/>
      <c r="R718" s="990"/>
      <c r="S718" s="990"/>
      <c r="T718" s="990"/>
      <c r="U718" s="990"/>
      <c r="V718" s="990"/>
      <c r="W718" s="990"/>
      <c r="X718" s="990"/>
    </row>
    <row r="719" spans="1:24" s="896" customFormat="1" ht="38.25">
      <c r="A719" s="987">
        <f t="shared" si="12"/>
        <v>645</v>
      </c>
      <c r="B719" s="988">
        <v>39678</v>
      </c>
      <c r="C719" s="899" t="s">
        <v>10045</v>
      </c>
      <c r="D719" s="988" t="s">
        <v>2666</v>
      </c>
      <c r="E719" s="989">
        <v>2.86</v>
      </c>
      <c r="F719" s="990"/>
      <c r="G719" s="990"/>
      <c r="H719" s="990"/>
      <c r="I719" s="990"/>
      <c r="J719" s="990"/>
      <c r="K719" s="990"/>
      <c r="L719" s="990"/>
      <c r="M719" s="990"/>
      <c r="N719" s="990"/>
      <c r="O719" s="990"/>
      <c r="P719" s="990"/>
      <c r="Q719" s="990"/>
      <c r="R719" s="990"/>
      <c r="S719" s="990"/>
      <c r="T719" s="990"/>
      <c r="U719" s="990"/>
      <c r="V719" s="990"/>
      <c r="W719" s="990"/>
      <c r="X719" s="990"/>
    </row>
    <row r="720" spans="1:24" s="896" customFormat="1" ht="38.25">
      <c r="A720" s="987">
        <f t="shared" si="12"/>
        <v>646</v>
      </c>
      <c r="B720" s="988">
        <v>1050</v>
      </c>
      <c r="C720" s="899" t="s">
        <v>10046</v>
      </c>
      <c r="D720" s="988" t="s">
        <v>2666</v>
      </c>
      <c r="E720" s="989">
        <v>4.8499999999999996</v>
      </c>
      <c r="F720" s="990"/>
      <c r="G720" s="990"/>
      <c r="H720" s="990"/>
      <c r="I720" s="990"/>
      <c r="J720" s="990"/>
      <c r="K720" s="990"/>
      <c r="L720" s="990"/>
      <c r="M720" s="990"/>
      <c r="N720" s="990"/>
      <c r="O720" s="990"/>
      <c r="P720" s="990"/>
      <c r="Q720" s="990"/>
      <c r="R720" s="990"/>
      <c r="S720" s="990"/>
      <c r="T720" s="990"/>
      <c r="U720" s="990"/>
      <c r="V720" s="990"/>
      <c r="W720" s="990"/>
      <c r="X720" s="990"/>
    </row>
    <row r="721" spans="1:24" s="896" customFormat="1" ht="38.25">
      <c r="A721" s="987">
        <f t="shared" si="12"/>
        <v>647</v>
      </c>
      <c r="B721" s="988">
        <v>1101</v>
      </c>
      <c r="C721" s="899" t="s">
        <v>10047</v>
      </c>
      <c r="D721" s="988" t="s">
        <v>2666</v>
      </c>
      <c r="E721" s="989">
        <v>30.6</v>
      </c>
      <c r="F721" s="990"/>
      <c r="G721" s="990"/>
      <c r="H721" s="990"/>
      <c r="I721" s="990"/>
      <c r="J721" s="990"/>
      <c r="K721" s="990"/>
      <c r="L721" s="990"/>
      <c r="M721" s="990"/>
      <c r="N721" s="990"/>
      <c r="O721" s="990"/>
      <c r="P721" s="990"/>
      <c r="Q721" s="990"/>
      <c r="R721" s="990"/>
      <c r="S721" s="990"/>
      <c r="T721" s="990"/>
      <c r="U721" s="990"/>
      <c r="V721" s="990"/>
      <c r="W721" s="990"/>
      <c r="X721" s="990"/>
    </row>
    <row r="722" spans="1:24" s="896" customFormat="1" ht="38.25">
      <c r="A722" s="987">
        <f t="shared" si="12"/>
        <v>648</v>
      </c>
      <c r="B722" s="988">
        <v>1100</v>
      </c>
      <c r="C722" s="899" t="s">
        <v>10048</v>
      </c>
      <c r="D722" s="988" t="s">
        <v>2666</v>
      </c>
      <c r="E722" s="989">
        <v>15.79</v>
      </c>
      <c r="F722" s="990"/>
      <c r="G722" s="990"/>
      <c r="H722" s="990"/>
      <c r="I722" s="990"/>
      <c r="J722" s="990"/>
      <c r="K722" s="990"/>
      <c r="L722" s="990"/>
      <c r="M722" s="990"/>
      <c r="N722" s="990"/>
      <c r="O722" s="990"/>
      <c r="P722" s="990"/>
      <c r="Q722" s="990"/>
      <c r="R722" s="990"/>
      <c r="S722" s="990"/>
      <c r="T722" s="990"/>
      <c r="U722" s="990"/>
      <c r="V722" s="990"/>
      <c r="W722" s="990"/>
      <c r="X722" s="990"/>
    </row>
    <row r="723" spans="1:24" s="896" customFormat="1" ht="38.25">
      <c r="A723" s="987">
        <f t="shared" si="12"/>
        <v>649</v>
      </c>
      <c r="B723" s="988">
        <v>39679</v>
      </c>
      <c r="C723" s="899" t="s">
        <v>10049</v>
      </c>
      <c r="D723" s="988" t="s">
        <v>2666</v>
      </c>
      <c r="E723" s="989">
        <v>60.99</v>
      </c>
      <c r="F723" s="990"/>
      <c r="G723" s="990"/>
      <c r="H723" s="990"/>
      <c r="I723" s="990"/>
      <c r="J723" s="990"/>
      <c r="K723" s="990"/>
      <c r="L723" s="990"/>
      <c r="M723" s="990"/>
      <c r="N723" s="990"/>
      <c r="O723" s="990"/>
      <c r="P723" s="990"/>
      <c r="Q723" s="990"/>
      <c r="R723" s="990"/>
      <c r="S723" s="990"/>
      <c r="T723" s="990"/>
      <c r="U723" s="990"/>
      <c r="V723" s="990"/>
      <c r="W723" s="990"/>
      <c r="X723" s="990"/>
    </row>
    <row r="724" spans="1:24" s="896" customFormat="1" ht="38.25">
      <c r="A724" s="987">
        <f t="shared" si="12"/>
        <v>650</v>
      </c>
      <c r="B724" s="988">
        <v>1098</v>
      </c>
      <c r="C724" s="899" t="s">
        <v>10050</v>
      </c>
      <c r="D724" s="988" t="s">
        <v>2666</v>
      </c>
      <c r="E724" s="989">
        <v>3.79</v>
      </c>
      <c r="F724" s="990"/>
      <c r="G724" s="990"/>
      <c r="H724" s="990"/>
      <c r="I724" s="990"/>
      <c r="J724" s="990"/>
      <c r="K724" s="990"/>
      <c r="L724" s="990"/>
      <c r="M724" s="990"/>
      <c r="N724" s="990"/>
      <c r="O724" s="990"/>
      <c r="P724" s="990"/>
      <c r="Q724" s="990"/>
      <c r="R724" s="990"/>
      <c r="S724" s="990"/>
      <c r="T724" s="990"/>
      <c r="U724" s="990"/>
      <c r="V724" s="990"/>
      <c r="W724" s="990"/>
      <c r="X724" s="990"/>
    </row>
    <row r="725" spans="1:24" s="896" customFormat="1" ht="38.25">
      <c r="A725" s="987">
        <f t="shared" si="12"/>
        <v>651</v>
      </c>
      <c r="B725" s="988">
        <v>1102</v>
      </c>
      <c r="C725" s="899" t="s">
        <v>10051</v>
      </c>
      <c r="D725" s="988" t="s">
        <v>2666</v>
      </c>
      <c r="E725" s="989">
        <v>45.63</v>
      </c>
      <c r="F725" s="990"/>
      <c r="G725" s="990"/>
      <c r="H725" s="990"/>
      <c r="I725" s="990"/>
      <c r="J725" s="990"/>
      <c r="K725" s="990"/>
      <c r="L725" s="990"/>
      <c r="M725" s="990"/>
      <c r="N725" s="990"/>
      <c r="O725" s="990"/>
      <c r="P725" s="990"/>
      <c r="Q725" s="990"/>
      <c r="R725" s="990"/>
      <c r="S725" s="990"/>
      <c r="T725" s="990"/>
      <c r="U725" s="990"/>
      <c r="V725" s="990"/>
      <c r="W725" s="990"/>
      <c r="X725" s="990"/>
    </row>
    <row r="726" spans="1:24" s="896" customFormat="1" ht="38.25">
      <c r="A726" s="987">
        <f t="shared" si="12"/>
        <v>652</v>
      </c>
      <c r="B726" s="988">
        <v>1051</v>
      </c>
      <c r="C726" s="899" t="s">
        <v>10052</v>
      </c>
      <c r="D726" s="988" t="s">
        <v>2666</v>
      </c>
      <c r="E726" s="989">
        <v>66.33</v>
      </c>
      <c r="F726" s="990"/>
      <c r="G726" s="990"/>
      <c r="H726" s="990"/>
      <c r="I726" s="990"/>
      <c r="J726" s="990"/>
      <c r="K726" s="990"/>
      <c r="L726" s="990"/>
      <c r="M726" s="990"/>
      <c r="N726" s="990"/>
      <c r="O726" s="990"/>
      <c r="P726" s="990"/>
      <c r="Q726" s="990"/>
      <c r="R726" s="990"/>
      <c r="S726" s="990"/>
      <c r="T726" s="990"/>
      <c r="U726" s="990"/>
      <c r="V726" s="990"/>
      <c r="W726" s="990"/>
      <c r="X726" s="990"/>
    </row>
    <row r="727" spans="1:24" s="896" customFormat="1">
      <c r="A727" s="987">
        <f t="shared" si="12"/>
        <v>653</v>
      </c>
      <c r="B727" s="988">
        <v>37399</v>
      </c>
      <c r="C727" s="899" t="s">
        <v>10053</v>
      </c>
      <c r="D727" s="988" t="s">
        <v>2666</v>
      </c>
      <c r="E727" s="989">
        <v>39.43</v>
      </c>
      <c r="F727" s="990"/>
      <c r="G727" s="990"/>
      <c r="H727" s="990"/>
      <c r="I727" s="990"/>
      <c r="J727" s="990"/>
      <c r="K727" s="990"/>
      <c r="L727" s="990"/>
      <c r="M727" s="990"/>
      <c r="N727" s="990"/>
      <c r="O727" s="990"/>
      <c r="P727" s="990"/>
      <c r="Q727" s="990"/>
      <c r="R727" s="990"/>
      <c r="S727" s="990"/>
      <c r="T727" s="990"/>
      <c r="U727" s="990"/>
      <c r="V727" s="990"/>
      <c r="W727" s="990"/>
      <c r="X727" s="990"/>
    </row>
    <row r="728" spans="1:24" s="896" customFormat="1" ht="25.5">
      <c r="A728" s="987">
        <f t="shared" si="12"/>
        <v>654</v>
      </c>
      <c r="B728" s="988">
        <v>41955</v>
      </c>
      <c r="C728" s="899" t="s">
        <v>10054</v>
      </c>
      <c r="D728" s="988" t="s">
        <v>2670</v>
      </c>
      <c r="E728" s="989">
        <v>95.89</v>
      </c>
      <c r="F728" s="990"/>
      <c r="G728" s="990"/>
      <c r="H728" s="990"/>
      <c r="I728" s="990"/>
      <c r="J728" s="990"/>
      <c r="K728" s="990"/>
      <c r="L728" s="990"/>
      <c r="M728" s="990"/>
      <c r="N728" s="990"/>
      <c r="O728" s="990"/>
      <c r="P728" s="990"/>
      <c r="Q728" s="990"/>
      <c r="R728" s="990"/>
      <c r="S728" s="990"/>
      <c r="T728" s="990"/>
      <c r="U728" s="990"/>
      <c r="V728" s="990"/>
      <c r="W728" s="990"/>
      <c r="X728" s="990"/>
    </row>
    <row r="729" spans="1:24" s="896" customFormat="1">
      <c r="A729" s="987">
        <f t="shared" si="12"/>
        <v>655</v>
      </c>
      <c r="B729" s="988">
        <v>41953</v>
      </c>
      <c r="C729" s="899" t="s">
        <v>10055</v>
      </c>
      <c r="D729" s="988" t="s">
        <v>2670</v>
      </c>
      <c r="E729" s="989">
        <v>91.51</v>
      </c>
      <c r="F729" s="990"/>
      <c r="G729" s="990"/>
      <c r="H729" s="990"/>
      <c r="I729" s="990"/>
      <c r="J729" s="990"/>
      <c r="K729" s="990"/>
      <c r="L729" s="990"/>
      <c r="M729" s="990"/>
      <c r="N729" s="990"/>
      <c r="O729" s="990"/>
      <c r="P729" s="990"/>
      <c r="Q729" s="990"/>
      <c r="R729" s="990"/>
      <c r="S729" s="990"/>
      <c r="T729" s="990"/>
      <c r="U729" s="990"/>
      <c r="V729" s="990"/>
      <c r="W729" s="990"/>
      <c r="X729" s="990"/>
    </row>
    <row r="730" spans="1:24" s="896" customFormat="1">
      <c r="A730" s="987">
        <f t="shared" si="12"/>
        <v>656</v>
      </c>
      <c r="B730" s="988">
        <v>41954</v>
      </c>
      <c r="C730" s="899" t="s">
        <v>10056</v>
      </c>
      <c r="D730" s="988" t="s">
        <v>2670</v>
      </c>
      <c r="E730" s="989">
        <v>90.64</v>
      </c>
      <c r="F730" s="990"/>
      <c r="G730" s="990"/>
      <c r="H730" s="990"/>
      <c r="I730" s="990"/>
      <c r="J730" s="990"/>
      <c r="K730" s="990"/>
      <c r="L730" s="990"/>
      <c r="M730" s="990"/>
      <c r="N730" s="990"/>
      <c r="O730" s="990"/>
      <c r="P730" s="990"/>
      <c r="Q730" s="990"/>
      <c r="R730" s="990"/>
      <c r="S730" s="990"/>
      <c r="T730" s="990"/>
      <c r="U730" s="990"/>
      <c r="V730" s="990"/>
      <c r="W730" s="990"/>
      <c r="X730" s="990"/>
    </row>
    <row r="731" spans="1:24" s="896" customFormat="1">
      <c r="A731" s="987">
        <f t="shared" si="12"/>
        <v>657</v>
      </c>
      <c r="B731" s="988">
        <v>25004</v>
      </c>
      <c r="C731" s="899" t="s">
        <v>10057</v>
      </c>
      <c r="D731" s="988" t="s">
        <v>2670</v>
      </c>
      <c r="E731" s="989">
        <v>28.8</v>
      </c>
      <c r="F731" s="990"/>
      <c r="G731" s="990"/>
      <c r="H731" s="990"/>
      <c r="I731" s="990"/>
      <c r="J731" s="990"/>
      <c r="K731" s="990"/>
      <c r="L731" s="990"/>
      <c r="M731" s="990"/>
      <c r="N731" s="990"/>
      <c r="O731" s="990"/>
      <c r="P731" s="990"/>
      <c r="Q731" s="990"/>
      <c r="R731" s="990"/>
      <c r="S731" s="990"/>
      <c r="T731" s="990"/>
      <c r="U731" s="990"/>
      <c r="V731" s="990"/>
      <c r="W731" s="990"/>
      <c r="X731" s="990"/>
    </row>
    <row r="732" spans="1:24" s="896" customFormat="1">
      <c r="A732" s="987">
        <f t="shared" si="12"/>
        <v>658</v>
      </c>
      <c r="B732" s="988">
        <v>25002</v>
      </c>
      <c r="C732" s="899" t="s">
        <v>10058</v>
      </c>
      <c r="D732" s="988" t="s">
        <v>2670</v>
      </c>
      <c r="E732" s="989">
        <v>29.04</v>
      </c>
      <c r="F732" s="990"/>
      <c r="G732" s="990"/>
      <c r="H732" s="990"/>
      <c r="I732" s="990"/>
      <c r="J732" s="990"/>
      <c r="K732" s="990"/>
      <c r="L732" s="990"/>
      <c r="M732" s="990"/>
      <c r="N732" s="990"/>
      <c r="O732" s="990"/>
      <c r="P732" s="990"/>
      <c r="Q732" s="990"/>
      <c r="R732" s="990"/>
      <c r="S732" s="990"/>
      <c r="T732" s="990"/>
      <c r="U732" s="990"/>
      <c r="V732" s="990"/>
      <c r="W732" s="990"/>
      <c r="X732" s="990"/>
    </row>
    <row r="733" spans="1:24" s="896" customFormat="1">
      <c r="A733" s="987">
        <f t="shared" si="12"/>
        <v>659</v>
      </c>
      <c r="B733" s="988">
        <v>37409</v>
      </c>
      <c r="C733" s="899" t="s">
        <v>10059</v>
      </c>
      <c r="D733" s="988" t="s">
        <v>2670</v>
      </c>
      <c r="E733" s="989">
        <v>28.56</v>
      </c>
      <c r="F733" s="990"/>
      <c r="G733" s="990"/>
      <c r="H733" s="990"/>
      <c r="I733" s="990"/>
      <c r="J733" s="990"/>
      <c r="K733" s="990"/>
      <c r="L733" s="990"/>
      <c r="M733" s="990"/>
      <c r="N733" s="990"/>
      <c r="O733" s="990"/>
      <c r="P733" s="990"/>
      <c r="Q733" s="990"/>
      <c r="R733" s="990"/>
      <c r="S733" s="990"/>
      <c r="T733" s="990"/>
      <c r="U733" s="990"/>
      <c r="V733" s="990"/>
      <c r="W733" s="990"/>
      <c r="X733" s="990"/>
    </row>
    <row r="734" spans="1:24" s="896" customFormat="1">
      <c r="A734" s="987">
        <f t="shared" si="12"/>
        <v>660</v>
      </c>
      <c r="B734" s="988">
        <v>841</v>
      </c>
      <c r="C734" s="899" t="s">
        <v>10060</v>
      </c>
      <c r="D734" s="988" t="s">
        <v>2670</v>
      </c>
      <c r="E734" s="989">
        <v>29.5</v>
      </c>
      <c r="F734" s="990"/>
      <c r="G734" s="990"/>
      <c r="H734" s="990"/>
      <c r="I734" s="990"/>
      <c r="J734" s="990"/>
      <c r="K734" s="990"/>
      <c r="L734" s="990"/>
      <c r="M734" s="990"/>
      <c r="N734" s="990"/>
      <c r="O734" s="990"/>
      <c r="P734" s="990"/>
      <c r="Q734" s="990"/>
      <c r="R734" s="990"/>
      <c r="S734" s="990"/>
      <c r="T734" s="990"/>
      <c r="U734" s="990"/>
      <c r="V734" s="990"/>
      <c r="W734" s="990"/>
      <c r="X734" s="990"/>
    </row>
    <row r="735" spans="1:24" s="896" customFormat="1">
      <c r="A735" s="987">
        <f t="shared" si="12"/>
        <v>661</v>
      </c>
      <c r="B735" s="988">
        <v>25005</v>
      </c>
      <c r="C735" s="899" t="s">
        <v>10061</v>
      </c>
      <c r="D735" s="988" t="s">
        <v>2670</v>
      </c>
      <c r="E735" s="989">
        <v>32.340000000000003</v>
      </c>
      <c r="F735" s="990"/>
      <c r="G735" s="990"/>
      <c r="H735" s="990"/>
      <c r="I735" s="990"/>
      <c r="J735" s="990"/>
      <c r="K735" s="990"/>
      <c r="L735" s="990"/>
      <c r="M735" s="990"/>
      <c r="N735" s="990"/>
      <c r="O735" s="990"/>
      <c r="P735" s="990"/>
      <c r="Q735" s="990"/>
      <c r="R735" s="990"/>
      <c r="S735" s="990"/>
      <c r="T735" s="990"/>
      <c r="U735" s="990"/>
      <c r="V735" s="990"/>
      <c r="W735" s="990"/>
      <c r="X735" s="990"/>
    </row>
    <row r="736" spans="1:24" s="896" customFormat="1">
      <c r="A736" s="987">
        <f t="shared" si="12"/>
        <v>662</v>
      </c>
      <c r="B736" s="988">
        <v>25003</v>
      </c>
      <c r="C736" s="899" t="s">
        <v>10062</v>
      </c>
      <c r="D736" s="988" t="s">
        <v>2670</v>
      </c>
      <c r="E736" s="989">
        <v>34.549999999999997</v>
      </c>
      <c r="F736" s="990"/>
      <c r="G736" s="990"/>
      <c r="H736" s="990"/>
      <c r="I736" s="990"/>
      <c r="J736" s="990"/>
      <c r="K736" s="990"/>
      <c r="L736" s="990"/>
      <c r="M736" s="990"/>
      <c r="N736" s="990"/>
      <c r="O736" s="990"/>
      <c r="P736" s="990"/>
      <c r="Q736" s="990"/>
      <c r="R736" s="990"/>
      <c r="S736" s="990"/>
      <c r="T736" s="990"/>
      <c r="U736" s="990"/>
      <c r="V736" s="990"/>
      <c r="W736" s="990"/>
      <c r="X736" s="990"/>
    </row>
    <row r="737" spans="1:24" s="896" customFormat="1">
      <c r="A737" s="987">
        <f t="shared" si="12"/>
        <v>663</v>
      </c>
      <c r="B737" s="988">
        <v>37410</v>
      </c>
      <c r="C737" s="899" t="s">
        <v>10063</v>
      </c>
      <c r="D737" s="988" t="s">
        <v>2670</v>
      </c>
      <c r="E737" s="989">
        <v>32.340000000000003</v>
      </c>
      <c r="F737" s="990"/>
      <c r="G737" s="990"/>
      <c r="H737" s="990"/>
      <c r="I737" s="990"/>
      <c r="J737" s="990"/>
      <c r="K737" s="990"/>
      <c r="L737" s="990"/>
      <c r="M737" s="990"/>
      <c r="N737" s="990"/>
      <c r="O737" s="990"/>
      <c r="P737" s="990"/>
      <c r="Q737" s="990"/>
      <c r="R737" s="990"/>
      <c r="S737" s="990"/>
      <c r="T737" s="990"/>
      <c r="U737" s="990"/>
      <c r="V737" s="990"/>
      <c r="W737" s="990"/>
      <c r="X737" s="990"/>
    </row>
    <row r="738" spans="1:24" s="896" customFormat="1">
      <c r="A738" s="987">
        <f t="shared" si="12"/>
        <v>664</v>
      </c>
      <c r="B738" s="988">
        <v>842</v>
      </c>
      <c r="C738" s="899" t="s">
        <v>10064</v>
      </c>
      <c r="D738" s="988" t="s">
        <v>2670</v>
      </c>
      <c r="E738" s="989">
        <v>36.39</v>
      </c>
      <c r="F738" s="990"/>
      <c r="G738" s="990"/>
      <c r="H738" s="990"/>
      <c r="I738" s="990"/>
      <c r="J738" s="990"/>
      <c r="K738" s="990"/>
      <c r="L738" s="990"/>
      <c r="M738" s="990"/>
      <c r="N738" s="990"/>
      <c r="O738" s="990"/>
      <c r="P738" s="990"/>
      <c r="Q738" s="990"/>
      <c r="R738" s="990"/>
      <c r="S738" s="990"/>
      <c r="T738" s="990"/>
      <c r="U738" s="990"/>
      <c r="V738" s="990"/>
      <c r="W738" s="990"/>
      <c r="X738" s="990"/>
    </row>
    <row r="739" spans="1:24" s="896" customFormat="1">
      <c r="A739" s="987">
        <f t="shared" si="12"/>
        <v>665</v>
      </c>
      <c r="B739" s="988">
        <v>862</v>
      </c>
      <c r="C739" s="899" t="s">
        <v>10065</v>
      </c>
      <c r="D739" s="988" t="s">
        <v>2669</v>
      </c>
      <c r="E739" s="989">
        <v>11.14</v>
      </c>
      <c r="F739" s="990"/>
      <c r="G739" s="990"/>
      <c r="H739" s="990"/>
      <c r="I739" s="990"/>
      <c r="J739" s="990"/>
      <c r="K739" s="990"/>
      <c r="L739" s="990"/>
      <c r="M739" s="990"/>
      <c r="N739" s="990"/>
      <c r="O739" s="990"/>
      <c r="P739" s="990"/>
      <c r="Q739" s="990"/>
      <c r="R739" s="990"/>
      <c r="S739" s="990"/>
      <c r="T739" s="990"/>
      <c r="U739" s="990"/>
      <c r="V739" s="990"/>
      <c r="W739" s="990"/>
      <c r="X739" s="990"/>
    </row>
    <row r="740" spans="1:24" s="896" customFormat="1">
      <c r="A740" s="987">
        <f t="shared" si="12"/>
        <v>666</v>
      </c>
      <c r="B740" s="988">
        <v>866</v>
      </c>
      <c r="C740" s="899" t="s">
        <v>10066</v>
      </c>
      <c r="D740" s="988" t="s">
        <v>2669</v>
      </c>
      <c r="E740" s="989">
        <v>136.96</v>
      </c>
      <c r="F740" s="990"/>
      <c r="G740" s="990"/>
      <c r="H740" s="990"/>
      <c r="I740" s="990"/>
      <c r="J740" s="990"/>
      <c r="K740" s="990"/>
      <c r="L740" s="990"/>
      <c r="M740" s="990"/>
      <c r="N740" s="990"/>
      <c r="O740" s="990"/>
      <c r="P740" s="990"/>
      <c r="Q740" s="990"/>
      <c r="R740" s="990"/>
      <c r="S740" s="990"/>
      <c r="T740" s="990"/>
      <c r="U740" s="990"/>
      <c r="V740" s="990"/>
      <c r="W740" s="990"/>
      <c r="X740" s="990"/>
    </row>
    <row r="741" spans="1:24" s="896" customFormat="1">
      <c r="A741" s="987">
        <f t="shared" si="12"/>
        <v>667</v>
      </c>
      <c r="B741" s="988">
        <v>892</v>
      </c>
      <c r="C741" s="899" t="s">
        <v>10067</v>
      </c>
      <c r="D741" s="988" t="s">
        <v>2669</v>
      </c>
      <c r="E741" s="989">
        <v>174.16</v>
      </c>
      <c r="F741" s="990"/>
      <c r="G741" s="990"/>
      <c r="H741" s="990"/>
      <c r="I741" s="990"/>
      <c r="J741" s="990"/>
      <c r="K741" s="990"/>
      <c r="L741" s="990"/>
      <c r="M741" s="990"/>
      <c r="N741" s="990"/>
      <c r="O741" s="990"/>
      <c r="P741" s="990"/>
      <c r="Q741" s="990"/>
      <c r="R741" s="990"/>
      <c r="S741" s="990"/>
      <c r="T741" s="990"/>
      <c r="U741" s="990"/>
      <c r="V741" s="990"/>
      <c r="W741" s="990"/>
      <c r="X741" s="990"/>
    </row>
    <row r="742" spans="1:24" s="896" customFormat="1">
      <c r="A742" s="987">
        <f t="shared" si="12"/>
        <v>668</v>
      </c>
      <c r="B742" s="988">
        <v>857</v>
      </c>
      <c r="C742" s="899" t="s">
        <v>10068</v>
      </c>
      <c r="D742" s="988" t="s">
        <v>2669</v>
      </c>
      <c r="E742" s="989">
        <v>17.73</v>
      </c>
      <c r="F742" s="990"/>
      <c r="G742" s="990"/>
      <c r="H742" s="990"/>
      <c r="I742" s="990"/>
      <c r="J742" s="990"/>
      <c r="K742" s="990"/>
      <c r="L742" s="990"/>
      <c r="M742" s="990"/>
      <c r="N742" s="990"/>
      <c r="O742" s="990"/>
      <c r="P742" s="990"/>
      <c r="Q742" s="990"/>
      <c r="R742" s="990"/>
      <c r="S742" s="990"/>
      <c r="T742" s="990"/>
      <c r="U742" s="990"/>
      <c r="V742" s="990"/>
      <c r="W742" s="990"/>
      <c r="X742" s="990"/>
    </row>
    <row r="743" spans="1:24" s="896" customFormat="1">
      <c r="A743" s="987">
        <f t="shared" si="12"/>
        <v>669</v>
      </c>
      <c r="B743" s="988">
        <v>37404</v>
      </c>
      <c r="C743" s="899" t="s">
        <v>10069</v>
      </c>
      <c r="D743" s="988" t="s">
        <v>2669</v>
      </c>
      <c r="E743" s="989">
        <v>209.43</v>
      </c>
      <c r="F743" s="990"/>
      <c r="G743" s="990"/>
      <c r="H743" s="990"/>
      <c r="I743" s="990"/>
      <c r="J743" s="990"/>
      <c r="K743" s="990"/>
      <c r="L743" s="990"/>
      <c r="M743" s="990"/>
      <c r="N743" s="990"/>
      <c r="O743" s="990"/>
      <c r="P743" s="990"/>
      <c r="Q743" s="990"/>
      <c r="R743" s="990"/>
      <c r="S743" s="990"/>
      <c r="T743" s="990"/>
      <c r="U743" s="990"/>
      <c r="V743" s="990"/>
      <c r="W743" s="990"/>
      <c r="X743" s="990"/>
    </row>
    <row r="744" spans="1:24" s="896" customFormat="1">
      <c r="A744" s="987">
        <f t="shared" si="12"/>
        <v>670</v>
      </c>
      <c r="B744" s="988">
        <v>868</v>
      </c>
      <c r="C744" s="899" t="s">
        <v>10070</v>
      </c>
      <c r="D744" s="988" t="s">
        <v>2669</v>
      </c>
      <c r="E744" s="989">
        <v>27.38</v>
      </c>
      <c r="F744" s="990"/>
      <c r="G744" s="990"/>
      <c r="H744" s="990"/>
      <c r="I744" s="990"/>
      <c r="J744" s="990"/>
      <c r="K744" s="990"/>
      <c r="L744" s="990"/>
      <c r="M744" s="990"/>
      <c r="N744" s="990"/>
      <c r="O744" s="990"/>
      <c r="P744" s="990"/>
      <c r="Q744" s="990"/>
      <c r="R744" s="990"/>
      <c r="S744" s="990"/>
      <c r="T744" s="990"/>
      <c r="U744" s="990"/>
      <c r="V744" s="990"/>
      <c r="W744" s="990"/>
      <c r="X744" s="990"/>
    </row>
    <row r="745" spans="1:24" s="896" customFormat="1">
      <c r="A745" s="987">
        <f t="shared" si="12"/>
        <v>671</v>
      </c>
      <c r="B745" s="988">
        <v>870</v>
      </c>
      <c r="C745" s="899" t="s">
        <v>10071</v>
      </c>
      <c r="D745" s="988" t="s">
        <v>2669</v>
      </c>
      <c r="E745" s="989">
        <v>360.88</v>
      </c>
      <c r="F745" s="990"/>
      <c r="G745" s="990"/>
      <c r="H745" s="990"/>
      <c r="I745" s="990"/>
      <c r="J745" s="990"/>
      <c r="K745" s="990"/>
      <c r="L745" s="990"/>
      <c r="M745" s="990"/>
      <c r="N745" s="990"/>
      <c r="O745" s="990"/>
      <c r="P745" s="990"/>
      <c r="Q745" s="990"/>
      <c r="R745" s="990"/>
      <c r="S745" s="990"/>
      <c r="T745" s="990"/>
      <c r="U745" s="990"/>
      <c r="V745" s="990"/>
      <c r="W745" s="990"/>
      <c r="X745" s="990"/>
    </row>
    <row r="746" spans="1:24" s="896" customFormat="1">
      <c r="A746" s="987">
        <f t="shared" si="12"/>
        <v>672</v>
      </c>
      <c r="B746" s="988">
        <v>863</v>
      </c>
      <c r="C746" s="899" t="s">
        <v>10072</v>
      </c>
      <c r="D746" s="988" t="s">
        <v>2669</v>
      </c>
      <c r="E746" s="989">
        <v>37.83</v>
      </c>
      <c r="F746" s="990"/>
      <c r="G746" s="990"/>
      <c r="H746" s="990"/>
      <c r="I746" s="990"/>
      <c r="J746" s="990"/>
      <c r="K746" s="990"/>
      <c r="L746" s="990"/>
      <c r="M746" s="990"/>
      <c r="N746" s="990"/>
      <c r="O746" s="990"/>
      <c r="P746" s="990"/>
      <c r="Q746" s="990"/>
      <c r="R746" s="990"/>
      <c r="S746" s="990"/>
      <c r="T746" s="990"/>
      <c r="U746" s="990"/>
      <c r="V746" s="990"/>
      <c r="W746" s="990"/>
      <c r="X746" s="990"/>
    </row>
    <row r="747" spans="1:24" s="896" customFormat="1">
      <c r="A747" s="987">
        <f t="shared" si="12"/>
        <v>673</v>
      </c>
      <c r="B747" s="988">
        <v>867</v>
      </c>
      <c r="C747" s="899" t="s">
        <v>10073</v>
      </c>
      <c r="D747" s="988" t="s">
        <v>2669</v>
      </c>
      <c r="E747" s="989">
        <v>52.69</v>
      </c>
      <c r="F747" s="990"/>
      <c r="G747" s="990"/>
      <c r="H747" s="990"/>
      <c r="I747" s="990"/>
      <c r="J747" s="990"/>
      <c r="K747" s="990"/>
      <c r="L747" s="990"/>
      <c r="M747" s="990"/>
      <c r="N747" s="990"/>
      <c r="O747" s="990"/>
      <c r="P747" s="990"/>
      <c r="Q747" s="990"/>
      <c r="R747" s="990"/>
      <c r="S747" s="990"/>
      <c r="T747" s="990"/>
      <c r="U747" s="990"/>
      <c r="V747" s="990"/>
      <c r="W747" s="990"/>
      <c r="X747" s="990"/>
    </row>
    <row r="748" spans="1:24" s="896" customFormat="1">
      <c r="A748" s="987">
        <f t="shared" si="12"/>
        <v>674</v>
      </c>
      <c r="B748" s="988">
        <v>891</v>
      </c>
      <c r="C748" s="899" t="s">
        <v>10074</v>
      </c>
      <c r="D748" s="988" t="s">
        <v>2669</v>
      </c>
      <c r="E748" s="989">
        <v>606.07000000000005</v>
      </c>
      <c r="F748" s="990"/>
      <c r="G748" s="990"/>
      <c r="H748" s="990"/>
      <c r="I748" s="990"/>
      <c r="J748" s="990"/>
      <c r="K748" s="990"/>
      <c r="L748" s="990"/>
      <c r="M748" s="990"/>
      <c r="N748" s="990"/>
      <c r="O748" s="990"/>
      <c r="P748" s="990"/>
      <c r="Q748" s="990"/>
      <c r="R748" s="990"/>
      <c r="S748" s="990"/>
      <c r="T748" s="990"/>
      <c r="U748" s="990"/>
      <c r="V748" s="990"/>
      <c r="W748" s="990"/>
      <c r="X748" s="990"/>
    </row>
    <row r="749" spans="1:24" s="896" customFormat="1">
      <c r="A749" s="987">
        <f t="shared" si="12"/>
        <v>675</v>
      </c>
      <c r="B749" s="988">
        <v>864</v>
      </c>
      <c r="C749" s="899" t="s">
        <v>10075</v>
      </c>
      <c r="D749" s="988" t="s">
        <v>2669</v>
      </c>
      <c r="E749" s="989">
        <v>74.23</v>
      </c>
      <c r="F749" s="990"/>
      <c r="G749" s="990"/>
      <c r="H749" s="990"/>
      <c r="I749" s="990"/>
      <c r="J749" s="990"/>
      <c r="K749" s="990"/>
      <c r="L749" s="990"/>
      <c r="M749" s="990"/>
      <c r="N749" s="990"/>
      <c r="O749" s="990"/>
      <c r="P749" s="990"/>
      <c r="Q749" s="990"/>
      <c r="R749" s="990"/>
      <c r="S749" s="990"/>
      <c r="T749" s="990"/>
      <c r="U749" s="990"/>
      <c r="V749" s="990"/>
      <c r="W749" s="990"/>
      <c r="X749" s="990"/>
    </row>
    <row r="750" spans="1:24" s="896" customFormat="1">
      <c r="A750" s="987">
        <f t="shared" si="12"/>
        <v>676</v>
      </c>
      <c r="B750" s="988">
        <v>865</v>
      </c>
      <c r="C750" s="899" t="s">
        <v>10076</v>
      </c>
      <c r="D750" s="988" t="s">
        <v>2669</v>
      </c>
      <c r="E750" s="989">
        <v>104.55</v>
      </c>
      <c r="F750" s="990"/>
      <c r="G750" s="990"/>
      <c r="H750" s="990"/>
      <c r="I750" s="990"/>
      <c r="J750" s="990"/>
      <c r="K750" s="990"/>
      <c r="L750" s="990"/>
      <c r="M750" s="990"/>
      <c r="N750" s="990"/>
      <c r="O750" s="990"/>
      <c r="P750" s="990"/>
      <c r="Q750" s="990"/>
      <c r="R750" s="990"/>
      <c r="S750" s="990"/>
      <c r="T750" s="990"/>
      <c r="U750" s="990"/>
      <c r="V750" s="990"/>
      <c r="W750" s="990"/>
      <c r="X750" s="990"/>
    </row>
    <row r="751" spans="1:24" s="896" customFormat="1" ht="25.5">
      <c r="A751" s="987">
        <f t="shared" si="12"/>
        <v>677</v>
      </c>
      <c r="B751" s="988">
        <v>1006</v>
      </c>
      <c r="C751" s="899" t="s">
        <v>10077</v>
      </c>
      <c r="D751" s="988" t="s">
        <v>2669</v>
      </c>
      <c r="E751" s="989">
        <v>105.39</v>
      </c>
      <c r="F751" s="990"/>
      <c r="G751" s="990"/>
      <c r="H751" s="990"/>
      <c r="I751" s="990"/>
      <c r="J751" s="990"/>
      <c r="K751" s="990"/>
      <c r="L751" s="990"/>
      <c r="M751" s="990"/>
      <c r="N751" s="990"/>
      <c r="O751" s="990"/>
      <c r="P751" s="990"/>
      <c r="Q751" s="990"/>
      <c r="R751" s="990"/>
      <c r="S751" s="990"/>
      <c r="T751" s="990"/>
      <c r="U751" s="990"/>
      <c r="V751" s="990"/>
      <c r="W751" s="990"/>
      <c r="X751" s="990"/>
    </row>
    <row r="752" spans="1:24" s="896" customFormat="1" ht="25.5">
      <c r="A752" s="987">
        <f t="shared" si="12"/>
        <v>678</v>
      </c>
      <c r="B752" s="988">
        <v>948</v>
      </c>
      <c r="C752" s="899" t="s">
        <v>10078</v>
      </c>
      <c r="D752" s="988" t="s">
        <v>2669</v>
      </c>
      <c r="E752" s="989">
        <v>54.88</v>
      </c>
      <c r="F752" s="990"/>
      <c r="G752" s="990"/>
      <c r="H752" s="990"/>
      <c r="I752" s="990"/>
      <c r="J752" s="990"/>
      <c r="K752" s="990"/>
      <c r="L752" s="990"/>
      <c r="M752" s="990"/>
      <c r="N752" s="990"/>
      <c r="O752" s="990"/>
      <c r="P752" s="990"/>
      <c r="Q752" s="990"/>
      <c r="R752" s="990"/>
      <c r="S752" s="990"/>
      <c r="T752" s="990"/>
      <c r="U752" s="990"/>
      <c r="V752" s="990"/>
      <c r="W752" s="990"/>
      <c r="X752" s="990"/>
    </row>
    <row r="753" spans="1:24" s="896" customFormat="1" ht="25.5">
      <c r="A753" s="987">
        <f t="shared" si="12"/>
        <v>679</v>
      </c>
      <c r="B753" s="988">
        <v>947</v>
      </c>
      <c r="C753" s="899" t="s">
        <v>10079</v>
      </c>
      <c r="D753" s="988" t="s">
        <v>2669</v>
      </c>
      <c r="E753" s="989">
        <v>55.82</v>
      </c>
      <c r="F753" s="990"/>
      <c r="G753" s="990"/>
      <c r="H753" s="990"/>
      <c r="I753" s="990"/>
      <c r="J753" s="990"/>
      <c r="K753" s="990"/>
      <c r="L753" s="990"/>
      <c r="M753" s="990"/>
      <c r="N753" s="990"/>
      <c r="O753" s="990"/>
      <c r="P753" s="990"/>
      <c r="Q753" s="990"/>
      <c r="R753" s="990"/>
      <c r="S753" s="990"/>
      <c r="T753" s="990"/>
      <c r="U753" s="990"/>
      <c r="V753" s="990"/>
      <c r="W753" s="990"/>
      <c r="X753" s="990"/>
    </row>
    <row r="754" spans="1:24" s="896" customFormat="1" ht="25.5">
      <c r="A754" s="987">
        <f t="shared" si="12"/>
        <v>680</v>
      </c>
      <c r="B754" s="988">
        <v>911</v>
      </c>
      <c r="C754" s="899" t="s">
        <v>10080</v>
      </c>
      <c r="D754" s="988" t="s">
        <v>2669</v>
      </c>
      <c r="E754" s="989">
        <v>81.180000000000007</v>
      </c>
      <c r="F754" s="990"/>
      <c r="G754" s="990"/>
      <c r="H754" s="990"/>
      <c r="I754" s="990"/>
      <c r="J754" s="990"/>
      <c r="K754" s="990"/>
      <c r="L754" s="990"/>
      <c r="M754" s="990"/>
      <c r="N754" s="990"/>
      <c r="O754" s="990"/>
      <c r="P754" s="990"/>
      <c r="Q754" s="990"/>
      <c r="R754" s="990"/>
      <c r="S754" s="990"/>
      <c r="T754" s="990"/>
      <c r="U754" s="990"/>
      <c r="V754" s="990"/>
      <c r="W754" s="990"/>
      <c r="X754" s="990"/>
    </row>
    <row r="755" spans="1:24" s="896" customFormat="1" ht="25.5">
      <c r="A755" s="987">
        <f t="shared" si="12"/>
        <v>681</v>
      </c>
      <c r="B755" s="988">
        <v>925</v>
      </c>
      <c r="C755" s="899" t="s">
        <v>10081</v>
      </c>
      <c r="D755" s="988" t="s">
        <v>2669</v>
      </c>
      <c r="E755" s="989">
        <v>75.03</v>
      </c>
      <c r="F755" s="990"/>
      <c r="G755" s="990"/>
      <c r="H755" s="990"/>
      <c r="I755" s="990"/>
      <c r="J755" s="990"/>
      <c r="K755" s="990"/>
      <c r="L755" s="990"/>
      <c r="M755" s="990"/>
      <c r="N755" s="990"/>
      <c r="O755" s="990"/>
      <c r="P755" s="990"/>
      <c r="Q755" s="990"/>
      <c r="R755" s="990"/>
      <c r="S755" s="990"/>
      <c r="T755" s="990"/>
      <c r="U755" s="990"/>
      <c r="V755" s="990"/>
      <c r="W755" s="990"/>
      <c r="X755" s="990"/>
    </row>
    <row r="756" spans="1:24" s="896" customFormat="1" ht="25.5">
      <c r="A756" s="987">
        <f t="shared" si="12"/>
        <v>682</v>
      </c>
      <c r="B756" s="988">
        <v>954</v>
      </c>
      <c r="C756" s="899" t="s">
        <v>10082</v>
      </c>
      <c r="D756" s="988" t="s">
        <v>2669</v>
      </c>
      <c r="E756" s="989">
        <v>82.89</v>
      </c>
      <c r="F756" s="990"/>
      <c r="G756" s="990"/>
      <c r="H756" s="990"/>
      <c r="I756" s="990"/>
      <c r="J756" s="990"/>
      <c r="K756" s="990"/>
      <c r="L756" s="990"/>
      <c r="M756" s="990"/>
      <c r="N756" s="990"/>
      <c r="O756" s="990"/>
      <c r="P756" s="990"/>
      <c r="Q756" s="990"/>
      <c r="R756" s="990"/>
      <c r="S756" s="990"/>
      <c r="T756" s="990"/>
      <c r="U756" s="990"/>
      <c r="V756" s="990"/>
      <c r="W756" s="990"/>
      <c r="X756" s="990"/>
    </row>
    <row r="757" spans="1:24" s="896" customFormat="1" ht="25.5">
      <c r="A757" s="987">
        <f t="shared" si="12"/>
        <v>683</v>
      </c>
      <c r="B757" s="988">
        <v>901</v>
      </c>
      <c r="C757" s="899" t="s">
        <v>10083</v>
      </c>
      <c r="D757" s="988" t="s">
        <v>2669</v>
      </c>
      <c r="E757" s="989">
        <v>88.71</v>
      </c>
      <c r="F757" s="990"/>
      <c r="G757" s="990"/>
      <c r="H757" s="990"/>
      <c r="I757" s="990"/>
      <c r="J757" s="990"/>
      <c r="K757" s="990"/>
      <c r="L757" s="990"/>
      <c r="M757" s="990"/>
      <c r="N757" s="990"/>
      <c r="O757" s="990"/>
      <c r="P757" s="990"/>
      <c r="Q757" s="990"/>
      <c r="R757" s="990"/>
      <c r="S757" s="990"/>
      <c r="T757" s="990"/>
      <c r="U757" s="990"/>
      <c r="V757" s="990"/>
      <c r="W757" s="990"/>
      <c r="X757" s="990"/>
    </row>
    <row r="758" spans="1:24" s="896" customFormat="1" ht="25.5">
      <c r="A758" s="987">
        <f t="shared" si="12"/>
        <v>684</v>
      </c>
      <c r="B758" s="988">
        <v>926</v>
      </c>
      <c r="C758" s="899" t="s">
        <v>10084</v>
      </c>
      <c r="D758" s="988" t="s">
        <v>2669</v>
      </c>
      <c r="E758" s="989">
        <v>93.76</v>
      </c>
      <c r="F758" s="990"/>
      <c r="G758" s="990"/>
      <c r="H758" s="990"/>
      <c r="I758" s="990"/>
      <c r="J758" s="990"/>
      <c r="K758" s="990"/>
      <c r="L758" s="990"/>
      <c r="M758" s="990"/>
      <c r="N758" s="990"/>
      <c r="O758" s="990"/>
      <c r="P758" s="990"/>
      <c r="Q758" s="990"/>
      <c r="R758" s="990"/>
      <c r="S758" s="990"/>
      <c r="T758" s="990"/>
      <c r="U758" s="990"/>
      <c r="V758" s="990"/>
      <c r="W758" s="990"/>
      <c r="X758" s="990"/>
    </row>
    <row r="759" spans="1:24" s="896" customFormat="1" ht="25.5">
      <c r="A759" s="987">
        <f t="shared" si="12"/>
        <v>685</v>
      </c>
      <c r="B759" s="988">
        <v>912</v>
      </c>
      <c r="C759" s="899" t="s">
        <v>10085</v>
      </c>
      <c r="D759" s="988" t="s">
        <v>2669</v>
      </c>
      <c r="E759" s="989">
        <v>94.33</v>
      </c>
      <c r="F759" s="990"/>
      <c r="G759" s="990"/>
      <c r="H759" s="990"/>
      <c r="I759" s="990"/>
      <c r="J759" s="990"/>
      <c r="K759" s="990"/>
      <c r="L759" s="990"/>
      <c r="M759" s="990"/>
      <c r="N759" s="990"/>
      <c r="O759" s="990"/>
      <c r="P759" s="990"/>
      <c r="Q759" s="990"/>
      <c r="R759" s="990"/>
      <c r="S759" s="990"/>
      <c r="T759" s="990"/>
      <c r="U759" s="990"/>
      <c r="V759" s="990"/>
      <c r="W759" s="990"/>
      <c r="X759" s="990"/>
    </row>
    <row r="760" spans="1:24" s="896" customFormat="1" ht="25.5">
      <c r="A760" s="987">
        <f t="shared" si="12"/>
        <v>686</v>
      </c>
      <c r="B760" s="988">
        <v>955</v>
      </c>
      <c r="C760" s="899" t="s">
        <v>10086</v>
      </c>
      <c r="D760" s="988" t="s">
        <v>2669</v>
      </c>
      <c r="E760" s="989">
        <v>112.59</v>
      </c>
      <c r="F760" s="990"/>
      <c r="G760" s="990"/>
      <c r="H760" s="990"/>
      <c r="I760" s="990"/>
      <c r="J760" s="990"/>
      <c r="K760" s="990"/>
      <c r="L760" s="990"/>
      <c r="M760" s="990"/>
      <c r="N760" s="990"/>
      <c r="O760" s="990"/>
      <c r="P760" s="990"/>
      <c r="Q760" s="990"/>
      <c r="R760" s="990"/>
      <c r="S760" s="990"/>
      <c r="T760" s="990"/>
      <c r="U760" s="990"/>
      <c r="V760" s="990"/>
      <c r="W760" s="990"/>
      <c r="X760" s="990"/>
    </row>
    <row r="761" spans="1:24" s="896" customFormat="1" ht="25.5">
      <c r="A761" s="987">
        <f t="shared" si="12"/>
        <v>687</v>
      </c>
      <c r="B761" s="988">
        <v>946</v>
      </c>
      <c r="C761" s="899" t="s">
        <v>10087</v>
      </c>
      <c r="D761" s="988" t="s">
        <v>2669</v>
      </c>
      <c r="E761" s="989">
        <v>126.59</v>
      </c>
      <c r="F761" s="990"/>
      <c r="G761" s="990"/>
      <c r="H761" s="990"/>
      <c r="I761" s="990"/>
      <c r="J761" s="990"/>
      <c r="K761" s="990"/>
      <c r="L761" s="990"/>
      <c r="M761" s="990"/>
      <c r="N761" s="990"/>
      <c r="O761" s="990"/>
      <c r="P761" s="990"/>
      <c r="Q761" s="990"/>
      <c r="R761" s="990"/>
      <c r="S761" s="990"/>
      <c r="T761" s="990"/>
      <c r="U761" s="990"/>
      <c r="V761" s="990"/>
      <c r="W761" s="990"/>
      <c r="X761" s="990"/>
    </row>
    <row r="762" spans="1:24" s="896" customFormat="1" ht="25.5">
      <c r="A762" s="987">
        <f t="shared" si="12"/>
        <v>688</v>
      </c>
      <c r="B762" s="988">
        <v>953</v>
      </c>
      <c r="C762" s="899" t="s">
        <v>10088</v>
      </c>
      <c r="D762" s="988" t="s">
        <v>2669</v>
      </c>
      <c r="E762" s="989">
        <v>115.19</v>
      </c>
      <c r="F762" s="990"/>
      <c r="G762" s="990"/>
      <c r="H762" s="990"/>
      <c r="I762" s="990"/>
      <c r="J762" s="990"/>
      <c r="K762" s="990"/>
      <c r="L762" s="990"/>
      <c r="M762" s="990"/>
      <c r="N762" s="990"/>
      <c r="O762" s="990"/>
      <c r="P762" s="990"/>
      <c r="Q762" s="990"/>
      <c r="R762" s="990"/>
      <c r="S762" s="990"/>
      <c r="T762" s="990"/>
      <c r="U762" s="990"/>
      <c r="V762" s="990"/>
      <c r="W762" s="990"/>
      <c r="X762" s="990"/>
    </row>
    <row r="763" spans="1:24" s="896" customFormat="1" ht="25.5">
      <c r="A763" s="987">
        <f t="shared" si="12"/>
        <v>689</v>
      </c>
      <c r="B763" s="988">
        <v>902</v>
      </c>
      <c r="C763" s="899" t="s">
        <v>10089</v>
      </c>
      <c r="D763" s="988" t="s">
        <v>2669</v>
      </c>
      <c r="E763" s="989">
        <v>140.04</v>
      </c>
      <c r="F763" s="990"/>
      <c r="G763" s="990"/>
      <c r="H763" s="990"/>
      <c r="I763" s="990"/>
      <c r="J763" s="990"/>
      <c r="K763" s="990"/>
      <c r="L763" s="990"/>
      <c r="M763" s="990"/>
      <c r="N763" s="990"/>
      <c r="O763" s="990"/>
      <c r="P763" s="990"/>
      <c r="Q763" s="990"/>
      <c r="R763" s="990"/>
      <c r="S763" s="990"/>
      <c r="T763" s="990"/>
      <c r="U763" s="990"/>
      <c r="V763" s="990"/>
      <c r="W763" s="990"/>
      <c r="X763" s="990"/>
    </row>
    <row r="764" spans="1:24" s="896" customFormat="1" ht="25.5">
      <c r="A764" s="987">
        <f t="shared" si="12"/>
        <v>690</v>
      </c>
      <c r="B764" s="988">
        <v>927</v>
      </c>
      <c r="C764" s="899" t="s">
        <v>10090</v>
      </c>
      <c r="D764" s="988" t="s">
        <v>2669</v>
      </c>
      <c r="E764" s="989">
        <v>135.72999999999999</v>
      </c>
      <c r="F764" s="990"/>
      <c r="G764" s="990"/>
      <c r="H764" s="990"/>
      <c r="I764" s="990"/>
      <c r="J764" s="990"/>
      <c r="K764" s="990"/>
      <c r="L764" s="990"/>
      <c r="M764" s="990"/>
      <c r="N764" s="990"/>
      <c r="O764" s="990"/>
      <c r="P764" s="990"/>
      <c r="Q764" s="990"/>
      <c r="R764" s="990"/>
      <c r="S764" s="990"/>
      <c r="T764" s="990"/>
      <c r="U764" s="990"/>
      <c r="V764" s="990"/>
      <c r="W764" s="990"/>
      <c r="X764" s="990"/>
    </row>
    <row r="765" spans="1:24" s="896" customFormat="1" ht="25.5">
      <c r="A765" s="987">
        <f t="shared" si="12"/>
        <v>691</v>
      </c>
      <c r="B765" s="988">
        <v>913</v>
      </c>
      <c r="C765" s="899" t="s">
        <v>10091</v>
      </c>
      <c r="D765" s="988" t="s">
        <v>2669</v>
      </c>
      <c r="E765" s="989">
        <v>151.5</v>
      </c>
      <c r="F765" s="990"/>
      <c r="G765" s="990"/>
      <c r="H765" s="990"/>
      <c r="I765" s="990"/>
      <c r="J765" s="990"/>
      <c r="K765" s="990"/>
      <c r="L765" s="990"/>
      <c r="M765" s="990"/>
      <c r="N765" s="990"/>
      <c r="O765" s="990"/>
      <c r="P765" s="990"/>
      <c r="Q765" s="990"/>
      <c r="R765" s="990"/>
      <c r="S765" s="990"/>
      <c r="T765" s="990"/>
      <c r="U765" s="990"/>
      <c r="V765" s="990"/>
      <c r="W765" s="990"/>
      <c r="X765" s="990"/>
    </row>
    <row r="766" spans="1:24" s="896" customFormat="1" ht="25.5">
      <c r="A766" s="987">
        <f t="shared" si="12"/>
        <v>692</v>
      </c>
      <c r="B766" s="988">
        <v>903</v>
      </c>
      <c r="C766" s="899" t="s">
        <v>10092</v>
      </c>
      <c r="D766" s="988" t="s">
        <v>2669</v>
      </c>
      <c r="E766" s="989">
        <v>171.45</v>
      </c>
      <c r="F766" s="990"/>
      <c r="G766" s="990"/>
      <c r="H766" s="990"/>
      <c r="I766" s="990"/>
      <c r="J766" s="990"/>
      <c r="K766" s="990"/>
      <c r="L766" s="990"/>
      <c r="M766" s="990"/>
      <c r="N766" s="990"/>
      <c r="O766" s="990"/>
      <c r="P766" s="990"/>
      <c r="Q766" s="990"/>
      <c r="R766" s="990"/>
      <c r="S766" s="990"/>
      <c r="T766" s="990"/>
      <c r="U766" s="990"/>
      <c r="V766" s="990"/>
      <c r="W766" s="990"/>
      <c r="X766" s="990"/>
    </row>
    <row r="767" spans="1:24" s="896" customFormat="1" ht="25.5">
      <c r="A767" s="987">
        <f t="shared" si="12"/>
        <v>693</v>
      </c>
      <c r="B767" s="988">
        <v>945</v>
      </c>
      <c r="C767" s="899" t="s">
        <v>10093</v>
      </c>
      <c r="D767" s="988" t="s">
        <v>2669</v>
      </c>
      <c r="E767" s="989">
        <v>181.37</v>
      </c>
      <c r="F767" s="990"/>
      <c r="G767" s="990"/>
      <c r="H767" s="990"/>
      <c r="I767" s="990"/>
      <c r="J767" s="990"/>
      <c r="K767" s="990"/>
      <c r="L767" s="990"/>
      <c r="M767" s="990"/>
      <c r="N767" s="990"/>
      <c r="O767" s="990"/>
      <c r="P767" s="990"/>
      <c r="Q767" s="990"/>
      <c r="R767" s="990"/>
      <c r="S767" s="990"/>
      <c r="T767" s="990"/>
      <c r="U767" s="990"/>
      <c r="V767" s="990"/>
      <c r="W767" s="990"/>
      <c r="X767" s="990"/>
    </row>
    <row r="768" spans="1:24" s="896" customFormat="1" ht="25.5">
      <c r="A768" s="987">
        <f t="shared" si="12"/>
        <v>694</v>
      </c>
      <c r="B768" s="988">
        <v>914</v>
      </c>
      <c r="C768" s="899" t="s">
        <v>10094</v>
      </c>
      <c r="D768" s="988" t="s">
        <v>2669</v>
      </c>
      <c r="E768" s="989">
        <v>185.8</v>
      </c>
      <c r="F768" s="990"/>
      <c r="G768" s="990"/>
      <c r="H768" s="990"/>
      <c r="I768" s="990"/>
      <c r="J768" s="990"/>
      <c r="K768" s="990"/>
      <c r="L768" s="990"/>
      <c r="M768" s="990"/>
      <c r="N768" s="990"/>
      <c r="O768" s="990"/>
      <c r="P768" s="990"/>
      <c r="Q768" s="990"/>
      <c r="R768" s="990"/>
      <c r="S768" s="990"/>
      <c r="T768" s="990"/>
      <c r="U768" s="990"/>
      <c r="V768" s="990"/>
      <c r="W768" s="990"/>
      <c r="X768" s="990"/>
    </row>
    <row r="769" spans="1:24" s="896" customFormat="1" ht="38.25">
      <c r="A769" s="987">
        <f t="shared" si="12"/>
        <v>695</v>
      </c>
      <c r="B769" s="988">
        <v>993</v>
      </c>
      <c r="C769" s="899" t="s">
        <v>10095</v>
      </c>
      <c r="D769" s="988" t="s">
        <v>2669</v>
      </c>
      <c r="E769" s="989">
        <v>2.27</v>
      </c>
      <c r="F769" s="990"/>
      <c r="G769" s="990"/>
      <c r="H769" s="990"/>
      <c r="I769" s="990"/>
      <c r="J769" s="990"/>
      <c r="K769" s="990"/>
      <c r="L769" s="990"/>
      <c r="M769" s="990"/>
      <c r="N769" s="990"/>
      <c r="O769" s="990"/>
      <c r="P769" s="990"/>
      <c r="Q769" s="990"/>
      <c r="R769" s="990"/>
      <c r="S769" s="990"/>
      <c r="T769" s="990"/>
      <c r="U769" s="990"/>
      <c r="V769" s="990"/>
      <c r="W769" s="990"/>
      <c r="X769" s="990"/>
    </row>
    <row r="770" spans="1:24" s="896" customFormat="1" ht="38.25">
      <c r="A770" s="987">
        <f t="shared" si="12"/>
        <v>696</v>
      </c>
      <c r="B770" s="988">
        <v>1020</v>
      </c>
      <c r="C770" s="899" t="s">
        <v>10096</v>
      </c>
      <c r="D770" s="988" t="s">
        <v>2669</v>
      </c>
      <c r="E770" s="989">
        <v>9.8800000000000008</v>
      </c>
      <c r="F770" s="990"/>
      <c r="G770" s="990"/>
      <c r="H770" s="990"/>
      <c r="I770" s="990"/>
      <c r="J770" s="990"/>
      <c r="K770" s="990"/>
      <c r="L770" s="990"/>
      <c r="M770" s="990"/>
      <c r="N770" s="990"/>
      <c r="O770" s="990"/>
      <c r="P770" s="990"/>
      <c r="Q770" s="990"/>
      <c r="R770" s="990"/>
      <c r="S770" s="990"/>
      <c r="T770" s="990"/>
      <c r="U770" s="990"/>
      <c r="V770" s="990"/>
      <c r="W770" s="990"/>
      <c r="X770" s="990"/>
    </row>
    <row r="771" spans="1:24" s="896" customFormat="1" ht="38.25">
      <c r="A771" s="987">
        <f t="shared" si="12"/>
        <v>697</v>
      </c>
      <c r="B771" s="988">
        <v>1017</v>
      </c>
      <c r="C771" s="899" t="s">
        <v>10097</v>
      </c>
      <c r="D771" s="988" t="s">
        <v>2669</v>
      </c>
      <c r="E771" s="989">
        <v>108.57</v>
      </c>
      <c r="F771" s="990"/>
      <c r="G771" s="990"/>
      <c r="H771" s="990"/>
      <c r="I771" s="990"/>
      <c r="J771" s="990"/>
      <c r="K771" s="990"/>
      <c r="L771" s="990"/>
      <c r="M771" s="990"/>
      <c r="N771" s="990"/>
      <c r="O771" s="990"/>
      <c r="P771" s="990"/>
      <c r="Q771" s="990"/>
      <c r="R771" s="990"/>
      <c r="S771" s="990"/>
      <c r="T771" s="990"/>
      <c r="U771" s="990"/>
      <c r="V771" s="990"/>
      <c r="W771" s="990"/>
      <c r="X771" s="990"/>
    </row>
    <row r="772" spans="1:24" s="896" customFormat="1" ht="38.25">
      <c r="A772" s="987">
        <f t="shared" si="12"/>
        <v>698</v>
      </c>
      <c r="B772" s="988">
        <v>999</v>
      </c>
      <c r="C772" s="899" t="s">
        <v>10098</v>
      </c>
      <c r="D772" s="988" t="s">
        <v>2669</v>
      </c>
      <c r="E772" s="989">
        <v>134.52000000000001</v>
      </c>
      <c r="F772" s="990"/>
      <c r="G772" s="990"/>
      <c r="H772" s="990"/>
      <c r="I772" s="990"/>
      <c r="J772" s="990"/>
      <c r="K772" s="990"/>
      <c r="L772" s="990"/>
      <c r="M772" s="990"/>
      <c r="N772" s="990"/>
      <c r="O772" s="990"/>
      <c r="P772" s="990"/>
      <c r="Q772" s="990"/>
      <c r="R772" s="990"/>
      <c r="S772" s="990"/>
      <c r="T772" s="990"/>
      <c r="U772" s="990"/>
      <c r="V772" s="990"/>
      <c r="W772" s="990"/>
      <c r="X772" s="990"/>
    </row>
    <row r="773" spans="1:24" s="896" customFormat="1" ht="38.25">
      <c r="A773" s="987">
        <f t="shared" si="12"/>
        <v>699</v>
      </c>
      <c r="B773" s="988">
        <v>995</v>
      </c>
      <c r="C773" s="899" t="s">
        <v>10099</v>
      </c>
      <c r="D773" s="988" t="s">
        <v>2669</v>
      </c>
      <c r="E773" s="989">
        <v>15.15</v>
      </c>
      <c r="F773" s="990"/>
      <c r="G773" s="990"/>
      <c r="H773" s="990"/>
      <c r="I773" s="990"/>
      <c r="J773" s="990"/>
      <c r="K773" s="990"/>
      <c r="L773" s="990"/>
      <c r="M773" s="990"/>
      <c r="N773" s="990"/>
      <c r="O773" s="990"/>
      <c r="P773" s="990"/>
      <c r="Q773" s="990"/>
      <c r="R773" s="990"/>
      <c r="S773" s="990"/>
      <c r="T773" s="990"/>
      <c r="U773" s="990"/>
      <c r="V773" s="990"/>
      <c r="W773" s="990"/>
      <c r="X773" s="990"/>
    </row>
    <row r="774" spans="1:24" s="896" customFormat="1" ht="38.25">
      <c r="A774" s="987">
        <f t="shared" si="12"/>
        <v>700</v>
      </c>
      <c r="B774" s="988">
        <v>1000</v>
      </c>
      <c r="C774" s="899" t="s">
        <v>10100</v>
      </c>
      <c r="D774" s="988" t="s">
        <v>2669</v>
      </c>
      <c r="E774" s="989">
        <v>164.9</v>
      </c>
      <c r="F774" s="990"/>
      <c r="G774" s="990"/>
      <c r="H774" s="990"/>
      <c r="I774" s="990"/>
      <c r="J774" s="990"/>
      <c r="K774" s="990"/>
      <c r="L774" s="990"/>
      <c r="M774" s="990"/>
      <c r="N774" s="990"/>
      <c r="O774" s="990"/>
      <c r="P774" s="990"/>
      <c r="Q774" s="990"/>
      <c r="R774" s="990"/>
      <c r="S774" s="990"/>
      <c r="T774" s="990"/>
      <c r="U774" s="990"/>
      <c r="V774" s="990"/>
      <c r="W774" s="990"/>
      <c r="X774" s="990"/>
    </row>
    <row r="775" spans="1:24" s="896" customFormat="1" ht="38.25">
      <c r="A775" s="987">
        <f t="shared" si="12"/>
        <v>701</v>
      </c>
      <c r="B775" s="988">
        <v>1022</v>
      </c>
      <c r="C775" s="899" t="s">
        <v>10101</v>
      </c>
      <c r="D775" s="988" t="s">
        <v>2669</v>
      </c>
      <c r="E775" s="989">
        <v>3.15</v>
      </c>
      <c r="F775" s="990"/>
      <c r="G775" s="990"/>
      <c r="H775" s="990"/>
      <c r="I775" s="990"/>
      <c r="J775" s="990"/>
      <c r="K775" s="990"/>
      <c r="L775" s="990"/>
      <c r="M775" s="990"/>
      <c r="N775" s="990"/>
      <c r="O775" s="990"/>
      <c r="P775" s="990"/>
      <c r="Q775" s="990"/>
      <c r="R775" s="990"/>
      <c r="S775" s="990"/>
      <c r="T775" s="990"/>
      <c r="U775" s="990"/>
      <c r="V775" s="990"/>
      <c r="W775" s="990"/>
      <c r="X775" s="990"/>
    </row>
    <row r="776" spans="1:24" s="896" customFormat="1" ht="38.25">
      <c r="A776" s="987">
        <f t="shared" si="12"/>
        <v>702</v>
      </c>
      <c r="B776" s="988">
        <v>1015</v>
      </c>
      <c r="C776" s="899" t="s">
        <v>10102</v>
      </c>
      <c r="D776" s="988" t="s">
        <v>2669</v>
      </c>
      <c r="E776" s="989">
        <v>217.14</v>
      </c>
      <c r="F776" s="990"/>
      <c r="G776" s="990"/>
      <c r="H776" s="990"/>
      <c r="I776" s="990"/>
      <c r="J776" s="990"/>
      <c r="K776" s="990"/>
      <c r="L776" s="990"/>
      <c r="M776" s="990"/>
      <c r="N776" s="990"/>
      <c r="O776" s="990"/>
      <c r="P776" s="990"/>
      <c r="Q776" s="990"/>
      <c r="R776" s="990"/>
      <c r="S776" s="990"/>
      <c r="T776" s="990"/>
      <c r="U776" s="990"/>
      <c r="V776" s="990"/>
      <c r="W776" s="990"/>
      <c r="X776" s="990"/>
    </row>
    <row r="777" spans="1:24" s="896" customFormat="1" ht="38.25">
      <c r="A777" s="987">
        <f t="shared" si="12"/>
        <v>703</v>
      </c>
      <c r="B777" s="988">
        <v>996</v>
      </c>
      <c r="C777" s="899" t="s">
        <v>10103</v>
      </c>
      <c r="D777" s="988" t="s">
        <v>2669</v>
      </c>
      <c r="E777" s="989">
        <v>23.07</v>
      </c>
      <c r="F777" s="990"/>
      <c r="G777" s="990"/>
      <c r="H777" s="990"/>
      <c r="I777" s="990"/>
      <c r="J777" s="990"/>
      <c r="K777" s="990"/>
      <c r="L777" s="990"/>
      <c r="M777" s="990"/>
      <c r="N777" s="990"/>
      <c r="O777" s="990"/>
      <c r="P777" s="990"/>
      <c r="Q777" s="990"/>
      <c r="R777" s="990"/>
      <c r="S777" s="990"/>
      <c r="T777" s="990"/>
      <c r="U777" s="990"/>
      <c r="V777" s="990"/>
      <c r="W777" s="990"/>
      <c r="X777" s="990"/>
    </row>
    <row r="778" spans="1:24" s="896" customFormat="1" ht="38.25">
      <c r="A778" s="987">
        <f t="shared" si="12"/>
        <v>704</v>
      </c>
      <c r="B778" s="988">
        <v>1001</v>
      </c>
      <c r="C778" s="899" t="s">
        <v>10104</v>
      </c>
      <c r="D778" s="988" t="s">
        <v>2669</v>
      </c>
      <c r="E778" s="989">
        <v>271.74</v>
      </c>
      <c r="F778" s="990"/>
      <c r="G778" s="990"/>
      <c r="H778" s="990"/>
      <c r="I778" s="990"/>
      <c r="J778" s="990"/>
      <c r="K778" s="990"/>
      <c r="L778" s="990"/>
      <c r="M778" s="990"/>
      <c r="N778" s="990"/>
      <c r="O778" s="990"/>
      <c r="P778" s="990"/>
      <c r="Q778" s="990"/>
      <c r="R778" s="990"/>
      <c r="S778" s="990"/>
      <c r="T778" s="990"/>
      <c r="U778" s="990"/>
      <c r="V778" s="990"/>
      <c r="W778" s="990"/>
      <c r="X778" s="990"/>
    </row>
    <row r="779" spans="1:24" s="896" customFormat="1" ht="38.25">
      <c r="A779" s="987">
        <f t="shared" si="12"/>
        <v>705</v>
      </c>
      <c r="B779" s="988">
        <v>1019</v>
      </c>
      <c r="C779" s="899" t="s">
        <v>10105</v>
      </c>
      <c r="D779" s="988" t="s">
        <v>2669</v>
      </c>
      <c r="E779" s="989">
        <v>31.8</v>
      </c>
      <c r="F779" s="990"/>
      <c r="G779" s="990"/>
      <c r="H779" s="990"/>
      <c r="I779" s="990"/>
      <c r="J779" s="990"/>
      <c r="K779" s="990"/>
      <c r="L779" s="990"/>
      <c r="M779" s="990"/>
      <c r="N779" s="990"/>
      <c r="O779" s="990"/>
      <c r="P779" s="990"/>
      <c r="Q779" s="990"/>
      <c r="R779" s="990"/>
      <c r="S779" s="990"/>
      <c r="T779" s="990"/>
      <c r="U779" s="990"/>
      <c r="V779" s="990"/>
      <c r="W779" s="990"/>
      <c r="X779" s="990"/>
    </row>
    <row r="780" spans="1:24" s="896" customFormat="1" ht="25.5">
      <c r="A780" s="987">
        <f t="shared" ref="A780:A843" si="13">A779+1</f>
        <v>706</v>
      </c>
      <c r="B780" s="988">
        <v>1021</v>
      </c>
      <c r="C780" s="899" t="s">
        <v>10106</v>
      </c>
      <c r="D780" s="988" t="s">
        <v>2669</v>
      </c>
      <c r="E780" s="989">
        <v>4.51</v>
      </c>
      <c r="F780" s="990"/>
      <c r="G780" s="990"/>
      <c r="H780" s="990"/>
      <c r="I780" s="990"/>
      <c r="J780" s="990"/>
      <c r="K780" s="990"/>
      <c r="L780" s="990"/>
      <c r="M780" s="990"/>
      <c r="N780" s="990"/>
      <c r="O780" s="990"/>
      <c r="P780" s="990"/>
      <c r="Q780" s="990"/>
      <c r="R780" s="990"/>
      <c r="S780" s="990"/>
      <c r="T780" s="990"/>
      <c r="U780" s="990"/>
      <c r="V780" s="990"/>
      <c r="W780" s="990"/>
      <c r="X780" s="990"/>
    </row>
    <row r="781" spans="1:24" s="896" customFormat="1" ht="38.25">
      <c r="A781" s="987">
        <f t="shared" si="13"/>
        <v>707</v>
      </c>
      <c r="B781" s="988">
        <v>39249</v>
      </c>
      <c r="C781" s="899" t="s">
        <v>10107</v>
      </c>
      <c r="D781" s="988" t="s">
        <v>2669</v>
      </c>
      <c r="E781" s="989">
        <v>354.49</v>
      </c>
      <c r="F781" s="990"/>
      <c r="G781" s="990"/>
      <c r="H781" s="990"/>
      <c r="I781" s="990"/>
      <c r="J781" s="990"/>
      <c r="K781" s="990"/>
      <c r="L781" s="990"/>
      <c r="M781" s="990"/>
      <c r="N781" s="990"/>
      <c r="O781" s="990"/>
      <c r="P781" s="990"/>
      <c r="Q781" s="990"/>
      <c r="R781" s="990"/>
      <c r="S781" s="990"/>
      <c r="T781" s="990"/>
      <c r="U781" s="990"/>
      <c r="V781" s="990"/>
      <c r="W781" s="990"/>
      <c r="X781" s="990"/>
    </row>
    <row r="782" spans="1:24" s="896" customFormat="1" ht="38.25">
      <c r="A782" s="987">
        <f t="shared" si="13"/>
        <v>708</v>
      </c>
      <c r="B782" s="988">
        <v>1018</v>
      </c>
      <c r="C782" s="899" t="s">
        <v>10108</v>
      </c>
      <c r="D782" s="988" t="s">
        <v>2669</v>
      </c>
      <c r="E782" s="989">
        <v>45.32</v>
      </c>
      <c r="F782" s="990"/>
      <c r="G782" s="990"/>
      <c r="H782" s="990"/>
      <c r="I782" s="990"/>
      <c r="J782" s="990"/>
      <c r="K782" s="990"/>
      <c r="L782" s="990"/>
      <c r="M782" s="990"/>
      <c r="N782" s="990"/>
      <c r="O782" s="990"/>
      <c r="P782" s="990"/>
      <c r="Q782" s="990"/>
      <c r="R782" s="990"/>
      <c r="S782" s="990"/>
      <c r="T782" s="990"/>
      <c r="U782" s="990"/>
      <c r="V782" s="990"/>
      <c r="W782" s="990"/>
      <c r="X782" s="990"/>
    </row>
    <row r="783" spans="1:24" s="896" customFormat="1" ht="38.25">
      <c r="A783" s="987">
        <f t="shared" si="13"/>
        <v>709</v>
      </c>
      <c r="B783" s="988">
        <v>39250</v>
      </c>
      <c r="C783" s="899" t="s">
        <v>10109</v>
      </c>
      <c r="D783" s="988" t="s">
        <v>2669</v>
      </c>
      <c r="E783" s="989">
        <v>455.37</v>
      </c>
      <c r="F783" s="990"/>
      <c r="G783" s="990"/>
      <c r="H783" s="990"/>
      <c r="I783" s="990"/>
      <c r="J783" s="990"/>
      <c r="K783" s="990"/>
      <c r="L783" s="990"/>
      <c r="M783" s="990"/>
      <c r="N783" s="990"/>
      <c r="O783" s="990"/>
      <c r="P783" s="990"/>
      <c r="Q783" s="990"/>
      <c r="R783" s="990"/>
      <c r="S783" s="990"/>
      <c r="T783" s="990"/>
      <c r="U783" s="990"/>
      <c r="V783" s="990"/>
      <c r="W783" s="990"/>
      <c r="X783" s="990"/>
    </row>
    <row r="784" spans="1:24" s="896" customFormat="1" ht="25.5">
      <c r="A784" s="987">
        <f t="shared" si="13"/>
        <v>710</v>
      </c>
      <c r="B784" s="988">
        <v>994</v>
      </c>
      <c r="C784" s="899" t="s">
        <v>10110</v>
      </c>
      <c r="D784" s="988" t="s">
        <v>2669</v>
      </c>
      <c r="E784" s="989">
        <v>6.17</v>
      </c>
      <c r="F784" s="990"/>
      <c r="G784" s="990"/>
      <c r="H784" s="990"/>
      <c r="I784" s="990"/>
      <c r="J784" s="990"/>
      <c r="K784" s="990"/>
      <c r="L784" s="990"/>
      <c r="M784" s="990"/>
      <c r="N784" s="990"/>
      <c r="O784" s="990"/>
      <c r="P784" s="990"/>
      <c r="Q784" s="990"/>
      <c r="R784" s="990"/>
      <c r="S784" s="990"/>
      <c r="T784" s="990"/>
      <c r="U784" s="990"/>
      <c r="V784" s="990"/>
      <c r="W784" s="990"/>
      <c r="X784" s="990"/>
    </row>
    <row r="785" spans="1:24" s="896" customFormat="1" ht="38.25">
      <c r="A785" s="987">
        <f t="shared" si="13"/>
        <v>711</v>
      </c>
      <c r="B785" s="988">
        <v>977</v>
      </c>
      <c r="C785" s="899" t="s">
        <v>10111</v>
      </c>
      <c r="D785" s="988" t="s">
        <v>2669</v>
      </c>
      <c r="E785" s="989">
        <v>62.79</v>
      </c>
      <c r="F785" s="990"/>
      <c r="G785" s="990"/>
      <c r="H785" s="990"/>
      <c r="I785" s="990"/>
      <c r="J785" s="990"/>
      <c r="K785" s="990"/>
      <c r="L785" s="990"/>
      <c r="M785" s="990"/>
      <c r="N785" s="990"/>
      <c r="O785" s="990"/>
      <c r="P785" s="990"/>
      <c r="Q785" s="990"/>
      <c r="R785" s="990"/>
      <c r="S785" s="990"/>
      <c r="T785" s="990"/>
      <c r="U785" s="990"/>
      <c r="V785" s="990"/>
      <c r="W785" s="990"/>
      <c r="X785" s="990"/>
    </row>
    <row r="786" spans="1:24" s="896" customFormat="1" ht="38.25">
      <c r="A786" s="987">
        <f t="shared" si="13"/>
        <v>712</v>
      </c>
      <c r="B786" s="988">
        <v>998</v>
      </c>
      <c r="C786" s="899" t="s">
        <v>10112</v>
      </c>
      <c r="D786" s="988" t="s">
        <v>2669</v>
      </c>
      <c r="E786" s="989">
        <v>83.4</v>
      </c>
      <c r="F786" s="990"/>
      <c r="G786" s="990"/>
      <c r="H786" s="990"/>
      <c r="I786" s="990"/>
      <c r="J786" s="990"/>
      <c r="K786" s="990"/>
      <c r="L786" s="990"/>
      <c r="M786" s="990"/>
      <c r="N786" s="990"/>
      <c r="O786" s="990"/>
      <c r="P786" s="990"/>
      <c r="Q786" s="990"/>
      <c r="R786" s="990"/>
      <c r="S786" s="990"/>
      <c r="T786" s="990"/>
      <c r="U786" s="990"/>
      <c r="V786" s="990"/>
      <c r="W786" s="990"/>
      <c r="X786" s="990"/>
    </row>
    <row r="787" spans="1:24" s="896" customFormat="1" ht="25.5">
      <c r="A787" s="987">
        <f t="shared" si="13"/>
        <v>713</v>
      </c>
      <c r="B787" s="988">
        <v>39251</v>
      </c>
      <c r="C787" s="899" t="s">
        <v>10113</v>
      </c>
      <c r="D787" s="988" t="s">
        <v>2669</v>
      </c>
      <c r="E787" s="989">
        <v>0.6</v>
      </c>
      <c r="F787" s="990"/>
      <c r="G787" s="990"/>
      <c r="H787" s="990"/>
      <c r="I787" s="990"/>
      <c r="J787" s="990"/>
      <c r="K787" s="990"/>
      <c r="L787" s="990"/>
      <c r="M787" s="990"/>
      <c r="N787" s="990"/>
      <c r="O787" s="990"/>
      <c r="P787" s="990"/>
      <c r="Q787" s="990"/>
      <c r="R787" s="990"/>
      <c r="S787" s="990"/>
      <c r="T787" s="990"/>
      <c r="U787" s="990"/>
      <c r="V787" s="990"/>
      <c r="W787" s="990"/>
      <c r="X787" s="990"/>
    </row>
    <row r="788" spans="1:24" s="896" customFormat="1" ht="25.5">
      <c r="A788" s="987">
        <f t="shared" si="13"/>
        <v>714</v>
      </c>
      <c r="B788" s="988">
        <v>1011</v>
      </c>
      <c r="C788" s="899" t="s">
        <v>10114</v>
      </c>
      <c r="D788" s="988" t="s">
        <v>2669</v>
      </c>
      <c r="E788" s="989">
        <v>0.84</v>
      </c>
      <c r="F788" s="990"/>
      <c r="G788" s="990"/>
      <c r="H788" s="990"/>
      <c r="I788" s="990"/>
      <c r="J788" s="990"/>
      <c r="K788" s="990"/>
      <c r="L788" s="990"/>
      <c r="M788" s="990"/>
      <c r="N788" s="990"/>
      <c r="O788" s="990"/>
      <c r="P788" s="990"/>
      <c r="Q788" s="990"/>
      <c r="R788" s="990"/>
      <c r="S788" s="990"/>
      <c r="T788" s="990"/>
      <c r="U788" s="990"/>
      <c r="V788" s="990"/>
      <c r="W788" s="990"/>
      <c r="X788" s="990"/>
    </row>
    <row r="789" spans="1:24" s="896" customFormat="1" ht="25.5">
      <c r="A789" s="987">
        <f t="shared" si="13"/>
        <v>715</v>
      </c>
      <c r="B789" s="988">
        <v>39252</v>
      </c>
      <c r="C789" s="899" t="s">
        <v>10115</v>
      </c>
      <c r="D789" s="988" t="s">
        <v>2669</v>
      </c>
      <c r="E789" s="989">
        <v>1</v>
      </c>
      <c r="F789" s="990"/>
      <c r="G789" s="990"/>
      <c r="H789" s="990"/>
      <c r="I789" s="990"/>
      <c r="J789" s="990"/>
      <c r="K789" s="990"/>
      <c r="L789" s="990"/>
      <c r="M789" s="990"/>
      <c r="N789" s="990"/>
      <c r="O789" s="990"/>
      <c r="P789" s="990"/>
      <c r="Q789" s="990"/>
      <c r="R789" s="990"/>
      <c r="S789" s="990"/>
      <c r="T789" s="990"/>
      <c r="U789" s="990"/>
      <c r="V789" s="990"/>
      <c r="W789" s="990"/>
      <c r="X789" s="990"/>
    </row>
    <row r="790" spans="1:24" s="896" customFormat="1" ht="25.5">
      <c r="A790" s="987">
        <f t="shared" si="13"/>
        <v>716</v>
      </c>
      <c r="B790" s="988">
        <v>1013</v>
      </c>
      <c r="C790" s="899" t="s">
        <v>10116</v>
      </c>
      <c r="D790" s="988" t="s">
        <v>2669</v>
      </c>
      <c r="E790" s="989">
        <v>1.33</v>
      </c>
      <c r="F790" s="990"/>
      <c r="G790" s="990"/>
      <c r="H790" s="990"/>
      <c r="I790" s="990"/>
      <c r="J790" s="990"/>
      <c r="K790" s="990"/>
      <c r="L790" s="990"/>
      <c r="M790" s="990"/>
      <c r="N790" s="990"/>
      <c r="O790" s="990"/>
      <c r="P790" s="990"/>
      <c r="Q790" s="990"/>
      <c r="R790" s="990"/>
      <c r="S790" s="990"/>
      <c r="T790" s="990"/>
      <c r="U790" s="990"/>
      <c r="V790" s="990"/>
      <c r="W790" s="990"/>
      <c r="X790" s="990"/>
    </row>
    <row r="791" spans="1:24" s="896" customFormat="1" ht="25.5">
      <c r="A791" s="987">
        <f t="shared" si="13"/>
        <v>717</v>
      </c>
      <c r="B791" s="988">
        <v>980</v>
      </c>
      <c r="C791" s="899" t="s">
        <v>10117</v>
      </c>
      <c r="D791" s="988" t="s">
        <v>2669</v>
      </c>
      <c r="E791" s="989">
        <v>9.06</v>
      </c>
      <c r="F791" s="990"/>
      <c r="G791" s="990"/>
      <c r="H791" s="990"/>
      <c r="I791" s="990"/>
      <c r="J791" s="990"/>
      <c r="K791" s="990"/>
      <c r="L791" s="990"/>
      <c r="M791" s="990"/>
      <c r="N791" s="990"/>
      <c r="O791" s="990"/>
      <c r="P791" s="990"/>
      <c r="Q791" s="990"/>
      <c r="R791" s="990"/>
      <c r="S791" s="990"/>
      <c r="T791" s="990"/>
      <c r="U791" s="990"/>
      <c r="V791" s="990"/>
      <c r="W791" s="990"/>
      <c r="X791" s="990"/>
    </row>
    <row r="792" spans="1:24" s="896" customFormat="1" ht="25.5">
      <c r="A792" s="987">
        <f t="shared" si="13"/>
        <v>718</v>
      </c>
      <c r="B792" s="988">
        <v>39237</v>
      </c>
      <c r="C792" s="899" t="s">
        <v>10118</v>
      </c>
      <c r="D792" s="988" t="s">
        <v>2669</v>
      </c>
      <c r="E792" s="989">
        <v>107.43</v>
      </c>
      <c r="F792" s="990"/>
      <c r="G792" s="990"/>
      <c r="H792" s="990"/>
      <c r="I792" s="990"/>
      <c r="J792" s="990"/>
      <c r="K792" s="990"/>
      <c r="L792" s="990"/>
      <c r="M792" s="990"/>
      <c r="N792" s="990"/>
      <c r="O792" s="990"/>
      <c r="P792" s="990"/>
      <c r="Q792" s="990"/>
      <c r="R792" s="990"/>
      <c r="S792" s="990"/>
      <c r="T792" s="990"/>
      <c r="U792" s="990"/>
      <c r="V792" s="990"/>
      <c r="W792" s="990"/>
      <c r="X792" s="990"/>
    </row>
    <row r="793" spans="1:24" s="896" customFormat="1" ht="25.5">
      <c r="A793" s="987">
        <f t="shared" si="13"/>
        <v>719</v>
      </c>
      <c r="B793" s="988">
        <v>39238</v>
      </c>
      <c r="C793" s="899" t="s">
        <v>10119</v>
      </c>
      <c r="D793" s="988" t="s">
        <v>2669</v>
      </c>
      <c r="E793" s="989">
        <v>134.13</v>
      </c>
      <c r="F793" s="990"/>
      <c r="G793" s="990"/>
      <c r="H793" s="990"/>
      <c r="I793" s="990"/>
      <c r="J793" s="990"/>
      <c r="K793" s="990"/>
      <c r="L793" s="990"/>
      <c r="M793" s="990"/>
      <c r="N793" s="990"/>
      <c r="O793" s="990"/>
      <c r="P793" s="990"/>
      <c r="Q793" s="990"/>
      <c r="R793" s="990"/>
      <c r="S793" s="990"/>
      <c r="T793" s="990"/>
      <c r="U793" s="990"/>
      <c r="V793" s="990"/>
      <c r="W793" s="990"/>
      <c r="X793" s="990"/>
    </row>
    <row r="794" spans="1:24" s="896" customFormat="1" ht="25.5">
      <c r="A794" s="987">
        <f t="shared" si="13"/>
        <v>720</v>
      </c>
      <c r="B794" s="988">
        <v>979</v>
      </c>
      <c r="C794" s="899" t="s">
        <v>10120</v>
      </c>
      <c r="D794" s="988" t="s">
        <v>2669</v>
      </c>
      <c r="E794" s="989">
        <v>13.96</v>
      </c>
      <c r="F794" s="990"/>
      <c r="G794" s="990"/>
      <c r="H794" s="990"/>
      <c r="I794" s="990"/>
      <c r="J794" s="990"/>
      <c r="K794" s="990"/>
      <c r="L794" s="990"/>
      <c r="M794" s="990"/>
      <c r="N794" s="990"/>
      <c r="O794" s="990"/>
      <c r="P794" s="990"/>
      <c r="Q794" s="990"/>
      <c r="R794" s="990"/>
      <c r="S794" s="990"/>
      <c r="T794" s="990"/>
      <c r="U794" s="990"/>
      <c r="V794" s="990"/>
      <c r="W794" s="990"/>
      <c r="X794" s="990"/>
    </row>
    <row r="795" spans="1:24" s="896" customFormat="1" ht="25.5">
      <c r="A795" s="987">
        <f t="shared" si="13"/>
        <v>721</v>
      </c>
      <c r="B795" s="988">
        <v>39239</v>
      </c>
      <c r="C795" s="899" t="s">
        <v>10121</v>
      </c>
      <c r="D795" s="988" t="s">
        <v>2669</v>
      </c>
      <c r="E795" s="989">
        <v>163.24</v>
      </c>
      <c r="F795" s="990"/>
      <c r="G795" s="990"/>
      <c r="H795" s="990"/>
      <c r="I795" s="990"/>
      <c r="J795" s="990"/>
      <c r="K795" s="990"/>
      <c r="L795" s="990"/>
      <c r="M795" s="990"/>
      <c r="N795" s="990"/>
      <c r="O795" s="990"/>
      <c r="P795" s="990"/>
      <c r="Q795" s="990"/>
      <c r="R795" s="990"/>
      <c r="S795" s="990"/>
      <c r="T795" s="990"/>
      <c r="U795" s="990"/>
      <c r="V795" s="990"/>
      <c r="W795" s="990"/>
      <c r="X795" s="990"/>
    </row>
    <row r="796" spans="1:24" s="896" customFormat="1" ht="25.5">
      <c r="A796" s="987">
        <f t="shared" si="13"/>
        <v>722</v>
      </c>
      <c r="B796" s="988">
        <v>1014</v>
      </c>
      <c r="C796" s="899" t="s">
        <v>10122</v>
      </c>
      <c r="D796" s="988" t="s">
        <v>2669</v>
      </c>
      <c r="E796" s="989">
        <v>2.12</v>
      </c>
      <c r="F796" s="990"/>
      <c r="G796" s="990"/>
      <c r="H796" s="990"/>
      <c r="I796" s="990"/>
      <c r="J796" s="990"/>
      <c r="K796" s="990"/>
      <c r="L796" s="990"/>
      <c r="M796" s="990"/>
      <c r="N796" s="990"/>
      <c r="O796" s="990"/>
      <c r="P796" s="990"/>
      <c r="Q796" s="990"/>
      <c r="R796" s="990"/>
      <c r="S796" s="990"/>
      <c r="T796" s="990"/>
      <c r="U796" s="990"/>
      <c r="V796" s="990"/>
      <c r="W796" s="990"/>
      <c r="X796" s="990"/>
    </row>
    <row r="797" spans="1:24" s="896" customFormat="1" ht="25.5">
      <c r="A797" s="987">
        <f t="shared" si="13"/>
        <v>723</v>
      </c>
      <c r="B797" s="988">
        <v>39240</v>
      </c>
      <c r="C797" s="899" t="s">
        <v>10123</v>
      </c>
      <c r="D797" s="988" t="s">
        <v>2669</v>
      </c>
      <c r="E797" s="989">
        <v>215.75</v>
      </c>
      <c r="F797" s="990"/>
      <c r="G797" s="990"/>
      <c r="H797" s="990"/>
      <c r="I797" s="990"/>
      <c r="J797" s="990"/>
      <c r="K797" s="990"/>
      <c r="L797" s="990"/>
      <c r="M797" s="990"/>
      <c r="N797" s="990"/>
      <c r="O797" s="990"/>
      <c r="P797" s="990"/>
      <c r="Q797" s="990"/>
      <c r="R797" s="990"/>
      <c r="S797" s="990"/>
      <c r="T797" s="990"/>
      <c r="U797" s="990"/>
      <c r="V797" s="990"/>
      <c r="W797" s="990"/>
      <c r="X797" s="990"/>
    </row>
    <row r="798" spans="1:24" s="896" customFormat="1" ht="25.5">
      <c r="A798" s="987">
        <f t="shared" si="13"/>
        <v>724</v>
      </c>
      <c r="B798" s="988">
        <v>39232</v>
      </c>
      <c r="C798" s="899" t="s">
        <v>10124</v>
      </c>
      <c r="D798" s="988" t="s">
        <v>2669</v>
      </c>
      <c r="E798" s="989">
        <v>22.4</v>
      </c>
      <c r="F798" s="990"/>
      <c r="G798" s="990"/>
      <c r="H798" s="990"/>
      <c r="I798" s="990"/>
      <c r="J798" s="990"/>
      <c r="K798" s="990"/>
      <c r="L798" s="990"/>
      <c r="M798" s="990"/>
      <c r="N798" s="990"/>
      <c r="O798" s="990"/>
      <c r="P798" s="990"/>
      <c r="Q798" s="990"/>
      <c r="R798" s="990"/>
      <c r="S798" s="990"/>
      <c r="T798" s="990"/>
      <c r="U798" s="990"/>
      <c r="V798" s="990"/>
      <c r="W798" s="990"/>
      <c r="X798" s="990"/>
    </row>
    <row r="799" spans="1:24" s="896" customFormat="1" ht="25.5">
      <c r="A799" s="987">
        <f t="shared" si="13"/>
        <v>725</v>
      </c>
      <c r="B799" s="988">
        <v>39233</v>
      </c>
      <c r="C799" s="899" t="s">
        <v>10125</v>
      </c>
      <c r="D799" s="988" t="s">
        <v>2669</v>
      </c>
      <c r="E799" s="989">
        <v>30.8</v>
      </c>
      <c r="F799" s="990"/>
      <c r="G799" s="990"/>
      <c r="H799" s="990"/>
      <c r="I799" s="990"/>
      <c r="J799" s="990"/>
      <c r="K799" s="990"/>
      <c r="L799" s="990"/>
      <c r="M799" s="990"/>
      <c r="N799" s="990"/>
      <c r="O799" s="990"/>
      <c r="P799" s="990"/>
      <c r="Q799" s="990"/>
      <c r="R799" s="990"/>
      <c r="S799" s="990"/>
      <c r="T799" s="990"/>
      <c r="U799" s="990"/>
      <c r="V799" s="990"/>
      <c r="W799" s="990"/>
      <c r="X799" s="990"/>
    </row>
    <row r="800" spans="1:24" s="896" customFormat="1" ht="25.5">
      <c r="A800" s="987">
        <f t="shared" si="13"/>
        <v>726</v>
      </c>
      <c r="B800" s="988">
        <v>981</v>
      </c>
      <c r="C800" s="899" t="s">
        <v>10126</v>
      </c>
      <c r="D800" s="988" t="s">
        <v>2669</v>
      </c>
      <c r="E800" s="989">
        <v>3.79</v>
      </c>
      <c r="F800" s="990"/>
      <c r="G800" s="990"/>
      <c r="H800" s="990"/>
      <c r="I800" s="990"/>
      <c r="J800" s="990"/>
      <c r="K800" s="990"/>
      <c r="L800" s="990"/>
      <c r="M800" s="990"/>
      <c r="N800" s="990"/>
      <c r="O800" s="990"/>
      <c r="P800" s="990"/>
      <c r="Q800" s="990"/>
      <c r="R800" s="990"/>
      <c r="S800" s="990"/>
      <c r="T800" s="990"/>
      <c r="U800" s="990"/>
      <c r="V800" s="990"/>
      <c r="W800" s="990"/>
      <c r="X800" s="990"/>
    </row>
    <row r="801" spans="1:24" s="896" customFormat="1" ht="25.5">
      <c r="A801" s="987">
        <f t="shared" si="13"/>
        <v>727</v>
      </c>
      <c r="B801" s="988">
        <v>39234</v>
      </c>
      <c r="C801" s="899" t="s">
        <v>10127</v>
      </c>
      <c r="D801" s="988" t="s">
        <v>2669</v>
      </c>
      <c r="E801" s="989">
        <v>45.2</v>
      </c>
      <c r="F801" s="990"/>
      <c r="G801" s="990"/>
      <c r="H801" s="990"/>
      <c r="I801" s="990"/>
      <c r="J801" s="990"/>
      <c r="K801" s="990"/>
      <c r="L801" s="990"/>
      <c r="M801" s="990"/>
      <c r="N801" s="990"/>
      <c r="O801" s="990"/>
      <c r="P801" s="990"/>
      <c r="Q801" s="990"/>
      <c r="R801" s="990"/>
      <c r="S801" s="990"/>
      <c r="T801" s="990"/>
      <c r="U801" s="990"/>
      <c r="V801" s="990"/>
      <c r="W801" s="990"/>
      <c r="X801" s="990"/>
    </row>
    <row r="802" spans="1:24" s="896" customFormat="1" ht="25.5">
      <c r="A802" s="987">
        <f t="shared" si="13"/>
        <v>728</v>
      </c>
      <c r="B802" s="988">
        <v>982</v>
      </c>
      <c r="C802" s="899" t="s">
        <v>10128</v>
      </c>
      <c r="D802" s="988" t="s">
        <v>2669</v>
      </c>
      <c r="E802" s="989">
        <v>5.3</v>
      </c>
      <c r="F802" s="990"/>
      <c r="G802" s="990"/>
      <c r="H802" s="990"/>
      <c r="I802" s="990"/>
      <c r="J802" s="990"/>
      <c r="K802" s="990"/>
      <c r="L802" s="990"/>
      <c r="M802" s="990"/>
      <c r="N802" s="990"/>
      <c r="O802" s="990"/>
      <c r="P802" s="990"/>
      <c r="Q802" s="990"/>
      <c r="R802" s="990"/>
      <c r="S802" s="990"/>
      <c r="T802" s="990"/>
      <c r="U802" s="990"/>
      <c r="V802" s="990"/>
      <c r="W802" s="990"/>
      <c r="X802" s="990"/>
    </row>
    <row r="803" spans="1:24" s="896" customFormat="1" ht="25.5">
      <c r="A803" s="987">
        <f t="shared" si="13"/>
        <v>729</v>
      </c>
      <c r="B803" s="988">
        <v>39235</v>
      </c>
      <c r="C803" s="899" t="s">
        <v>10129</v>
      </c>
      <c r="D803" s="988" t="s">
        <v>2669</v>
      </c>
      <c r="E803" s="989">
        <v>63.58</v>
      </c>
      <c r="F803" s="990"/>
      <c r="G803" s="990"/>
      <c r="H803" s="990"/>
      <c r="I803" s="990"/>
      <c r="J803" s="990"/>
      <c r="K803" s="990"/>
      <c r="L803" s="990"/>
      <c r="M803" s="990"/>
      <c r="N803" s="990"/>
      <c r="O803" s="990"/>
      <c r="P803" s="990"/>
      <c r="Q803" s="990"/>
      <c r="R803" s="990"/>
      <c r="S803" s="990"/>
      <c r="T803" s="990"/>
      <c r="U803" s="990"/>
      <c r="V803" s="990"/>
      <c r="W803" s="990"/>
      <c r="X803" s="990"/>
    </row>
    <row r="804" spans="1:24" s="896" customFormat="1" ht="25.5">
      <c r="A804" s="987">
        <f t="shared" si="13"/>
        <v>730</v>
      </c>
      <c r="B804" s="988">
        <v>39236</v>
      </c>
      <c r="C804" s="899" t="s">
        <v>10130</v>
      </c>
      <c r="D804" s="988" t="s">
        <v>2669</v>
      </c>
      <c r="E804" s="989">
        <v>83.34</v>
      </c>
      <c r="F804" s="990"/>
      <c r="G804" s="990"/>
      <c r="H804" s="990"/>
      <c r="I804" s="990"/>
      <c r="J804" s="990"/>
      <c r="K804" s="990"/>
      <c r="L804" s="990"/>
      <c r="M804" s="990"/>
      <c r="N804" s="990"/>
      <c r="O804" s="990"/>
      <c r="P804" s="990"/>
      <c r="Q804" s="990"/>
      <c r="R804" s="990"/>
      <c r="S804" s="990"/>
      <c r="T804" s="990"/>
      <c r="U804" s="990"/>
      <c r="V804" s="990"/>
      <c r="W804" s="990"/>
      <c r="X804" s="990"/>
    </row>
    <row r="805" spans="1:24" s="896" customFormat="1" ht="38.25">
      <c r="A805" s="987">
        <f t="shared" si="13"/>
        <v>731</v>
      </c>
      <c r="B805" s="988">
        <v>876</v>
      </c>
      <c r="C805" s="899" t="s">
        <v>10131</v>
      </c>
      <c r="D805" s="988" t="s">
        <v>2669</v>
      </c>
      <c r="E805" s="989">
        <v>215.14</v>
      </c>
      <c r="F805" s="990"/>
      <c r="G805" s="990"/>
      <c r="H805" s="990"/>
      <c r="I805" s="990"/>
      <c r="J805" s="990"/>
      <c r="K805" s="990"/>
      <c r="L805" s="990"/>
      <c r="M805" s="990"/>
      <c r="N805" s="990"/>
      <c r="O805" s="990"/>
      <c r="P805" s="990"/>
      <c r="Q805" s="990"/>
      <c r="R805" s="990"/>
      <c r="S805" s="990"/>
      <c r="T805" s="990"/>
      <c r="U805" s="990"/>
      <c r="V805" s="990"/>
      <c r="W805" s="990"/>
      <c r="X805" s="990"/>
    </row>
    <row r="806" spans="1:24" s="896" customFormat="1" ht="38.25">
      <c r="A806" s="987">
        <f t="shared" si="13"/>
        <v>732</v>
      </c>
      <c r="B806" s="988">
        <v>877</v>
      </c>
      <c r="C806" s="899" t="s">
        <v>10132</v>
      </c>
      <c r="D806" s="988" t="s">
        <v>2669</v>
      </c>
      <c r="E806" s="989">
        <v>252.92</v>
      </c>
      <c r="F806" s="990"/>
      <c r="G806" s="990"/>
      <c r="H806" s="990"/>
      <c r="I806" s="990"/>
      <c r="J806" s="990"/>
      <c r="K806" s="990"/>
      <c r="L806" s="990"/>
      <c r="M806" s="990"/>
      <c r="N806" s="990"/>
      <c r="O806" s="990"/>
      <c r="P806" s="990"/>
      <c r="Q806" s="990"/>
      <c r="R806" s="990"/>
      <c r="S806" s="990"/>
      <c r="T806" s="990"/>
      <c r="U806" s="990"/>
      <c r="V806" s="990"/>
      <c r="W806" s="990"/>
      <c r="X806" s="990"/>
    </row>
    <row r="807" spans="1:24" s="896" customFormat="1" ht="38.25">
      <c r="A807" s="987">
        <f t="shared" si="13"/>
        <v>733</v>
      </c>
      <c r="B807" s="988">
        <v>882</v>
      </c>
      <c r="C807" s="899" t="s">
        <v>10133</v>
      </c>
      <c r="D807" s="988" t="s">
        <v>2669</v>
      </c>
      <c r="E807" s="989">
        <v>275.60000000000002</v>
      </c>
      <c r="F807" s="990"/>
      <c r="G807" s="990"/>
      <c r="H807" s="990"/>
      <c r="I807" s="990"/>
      <c r="J807" s="990"/>
      <c r="K807" s="990"/>
      <c r="L807" s="990"/>
      <c r="M807" s="990"/>
      <c r="N807" s="990"/>
      <c r="O807" s="990"/>
      <c r="P807" s="990"/>
      <c r="Q807" s="990"/>
      <c r="R807" s="990"/>
      <c r="S807" s="990"/>
      <c r="T807" s="990"/>
      <c r="U807" s="990"/>
      <c r="V807" s="990"/>
      <c r="W807" s="990"/>
      <c r="X807" s="990"/>
    </row>
    <row r="808" spans="1:24" s="896" customFormat="1" ht="38.25">
      <c r="A808" s="987">
        <f t="shared" si="13"/>
        <v>734</v>
      </c>
      <c r="B808" s="988">
        <v>878</v>
      </c>
      <c r="C808" s="899" t="s">
        <v>10134</v>
      </c>
      <c r="D808" s="988" t="s">
        <v>2669</v>
      </c>
      <c r="E808" s="989">
        <v>342.64</v>
      </c>
      <c r="F808" s="990"/>
      <c r="G808" s="990"/>
      <c r="H808" s="990"/>
      <c r="I808" s="990"/>
      <c r="J808" s="990"/>
      <c r="K808" s="990"/>
      <c r="L808" s="990"/>
      <c r="M808" s="990"/>
      <c r="N808" s="990"/>
      <c r="O808" s="990"/>
      <c r="P808" s="990"/>
      <c r="Q808" s="990"/>
      <c r="R808" s="990"/>
      <c r="S808" s="990"/>
      <c r="T808" s="990"/>
      <c r="U808" s="990"/>
      <c r="V808" s="990"/>
      <c r="W808" s="990"/>
      <c r="X808" s="990"/>
    </row>
    <row r="809" spans="1:24" s="896" customFormat="1" ht="38.25">
      <c r="A809" s="987">
        <f t="shared" si="13"/>
        <v>735</v>
      </c>
      <c r="B809" s="988">
        <v>879</v>
      </c>
      <c r="C809" s="899" t="s">
        <v>10135</v>
      </c>
      <c r="D809" s="988" t="s">
        <v>2669</v>
      </c>
      <c r="E809" s="989">
        <v>403.85</v>
      </c>
      <c r="F809" s="990"/>
      <c r="G809" s="990"/>
      <c r="H809" s="990"/>
      <c r="I809" s="990"/>
      <c r="J809" s="990"/>
      <c r="K809" s="990"/>
      <c r="L809" s="990"/>
      <c r="M809" s="990"/>
      <c r="N809" s="990"/>
      <c r="O809" s="990"/>
      <c r="P809" s="990"/>
      <c r="Q809" s="990"/>
      <c r="R809" s="990"/>
      <c r="S809" s="990"/>
      <c r="T809" s="990"/>
      <c r="U809" s="990"/>
      <c r="V809" s="990"/>
      <c r="W809" s="990"/>
      <c r="X809" s="990"/>
    </row>
    <row r="810" spans="1:24" s="896" customFormat="1" ht="38.25">
      <c r="A810" s="987">
        <f t="shared" si="13"/>
        <v>736</v>
      </c>
      <c r="B810" s="988">
        <v>880</v>
      </c>
      <c r="C810" s="899" t="s">
        <v>10136</v>
      </c>
      <c r="D810" s="988" t="s">
        <v>2669</v>
      </c>
      <c r="E810" s="989">
        <v>475.18</v>
      </c>
      <c r="F810" s="990"/>
      <c r="G810" s="990"/>
      <c r="H810" s="990"/>
      <c r="I810" s="990"/>
      <c r="J810" s="990"/>
      <c r="K810" s="990"/>
      <c r="L810" s="990"/>
      <c r="M810" s="990"/>
      <c r="N810" s="990"/>
      <c r="O810" s="990"/>
      <c r="P810" s="990"/>
      <c r="Q810" s="990"/>
      <c r="R810" s="990"/>
      <c r="S810" s="990"/>
      <c r="T810" s="990"/>
      <c r="U810" s="990"/>
      <c r="V810" s="990"/>
      <c r="W810" s="990"/>
      <c r="X810" s="990"/>
    </row>
    <row r="811" spans="1:24" s="896" customFormat="1" ht="38.25">
      <c r="A811" s="987">
        <f t="shared" si="13"/>
        <v>737</v>
      </c>
      <c r="B811" s="988">
        <v>873</v>
      </c>
      <c r="C811" s="899" t="s">
        <v>10137</v>
      </c>
      <c r="D811" s="988" t="s">
        <v>2669</v>
      </c>
      <c r="E811" s="989">
        <v>144.47999999999999</v>
      </c>
      <c r="F811" s="990"/>
      <c r="G811" s="990"/>
      <c r="H811" s="990"/>
      <c r="I811" s="990"/>
      <c r="J811" s="990"/>
      <c r="K811" s="990"/>
      <c r="L811" s="990"/>
      <c r="M811" s="990"/>
      <c r="N811" s="990"/>
      <c r="O811" s="990"/>
      <c r="P811" s="990"/>
      <c r="Q811" s="990"/>
      <c r="R811" s="990"/>
      <c r="S811" s="990"/>
      <c r="T811" s="990"/>
      <c r="U811" s="990"/>
      <c r="V811" s="990"/>
      <c r="W811" s="990"/>
      <c r="X811" s="990"/>
    </row>
    <row r="812" spans="1:24" s="896" customFormat="1" ht="38.25">
      <c r="A812" s="987">
        <f t="shared" si="13"/>
        <v>738</v>
      </c>
      <c r="B812" s="988">
        <v>881</v>
      </c>
      <c r="C812" s="899" t="s">
        <v>10138</v>
      </c>
      <c r="D812" s="988" t="s">
        <v>2669</v>
      </c>
      <c r="E812" s="989">
        <v>649.48</v>
      </c>
      <c r="F812" s="990"/>
      <c r="G812" s="990"/>
      <c r="H812" s="990"/>
      <c r="I812" s="990"/>
      <c r="J812" s="990"/>
      <c r="K812" s="990"/>
      <c r="L812" s="990"/>
      <c r="M812" s="990"/>
      <c r="N812" s="990"/>
      <c r="O812" s="990"/>
      <c r="P812" s="990"/>
      <c r="Q812" s="990"/>
      <c r="R812" s="990"/>
      <c r="S812" s="990"/>
      <c r="T812" s="990"/>
      <c r="U812" s="990"/>
      <c r="V812" s="990"/>
      <c r="W812" s="990"/>
      <c r="X812" s="990"/>
    </row>
    <row r="813" spans="1:24" s="896" customFormat="1" ht="38.25">
      <c r="A813" s="987">
        <f t="shared" si="13"/>
        <v>739</v>
      </c>
      <c r="B813" s="988">
        <v>874</v>
      </c>
      <c r="C813" s="899" t="s">
        <v>10139</v>
      </c>
      <c r="D813" s="988" t="s">
        <v>2669</v>
      </c>
      <c r="E813" s="989">
        <v>171.47</v>
      </c>
      <c r="F813" s="990"/>
      <c r="G813" s="990"/>
      <c r="H813" s="990"/>
      <c r="I813" s="990"/>
      <c r="J813" s="990"/>
      <c r="K813" s="990"/>
      <c r="L813" s="990"/>
      <c r="M813" s="990"/>
      <c r="N813" s="990"/>
      <c r="O813" s="990"/>
      <c r="P813" s="990"/>
      <c r="Q813" s="990"/>
      <c r="R813" s="990"/>
      <c r="S813" s="990"/>
      <c r="T813" s="990"/>
      <c r="U813" s="990"/>
      <c r="V813" s="990"/>
      <c r="W813" s="990"/>
      <c r="X813" s="990"/>
    </row>
    <row r="814" spans="1:24" s="896" customFormat="1" ht="38.25">
      <c r="A814" s="987">
        <f t="shared" si="13"/>
        <v>740</v>
      </c>
      <c r="B814" s="988">
        <v>875</v>
      </c>
      <c r="C814" s="899" t="s">
        <v>10140</v>
      </c>
      <c r="D814" s="988" t="s">
        <v>2669</v>
      </c>
      <c r="E814" s="989">
        <v>204.58</v>
      </c>
      <c r="F814" s="990"/>
      <c r="G814" s="990"/>
      <c r="H814" s="990"/>
      <c r="I814" s="990"/>
      <c r="J814" s="990"/>
      <c r="K814" s="990"/>
      <c r="L814" s="990"/>
      <c r="M814" s="990"/>
      <c r="N814" s="990"/>
      <c r="O814" s="990"/>
      <c r="P814" s="990"/>
      <c r="Q814" s="990"/>
      <c r="R814" s="990"/>
      <c r="S814" s="990"/>
      <c r="T814" s="990"/>
      <c r="U814" s="990"/>
      <c r="V814" s="990"/>
      <c r="W814" s="990"/>
      <c r="X814" s="990"/>
    </row>
    <row r="815" spans="1:24" s="896" customFormat="1" ht="25.5">
      <c r="A815" s="987">
        <f t="shared" si="13"/>
        <v>741</v>
      </c>
      <c r="B815" s="988">
        <v>983</v>
      </c>
      <c r="C815" s="899" t="s">
        <v>10141</v>
      </c>
      <c r="D815" s="988" t="s">
        <v>2669</v>
      </c>
      <c r="E815" s="989">
        <v>1.28</v>
      </c>
      <c r="F815" s="990"/>
      <c r="G815" s="990"/>
      <c r="H815" s="990"/>
      <c r="I815" s="990"/>
      <c r="J815" s="990"/>
      <c r="K815" s="990"/>
      <c r="L815" s="990"/>
      <c r="M815" s="990"/>
      <c r="N815" s="990"/>
      <c r="O815" s="990"/>
      <c r="P815" s="990"/>
      <c r="Q815" s="990"/>
      <c r="R815" s="990"/>
      <c r="S815" s="990"/>
      <c r="T815" s="990"/>
      <c r="U815" s="990"/>
      <c r="V815" s="990"/>
      <c r="W815" s="990"/>
      <c r="X815" s="990"/>
    </row>
    <row r="816" spans="1:24" s="896" customFormat="1" ht="25.5">
      <c r="A816" s="987">
        <f t="shared" si="13"/>
        <v>742</v>
      </c>
      <c r="B816" s="988">
        <v>985</v>
      </c>
      <c r="C816" s="899" t="s">
        <v>10142</v>
      </c>
      <c r="D816" s="988" t="s">
        <v>2669</v>
      </c>
      <c r="E816" s="989">
        <v>9.61</v>
      </c>
      <c r="F816" s="990"/>
      <c r="G816" s="990"/>
      <c r="H816" s="990"/>
      <c r="I816" s="990"/>
      <c r="J816" s="990"/>
      <c r="K816" s="990"/>
      <c r="L816" s="990"/>
      <c r="M816" s="990"/>
      <c r="N816" s="990"/>
      <c r="O816" s="990"/>
      <c r="P816" s="990"/>
      <c r="Q816" s="990"/>
      <c r="R816" s="990"/>
      <c r="S816" s="990"/>
      <c r="T816" s="990"/>
      <c r="U816" s="990"/>
      <c r="V816" s="990"/>
      <c r="W816" s="990"/>
      <c r="X816" s="990"/>
    </row>
    <row r="817" spans="1:24" s="896" customFormat="1" ht="25.5">
      <c r="A817" s="987">
        <f t="shared" si="13"/>
        <v>743</v>
      </c>
      <c r="B817" s="988">
        <v>990</v>
      </c>
      <c r="C817" s="899" t="s">
        <v>10143</v>
      </c>
      <c r="D817" s="988" t="s">
        <v>2669</v>
      </c>
      <c r="E817" s="989">
        <v>131.51</v>
      </c>
      <c r="F817" s="990"/>
      <c r="G817" s="990"/>
      <c r="H817" s="990"/>
      <c r="I817" s="990"/>
      <c r="J817" s="990"/>
      <c r="K817" s="990"/>
      <c r="L817" s="990"/>
      <c r="M817" s="990"/>
      <c r="N817" s="990"/>
      <c r="O817" s="990"/>
      <c r="P817" s="990"/>
      <c r="Q817" s="990"/>
      <c r="R817" s="990"/>
      <c r="S817" s="990"/>
      <c r="T817" s="990"/>
      <c r="U817" s="990"/>
      <c r="V817" s="990"/>
      <c r="W817" s="990"/>
      <c r="X817" s="990"/>
    </row>
    <row r="818" spans="1:24" s="896" customFormat="1" ht="25.5">
      <c r="A818" s="987">
        <f t="shared" si="13"/>
        <v>744</v>
      </c>
      <c r="B818" s="988">
        <v>39241</v>
      </c>
      <c r="C818" s="899" t="s">
        <v>10144</v>
      </c>
      <c r="D818" s="988" t="s">
        <v>2669</v>
      </c>
      <c r="E818" s="989">
        <v>15.03</v>
      </c>
      <c r="F818" s="990"/>
      <c r="G818" s="990"/>
      <c r="H818" s="990"/>
      <c r="I818" s="990"/>
      <c r="J818" s="990"/>
      <c r="K818" s="990"/>
      <c r="L818" s="990"/>
      <c r="M818" s="990"/>
      <c r="N818" s="990"/>
      <c r="O818" s="990"/>
      <c r="P818" s="990"/>
      <c r="Q818" s="990"/>
      <c r="R818" s="990"/>
      <c r="S818" s="990"/>
      <c r="T818" s="990"/>
      <c r="U818" s="990"/>
      <c r="V818" s="990"/>
      <c r="W818" s="990"/>
      <c r="X818" s="990"/>
    </row>
    <row r="819" spans="1:24" s="896" customFormat="1" ht="25.5">
      <c r="A819" s="987">
        <f t="shared" si="13"/>
        <v>745</v>
      </c>
      <c r="B819" s="988">
        <v>1005</v>
      </c>
      <c r="C819" s="899" t="s">
        <v>10145</v>
      </c>
      <c r="D819" s="988" t="s">
        <v>2669</v>
      </c>
      <c r="E819" s="989">
        <v>161.41999999999999</v>
      </c>
      <c r="F819" s="990"/>
      <c r="G819" s="990"/>
      <c r="H819" s="990"/>
      <c r="I819" s="990"/>
      <c r="J819" s="990"/>
      <c r="K819" s="990"/>
      <c r="L819" s="990"/>
      <c r="M819" s="990"/>
      <c r="N819" s="990"/>
      <c r="O819" s="990"/>
      <c r="P819" s="990"/>
      <c r="Q819" s="990"/>
      <c r="R819" s="990"/>
      <c r="S819" s="990"/>
      <c r="T819" s="990"/>
      <c r="U819" s="990"/>
      <c r="V819" s="990"/>
      <c r="W819" s="990"/>
      <c r="X819" s="990"/>
    </row>
    <row r="820" spans="1:24" s="896" customFormat="1" ht="25.5">
      <c r="A820" s="987">
        <f t="shared" si="13"/>
        <v>746</v>
      </c>
      <c r="B820" s="988">
        <v>984</v>
      </c>
      <c r="C820" s="899" t="s">
        <v>10146</v>
      </c>
      <c r="D820" s="988" t="s">
        <v>2669</v>
      </c>
      <c r="E820" s="989">
        <v>3.32</v>
      </c>
      <c r="F820" s="990"/>
      <c r="G820" s="990"/>
      <c r="H820" s="990"/>
      <c r="I820" s="990"/>
      <c r="J820" s="990"/>
      <c r="K820" s="990"/>
      <c r="L820" s="990"/>
      <c r="M820" s="990"/>
      <c r="N820" s="990"/>
      <c r="O820" s="990"/>
      <c r="P820" s="990"/>
      <c r="Q820" s="990"/>
      <c r="R820" s="990"/>
      <c r="S820" s="990"/>
      <c r="T820" s="990"/>
      <c r="U820" s="990"/>
      <c r="V820" s="990"/>
      <c r="W820" s="990"/>
      <c r="X820" s="990"/>
    </row>
    <row r="821" spans="1:24" s="896" customFormat="1" ht="25.5">
      <c r="A821" s="987">
        <f t="shared" si="13"/>
        <v>747</v>
      </c>
      <c r="B821" s="988">
        <v>991</v>
      </c>
      <c r="C821" s="899" t="s">
        <v>10147</v>
      </c>
      <c r="D821" s="988" t="s">
        <v>2669</v>
      </c>
      <c r="E821" s="989">
        <v>213.29</v>
      </c>
      <c r="F821" s="990"/>
      <c r="G821" s="990"/>
      <c r="H821" s="990"/>
      <c r="I821" s="990"/>
      <c r="J821" s="990"/>
      <c r="K821" s="990"/>
      <c r="L821" s="990"/>
      <c r="M821" s="990"/>
      <c r="N821" s="990"/>
      <c r="O821" s="990"/>
      <c r="P821" s="990"/>
      <c r="Q821" s="990"/>
      <c r="R821" s="990"/>
      <c r="S821" s="990"/>
      <c r="T821" s="990"/>
      <c r="U821" s="990"/>
      <c r="V821" s="990"/>
      <c r="W821" s="990"/>
      <c r="X821" s="990"/>
    </row>
    <row r="822" spans="1:24" s="896" customFormat="1" ht="25.5">
      <c r="A822" s="987">
        <f t="shared" si="13"/>
        <v>748</v>
      </c>
      <c r="B822" s="988">
        <v>986</v>
      </c>
      <c r="C822" s="899" t="s">
        <v>10148</v>
      </c>
      <c r="D822" s="988" t="s">
        <v>2669</v>
      </c>
      <c r="E822" s="989">
        <v>22.98</v>
      </c>
      <c r="F822" s="990"/>
      <c r="G822" s="990"/>
      <c r="H822" s="990"/>
      <c r="I822" s="990"/>
      <c r="J822" s="990"/>
      <c r="K822" s="990"/>
      <c r="L822" s="990"/>
      <c r="M822" s="990"/>
      <c r="N822" s="990"/>
      <c r="O822" s="990"/>
      <c r="P822" s="990"/>
      <c r="Q822" s="990"/>
      <c r="R822" s="990"/>
      <c r="S822" s="990"/>
      <c r="T822" s="990"/>
      <c r="U822" s="990"/>
      <c r="V822" s="990"/>
      <c r="W822" s="990"/>
      <c r="X822" s="990"/>
    </row>
    <row r="823" spans="1:24" s="896" customFormat="1" ht="25.5">
      <c r="A823" s="987">
        <f t="shared" si="13"/>
        <v>749</v>
      </c>
      <c r="B823" s="988">
        <v>1024</v>
      </c>
      <c r="C823" s="899" t="s">
        <v>10149</v>
      </c>
      <c r="D823" s="988" t="s">
        <v>2669</v>
      </c>
      <c r="E823" s="989">
        <v>263.99</v>
      </c>
      <c r="F823" s="990"/>
      <c r="G823" s="990"/>
      <c r="H823" s="990"/>
      <c r="I823" s="990"/>
      <c r="J823" s="990"/>
      <c r="K823" s="990"/>
      <c r="L823" s="990"/>
      <c r="M823" s="990"/>
      <c r="N823" s="990"/>
      <c r="O823" s="990"/>
      <c r="P823" s="990"/>
      <c r="Q823" s="990"/>
      <c r="R823" s="990"/>
      <c r="S823" s="990"/>
      <c r="T823" s="990"/>
      <c r="U823" s="990"/>
      <c r="V823" s="990"/>
      <c r="W823" s="990"/>
      <c r="X823" s="990"/>
    </row>
    <row r="824" spans="1:24" s="896" customFormat="1" ht="25.5">
      <c r="A824" s="987">
        <f t="shared" si="13"/>
        <v>750</v>
      </c>
      <c r="B824" s="988">
        <v>987</v>
      </c>
      <c r="C824" s="899" t="s">
        <v>10150</v>
      </c>
      <c r="D824" s="988" t="s">
        <v>2669</v>
      </c>
      <c r="E824" s="989">
        <v>31.22</v>
      </c>
      <c r="F824" s="990"/>
      <c r="G824" s="990"/>
      <c r="H824" s="990"/>
      <c r="I824" s="990"/>
      <c r="J824" s="990"/>
      <c r="K824" s="990"/>
      <c r="L824" s="990"/>
      <c r="M824" s="990"/>
      <c r="N824" s="990"/>
      <c r="O824" s="990"/>
      <c r="P824" s="990"/>
      <c r="Q824" s="990"/>
      <c r="R824" s="990"/>
      <c r="S824" s="990"/>
      <c r="T824" s="990"/>
      <c r="U824" s="990"/>
      <c r="V824" s="990"/>
      <c r="W824" s="990"/>
      <c r="X824" s="990"/>
    </row>
    <row r="825" spans="1:24" s="896" customFormat="1" ht="25.5">
      <c r="A825" s="987">
        <f t="shared" si="13"/>
        <v>751</v>
      </c>
      <c r="B825" s="988">
        <v>1003</v>
      </c>
      <c r="C825" s="899" t="s">
        <v>10151</v>
      </c>
      <c r="D825" s="988" t="s">
        <v>2669</v>
      </c>
      <c r="E825" s="989">
        <v>4.8600000000000003</v>
      </c>
      <c r="F825" s="990"/>
      <c r="G825" s="990"/>
      <c r="H825" s="990"/>
      <c r="I825" s="990"/>
      <c r="J825" s="990"/>
      <c r="K825" s="990"/>
      <c r="L825" s="990"/>
      <c r="M825" s="990"/>
      <c r="N825" s="990"/>
      <c r="O825" s="990"/>
      <c r="P825" s="990"/>
      <c r="Q825" s="990"/>
      <c r="R825" s="990"/>
      <c r="S825" s="990"/>
      <c r="T825" s="990"/>
      <c r="U825" s="990"/>
      <c r="V825" s="990"/>
      <c r="W825" s="990"/>
      <c r="X825" s="990"/>
    </row>
    <row r="826" spans="1:24" s="896" customFormat="1" ht="25.5">
      <c r="A826" s="987">
        <f t="shared" si="13"/>
        <v>752</v>
      </c>
      <c r="B826" s="988">
        <v>992</v>
      </c>
      <c r="C826" s="899" t="s">
        <v>10152</v>
      </c>
      <c r="D826" s="988" t="s">
        <v>2669</v>
      </c>
      <c r="E826" s="989">
        <v>341.54</v>
      </c>
      <c r="F826" s="990"/>
      <c r="G826" s="990"/>
      <c r="H826" s="990"/>
      <c r="I826" s="990"/>
      <c r="J826" s="990"/>
      <c r="K826" s="990"/>
      <c r="L826" s="990"/>
      <c r="M826" s="990"/>
      <c r="N826" s="990"/>
      <c r="O826" s="990"/>
      <c r="P826" s="990"/>
      <c r="Q826" s="990"/>
      <c r="R826" s="990"/>
      <c r="S826" s="990"/>
      <c r="T826" s="990"/>
      <c r="U826" s="990"/>
      <c r="V826" s="990"/>
      <c r="W826" s="990"/>
      <c r="X826" s="990"/>
    </row>
    <row r="827" spans="1:24" s="896" customFormat="1" ht="25.5">
      <c r="A827" s="987">
        <f t="shared" si="13"/>
        <v>753</v>
      </c>
      <c r="B827" s="988">
        <v>1007</v>
      </c>
      <c r="C827" s="899" t="s">
        <v>10153</v>
      </c>
      <c r="D827" s="988" t="s">
        <v>2669</v>
      </c>
      <c r="E827" s="989">
        <v>44.29</v>
      </c>
      <c r="F827" s="990"/>
      <c r="G827" s="990"/>
      <c r="H827" s="990"/>
      <c r="I827" s="990"/>
      <c r="J827" s="990"/>
      <c r="K827" s="990"/>
      <c r="L827" s="990"/>
      <c r="M827" s="990"/>
      <c r="N827" s="990"/>
      <c r="O827" s="990"/>
      <c r="P827" s="990"/>
      <c r="Q827" s="990"/>
      <c r="R827" s="990"/>
      <c r="S827" s="990"/>
      <c r="T827" s="990"/>
      <c r="U827" s="990"/>
      <c r="V827" s="990"/>
      <c r="W827" s="990"/>
      <c r="X827" s="990"/>
    </row>
    <row r="828" spans="1:24" s="896" customFormat="1" ht="25.5">
      <c r="A828" s="987">
        <f t="shared" si="13"/>
        <v>754</v>
      </c>
      <c r="B828" s="988">
        <v>39242</v>
      </c>
      <c r="C828" s="899" t="s">
        <v>10154</v>
      </c>
      <c r="D828" s="988" t="s">
        <v>2669</v>
      </c>
      <c r="E828" s="989">
        <v>423.18</v>
      </c>
      <c r="F828" s="990"/>
      <c r="G828" s="990"/>
      <c r="H828" s="990"/>
      <c r="I828" s="990"/>
      <c r="J828" s="990"/>
      <c r="K828" s="990"/>
      <c r="L828" s="990"/>
      <c r="M828" s="990"/>
      <c r="N828" s="990"/>
      <c r="O828" s="990"/>
      <c r="P828" s="990"/>
      <c r="Q828" s="990"/>
      <c r="R828" s="990"/>
      <c r="S828" s="990"/>
      <c r="T828" s="990"/>
      <c r="U828" s="990"/>
      <c r="V828" s="990"/>
      <c r="W828" s="990"/>
      <c r="X828" s="990"/>
    </row>
    <row r="829" spans="1:24" s="896" customFormat="1" ht="25.5">
      <c r="A829" s="987">
        <f t="shared" si="13"/>
        <v>755</v>
      </c>
      <c r="B829" s="988">
        <v>1008</v>
      </c>
      <c r="C829" s="899" t="s">
        <v>10155</v>
      </c>
      <c r="D829" s="988" t="s">
        <v>2669</v>
      </c>
      <c r="E829" s="989">
        <v>5.51</v>
      </c>
      <c r="F829" s="990"/>
      <c r="G829" s="990"/>
      <c r="H829" s="990"/>
      <c r="I829" s="990"/>
      <c r="J829" s="990"/>
      <c r="K829" s="990"/>
      <c r="L829" s="990"/>
      <c r="M829" s="990"/>
      <c r="N829" s="990"/>
      <c r="O829" s="990"/>
      <c r="P829" s="990"/>
      <c r="Q829" s="990"/>
      <c r="R829" s="990"/>
      <c r="S829" s="990"/>
      <c r="T829" s="990"/>
      <c r="U829" s="990"/>
      <c r="V829" s="990"/>
      <c r="W829" s="990"/>
      <c r="X829" s="990"/>
    </row>
    <row r="830" spans="1:24" s="896" customFormat="1" ht="25.5">
      <c r="A830" s="987">
        <f t="shared" si="13"/>
        <v>756</v>
      </c>
      <c r="B830" s="988">
        <v>988</v>
      </c>
      <c r="C830" s="899" t="s">
        <v>10156</v>
      </c>
      <c r="D830" s="988" t="s">
        <v>2669</v>
      </c>
      <c r="E830" s="989">
        <v>61.18</v>
      </c>
      <c r="F830" s="990"/>
      <c r="G830" s="990"/>
      <c r="H830" s="990"/>
      <c r="I830" s="990"/>
      <c r="J830" s="990"/>
      <c r="K830" s="990"/>
      <c r="L830" s="990"/>
      <c r="M830" s="990"/>
      <c r="N830" s="990"/>
      <c r="O830" s="990"/>
      <c r="P830" s="990"/>
      <c r="Q830" s="990"/>
      <c r="R830" s="990"/>
      <c r="S830" s="990"/>
      <c r="T830" s="990"/>
      <c r="U830" s="990"/>
      <c r="V830" s="990"/>
      <c r="W830" s="990"/>
      <c r="X830" s="990"/>
    </row>
    <row r="831" spans="1:24" s="896" customFormat="1" ht="25.5">
      <c r="A831" s="987">
        <f t="shared" si="13"/>
        <v>757</v>
      </c>
      <c r="B831" s="988">
        <v>989</v>
      </c>
      <c r="C831" s="899" t="s">
        <v>10157</v>
      </c>
      <c r="D831" s="988" t="s">
        <v>2669</v>
      </c>
      <c r="E831" s="989">
        <v>82.87</v>
      </c>
      <c r="F831" s="990"/>
      <c r="G831" s="990"/>
      <c r="H831" s="990"/>
      <c r="I831" s="990"/>
      <c r="J831" s="990"/>
      <c r="K831" s="990"/>
      <c r="L831" s="990"/>
      <c r="M831" s="990"/>
      <c r="N831" s="990"/>
      <c r="O831" s="990"/>
      <c r="P831" s="990"/>
      <c r="Q831" s="990"/>
      <c r="R831" s="990"/>
      <c r="S831" s="990"/>
      <c r="T831" s="990"/>
      <c r="U831" s="990"/>
      <c r="V831" s="990"/>
      <c r="W831" s="990"/>
      <c r="X831" s="990"/>
    </row>
    <row r="832" spans="1:24" s="896" customFormat="1" ht="25.5">
      <c r="A832" s="987">
        <f t="shared" si="13"/>
        <v>758</v>
      </c>
      <c r="B832" s="988">
        <v>43972</v>
      </c>
      <c r="C832" s="899" t="s">
        <v>10158</v>
      </c>
      <c r="D832" s="988" t="s">
        <v>2669</v>
      </c>
      <c r="E832" s="989">
        <v>4</v>
      </c>
      <c r="F832" s="990"/>
      <c r="G832" s="990"/>
      <c r="H832" s="990"/>
      <c r="I832" s="990"/>
      <c r="J832" s="990"/>
      <c r="K832" s="990"/>
      <c r="L832" s="990"/>
      <c r="M832" s="990"/>
      <c r="N832" s="990"/>
      <c r="O832" s="990"/>
      <c r="P832" s="990"/>
      <c r="Q832" s="990"/>
      <c r="R832" s="990"/>
      <c r="S832" s="990"/>
      <c r="T832" s="990"/>
      <c r="U832" s="990"/>
      <c r="V832" s="990"/>
      <c r="W832" s="990"/>
      <c r="X832" s="990"/>
    </row>
    <row r="833" spans="1:24" s="896" customFormat="1" ht="25.5">
      <c r="A833" s="987">
        <f t="shared" si="13"/>
        <v>759</v>
      </c>
      <c r="B833" s="988">
        <v>43971</v>
      </c>
      <c r="C833" s="899" t="s">
        <v>10159</v>
      </c>
      <c r="D833" s="988" t="s">
        <v>2669</v>
      </c>
      <c r="E833" s="989">
        <v>3.06</v>
      </c>
      <c r="F833" s="990"/>
      <c r="G833" s="990"/>
      <c r="H833" s="990"/>
      <c r="I833" s="990"/>
      <c r="J833" s="990"/>
      <c r="K833" s="990"/>
      <c r="L833" s="990"/>
      <c r="M833" s="990"/>
      <c r="N833" s="990"/>
      <c r="O833" s="990"/>
      <c r="P833" s="990"/>
      <c r="Q833" s="990"/>
      <c r="R833" s="990"/>
      <c r="S833" s="990"/>
      <c r="T833" s="990"/>
      <c r="U833" s="990"/>
      <c r="V833" s="990"/>
      <c r="W833" s="990"/>
      <c r="X833" s="990"/>
    </row>
    <row r="834" spans="1:24" s="896" customFormat="1" ht="25.5">
      <c r="A834" s="987">
        <f t="shared" si="13"/>
        <v>760</v>
      </c>
      <c r="B834" s="988">
        <v>39598</v>
      </c>
      <c r="C834" s="899" t="s">
        <v>10160</v>
      </c>
      <c r="D834" s="988" t="s">
        <v>2669</v>
      </c>
      <c r="E834" s="989">
        <v>5.67</v>
      </c>
      <c r="F834" s="990"/>
      <c r="G834" s="990"/>
      <c r="H834" s="990"/>
      <c r="I834" s="990"/>
      <c r="J834" s="990"/>
      <c r="K834" s="990"/>
      <c r="L834" s="990"/>
      <c r="M834" s="990"/>
      <c r="N834" s="990"/>
      <c r="O834" s="990"/>
      <c r="P834" s="990"/>
      <c r="Q834" s="990"/>
      <c r="R834" s="990"/>
      <c r="S834" s="990"/>
      <c r="T834" s="990"/>
      <c r="U834" s="990"/>
      <c r="V834" s="990"/>
      <c r="W834" s="990"/>
      <c r="X834" s="990"/>
    </row>
    <row r="835" spans="1:24" s="896" customFormat="1" ht="25.5">
      <c r="A835" s="987">
        <f t="shared" si="13"/>
        <v>761</v>
      </c>
      <c r="B835" s="988">
        <v>39599</v>
      </c>
      <c r="C835" s="899" t="s">
        <v>10161</v>
      </c>
      <c r="D835" s="988" t="s">
        <v>2669</v>
      </c>
      <c r="E835" s="989">
        <v>8.16</v>
      </c>
      <c r="F835" s="990"/>
      <c r="G835" s="990"/>
      <c r="H835" s="990"/>
      <c r="I835" s="990"/>
      <c r="J835" s="990"/>
      <c r="K835" s="990"/>
      <c r="L835" s="990"/>
      <c r="M835" s="990"/>
      <c r="N835" s="990"/>
      <c r="O835" s="990"/>
      <c r="P835" s="990"/>
      <c r="Q835" s="990"/>
      <c r="R835" s="990"/>
      <c r="S835" s="990"/>
      <c r="T835" s="990"/>
      <c r="U835" s="990"/>
      <c r="V835" s="990"/>
      <c r="W835" s="990"/>
      <c r="X835" s="990"/>
    </row>
    <row r="836" spans="1:24" s="896" customFormat="1">
      <c r="A836" s="987">
        <f t="shared" si="13"/>
        <v>762</v>
      </c>
      <c r="B836" s="988">
        <v>34602</v>
      </c>
      <c r="C836" s="899" t="s">
        <v>10162</v>
      </c>
      <c r="D836" s="988" t="s">
        <v>2669</v>
      </c>
      <c r="E836" s="989">
        <v>5.17</v>
      </c>
      <c r="F836" s="990"/>
      <c r="G836" s="990"/>
      <c r="H836" s="990"/>
      <c r="I836" s="990"/>
      <c r="J836" s="990"/>
      <c r="K836" s="990"/>
      <c r="L836" s="990"/>
      <c r="M836" s="990"/>
      <c r="N836" s="990"/>
      <c r="O836" s="990"/>
      <c r="P836" s="990"/>
      <c r="Q836" s="990"/>
      <c r="R836" s="990"/>
      <c r="S836" s="990"/>
      <c r="T836" s="990"/>
      <c r="U836" s="990"/>
      <c r="V836" s="990"/>
      <c r="W836" s="990"/>
      <c r="X836" s="990"/>
    </row>
    <row r="837" spans="1:24" s="896" customFormat="1">
      <c r="A837" s="987">
        <f t="shared" si="13"/>
        <v>763</v>
      </c>
      <c r="B837" s="988">
        <v>34603</v>
      </c>
      <c r="C837" s="899" t="s">
        <v>10163</v>
      </c>
      <c r="D837" s="988" t="s">
        <v>2669</v>
      </c>
      <c r="E837" s="989">
        <v>24.86</v>
      </c>
      <c r="F837" s="990"/>
      <c r="G837" s="990"/>
      <c r="H837" s="990"/>
      <c r="I837" s="990"/>
      <c r="J837" s="990"/>
      <c r="K837" s="990"/>
      <c r="L837" s="990"/>
      <c r="M837" s="990"/>
      <c r="N837" s="990"/>
      <c r="O837" s="990"/>
      <c r="P837" s="990"/>
      <c r="Q837" s="990"/>
      <c r="R837" s="990"/>
      <c r="S837" s="990"/>
      <c r="T837" s="990"/>
      <c r="U837" s="990"/>
      <c r="V837" s="990"/>
      <c r="W837" s="990"/>
      <c r="X837" s="990"/>
    </row>
    <row r="838" spans="1:24" s="896" customFormat="1">
      <c r="A838" s="987">
        <f t="shared" si="13"/>
        <v>764</v>
      </c>
      <c r="B838" s="988">
        <v>34607</v>
      </c>
      <c r="C838" s="899" t="s">
        <v>10164</v>
      </c>
      <c r="D838" s="988" t="s">
        <v>2669</v>
      </c>
      <c r="E838" s="989">
        <v>11.09</v>
      </c>
      <c r="F838" s="990"/>
      <c r="G838" s="990"/>
      <c r="H838" s="990"/>
      <c r="I838" s="990"/>
      <c r="J838" s="990"/>
      <c r="K838" s="990"/>
      <c r="L838" s="990"/>
      <c r="M838" s="990"/>
      <c r="N838" s="990"/>
      <c r="O838" s="990"/>
      <c r="P838" s="990"/>
      <c r="Q838" s="990"/>
      <c r="R838" s="990"/>
      <c r="S838" s="990"/>
      <c r="T838" s="990"/>
      <c r="U838" s="990"/>
      <c r="V838" s="990"/>
      <c r="W838" s="990"/>
      <c r="X838" s="990"/>
    </row>
    <row r="839" spans="1:24" s="896" customFormat="1">
      <c r="A839" s="987">
        <f t="shared" si="13"/>
        <v>765</v>
      </c>
      <c r="B839" s="988">
        <v>34609</v>
      </c>
      <c r="C839" s="899" t="s">
        <v>10165</v>
      </c>
      <c r="D839" s="988" t="s">
        <v>2669</v>
      </c>
      <c r="E839" s="989">
        <v>16.63</v>
      </c>
      <c r="F839" s="990"/>
      <c r="G839" s="990"/>
      <c r="H839" s="990"/>
      <c r="I839" s="990"/>
      <c r="J839" s="990"/>
      <c r="K839" s="990"/>
      <c r="L839" s="990"/>
      <c r="M839" s="990"/>
      <c r="N839" s="990"/>
      <c r="O839" s="990"/>
      <c r="P839" s="990"/>
      <c r="Q839" s="990"/>
      <c r="R839" s="990"/>
      <c r="S839" s="990"/>
      <c r="T839" s="990"/>
      <c r="U839" s="990"/>
      <c r="V839" s="990"/>
      <c r="W839" s="990"/>
      <c r="X839" s="990"/>
    </row>
    <row r="840" spans="1:24" s="896" customFormat="1">
      <c r="A840" s="987">
        <f t="shared" si="13"/>
        <v>766</v>
      </c>
      <c r="B840" s="988">
        <v>34618</v>
      </c>
      <c r="C840" s="899" t="s">
        <v>10166</v>
      </c>
      <c r="D840" s="988" t="s">
        <v>2669</v>
      </c>
      <c r="E840" s="989">
        <v>6.86</v>
      </c>
      <c r="F840" s="990"/>
      <c r="G840" s="990"/>
      <c r="H840" s="990"/>
      <c r="I840" s="990"/>
      <c r="J840" s="990"/>
      <c r="K840" s="990"/>
      <c r="L840" s="990"/>
      <c r="M840" s="990"/>
      <c r="N840" s="990"/>
      <c r="O840" s="990"/>
      <c r="P840" s="990"/>
      <c r="Q840" s="990"/>
      <c r="R840" s="990"/>
      <c r="S840" s="990"/>
      <c r="T840" s="990"/>
      <c r="U840" s="990"/>
      <c r="V840" s="990"/>
      <c r="W840" s="990"/>
      <c r="X840" s="990"/>
    </row>
    <row r="841" spans="1:24" s="896" customFormat="1">
      <c r="A841" s="987">
        <f t="shared" si="13"/>
        <v>767</v>
      </c>
      <c r="B841" s="988">
        <v>34620</v>
      </c>
      <c r="C841" s="899" t="s">
        <v>10167</v>
      </c>
      <c r="D841" s="988" t="s">
        <v>2669</v>
      </c>
      <c r="E841" s="989">
        <v>34.31</v>
      </c>
      <c r="F841" s="990"/>
      <c r="G841" s="990"/>
      <c r="H841" s="990"/>
      <c r="I841" s="990"/>
      <c r="J841" s="990"/>
      <c r="K841" s="990"/>
      <c r="L841" s="990"/>
      <c r="M841" s="990"/>
      <c r="N841" s="990"/>
      <c r="O841" s="990"/>
      <c r="P841" s="990"/>
      <c r="Q841" s="990"/>
      <c r="R841" s="990"/>
      <c r="S841" s="990"/>
      <c r="T841" s="990"/>
      <c r="U841" s="990"/>
      <c r="V841" s="990"/>
      <c r="W841" s="990"/>
      <c r="X841" s="990"/>
    </row>
    <row r="842" spans="1:24" s="896" customFormat="1">
      <c r="A842" s="987">
        <f t="shared" si="13"/>
        <v>768</v>
      </c>
      <c r="B842" s="988">
        <v>34621</v>
      </c>
      <c r="C842" s="899" t="s">
        <v>10168</v>
      </c>
      <c r="D842" s="988" t="s">
        <v>2669</v>
      </c>
      <c r="E842" s="989">
        <v>15.92</v>
      </c>
      <c r="F842" s="990"/>
      <c r="G842" s="990"/>
      <c r="H842" s="990"/>
      <c r="I842" s="990"/>
      <c r="J842" s="990"/>
      <c r="K842" s="990"/>
      <c r="L842" s="990"/>
      <c r="M842" s="990"/>
      <c r="N842" s="990"/>
      <c r="O842" s="990"/>
      <c r="P842" s="990"/>
      <c r="Q842" s="990"/>
      <c r="R842" s="990"/>
      <c r="S842" s="990"/>
      <c r="T842" s="990"/>
      <c r="U842" s="990"/>
      <c r="V842" s="990"/>
      <c r="W842" s="990"/>
      <c r="X842" s="990"/>
    </row>
    <row r="843" spans="1:24" s="896" customFormat="1">
      <c r="A843" s="987">
        <f t="shared" si="13"/>
        <v>769</v>
      </c>
      <c r="B843" s="988">
        <v>34622</v>
      </c>
      <c r="C843" s="899" t="s">
        <v>10169</v>
      </c>
      <c r="D843" s="988" t="s">
        <v>2669</v>
      </c>
      <c r="E843" s="989">
        <v>22.55</v>
      </c>
      <c r="F843" s="990"/>
      <c r="G843" s="990"/>
      <c r="H843" s="990"/>
      <c r="I843" s="990"/>
      <c r="J843" s="990"/>
      <c r="K843" s="990"/>
      <c r="L843" s="990"/>
      <c r="M843" s="990"/>
      <c r="N843" s="990"/>
      <c r="O843" s="990"/>
      <c r="P843" s="990"/>
      <c r="Q843" s="990"/>
      <c r="R843" s="990"/>
      <c r="S843" s="990"/>
      <c r="T843" s="990"/>
      <c r="U843" s="990"/>
      <c r="V843" s="990"/>
      <c r="W843" s="990"/>
      <c r="X843" s="990"/>
    </row>
    <row r="844" spans="1:24" s="896" customFormat="1">
      <c r="A844" s="987">
        <f t="shared" ref="A844:A907" si="14">A843+1</f>
        <v>770</v>
      </c>
      <c r="B844" s="988">
        <v>34624</v>
      </c>
      <c r="C844" s="899" t="s">
        <v>10170</v>
      </c>
      <c r="D844" s="988" t="s">
        <v>2669</v>
      </c>
      <c r="E844" s="989">
        <v>8.76</v>
      </c>
      <c r="F844" s="990"/>
      <c r="G844" s="990"/>
      <c r="H844" s="990"/>
      <c r="I844" s="990"/>
      <c r="J844" s="990"/>
      <c r="K844" s="990"/>
      <c r="L844" s="990"/>
      <c r="M844" s="990"/>
      <c r="N844" s="990"/>
      <c r="O844" s="990"/>
      <c r="P844" s="990"/>
      <c r="Q844" s="990"/>
      <c r="R844" s="990"/>
      <c r="S844" s="990"/>
      <c r="T844" s="990"/>
      <c r="U844" s="990"/>
      <c r="V844" s="990"/>
      <c r="W844" s="990"/>
      <c r="X844" s="990"/>
    </row>
    <row r="845" spans="1:24" s="896" customFormat="1">
      <c r="A845" s="987">
        <f t="shared" si="14"/>
        <v>771</v>
      </c>
      <c r="B845" s="988">
        <v>34626</v>
      </c>
      <c r="C845" s="899" t="s">
        <v>10171</v>
      </c>
      <c r="D845" s="988" t="s">
        <v>2669</v>
      </c>
      <c r="E845" s="989">
        <v>47.16</v>
      </c>
      <c r="F845" s="990"/>
      <c r="G845" s="990"/>
      <c r="H845" s="990"/>
      <c r="I845" s="990"/>
      <c r="J845" s="990"/>
      <c r="K845" s="990"/>
      <c r="L845" s="990"/>
      <c r="M845" s="990"/>
      <c r="N845" s="990"/>
      <c r="O845" s="990"/>
      <c r="P845" s="990"/>
      <c r="Q845" s="990"/>
      <c r="R845" s="990"/>
      <c r="S845" s="990"/>
      <c r="T845" s="990"/>
      <c r="U845" s="990"/>
      <c r="V845" s="990"/>
      <c r="W845" s="990"/>
      <c r="X845" s="990"/>
    </row>
    <row r="846" spans="1:24" s="896" customFormat="1">
      <c r="A846" s="987">
        <f t="shared" si="14"/>
        <v>772</v>
      </c>
      <c r="B846" s="988">
        <v>34627</v>
      </c>
      <c r="C846" s="899" t="s">
        <v>10172</v>
      </c>
      <c r="D846" s="988" t="s">
        <v>2669</v>
      </c>
      <c r="E846" s="989">
        <v>20.32</v>
      </c>
      <c r="F846" s="990"/>
      <c r="G846" s="990"/>
      <c r="H846" s="990"/>
      <c r="I846" s="990"/>
      <c r="J846" s="990"/>
      <c r="K846" s="990"/>
      <c r="L846" s="990"/>
      <c r="M846" s="990"/>
      <c r="N846" s="990"/>
      <c r="O846" s="990"/>
      <c r="P846" s="990"/>
      <c r="Q846" s="990"/>
      <c r="R846" s="990"/>
      <c r="S846" s="990"/>
      <c r="T846" s="990"/>
      <c r="U846" s="990"/>
      <c r="V846" s="990"/>
      <c r="W846" s="990"/>
      <c r="X846" s="990"/>
    </row>
    <row r="847" spans="1:24" s="896" customFormat="1">
      <c r="A847" s="987">
        <f t="shared" si="14"/>
        <v>773</v>
      </c>
      <c r="B847" s="988">
        <v>34629</v>
      </c>
      <c r="C847" s="899" t="s">
        <v>10173</v>
      </c>
      <c r="D847" s="988" t="s">
        <v>2669</v>
      </c>
      <c r="E847" s="989">
        <v>29.75</v>
      </c>
      <c r="F847" s="990"/>
      <c r="G847" s="990"/>
      <c r="H847" s="990"/>
      <c r="I847" s="990"/>
      <c r="J847" s="990"/>
      <c r="K847" s="990"/>
      <c r="L847" s="990"/>
      <c r="M847" s="990"/>
      <c r="N847" s="990"/>
      <c r="O847" s="990"/>
      <c r="P847" s="990"/>
      <c r="Q847" s="990"/>
      <c r="R847" s="990"/>
      <c r="S847" s="990"/>
      <c r="T847" s="990"/>
      <c r="U847" s="990"/>
      <c r="V847" s="990"/>
      <c r="W847" s="990"/>
      <c r="X847" s="990"/>
    </row>
    <row r="848" spans="1:24" s="896" customFormat="1" ht="25.5">
      <c r="A848" s="987">
        <f t="shared" si="14"/>
        <v>774</v>
      </c>
      <c r="B848" s="988">
        <v>39257</v>
      </c>
      <c r="C848" s="899" t="s">
        <v>10174</v>
      </c>
      <c r="D848" s="988" t="s">
        <v>2669</v>
      </c>
      <c r="E848" s="989">
        <v>5.79</v>
      </c>
      <c r="F848" s="990"/>
      <c r="G848" s="990"/>
      <c r="H848" s="990"/>
      <c r="I848" s="990"/>
      <c r="J848" s="990"/>
      <c r="K848" s="990"/>
      <c r="L848" s="990"/>
      <c r="M848" s="990"/>
      <c r="N848" s="990"/>
      <c r="O848" s="990"/>
      <c r="P848" s="990"/>
      <c r="Q848" s="990"/>
      <c r="R848" s="990"/>
      <c r="S848" s="990"/>
      <c r="T848" s="990"/>
      <c r="U848" s="990"/>
      <c r="V848" s="990"/>
      <c r="W848" s="990"/>
      <c r="X848" s="990"/>
    </row>
    <row r="849" spans="1:24" s="896" customFormat="1" ht="25.5">
      <c r="A849" s="987">
        <f t="shared" si="14"/>
        <v>775</v>
      </c>
      <c r="B849" s="988">
        <v>39261</v>
      </c>
      <c r="C849" s="899" t="s">
        <v>10175</v>
      </c>
      <c r="D849" s="988" t="s">
        <v>2669</v>
      </c>
      <c r="E849" s="989">
        <v>30.83</v>
      </c>
      <c r="F849" s="990"/>
      <c r="G849" s="990"/>
      <c r="H849" s="990"/>
      <c r="I849" s="990"/>
      <c r="J849" s="990"/>
      <c r="K849" s="990"/>
      <c r="L849" s="990"/>
      <c r="M849" s="990"/>
      <c r="N849" s="990"/>
      <c r="O849" s="990"/>
      <c r="P849" s="990"/>
      <c r="Q849" s="990"/>
      <c r="R849" s="990"/>
      <c r="S849" s="990"/>
      <c r="T849" s="990"/>
      <c r="U849" s="990"/>
      <c r="V849" s="990"/>
      <c r="W849" s="990"/>
      <c r="X849" s="990"/>
    </row>
    <row r="850" spans="1:24" s="896" customFormat="1" ht="25.5">
      <c r="A850" s="987">
        <f t="shared" si="14"/>
        <v>776</v>
      </c>
      <c r="B850" s="988">
        <v>39268</v>
      </c>
      <c r="C850" s="899" t="s">
        <v>10176</v>
      </c>
      <c r="D850" s="988" t="s">
        <v>2669</v>
      </c>
      <c r="E850" s="989">
        <v>355.7</v>
      </c>
      <c r="F850" s="990"/>
      <c r="G850" s="990"/>
      <c r="H850" s="990"/>
      <c r="I850" s="990"/>
      <c r="J850" s="990"/>
      <c r="K850" s="990"/>
      <c r="L850" s="990"/>
      <c r="M850" s="990"/>
      <c r="N850" s="990"/>
      <c r="O850" s="990"/>
      <c r="P850" s="990"/>
      <c r="Q850" s="990"/>
      <c r="R850" s="990"/>
      <c r="S850" s="990"/>
      <c r="T850" s="990"/>
      <c r="U850" s="990"/>
      <c r="V850" s="990"/>
      <c r="W850" s="990"/>
      <c r="X850" s="990"/>
    </row>
    <row r="851" spans="1:24" s="896" customFormat="1" ht="25.5">
      <c r="A851" s="987">
        <f t="shared" si="14"/>
        <v>777</v>
      </c>
      <c r="B851" s="988">
        <v>39262</v>
      </c>
      <c r="C851" s="899" t="s">
        <v>10177</v>
      </c>
      <c r="D851" s="988" t="s">
        <v>2669</v>
      </c>
      <c r="E851" s="989">
        <v>48.2</v>
      </c>
      <c r="F851" s="990"/>
      <c r="G851" s="990"/>
      <c r="H851" s="990"/>
      <c r="I851" s="990"/>
      <c r="J851" s="990"/>
      <c r="K851" s="990"/>
      <c r="L851" s="990"/>
      <c r="M851" s="990"/>
      <c r="N851" s="990"/>
      <c r="O851" s="990"/>
      <c r="P851" s="990"/>
      <c r="Q851" s="990"/>
      <c r="R851" s="990"/>
      <c r="S851" s="990"/>
      <c r="T851" s="990"/>
      <c r="U851" s="990"/>
      <c r="V851" s="990"/>
      <c r="W851" s="990"/>
      <c r="X851" s="990"/>
    </row>
    <row r="852" spans="1:24" s="896" customFormat="1" ht="25.5">
      <c r="A852" s="987">
        <f t="shared" si="14"/>
        <v>778</v>
      </c>
      <c r="B852" s="988">
        <v>39258</v>
      </c>
      <c r="C852" s="899" t="s">
        <v>10178</v>
      </c>
      <c r="D852" s="988" t="s">
        <v>2669</v>
      </c>
      <c r="E852" s="989">
        <v>8.58</v>
      </c>
      <c r="F852" s="990"/>
      <c r="G852" s="990"/>
      <c r="H852" s="990"/>
      <c r="I852" s="990"/>
      <c r="J852" s="990"/>
      <c r="K852" s="990"/>
      <c r="L852" s="990"/>
      <c r="M852" s="990"/>
      <c r="N852" s="990"/>
      <c r="O852" s="990"/>
      <c r="P852" s="990"/>
      <c r="Q852" s="990"/>
      <c r="R852" s="990"/>
      <c r="S852" s="990"/>
      <c r="T852" s="990"/>
      <c r="U852" s="990"/>
      <c r="V852" s="990"/>
      <c r="W852" s="990"/>
      <c r="X852" s="990"/>
    </row>
    <row r="853" spans="1:24" s="896" customFormat="1" ht="25.5">
      <c r="A853" s="987">
        <f t="shared" si="14"/>
        <v>779</v>
      </c>
      <c r="B853" s="988">
        <v>39263</v>
      </c>
      <c r="C853" s="899" t="s">
        <v>10179</v>
      </c>
      <c r="D853" s="988" t="s">
        <v>2669</v>
      </c>
      <c r="E853" s="989">
        <v>74.58</v>
      </c>
      <c r="F853" s="990"/>
      <c r="G853" s="990"/>
      <c r="H853" s="990"/>
      <c r="I853" s="990"/>
      <c r="J853" s="990"/>
      <c r="K853" s="990"/>
      <c r="L853" s="990"/>
      <c r="M853" s="990"/>
      <c r="N853" s="990"/>
      <c r="O853" s="990"/>
      <c r="P853" s="990"/>
      <c r="Q853" s="990"/>
      <c r="R853" s="990"/>
      <c r="S853" s="990"/>
      <c r="T853" s="990"/>
      <c r="U853" s="990"/>
      <c r="V853" s="990"/>
      <c r="W853" s="990"/>
      <c r="X853" s="990"/>
    </row>
    <row r="854" spans="1:24" s="896" customFormat="1" ht="25.5">
      <c r="A854" s="987">
        <f t="shared" si="14"/>
        <v>780</v>
      </c>
      <c r="B854" s="988">
        <v>39264</v>
      </c>
      <c r="C854" s="899" t="s">
        <v>10180</v>
      </c>
      <c r="D854" s="988" t="s">
        <v>2669</v>
      </c>
      <c r="E854" s="989">
        <v>100.99</v>
      </c>
      <c r="F854" s="990"/>
      <c r="G854" s="990"/>
      <c r="H854" s="990"/>
      <c r="I854" s="990"/>
      <c r="J854" s="990"/>
      <c r="K854" s="990"/>
      <c r="L854" s="990"/>
      <c r="M854" s="990"/>
      <c r="N854" s="990"/>
      <c r="O854" s="990"/>
      <c r="P854" s="990"/>
      <c r="Q854" s="990"/>
      <c r="R854" s="990"/>
      <c r="S854" s="990"/>
      <c r="T854" s="990"/>
      <c r="U854" s="990"/>
      <c r="V854" s="990"/>
      <c r="W854" s="990"/>
      <c r="X854" s="990"/>
    </row>
    <row r="855" spans="1:24" s="896" customFormat="1" ht="25.5">
      <c r="A855" s="987">
        <f t="shared" si="14"/>
        <v>781</v>
      </c>
      <c r="B855" s="988">
        <v>39259</v>
      </c>
      <c r="C855" s="899" t="s">
        <v>10181</v>
      </c>
      <c r="D855" s="988" t="s">
        <v>2669</v>
      </c>
      <c r="E855" s="989">
        <v>13.06</v>
      </c>
      <c r="F855" s="990"/>
      <c r="G855" s="990"/>
      <c r="H855" s="990"/>
      <c r="I855" s="990"/>
      <c r="J855" s="990"/>
      <c r="K855" s="990"/>
      <c r="L855" s="990"/>
      <c r="M855" s="990"/>
      <c r="N855" s="990"/>
      <c r="O855" s="990"/>
      <c r="P855" s="990"/>
      <c r="Q855" s="990"/>
      <c r="R855" s="990"/>
      <c r="S855" s="990"/>
      <c r="T855" s="990"/>
      <c r="U855" s="990"/>
      <c r="V855" s="990"/>
      <c r="W855" s="990"/>
      <c r="X855" s="990"/>
    </row>
    <row r="856" spans="1:24" s="896" customFormat="1" ht="25.5">
      <c r="A856" s="987">
        <f t="shared" si="14"/>
        <v>782</v>
      </c>
      <c r="B856" s="988">
        <v>39265</v>
      </c>
      <c r="C856" s="899" t="s">
        <v>10182</v>
      </c>
      <c r="D856" s="988" t="s">
        <v>2669</v>
      </c>
      <c r="E856" s="989">
        <v>148.77000000000001</v>
      </c>
      <c r="F856" s="990"/>
      <c r="G856" s="990"/>
      <c r="H856" s="990"/>
      <c r="I856" s="990"/>
      <c r="J856" s="990"/>
      <c r="K856" s="990"/>
      <c r="L856" s="990"/>
      <c r="M856" s="990"/>
      <c r="N856" s="990"/>
      <c r="O856" s="990"/>
      <c r="P856" s="990"/>
      <c r="Q856" s="990"/>
      <c r="R856" s="990"/>
      <c r="S856" s="990"/>
      <c r="T856" s="990"/>
      <c r="U856" s="990"/>
      <c r="V856" s="990"/>
      <c r="W856" s="990"/>
      <c r="X856" s="990"/>
    </row>
    <row r="857" spans="1:24" s="896" customFormat="1" ht="25.5">
      <c r="A857" s="987">
        <f t="shared" si="14"/>
        <v>783</v>
      </c>
      <c r="B857" s="988">
        <v>39260</v>
      </c>
      <c r="C857" s="899" t="s">
        <v>10183</v>
      </c>
      <c r="D857" s="988" t="s">
        <v>2669</v>
      </c>
      <c r="E857" s="989">
        <v>18.600000000000001</v>
      </c>
      <c r="F857" s="990"/>
      <c r="G857" s="990"/>
      <c r="H857" s="990"/>
      <c r="I857" s="990"/>
      <c r="J857" s="990"/>
      <c r="K857" s="990"/>
      <c r="L857" s="990"/>
      <c r="M857" s="990"/>
      <c r="N857" s="990"/>
      <c r="O857" s="990"/>
      <c r="P857" s="990"/>
      <c r="Q857" s="990"/>
      <c r="R857" s="990"/>
      <c r="S857" s="990"/>
      <c r="T857" s="990"/>
      <c r="U857" s="990"/>
      <c r="V857" s="990"/>
      <c r="W857" s="990"/>
      <c r="X857" s="990"/>
    </row>
    <row r="858" spans="1:24" s="896" customFormat="1" ht="25.5">
      <c r="A858" s="987">
        <f t="shared" si="14"/>
        <v>784</v>
      </c>
      <c r="B858" s="988">
        <v>39266</v>
      </c>
      <c r="C858" s="899" t="s">
        <v>10184</v>
      </c>
      <c r="D858" s="988" t="s">
        <v>2669</v>
      </c>
      <c r="E858" s="989">
        <v>208.74</v>
      </c>
      <c r="F858" s="990"/>
      <c r="G858" s="990"/>
      <c r="H858" s="990"/>
      <c r="I858" s="990"/>
      <c r="J858" s="990"/>
      <c r="K858" s="990"/>
      <c r="L858" s="990"/>
      <c r="M858" s="990"/>
      <c r="N858" s="990"/>
      <c r="O858" s="990"/>
      <c r="P858" s="990"/>
      <c r="Q858" s="990"/>
      <c r="R858" s="990"/>
      <c r="S858" s="990"/>
      <c r="T858" s="990"/>
      <c r="U858" s="990"/>
      <c r="V858" s="990"/>
      <c r="W858" s="990"/>
      <c r="X858" s="990"/>
    </row>
    <row r="859" spans="1:24" s="896" customFormat="1" ht="25.5">
      <c r="A859" s="987">
        <f t="shared" si="14"/>
        <v>785</v>
      </c>
      <c r="B859" s="988">
        <v>39267</v>
      </c>
      <c r="C859" s="899" t="s">
        <v>10185</v>
      </c>
      <c r="D859" s="988" t="s">
        <v>2669</v>
      </c>
      <c r="E859" s="989">
        <v>273.63</v>
      </c>
      <c r="F859" s="990"/>
      <c r="G859" s="990"/>
      <c r="H859" s="990"/>
      <c r="I859" s="990"/>
      <c r="J859" s="990"/>
      <c r="K859" s="990"/>
      <c r="L859" s="990"/>
      <c r="M859" s="990"/>
      <c r="N859" s="990"/>
      <c r="O859" s="990"/>
      <c r="P859" s="990"/>
      <c r="Q859" s="990"/>
      <c r="R859" s="990"/>
      <c r="S859" s="990"/>
      <c r="T859" s="990"/>
      <c r="U859" s="990"/>
      <c r="V859" s="990"/>
      <c r="W859" s="990"/>
      <c r="X859" s="990"/>
    </row>
    <row r="860" spans="1:24" s="896" customFormat="1">
      <c r="A860" s="987">
        <f t="shared" si="14"/>
        <v>786</v>
      </c>
      <c r="B860" s="988">
        <v>11901</v>
      </c>
      <c r="C860" s="899" t="s">
        <v>10186</v>
      </c>
      <c r="D860" s="988" t="s">
        <v>2669</v>
      </c>
      <c r="E860" s="989">
        <v>0.73</v>
      </c>
      <c r="F860" s="990"/>
      <c r="G860" s="990"/>
      <c r="H860" s="990"/>
      <c r="I860" s="990"/>
      <c r="J860" s="990"/>
      <c r="K860" s="990"/>
      <c r="L860" s="990"/>
      <c r="M860" s="990"/>
      <c r="N860" s="990"/>
      <c r="O860" s="990"/>
      <c r="P860" s="990"/>
      <c r="Q860" s="990"/>
      <c r="R860" s="990"/>
      <c r="S860" s="990"/>
      <c r="T860" s="990"/>
      <c r="U860" s="990"/>
      <c r="V860" s="990"/>
      <c r="W860" s="990"/>
      <c r="X860" s="990"/>
    </row>
    <row r="861" spans="1:24" s="896" customFormat="1">
      <c r="A861" s="987">
        <f t="shared" si="14"/>
        <v>787</v>
      </c>
      <c r="B861" s="988">
        <v>11902</v>
      </c>
      <c r="C861" s="899" t="s">
        <v>10187</v>
      </c>
      <c r="D861" s="988" t="s">
        <v>2669</v>
      </c>
      <c r="E861" s="989">
        <v>1.41</v>
      </c>
      <c r="F861" s="990"/>
      <c r="G861" s="990"/>
      <c r="H861" s="990"/>
      <c r="I861" s="990"/>
      <c r="J861" s="990"/>
      <c r="K861" s="990"/>
      <c r="L861" s="990"/>
      <c r="M861" s="990"/>
      <c r="N861" s="990"/>
      <c r="O861" s="990"/>
      <c r="P861" s="990"/>
      <c r="Q861" s="990"/>
      <c r="R861" s="990"/>
      <c r="S861" s="990"/>
      <c r="T861" s="990"/>
      <c r="U861" s="990"/>
      <c r="V861" s="990"/>
      <c r="W861" s="990"/>
      <c r="X861" s="990"/>
    </row>
    <row r="862" spans="1:24" s="896" customFormat="1">
      <c r="A862" s="987">
        <f t="shared" si="14"/>
        <v>788</v>
      </c>
      <c r="B862" s="988">
        <v>11903</v>
      </c>
      <c r="C862" s="899" t="s">
        <v>10188</v>
      </c>
      <c r="D862" s="988" t="s">
        <v>2669</v>
      </c>
      <c r="E862" s="989">
        <v>1.49</v>
      </c>
      <c r="F862" s="990"/>
      <c r="G862" s="990"/>
      <c r="H862" s="990"/>
      <c r="I862" s="990"/>
      <c r="J862" s="990"/>
      <c r="K862" s="990"/>
      <c r="L862" s="990"/>
      <c r="M862" s="990"/>
      <c r="N862" s="990"/>
      <c r="O862" s="990"/>
      <c r="P862" s="990"/>
      <c r="Q862" s="990"/>
      <c r="R862" s="990"/>
      <c r="S862" s="990"/>
      <c r="T862" s="990"/>
      <c r="U862" s="990"/>
      <c r="V862" s="990"/>
      <c r="W862" s="990"/>
      <c r="X862" s="990"/>
    </row>
    <row r="863" spans="1:24" s="896" customFormat="1">
      <c r="A863" s="987">
        <f t="shared" si="14"/>
        <v>789</v>
      </c>
      <c r="B863" s="988">
        <v>11904</v>
      </c>
      <c r="C863" s="899" t="s">
        <v>10189</v>
      </c>
      <c r="D863" s="988" t="s">
        <v>2669</v>
      </c>
      <c r="E863" s="989">
        <v>2.2599999999999998</v>
      </c>
      <c r="F863" s="990"/>
      <c r="G863" s="990"/>
      <c r="H863" s="990"/>
      <c r="I863" s="990"/>
      <c r="J863" s="990"/>
      <c r="K863" s="990"/>
      <c r="L863" s="990"/>
      <c r="M863" s="990"/>
      <c r="N863" s="990"/>
      <c r="O863" s="990"/>
      <c r="P863" s="990"/>
      <c r="Q863" s="990"/>
      <c r="R863" s="990"/>
      <c r="S863" s="990"/>
      <c r="T863" s="990"/>
      <c r="U863" s="990"/>
      <c r="V863" s="990"/>
      <c r="W863" s="990"/>
      <c r="X863" s="990"/>
    </row>
    <row r="864" spans="1:24" s="896" customFormat="1">
      <c r="A864" s="987">
        <f t="shared" si="14"/>
        <v>790</v>
      </c>
      <c r="B864" s="988">
        <v>11905</v>
      </c>
      <c r="C864" s="899" t="s">
        <v>10190</v>
      </c>
      <c r="D864" s="988" t="s">
        <v>2669</v>
      </c>
      <c r="E864" s="989">
        <v>2.75</v>
      </c>
      <c r="F864" s="990"/>
      <c r="G864" s="990"/>
      <c r="H864" s="990"/>
      <c r="I864" s="990"/>
      <c r="J864" s="990"/>
      <c r="K864" s="990"/>
      <c r="L864" s="990"/>
      <c r="M864" s="990"/>
      <c r="N864" s="990"/>
      <c r="O864" s="990"/>
      <c r="P864" s="990"/>
      <c r="Q864" s="990"/>
      <c r="R864" s="990"/>
      <c r="S864" s="990"/>
      <c r="T864" s="990"/>
      <c r="U864" s="990"/>
      <c r="V864" s="990"/>
      <c r="W864" s="990"/>
      <c r="X864" s="990"/>
    </row>
    <row r="865" spans="1:24" s="896" customFormat="1">
      <c r="A865" s="987">
        <f t="shared" si="14"/>
        <v>791</v>
      </c>
      <c r="B865" s="988">
        <v>11906</v>
      </c>
      <c r="C865" s="899" t="s">
        <v>10191</v>
      </c>
      <c r="D865" s="988" t="s">
        <v>2669</v>
      </c>
      <c r="E865" s="989">
        <v>3.5</v>
      </c>
      <c r="F865" s="990"/>
      <c r="G865" s="990"/>
      <c r="H865" s="990"/>
      <c r="I865" s="990"/>
      <c r="J865" s="990"/>
      <c r="K865" s="990"/>
      <c r="L865" s="990"/>
      <c r="M865" s="990"/>
      <c r="N865" s="990"/>
      <c r="O865" s="990"/>
      <c r="P865" s="990"/>
      <c r="Q865" s="990"/>
      <c r="R865" s="990"/>
      <c r="S865" s="990"/>
      <c r="T865" s="990"/>
      <c r="U865" s="990"/>
      <c r="V865" s="990"/>
      <c r="W865" s="990"/>
      <c r="X865" s="990"/>
    </row>
    <row r="866" spans="1:24" s="896" customFormat="1">
      <c r="A866" s="987">
        <f t="shared" si="14"/>
        <v>792</v>
      </c>
      <c r="B866" s="988">
        <v>11919</v>
      </c>
      <c r="C866" s="899" t="s">
        <v>10192</v>
      </c>
      <c r="D866" s="988" t="s">
        <v>2669</v>
      </c>
      <c r="E866" s="989">
        <v>6.42</v>
      </c>
      <c r="F866" s="990"/>
      <c r="G866" s="990"/>
      <c r="H866" s="990"/>
      <c r="I866" s="990"/>
      <c r="J866" s="990"/>
      <c r="K866" s="990"/>
      <c r="L866" s="990"/>
      <c r="M866" s="990"/>
      <c r="N866" s="990"/>
      <c r="O866" s="990"/>
      <c r="P866" s="990"/>
      <c r="Q866" s="990"/>
      <c r="R866" s="990"/>
      <c r="S866" s="990"/>
      <c r="T866" s="990"/>
      <c r="U866" s="990"/>
      <c r="V866" s="990"/>
      <c r="W866" s="990"/>
      <c r="X866" s="990"/>
    </row>
    <row r="867" spans="1:24" s="896" customFormat="1">
      <c r="A867" s="987">
        <f t="shared" si="14"/>
        <v>793</v>
      </c>
      <c r="B867" s="988">
        <v>11920</v>
      </c>
      <c r="C867" s="899" t="s">
        <v>10193</v>
      </c>
      <c r="D867" s="988" t="s">
        <v>2669</v>
      </c>
      <c r="E867" s="989">
        <v>12.19</v>
      </c>
      <c r="F867" s="990"/>
      <c r="G867" s="990"/>
      <c r="H867" s="990"/>
      <c r="I867" s="990"/>
      <c r="J867" s="990"/>
      <c r="K867" s="990"/>
      <c r="L867" s="990"/>
      <c r="M867" s="990"/>
      <c r="N867" s="990"/>
      <c r="O867" s="990"/>
      <c r="P867" s="990"/>
      <c r="Q867" s="990"/>
      <c r="R867" s="990"/>
      <c r="S867" s="990"/>
      <c r="T867" s="990"/>
      <c r="U867" s="990"/>
      <c r="V867" s="990"/>
      <c r="W867" s="990"/>
      <c r="X867" s="990"/>
    </row>
    <row r="868" spans="1:24" s="896" customFormat="1">
      <c r="A868" s="987">
        <f t="shared" si="14"/>
        <v>794</v>
      </c>
      <c r="B868" s="988">
        <v>11924</v>
      </c>
      <c r="C868" s="899" t="s">
        <v>10194</v>
      </c>
      <c r="D868" s="988" t="s">
        <v>2669</v>
      </c>
      <c r="E868" s="989">
        <v>102.37</v>
      </c>
      <c r="F868" s="990"/>
      <c r="G868" s="990"/>
      <c r="H868" s="990"/>
      <c r="I868" s="990"/>
      <c r="J868" s="990"/>
      <c r="K868" s="990"/>
      <c r="L868" s="990"/>
      <c r="M868" s="990"/>
      <c r="N868" s="990"/>
      <c r="O868" s="990"/>
      <c r="P868" s="990"/>
      <c r="Q868" s="990"/>
      <c r="R868" s="990"/>
      <c r="S868" s="990"/>
      <c r="T868" s="990"/>
      <c r="U868" s="990"/>
      <c r="V868" s="990"/>
      <c r="W868" s="990"/>
      <c r="X868" s="990"/>
    </row>
    <row r="869" spans="1:24" s="896" customFormat="1">
      <c r="A869" s="987">
        <f t="shared" si="14"/>
        <v>795</v>
      </c>
      <c r="B869" s="988">
        <v>11921</v>
      </c>
      <c r="C869" s="899" t="s">
        <v>10195</v>
      </c>
      <c r="D869" s="988" t="s">
        <v>2669</v>
      </c>
      <c r="E869" s="989">
        <v>17.84</v>
      </c>
      <c r="F869" s="990"/>
      <c r="G869" s="990"/>
      <c r="H869" s="990"/>
      <c r="I869" s="990"/>
      <c r="J869" s="990"/>
      <c r="K869" s="990"/>
      <c r="L869" s="990"/>
      <c r="M869" s="990"/>
      <c r="N869" s="990"/>
      <c r="O869" s="990"/>
      <c r="P869" s="990"/>
      <c r="Q869" s="990"/>
      <c r="R869" s="990"/>
      <c r="S869" s="990"/>
      <c r="T869" s="990"/>
      <c r="U869" s="990"/>
      <c r="V869" s="990"/>
      <c r="W869" s="990"/>
      <c r="X869" s="990"/>
    </row>
    <row r="870" spans="1:24" s="896" customFormat="1">
      <c r="A870" s="987">
        <f t="shared" si="14"/>
        <v>796</v>
      </c>
      <c r="B870" s="988">
        <v>11922</v>
      </c>
      <c r="C870" s="899" t="s">
        <v>10196</v>
      </c>
      <c r="D870" s="988" t="s">
        <v>2669</v>
      </c>
      <c r="E870" s="989">
        <v>28.85</v>
      </c>
      <c r="F870" s="990"/>
      <c r="G870" s="990"/>
      <c r="H870" s="990"/>
      <c r="I870" s="990"/>
      <c r="J870" s="990"/>
      <c r="K870" s="990"/>
      <c r="L870" s="990"/>
      <c r="M870" s="990"/>
      <c r="N870" s="990"/>
      <c r="O870" s="990"/>
      <c r="P870" s="990"/>
      <c r="Q870" s="990"/>
      <c r="R870" s="990"/>
      <c r="S870" s="990"/>
      <c r="T870" s="990"/>
      <c r="U870" s="990"/>
      <c r="V870" s="990"/>
      <c r="W870" s="990"/>
      <c r="X870" s="990"/>
    </row>
    <row r="871" spans="1:24" s="896" customFormat="1">
      <c r="A871" s="987">
        <f t="shared" si="14"/>
        <v>797</v>
      </c>
      <c r="B871" s="988">
        <v>11923</v>
      </c>
      <c r="C871" s="899" t="s">
        <v>10197</v>
      </c>
      <c r="D871" s="988" t="s">
        <v>2669</v>
      </c>
      <c r="E871" s="989">
        <v>42.24</v>
      </c>
      <c r="F871" s="990"/>
      <c r="G871" s="990"/>
      <c r="H871" s="990"/>
      <c r="I871" s="990"/>
      <c r="J871" s="990"/>
      <c r="K871" s="990"/>
      <c r="L871" s="990"/>
      <c r="M871" s="990"/>
      <c r="N871" s="990"/>
      <c r="O871" s="990"/>
      <c r="P871" s="990"/>
      <c r="Q871" s="990"/>
      <c r="R871" s="990"/>
      <c r="S871" s="990"/>
      <c r="T871" s="990"/>
      <c r="U871" s="990"/>
      <c r="V871" s="990"/>
      <c r="W871" s="990"/>
      <c r="X871" s="990"/>
    </row>
    <row r="872" spans="1:24" s="896" customFormat="1">
      <c r="A872" s="987">
        <f t="shared" si="14"/>
        <v>798</v>
      </c>
      <c r="B872" s="988">
        <v>11916</v>
      </c>
      <c r="C872" s="899" t="s">
        <v>10198</v>
      </c>
      <c r="D872" s="988" t="s">
        <v>2669</v>
      </c>
      <c r="E872" s="989">
        <v>8.7799999999999994</v>
      </c>
      <c r="F872" s="990"/>
      <c r="G872" s="990"/>
      <c r="H872" s="990"/>
      <c r="I872" s="990"/>
      <c r="J872" s="990"/>
      <c r="K872" s="990"/>
      <c r="L872" s="990"/>
      <c r="M872" s="990"/>
      <c r="N872" s="990"/>
      <c r="O872" s="990"/>
      <c r="P872" s="990"/>
      <c r="Q872" s="990"/>
      <c r="R872" s="990"/>
      <c r="S872" s="990"/>
      <c r="T872" s="990"/>
      <c r="U872" s="990"/>
      <c r="V872" s="990"/>
      <c r="W872" s="990"/>
      <c r="X872" s="990"/>
    </row>
    <row r="873" spans="1:24" s="896" customFormat="1">
      <c r="A873" s="987">
        <f t="shared" si="14"/>
        <v>799</v>
      </c>
      <c r="B873" s="988">
        <v>11914</v>
      </c>
      <c r="C873" s="899" t="s">
        <v>10199</v>
      </c>
      <c r="D873" s="988" t="s">
        <v>2669</v>
      </c>
      <c r="E873" s="989">
        <v>63.28</v>
      </c>
      <c r="F873" s="990"/>
      <c r="G873" s="990"/>
      <c r="H873" s="990"/>
      <c r="I873" s="990"/>
      <c r="J873" s="990"/>
      <c r="K873" s="990"/>
      <c r="L873" s="990"/>
      <c r="M873" s="990"/>
      <c r="N873" s="990"/>
      <c r="O873" s="990"/>
      <c r="P873" s="990"/>
      <c r="Q873" s="990"/>
      <c r="R873" s="990"/>
      <c r="S873" s="990"/>
      <c r="T873" s="990"/>
      <c r="U873" s="990"/>
      <c r="V873" s="990"/>
      <c r="W873" s="990"/>
      <c r="X873" s="990"/>
    </row>
    <row r="874" spans="1:24" s="896" customFormat="1">
      <c r="A874" s="987">
        <f t="shared" si="14"/>
        <v>800</v>
      </c>
      <c r="B874" s="988">
        <v>11917</v>
      </c>
      <c r="C874" s="899" t="s">
        <v>10200</v>
      </c>
      <c r="D874" s="988" t="s">
        <v>2669</v>
      </c>
      <c r="E874" s="989">
        <v>15.47</v>
      </c>
      <c r="F874" s="990"/>
      <c r="G874" s="990"/>
      <c r="H874" s="990"/>
      <c r="I874" s="990"/>
      <c r="J874" s="990"/>
      <c r="K874" s="990"/>
      <c r="L874" s="990"/>
      <c r="M874" s="990"/>
      <c r="N874" s="990"/>
      <c r="O874" s="990"/>
      <c r="P874" s="990"/>
      <c r="Q874" s="990"/>
      <c r="R874" s="990"/>
      <c r="S874" s="990"/>
      <c r="T874" s="990"/>
      <c r="U874" s="990"/>
      <c r="V874" s="990"/>
      <c r="W874" s="990"/>
      <c r="X874" s="990"/>
    </row>
    <row r="875" spans="1:24" s="896" customFormat="1">
      <c r="A875" s="987">
        <f t="shared" si="14"/>
        <v>801</v>
      </c>
      <c r="B875" s="988">
        <v>11918</v>
      </c>
      <c r="C875" s="899" t="s">
        <v>10201</v>
      </c>
      <c r="D875" s="988" t="s">
        <v>2669</v>
      </c>
      <c r="E875" s="989">
        <v>18.350000000000001</v>
      </c>
      <c r="F875" s="990"/>
      <c r="G875" s="990"/>
      <c r="H875" s="990"/>
      <c r="I875" s="990"/>
      <c r="J875" s="990"/>
      <c r="K875" s="990"/>
      <c r="L875" s="990"/>
      <c r="M875" s="990"/>
      <c r="N875" s="990"/>
      <c r="O875" s="990"/>
      <c r="P875" s="990"/>
      <c r="Q875" s="990"/>
      <c r="R875" s="990"/>
      <c r="S875" s="990"/>
      <c r="T875" s="990"/>
      <c r="U875" s="990"/>
      <c r="V875" s="990"/>
      <c r="W875" s="990"/>
      <c r="X875" s="990"/>
    </row>
    <row r="876" spans="1:24" s="896" customFormat="1" ht="25.5">
      <c r="A876" s="987">
        <f t="shared" si="14"/>
        <v>802</v>
      </c>
      <c r="B876" s="988">
        <v>37734</v>
      </c>
      <c r="C876" s="899" t="s">
        <v>10202</v>
      </c>
      <c r="D876" s="988" t="s">
        <v>2666</v>
      </c>
      <c r="E876" s="989">
        <v>84946.15</v>
      </c>
      <c r="F876" s="990"/>
      <c r="G876" s="990"/>
      <c r="H876" s="990"/>
      <c r="I876" s="990"/>
      <c r="J876" s="990"/>
      <c r="K876" s="990"/>
      <c r="L876" s="990"/>
      <c r="M876" s="990"/>
      <c r="N876" s="990"/>
      <c r="O876" s="990"/>
      <c r="P876" s="990"/>
      <c r="Q876" s="990"/>
      <c r="R876" s="990"/>
      <c r="S876" s="990"/>
      <c r="T876" s="990"/>
      <c r="U876" s="990"/>
      <c r="V876" s="990"/>
      <c r="W876" s="990"/>
      <c r="X876" s="990"/>
    </row>
    <row r="877" spans="1:24" s="896" customFormat="1" ht="25.5">
      <c r="A877" s="987">
        <f t="shared" si="14"/>
        <v>803</v>
      </c>
      <c r="B877" s="988">
        <v>42251</v>
      </c>
      <c r="C877" s="899" t="s">
        <v>10203</v>
      </c>
      <c r="D877" s="988" t="s">
        <v>2666</v>
      </c>
      <c r="E877" s="989">
        <v>96461.53</v>
      </c>
      <c r="F877" s="990"/>
      <c r="G877" s="990"/>
      <c r="H877" s="990"/>
      <c r="I877" s="990"/>
      <c r="J877" s="990"/>
      <c r="K877" s="990"/>
      <c r="L877" s="990"/>
      <c r="M877" s="990"/>
      <c r="N877" s="990"/>
      <c r="O877" s="990"/>
      <c r="P877" s="990"/>
      <c r="Q877" s="990"/>
      <c r="R877" s="990"/>
      <c r="S877" s="990"/>
      <c r="T877" s="990"/>
      <c r="U877" s="990"/>
      <c r="V877" s="990"/>
      <c r="W877" s="990"/>
      <c r="X877" s="990"/>
    </row>
    <row r="878" spans="1:24" s="896" customFormat="1" ht="25.5">
      <c r="A878" s="987">
        <f t="shared" si="14"/>
        <v>804</v>
      </c>
      <c r="B878" s="988">
        <v>37733</v>
      </c>
      <c r="C878" s="899" t="s">
        <v>10204</v>
      </c>
      <c r="D878" s="988" t="s">
        <v>2666</v>
      </c>
      <c r="E878" s="989">
        <v>63692.3</v>
      </c>
      <c r="F878" s="990"/>
      <c r="G878" s="990"/>
      <c r="H878" s="990"/>
      <c r="I878" s="990"/>
      <c r="J878" s="990"/>
      <c r="K878" s="990"/>
      <c r="L878" s="990"/>
      <c r="M878" s="990"/>
      <c r="N878" s="990"/>
      <c r="O878" s="990"/>
      <c r="P878" s="990"/>
      <c r="Q878" s="990"/>
      <c r="R878" s="990"/>
      <c r="S878" s="990"/>
      <c r="T878" s="990"/>
      <c r="U878" s="990"/>
      <c r="V878" s="990"/>
      <c r="W878" s="990"/>
      <c r="X878" s="990"/>
    </row>
    <row r="879" spans="1:24" s="896" customFormat="1" ht="25.5">
      <c r="A879" s="987">
        <f t="shared" si="14"/>
        <v>805</v>
      </c>
      <c r="B879" s="988">
        <v>37735</v>
      </c>
      <c r="C879" s="899" t="s">
        <v>10205</v>
      </c>
      <c r="D879" s="988" t="s">
        <v>2666</v>
      </c>
      <c r="E879" s="989">
        <v>76749.23</v>
      </c>
      <c r="F879" s="990"/>
      <c r="G879" s="990"/>
      <c r="H879" s="990"/>
      <c r="I879" s="990"/>
      <c r="J879" s="990"/>
      <c r="K879" s="990"/>
      <c r="L879" s="990"/>
      <c r="M879" s="990"/>
      <c r="N879" s="990"/>
      <c r="O879" s="990"/>
      <c r="P879" s="990"/>
      <c r="Q879" s="990"/>
      <c r="R879" s="990"/>
      <c r="S879" s="990"/>
      <c r="T879" s="990"/>
      <c r="U879" s="990"/>
      <c r="V879" s="990"/>
      <c r="W879" s="990"/>
      <c r="X879" s="990"/>
    </row>
    <row r="880" spans="1:24" s="896" customFormat="1" ht="38.25">
      <c r="A880" s="987">
        <f t="shared" si="14"/>
        <v>806</v>
      </c>
      <c r="B880" s="988">
        <v>5090</v>
      </c>
      <c r="C880" s="899" t="s">
        <v>10206</v>
      </c>
      <c r="D880" s="988" t="s">
        <v>2666</v>
      </c>
      <c r="E880" s="989">
        <v>20</v>
      </c>
      <c r="F880" s="990"/>
      <c r="G880" s="990"/>
      <c r="H880" s="990"/>
      <c r="I880" s="990"/>
      <c r="J880" s="990"/>
      <c r="K880" s="990"/>
      <c r="L880" s="990"/>
      <c r="M880" s="990"/>
      <c r="N880" s="990"/>
      <c r="O880" s="990"/>
      <c r="P880" s="990"/>
      <c r="Q880" s="990"/>
      <c r="R880" s="990"/>
      <c r="S880" s="990"/>
      <c r="T880" s="990"/>
      <c r="U880" s="990"/>
      <c r="V880" s="990"/>
      <c r="W880" s="990"/>
      <c r="X880" s="990"/>
    </row>
    <row r="881" spans="1:24" s="896" customFormat="1" ht="38.25">
      <c r="A881" s="987">
        <f t="shared" si="14"/>
        <v>807</v>
      </c>
      <c r="B881" s="988">
        <v>5085</v>
      </c>
      <c r="C881" s="899" t="s">
        <v>10207</v>
      </c>
      <c r="D881" s="988" t="s">
        <v>2666</v>
      </c>
      <c r="E881" s="989">
        <v>29.77</v>
      </c>
      <c r="F881" s="990"/>
      <c r="G881" s="990"/>
      <c r="H881" s="990"/>
      <c r="I881" s="990"/>
      <c r="J881" s="990"/>
      <c r="K881" s="990"/>
      <c r="L881" s="990"/>
      <c r="M881" s="990"/>
      <c r="N881" s="990"/>
      <c r="O881" s="990"/>
      <c r="P881" s="990"/>
      <c r="Q881" s="990"/>
      <c r="R881" s="990"/>
      <c r="S881" s="990"/>
      <c r="T881" s="990"/>
      <c r="U881" s="990"/>
      <c r="V881" s="990"/>
      <c r="W881" s="990"/>
      <c r="X881" s="990"/>
    </row>
    <row r="882" spans="1:24" s="896" customFormat="1" ht="38.25">
      <c r="A882" s="987">
        <f t="shared" si="14"/>
        <v>808</v>
      </c>
      <c r="B882" s="988">
        <v>43603</v>
      </c>
      <c r="C882" s="899" t="s">
        <v>10208</v>
      </c>
      <c r="D882" s="988" t="s">
        <v>2666</v>
      </c>
      <c r="E882" s="989">
        <v>42.53</v>
      </c>
      <c r="F882" s="990"/>
      <c r="G882" s="990"/>
      <c r="H882" s="990"/>
      <c r="I882" s="990"/>
      <c r="J882" s="990"/>
      <c r="K882" s="990"/>
      <c r="L882" s="990"/>
      <c r="M882" s="990"/>
      <c r="N882" s="990"/>
      <c r="O882" s="990"/>
      <c r="P882" s="990"/>
      <c r="Q882" s="990"/>
      <c r="R882" s="990"/>
      <c r="S882" s="990"/>
      <c r="T882" s="990"/>
      <c r="U882" s="990"/>
      <c r="V882" s="990"/>
      <c r="W882" s="990"/>
      <c r="X882" s="990"/>
    </row>
    <row r="883" spans="1:24" s="896" customFormat="1">
      <c r="A883" s="987">
        <f t="shared" si="14"/>
        <v>809</v>
      </c>
      <c r="B883" s="988">
        <v>38374</v>
      </c>
      <c r="C883" s="899" t="s">
        <v>10209</v>
      </c>
      <c r="D883" s="988" t="s">
        <v>2666</v>
      </c>
      <c r="E883" s="989">
        <v>1443.9</v>
      </c>
      <c r="F883" s="990"/>
      <c r="G883" s="990"/>
      <c r="H883" s="990"/>
      <c r="I883" s="990"/>
      <c r="J883" s="990"/>
      <c r="K883" s="990"/>
      <c r="L883" s="990"/>
      <c r="M883" s="990"/>
      <c r="N883" s="990"/>
      <c r="O883" s="990"/>
      <c r="P883" s="990"/>
      <c r="Q883" s="990"/>
      <c r="R883" s="990"/>
      <c r="S883" s="990"/>
      <c r="T883" s="990"/>
      <c r="U883" s="990"/>
      <c r="V883" s="990"/>
      <c r="W883" s="990"/>
      <c r="X883" s="990"/>
    </row>
    <row r="884" spans="1:24" s="896" customFormat="1" ht="25.5">
      <c r="A884" s="987">
        <f t="shared" si="14"/>
        <v>810</v>
      </c>
      <c r="B884" s="988">
        <v>20209</v>
      </c>
      <c r="C884" s="899" t="s">
        <v>10210</v>
      </c>
      <c r="D884" s="988" t="s">
        <v>2669</v>
      </c>
      <c r="E884" s="989">
        <v>35.31</v>
      </c>
      <c r="F884" s="990"/>
      <c r="G884" s="990"/>
      <c r="H884" s="990"/>
      <c r="I884" s="990"/>
      <c r="J884" s="990"/>
      <c r="K884" s="990"/>
      <c r="L884" s="990"/>
      <c r="M884" s="990"/>
      <c r="N884" s="990"/>
      <c r="O884" s="990"/>
      <c r="P884" s="990"/>
      <c r="Q884" s="990"/>
      <c r="R884" s="990"/>
      <c r="S884" s="990"/>
      <c r="T884" s="990"/>
      <c r="U884" s="990"/>
      <c r="V884" s="990"/>
      <c r="W884" s="990"/>
      <c r="X884" s="990"/>
    </row>
    <row r="885" spans="1:24" s="896" customFormat="1" ht="25.5">
      <c r="A885" s="987">
        <f t="shared" si="14"/>
        <v>811</v>
      </c>
      <c r="B885" s="988">
        <v>20212</v>
      </c>
      <c r="C885" s="899" t="s">
        <v>10211</v>
      </c>
      <c r="D885" s="988" t="s">
        <v>2669</v>
      </c>
      <c r="E885" s="989">
        <v>29.56</v>
      </c>
      <c r="F885" s="990"/>
      <c r="G885" s="990"/>
      <c r="H885" s="990"/>
      <c r="I885" s="990"/>
      <c r="J885" s="990"/>
      <c r="K885" s="990"/>
      <c r="L885" s="990"/>
      <c r="M885" s="990"/>
      <c r="N885" s="990"/>
      <c r="O885" s="990"/>
      <c r="P885" s="990"/>
      <c r="Q885" s="990"/>
      <c r="R885" s="990"/>
      <c r="S885" s="990"/>
      <c r="T885" s="990"/>
      <c r="U885" s="990"/>
      <c r="V885" s="990"/>
      <c r="W885" s="990"/>
      <c r="X885" s="990"/>
    </row>
    <row r="886" spans="1:24" s="896" customFormat="1" ht="25.5">
      <c r="A886" s="987">
        <f t="shared" si="14"/>
        <v>812</v>
      </c>
      <c r="B886" s="988">
        <v>4433</v>
      </c>
      <c r="C886" s="899" t="s">
        <v>10212</v>
      </c>
      <c r="D886" s="988" t="s">
        <v>2669</v>
      </c>
      <c r="E886" s="989">
        <v>33.83</v>
      </c>
      <c r="F886" s="990"/>
      <c r="G886" s="990"/>
      <c r="H886" s="990"/>
      <c r="I886" s="990"/>
      <c r="J886" s="990"/>
      <c r="K886" s="990"/>
      <c r="L886" s="990"/>
      <c r="M886" s="990"/>
      <c r="N886" s="990"/>
      <c r="O886" s="990"/>
      <c r="P886" s="990"/>
      <c r="Q886" s="990"/>
      <c r="R886" s="990"/>
      <c r="S886" s="990"/>
      <c r="T886" s="990"/>
      <c r="U886" s="990"/>
      <c r="V886" s="990"/>
      <c r="W886" s="990"/>
      <c r="X886" s="990"/>
    </row>
    <row r="887" spans="1:24" s="896" customFormat="1" ht="25.5">
      <c r="A887" s="987">
        <f t="shared" si="14"/>
        <v>813</v>
      </c>
      <c r="B887" s="988">
        <v>4430</v>
      </c>
      <c r="C887" s="899" t="s">
        <v>10213</v>
      </c>
      <c r="D887" s="988" t="s">
        <v>2669</v>
      </c>
      <c r="E887" s="989">
        <v>17.3</v>
      </c>
      <c r="F887" s="990"/>
      <c r="G887" s="990"/>
      <c r="H887" s="990"/>
      <c r="I887" s="990"/>
      <c r="J887" s="990"/>
      <c r="K887" s="990"/>
      <c r="L887" s="990"/>
      <c r="M887" s="990"/>
      <c r="N887" s="990"/>
      <c r="O887" s="990"/>
      <c r="P887" s="990"/>
      <c r="Q887" s="990"/>
      <c r="R887" s="990"/>
      <c r="S887" s="990"/>
      <c r="T887" s="990"/>
      <c r="U887" s="990"/>
      <c r="V887" s="990"/>
      <c r="W887" s="990"/>
      <c r="X887" s="990"/>
    </row>
    <row r="888" spans="1:24" s="896" customFormat="1" ht="25.5">
      <c r="A888" s="987">
        <f t="shared" si="14"/>
        <v>814</v>
      </c>
      <c r="B888" s="988">
        <v>4400</v>
      </c>
      <c r="C888" s="899" t="s">
        <v>10214</v>
      </c>
      <c r="D888" s="988" t="s">
        <v>2669</v>
      </c>
      <c r="E888" s="989">
        <v>27.53</v>
      </c>
      <c r="F888" s="990"/>
      <c r="G888" s="990"/>
      <c r="H888" s="990"/>
      <c r="I888" s="990"/>
      <c r="J888" s="990"/>
      <c r="K888" s="990"/>
      <c r="L888" s="990"/>
      <c r="M888" s="990"/>
      <c r="N888" s="990"/>
      <c r="O888" s="990"/>
      <c r="P888" s="990"/>
      <c r="Q888" s="990"/>
      <c r="R888" s="990"/>
      <c r="S888" s="990"/>
      <c r="T888" s="990"/>
      <c r="U888" s="990"/>
      <c r="V888" s="990"/>
      <c r="W888" s="990"/>
      <c r="X888" s="990"/>
    </row>
    <row r="889" spans="1:24" s="896" customFormat="1" ht="25.5">
      <c r="A889" s="987">
        <f t="shared" si="14"/>
        <v>815</v>
      </c>
      <c r="B889" s="988">
        <v>2729</v>
      </c>
      <c r="C889" s="899" t="s">
        <v>10215</v>
      </c>
      <c r="D889" s="988" t="s">
        <v>2666</v>
      </c>
      <c r="E889" s="989">
        <v>27.13</v>
      </c>
      <c r="F889" s="990"/>
      <c r="G889" s="990"/>
      <c r="H889" s="990"/>
      <c r="I889" s="990"/>
      <c r="J889" s="990"/>
      <c r="K889" s="990"/>
      <c r="L889" s="990"/>
      <c r="M889" s="990"/>
      <c r="N889" s="990"/>
      <c r="O889" s="990"/>
      <c r="P889" s="990"/>
      <c r="Q889" s="990"/>
      <c r="R889" s="990"/>
      <c r="S889" s="990"/>
      <c r="T889" s="990"/>
      <c r="U889" s="990"/>
      <c r="V889" s="990"/>
      <c r="W889" s="990"/>
      <c r="X889" s="990"/>
    </row>
    <row r="890" spans="1:24" s="896" customFormat="1">
      <c r="A890" s="987">
        <f t="shared" si="14"/>
        <v>816</v>
      </c>
      <c r="B890" s="988">
        <v>4513</v>
      </c>
      <c r="C890" s="899" t="s">
        <v>10216</v>
      </c>
      <c r="D890" s="988" t="s">
        <v>2669</v>
      </c>
      <c r="E890" s="989">
        <v>4.9000000000000004</v>
      </c>
      <c r="F890" s="990"/>
      <c r="G890" s="990"/>
      <c r="H890" s="990"/>
      <c r="I890" s="990"/>
      <c r="J890" s="990"/>
      <c r="K890" s="990"/>
      <c r="L890" s="990"/>
      <c r="M890" s="990"/>
      <c r="N890" s="990"/>
      <c r="O890" s="990"/>
      <c r="P890" s="990"/>
      <c r="Q890" s="990"/>
      <c r="R890" s="990"/>
      <c r="S890" s="990"/>
      <c r="T890" s="990"/>
      <c r="U890" s="990"/>
      <c r="V890" s="990"/>
      <c r="W890" s="990"/>
      <c r="X890" s="990"/>
    </row>
    <row r="891" spans="1:24" s="896" customFormat="1">
      <c r="A891" s="987">
        <f t="shared" si="14"/>
        <v>817</v>
      </c>
      <c r="B891" s="988">
        <v>11871</v>
      </c>
      <c r="C891" s="899" t="s">
        <v>10217</v>
      </c>
      <c r="D891" s="988" t="s">
        <v>2666</v>
      </c>
      <c r="E891" s="989">
        <v>369.8</v>
      </c>
      <c r="F891" s="990"/>
      <c r="G891" s="990"/>
      <c r="H891" s="990"/>
      <c r="I891" s="990"/>
      <c r="J891" s="990"/>
      <c r="K891" s="990"/>
      <c r="L891" s="990"/>
      <c r="M891" s="990"/>
      <c r="N891" s="990"/>
      <c r="O891" s="990"/>
      <c r="P891" s="990"/>
      <c r="Q891" s="990"/>
      <c r="R891" s="990"/>
      <c r="S891" s="990"/>
      <c r="T891" s="990"/>
      <c r="U891" s="990"/>
      <c r="V891" s="990"/>
      <c r="W891" s="990"/>
      <c r="X891" s="990"/>
    </row>
    <row r="892" spans="1:24" s="896" customFormat="1">
      <c r="A892" s="987">
        <f t="shared" si="14"/>
        <v>818</v>
      </c>
      <c r="B892" s="988">
        <v>34636</v>
      </c>
      <c r="C892" s="899" t="s">
        <v>10218</v>
      </c>
      <c r="D892" s="988" t="s">
        <v>2666</v>
      </c>
      <c r="E892" s="989">
        <v>478.73</v>
      </c>
      <c r="F892" s="990"/>
      <c r="G892" s="990"/>
      <c r="H892" s="990"/>
      <c r="I892" s="990"/>
      <c r="J892" s="990"/>
      <c r="K892" s="990"/>
      <c r="L892" s="990"/>
      <c r="M892" s="990"/>
      <c r="N892" s="990"/>
      <c r="O892" s="990"/>
      <c r="P892" s="990"/>
      <c r="Q892" s="990"/>
      <c r="R892" s="990"/>
      <c r="S892" s="990"/>
      <c r="T892" s="990"/>
      <c r="U892" s="990"/>
      <c r="V892" s="990"/>
      <c r="W892" s="990"/>
      <c r="X892" s="990"/>
    </row>
    <row r="893" spans="1:24" s="896" customFormat="1">
      <c r="A893" s="987">
        <f t="shared" si="14"/>
        <v>819</v>
      </c>
      <c r="B893" s="988">
        <v>34639</v>
      </c>
      <c r="C893" s="899" t="s">
        <v>10219</v>
      </c>
      <c r="D893" s="988" t="s">
        <v>2666</v>
      </c>
      <c r="E893" s="989">
        <v>972.3</v>
      </c>
      <c r="F893" s="990"/>
      <c r="G893" s="990"/>
      <c r="H893" s="990"/>
      <c r="I893" s="990"/>
      <c r="J893" s="990"/>
      <c r="K893" s="990"/>
      <c r="L893" s="990"/>
      <c r="M893" s="990"/>
      <c r="N893" s="990"/>
      <c r="O893" s="990"/>
      <c r="P893" s="990"/>
      <c r="Q893" s="990"/>
      <c r="R893" s="990"/>
      <c r="S893" s="990"/>
      <c r="T893" s="990"/>
      <c r="U893" s="990"/>
      <c r="V893" s="990"/>
      <c r="W893" s="990"/>
      <c r="X893" s="990"/>
    </row>
    <row r="894" spans="1:24" s="896" customFormat="1">
      <c r="A894" s="987">
        <f t="shared" si="14"/>
        <v>820</v>
      </c>
      <c r="B894" s="988">
        <v>34640</v>
      </c>
      <c r="C894" s="899" t="s">
        <v>10220</v>
      </c>
      <c r="D894" s="988" t="s">
        <v>2666</v>
      </c>
      <c r="E894" s="989">
        <v>1092.1400000000001</v>
      </c>
      <c r="F894" s="990"/>
      <c r="G894" s="990"/>
      <c r="H894" s="990"/>
      <c r="I894" s="990"/>
      <c r="J894" s="990"/>
      <c r="K894" s="990"/>
      <c r="L894" s="990"/>
      <c r="M894" s="990"/>
      <c r="N894" s="990"/>
      <c r="O894" s="990"/>
      <c r="P894" s="990"/>
      <c r="Q894" s="990"/>
      <c r="R894" s="990"/>
      <c r="S894" s="990"/>
      <c r="T894" s="990"/>
      <c r="U894" s="990"/>
      <c r="V894" s="990"/>
      <c r="W894" s="990"/>
      <c r="X894" s="990"/>
    </row>
    <row r="895" spans="1:24" s="896" customFormat="1">
      <c r="A895" s="987">
        <f t="shared" si="14"/>
        <v>821</v>
      </c>
      <c r="B895" s="988">
        <v>34637</v>
      </c>
      <c r="C895" s="899" t="s">
        <v>10221</v>
      </c>
      <c r="D895" s="988" t="s">
        <v>2666</v>
      </c>
      <c r="E895" s="989">
        <v>274.86</v>
      </c>
      <c r="F895" s="990"/>
      <c r="G895" s="990"/>
      <c r="H895" s="990"/>
      <c r="I895" s="990"/>
      <c r="J895" s="990"/>
      <c r="K895" s="990"/>
      <c r="L895" s="990"/>
      <c r="M895" s="990"/>
      <c r="N895" s="990"/>
      <c r="O895" s="990"/>
      <c r="P895" s="990"/>
      <c r="Q895" s="990"/>
      <c r="R895" s="990"/>
      <c r="S895" s="990"/>
      <c r="T895" s="990"/>
      <c r="U895" s="990"/>
      <c r="V895" s="990"/>
      <c r="W895" s="990"/>
      <c r="X895" s="990"/>
    </row>
    <row r="896" spans="1:24" s="896" customFormat="1">
      <c r="A896" s="987">
        <f t="shared" si="14"/>
        <v>822</v>
      </c>
      <c r="B896" s="988">
        <v>34638</v>
      </c>
      <c r="C896" s="899" t="s">
        <v>10222</v>
      </c>
      <c r="D896" s="988" t="s">
        <v>2666</v>
      </c>
      <c r="E896" s="989">
        <v>471.35</v>
      </c>
      <c r="F896" s="990"/>
      <c r="G896" s="990"/>
      <c r="H896" s="990"/>
      <c r="I896" s="990"/>
      <c r="J896" s="990"/>
      <c r="K896" s="990"/>
      <c r="L896" s="990"/>
      <c r="M896" s="990"/>
      <c r="N896" s="990"/>
      <c r="O896" s="990"/>
      <c r="P896" s="990"/>
      <c r="Q896" s="990"/>
      <c r="R896" s="990"/>
      <c r="S896" s="990"/>
      <c r="T896" s="990"/>
      <c r="U896" s="990"/>
      <c r="V896" s="990"/>
      <c r="W896" s="990"/>
      <c r="X896" s="990"/>
    </row>
    <row r="897" spans="1:24" s="896" customFormat="1">
      <c r="A897" s="987">
        <f t="shared" si="14"/>
        <v>823</v>
      </c>
      <c r="B897" s="988">
        <v>11868</v>
      </c>
      <c r="C897" s="899" t="s">
        <v>10223</v>
      </c>
      <c r="D897" s="988" t="s">
        <v>2666</v>
      </c>
      <c r="E897" s="989">
        <v>508.24</v>
      </c>
      <c r="F897" s="990"/>
      <c r="G897" s="990"/>
      <c r="H897" s="990"/>
      <c r="I897" s="990"/>
      <c r="J897" s="990"/>
      <c r="K897" s="990"/>
      <c r="L897" s="990"/>
      <c r="M897" s="990"/>
      <c r="N897" s="990"/>
      <c r="O897" s="990"/>
      <c r="P897" s="990"/>
      <c r="Q897" s="990"/>
      <c r="R897" s="990"/>
      <c r="S897" s="990"/>
      <c r="T897" s="990"/>
      <c r="U897" s="990"/>
      <c r="V897" s="990"/>
      <c r="W897" s="990"/>
      <c r="X897" s="990"/>
    </row>
    <row r="898" spans="1:24" s="896" customFormat="1">
      <c r="A898" s="987">
        <f t="shared" si="14"/>
        <v>824</v>
      </c>
      <c r="B898" s="988">
        <v>37106</v>
      </c>
      <c r="C898" s="899" t="s">
        <v>10224</v>
      </c>
      <c r="D898" s="988" t="s">
        <v>2666</v>
      </c>
      <c r="E898" s="989">
        <v>4909.0200000000004</v>
      </c>
      <c r="F898" s="990"/>
      <c r="G898" s="990"/>
      <c r="H898" s="990"/>
      <c r="I898" s="990"/>
      <c r="J898" s="990"/>
      <c r="K898" s="990"/>
      <c r="L898" s="990"/>
      <c r="M898" s="990"/>
      <c r="N898" s="990"/>
      <c r="O898" s="990"/>
      <c r="P898" s="990"/>
      <c r="Q898" s="990"/>
      <c r="R898" s="990"/>
      <c r="S898" s="990"/>
      <c r="T898" s="990"/>
      <c r="U898" s="990"/>
      <c r="V898" s="990"/>
      <c r="W898" s="990"/>
      <c r="X898" s="990"/>
    </row>
    <row r="899" spans="1:24" s="896" customFormat="1">
      <c r="A899" s="987">
        <f t="shared" si="14"/>
        <v>825</v>
      </c>
      <c r="B899" s="988">
        <v>11869</v>
      </c>
      <c r="C899" s="899" t="s">
        <v>10225</v>
      </c>
      <c r="D899" s="988" t="s">
        <v>2666</v>
      </c>
      <c r="E899" s="989">
        <v>824.61</v>
      </c>
      <c r="F899" s="990"/>
      <c r="G899" s="990"/>
      <c r="H899" s="990"/>
      <c r="I899" s="990"/>
      <c r="J899" s="990"/>
      <c r="K899" s="990"/>
      <c r="L899" s="990"/>
      <c r="M899" s="990"/>
      <c r="N899" s="990"/>
      <c r="O899" s="990"/>
      <c r="P899" s="990"/>
      <c r="Q899" s="990"/>
      <c r="R899" s="990"/>
      <c r="S899" s="990"/>
      <c r="T899" s="990"/>
      <c r="U899" s="990"/>
      <c r="V899" s="990"/>
      <c r="W899" s="990"/>
      <c r="X899" s="990"/>
    </row>
    <row r="900" spans="1:24" s="896" customFormat="1">
      <c r="A900" s="987">
        <f t="shared" si="14"/>
        <v>826</v>
      </c>
      <c r="B900" s="988">
        <v>37104</v>
      </c>
      <c r="C900" s="899" t="s">
        <v>10226</v>
      </c>
      <c r="D900" s="988" t="s">
        <v>2666</v>
      </c>
      <c r="E900" s="989">
        <v>1062.97</v>
      </c>
      <c r="F900" s="990"/>
      <c r="G900" s="990"/>
      <c r="H900" s="990"/>
      <c r="I900" s="990"/>
      <c r="J900" s="990"/>
      <c r="K900" s="990"/>
      <c r="L900" s="990"/>
      <c r="M900" s="990"/>
      <c r="N900" s="990"/>
      <c r="O900" s="990"/>
      <c r="P900" s="990"/>
      <c r="Q900" s="990"/>
      <c r="R900" s="990"/>
      <c r="S900" s="990"/>
      <c r="T900" s="990"/>
      <c r="U900" s="990"/>
      <c r="V900" s="990"/>
      <c r="W900" s="990"/>
      <c r="X900" s="990"/>
    </row>
    <row r="901" spans="1:24" s="896" customFormat="1">
      <c r="A901" s="987">
        <f t="shared" si="14"/>
        <v>827</v>
      </c>
      <c r="B901" s="988">
        <v>37105</v>
      </c>
      <c r="C901" s="899" t="s">
        <v>10227</v>
      </c>
      <c r="D901" s="988" t="s">
        <v>2666</v>
      </c>
      <c r="E901" s="989">
        <v>2367.41</v>
      </c>
      <c r="F901" s="990"/>
      <c r="G901" s="990"/>
      <c r="H901" s="990"/>
      <c r="I901" s="990"/>
      <c r="J901" s="990"/>
      <c r="K901" s="990"/>
      <c r="L901" s="990"/>
      <c r="M901" s="990"/>
      <c r="N901" s="990"/>
      <c r="O901" s="990"/>
      <c r="P901" s="990"/>
      <c r="Q901" s="990"/>
      <c r="R901" s="990"/>
      <c r="S901" s="990"/>
      <c r="T901" s="990"/>
      <c r="U901" s="990"/>
      <c r="V901" s="990"/>
      <c r="W901" s="990"/>
      <c r="X901" s="990"/>
    </row>
    <row r="902" spans="1:24" s="896" customFormat="1" ht="25.5">
      <c r="A902" s="987">
        <f t="shared" si="14"/>
        <v>828</v>
      </c>
      <c r="B902" s="988">
        <v>34641</v>
      </c>
      <c r="C902" s="899" t="s">
        <v>10228</v>
      </c>
      <c r="D902" s="988" t="s">
        <v>2666</v>
      </c>
      <c r="E902" s="989">
        <v>69.010000000000005</v>
      </c>
      <c r="F902" s="990"/>
      <c r="G902" s="990"/>
      <c r="H902" s="990"/>
      <c r="I902" s="990"/>
      <c r="J902" s="990"/>
      <c r="K902" s="990"/>
      <c r="L902" s="990"/>
      <c r="M902" s="990"/>
      <c r="N902" s="990"/>
      <c r="O902" s="990"/>
      <c r="P902" s="990"/>
      <c r="Q902" s="990"/>
      <c r="R902" s="990"/>
      <c r="S902" s="990"/>
      <c r="T902" s="990"/>
      <c r="U902" s="990"/>
      <c r="V902" s="990"/>
      <c r="W902" s="990"/>
      <c r="X902" s="990"/>
    </row>
    <row r="903" spans="1:24" s="896" customFormat="1" ht="25.5">
      <c r="A903" s="987">
        <f t="shared" si="14"/>
        <v>829</v>
      </c>
      <c r="B903" s="988">
        <v>43434</v>
      </c>
      <c r="C903" s="899" t="s">
        <v>10229</v>
      </c>
      <c r="D903" s="988" t="s">
        <v>2666</v>
      </c>
      <c r="E903" s="989">
        <v>74.62</v>
      </c>
      <c r="F903" s="990"/>
      <c r="G903" s="990"/>
      <c r="H903" s="990"/>
      <c r="I903" s="990"/>
      <c r="J903" s="990"/>
      <c r="K903" s="990"/>
      <c r="L903" s="990"/>
      <c r="M903" s="990"/>
      <c r="N903" s="990"/>
      <c r="O903" s="990"/>
      <c r="P903" s="990"/>
      <c r="Q903" s="990"/>
      <c r="R903" s="990"/>
      <c r="S903" s="990"/>
      <c r="T903" s="990"/>
      <c r="U903" s="990"/>
      <c r="V903" s="990"/>
      <c r="W903" s="990"/>
      <c r="X903" s="990"/>
    </row>
    <row r="904" spans="1:24" s="896" customFormat="1" ht="25.5">
      <c r="A904" s="987">
        <f t="shared" si="14"/>
        <v>830</v>
      </c>
      <c r="B904" s="988">
        <v>43435</v>
      </c>
      <c r="C904" s="899" t="s">
        <v>10230</v>
      </c>
      <c r="D904" s="988" t="s">
        <v>2666</v>
      </c>
      <c r="E904" s="989">
        <v>136.80000000000001</v>
      </c>
      <c r="F904" s="990"/>
      <c r="G904" s="990"/>
      <c r="H904" s="990"/>
      <c r="I904" s="990"/>
      <c r="J904" s="990"/>
      <c r="K904" s="990"/>
      <c r="L904" s="990"/>
      <c r="M904" s="990"/>
      <c r="N904" s="990"/>
      <c r="O904" s="990"/>
      <c r="P904" s="990"/>
      <c r="Q904" s="990"/>
      <c r="R904" s="990"/>
      <c r="S904" s="990"/>
      <c r="T904" s="990"/>
      <c r="U904" s="990"/>
      <c r="V904" s="990"/>
      <c r="W904" s="990"/>
      <c r="X904" s="990"/>
    </row>
    <row r="905" spans="1:24" s="896" customFormat="1" ht="25.5">
      <c r="A905" s="987">
        <f t="shared" si="14"/>
        <v>831</v>
      </c>
      <c r="B905" s="988">
        <v>43436</v>
      </c>
      <c r="C905" s="899" t="s">
        <v>10231</v>
      </c>
      <c r="D905" s="988" t="s">
        <v>2666</v>
      </c>
      <c r="E905" s="989">
        <v>239.41</v>
      </c>
      <c r="F905" s="990"/>
      <c r="G905" s="990"/>
      <c r="H905" s="990"/>
      <c r="I905" s="990"/>
      <c r="J905" s="990"/>
      <c r="K905" s="990"/>
      <c r="L905" s="990"/>
      <c r="M905" s="990"/>
      <c r="N905" s="990"/>
      <c r="O905" s="990"/>
      <c r="P905" s="990"/>
      <c r="Q905" s="990"/>
      <c r="R905" s="990"/>
      <c r="S905" s="990"/>
      <c r="T905" s="990"/>
      <c r="U905" s="990"/>
      <c r="V905" s="990"/>
      <c r="W905" s="990"/>
      <c r="X905" s="990"/>
    </row>
    <row r="906" spans="1:24" s="896" customFormat="1" ht="25.5">
      <c r="A906" s="987">
        <f t="shared" si="14"/>
        <v>832</v>
      </c>
      <c r="B906" s="988">
        <v>43437</v>
      </c>
      <c r="C906" s="899" t="s">
        <v>10232</v>
      </c>
      <c r="D906" s="988" t="s">
        <v>2666</v>
      </c>
      <c r="E906" s="989">
        <v>434.05</v>
      </c>
      <c r="F906" s="990"/>
      <c r="G906" s="990"/>
      <c r="H906" s="990"/>
      <c r="I906" s="990"/>
      <c r="J906" s="990"/>
      <c r="K906" s="990"/>
      <c r="L906" s="990"/>
      <c r="M906" s="990"/>
      <c r="N906" s="990"/>
      <c r="O906" s="990"/>
      <c r="P906" s="990"/>
      <c r="Q906" s="990"/>
      <c r="R906" s="990"/>
      <c r="S906" s="990"/>
      <c r="T906" s="990"/>
      <c r="U906" s="990"/>
      <c r="V906" s="990"/>
      <c r="W906" s="990"/>
      <c r="X906" s="990"/>
    </row>
    <row r="907" spans="1:24" s="896" customFormat="1" ht="25.5">
      <c r="A907" s="987">
        <f t="shared" si="14"/>
        <v>833</v>
      </c>
      <c r="B907" s="988">
        <v>43438</v>
      </c>
      <c r="C907" s="899" t="s">
        <v>10233</v>
      </c>
      <c r="D907" s="988" t="s">
        <v>2666</v>
      </c>
      <c r="E907" s="989">
        <v>777.31</v>
      </c>
      <c r="F907" s="990"/>
      <c r="G907" s="990"/>
      <c r="H907" s="990"/>
      <c r="I907" s="990"/>
      <c r="J907" s="990"/>
      <c r="K907" s="990"/>
      <c r="L907" s="990"/>
      <c r="M907" s="990"/>
      <c r="N907" s="990"/>
      <c r="O907" s="990"/>
      <c r="P907" s="990"/>
      <c r="Q907" s="990"/>
      <c r="R907" s="990"/>
      <c r="S907" s="990"/>
      <c r="T907" s="990"/>
      <c r="U907" s="990"/>
      <c r="V907" s="990"/>
      <c r="W907" s="990"/>
      <c r="X907" s="990"/>
    </row>
    <row r="908" spans="1:24" s="896" customFormat="1" ht="25.5">
      <c r="A908" s="987">
        <f t="shared" ref="A908:A971" si="15">A907+1</f>
        <v>834</v>
      </c>
      <c r="B908" s="988">
        <v>41627</v>
      </c>
      <c r="C908" s="899" t="s">
        <v>10234</v>
      </c>
      <c r="D908" s="988" t="s">
        <v>2666</v>
      </c>
      <c r="E908" s="989">
        <v>115.04</v>
      </c>
      <c r="F908" s="990"/>
      <c r="G908" s="990"/>
      <c r="H908" s="990"/>
      <c r="I908" s="990"/>
      <c r="J908" s="990"/>
      <c r="K908" s="990"/>
      <c r="L908" s="990"/>
      <c r="M908" s="990"/>
      <c r="N908" s="990"/>
      <c r="O908" s="990"/>
      <c r="P908" s="990"/>
      <c r="Q908" s="990"/>
      <c r="R908" s="990"/>
      <c r="S908" s="990"/>
      <c r="T908" s="990"/>
      <c r="U908" s="990"/>
      <c r="V908" s="990"/>
      <c r="W908" s="990"/>
      <c r="X908" s="990"/>
    </row>
    <row r="909" spans="1:24" s="896" customFormat="1" ht="25.5">
      <c r="A909" s="987">
        <f t="shared" si="15"/>
        <v>835</v>
      </c>
      <c r="B909" s="988">
        <v>41628</v>
      </c>
      <c r="C909" s="899" t="s">
        <v>10235</v>
      </c>
      <c r="D909" s="988" t="s">
        <v>2666</v>
      </c>
      <c r="E909" s="989">
        <v>211.42</v>
      </c>
      <c r="F909" s="990"/>
      <c r="G909" s="990"/>
      <c r="H909" s="990"/>
      <c r="I909" s="990"/>
      <c r="J909" s="990"/>
      <c r="K909" s="990"/>
      <c r="L909" s="990"/>
      <c r="M909" s="990"/>
      <c r="N909" s="990"/>
      <c r="O909" s="990"/>
      <c r="P909" s="990"/>
      <c r="Q909" s="990"/>
      <c r="R909" s="990"/>
      <c r="S909" s="990"/>
      <c r="T909" s="990"/>
      <c r="U909" s="990"/>
      <c r="V909" s="990"/>
      <c r="W909" s="990"/>
      <c r="X909" s="990"/>
    </row>
    <row r="910" spans="1:24" s="896" customFormat="1" ht="25.5">
      <c r="A910" s="987">
        <f t="shared" si="15"/>
        <v>836</v>
      </c>
      <c r="B910" s="988">
        <v>41629</v>
      </c>
      <c r="C910" s="899" t="s">
        <v>10236</v>
      </c>
      <c r="D910" s="988" t="s">
        <v>2666</v>
      </c>
      <c r="E910" s="989">
        <v>268.63</v>
      </c>
      <c r="F910" s="990"/>
      <c r="G910" s="990"/>
      <c r="H910" s="990"/>
      <c r="I910" s="990"/>
      <c r="J910" s="990"/>
      <c r="K910" s="990"/>
      <c r="L910" s="990"/>
      <c r="M910" s="990"/>
      <c r="N910" s="990"/>
      <c r="O910" s="990"/>
      <c r="P910" s="990"/>
      <c r="Q910" s="990"/>
      <c r="R910" s="990"/>
      <c r="S910" s="990"/>
      <c r="T910" s="990"/>
      <c r="U910" s="990"/>
      <c r="V910" s="990"/>
      <c r="W910" s="990"/>
      <c r="X910" s="990"/>
    </row>
    <row r="911" spans="1:24" s="896" customFormat="1" ht="25.5">
      <c r="A911" s="987">
        <f t="shared" si="15"/>
        <v>837</v>
      </c>
      <c r="B911" s="988">
        <v>43429</v>
      </c>
      <c r="C911" s="899" t="s">
        <v>10237</v>
      </c>
      <c r="D911" s="988" t="s">
        <v>2666</v>
      </c>
      <c r="E911" s="989">
        <v>59.52</v>
      </c>
      <c r="F911" s="990"/>
      <c r="G911" s="990"/>
      <c r="H911" s="990"/>
      <c r="I911" s="990"/>
      <c r="J911" s="990"/>
      <c r="K911" s="990"/>
      <c r="L911" s="990"/>
      <c r="M911" s="990"/>
      <c r="N911" s="990"/>
      <c r="O911" s="990"/>
      <c r="P911" s="990"/>
      <c r="Q911" s="990"/>
      <c r="R911" s="990"/>
      <c r="S911" s="990"/>
      <c r="T911" s="990"/>
      <c r="U911" s="990"/>
      <c r="V911" s="990"/>
      <c r="W911" s="990"/>
      <c r="X911" s="990"/>
    </row>
    <row r="912" spans="1:24" s="896" customFormat="1" ht="25.5">
      <c r="A912" s="987">
        <f t="shared" si="15"/>
        <v>838</v>
      </c>
      <c r="B912" s="988">
        <v>43430</v>
      </c>
      <c r="C912" s="899" t="s">
        <v>10238</v>
      </c>
      <c r="D912" s="988" t="s">
        <v>2666</v>
      </c>
      <c r="E912" s="989">
        <v>98.87</v>
      </c>
      <c r="F912" s="990"/>
      <c r="G912" s="990"/>
      <c r="H912" s="990"/>
      <c r="I912" s="990"/>
      <c r="J912" s="990"/>
      <c r="K912" s="990"/>
      <c r="L912" s="990"/>
      <c r="M912" s="990"/>
      <c r="N912" s="990"/>
      <c r="O912" s="990"/>
      <c r="P912" s="990"/>
      <c r="Q912" s="990"/>
      <c r="R912" s="990"/>
      <c r="S912" s="990"/>
      <c r="T912" s="990"/>
      <c r="U912" s="990"/>
      <c r="V912" s="990"/>
      <c r="W912" s="990"/>
      <c r="X912" s="990"/>
    </row>
    <row r="913" spans="1:24" s="896" customFormat="1" ht="25.5">
      <c r="A913" s="987">
        <f t="shared" si="15"/>
        <v>839</v>
      </c>
      <c r="B913" s="988">
        <v>43431</v>
      </c>
      <c r="C913" s="899" t="s">
        <v>10239</v>
      </c>
      <c r="D913" s="988" t="s">
        <v>2666</v>
      </c>
      <c r="E913" s="989">
        <v>191.52</v>
      </c>
      <c r="F913" s="990"/>
      <c r="G913" s="990"/>
      <c r="H913" s="990"/>
      <c r="I913" s="990"/>
      <c r="J913" s="990"/>
      <c r="K913" s="990"/>
      <c r="L913" s="990"/>
      <c r="M913" s="990"/>
      <c r="N913" s="990"/>
      <c r="O913" s="990"/>
      <c r="P913" s="990"/>
      <c r="Q913" s="990"/>
      <c r="R913" s="990"/>
      <c r="S913" s="990"/>
      <c r="T913" s="990"/>
      <c r="U913" s="990"/>
      <c r="V913" s="990"/>
      <c r="W913" s="990"/>
      <c r="X913" s="990"/>
    </row>
    <row r="914" spans="1:24" s="896" customFormat="1" ht="25.5">
      <c r="A914" s="987">
        <f t="shared" si="15"/>
        <v>840</v>
      </c>
      <c r="B914" s="988">
        <v>43432</v>
      </c>
      <c r="C914" s="899" t="s">
        <v>10240</v>
      </c>
      <c r="D914" s="988" t="s">
        <v>2666</v>
      </c>
      <c r="E914" s="989">
        <v>397.98</v>
      </c>
      <c r="F914" s="990"/>
      <c r="G914" s="990"/>
      <c r="H914" s="990"/>
      <c r="I914" s="990"/>
      <c r="J914" s="990"/>
      <c r="K914" s="990"/>
      <c r="L914" s="990"/>
      <c r="M914" s="990"/>
      <c r="N914" s="990"/>
      <c r="O914" s="990"/>
      <c r="P914" s="990"/>
      <c r="Q914" s="990"/>
      <c r="R914" s="990"/>
      <c r="S914" s="990"/>
      <c r="T914" s="990"/>
      <c r="U914" s="990"/>
      <c r="V914" s="990"/>
      <c r="W914" s="990"/>
      <c r="X914" s="990"/>
    </row>
    <row r="915" spans="1:24" s="896" customFormat="1" ht="25.5">
      <c r="A915" s="987">
        <f t="shared" si="15"/>
        <v>841</v>
      </c>
      <c r="B915" s="988">
        <v>43433</v>
      </c>
      <c r="C915" s="899" t="s">
        <v>10241</v>
      </c>
      <c r="D915" s="988" t="s">
        <v>2666</v>
      </c>
      <c r="E915" s="989">
        <v>627.44000000000005</v>
      </c>
      <c r="F915" s="990"/>
      <c r="G915" s="990"/>
      <c r="H915" s="990"/>
      <c r="I915" s="990"/>
      <c r="J915" s="990"/>
      <c r="K915" s="990"/>
      <c r="L915" s="990"/>
      <c r="M915" s="990"/>
      <c r="N915" s="990"/>
      <c r="O915" s="990"/>
      <c r="P915" s="990"/>
      <c r="Q915" s="990"/>
      <c r="R915" s="990"/>
      <c r="S915" s="990"/>
      <c r="T915" s="990"/>
      <c r="U915" s="990"/>
      <c r="V915" s="990"/>
      <c r="W915" s="990"/>
      <c r="X915" s="990"/>
    </row>
    <row r="916" spans="1:24" s="896" customFormat="1" ht="25.5">
      <c r="A916" s="987">
        <f t="shared" si="15"/>
        <v>842</v>
      </c>
      <c r="B916" s="988">
        <v>43094</v>
      </c>
      <c r="C916" s="899" t="s">
        <v>10242</v>
      </c>
      <c r="D916" s="988" t="s">
        <v>2666</v>
      </c>
      <c r="E916" s="989">
        <v>307.91000000000003</v>
      </c>
      <c r="F916" s="990"/>
      <c r="G916" s="990"/>
      <c r="H916" s="990"/>
      <c r="I916" s="990"/>
      <c r="J916" s="990"/>
      <c r="K916" s="990"/>
      <c r="L916" s="990"/>
      <c r="M916" s="990"/>
      <c r="N916" s="990"/>
      <c r="O916" s="990"/>
      <c r="P916" s="990"/>
      <c r="Q916" s="990"/>
      <c r="R916" s="990"/>
      <c r="S916" s="990"/>
      <c r="T916" s="990"/>
      <c r="U916" s="990"/>
      <c r="V916" s="990"/>
      <c r="W916" s="990"/>
      <c r="X916" s="990"/>
    </row>
    <row r="917" spans="1:24" s="896" customFormat="1" ht="25.5">
      <c r="A917" s="987">
        <f t="shared" si="15"/>
        <v>843</v>
      </c>
      <c r="B917" s="988">
        <v>43093</v>
      </c>
      <c r="C917" s="899" t="s">
        <v>10243</v>
      </c>
      <c r="D917" s="988" t="s">
        <v>2666</v>
      </c>
      <c r="E917" s="989">
        <v>327.20999999999998</v>
      </c>
      <c r="F917" s="990"/>
      <c r="G917" s="990"/>
      <c r="H917" s="990"/>
      <c r="I917" s="990"/>
      <c r="J917" s="990"/>
      <c r="K917" s="990"/>
      <c r="L917" s="990"/>
      <c r="M917" s="990"/>
      <c r="N917" s="990"/>
      <c r="O917" s="990"/>
      <c r="P917" s="990"/>
      <c r="Q917" s="990"/>
      <c r="R917" s="990"/>
      <c r="S917" s="990"/>
      <c r="T917" s="990"/>
      <c r="U917" s="990"/>
      <c r="V917" s="990"/>
      <c r="W917" s="990"/>
      <c r="X917" s="990"/>
    </row>
    <row r="918" spans="1:24" s="896" customFormat="1" ht="25.5">
      <c r="A918" s="987">
        <f t="shared" si="15"/>
        <v>844</v>
      </c>
      <c r="B918" s="988">
        <v>1030</v>
      </c>
      <c r="C918" s="899" t="s">
        <v>10244</v>
      </c>
      <c r="D918" s="988" t="s">
        <v>2666</v>
      </c>
      <c r="E918" s="989">
        <v>48</v>
      </c>
      <c r="F918" s="990"/>
      <c r="G918" s="990"/>
      <c r="H918" s="990"/>
      <c r="I918" s="990"/>
      <c r="J918" s="990"/>
      <c r="K918" s="990"/>
      <c r="L918" s="990"/>
      <c r="M918" s="990"/>
      <c r="N918" s="990"/>
      <c r="O918" s="990"/>
      <c r="P918" s="990"/>
      <c r="Q918" s="990"/>
      <c r="R918" s="990"/>
      <c r="S918" s="990"/>
      <c r="T918" s="990"/>
      <c r="U918" s="990"/>
      <c r="V918" s="990"/>
      <c r="W918" s="990"/>
      <c r="X918" s="990"/>
    </row>
    <row r="919" spans="1:24" s="896" customFormat="1" ht="25.5">
      <c r="A919" s="987">
        <f t="shared" si="15"/>
        <v>845</v>
      </c>
      <c r="B919" s="988">
        <v>11694</v>
      </c>
      <c r="C919" s="899" t="s">
        <v>10245</v>
      </c>
      <c r="D919" s="988" t="s">
        <v>2666</v>
      </c>
      <c r="E919" s="989">
        <v>1061.05</v>
      </c>
      <c r="F919" s="990"/>
      <c r="G919" s="990"/>
      <c r="H919" s="990"/>
      <c r="I919" s="990"/>
      <c r="J919" s="990"/>
      <c r="K919" s="990"/>
      <c r="L919" s="990"/>
      <c r="M919" s="990"/>
      <c r="N919" s="990"/>
      <c r="O919" s="990"/>
      <c r="P919" s="990"/>
      <c r="Q919" s="990"/>
      <c r="R919" s="990"/>
      <c r="S919" s="990"/>
      <c r="T919" s="990"/>
      <c r="U919" s="990"/>
      <c r="V919" s="990"/>
      <c r="W919" s="990"/>
      <c r="X919" s="990"/>
    </row>
    <row r="920" spans="1:24" s="896" customFormat="1" ht="25.5">
      <c r="A920" s="987">
        <f t="shared" si="15"/>
        <v>846</v>
      </c>
      <c r="B920" s="988">
        <v>11881</v>
      </c>
      <c r="C920" s="899" t="s">
        <v>10246</v>
      </c>
      <c r="D920" s="988" t="s">
        <v>2666</v>
      </c>
      <c r="E920" s="989">
        <v>105.71</v>
      </c>
      <c r="F920" s="990"/>
      <c r="G920" s="990"/>
      <c r="H920" s="990"/>
      <c r="I920" s="990"/>
      <c r="J920" s="990"/>
      <c r="K920" s="990"/>
      <c r="L920" s="990"/>
      <c r="M920" s="990"/>
      <c r="N920" s="990"/>
      <c r="O920" s="990"/>
      <c r="P920" s="990"/>
      <c r="Q920" s="990"/>
      <c r="R920" s="990"/>
      <c r="S920" s="990"/>
      <c r="T920" s="990"/>
      <c r="U920" s="990"/>
      <c r="V920" s="990"/>
      <c r="W920" s="990"/>
      <c r="X920" s="990"/>
    </row>
    <row r="921" spans="1:24" s="896" customFormat="1" ht="25.5">
      <c r="A921" s="987">
        <f t="shared" si="15"/>
        <v>847</v>
      </c>
      <c r="B921" s="988">
        <v>35277</v>
      </c>
      <c r="C921" s="899" t="s">
        <v>10247</v>
      </c>
      <c r="D921" s="988" t="s">
        <v>2666</v>
      </c>
      <c r="E921" s="989">
        <v>336.84</v>
      </c>
      <c r="F921" s="990"/>
      <c r="G921" s="990"/>
      <c r="H921" s="990"/>
      <c r="I921" s="990"/>
      <c r="J921" s="990"/>
      <c r="K921" s="990"/>
      <c r="L921" s="990"/>
      <c r="M921" s="990"/>
      <c r="N921" s="990"/>
      <c r="O921" s="990"/>
      <c r="P921" s="990"/>
      <c r="Q921" s="990"/>
      <c r="R921" s="990"/>
      <c r="S921" s="990"/>
      <c r="T921" s="990"/>
      <c r="U921" s="990"/>
      <c r="V921" s="990"/>
      <c r="W921" s="990"/>
      <c r="X921" s="990"/>
    </row>
    <row r="922" spans="1:24" s="896" customFormat="1" ht="38.25">
      <c r="A922" s="987">
        <f t="shared" si="15"/>
        <v>848</v>
      </c>
      <c r="B922" s="988">
        <v>10521</v>
      </c>
      <c r="C922" s="899" t="s">
        <v>10248</v>
      </c>
      <c r="D922" s="988" t="s">
        <v>2666</v>
      </c>
      <c r="E922" s="989">
        <v>357.95</v>
      </c>
      <c r="F922" s="990"/>
      <c r="G922" s="990"/>
      <c r="H922" s="990"/>
      <c r="I922" s="990"/>
      <c r="J922" s="990"/>
      <c r="K922" s="990"/>
      <c r="L922" s="990"/>
      <c r="M922" s="990"/>
      <c r="N922" s="990"/>
      <c r="O922" s="990"/>
      <c r="P922" s="990"/>
      <c r="Q922" s="990"/>
      <c r="R922" s="990"/>
      <c r="S922" s="990"/>
      <c r="T922" s="990"/>
      <c r="U922" s="990"/>
      <c r="V922" s="990"/>
      <c r="W922" s="990"/>
      <c r="X922" s="990"/>
    </row>
    <row r="923" spans="1:24" s="896" customFormat="1" ht="38.25">
      <c r="A923" s="987">
        <f t="shared" si="15"/>
        <v>849</v>
      </c>
      <c r="B923" s="988">
        <v>10885</v>
      </c>
      <c r="C923" s="899" t="s">
        <v>10249</v>
      </c>
      <c r="D923" s="988" t="s">
        <v>2666</v>
      </c>
      <c r="E923" s="989">
        <v>452.76</v>
      </c>
      <c r="F923" s="990"/>
      <c r="G923" s="990"/>
      <c r="H923" s="990"/>
      <c r="I923" s="990"/>
      <c r="J923" s="990"/>
      <c r="K923" s="990"/>
      <c r="L923" s="990"/>
      <c r="M923" s="990"/>
      <c r="N923" s="990"/>
      <c r="O923" s="990"/>
      <c r="P923" s="990"/>
      <c r="Q923" s="990"/>
      <c r="R923" s="990"/>
      <c r="S923" s="990"/>
      <c r="T923" s="990"/>
      <c r="U923" s="990"/>
      <c r="V923" s="990"/>
      <c r="W923" s="990"/>
      <c r="X923" s="990"/>
    </row>
    <row r="924" spans="1:24" s="896" customFormat="1" ht="38.25">
      <c r="A924" s="987">
        <f t="shared" si="15"/>
        <v>850</v>
      </c>
      <c r="B924" s="988">
        <v>20962</v>
      </c>
      <c r="C924" s="899" t="s">
        <v>10250</v>
      </c>
      <c r="D924" s="988" t="s">
        <v>2666</v>
      </c>
      <c r="E924" s="989">
        <v>375</v>
      </c>
      <c r="F924" s="990"/>
      <c r="G924" s="990"/>
      <c r="H924" s="990"/>
      <c r="I924" s="990"/>
      <c r="J924" s="990"/>
      <c r="K924" s="990"/>
      <c r="L924" s="990"/>
      <c r="M924" s="990"/>
      <c r="N924" s="990"/>
      <c r="O924" s="990"/>
      <c r="P924" s="990"/>
      <c r="Q924" s="990"/>
      <c r="R924" s="990"/>
      <c r="S924" s="990"/>
      <c r="T924" s="990"/>
      <c r="U924" s="990"/>
      <c r="V924" s="990"/>
      <c r="W924" s="990"/>
      <c r="X924" s="990"/>
    </row>
    <row r="925" spans="1:24" s="896" customFormat="1" ht="38.25">
      <c r="A925" s="987">
        <f t="shared" si="15"/>
        <v>851</v>
      </c>
      <c r="B925" s="988">
        <v>20963</v>
      </c>
      <c r="C925" s="899" t="s">
        <v>10251</v>
      </c>
      <c r="D925" s="988" t="s">
        <v>2666</v>
      </c>
      <c r="E925" s="989">
        <v>458.09</v>
      </c>
      <c r="F925" s="990"/>
      <c r="G925" s="990"/>
      <c r="H925" s="990"/>
      <c r="I925" s="990"/>
      <c r="J925" s="990"/>
      <c r="K925" s="990"/>
      <c r="L925" s="990"/>
      <c r="M925" s="990"/>
      <c r="N925" s="990"/>
      <c r="O925" s="990"/>
      <c r="P925" s="990"/>
      <c r="Q925" s="990"/>
      <c r="R925" s="990"/>
      <c r="S925" s="990"/>
      <c r="T925" s="990"/>
      <c r="U925" s="990"/>
      <c r="V925" s="990"/>
      <c r="W925" s="990"/>
      <c r="X925" s="990"/>
    </row>
    <row r="926" spans="1:24" s="896" customFormat="1" ht="25.5">
      <c r="A926" s="987">
        <f t="shared" si="15"/>
        <v>852</v>
      </c>
      <c r="B926" s="988">
        <v>34643</v>
      </c>
      <c r="C926" s="899" t="s">
        <v>10252</v>
      </c>
      <c r="D926" s="988" t="s">
        <v>2666</v>
      </c>
      <c r="E926" s="989">
        <v>38.79</v>
      </c>
      <c r="F926" s="990"/>
      <c r="G926" s="990"/>
      <c r="H926" s="990"/>
      <c r="I926" s="990"/>
      <c r="J926" s="990"/>
      <c r="K926" s="990"/>
      <c r="L926" s="990"/>
      <c r="M926" s="990"/>
      <c r="N926" s="990"/>
      <c r="O926" s="990"/>
      <c r="P926" s="990"/>
      <c r="Q926" s="990"/>
      <c r="R926" s="990"/>
      <c r="S926" s="990"/>
      <c r="T926" s="990"/>
      <c r="U926" s="990"/>
      <c r="V926" s="990"/>
      <c r="W926" s="990"/>
      <c r="X926" s="990"/>
    </row>
    <row r="927" spans="1:24" s="896" customFormat="1">
      <c r="A927" s="987">
        <f t="shared" si="15"/>
        <v>853</v>
      </c>
      <c r="B927" s="988">
        <v>41480</v>
      </c>
      <c r="C927" s="899" t="s">
        <v>10253</v>
      </c>
      <c r="D927" s="988" t="s">
        <v>2666</v>
      </c>
      <c r="E927" s="989">
        <v>44.98</v>
      </c>
      <c r="F927" s="990"/>
      <c r="G927" s="990"/>
      <c r="H927" s="990"/>
      <c r="I927" s="990"/>
      <c r="J927" s="990"/>
      <c r="K927" s="990"/>
      <c r="L927" s="990"/>
      <c r="M927" s="990"/>
      <c r="N927" s="990"/>
      <c r="O927" s="990"/>
      <c r="P927" s="990"/>
      <c r="Q927" s="990"/>
      <c r="R927" s="990"/>
      <c r="S927" s="990"/>
      <c r="T927" s="990"/>
      <c r="U927" s="990"/>
      <c r="V927" s="990"/>
      <c r="W927" s="990"/>
      <c r="X927" s="990"/>
    </row>
    <row r="928" spans="1:24" s="896" customFormat="1">
      <c r="A928" s="987">
        <f t="shared" si="15"/>
        <v>854</v>
      </c>
      <c r="B928" s="988">
        <v>41474</v>
      </c>
      <c r="C928" s="899" t="s">
        <v>10254</v>
      </c>
      <c r="D928" s="988" t="s">
        <v>2666</v>
      </c>
      <c r="E928" s="989">
        <v>71.849999999999994</v>
      </c>
      <c r="F928" s="990"/>
      <c r="G928" s="990"/>
      <c r="H928" s="990"/>
      <c r="I928" s="990"/>
      <c r="J928" s="990"/>
      <c r="K928" s="990"/>
      <c r="L928" s="990"/>
      <c r="M928" s="990"/>
      <c r="N928" s="990"/>
      <c r="O928" s="990"/>
      <c r="P928" s="990"/>
      <c r="Q928" s="990"/>
      <c r="R928" s="990"/>
      <c r="S928" s="990"/>
      <c r="T928" s="990"/>
      <c r="U928" s="990"/>
      <c r="V928" s="990"/>
      <c r="W928" s="990"/>
      <c r="X928" s="990"/>
    </row>
    <row r="929" spans="1:24" s="896" customFormat="1">
      <c r="A929" s="987">
        <f t="shared" si="15"/>
        <v>855</v>
      </c>
      <c r="B929" s="988">
        <v>41475</v>
      </c>
      <c r="C929" s="899" t="s">
        <v>10255</v>
      </c>
      <c r="D929" s="988" t="s">
        <v>2666</v>
      </c>
      <c r="E929" s="989">
        <v>61.3</v>
      </c>
      <c r="F929" s="990"/>
      <c r="G929" s="990"/>
      <c r="H929" s="990"/>
      <c r="I929" s="990"/>
      <c r="J929" s="990"/>
      <c r="K929" s="990"/>
      <c r="L929" s="990"/>
      <c r="M929" s="990"/>
      <c r="N929" s="990"/>
      <c r="O929" s="990"/>
      <c r="P929" s="990"/>
      <c r="Q929" s="990"/>
      <c r="R929" s="990"/>
      <c r="S929" s="990"/>
      <c r="T929" s="990"/>
      <c r="U929" s="990"/>
      <c r="V929" s="990"/>
      <c r="W929" s="990"/>
      <c r="X929" s="990"/>
    </row>
    <row r="930" spans="1:24" s="896" customFormat="1">
      <c r="A930" s="987">
        <f t="shared" si="15"/>
        <v>856</v>
      </c>
      <c r="B930" s="988">
        <v>41476</v>
      </c>
      <c r="C930" s="899" t="s">
        <v>10256</v>
      </c>
      <c r="D930" s="988" t="s">
        <v>2666</v>
      </c>
      <c r="E930" s="989">
        <v>134.24</v>
      </c>
      <c r="F930" s="990"/>
      <c r="G930" s="990"/>
      <c r="H930" s="990"/>
      <c r="I930" s="990"/>
      <c r="J930" s="990"/>
      <c r="K930" s="990"/>
      <c r="L930" s="990"/>
      <c r="M930" s="990"/>
      <c r="N930" s="990"/>
      <c r="O930" s="990"/>
      <c r="P930" s="990"/>
      <c r="Q930" s="990"/>
      <c r="R930" s="990"/>
      <c r="S930" s="990"/>
      <c r="T930" s="990"/>
      <c r="U930" s="990"/>
      <c r="V930" s="990"/>
      <c r="W930" s="990"/>
      <c r="X930" s="990"/>
    </row>
    <row r="931" spans="1:24" s="896" customFormat="1">
      <c r="A931" s="987">
        <f t="shared" si="15"/>
        <v>857</v>
      </c>
      <c r="B931" s="988">
        <v>2555</v>
      </c>
      <c r="C931" s="899" t="s">
        <v>10257</v>
      </c>
      <c r="D931" s="988" t="s">
        <v>2666</v>
      </c>
      <c r="E931" s="989">
        <v>1.95</v>
      </c>
      <c r="F931" s="990"/>
      <c r="G931" s="990"/>
      <c r="H931" s="990"/>
      <c r="I931" s="990"/>
      <c r="J931" s="990"/>
      <c r="K931" s="990"/>
      <c r="L931" s="990"/>
      <c r="M931" s="990"/>
      <c r="N931" s="990"/>
      <c r="O931" s="990"/>
      <c r="P931" s="990"/>
      <c r="Q931" s="990"/>
      <c r="R931" s="990"/>
      <c r="S931" s="990"/>
      <c r="T931" s="990"/>
      <c r="U931" s="990"/>
      <c r="V931" s="990"/>
      <c r="W931" s="990"/>
      <c r="X931" s="990"/>
    </row>
    <row r="932" spans="1:24" s="896" customFormat="1">
      <c r="A932" s="987">
        <f t="shared" si="15"/>
        <v>858</v>
      </c>
      <c r="B932" s="988">
        <v>2556</v>
      </c>
      <c r="C932" s="899" t="s">
        <v>10258</v>
      </c>
      <c r="D932" s="988" t="s">
        <v>2666</v>
      </c>
      <c r="E932" s="989">
        <v>2.02</v>
      </c>
      <c r="F932" s="990"/>
      <c r="G932" s="990"/>
      <c r="H932" s="990"/>
      <c r="I932" s="990"/>
      <c r="J932" s="990"/>
      <c r="K932" s="990"/>
      <c r="L932" s="990"/>
      <c r="M932" s="990"/>
      <c r="N932" s="990"/>
      <c r="O932" s="990"/>
      <c r="P932" s="990"/>
      <c r="Q932" s="990"/>
      <c r="R932" s="990"/>
      <c r="S932" s="990"/>
      <c r="T932" s="990"/>
      <c r="U932" s="990"/>
      <c r="V932" s="990"/>
      <c r="W932" s="990"/>
      <c r="X932" s="990"/>
    </row>
    <row r="933" spans="1:24" s="896" customFormat="1">
      <c r="A933" s="987">
        <f t="shared" si="15"/>
        <v>859</v>
      </c>
      <c r="B933" s="988">
        <v>2557</v>
      </c>
      <c r="C933" s="899" t="s">
        <v>10259</v>
      </c>
      <c r="D933" s="988" t="s">
        <v>2666</v>
      </c>
      <c r="E933" s="989">
        <v>4.2699999999999996</v>
      </c>
      <c r="F933" s="990"/>
      <c r="G933" s="990"/>
      <c r="H933" s="990"/>
      <c r="I933" s="990"/>
      <c r="J933" s="990"/>
      <c r="K933" s="990"/>
      <c r="L933" s="990"/>
      <c r="M933" s="990"/>
      <c r="N933" s="990"/>
      <c r="O933" s="990"/>
      <c r="P933" s="990"/>
      <c r="Q933" s="990"/>
      <c r="R933" s="990"/>
      <c r="S933" s="990"/>
      <c r="T933" s="990"/>
      <c r="U933" s="990"/>
      <c r="V933" s="990"/>
      <c r="W933" s="990"/>
      <c r="X933" s="990"/>
    </row>
    <row r="934" spans="1:24" s="896" customFormat="1" ht="25.5">
      <c r="A934" s="987">
        <f t="shared" si="15"/>
        <v>860</v>
      </c>
      <c r="B934" s="988">
        <v>10569</v>
      </c>
      <c r="C934" s="899" t="s">
        <v>10260</v>
      </c>
      <c r="D934" s="988" t="s">
        <v>2666</v>
      </c>
      <c r="E934" s="989">
        <v>4.2699999999999996</v>
      </c>
      <c r="F934" s="990"/>
      <c r="G934" s="990"/>
      <c r="H934" s="990"/>
      <c r="I934" s="990"/>
      <c r="J934" s="990"/>
      <c r="K934" s="990"/>
      <c r="L934" s="990"/>
      <c r="M934" s="990"/>
      <c r="N934" s="990"/>
      <c r="O934" s="990"/>
      <c r="P934" s="990"/>
      <c r="Q934" s="990"/>
      <c r="R934" s="990"/>
      <c r="S934" s="990"/>
      <c r="T934" s="990"/>
      <c r="U934" s="990"/>
      <c r="V934" s="990"/>
      <c r="W934" s="990"/>
      <c r="X934" s="990"/>
    </row>
    <row r="935" spans="1:24" s="896" customFormat="1" ht="25.5">
      <c r="A935" s="987">
        <f t="shared" si="15"/>
        <v>861</v>
      </c>
      <c r="B935" s="988">
        <v>39810</v>
      </c>
      <c r="C935" s="899" t="s">
        <v>10261</v>
      </c>
      <c r="D935" s="988" t="s">
        <v>2666</v>
      </c>
      <c r="E935" s="989">
        <v>41.55</v>
      </c>
      <c r="F935" s="990"/>
      <c r="G935" s="990"/>
      <c r="H935" s="990"/>
      <c r="I935" s="990"/>
      <c r="J935" s="990"/>
      <c r="K935" s="990"/>
      <c r="L935" s="990"/>
      <c r="M935" s="990"/>
      <c r="N935" s="990"/>
      <c r="O935" s="990"/>
      <c r="P935" s="990"/>
      <c r="Q935" s="990"/>
      <c r="R935" s="990"/>
      <c r="S935" s="990"/>
      <c r="T935" s="990"/>
      <c r="U935" s="990"/>
      <c r="V935" s="990"/>
      <c r="W935" s="990"/>
      <c r="X935" s="990"/>
    </row>
    <row r="936" spans="1:24" s="896" customFormat="1" ht="25.5">
      <c r="A936" s="987">
        <f t="shared" si="15"/>
        <v>862</v>
      </c>
      <c r="B936" s="988">
        <v>39811</v>
      </c>
      <c r="C936" s="899" t="s">
        <v>10262</v>
      </c>
      <c r="D936" s="988" t="s">
        <v>2666</v>
      </c>
      <c r="E936" s="989">
        <v>50.82</v>
      </c>
      <c r="F936" s="990"/>
      <c r="G936" s="990"/>
      <c r="H936" s="990"/>
      <c r="I936" s="990"/>
      <c r="J936" s="990"/>
      <c r="K936" s="990"/>
      <c r="L936" s="990"/>
      <c r="M936" s="990"/>
      <c r="N936" s="990"/>
      <c r="O936" s="990"/>
      <c r="P936" s="990"/>
      <c r="Q936" s="990"/>
      <c r="R936" s="990"/>
      <c r="S936" s="990"/>
      <c r="T936" s="990"/>
      <c r="U936" s="990"/>
      <c r="V936" s="990"/>
      <c r="W936" s="990"/>
      <c r="X936" s="990"/>
    </row>
    <row r="937" spans="1:24" s="896" customFormat="1" ht="25.5">
      <c r="A937" s="987">
        <f t="shared" si="15"/>
        <v>863</v>
      </c>
      <c r="B937" s="988">
        <v>39812</v>
      </c>
      <c r="C937" s="899" t="s">
        <v>10263</v>
      </c>
      <c r="D937" s="988" t="s">
        <v>2666</v>
      </c>
      <c r="E937" s="989">
        <v>83.57</v>
      </c>
      <c r="F937" s="990"/>
      <c r="G937" s="990"/>
      <c r="H937" s="990"/>
      <c r="I937" s="990"/>
      <c r="J937" s="990"/>
      <c r="K937" s="990"/>
      <c r="L937" s="990"/>
      <c r="M937" s="990"/>
      <c r="N937" s="990"/>
      <c r="O937" s="990"/>
      <c r="P937" s="990"/>
      <c r="Q937" s="990"/>
      <c r="R937" s="990"/>
      <c r="S937" s="990"/>
      <c r="T937" s="990"/>
      <c r="U937" s="990"/>
      <c r="V937" s="990"/>
      <c r="W937" s="990"/>
      <c r="X937" s="990"/>
    </row>
    <row r="938" spans="1:24" s="896" customFormat="1" ht="25.5">
      <c r="A938" s="987">
        <f t="shared" si="15"/>
        <v>864</v>
      </c>
      <c r="B938" s="988">
        <v>43096</v>
      </c>
      <c r="C938" s="899" t="s">
        <v>10264</v>
      </c>
      <c r="D938" s="988" t="s">
        <v>2666</v>
      </c>
      <c r="E938" s="989">
        <v>277.02</v>
      </c>
      <c r="F938" s="990"/>
      <c r="G938" s="990"/>
      <c r="H938" s="990"/>
      <c r="I938" s="990"/>
      <c r="J938" s="990"/>
      <c r="K938" s="990"/>
      <c r="L938" s="990"/>
      <c r="M938" s="990"/>
      <c r="N938" s="990"/>
      <c r="O938" s="990"/>
      <c r="P938" s="990"/>
      <c r="Q938" s="990"/>
      <c r="R938" s="990"/>
      <c r="S938" s="990"/>
      <c r="T938" s="990"/>
      <c r="U938" s="990"/>
      <c r="V938" s="990"/>
      <c r="W938" s="990"/>
      <c r="X938" s="990"/>
    </row>
    <row r="939" spans="1:24" s="896" customFormat="1" ht="25.5">
      <c r="A939" s="987">
        <f t="shared" si="15"/>
        <v>865</v>
      </c>
      <c r="B939" s="988">
        <v>43102</v>
      </c>
      <c r="C939" s="899" t="s">
        <v>10265</v>
      </c>
      <c r="D939" s="988" t="s">
        <v>2666</v>
      </c>
      <c r="E939" s="989">
        <v>168.44</v>
      </c>
      <c r="F939" s="990"/>
      <c r="G939" s="990"/>
      <c r="H939" s="990"/>
      <c r="I939" s="990"/>
      <c r="J939" s="990"/>
      <c r="K939" s="990"/>
      <c r="L939" s="990"/>
      <c r="M939" s="990"/>
      <c r="N939" s="990"/>
      <c r="O939" s="990"/>
      <c r="P939" s="990"/>
      <c r="Q939" s="990"/>
      <c r="R939" s="990"/>
      <c r="S939" s="990"/>
      <c r="T939" s="990"/>
      <c r="U939" s="990"/>
      <c r="V939" s="990"/>
      <c r="W939" s="990"/>
      <c r="X939" s="990"/>
    </row>
    <row r="940" spans="1:24" s="896" customFormat="1" ht="25.5">
      <c r="A940" s="987">
        <f t="shared" si="15"/>
        <v>866</v>
      </c>
      <c r="B940" s="988">
        <v>43103</v>
      </c>
      <c r="C940" s="899" t="s">
        <v>10266</v>
      </c>
      <c r="D940" s="988" t="s">
        <v>2666</v>
      </c>
      <c r="E940" s="989">
        <v>248.03</v>
      </c>
      <c r="F940" s="990"/>
      <c r="G940" s="990"/>
      <c r="H940" s="990"/>
      <c r="I940" s="990"/>
      <c r="J940" s="990"/>
      <c r="K940" s="990"/>
      <c r="L940" s="990"/>
      <c r="M940" s="990"/>
      <c r="N940" s="990"/>
      <c r="O940" s="990"/>
      <c r="P940" s="990"/>
      <c r="Q940" s="990"/>
      <c r="R940" s="990"/>
      <c r="S940" s="990"/>
      <c r="T940" s="990"/>
      <c r="U940" s="990"/>
      <c r="V940" s="990"/>
      <c r="W940" s="990"/>
      <c r="X940" s="990"/>
    </row>
    <row r="941" spans="1:24" s="896" customFormat="1" ht="25.5">
      <c r="A941" s="987">
        <f t="shared" si="15"/>
        <v>867</v>
      </c>
      <c r="B941" s="988">
        <v>43098</v>
      </c>
      <c r="C941" s="899" t="s">
        <v>10267</v>
      </c>
      <c r="D941" s="988" t="s">
        <v>2666</v>
      </c>
      <c r="E941" s="989">
        <v>93.83</v>
      </c>
      <c r="F941" s="990"/>
      <c r="G941" s="990"/>
      <c r="H941" s="990"/>
      <c r="I941" s="990"/>
      <c r="J941" s="990"/>
      <c r="K941" s="990"/>
      <c r="L941" s="990"/>
      <c r="M941" s="990"/>
      <c r="N941" s="990"/>
      <c r="O941" s="990"/>
      <c r="P941" s="990"/>
      <c r="Q941" s="990"/>
      <c r="R941" s="990"/>
      <c r="S941" s="990"/>
      <c r="T941" s="990"/>
      <c r="U941" s="990"/>
      <c r="V941" s="990"/>
      <c r="W941" s="990"/>
      <c r="X941" s="990"/>
    </row>
    <row r="942" spans="1:24" s="896" customFormat="1" ht="25.5">
      <c r="A942" s="987">
        <f t="shared" si="15"/>
        <v>868</v>
      </c>
      <c r="B942" s="988">
        <v>43097</v>
      </c>
      <c r="C942" s="899" t="s">
        <v>10268</v>
      </c>
      <c r="D942" s="988" t="s">
        <v>2666</v>
      </c>
      <c r="E942" s="989">
        <v>55.59</v>
      </c>
      <c r="F942" s="990"/>
      <c r="G942" s="990"/>
      <c r="H942" s="990"/>
      <c r="I942" s="990"/>
      <c r="J942" s="990"/>
      <c r="K942" s="990"/>
      <c r="L942" s="990"/>
      <c r="M942" s="990"/>
      <c r="N942" s="990"/>
      <c r="O942" s="990"/>
      <c r="P942" s="990"/>
      <c r="Q942" s="990"/>
      <c r="R942" s="990"/>
      <c r="S942" s="990"/>
      <c r="T942" s="990"/>
      <c r="U942" s="990"/>
      <c r="V942" s="990"/>
      <c r="W942" s="990"/>
      <c r="X942" s="990"/>
    </row>
    <row r="943" spans="1:24" s="896" customFormat="1">
      <c r="A943" s="987">
        <f t="shared" si="15"/>
        <v>869</v>
      </c>
      <c r="B943" s="988">
        <v>43104</v>
      </c>
      <c r="C943" s="899" t="s">
        <v>10269</v>
      </c>
      <c r="D943" s="988" t="s">
        <v>2666</v>
      </c>
      <c r="E943" s="989">
        <v>657.61</v>
      </c>
      <c r="F943" s="990"/>
      <c r="G943" s="990"/>
      <c r="H943" s="990"/>
      <c r="I943" s="990"/>
      <c r="J943" s="990"/>
      <c r="K943" s="990"/>
      <c r="L943" s="990"/>
      <c r="M943" s="990"/>
      <c r="N943" s="990"/>
      <c r="O943" s="990"/>
      <c r="P943" s="990"/>
      <c r="Q943" s="990"/>
      <c r="R943" s="990"/>
      <c r="S943" s="990"/>
      <c r="T943" s="990"/>
      <c r="U943" s="990"/>
      <c r="V943" s="990"/>
      <c r="W943" s="990"/>
      <c r="X943" s="990"/>
    </row>
    <row r="944" spans="1:24" s="896" customFormat="1" ht="25.5">
      <c r="A944" s="987">
        <f t="shared" si="15"/>
        <v>870</v>
      </c>
      <c r="B944" s="988">
        <v>39771</v>
      </c>
      <c r="C944" s="899" t="s">
        <v>10270</v>
      </c>
      <c r="D944" s="988" t="s">
        <v>2666</v>
      </c>
      <c r="E944" s="989">
        <v>41.01</v>
      </c>
      <c r="F944" s="990"/>
      <c r="G944" s="990"/>
      <c r="H944" s="990"/>
      <c r="I944" s="990"/>
      <c r="J944" s="990"/>
      <c r="K944" s="990"/>
      <c r="L944" s="990"/>
      <c r="M944" s="990"/>
      <c r="N944" s="990"/>
      <c r="O944" s="990"/>
      <c r="P944" s="990"/>
      <c r="Q944" s="990"/>
      <c r="R944" s="990"/>
      <c r="S944" s="990"/>
      <c r="T944" s="990"/>
      <c r="U944" s="990"/>
      <c r="V944" s="990"/>
      <c r="W944" s="990"/>
      <c r="X944" s="990"/>
    </row>
    <row r="945" spans="1:24" s="896" customFormat="1" ht="25.5">
      <c r="A945" s="987">
        <f t="shared" si="15"/>
        <v>871</v>
      </c>
      <c r="B945" s="988">
        <v>39772</v>
      </c>
      <c r="C945" s="899" t="s">
        <v>10271</v>
      </c>
      <c r="D945" s="988" t="s">
        <v>2666</v>
      </c>
      <c r="E945" s="989">
        <v>80.61</v>
      </c>
      <c r="F945" s="990"/>
      <c r="G945" s="990"/>
      <c r="H945" s="990"/>
      <c r="I945" s="990"/>
      <c r="J945" s="990"/>
      <c r="K945" s="990"/>
      <c r="L945" s="990"/>
      <c r="M945" s="990"/>
      <c r="N945" s="990"/>
      <c r="O945" s="990"/>
      <c r="P945" s="990"/>
      <c r="Q945" s="990"/>
      <c r="R945" s="990"/>
      <c r="S945" s="990"/>
      <c r="T945" s="990"/>
      <c r="U945" s="990"/>
      <c r="V945" s="990"/>
      <c r="W945" s="990"/>
      <c r="X945" s="990"/>
    </row>
    <row r="946" spans="1:24" s="896" customFormat="1" ht="25.5">
      <c r="A946" s="987">
        <f t="shared" si="15"/>
        <v>872</v>
      </c>
      <c r="B946" s="988">
        <v>39773</v>
      </c>
      <c r="C946" s="899" t="s">
        <v>10272</v>
      </c>
      <c r="D946" s="988" t="s">
        <v>2666</v>
      </c>
      <c r="E946" s="989">
        <v>129.56</v>
      </c>
      <c r="F946" s="990"/>
      <c r="G946" s="990"/>
      <c r="H946" s="990"/>
      <c r="I946" s="990"/>
      <c r="J946" s="990"/>
      <c r="K946" s="990"/>
      <c r="L946" s="990"/>
      <c r="M946" s="990"/>
      <c r="N946" s="990"/>
      <c r="O946" s="990"/>
      <c r="P946" s="990"/>
      <c r="Q946" s="990"/>
      <c r="R946" s="990"/>
      <c r="S946" s="990"/>
      <c r="T946" s="990"/>
      <c r="U946" s="990"/>
      <c r="V946" s="990"/>
      <c r="W946" s="990"/>
      <c r="X946" s="990"/>
    </row>
    <row r="947" spans="1:24" s="896" customFormat="1" ht="25.5">
      <c r="A947" s="987">
        <f t="shared" si="15"/>
        <v>873</v>
      </c>
      <c r="B947" s="988">
        <v>39774</v>
      </c>
      <c r="C947" s="899" t="s">
        <v>10273</v>
      </c>
      <c r="D947" s="988" t="s">
        <v>2666</v>
      </c>
      <c r="E947" s="989">
        <v>193.79</v>
      </c>
      <c r="F947" s="990"/>
      <c r="G947" s="990"/>
      <c r="H947" s="990"/>
      <c r="I947" s="990"/>
      <c r="J947" s="990"/>
      <c r="K947" s="990"/>
      <c r="L947" s="990"/>
      <c r="M947" s="990"/>
      <c r="N947" s="990"/>
      <c r="O947" s="990"/>
      <c r="P947" s="990"/>
      <c r="Q947" s="990"/>
      <c r="R947" s="990"/>
      <c r="S947" s="990"/>
      <c r="T947" s="990"/>
      <c r="U947" s="990"/>
      <c r="V947" s="990"/>
      <c r="W947" s="990"/>
      <c r="X947" s="990"/>
    </row>
    <row r="948" spans="1:24" s="896" customFormat="1" ht="25.5">
      <c r="A948" s="987">
        <f t="shared" si="15"/>
        <v>874</v>
      </c>
      <c r="B948" s="988">
        <v>39775</v>
      </c>
      <c r="C948" s="899" t="s">
        <v>10274</v>
      </c>
      <c r="D948" s="988" t="s">
        <v>2666</v>
      </c>
      <c r="E948" s="989">
        <v>258.64</v>
      </c>
      <c r="F948" s="990"/>
      <c r="G948" s="990"/>
      <c r="H948" s="990"/>
      <c r="I948" s="990"/>
      <c r="J948" s="990"/>
      <c r="K948" s="990"/>
      <c r="L948" s="990"/>
      <c r="M948" s="990"/>
      <c r="N948" s="990"/>
      <c r="O948" s="990"/>
      <c r="P948" s="990"/>
      <c r="Q948" s="990"/>
      <c r="R948" s="990"/>
      <c r="S948" s="990"/>
      <c r="T948" s="990"/>
      <c r="U948" s="990"/>
      <c r="V948" s="990"/>
      <c r="W948" s="990"/>
      <c r="X948" s="990"/>
    </row>
    <row r="949" spans="1:24" s="896" customFormat="1" ht="25.5">
      <c r="A949" s="987">
        <f t="shared" si="15"/>
        <v>875</v>
      </c>
      <c r="B949" s="988">
        <v>39776</v>
      </c>
      <c r="C949" s="899" t="s">
        <v>10275</v>
      </c>
      <c r="D949" s="988" t="s">
        <v>2666</v>
      </c>
      <c r="E949" s="989">
        <v>312.57</v>
      </c>
      <c r="F949" s="990"/>
      <c r="G949" s="990"/>
      <c r="H949" s="990"/>
      <c r="I949" s="990"/>
      <c r="J949" s="990"/>
      <c r="K949" s="990"/>
      <c r="L949" s="990"/>
      <c r="M949" s="990"/>
      <c r="N949" s="990"/>
      <c r="O949" s="990"/>
      <c r="P949" s="990"/>
      <c r="Q949" s="990"/>
      <c r="R949" s="990"/>
      <c r="S949" s="990"/>
      <c r="T949" s="990"/>
      <c r="U949" s="990"/>
      <c r="V949" s="990"/>
      <c r="W949" s="990"/>
      <c r="X949" s="990"/>
    </row>
    <row r="950" spans="1:24" s="896" customFormat="1" ht="25.5">
      <c r="A950" s="987">
        <f t="shared" si="15"/>
        <v>876</v>
      </c>
      <c r="B950" s="988">
        <v>39777</v>
      </c>
      <c r="C950" s="899" t="s">
        <v>10276</v>
      </c>
      <c r="D950" s="988" t="s">
        <v>2666</v>
      </c>
      <c r="E950" s="989">
        <v>396.17</v>
      </c>
      <c r="F950" s="990"/>
      <c r="G950" s="990"/>
      <c r="H950" s="990"/>
      <c r="I950" s="990"/>
      <c r="J950" s="990"/>
      <c r="K950" s="990"/>
      <c r="L950" s="990"/>
      <c r="M950" s="990"/>
      <c r="N950" s="990"/>
      <c r="O950" s="990"/>
      <c r="P950" s="990"/>
      <c r="Q950" s="990"/>
      <c r="R950" s="990"/>
      <c r="S950" s="990"/>
      <c r="T950" s="990"/>
      <c r="U950" s="990"/>
      <c r="V950" s="990"/>
      <c r="W950" s="990"/>
      <c r="X950" s="990"/>
    </row>
    <row r="951" spans="1:24" s="896" customFormat="1" ht="25.5">
      <c r="A951" s="987">
        <f t="shared" si="15"/>
        <v>877</v>
      </c>
      <c r="B951" s="988">
        <v>20254</v>
      </c>
      <c r="C951" s="899" t="s">
        <v>10277</v>
      </c>
      <c r="D951" s="988" t="s">
        <v>2666</v>
      </c>
      <c r="E951" s="989">
        <v>28.75</v>
      </c>
      <c r="F951" s="990"/>
      <c r="G951" s="990"/>
      <c r="H951" s="990"/>
      <c r="I951" s="990"/>
      <c r="J951" s="990"/>
      <c r="K951" s="990"/>
      <c r="L951" s="990"/>
      <c r="M951" s="990"/>
      <c r="N951" s="990"/>
      <c r="O951" s="990"/>
      <c r="P951" s="990"/>
      <c r="Q951" s="990"/>
      <c r="R951" s="990"/>
      <c r="S951" s="990"/>
      <c r="T951" s="990"/>
      <c r="U951" s="990"/>
      <c r="V951" s="990"/>
      <c r="W951" s="990"/>
      <c r="X951" s="990"/>
    </row>
    <row r="952" spans="1:24" s="896" customFormat="1" ht="25.5">
      <c r="A952" s="987">
        <f t="shared" si="15"/>
        <v>878</v>
      </c>
      <c r="B952" s="988">
        <v>20253</v>
      </c>
      <c r="C952" s="899" t="s">
        <v>10278</v>
      </c>
      <c r="D952" s="988" t="s">
        <v>2666</v>
      </c>
      <c r="E952" s="989">
        <v>94.42</v>
      </c>
      <c r="F952" s="990"/>
      <c r="G952" s="990"/>
      <c r="H952" s="990"/>
      <c r="I952" s="990"/>
      <c r="J952" s="990"/>
      <c r="K952" s="990"/>
      <c r="L952" s="990"/>
      <c r="M952" s="990"/>
      <c r="N952" s="990"/>
      <c r="O952" s="990"/>
      <c r="P952" s="990"/>
      <c r="Q952" s="990"/>
      <c r="R952" s="990"/>
      <c r="S952" s="990"/>
      <c r="T952" s="990"/>
      <c r="U952" s="990"/>
      <c r="V952" s="990"/>
      <c r="W952" s="990"/>
      <c r="X952" s="990"/>
    </row>
    <row r="953" spans="1:24" s="896" customFormat="1" ht="25.5">
      <c r="A953" s="987">
        <f t="shared" si="15"/>
        <v>879</v>
      </c>
      <c r="B953" s="988">
        <v>11247</v>
      </c>
      <c r="C953" s="899" t="s">
        <v>10279</v>
      </c>
      <c r="D953" s="988" t="s">
        <v>2666</v>
      </c>
      <c r="E953" s="989">
        <v>1815.65</v>
      </c>
      <c r="F953" s="990"/>
      <c r="G953" s="990"/>
      <c r="H953" s="990"/>
      <c r="I953" s="990"/>
      <c r="J953" s="990"/>
      <c r="K953" s="990"/>
      <c r="L953" s="990"/>
      <c r="M953" s="990"/>
      <c r="N953" s="990"/>
      <c r="O953" s="990"/>
      <c r="P953" s="990"/>
      <c r="Q953" s="990"/>
      <c r="R953" s="990"/>
      <c r="S953" s="990"/>
      <c r="T953" s="990"/>
      <c r="U953" s="990"/>
      <c r="V953" s="990"/>
      <c r="W953" s="990"/>
      <c r="X953" s="990"/>
    </row>
    <row r="954" spans="1:24" s="896" customFormat="1" ht="25.5">
      <c r="A954" s="987">
        <f t="shared" si="15"/>
        <v>880</v>
      </c>
      <c r="B954" s="988">
        <v>11250</v>
      </c>
      <c r="C954" s="899" t="s">
        <v>10280</v>
      </c>
      <c r="D954" s="988" t="s">
        <v>2666</v>
      </c>
      <c r="E954" s="989">
        <v>78.17</v>
      </c>
      <c r="F954" s="990"/>
      <c r="G954" s="990"/>
      <c r="H954" s="990"/>
      <c r="I954" s="990"/>
      <c r="J954" s="990"/>
      <c r="K954" s="990"/>
      <c r="L954" s="990"/>
      <c r="M954" s="990"/>
      <c r="N954" s="990"/>
      <c r="O954" s="990"/>
      <c r="P954" s="990"/>
      <c r="Q954" s="990"/>
      <c r="R954" s="990"/>
      <c r="S954" s="990"/>
      <c r="T954" s="990"/>
      <c r="U954" s="990"/>
      <c r="V954" s="990"/>
      <c r="W954" s="990"/>
      <c r="X954" s="990"/>
    </row>
    <row r="955" spans="1:24" s="896" customFormat="1" ht="25.5">
      <c r="A955" s="987">
        <f t="shared" si="15"/>
        <v>881</v>
      </c>
      <c r="B955" s="988">
        <v>11249</v>
      </c>
      <c r="C955" s="899" t="s">
        <v>10281</v>
      </c>
      <c r="D955" s="988" t="s">
        <v>2666</v>
      </c>
      <c r="E955" s="989">
        <v>3546.6</v>
      </c>
      <c r="F955" s="990"/>
      <c r="G955" s="990"/>
      <c r="H955" s="990"/>
      <c r="I955" s="990"/>
      <c r="J955" s="990"/>
      <c r="K955" s="990"/>
      <c r="L955" s="990"/>
      <c r="M955" s="990"/>
      <c r="N955" s="990"/>
      <c r="O955" s="990"/>
      <c r="P955" s="990"/>
      <c r="Q955" s="990"/>
      <c r="R955" s="990"/>
      <c r="S955" s="990"/>
      <c r="T955" s="990"/>
      <c r="U955" s="990"/>
      <c r="V955" s="990"/>
      <c r="W955" s="990"/>
      <c r="X955" s="990"/>
    </row>
    <row r="956" spans="1:24" s="896" customFormat="1" ht="25.5">
      <c r="A956" s="987">
        <f t="shared" si="15"/>
        <v>882</v>
      </c>
      <c r="B956" s="988">
        <v>11251</v>
      </c>
      <c r="C956" s="899" t="s">
        <v>10282</v>
      </c>
      <c r="D956" s="988" t="s">
        <v>2666</v>
      </c>
      <c r="E956" s="989">
        <v>173.14</v>
      </c>
      <c r="F956" s="990"/>
      <c r="G956" s="990"/>
      <c r="H956" s="990"/>
      <c r="I956" s="990"/>
      <c r="J956" s="990"/>
      <c r="K956" s="990"/>
      <c r="L956" s="990"/>
      <c r="M956" s="990"/>
      <c r="N956" s="990"/>
      <c r="O956" s="990"/>
      <c r="P956" s="990"/>
      <c r="Q956" s="990"/>
      <c r="R956" s="990"/>
      <c r="S956" s="990"/>
      <c r="T956" s="990"/>
      <c r="U956" s="990"/>
      <c r="V956" s="990"/>
      <c r="W956" s="990"/>
      <c r="X956" s="990"/>
    </row>
    <row r="957" spans="1:24" s="896" customFormat="1" ht="25.5">
      <c r="A957" s="987">
        <f t="shared" si="15"/>
        <v>883</v>
      </c>
      <c r="B957" s="988">
        <v>11253</v>
      </c>
      <c r="C957" s="899" t="s">
        <v>10283</v>
      </c>
      <c r="D957" s="988" t="s">
        <v>2666</v>
      </c>
      <c r="E957" s="989">
        <v>286.91000000000003</v>
      </c>
      <c r="F957" s="990"/>
      <c r="G957" s="990"/>
      <c r="H957" s="990"/>
      <c r="I957" s="990"/>
      <c r="J957" s="990"/>
      <c r="K957" s="990"/>
      <c r="L957" s="990"/>
      <c r="M957" s="990"/>
      <c r="N957" s="990"/>
      <c r="O957" s="990"/>
      <c r="P957" s="990"/>
      <c r="Q957" s="990"/>
      <c r="R957" s="990"/>
      <c r="S957" s="990"/>
      <c r="T957" s="990"/>
      <c r="U957" s="990"/>
      <c r="V957" s="990"/>
      <c r="W957" s="990"/>
      <c r="X957" s="990"/>
    </row>
    <row r="958" spans="1:24" s="896" customFormat="1" ht="25.5">
      <c r="A958" s="987">
        <f t="shared" si="15"/>
        <v>884</v>
      </c>
      <c r="B958" s="988">
        <v>11255</v>
      </c>
      <c r="C958" s="899" t="s">
        <v>10284</v>
      </c>
      <c r="D958" s="988" t="s">
        <v>2666</v>
      </c>
      <c r="E958" s="989">
        <v>428.93</v>
      </c>
      <c r="F958" s="990"/>
      <c r="G958" s="990"/>
      <c r="H958" s="990"/>
      <c r="I958" s="990"/>
      <c r="J958" s="990"/>
      <c r="K958" s="990"/>
      <c r="L958" s="990"/>
      <c r="M958" s="990"/>
      <c r="N958" s="990"/>
      <c r="O958" s="990"/>
      <c r="P958" s="990"/>
      <c r="Q958" s="990"/>
      <c r="R958" s="990"/>
      <c r="S958" s="990"/>
      <c r="T958" s="990"/>
      <c r="U958" s="990"/>
      <c r="V958" s="990"/>
      <c r="W958" s="990"/>
      <c r="X958" s="990"/>
    </row>
    <row r="959" spans="1:24" s="896" customFormat="1" ht="25.5">
      <c r="A959" s="987">
        <f t="shared" si="15"/>
        <v>885</v>
      </c>
      <c r="B959" s="988">
        <v>14055</v>
      </c>
      <c r="C959" s="899" t="s">
        <v>10285</v>
      </c>
      <c r="D959" s="988" t="s">
        <v>2666</v>
      </c>
      <c r="E959" s="989">
        <v>862.86</v>
      </c>
      <c r="F959" s="990"/>
      <c r="G959" s="990"/>
      <c r="H959" s="990"/>
      <c r="I959" s="990"/>
      <c r="J959" s="990"/>
      <c r="K959" s="990"/>
      <c r="L959" s="990"/>
      <c r="M959" s="990"/>
      <c r="N959" s="990"/>
      <c r="O959" s="990"/>
      <c r="P959" s="990"/>
      <c r="Q959" s="990"/>
      <c r="R959" s="990"/>
      <c r="S959" s="990"/>
      <c r="T959" s="990"/>
      <c r="U959" s="990"/>
      <c r="V959" s="990"/>
      <c r="W959" s="990"/>
      <c r="X959" s="990"/>
    </row>
    <row r="960" spans="1:24" s="896" customFormat="1" ht="25.5">
      <c r="A960" s="987">
        <f t="shared" si="15"/>
        <v>886</v>
      </c>
      <c r="B960" s="988">
        <v>11256</v>
      </c>
      <c r="C960" s="899" t="s">
        <v>10286</v>
      </c>
      <c r="D960" s="988" t="s">
        <v>2666</v>
      </c>
      <c r="E960" s="989">
        <v>537.28</v>
      </c>
      <c r="F960" s="990"/>
      <c r="G960" s="990"/>
      <c r="H960" s="990"/>
      <c r="I960" s="990"/>
      <c r="J960" s="990"/>
      <c r="K960" s="990"/>
      <c r="L960" s="990"/>
      <c r="M960" s="990"/>
      <c r="N960" s="990"/>
      <c r="O960" s="990"/>
      <c r="P960" s="990"/>
      <c r="Q960" s="990"/>
      <c r="R960" s="990"/>
      <c r="S960" s="990"/>
      <c r="T960" s="990"/>
      <c r="U960" s="990"/>
      <c r="V960" s="990"/>
      <c r="W960" s="990"/>
      <c r="X960" s="990"/>
    </row>
    <row r="961" spans="1:24" s="896" customFormat="1">
      <c r="A961" s="987">
        <f t="shared" si="15"/>
        <v>887</v>
      </c>
      <c r="B961" s="988">
        <v>1872</v>
      </c>
      <c r="C961" s="899" t="s">
        <v>10287</v>
      </c>
      <c r="D961" s="988" t="s">
        <v>2666</v>
      </c>
      <c r="E961" s="989">
        <v>3.45</v>
      </c>
      <c r="F961" s="990"/>
      <c r="G961" s="990"/>
      <c r="H961" s="990"/>
      <c r="I961" s="990"/>
      <c r="J961" s="990"/>
      <c r="K961" s="990"/>
      <c r="L961" s="990"/>
      <c r="M961" s="990"/>
      <c r="N961" s="990"/>
      <c r="O961" s="990"/>
      <c r="P961" s="990"/>
      <c r="Q961" s="990"/>
      <c r="R961" s="990"/>
      <c r="S961" s="990"/>
      <c r="T961" s="990"/>
      <c r="U961" s="990"/>
      <c r="V961" s="990"/>
      <c r="W961" s="990"/>
      <c r="X961" s="990"/>
    </row>
    <row r="962" spans="1:24" s="896" customFormat="1">
      <c r="A962" s="987">
        <f t="shared" si="15"/>
        <v>888</v>
      </c>
      <c r="B962" s="988">
        <v>1873</v>
      </c>
      <c r="C962" s="899" t="s">
        <v>10288</v>
      </c>
      <c r="D962" s="988" t="s">
        <v>2666</v>
      </c>
      <c r="E962" s="989">
        <v>6.86</v>
      </c>
      <c r="F962" s="990"/>
      <c r="G962" s="990"/>
      <c r="H962" s="990"/>
      <c r="I962" s="990"/>
      <c r="J962" s="990"/>
      <c r="K962" s="990"/>
      <c r="L962" s="990"/>
      <c r="M962" s="990"/>
      <c r="N962" s="990"/>
      <c r="O962" s="990"/>
      <c r="P962" s="990"/>
      <c r="Q962" s="990"/>
      <c r="R962" s="990"/>
      <c r="S962" s="990"/>
      <c r="T962" s="990"/>
      <c r="U962" s="990"/>
      <c r="V962" s="990"/>
      <c r="W962" s="990"/>
      <c r="X962" s="990"/>
    </row>
    <row r="963" spans="1:24" s="896" customFormat="1" ht="25.5">
      <c r="A963" s="987">
        <f t="shared" si="15"/>
        <v>889</v>
      </c>
      <c r="B963" s="988">
        <v>39693</v>
      </c>
      <c r="C963" s="899" t="s">
        <v>10289</v>
      </c>
      <c r="D963" s="988" t="s">
        <v>2666</v>
      </c>
      <c r="E963" s="989">
        <v>3374.38</v>
      </c>
      <c r="F963" s="990"/>
      <c r="G963" s="990"/>
      <c r="H963" s="990"/>
      <c r="I963" s="990"/>
      <c r="J963" s="990"/>
      <c r="K963" s="990"/>
      <c r="L963" s="990"/>
      <c r="M963" s="990"/>
      <c r="N963" s="990"/>
      <c r="O963" s="990"/>
      <c r="P963" s="990"/>
      <c r="Q963" s="990"/>
      <c r="R963" s="990"/>
      <c r="S963" s="990"/>
      <c r="T963" s="990"/>
      <c r="U963" s="990"/>
      <c r="V963" s="990"/>
      <c r="W963" s="990"/>
      <c r="X963" s="990"/>
    </row>
    <row r="964" spans="1:24" s="896" customFormat="1" ht="25.5">
      <c r="A964" s="987">
        <f t="shared" si="15"/>
        <v>890</v>
      </c>
      <c r="B964" s="988">
        <v>39692</v>
      </c>
      <c r="C964" s="899" t="s">
        <v>10290</v>
      </c>
      <c r="D964" s="988" t="s">
        <v>2666</v>
      </c>
      <c r="E964" s="989">
        <v>1079.73</v>
      </c>
      <c r="F964" s="990"/>
      <c r="G964" s="990"/>
      <c r="H964" s="990"/>
      <c r="I964" s="990"/>
      <c r="J964" s="990"/>
      <c r="K964" s="990"/>
      <c r="L964" s="990"/>
      <c r="M964" s="990"/>
      <c r="N964" s="990"/>
      <c r="O964" s="990"/>
      <c r="P964" s="990"/>
      <c r="Q964" s="990"/>
      <c r="R964" s="990"/>
      <c r="S964" s="990"/>
      <c r="T964" s="990"/>
      <c r="U964" s="990"/>
      <c r="V964" s="990"/>
      <c r="W964" s="990"/>
      <c r="X964" s="990"/>
    </row>
    <row r="965" spans="1:24" s="896" customFormat="1" ht="25.5">
      <c r="A965" s="987">
        <f t="shared" si="15"/>
        <v>891</v>
      </c>
      <c r="B965" s="988">
        <v>1062</v>
      </c>
      <c r="C965" s="899" t="s">
        <v>10291</v>
      </c>
      <c r="D965" s="988" t="s">
        <v>2666</v>
      </c>
      <c r="E965" s="989">
        <v>342.18</v>
      </c>
      <c r="F965" s="990"/>
      <c r="G965" s="990"/>
      <c r="H965" s="990"/>
      <c r="I965" s="990"/>
      <c r="J965" s="990"/>
      <c r="K965" s="990"/>
      <c r="L965" s="990"/>
      <c r="M965" s="990"/>
      <c r="N965" s="990"/>
      <c r="O965" s="990"/>
      <c r="P965" s="990"/>
      <c r="Q965" s="990"/>
      <c r="R965" s="990"/>
      <c r="S965" s="990"/>
      <c r="T965" s="990"/>
      <c r="U965" s="990"/>
      <c r="V965" s="990"/>
      <c r="W965" s="990"/>
      <c r="X965" s="990"/>
    </row>
    <row r="966" spans="1:24" s="896" customFormat="1" ht="25.5">
      <c r="A966" s="987">
        <f t="shared" si="15"/>
        <v>892</v>
      </c>
      <c r="B966" s="988">
        <v>39686</v>
      </c>
      <c r="C966" s="899" t="s">
        <v>10292</v>
      </c>
      <c r="D966" s="988" t="s">
        <v>2666</v>
      </c>
      <c r="E966" s="989">
        <v>554.07000000000005</v>
      </c>
      <c r="F966" s="990"/>
      <c r="G966" s="990"/>
      <c r="H966" s="990"/>
      <c r="I966" s="990"/>
      <c r="J966" s="990"/>
      <c r="K966" s="990"/>
      <c r="L966" s="990"/>
      <c r="M966" s="990"/>
      <c r="N966" s="990"/>
      <c r="O966" s="990"/>
      <c r="P966" s="990"/>
      <c r="Q966" s="990"/>
      <c r="R966" s="990"/>
      <c r="S966" s="990"/>
      <c r="T966" s="990"/>
      <c r="U966" s="990"/>
      <c r="V966" s="990"/>
      <c r="W966" s="990"/>
      <c r="X966" s="990"/>
    </row>
    <row r="967" spans="1:24" s="896" customFormat="1" ht="25.5">
      <c r="A967" s="987">
        <f t="shared" si="15"/>
        <v>893</v>
      </c>
      <c r="B967" s="988">
        <v>43095</v>
      </c>
      <c r="C967" s="899" t="s">
        <v>10293</v>
      </c>
      <c r="D967" s="988" t="s">
        <v>2666</v>
      </c>
      <c r="E967" s="989">
        <v>182.54</v>
      </c>
      <c r="F967" s="990"/>
      <c r="G967" s="990"/>
      <c r="H967" s="990"/>
      <c r="I967" s="990"/>
      <c r="J967" s="990"/>
      <c r="K967" s="990"/>
      <c r="L967" s="990"/>
      <c r="M967" s="990"/>
      <c r="N967" s="990"/>
      <c r="O967" s="990"/>
      <c r="P967" s="990"/>
      <c r="Q967" s="990"/>
      <c r="R967" s="990"/>
      <c r="S967" s="990"/>
      <c r="T967" s="990"/>
      <c r="U967" s="990"/>
      <c r="V967" s="990"/>
      <c r="W967" s="990"/>
      <c r="X967" s="990"/>
    </row>
    <row r="968" spans="1:24" s="896" customFormat="1" ht="25.5">
      <c r="A968" s="987">
        <f t="shared" si="15"/>
        <v>894</v>
      </c>
      <c r="B968" s="988">
        <v>1871</v>
      </c>
      <c r="C968" s="899" t="s">
        <v>10294</v>
      </c>
      <c r="D968" s="988" t="s">
        <v>2666</v>
      </c>
      <c r="E968" s="989">
        <v>6.18</v>
      </c>
      <c r="F968" s="990"/>
      <c r="G968" s="990"/>
      <c r="H968" s="990"/>
      <c r="I968" s="990"/>
      <c r="J968" s="990"/>
      <c r="K968" s="990"/>
      <c r="L968" s="990"/>
      <c r="M968" s="990"/>
      <c r="N968" s="990"/>
      <c r="O968" s="990"/>
      <c r="P968" s="990"/>
      <c r="Q968" s="990"/>
      <c r="R968" s="990"/>
      <c r="S968" s="990"/>
      <c r="T968" s="990"/>
      <c r="U968" s="990"/>
      <c r="V968" s="990"/>
      <c r="W968" s="990"/>
      <c r="X968" s="990"/>
    </row>
    <row r="969" spans="1:24" s="896" customFormat="1" ht="25.5">
      <c r="A969" s="987">
        <f t="shared" si="15"/>
        <v>895</v>
      </c>
      <c r="B969" s="988">
        <v>12001</v>
      </c>
      <c r="C969" s="899" t="s">
        <v>10295</v>
      </c>
      <c r="D969" s="988" t="s">
        <v>2666</v>
      </c>
      <c r="E969" s="989">
        <v>8.93</v>
      </c>
      <c r="F969" s="990"/>
      <c r="G969" s="990"/>
      <c r="H969" s="990"/>
      <c r="I969" s="990"/>
      <c r="J969" s="990"/>
      <c r="K969" s="990"/>
      <c r="L969" s="990"/>
      <c r="M969" s="990"/>
      <c r="N969" s="990"/>
      <c r="O969" s="990"/>
      <c r="P969" s="990"/>
      <c r="Q969" s="990"/>
      <c r="R969" s="990"/>
      <c r="S969" s="990"/>
      <c r="T969" s="990"/>
      <c r="U969" s="990"/>
      <c r="V969" s="990"/>
      <c r="W969" s="990"/>
      <c r="X969" s="990"/>
    </row>
    <row r="970" spans="1:24" s="896" customFormat="1" ht="25.5">
      <c r="A970" s="987">
        <f t="shared" si="15"/>
        <v>896</v>
      </c>
      <c r="B970" s="988">
        <v>11882</v>
      </c>
      <c r="C970" s="899" t="s">
        <v>10296</v>
      </c>
      <c r="D970" s="988" t="s">
        <v>2666</v>
      </c>
      <c r="E970" s="989">
        <v>75.86</v>
      </c>
      <c r="F970" s="990"/>
      <c r="G970" s="990"/>
      <c r="H970" s="990"/>
      <c r="I970" s="990"/>
      <c r="J970" s="990"/>
      <c r="K970" s="990"/>
      <c r="L970" s="990"/>
      <c r="M970" s="990"/>
      <c r="N970" s="990"/>
      <c r="O970" s="990"/>
      <c r="P970" s="990"/>
      <c r="Q970" s="990"/>
      <c r="R970" s="990"/>
      <c r="S970" s="990"/>
      <c r="T970" s="990"/>
      <c r="U970" s="990"/>
      <c r="V970" s="990"/>
      <c r="W970" s="990"/>
      <c r="X970" s="990"/>
    </row>
    <row r="971" spans="1:24" s="896" customFormat="1" ht="25.5">
      <c r="A971" s="987">
        <f t="shared" si="15"/>
        <v>897</v>
      </c>
      <c r="B971" s="988">
        <v>1068</v>
      </c>
      <c r="C971" s="899" t="s">
        <v>10297</v>
      </c>
      <c r="D971" s="988" t="s">
        <v>2666</v>
      </c>
      <c r="E971" s="989">
        <v>2257.0500000000002</v>
      </c>
      <c r="F971" s="990"/>
      <c r="G971" s="990"/>
      <c r="H971" s="990"/>
      <c r="I971" s="990"/>
      <c r="J971" s="990"/>
      <c r="K971" s="990"/>
      <c r="L971" s="990"/>
      <c r="M971" s="990"/>
      <c r="N971" s="990"/>
      <c r="O971" s="990"/>
      <c r="P971" s="990"/>
      <c r="Q971" s="990"/>
      <c r="R971" s="990"/>
      <c r="S971" s="990"/>
      <c r="T971" s="990"/>
      <c r="U971" s="990"/>
      <c r="V971" s="990"/>
      <c r="W971" s="990"/>
      <c r="X971" s="990"/>
    </row>
    <row r="972" spans="1:24" s="896" customFormat="1" ht="25.5">
      <c r="A972" s="987">
        <f t="shared" ref="A972:A1035" si="16">A971+1</f>
        <v>898</v>
      </c>
      <c r="B972" s="988">
        <v>39690</v>
      </c>
      <c r="C972" s="899" t="s">
        <v>10298</v>
      </c>
      <c r="D972" s="988" t="s">
        <v>2666</v>
      </c>
      <c r="E972" s="989">
        <v>3786.59</v>
      </c>
      <c r="F972" s="990"/>
      <c r="G972" s="990"/>
      <c r="H972" s="990"/>
      <c r="I972" s="990"/>
      <c r="J972" s="990"/>
      <c r="K972" s="990"/>
      <c r="L972" s="990"/>
      <c r="M972" s="990"/>
      <c r="N972" s="990"/>
      <c r="O972" s="990"/>
      <c r="P972" s="990"/>
      <c r="Q972" s="990"/>
      <c r="R972" s="990"/>
      <c r="S972" s="990"/>
      <c r="T972" s="990"/>
      <c r="U972" s="990"/>
      <c r="V972" s="990"/>
      <c r="W972" s="990"/>
      <c r="X972" s="990"/>
    </row>
    <row r="973" spans="1:24" s="896" customFormat="1" ht="25.5">
      <c r="A973" s="987">
        <f t="shared" si="16"/>
        <v>899</v>
      </c>
      <c r="B973" s="988">
        <v>39691</v>
      </c>
      <c r="C973" s="899" t="s">
        <v>10299</v>
      </c>
      <c r="D973" s="988" t="s">
        <v>2666</v>
      </c>
      <c r="E973" s="989">
        <v>4762.47</v>
      </c>
      <c r="F973" s="990"/>
      <c r="G973" s="990"/>
      <c r="H973" s="990"/>
      <c r="I973" s="990"/>
      <c r="J973" s="990"/>
      <c r="K973" s="990"/>
      <c r="L973" s="990"/>
      <c r="M973" s="990"/>
      <c r="N973" s="990"/>
      <c r="O973" s="990"/>
      <c r="P973" s="990"/>
      <c r="Q973" s="990"/>
      <c r="R973" s="990"/>
      <c r="S973" s="990"/>
      <c r="T973" s="990"/>
      <c r="U973" s="990"/>
      <c r="V973" s="990"/>
      <c r="W973" s="990"/>
      <c r="X973" s="990"/>
    </row>
    <row r="974" spans="1:24" s="896" customFormat="1" ht="25.5">
      <c r="A974" s="987">
        <f t="shared" si="16"/>
        <v>900</v>
      </c>
      <c r="B974" s="988">
        <v>39808</v>
      </c>
      <c r="C974" s="899" t="s">
        <v>10300</v>
      </c>
      <c r="D974" s="988" t="s">
        <v>2666</v>
      </c>
      <c r="E974" s="989">
        <v>95.3</v>
      </c>
      <c r="F974" s="990"/>
      <c r="G974" s="990"/>
      <c r="H974" s="990"/>
      <c r="I974" s="990"/>
      <c r="J974" s="990"/>
      <c r="K974" s="990"/>
      <c r="L974" s="990"/>
      <c r="M974" s="990"/>
      <c r="N974" s="990"/>
      <c r="O974" s="990"/>
      <c r="P974" s="990"/>
      <c r="Q974" s="990"/>
      <c r="R974" s="990"/>
      <c r="S974" s="990"/>
      <c r="T974" s="990"/>
      <c r="U974" s="990"/>
      <c r="V974" s="990"/>
      <c r="W974" s="990"/>
      <c r="X974" s="990"/>
    </row>
    <row r="975" spans="1:24" s="896" customFormat="1" ht="25.5">
      <c r="A975" s="987">
        <f t="shared" si="16"/>
        <v>901</v>
      </c>
      <c r="B975" s="988">
        <v>39809</v>
      </c>
      <c r="C975" s="899" t="s">
        <v>10301</v>
      </c>
      <c r="D975" s="988" t="s">
        <v>2666</v>
      </c>
      <c r="E975" s="989">
        <v>226.04</v>
      </c>
      <c r="F975" s="990"/>
      <c r="G975" s="990"/>
      <c r="H975" s="990"/>
      <c r="I975" s="990"/>
      <c r="J975" s="990"/>
      <c r="K975" s="990"/>
      <c r="L975" s="990"/>
      <c r="M975" s="990"/>
      <c r="N975" s="990"/>
      <c r="O975" s="990"/>
      <c r="P975" s="990"/>
      <c r="Q975" s="990"/>
      <c r="R975" s="990"/>
      <c r="S975" s="990"/>
      <c r="T975" s="990"/>
      <c r="U975" s="990"/>
      <c r="V975" s="990"/>
      <c r="W975" s="990"/>
      <c r="X975" s="990"/>
    </row>
    <row r="976" spans="1:24" s="896" customFormat="1" ht="25.5">
      <c r="A976" s="987">
        <f t="shared" si="16"/>
        <v>902</v>
      </c>
      <c r="B976" s="988">
        <v>43439</v>
      </c>
      <c r="C976" s="899" t="s">
        <v>10302</v>
      </c>
      <c r="D976" s="988" t="s">
        <v>2666</v>
      </c>
      <c r="E976" s="989">
        <v>348.23</v>
      </c>
      <c r="F976" s="990"/>
      <c r="G976" s="990"/>
      <c r="H976" s="990"/>
      <c r="I976" s="990"/>
      <c r="J976" s="990"/>
      <c r="K976" s="990"/>
      <c r="L976" s="990"/>
      <c r="M976" s="990"/>
      <c r="N976" s="990"/>
      <c r="O976" s="990"/>
      <c r="P976" s="990"/>
      <c r="Q976" s="990"/>
      <c r="R976" s="990"/>
      <c r="S976" s="990"/>
      <c r="T976" s="990"/>
      <c r="U976" s="990"/>
      <c r="V976" s="990"/>
      <c r="W976" s="990"/>
      <c r="X976" s="990"/>
    </row>
    <row r="977" spans="1:24" s="896" customFormat="1">
      <c r="A977" s="987">
        <f t="shared" si="16"/>
        <v>903</v>
      </c>
      <c r="B977" s="988">
        <v>5103</v>
      </c>
      <c r="C977" s="899" t="s">
        <v>10303</v>
      </c>
      <c r="D977" s="988" t="s">
        <v>2666</v>
      </c>
      <c r="E977" s="989">
        <v>21.32</v>
      </c>
      <c r="F977" s="990"/>
      <c r="G977" s="990"/>
      <c r="H977" s="990"/>
      <c r="I977" s="990"/>
      <c r="J977" s="990"/>
      <c r="K977" s="990"/>
      <c r="L977" s="990"/>
      <c r="M977" s="990"/>
      <c r="N977" s="990"/>
      <c r="O977" s="990"/>
      <c r="P977" s="990"/>
      <c r="Q977" s="990"/>
      <c r="R977" s="990"/>
      <c r="S977" s="990"/>
      <c r="T977" s="990"/>
      <c r="U977" s="990"/>
      <c r="V977" s="990"/>
      <c r="W977" s="990"/>
      <c r="X977" s="990"/>
    </row>
    <row r="978" spans="1:24" s="896" customFormat="1">
      <c r="A978" s="987">
        <f t="shared" si="16"/>
        <v>904</v>
      </c>
      <c r="B978" s="988">
        <v>11880</v>
      </c>
      <c r="C978" s="899" t="s">
        <v>10304</v>
      </c>
      <c r="D978" s="988" t="s">
        <v>2666</v>
      </c>
      <c r="E978" s="989">
        <v>89.69</v>
      </c>
      <c r="F978" s="990"/>
      <c r="G978" s="990"/>
      <c r="H978" s="990"/>
      <c r="I978" s="990"/>
      <c r="J978" s="990"/>
      <c r="K978" s="990"/>
      <c r="L978" s="990"/>
      <c r="M978" s="990"/>
      <c r="N978" s="990"/>
      <c r="O978" s="990"/>
      <c r="P978" s="990"/>
      <c r="Q978" s="990"/>
      <c r="R978" s="990"/>
      <c r="S978" s="990"/>
      <c r="T978" s="990"/>
      <c r="U978" s="990"/>
      <c r="V978" s="990"/>
      <c r="W978" s="990"/>
      <c r="X978" s="990"/>
    </row>
    <row r="979" spans="1:24" s="896" customFormat="1">
      <c r="A979" s="987">
        <f t="shared" si="16"/>
        <v>905</v>
      </c>
      <c r="B979" s="988">
        <v>11714</v>
      </c>
      <c r="C979" s="899" t="s">
        <v>10305</v>
      </c>
      <c r="D979" s="988" t="s">
        <v>2666</v>
      </c>
      <c r="E979" s="989">
        <v>61.1</v>
      </c>
      <c r="F979" s="990"/>
      <c r="G979" s="990"/>
      <c r="H979" s="990"/>
      <c r="I979" s="990"/>
      <c r="J979" s="990"/>
      <c r="K979" s="990"/>
      <c r="L979" s="990"/>
      <c r="M979" s="990"/>
      <c r="N979" s="990"/>
      <c r="O979" s="990"/>
      <c r="P979" s="990"/>
      <c r="Q979" s="990"/>
      <c r="R979" s="990"/>
      <c r="S979" s="990"/>
      <c r="T979" s="990"/>
      <c r="U979" s="990"/>
      <c r="V979" s="990"/>
      <c r="W979" s="990"/>
      <c r="X979" s="990"/>
    </row>
    <row r="980" spans="1:24" s="896" customFormat="1">
      <c r="A980" s="987">
        <f t="shared" si="16"/>
        <v>906</v>
      </c>
      <c r="B980" s="988">
        <v>11712</v>
      </c>
      <c r="C980" s="899" t="s">
        <v>10306</v>
      </c>
      <c r="D980" s="988" t="s">
        <v>2666</v>
      </c>
      <c r="E980" s="989">
        <v>39.9</v>
      </c>
      <c r="F980" s="990"/>
      <c r="G980" s="990"/>
      <c r="H980" s="990"/>
      <c r="I980" s="990"/>
      <c r="J980" s="990"/>
      <c r="K980" s="990"/>
      <c r="L980" s="990"/>
      <c r="M980" s="990"/>
      <c r="N980" s="990"/>
      <c r="O980" s="990"/>
      <c r="P980" s="990"/>
      <c r="Q980" s="990"/>
      <c r="R980" s="990"/>
      <c r="S980" s="990"/>
      <c r="T980" s="990"/>
      <c r="U980" s="990"/>
      <c r="V980" s="990"/>
      <c r="W980" s="990"/>
      <c r="X980" s="990"/>
    </row>
    <row r="981" spans="1:24" s="896" customFormat="1">
      <c r="A981" s="987">
        <f t="shared" si="16"/>
        <v>907</v>
      </c>
      <c r="B981" s="988">
        <v>11717</v>
      </c>
      <c r="C981" s="899" t="s">
        <v>10307</v>
      </c>
      <c r="D981" s="988" t="s">
        <v>2666</v>
      </c>
      <c r="E981" s="989">
        <v>48.1</v>
      </c>
      <c r="F981" s="990"/>
      <c r="G981" s="990"/>
      <c r="H981" s="990"/>
      <c r="I981" s="990"/>
      <c r="J981" s="990"/>
      <c r="K981" s="990"/>
      <c r="L981" s="990"/>
      <c r="M981" s="990"/>
      <c r="N981" s="990"/>
      <c r="O981" s="990"/>
      <c r="P981" s="990"/>
      <c r="Q981" s="990"/>
      <c r="R981" s="990"/>
      <c r="S981" s="990"/>
      <c r="T981" s="990"/>
      <c r="U981" s="990"/>
      <c r="V981" s="990"/>
      <c r="W981" s="990"/>
      <c r="X981" s="990"/>
    </row>
    <row r="982" spans="1:24" s="896" customFormat="1">
      <c r="A982" s="987">
        <f t="shared" si="16"/>
        <v>908</v>
      </c>
      <c r="B982" s="988">
        <v>1106</v>
      </c>
      <c r="C982" s="899" t="s">
        <v>10308</v>
      </c>
      <c r="D982" s="988" t="s">
        <v>2670</v>
      </c>
      <c r="E982" s="989">
        <v>0.66</v>
      </c>
      <c r="F982" s="990"/>
      <c r="G982" s="990"/>
      <c r="H982" s="990"/>
      <c r="I982" s="990"/>
      <c r="J982" s="990"/>
      <c r="K982" s="990"/>
      <c r="L982" s="990"/>
      <c r="M982" s="990"/>
      <c r="N982" s="990"/>
      <c r="O982" s="990"/>
      <c r="P982" s="990"/>
      <c r="Q982" s="990"/>
      <c r="R982" s="990"/>
      <c r="S982" s="990"/>
      <c r="T982" s="990"/>
      <c r="U982" s="990"/>
      <c r="V982" s="990"/>
      <c r="W982" s="990"/>
      <c r="X982" s="990"/>
    </row>
    <row r="983" spans="1:24" s="896" customFormat="1">
      <c r="A983" s="987">
        <f t="shared" si="16"/>
        <v>909</v>
      </c>
      <c r="B983" s="988">
        <v>11161</v>
      </c>
      <c r="C983" s="899" t="s">
        <v>10309</v>
      </c>
      <c r="D983" s="988" t="s">
        <v>2670</v>
      </c>
      <c r="E983" s="989">
        <v>1.1000000000000001</v>
      </c>
      <c r="F983" s="990"/>
      <c r="G983" s="990"/>
      <c r="H983" s="990"/>
      <c r="I983" s="990"/>
      <c r="J983" s="990"/>
      <c r="K983" s="990"/>
      <c r="L983" s="990"/>
      <c r="M983" s="990"/>
      <c r="N983" s="990"/>
      <c r="O983" s="990"/>
      <c r="P983" s="990"/>
      <c r="Q983" s="990"/>
      <c r="R983" s="990"/>
      <c r="S983" s="990"/>
      <c r="T983" s="990"/>
      <c r="U983" s="990"/>
      <c r="V983" s="990"/>
      <c r="W983" s="990"/>
      <c r="X983" s="990"/>
    </row>
    <row r="984" spans="1:24" s="896" customFormat="1">
      <c r="A984" s="987">
        <f t="shared" si="16"/>
        <v>910</v>
      </c>
      <c r="B984" s="988">
        <v>1107</v>
      </c>
      <c r="C984" s="899" t="s">
        <v>10310</v>
      </c>
      <c r="D984" s="988" t="s">
        <v>2670</v>
      </c>
      <c r="E984" s="989">
        <v>0.56000000000000005</v>
      </c>
      <c r="F984" s="990"/>
      <c r="G984" s="990"/>
      <c r="H984" s="990"/>
      <c r="I984" s="990"/>
      <c r="J984" s="990"/>
      <c r="K984" s="990"/>
      <c r="L984" s="990"/>
      <c r="M984" s="990"/>
      <c r="N984" s="990"/>
      <c r="O984" s="990"/>
      <c r="P984" s="990"/>
      <c r="Q984" s="990"/>
      <c r="R984" s="990"/>
      <c r="S984" s="990"/>
      <c r="T984" s="990"/>
      <c r="U984" s="990"/>
      <c r="V984" s="990"/>
      <c r="W984" s="990"/>
      <c r="X984" s="990"/>
    </row>
    <row r="985" spans="1:24" s="896" customFormat="1">
      <c r="A985" s="987">
        <f t="shared" si="16"/>
        <v>911</v>
      </c>
      <c r="B985" s="988">
        <v>44479</v>
      </c>
      <c r="C985" s="899" t="s">
        <v>10311</v>
      </c>
      <c r="D985" s="988" t="s">
        <v>2670</v>
      </c>
      <c r="E985" s="989">
        <v>0.08</v>
      </c>
      <c r="F985" s="990"/>
      <c r="G985" s="990"/>
      <c r="H985" s="990"/>
      <c r="I985" s="990"/>
      <c r="J985" s="990"/>
      <c r="K985" s="990"/>
      <c r="L985" s="990"/>
      <c r="M985" s="990"/>
      <c r="N985" s="990"/>
      <c r="O985" s="990"/>
      <c r="P985" s="990"/>
      <c r="Q985" s="990"/>
      <c r="R985" s="990"/>
      <c r="S985" s="990"/>
      <c r="T985" s="990"/>
      <c r="U985" s="990"/>
      <c r="V985" s="990"/>
      <c r="W985" s="990"/>
      <c r="X985" s="990"/>
    </row>
    <row r="986" spans="1:24" s="896" customFormat="1">
      <c r="A986" s="987">
        <f t="shared" si="16"/>
        <v>912</v>
      </c>
      <c r="B986" s="988">
        <v>41068</v>
      </c>
      <c r="C986" s="899" t="s">
        <v>10312</v>
      </c>
      <c r="D986" s="988" t="s">
        <v>2672</v>
      </c>
      <c r="E986" s="989">
        <v>3574.64</v>
      </c>
      <c r="F986" s="990"/>
      <c r="G986" s="990"/>
      <c r="H986" s="990"/>
      <c r="I986" s="990"/>
      <c r="J986" s="990"/>
      <c r="K986" s="990"/>
      <c r="L986" s="990"/>
      <c r="M986" s="990"/>
      <c r="N986" s="990"/>
      <c r="O986" s="990"/>
      <c r="P986" s="990"/>
      <c r="Q986" s="990"/>
      <c r="R986" s="990"/>
      <c r="S986" s="990"/>
      <c r="T986" s="990"/>
      <c r="U986" s="990"/>
      <c r="V986" s="990"/>
      <c r="W986" s="990"/>
      <c r="X986" s="990"/>
    </row>
    <row r="987" spans="1:24" s="896" customFormat="1">
      <c r="A987" s="987">
        <f t="shared" si="16"/>
        <v>913</v>
      </c>
      <c r="B987" s="988">
        <v>4759</v>
      </c>
      <c r="C987" s="899" t="s">
        <v>10313</v>
      </c>
      <c r="D987" s="988" t="s">
        <v>2665</v>
      </c>
      <c r="E987" s="989">
        <v>20.32</v>
      </c>
      <c r="F987" s="990"/>
      <c r="G987" s="990"/>
      <c r="H987" s="990"/>
      <c r="I987" s="990"/>
      <c r="J987" s="990"/>
      <c r="K987" s="990"/>
      <c r="L987" s="990"/>
      <c r="M987" s="990"/>
      <c r="N987" s="990"/>
      <c r="O987" s="990"/>
      <c r="P987" s="990"/>
      <c r="Q987" s="990"/>
      <c r="R987" s="990"/>
      <c r="S987" s="990"/>
      <c r="T987" s="990"/>
      <c r="U987" s="990"/>
      <c r="V987" s="990"/>
      <c r="W987" s="990"/>
      <c r="X987" s="990"/>
    </row>
    <row r="988" spans="1:24" s="896" customFormat="1">
      <c r="A988" s="987">
        <f t="shared" si="16"/>
        <v>914</v>
      </c>
      <c r="B988" s="988">
        <v>1108</v>
      </c>
      <c r="C988" s="899" t="s">
        <v>10314</v>
      </c>
      <c r="D988" s="988" t="s">
        <v>2669</v>
      </c>
      <c r="E988" s="989">
        <v>36.799999999999997</v>
      </c>
      <c r="F988" s="990"/>
      <c r="G988" s="990"/>
      <c r="H988" s="990"/>
      <c r="I988" s="990"/>
      <c r="J988" s="990"/>
      <c r="K988" s="990"/>
      <c r="L988" s="990"/>
      <c r="M988" s="990"/>
      <c r="N988" s="990"/>
      <c r="O988" s="990"/>
      <c r="P988" s="990"/>
      <c r="Q988" s="990"/>
      <c r="R988" s="990"/>
      <c r="S988" s="990"/>
      <c r="T988" s="990"/>
      <c r="U988" s="990"/>
      <c r="V988" s="990"/>
      <c r="W988" s="990"/>
      <c r="X988" s="990"/>
    </row>
    <row r="989" spans="1:24" s="896" customFormat="1">
      <c r="A989" s="987">
        <f t="shared" si="16"/>
        <v>915</v>
      </c>
      <c r="B989" s="988">
        <v>1117</v>
      </c>
      <c r="C989" s="899" t="s">
        <v>10315</v>
      </c>
      <c r="D989" s="988" t="s">
        <v>2669</v>
      </c>
      <c r="E989" s="989">
        <v>37.1</v>
      </c>
      <c r="F989" s="990"/>
      <c r="G989" s="990"/>
      <c r="H989" s="990"/>
      <c r="I989" s="990"/>
      <c r="J989" s="990"/>
      <c r="K989" s="990"/>
      <c r="L989" s="990"/>
      <c r="M989" s="990"/>
      <c r="N989" s="990"/>
      <c r="O989" s="990"/>
      <c r="P989" s="990"/>
      <c r="Q989" s="990"/>
      <c r="R989" s="990"/>
      <c r="S989" s="990"/>
      <c r="T989" s="990"/>
      <c r="U989" s="990"/>
      <c r="V989" s="990"/>
      <c r="W989" s="990"/>
      <c r="X989" s="990"/>
    </row>
    <row r="990" spans="1:24" s="896" customFormat="1">
      <c r="A990" s="987">
        <f t="shared" si="16"/>
        <v>916</v>
      </c>
      <c r="B990" s="988">
        <v>1118</v>
      </c>
      <c r="C990" s="899" t="s">
        <v>10316</v>
      </c>
      <c r="D990" s="988" t="s">
        <v>2669</v>
      </c>
      <c r="E990" s="989">
        <v>43.84</v>
      </c>
      <c r="F990" s="990"/>
      <c r="G990" s="990"/>
      <c r="H990" s="990"/>
      <c r="I990" s="990"/>
      <c r="J990" s="990"/>
      <c r="K990" s="990"/>
      <c r="L990" s="990"/>
      <c r="M990" s="990"/>
      <c r="N990" s="990"/>
      <c r="O990" s="990"/>
      <c r="P990" s="990"/>
      <c r="Q990" s="990"/>
      <c r="R990" s="990"/>
      <c r="S990" s="990"/>
      <c r="T990" s="990"/>
      <c r="U990" s="990"/>
      <c r="V990" s="990"/>
      <c r="W990" s="990"/>
      <c r="X990" s="990"/>
    </row>
    <row r="991" spans="1:24" s="896" customFormat="1">
      <c r="A991" s="987">
        <f t="shared" si="16"/>
        <v>917</v>
      </c>
      <c r="B991" s="988">
        <v>1110</v>
      </c>
      <c r="C991" s="899" t="s">
        <v>10317</v>
      </c>
      <c r="D991" s="988" t="s">
        <v>2669</v>
      </c>
      <c r="E991" s="989">
        <v>43.84</v>
      </c>
      <c r="F991" s="990"/>
      <c r="G991" s="990"/>
      <c r="H991" s="990"/>
      <c r="I991" s="990"/>
      <c r="J991" s="990"/>
      <c r="K991" s="990"/>
      <c r="L991" s="990"/>
      <c r="M991" s="990"/>
      <c r="N991" s="990"/>
      <c r="O991" s="990"/>
      <c r="P991" s="990"/>
      <c r="Q991" s="990"/>
      <c r="R991" s="990"/>
      <c r="S991" s="990"/>
      <c r="T991" s="990"/>
      <c r="U991" s="990"/>
      <c r="V991" s="990"/>
      <c r="W991" s="990"/>
      <c r="X991" s="990"/>
    </row>
    <row r="992" spans="1:24" s="896" customFormat="1" ht="25.5">
      <c r="A992" s="987">
        <f t="shared" si="16"/>
        <v>918</v>
      </c>
      <c r="B992" s="988">
        <v>12618</v>
      </c>
      <c r="C992" s="899" t="s">
        <v>10318</v>
      </c>
      <c r="D992" s="988" t="s">
        <v>2666</v>
      </c>
      <c r="E992" s="989">
        <v>54.45</v>
      </c>
      <c r="F992" s="990"/>
      <c r="G992" s="990"/>
      <c r="H992" s="990"/>
      <c r="I992" s="990"/>
      <c r="J992" s="990"/>
      <c r="K992" s="990"/>
      <c r="L992" s="990"/>
      <c r="M992" s="990"/>
      <c r="N992" s="990"/>
      <c r="O992" s="990"/>
      <c r="P992" s="990"/>
      <c r="Q992" s="990"/>
      <c r="R992" s="990"/>
      <c r="S992" s="990"/>
      <c r="T992" s="990"/>
      <c r="U992" s="990"/>
      <c r="V992" s="990"/>
      <c r="W992" s="990"/>
      <c r="X992" s="990"/>
    </row>
    <row r="993" spans="1:24" s="896" customFormat="1">
      <c r="A993" s="987">
        <f t="shared" si="16"/>
        <v>919</v>
      </c>
      <c r="B993" s="988">
        <v>40784</v>
      </c>
      <c r="C993" s="899" t="s">
        <v>10319</v>
      </c>
      <c r="D993" s="988" t="s">
        <v>2669</v>
      </c>
      <c r="E993" s="989">
        <v>120.93</v>
      </c>
      <c r="F993" s="990"/>
      <c r="G993" s="990"/>
      <c r="H993" s="990"/>
      <c r="I993" s="990"/>
      <c r="J993" s="990"/>
      <c r="K993" s="990"/>
      <c r="L993" s="990"/>
      <c r="M993" s="990"/>
      <c r="N993" s="990"/>
      <c r="O993" s="990"/>
      <c r="P993" s="990"/>
      <c r="Q993" s="990"/>
      <c r="R993" s="990"/>
      <c r="S993" s="990"/>
      <c r="T993" s="990"/>
      <c r="U993" s="990"/>
      <c r="V993" s="990"/>
      <c r="W993" s="990"/>
      <c r="X993" s="990"/>
    </row>
    <row r="994" spans="1:24" s="896" customFormat="1">
      <c r="A994" s="987">
        <f t="shared" si="16"/>
        <v>920</v>
      </c>
      <c r="B994" s="988">
        <v>40782</v>
      </c>
      <c r="C994" s="899" t="s">
        <v>10320</v>
      </c>
      <c r="D994" s="988" t="s">
        <v>2669</v>
      </c>
      <c r="E994" s="989">
        <v>47.46</v>
      </c>
      <c r="F994" s="990"/>
      <c r="G994" s="990"/>
      <c r="H994" s="990"/>
      <c r="I994" s="990"/>
      <c r="J994" s="990"/>
      <c r="K994" s="990"/>
      <c r="L994" s="990"/>
      <c r="M994" s="990"/>
      <c r="N994" s="990"/>
      <c r="O994" s="990"/>
      <c r="P994" s="990"/>
      <c r="Q994" s="990"/>
      <c r="R994" s="990"/>
      <c r="S994" s="990"/>
      <c r="T994" s="990"/>
      <c r="U994" s="990"/>
      <c r="V994" s="990"/>
      <c r="W994" s="990"/>
      <c r="X994" s="990"/>
    </row>
    <row r="995" spans="1:24" s="896" customFormat="1">
      <c r="A995" s="987">
        <f t="shared" si="16"/>
        <v>921</v>
      </c>
      <c r="B995" s="988">
        <v>40783</v>
      </c>
      <c r="C995" s="899" t="s">
        <v>10321</v>
      </c>
      <c r="D995" s="988" t="s">
        <v>2669</v>
      </c>
      <c r="E995" s="989">
        <v>61.82</v>
      </c>
      <c r="F995" s="990"/>
      <c r="G995" s="990"/>
      <c r="H995" s="990"/>
      <c r="I995" s="990"/>
      <c r="J995" s="990"/>
      <c r="K995" s="990"/>
      <c r="L995" s="990"/>
      <c r="M995" s="990"/>
      <c r="N995" s="990"/>
      <c r="O995" s="990"/>
      <c r="P995" s="990"/>
      <c r="Q995" s="990"/>
      <c r="R995" s="990"/>
      <c r="S995" s="990"/>
      <c r="T995" s="990"/>
      <c r="U995" s="990"/>
      <c r="V995" s="990"/>
      <c r="W995" s="990"/>
      <c r="X995" s="990"/>
    </row>
    <row r="996" spans="1:24" s="896" customFormat="1">
      <c r="A996" s="987">
        <f t="shared" si="16"/>
        <v>922</v>
      </c>
      <c r="B996" s="988">
        <v>1109</v>
      </c>
      <c r="C996" s="899" t="s">
        <v>10322</v>
      </c>
      <c r="D996" s="988" t="s">
        <v>2669</v>
      </c>
      <c r="E996" s="989">
        <v>36.799999999999997</v>
      </c>
      <c r="F996" s="990"/>
      <c r="G996" s="990"/>
      <c r="H996" s="990"/>
      <c r="I996" s="990"/>
      <c r="J996" s="990"/>
      <c r="K996" s="990"/>
      <c r="L996" s="990"/>
      <c r="M996" s="990"/>
      <c r="N996" s="990"/>
      <c r="O996" s="990"/>
      <c r="P996" s="990"/>
      <c r="Q996" s="990"/>
      <c r="R996" s="990"/>
      <c r="S996" s="990"/>
      <c r="T996" s="990"/>
      <c r="U996" s="990"/>
      <c r="V996" s="990"/>
      <c r="W996" s="990"/>
      <c r="X996" s="990"/>
    </row>
    <row r="997" spans="1:24" s="896" customFormat="1">
      <c r="A997" s="987">
        <f t="shared" si="16"/>
        <v>923</v>
      </c>
      <c r="B997" s="988">
        <v>1119</v>
      </c>
      <c r="C997" s="899" t="s">
        <v>10323</v>
      </c>
      <c r="D997" s="988" t="s">
        <v>2669</v>
      </c>
      <c r="E997" s="989">
        <v>23.73</v>
      </c>
      <c r="F997" s="990"/>
      <c r="G997" s="990"/>
      <c r="H997" s="990"/>
      <c r="I997" s="990"/>
      <c r="J997" s="990"/>
      <c r="K997" s="990"/>
      <c r="L997" s="990"/>
      <c r="M997" s="990"/>
      <c r="N997" s="990"/>
      <c r="O997" s="990"/>
      <c r="P997" s="990"/>
      <c r="Q997" s="990"/>
      <c r="R997" s="990"/>
      <c r="S997" s="990"/>
      <c r="T997" s="990"/>
      <c r="U997" s="990"/>
      <c r="V997" s="990"/>
      <c r="W997" s="990"/>
      <c r="X997" s="990"/>
    </row>
    <row r="998" spans="1:24" s="896" customFormat="1" ht="25.5">
      <c r="A998" s="987">
        <f t="shared" si="16"/>
        <v>924</v>
      </c>
      <c r="B998" s="988">
        <v>13115</v>
      </c>
      <c r="C998" s="899" t="s">
        <v>10324</v>
      </c>
      <c r="D998" s="988" t="s">
        <v>2669</v>
      </c>
      <c r="E998" s="989">
        <v>11.55</v>
      </c>
      <c r="F998" s="990"/>
      <c r="G998" s="990"/>
      <c r="H998" s="990"/>
      <c r="I998" s="990"/>
      <c r="J998" s="990"/>
      <c r="K998" s="990"/>
      <c r="L998" s="990"/>
      <c r="M998" s="990"/>
      <c r="N998" s="990"/>
      <c r="O998" s="990"/>
      <c r="P998" s="990"/>
      <c r="Q998" s="990"/>
      <c r="R998" s="990"/>
      <c r="S998" s="990"/>
      <c r="T998" s="990"/>
      <c r="U998" s="990"/>
      <c r="V998" s="990"/>
      <c r="W998" s="990"/>
      <c r="X998" s="990"/>
    </row>
    <row r="999" spans="1:24" s="896" customFormat="1" ht="25.5">
      <c r="A999" s="987">
        <f t="shared" si="16"/>
        <v>925</v>
      </c>
      <c r="B999" s="988">
        <v>10541</v>
      </c>
      <c r="C999" s="899" t="s">
        <v>10325</v>
      </c>
      <c r="D999" s="988" t="s">
        <v>2669</v>
      </c>
      <c r="E999" s="989">
        <v>14.11</v>
      </c>
      <c r="F999" s="990"/>
      <c r="G999" s="990"/>
      <c r="H999" s="990"/>
      <c r="I999" s="990"/>
      <c r="J999" s="990"/>
      <c r="K999" s="990"/>
      <c r="L999" s="990"/>
      <c r="M999" s="990"/>
      <c r="N999" s="990"/>
      <c r="O999" s="990"/>
      <c r="P999" s="990"/>
      <c r="Q999" s="990"/>
      <c r="R999" s="990"/>
      <c r="S999" s="990"/>
      <c r="T999" s="990"/>
      <c r="U999" s="990"/>
      <c r="V999" s="990"/>
      <c r="W999" s="990"/>
      <c r="X999" s="990"/>
    </row>
    <row r="1000" spans="1:24" s="896" customFormat="1" ht="25.5">
      <c r="A1000" s="987">
        <f t="shared" si="16"/>
        <v>926</v>
      </c>
      <c r="B1000" s="988">
        <v>10542</v>
      </c>
      <c r="C1000" s="899" t="s">
        <v>10326</v>
      </c>
      <c r="D1000" s="988" t="s">
        <v>2669</v>
      </c>
      <c r="E1000" s="989">
        <v>18.46</v>
      </c>
      <c r="F1000" s="990"/>
      <c r="G1000" s="990"/>
      <c r="H1000" s="990"/>
      <c r="I1000" s="990"/>
      <c r="J1000" s="990"/>
      <c r="K1000" s="990"/>
      <c r="L1000" s="990"/>
      <c r="M1000" s="990"/>
      <c r="N1000" s="990"/>
      <c r="O1000" s="990"/>
      <c r="P1000" s="990"/>
      <c r="Q1000" s="990"/>
      <c r="R1000" s="990"/>
      <c r="S1000" s="990"/>
      <c r="T1000" s="990"/>
      <c r="U1000" s="990"/>
      <c r="V1000" s="990"/>
      <c r="W1000" s="990"/>
      <c r="X1000" s="990"/>
    </row>
    <row r="1001" spans="1:24" s="896" customFormat="1" ht="25.5">
      <c r="A1001" s="987">
        <f t="shared" si="16"/>
        <v>927</v>
      </c>
      <c r="B1001" s="988">
        <v>10543</v>
      </c>
      <c r="C1001" s="899" t="s">
        <v>10327</v>
      </c>
      <c r="D1001" s="988" t="s">
        <v>2669</v>
      </c>
      <c r="E1001" s="989">
        <v>29.95</v>
      </c>
      <c r="F1001" s="990"/>
      <c r="G1001" s="990"/>
      <c r="H1001" s="990"/>
      <c r="I1001" s="990"/>
      <c r="J1001" s="990"/>
      <c r="K1001" s="990"/>
      <c r="L1001" s="990"/>
      <c r="M1001" s="990"/>
      <c r="N1001" s="990"/>
      <c r="O1001" s="990"/>
      <c r="P1001" s="990"/>
      <c r="Q1001" s="990"/>
      <c r="R1001" s="990"/>
      <c r="S1001" s="990"/>
      <c r="T1001" s="990"/>
      <c r="U1001" s="990"/>
      <c r="V1001" s="990"/>
      <c r="W1001" s="990"/>
      <c r="X1001" s="990"/>
    </row>
    <row r="1002" spans="1:24" s="896" customFormat="1" ht="25.5">
      <c r="A1002" s="987">
        <f t="shared" si="16"/>
        <v>928</v>
      </c>
      <c r="B1002" s="988">
        <v>10544</v>
      </c>
      <c r="C1002" s="899" t="s">
        <v>10328</v>
      </c>
      <c r="D1002" s="988" t="s">
        <v>2669</v>
      </c>
      <c r="E1002" s="989">
        <v>38.74</v>
      </c>
      <c r="F1002" s="990"/>
      <c r="G1002" s="990"/>
      <c r="H1002" s="990"/>
      <c r="I1002" s="990"/>
      <c r="J1002" s="990"/>
      <c r="K1002" s="990"/>
      <c r="L1002" s="990"/>
      <c r="M1002" s="990"/>
      <c r="N1002" s="990"/>
      <c r="O1002" s="990"/>
      <c r="P1002" s="990"/>
      <c r="Q1002" s="990"/>
      <c r="R1002" s="990"/>
      <c r="S1002" s="990"/>
      <c r="T1002" s="990"/>
      <c r="U1002" s="990"/>
      <c r="V1002" s="990"/>
      <c r="W1002" s="990"/>
      <c r="X1002" s="990"/>
    </row>
    <row r="1003" spans="1:24" s="896" customFormat="1" ht="25.5">
      <c r="A1003" s="987">
        <f t="shared" si="16"/>
        <v>929</v>
      </c>
      <c r="B1003" s="988">
        <v>10545</v>
      </c>
      <c r="C1003" s="899" t="s">
        <v>10329</v>
      </c>
      <c r="D1003" s="988" t="s">
        <v>2669</v>
      </c>
      <c r="E1003" s="989">
        <v>72.400000000000006</v>
      </c>
      <c r="F1003" s="990"/>
      <c r="G1003" s="990"/>
      <c r="H1003" s="990"/>
      <c r="I1003" s="990"/>
      <c r="J1003" s="990"/>
      <c r="K1003" s="990"/>
      <c r="L1003" s="990"/>
      <c r="M1003" s="990"/>
      <c r="N1003" s="990"/>
      <c r="O1003" s="990"/>
      <c r="P1003" s="990"/>
      <c r="Q1003" s="990"/>
      <c r="R1003" s="990"/>
      <c r="S1003" s="990"/>
      <c r="T1003" s="990"/>
      <c r="U1003" s="990"/>
      <c r="V1003" s="990"/>
      <c r="W1003" s="990"/>
      <c r="X1003" s="990"/>
    </row>
    <row r="1004" spans="1:24" s="896" customFormat="1">
      <c r="A1004" s="987">
        <f t="shared" si="16"/>
        <v>930</v>
      </c>
      <c r="B1004" s="988">
        <v>38365</v>
      </c>
      <c r="C1004" s="899" t="s">
        <v>10330</v>
      </c>
      <c r="D1004" s="988" t="s">
        <v>2667</v>
      </c>
      <c r="E1004" s="989">
        <v>2.23</v>
      </c>
      <c r="F1004" s="990"/>
      <c r="G1004" s="990"/>
      <c r="H1004" s="990"/>
      <c r="I1004" s="990"/>
      <c r="J1004" s="990"/>
      <c r="K1004" s="990"/>
      <c r="L1004" s="990"/>
      <c r="M1004" s="990"/>
      <c r="N1004" s="990"/>
      <c r="O1004" s="990"/>
      <c r="P1004" s="990"/>
      <c r="Q1004" s="990"/>
      <c r="R1004" s="990"/>
      <c r="S1004" s="990"/>
      <c r="T1004" s="990"/>
      <c r="U1004" s="990"/>
      <c r="V1004" s="990"/>
      <c r="W1004" s="990"/>
      <c r="X1004" s="990"/>
    </row>
    <row r="1005" spans="1:24" s="896" customFormat="1" ht="25.5">
      <c r="A1005" s="987">
        <f t="shared" si="16"/>
        <v>931</v>
      </c>
      <c r="B1005" s="988">
        <v>44056</v>
      </c>
      <c r="C1005" s="899" t="s">
        <v>10331</v>
      </c>
      <c r="D1005" s="988" t="s">
        <v>2666</v>
      </c>
      <c r="E1005" s="989">
        <v>390702.68</v>
      </c>
      <c r="F1005" s="990"/>
      <c r="G1005" s="990"/>
      <c r="H1005" s="990"/>
      <c r="I1005" s="990"/>
      <c r="J1005" s="990"/>
      <c r="K1005" s="990"/>
      <c r="L1005" s="990"/>
      <c r="M1005" s="990"/>
      <c r="N1005" s="990"/>
      <c r="O1005" s="990"/>
      <c r="P1005" s="990"/>
      <c r="Q1005" s="990"/>
      <c r="R1005" s="990"/>
      <c r="S1005" s="990"/>
      <c r="T1005" s="990"/>
      <c r="U1005" s="990"/>
      <c r="V1005" s="990"/>
      <c r="W1005" s="990"/>
      <c r="X1005" s="990"/>
    </row>
    <row r="1006" spans="1:24" s="896" customFormat="1" ht="25.5">
      <c r="A1006" s="987">
        <f t="shared" si="16"/>
        <v>932</v>
      </c>
      <c r="B1006" s="988">
        <v>44057</v>
      </c>
      <c r="C1006" s="899" t="s">
        <v>10332</v>
      </c>
      <c r="D1006" s="988" t="s">
        <v>2666</v>
      </c>
      <c r="E1006" s="989">
        <v>417000</v>
      </c>
      <c r="F1006" s="990"/>
      <c r="G1006" s="990"/>
      <c r="H1006" s="990"/>
      <c r="I1006" s="990"/>
      <c r="J1006" s="990"/>
      <c r="K1006" s="990"/>
      <c r="L1006" s="990"/>
      <c r="M1006" s="990"/>
      <c r="N1006" s="990"/>
      <c r="O1006" s="990"/>
      <c r="P1006" s="990"/>
      <c r="Q1006" s="990"/>
      <c r="R1006" s="990"/>
      <c r="S1006" s="990"/>
      <c r="T1006" s="990"/>
      <c r="U1006" s="990"/>
      <c r="V1006" s="990"/>
      <c r="W1006" s="990"/>
      <c r="X1006" s="990"/>
    </row>
    <row r="1007" spans="1:24" s="896" customFormat="1" ht="25.5">
      <c r="A1007" s="987">
        <f t="shared" si="16"/>
        <v>933</v>
      </c>
      <c r="B1007" s="988">
        <v>37754</v>
      </c>
      <c r="C1007" s="899" t="s">
        <v>10333</v>
      </c>
      <c r="D1007" s="988" t="s">
        <v>2666</v>
      </c>
      <c r="E1007" s="989">
        <v>431125.41</v>
      </c>
      <c r="F1007" s="990"/>
      <c r="G1007" s="990"/>
      <c r="H1007" s="990"/>
      <c r="I1007" s="990"/>
      <c r="J1007" s="990"/>
      <c r="K1007" s="990"/>
      <c r="L1007" s="990"/>
      <c r="M1007" s="990"/>
      <c r="N1007" s="990"/>
      <c r="O1007" s="990"/>
      <c r="P1007" s="990"/>
      <c r="Q1007" s="990"/>
      <c r="R1007" s="990"/>
      <c r="S1007" s="990"/>
      <c r="T1007" s="990"/>
      <c r="U1007" s="990"/>
      <c r="V1007" s="990"/>
      <c r="W1007" s="990"/>
      <c r="X1007" s="990"/>
    </row>
    <row r="1008" spans="1:24" s="896" customFormat="1" ht="38.25">
      <c r="A1008" s="987">
        <f t="shared" si="16"/>
        <v>934</v>
      </c>
      <c r="B1008" s="988">
        <v>37757</v>
      </c>
      <c r="C1008" s="899" t="s">
        <v>10334</v>
      </c>
      <c r="D1008" s="988" t="s">
        <v>2666</v>
      </c>
      <c r="E1008" s="989">
        <v>480864.88</v>
      </c>
      <c r="F1008" s="990"/>
      <c r="G1008" s="990"/>
      <c r="H1008" s="990"/>
      <c r="I1008" s="990"/>
      <c r="J1008" s="990"/>
      <c r="K1008" s="990"/>
      <c r="L1008" s="990"/>
      <c r="M1008" s="990"/>
      <c r="N1008" s="990"/>
      <c r="O1008" s="990"/>
      <c r="P1008" s="990"/>
      <c r="Q1008" s="990"/>
      <c r="R1008" s="990"/>
      <c r="S1008" s="990"/>
      <c r="T1008" s="990"/>
      <c r="U1008" s="990"/>
      <c r="V1008" s="990"/>
      <c r="W1008" s="990"/>
      <c r="X1008" s="990"/>
    </row>
    <row r="1009" spans="1:24" s="896" customFormat="1" ht="38.25">
      <c r="A1009" s="987">
        <f t="shared" si="16"/>
        <v>935</v>
      </c>
      <c r="B1009" s="988">
        <v>44058</v>
      </c>
      <c r="C1009" s="899" t="s">
        <v>10335</v>
      </c>
      <c r="D1009" s="988" t="s">
        <v>2666</v>
      </c>
      <c r="E1009" s="989">
        <v>454567.57</v>
      </c>
      <c r="F1009" s="990"/>
      <c r="G1009" s="990"/>
      <c r="H1009" s="990"/>
      <c r="I1009" s="990"/>
      <c r="J1009" s="990"/>
      <c r="K1009" s="990"/>
      <c r="L1009" s="990"/>
      <c r="M1009" s="990"/>
      <c r="N1009" s="990"/>
      <c r="O1009" s="990"/>
      <c r="P1009" s="990"/>
      <c r="Q1009" s="990"/>
      <c r="R1009" s="990"/>
      <c r="S1009" s="990"/>
      <c r="T1009" s="990"/>
      <c r="U1009" s="990"/>
      <c r="V1009" s="990"/>
      <c r="W1009" s="990"/>
      <c r="X1009" s="990"/>
    </row>
    <row r="1010" spans="1:24" s="896" customFormat="1" ht="38.25">
      <c r="A1010" s="987">
        <f t="shared" si="16"/>
        <v>936</v>
      </c>
      <c r="B1010" s="988">
        <v>37752</v>
      </c>
      <c r="C1010" s="899" t="s">
        <v>10336</v>
      </c>
      <c r="D1010" s="988" t="s">
        <v>2666</v>
      </c>
      <c r="E1010" s="989">
        <v>473351.33</v>
      </c>
      <c r="F1010" s="990"/>
      <c r="G1010" s="990"/>
      <c r="H1010" s="990"/>
      <c r="I1010" s="990"/>
      <c r="J1010" s="990"/>
      <c r="K1010" s="990"/>
      <c r="L1010" s="990"/>
      <c r="M1010" s="990"/>
      <c r="N1010" s="990"/>
      <c r="O1010" s="990"/>
      <c r="P1010" s="990"/>
      <c r="Q1010" s="990"/>
      <c r="R1010" s="990"/>
      <c r="S1010" s="990"/>
      <c r="T1010" s="990"/>
      <c r="U1010" s="990"/>
      <c r="V1010" s="990"/>
      <c r="W1010" s="990"/>
      <c r="X1010" s="990"/>
    </row>
    <row r="1011" spans="1:24" s="896" customFormat="1" ht="25.5">
      <c r="A1011" s="987">
        <f t="shared" si="16"/>
        <v>937</v>
      </c>
      <c r="B1011" s="988">
        <v>44059</v>
      </c>
      <c r="C1011" s="899" t="s">
        <v>10337</v>
      </c>
      <c r="D1011" s="988" t="s">
        <v>2666</v>
      </c>
      <c r="E1011" s="989">
        <v>374172.97</v>
      </c>
      <c r="F1011" s="990"/>
      <c r="G1011" s="990"/>
      <c r="H1011" s="990"/>
      <c r="I1011" s="990"/>
      <c r="J1011" s="990"/>
      <c r="K1011" s="990"/>
      <c r="L1011" s="990"/>
      <c r="M1011" s="990"/>
      <c r="N1011" s="990"/>
      <c r="O1011" s="990"/>
      <c r="P1011" s="990"/>
      <c r="Q1011" s="990"/>
      <c r="R1011" s="990"/>
      <c r="S1011" s="990"/>
      <c r="T1011" s="990"/>
      <c r="U1011" s="990"/>
      <c r="V1011" s="990"/>
      <c r="W1011" s="990"/>
      <c r="X1011" s="990"/>
    </row>
    <row r="1012" spans="1:24" s="896" customFormat="1" ht="25.5">
      <c r="A1012" s="987">
        <f t="shared" si="16"/>
        <v>938</v>
      </c>
      <c r="B1012" s="988">
        <v>37750</v>
      </c>
      <c r="C1012" s="899" t="s">
        <v>10338</v>
      </c>
      <c r="D1012" s="988" t="s">
        <v>2666</v>
      </c>
      <c r="E1012" s="989">
        <v>374924.32</v>
      </c>
      <c r="F1012" s="990"/>
      <c r="G1012" s="990"/>
      <c r="H1012" s="990"/>
      <c r="I1012" s="990"/>
      <c r="J1012" s="990"/>
      <c r="K1012" s="990"/>
      <c r="L1012" s="990"/>
      <c r="M1012" s="990"/>
      <c r="N1012" s="990"/>
      <c r="O1012" s="990"/>
      <c r="P1012" s="990"/>
      <c r="Q1012" s="990"/>
      <c r="R1012" s="990"/>
      <c r="S1012" s="990"/>
      <c r="T1012" s="990"/>
      <c r="U1012" s="990"/>
      <c r="V1012" s="990"/>
      <c r="W1012" s="990"/>
      <c r="X1012" s="990"/>
    </row>
    <row r="1013" spans="1:24" s="896" customFormat="1" ht="38.25">
      <c r="A1013" s="987">
        <f t="shared" si="16"/>
        <v>939</v>
      </c>
      <c r="B1013" s="988">
        <v>37758</v>
      </c>
      <c r="C1013" s="899" t="s">
        <v>10339</v>
      </c>
      <c r="D1013" s="988" t="s">
        <v>2666</v>
      </c>
      <c r="E1013" s="989">
        <v>596572.96</v>
      </c>
      <c r="F1013" s="990"/>
      <c r="G1013" s="990"/>
      <c r="H1013" s="990"/>
      <c r="I1013" s="990"/>
      <c r="J1013" s="990"/>
      <c r="K1013" s="990"/>
      <c r="L1013" s="990"/>
      <c r="M1013" s="990"/>
      <c r="N1013" s="990"/>
      <c r="O1013" s="990"/>
      <c r="P1013" s="990"/>
      <c r="Q1013" s="990"/>
      <c r="R1013" s="990"/>
      <c r="S1013" s="990"/>
      <c r="T1013" s="990"/>
      <c r="U1013" s="990"/>
      <c r="V1013" s="990"/>
      <c r="W1013" s="990"/>
      <c r="X1013" s="990"/>
    </row>
    <row r="1014" spans="1:24" s="896" customFormat="1" ht="38.25">
      <c r="A1014" s="987">
        <f t="shared" si="16"/>
        <v>940</v>
      </c>
      <c r="B1014" s="988">
        <v>44060</v>
      </c>
      <c r="C1014" s="899" t="s">
        <v>10340</v>
      </c>
      <c r="D1014" s="988" t="s">
        <v>2666</v>
      </c>
      <c r="E1014" s="989">
        <v>577037.84</v>
      </c>
      <c r="F1014" s="990"/>
      <c r="G1014" s="990"/>
      <c r="H1014" s="990"/>
      <c r="I1014" s="990"/>
      <c r="J1014" s="990"/>
      <c r="K1014" s="990"/>
      <c r="L1014" s="990"/>
      <c r="M1014" s="990"/>
      <c r="N1014" s="990"/>
      <c r="O1014" s="990"/>
      <c r="P1014" s="990"/>
      <c r="Q1014" s="990"/>
      <c r="R1014" s="990"/>
      <c r="S1014" s="990"/>
      <c r="T1014" s="990"/>
      <c r="U1014" s="990"/>
      <c r="V1014" s="990"/>
      <c r="W1014" s="990"/>
      <c r="X1014" s="990"/>
    </row>
    <row r="1015" spans="1:24" s="896" customFormat="1" ht="38.25">
      <c r="A1015" s="987">
        <f t="shared" si="16"/>
        <v>941</v>
      </c>
      <c r="B1015" s="988">
        <v>37749</v>
      </c>
      <c r="C1015" s="899" t="s">
        <v>10341</v>
      </c>
      <c r="D1015" s="988" t="s">
        <v>2666</v>
      </c>
      <c r="E1015" s="989">
        <v>616108.11</v>
      </c>
      <c r="F1015" s="990"/>
      <c r="G1015" s="990"/>
      <c r="H1015" s="990"/>
      <c r="I1015" s="990"/>
      <c r="J1015" s="990"/>
      <c r="K1015" s="990"/>
      <c r="L1015" s="990"/>
      <c r="M1015" s="990"/>
      <c r="N1015" s="990"/>
      <c r="O1015" s="990"/>
      <c r="P1015" s="990"/>
      <c r="Q1015" s="990"/>
      <c r="R1015" s="990"/>
      <c r="S1015" s="990"/>
      <c r="T1015" s="990"/>
      <c r="U1015" s="990"/>
      <c r="V1015" s="990"/>
      <c r="W1015" s="990"/>
      <c r="X1015" s="990"/>
    </row>
    <row r="1016" spans="1:24" s="896" customFormat="1" ht="38.25">
      <c r="A1016" s="987">
        <f t="shared" si="16"/>
        <v>942</v>
      </c>
      <c r="B1016" s="988">
        <v>44061</v>
      </c>
      <c r="C1016" s="899" t="s">
        <v>10342</v>
      </c>
      <c r="D1016" s="988" t="s">
        <v>2666</v>
      </c>
      <c r="E1016" s="989">
        <v>565767.57999999996</v>
      </c>
      <c r="F1016" s="990"/>
      <c r="G1016" s="990"/>
      <c r="H1016" s="990"/>
      <c r="I1016" s="990"/>
      <c r="J1016" s="990"/>
      <c r="K1016" s="990"/>
      <c r="L1016" s="990"/>
      <c r="M1016" s="990"/>
      <c r="N1016" s="990"/>
      <c r="O1016" s="990"/>
      <c r="P1016" s="990"/>
      <c r="Q1016" s="990"/>
      <c r="R1016" s="990"/>
      <c r="S1016" s="990"/>
      <c r="T1016" s="990"/>
      <c r="U1016" s="990"/>
      <c r="V1016" s="990"/>
      <c r="W1016" s="990"/>
      <c r="X1016" s="990"/>
    </row>
    <row r="1017" spans="1:24" s="896" customFormat="1">
      <c r="A1017" s="987">
        <f t="shared" si="16"/>
        <v>943</v>
      </c>
      <c r="B1017" s="988">
        <v>1159</v>
      </c>
      <c r="C1017" s="899" t="s">
        <v>10343</v>
      </c>
      <c r="D1017" s="988" t="s">
        <v>2666</v>
      </c>
      <c r="E1017" s="989">
        <v>253072.83</v>
      </c>
      <c r="F1017" s="990"/>
      <c r="G1017" s="990"/>
      <c r="H1017" s="990"/>
      <c r="I1017" s="990"/>
      <c r="J1017" s="990"/>
      <c r="K1017" s="990"/>
      <c r="L1017" s="990"/>
      <c r="M1017" s="990"/>
      <c r="N1017" s="990"/>
      <c r="O1017" s="990"/>
      <c r="P1017" s="990"/>
      <c r="Q1017" s="990"/>
      <c r="R1017" s="990"/>
      <c r="S1017" s="990"/>
      <c r="T1017" s="990"/>
      <c r="U1017" s="990"/>
      <c r="V1017" s="990"/>
      <c r="W1017" s="990"/>
      <c r="X1017" s="990"/>
    </row>
    <row r="1018" spans="1:24" s="896" customFormat="1">
      <c r="A1018" s="987">
        <f t="shared" si="16"/>
        <v>944</v>
      </c>
      <c r="B1018" s="988">
        <v>12114</v>
      </c>
      <c r="C1018" s="899" t="s">
        <v>10344</v>
      </c>
      <c r="D1018" s="988" t="s">
        <v>2666</v>
      </c>
      <c r="E1018" s="989">
        <v>168.84</v>
      </c>
      <c r="F1018" s="990"/>
      <c r="G1018" s="990"/>
      <c r="H1018" s="990"/>
      <c r="I1018" s="990"/>
      <c r="J1018" s="990"/>
      <c r="K1018" s="990"/>
      <c r="L1018" s="990"/>
      <c r="M1018" s="990"/>
      <c r="N1018" s="990"/>
      <c r="O1018" s="990"/>
      <c r="P1018" s="990"/>
      <c r="Q1018" s="990"/>
      <c r="R1018" s="990"/>
      <c r="S1018" s="990"/>
      <c r="T1018" s="990"/>
      <c r="U1018" s="990"/>
      <c r="V1018" s="990"/>
      <c r="W1018" s="990"/>
      <c r="X1018" s="990"/>
    </row>
    <row r="1019" spans="1:24" s="896" customFormat="1">
      <c r="A1019" s="987">
        <f t="shared" si="16"/>
        <v>945</v>
      </c>
      <c r="B1019" s="988">
        <v>38106</v>
      </c>
      <c r="C1019" s="899" t="s">
        <v>10345</v>
      </c>
      <c r="D1019" s="988" t="s">
        <v>2666</v>
      </c>
      <c r="E1019" s="989">
        <v>22.94</v>
      </c>
      <c r="F1019" s="990"/>
      <c r="G1019" s="990"/>
      <c r="H1019" s="990"/>
      <c r="I1019" s="990"/>
      <c r="J1019" s="990"/>
      <c r="K1019" s="990"/>
      <c r="L1019" s="990"/>
      <c r="M1019" s="990"/>
      <c r="N1019" s="990"/>
      <c r="O1019" s="990"/>
      <c r="P1019" s="990"/>
      <c r="Q1019" s="990"/>
      <c r="R1019" s="990"/>
      <c r="S1019" s="990"/>
      <c r="T1019" s="990"/>
      <c r="U1019" s="990"/>
      <c r="V1019" s="990"/>
      <c r="W1019" s="990"/>
      <c r="X1019" s="990"/>
    </row>
    <row r="1020" spans="1:24" s="896" customFormat="1" ht="25.5">
      <c r="A1020" s="987">
        <f t="shared" si="16"/>
        <v>946</v>
      </c>
      <c r="B1020" s="988">
        <v>38085</v>
      </c>
      <c r="C1020" s="899" t="s">
        <v>10346</v>
      </c>
      <c r="D1020" s="988" t="s">
        <v>2666</v>
      </c>
      <c r="E1020" s="989">
        <v>27.1</v>
      </c>
      <c r="F1020" s="990"/>
      <c r="G1020" s="990"/>
      <c r="H1020" s="990"/>
      <c r="I1020" s="990"/>
      <c r="J1020" s="990"/>
      <c r="K1020" s="990"/>
      <c r="L1020" s="990"/>
      <c r="M1020" s="990"/>
      <c r="N1020" s="990"/>
      <c r="O1020" s="990"/>
      <c r="P1020" s="990"/>
      <c r="Q1020" s="990"/>
      <c r="R1020" s="990"/>
      <c r="S1020" s="990"/>
      <c r="T1020" s="990"/>
      <c r="U1020" s="990"/>
      <c r="V1020" s="990"/>
      <c r="W1020" s="990"/>
      <c r="X1020" s="990"/>
    </row>
    <row r="1021" spans="1:24" s="896" customFormat="1">
      <c r="A1021" s="987">
        <f t="shared" si="16"/>
        <v>947</v>
      </c>
      <c r="B1021" s="988">
        <v>38599</v>
      </c>
      <c r="C1021" s="899" t="s">
        <v>10347</v>
      </c>
      <c r="D1021" s="988" t="s">
        <v>2666</v>
      </c>
      <c r="E1021" s="989">
        <v>4.5</v>
      </c>
      <c r="F1021" s="990"/>
      <c r="G1021" s="990"/>
      <c r="H1021" s="990"/>
      <c r="I1021" s="990"/>
      <c r="J1021" s="990"/>
      <c r="K1021" s="990"/>
      <c r="L1021" s="990"/>
      <c r="M1021" s="990"/>
      <c r="N1021" s="990"/>
      <c r="O1021" s="990"/>
      <c r="P1021" s="990"/>
      <c r="Q1021" s="990"/>
      <c r="R1021" s="990"/>
      <c r="S1021" s="990"/>
      <c r="T1021" s="990"/>
      <c r="U1021" s="990"/>
      <c r="V1021" s="990"/>
      <c r="W1021" s="990"/>
      <c r="X1021" s="990"/>
    </row>
    <row r="1022" spans="1:24" s="896" customFormat="1">
      <c r="A1022" s="987">
        <f t="shared" si="16"/>
        <v>948</v>
      </c>
      <c r="B1022" s="988">
        <v>38596</v>
      </c>
      <c r="C1022" s="899" t="s">
        <v>10348</v>
      </c>
      <c r="D1022" s="988" t="s">
        <v>2666</v>
      </c>
      <c r="E1022" s="989">
        <v>3.74</v>
      </c>
      <c r="F1022" s="990"/>
      <c r="G1022" s="990"/>
      <c r="H1022" s="990"/>
      <c r="I1022" s="990"/>
      <c r="J1022" s="990"/>
      <c r="K1022" s="990"/>
      <c r="L1022" s="990"/>
      <c r="M1022" s="990"/>
      <c r="N1022" s="990"/>
      <c r="O1022" s="990"/>
      <c r="P1022" s="990"/>
      <c r="Q1022" s="990"/>
      <c r="R1022" s="990"/>
      <c r="S1022" s="990"/>
      <c r="T1022" s="990"/>
      <c r="U1022" s="990"/>
      <c r="V1022" s="990"/>
      <c r="W1022" s="990"/>
      <c r="X1022" s="990"/>
    </row>
    <row r="1023" spans="1:24" s="896" customFormat="1">
      <c r="A1023" s="987">
        <f t="shared" si="16"/>
        <v>949</v>
      </c>
      <c r="B1023" s="988">
        <v>38600</v>
      </c>
      <c r="C1023" s="899" t="s">
        <v>10349</v>
      </c>
      <c r="D1023" s="988" t="s">
        <v>2666</v>
      </c>
      <c r="E1023" s="989">
        <v>4.7699999999999996</v>
      </c>
      <c r="F1023" s="990"/>
      <c r="G1023" s="990"/>
      <c r="H1023" s="990"/>
      <c r="I1023" s="990"/>
      <c r="J1023" s="990"/>
      <c r="K1023" s="990"/>
      <c r="L1023" s="990"/>
      <c r="M1023" s="990"/>
      <c r="N1023" s="990"/>
      <c r="O1023" s="990"/>
      <c r="P1023" s="990"/>
      <c r="Q1023" s="990"/>
      <c r="R1023" s="990"/>
      <c r="S1023" s="990"/>
      <c r="T1023" s="990"/>
      <c r="U1023" s="990"/>
      <c r="V1023" s="990"/>
      <c r="W1023" s="990"/>
      <c r="X1023" s="990"/>
    </row>
    <row r="1024" spans="1:24" s="896" customFormat="1">
      <c r="A1024" s="987">
        <f t="shared" si="16"/>
        <v>950</v>
      </c>
      <c r="B1024" s="988">
        <v>38597</v>
      </c>
      <c r="C1024" s="899" t="s">
        <v>10350</v>
      </c>
      <c r="D1024" s="988" t="s">
        <v>2666</v>
      </c>
      <c r="E1024" s="989">
        <v>3.76</v>
      </c>
      <c r="F1024" s="990"/>
      <c r="G1024" s="990"/>
      <c r="H1024" s="990"/>
      <c r="I1024" s="990"/>
      <c r="J1024" s="990"/>
      <c r="K1024" s="990"/>
      <c r="L1024" s="990"/>
      <c r="M1024" s="990"/>
      <c r="N1024" s="990"/>
      <c r="O1024" s="990"/>
      <c r="P1024" s="990"/>
      <c r="Q1024" s="990"/>
      <c r="R1024" s="990"/>
      <c r="S1024" s="990"/>
      <c r="T1024" s="990"/>
      <c r="U1024" s="990"/>
      <c r="V1024" s="990"/>
      <c r="W1024" s="990"/>
      <c r="X1024" s="990"/>
    </row>
    <row r="1025" spans="1:24" s="896" customFormat="1">
      <c r="A1025" s="987">
        <f t="shared" si="16"/>
        <v>951</v>
      </c>
      <c r="B1025" s="988">
        <v>659</v>
      </c>
      <c r="C1025" s="899" t="s">
        <v>10351</v>
      </c>
      <c r="D1025" s="988" t="s">
        <v>2666</v>
      </c>
      <c r="E1025" s="989">
        <v>2.16</v>
      </c>
      <c r="F1025" s="990"/>
      <c r="G1025" s="990"/>
      <c r="H1025" s="990"/>
      <c r="I1025" s="990"/>
      <c r="J1025" s="990"/>
      <c r="K1025" s="990"/>
      <c r="L1025" s="990"/>
      <c r="M1025" s="990"/>
      <c r="N1025" s="990"/>
      <c r="O1025" s="990"/>
      <c r="P1025" s="990"/>
      <c r="Q1025" s="990"/>
      <c r="R1025" s="990"/>
      <c r="S1025" s="990"/>
      <c r="T1025" s="990"/>
      <c r="U1025" s="990"/>
      <c r="V1025" s="990"/>
      <c r="W1025" s="990"/>
      <c r="X1025" s="990"/>
    </row>
    <row r="1026" spans="1:24" s="896" customFormat="1">
      <c r="A1026" s="987">
        <f t="shared" si="16"/>
        <v>952</v>
      </c>
      <c r="B1026" s="988">
        <v>660</v>
      </c>
      <c r="C1026" s="899" t="s">
        <v>10352</v>
      </c>
      <c r="D1026" s="988" t="s">
        <v>2666</v>
      </c>
      <c r="E1026" s="989">
        <v>2.59</v>
      </c>
      <c r="F1026" s="990"/>
      <c r="G1026" s="990"/>
      <c r="H1026" s="990"/>
      <c r="I1026" s="990"/>
      <c r="J1026" s="990"/>
      <c r="K1026" s="990"/>
      <c r="L1026" s="990"/>
      <c r="M1026" s="990"/>
      <c r="N1026" s="990"/>
      <c r="O1026" s="990"/>
      <c r="P1026" s="990"/>
      <c r="Q1026" s="990"/>
      <c r="R1026" s="990"/>
      <c r="S1026" s="990"/>
      <c r="T1026" s="990"/>
      <c r="U1026" s="990"/>
      <c r="V1026" s="990"/>
      <c r="W1026" s="990"/>
      <c r="X1026" s="990"/>
    </row>
    <row r="1027" spans="1:24" s="896" customFormat="1">
      <c r="A1027" s="987">
        <f t="shared" si="16"/>
        <v>953</v>
      </c>
      <c r="B1027" s="988">
        <v>658</v>
      </c>
      <c r="C1027" s="899" t="s">
        <v>10353</v>
      </c>
      <c r="D1027" s="988" t="s">
        <v>2666</v>
      </c>
      <c r="E1027" s="989">
        <v>1.46</v>
      </c>
      <c r="F1027" s="990"/>
      <c r="G1027" s="990"/>
      <c r="H1027" s="990"/>
      <c r="I1027" s="990"/>
      <c r="J1027" s="990"/>
      <c r="K1027" s="990"/>
      <c r="L1027" s="990"/>
      <c r="M1027" s="990"/>
      <c r="N1027" s="990"/>
      <c r="O1027" s="990"/>
      <c r="P1027" s="990"/>
      <c r="Q1027" s="990"/>
      <c r="R1027" s="990"/>
      <c r="S1027" s="990"/>
      <c r="T1027" s="990"/>
      <c r="U1027" s="990"/>
      <c r="V1027" s="990"/>
      <c r="W1027" s="990"/>
      <c r="X1027" s="990"/>
    </row>
    <row r="1028" spans="1:24" s="896" customFormat="1">
      <c r="A1028" s="987">
        <f t="shared" si="16"/>
        <v>954</v>
      </c>
      <c r="B1028" s="988">
        <v>38548</v>
      </c>
      <c r="C1028" s="899" t="s">
        <v>10354</v>
      </c>
      <c r="D1028" s="988" t="s">
        <v>2666</v>
      </c>
      <c r="E1028" s="989">
        <v>1.95</v>
      </c>
      <c r="F1028" s="990"/>
      <c r="G1028" s="990"/>
      <c r="H1028" s="990"/>
      <c r="I1028" s="990"/>
      <c r="J1028" s="990"/>
      <c r="K1028" s="990"/>
      <c r="L1028" s="990"/>
      <c r="M1028" s="990"/>
      <c r="N1028" s="990"/>
      <c r="O1028" s="990"/>
      <c r="P1028" s="990"/>
      <c r="Q1028" s="990"/>
      <c r="R1028" s="990"/>
      <c r="S1028" s="990"/>
      <c r="T1028" s="990"/>
      <c r="U1028" s="990"/>
      <c r="V1028" s="990"/>
      <c r="W1028" s="990"/>
      <c r="X1028" s="990"/>
    </row>
    <row r="1029" spans="1:24" s="896" customFormat="1">
      <c r="A1029" s="987">
        <f t="shared" si="16"/>
        <v>955</v>
      </c>
      <c r="B1029" s="988">
        <v>34649</v>
      </c>
      <c r="C1029" s="899" t="s">
        <v>10355</v>
      </c>
      <c r="D1029" s="988" t="s">
        <v>2666</v>
      </c>
      <c r="E1029" s="989">
        <v>2.64</v>
      </c>
      <c r="F1029" s="990"/>
      <c r="G1029" s="990"/>
      <c r="H1029" s="990"/>
      <c r="I1029" s="990"/>
      <c r="J1029" s="990"/>
      <c r="K1029" s="990"/>
      <c r="L1029" s="990"/>
      <c r="M1029" s="990"/>
      <c r="N1029" s="990"/>
      <c r="O1029" s="990"/>
      <c r="P1029" s="990"/>
      <c r="Q1029" s="990"/>
      <c r="R1029" s="990"/>
      <c r="S1029" s="990"/>
      <c r="T1029" s="990"/>
      <c r="U1029" s="990"/>
      <c r="V1029" s="990"/>
      <c r="W1029" s="990"/>
      <c r="X1029" s="990"/>
    </row>
    <row r="1030" spans="1:24" s="896" customFormat="1">
      <c r="A1030" s="987">
        <f t="shared" si="16"/>
        <v>956</v>
      </c>
      <c r="B1030" s="988">
        <v>34655</v>
      </c>
      <c r="C1030" s="899" t="s">
        <v>10356</v>
      </c>
      <c r="D1030" s="988" t="s">
        <v>2666</v>
      </c>
      <c r="E1030" s="989">
        <v>3.5</v>
      </c>
      <c r="F1030" s="990"/>
      <c r="G1030" s="990"/>
      <c r="H1030" s="990"/>
      <c r="I1030" s="990"/>
      <c r="J1030" s="990"/>
      <c r="K1030" s="990"/>
      <c r="L1030" s="990"/>
      <c r="M1030" s="990"/>
      <c r="N1030" s="990"/>
      <c r="O1030" s="990"/>
      <c r="P1030" s="990"/>
      <c r="Q1030" s="990"/>
      <c r="R1030" s="990"/>
      <c r="S1030" s="990"/>
      <c r="T1030" s="990"/>
      <c r="U1030" s="990"/>
      <c r="V1030" s="990"/>
      <c r="W1030" s="990"/>
      <c r="X1030" s="990"/>
    </row>
    <row r="1031" spans="1:24" s="896" customFormat="1">
      <c r="A1031" s="987">
        <f t="shared" si="16"/>
        <v>957</v>
      </c>
      <c r="B1031" s="988">
        <v>40607</v>
      </c>
      <c r="C1031" s="899" t="s">
        <v>10357</v>
      </c>
      <c r="D1031" s="988" t="s">
        <v>2666</v>
      </c>
      <c r="E1031" s="989">
        <v>7.35</v>
      </c>
      <c r="F1031" s="990"/>
      <c r="G1031" s="990"/>
      <c r="H1031" s="990"/>
      <c r="I1031" s="990"/>
      <c r="J1031" s="990"/>
      <c r="K1031" s="990"/>
      <c r="L1031" s="990"/>
      <c r="M1031" s="990"/>
      <c r="N1031" s="990"/>
      <c r="O1031" s="990"/>
      <c r="P1031" s="990"/>
      <c r="Q1031" s="990"/>
      <c r="R1031" s="990"/>
      <c r="S1031" s="990"/>
      <c r="T1031" s="990"/>
      <c r="U1031" s="990"/>
      <c r="V1031" s="990"/>
      <c r="W1031" s="990"/>
      <c r="X1031" s="990"/>
    </row>
    <row r="1032" spans="1:24" s="896" customFormat="1" ht="25.5">
      <c r="A1032" s="987">
        <f t="shared" si="16"/>
        <v>958</v>
      </c>
      <c r="B1032" s="988">
        <v>567</v>
      </c>
      <c r="C1032" s="899" t="s">
        <v>10358</v>
      </c>
      <c r="D1032" s="988" t="s">
        <v>2669</v>
      </c>
      <c r="E1032" s="989">
        <v>15.07</v>
      </c>
      <c r="F1032" s="990"/>
      <c r="G1032" s="990"/>
      <c r="H1032" s="990"/>
      <c r="I1032" s="990"/>
      <c r="J1032" s="990"/>
      <c r="K1032" s="990"/>
      <c r="L1032" s="990"/>
      <c r="M1032" s="990"/>
      <c r="N1032" s="990"/>
      <c r="O1032" s="990"/>
      <c r="P1032" s="990"/>
      <c r="Q1032" s="990"/>
      <c r="R1032" s="990"/>
      <c r="S1032" s="990"/>
      <c r="T1032" s="990"/>
      <c r="U1032" s="990"/>
      <c r="V1032" s="990"/>
      <c r="W1032" s="990"/>
      <c r="X1032" s="990"/>
    </row>
    <row r="1033" spans="1:24" s="896" customFormat="1" ht="25.5">
      <c r="A1033" s="987">
        <f t="shared" si="16"/>
        <v>959</v>
      </c>
      <c r="B1033" s="988">
        <v>574</v>
      </c>
      <c r="C1033" s="899" t="s">
        <v>10359</v>
      </c>
      <c r="D1033" s="988" t="s">
        <v>2669</v>
      </c>
      <c r="E1033" s="989">
        <v>39.61</v>
      </c>
      <c r="F1033" s="990"/>
      <c r="G1033" s="990"/>
      <c r="H1033" s="990"/>
      <c r="I1033" s="990"/>
      <c r="J1033" s="990"/>
      <c r="K1033" s="990"/>
      <c r="L1033" s="990"/>
      <c r="M1033" s="990"/>
      <c r="N1033" s="990"/>
      <c r="O1033" s="990"/>
      <c r="P1033" s="990"/>
      <c r="Q1033" s="990"/>
      <c r="R1033" s="990"/>
      <c r="S1033" s="990"/>
      <c r="T1033" s="990"/>
      <c r="U1033" s="990"/>
      <c r="V1033" s="990"/>
      <c r="W1033" s="990"/>
      <c r="X1033" s="990"/>
    </row>
    <row r="1034" spans="1:24" s="896" customFormat="1" ht="25.5">
      <c r="A1034" s="987">
        <f t="shared" si="16"/>
        <v>960</v>
      </c>
      <c r="B1034" s="988">
        <v>568</v>
      </c>
      <c r="C1034" s="899" t="s">
        <v>10360</v>
      </c>
      <c r="D1034" s="988" t="s">
        <v>2669</v>
      </c>
      <c r="E1034" s="989">
        <v>83.46</v>
      </c>
      <c r="F1034" s="990"/>
      <c r="G1034" s="990"/>
      <c r="H1034" s="990"/>
      <c r="I1034" s="990"/>
      <c r="J1034" s="990"/>
      <c r="K1034" s="990"/>
      <c r="L1034" s="990"/>
      <c r="M1034" s="990"/>
      <c r="N1034" s="990"/>
      <c r="O1034" s="990"/>
      <c r="P1034" s="990"/>
      <c r="Q1034" s="990"/>
      <c r="R1034" s="990"/>
      <c r="S1034" s="990"/>
      <c r="T1034" s="990"/>
      <c r="U1034" s="990"/>
      <c r="V1034" s="990"/>
      <c r="W1034" s="990"/>
      <c r="X1034" s="990"/>
    </row>
    <row r="1035" spans="1:24" s="896" customFormat="1">
      <c r="A1035" s="987">
        <f t="shared" si="16"/>
        <v>961</v>
      </c>
      <c r="B1035" s="988">
        <v>585</v>
      </c>
      <c r="C1035" s="899" t="s">
        <v>10361</v>
      </c>
      <c r="D1035" s="988" t="s">
        <v>2670</v>
      </c>
      <c r="E1035" s="989">
        <v>36.65</v>
      </c>
      <c r="F1035" s="990"/>
      <c r="G1035" s="990"/>
      <c r="H1035" s="990"/>
      <c r="I1035" s="990"/>
      <c r="J1035" s="990"/>
      <c r="K1035" s="990"/>
      <c r="L1035" s="990"/>
      <c r="M1035" s="990"/>
      <c r="N1035" s="990"/>
      <c r="O1035" s="990"/>
      <c r="P1035" s="990"/>
      <c r="Q1035" s="990"/>
      <c r="R1035" s="990"/>
      <c r="S1035" s="990"/>
      <c r="T1035" s="990"/>
      <c r="U1035" s="990"/>
      <c r="V1035" s="990"/>
      <c r="W1035" s="990"/>
      <c r="X1035" s="990"/>
    </row>
    <row r="1036" spans="1:24" s="896" customFormat="1">
      <c r="A1036" s="987">
        <f t="shared" ref="A1036:A1099" si="17">A1035+1</f>
        <v>962</v>
      </c>
      <c r="B1036" s="988">
        <v>4777</v>
      </c>
      <c r="C1036" s="899" t="s">
        <v>10362</v>
      </c>
      <c r="D1036" s="988" t="s">
        <v>2670</v>
      </c>
      <c r="E1036" s="989">
        <v>11.23</v>
      </c>
      <c r="F1036" s="990"/>
      <c r="G1036" s="990"/>
      <c r="H1036" s="990"/>
      <c r="I1036" s="990"/>
      <c r="J1036" s="990"/>
      <c r="K1036" s="990"/>
      <c r="L1036" s="990"/>
      <c r="M1036" s="990"/>
      <c r="N1036" s="990"/>
      <c r="O1036" s="990"/>
      <c r="P1036" s="990"/>
      <c r="Q1036" s="990"/>
      <c r="R1036" s="990"/>
      <c r="S1036" s="990"/>
      <c r="T1036" s="990"/>
      <c r="U1036" s="990"/>
      <c r="V1036" s="990"/>
      <c r="W1036" s="990"/>
      <c r="X1036" s="990"/>
    </row>
    <row r="1037" spans="1:24" s="896" customFormat="1">
      <c r="A1037" s="987">
        <f t="shared" si="17"/>
        <v>963</v>
      </c>
      <c r="B1037" s="988">
        <v>587</v>
      </c>
      <c r="C1037" s="899" t="s">
        <v>10363</v>
      </c>
      <c r="D1037" s="988" t="s">
        <v>2670</v>
      </c>
      <c r="E1037" s="989">
        <v>39.270000000000003</v>
      </c>
      <c r="F1037" s="990"/>
      <c r="G1037" s="990"/>
      <c r="H1037" s="990"/>
      <c r="I1037" s="990"/>
      <c r="J1037" s="990"/>
      <c r="K1037" s="990"/>
      <c r="L1037" s="990"/>
      <c r="M1037" s="990"/>
      <c r="N1037" s="990"/>
      <c r="O1037" s="990"/>
      <c r="P1037" s="990"/>
      <c r="Q1037" s="990"/>
      <c r="R1037" s="990"/>
      <c r="S1037" s="990"/>
      <c r="T1037" s="990"/>
      <c r="U1037" s="990"/>
      <c r="V1037" s="990"/>
      <c r="W1037" s="990"/>
      <c r="X1037" s="990"/>
    </row>
    <row r="1038" spans="1:24" s="896" customFormat="1">
      <c r="A1038" s="987">
        <f t="shared" si="17"/>
        <v>964</v>
      </c>
      <c r="B1038" s="988">
        <v>590</v>
      </c>
      <c r="C1038" s="899" t="s">
        <v>10364</v>
      </c>
      <c r="D1038" s="988" t="s">
        <v>2670</v>
      </c>
      <c r="E1038" s="989">
        <v>37.96</v>
      </c>
      <c r="F1038" s="990"/>
      <c r="G1038" s="990"/>
      <c r="H1038" s="990"/>
      <c r="I1038" s="990"/>
      <c r="J1038" s="990"/>
      <c r="K1038" s="990"/>
      <c r="L1038" s="990"/>
      <c r="M1038" s="990"/>
      <c r="N1038" s="990"/>
      <c r="O1038" s="990"/>
      <c r="P1038" s="990"/>
      <c r="Q1038" s="990"/>
      <c r="R1038" s="990"/>
      <c r="S1038" s="990"/>
      <c r="T1038" s="990"/>
      <c r="U1038" s="990"/>
      <c r="V1038" s="990"/>
      <c r="W1038" s="990"/>
      <c r="X1038" s="990"/>
    </row>
    <row r="1039" spans="1:24" s="896" customFormat="1">
      <c r="A1039" s="987">
        <f t="shared" si="17"/>
        <v>965</v>
      </c>
      <c r="B1039" s="988">
        <v>592</v>
      </c>
      <c r="C1039" s="899" t="s">
        <v>10365</v>
      </c>
      <c r="D1039" s="988" t="s">
        <v>2670</v>
      </c>
      <c r="E1039" s="989">
        <v>39.270000000000003</v>
      </c>
      <c r="F1039" s="990"/>
      <c r="G1039" s="990"/>
      <c r="H1039" s="990"/>
      <c r="I1039" s="990"/>
      <c r="J1039" s="990"/>
      <c r="K1039" s="990"/>
      <c r="L1039" s="990"/>
      <c r="M1039" s="990"/>
      <c r="N1039" s="990"/>
      <c r="O1039" s="990"/>
      <c r="P1039" s="990"/>
      <c r="Q1039" s="990"/>
      <c r="R1039" s="990"/>
      <c r="S1039" s="990"/>
      <c r="T1039" s="990"/>
      <c r="U1039" s="990"/>
      <c r="V1039" s="990"/>
      <c r="W1039" s="990"/>
      <c r="X1039" s="990"/>
    </row>
    <row r="1040" spans="1:24" s="896" customFormat="1">
      <c r="A1040" s="987">
        <f t="shared" si="17"/>
        <v>966</v>
      </c>
      <c r="B1040" s="988">
        <v>586</v>
      </c>
      <c r="C1040" s="899" t="s">
        <v>10366</v>
      </c>
      <c r="D1040" s="988" t="s">
        <v>2669</v>
      </c>
      <c r="E1040" s="989">
        <v>23.09</v>
      </c>
      <c r="F1040" s="990"/>
      <c r="G1040" s="990"/>
      <c r="H1040" s="990"/>
      <c r="I1040" s="990"/>
      <c r="J1040" s="990"/>
      <c r="K1040" s="990"/>
      <c r="L1040" s="990"/>
      <c r="M1040" s="990"/>
      <c r="N1040" s="990"/>
      <c r="O1040" s="990"/>
      <c r="P1040" s="990"/>
      <c r="Q1040" s="990"/>
      <c r="R1040" s="990"/>
      <c r="S1040" s="990"/>
      <c r="T1040" s="990"/>
      <c r="U1040" s="990"/>
      <c r="V1040" s="990"/>
      <c r="W1040" s="990"/>
      <c r="X1040" s="990"/>
    </row>
    <row r="1041" spans="1:24" s="896" customFormat="1">
      <c r="A1041" s="987">
        <f t="shared" si="17"/>
        <v>967</v>
      </c>
      <c r="B1041" s="988">
        <v>591</v>
      </c>
      <c r="C1041" s="899" t="s">
        <v>10367</v>
      </c>
      <c r="D1041" s="988" t="s">
        <v>2670</v>
      </c>
      <c r="E1041" s="989">
        <v>36.65</v>
      </c>
      <c r="F1041" s="990"/>
      <c r="G1041" s="990"/>
      <c r="H1041" s="990"/>
      <c r="I1041" s="990"/>
      <c r="J1041" s="990"/>
      <c r="K1041" s="990"/>
      <c r="L1041" s="990"/>
      <c r="M1041" s="990"/>
      <c r="N1041" s="990"/>
      <c r="O1041" s="990"/>
      <c r="P1041" s="990"/>
      <c r="Q1041" s="990"/>
      <c r="R1041" s="990"/>
      <c r="S1041" s="990"/>
      <c r="T1041" s="990"/>
      <c r="U1041" s="990"/>
      <c r="V1041" s="990"/>
      <c r="W1041" s="990"/>
      <c r="X1041" s="990"/>
    </row>
    <row r="1042" spans="1:24" s="896" customFormat="1">
      <c r="A1042" s="987">
        <f t="shared" si="17"/>
        <v>968</v>
      </c>
      <c r="B1042" s="988">
        <v>588</v>
      </c>
      <c r="C1042" s="899" t="s">
        <v>10368</v>
      </c>
      <c r="D1042" s="988" t="s">
        <v>2669</v>
      </c>
      <c r="E1042" s="989">
        <v>36.520000000000003</v>
      </c>
      <c r="F1042" s="990"/>
      <c r="G1042" s="990"/>
      <c r="H1042" s="990"/>
      <c r="I1042" s="990"/>
      <c r="J1042" s="990"/>
      <c r="K1042" s="990"/>
      <c r="L1042" s="990"/>
      <c r="M1042" s="990"/>
      <c r="N1042" s="990"/>
      <c r="O1042" s="990"/>
      <c r="P1042" s="990"/>
      <c r="Q1042" s="990"/>
      <c r="R1042" s="990"/>
      <c r="S1042" s="990"/>
      <c r="T1042" s="990"/>
      <c r="U1042" s="990"/>
      <c r="V1042" s="990"/>
      <c r="W1042" s="990"/>
      <c r="X1042" s="990"/>
    </row>
    <row r="1043" spans="1:24" s="896" customFormat="1">
      <c r="A1043" s="987">
        <f t="shared" si="17"/>
        <v>969</v>
      </c>
      <c r="B1043" s="988">
        <v>589</v>
      </c>
      <c r="C1043" s="899" t="s">
        <v>10369</v>
      </c>
      <c r="D1043" s="988" t="s">
        <v>2669</v>
      </c>
      <c r="E1043" s="989">
        <v>61.73</v>
      </c>
      <c r="F1043" s="990"/>
      <c r="G1043" s="990"/>
      <c r="H1043" s="990"/>
      <c r="I1043" s="990"/>
      <c r="J1043" s="990"/>
      <c r="K1043" s="990"/>
      <c r="L1043" s="990"/>
      <c r="M1043" s="990"/>
      <c r="N1043" s="990"/>
      <c r="O1043" s="990"/>
      <c r="P1043" s="990"/>
      <c r="Q1043" s="990"/>
      <c r="R1043" s="990"/>
      <c r="S1043" s="990"/>
      <c r="T1043" s="990"/>
      <c r="U1043" s="990"/>
      <c r="V1043" s="990"/>
      <c r="W1043" s="990"/>
      <c r="X1043" s="990"/>
    </row>
    <row r="1044" spans="1:24" s="896" customFormat="1">
      <c r="A1044" s="987">
        <f t="shared" si="17"/>
        <v>970</v>
      </c>
      <c r="B1044" s="988">
        <v>584</v>
      </c>
      <c r="C1044" s="899" t="s">
        <v>10370</v>
      </c>
      <c r="D1044" s="988" t="s">
        <v>2669</v>
      </c>
      <c r="E1044" s="989">
        <v>39</v>
      </c>
      <c r="F1044" s="990"/>
      <c r="G1044" s="990"/>
      <c r="H1044" s="990"/>
      <c r="I1044" s="990"/>
      <c r="J1044" s="990"/>
      <c r="K1044" s="990"/>
      <c r="L1044" s="990"/>
      <c r="M1044" s="990"/>
      <c r="N1044" s="990"/>
      <c r="O1044" s="990"/>
      <c r="P1044" s="990"/>
      <c r="Q1044" s="990"/>
      <c r="R1044" s="990"/>
      <c r="S1044" s="990"/>
      <c r="T1044" s="990"/>
      <c r="U1044" s="990"/>
      <c r="V1044" s="990"/>
      <c r="W1044" s="990"/>
      <c r="X1044" s="990"/>
    </row>
    <row r="1045" spans="1:24" s="896" customFormat="1">
      <c r="A1045" s="987">
        <f t="shared" si="17"/>
        <v>971</v>
      </c>
      <c r="B1045" s="988">
        <v>1165</v>
      </c>
      <c r="C1045" s="899" t="s">
        <v>10371</v>
      </c>
      <c r="D1045" s="988" t="s">
        <v>2666</v>
      </c>
      <c r="E1045" s="989">
        <v>20.11</v>
      </c>
      <c r="F1045" s="990"/>
      <c r="G1045" s="990"/>
      <c r="H1045" s="990"/>
      <c r="I1045" s="990"/>
      <c r="J1045" s="990"/>
      <c r="K1045" s="990"/>
      <c r="L1045" s="990"/>
      <c r="M1045" s="990"/>
      <c r="N1045" s="990"/>
      <c r="O1045" s="990"/>
      <c r="P1045" s="990"/>
      <c r="Q1045" s="990"/>
      <c r="R1045" s="990"/>
      <c r="S1045" s="990"/>
      <c r="T1045" s="990"/>
      <c r="U1045" s="990"/>
      <c r="V1045" s="990"/>
      <c r="W1045" s="990"/>
      <c r="X1045" s="990"/>
    </row>
    <row r="1046" spans="1:24" s="896" customFormat="1">
      <c r="A1046" s="987">
        <f t="shared" si="17"/>
        <v>972</v>
      </c>
      <c r="B1046" s="988">
        <v>1164</v>
      </c>
      <c r="C1046" s="899" t="s">
        <v>10372</v>
      </c>
      <c r="D1046" s="988" t="s">
        <v>2666</v>
      </c>
      <c r="E1046" s="989">
        <v>16.29</v>
      </c>
      <c r="F1046" s="990"/>
      <c r="G1046" s="990"/>
      <c r="H1046" s="990"/>
      <c r="I1046" s="990"/>
      <c r="J1046" s="990"/>
      <c r="K1046" s="990"/>
      <c r="L1046" s="990"/>
      <c r="M1046" s="990"/>
      <c r="N1046" s="990"/>
      <c r="O1046" s="990"/>
      <c r="P1046" s="990"/>
      <c r="Q1046" s="990"/>
      <c r="R1046" s="990"/>
      <c r="S1046" s="990"/>
      <c r="T1046" s="990"/>
      <c r="U1046" s="990"/>
      <c r="V1046" s="990"/>
      <c r="W1046" s="990"/>
      <c r="X1046" s="990"/>
    </row>
    <row r="1047" spans="1:24" s="896" customFormat="1">
      <c r="A1047" s="987">
        <f t="shared" si="17"/>
        <v>973</v>
      </c>
      <c r="B1047" s="988">
        <v>1162</v>
      </c>
      <c r="C1047" s="899" t="s">
        <v>10373</v>
      </c>
      <c r="D1047" s="988" t="s">
        <v>2666</v>
      </c>
      <c r="E1047" s="989">
        <v>5.66</v>
      </c>
      <c r="F1047" s="990"/>
      <c r="G1047" s="990"/>
      <c r="H1047" s="990"/>
      <c r="I1047" s="990"/>
      <c r="J1047" s="990"/>
      <c r="K1047" s="990"/>
      <c r="L1047" s="990"/>
      <c r="M1047" s="990"/>
      <c r="N1047" s="990"/>
      <c r="O1047" s="990"/>
      <c r="P1047" s="990"/>
      <c r="Q1047" s="990"/>
      <c r="R1047" s="990"/>
      <c r="S1047" s="990"/>
      <c r="T1047" s="990"/>
      <c r="U1047" s="990"/>
      <c r="V1047" s="990"/>
      <c r="W1047" s="990"/>
      <c r="X1047" s="990"/>
    </row>
    <row r="1048" spans="1:24" s="896" customFormat="1">
      <c r="A1048" s="987">
        <f t="shared" si="17"/>
        <v>974</v>
      </c>
      <c r="B1048" s="988">
        <v>12395</v>
      </c>
      <c r="C1048" s="899" t="s">
        <v>10374</v>
      </c>
      <c r="D1048" s="988" t="s">
        <v>2666</v>
      </c>
      <c r="E1048" s="989">
        <v>5.5</v>
      </c>
      <c r="F1048" s="990"/>
      <c r="G1048" s="990"/>
      <c r="H1048" s="990"/>
      <c r="I1048" s="990"/>
      <c r="J1048" s="990"/>
      <c r="K1048" s="990"/>
      <c r="L1048" s="990"/>
      <c r="M1048" s="990"/>
      <c r="N1048" s="990"/>
      <c r="O1048" s="990"/>
      <c r="P1048" s="990"/>
      <c r="Q1048" s="990"/>
      <c r="R1048" s="990"/>
      <c r="S1048" s="990"/>
      <c r="T1048" s="990"/>
      <c r="U1048" s="990"/>
      <c r="V1048" s="990"/>
      <c r="W1048" s="990"/>
      <c r="X1048" s="990"/>
    </row>
    <row r="1049" spans="1:24" s="896" customFormat="1">
      <c r="A1049" s="987">
        <f t="shared" si="17"/>
        <v>975</v>
      </c>
      <c r="B1049" s="988">
        <v>1170</v>
      </c>
      <c r="C1049" s="899" t="s">
        <v>10375</v>
      </c>
      <c r="D1049" s="988" t="s">
        <v>2666</v>
      </c>
      <c r="E1049" s="989">
        <v>10.67</v>
      </c>
      <c r="F1049" s="990"/>
      <c r="G1049" s="990"/>
      <c r="H1049" s="990"/>
      <c r="I1049" s="990"/>
      <c r="J1049" s="990"/>
      <c r="K1049" s="990"/>
      <c r="L1049" s="990"/>
      <c r="M1049" s="990"/>
      <c r="N1049" s="990"/>
      <c r="O1049" s="990"/>
      <c r="P1049" s="990"/>
      <c r="Q1049" s="990"/>
      <c r="R1049" s="990"/>
      <c r="S1049" s="990"/>
      <c r="T1049" s="990"/>
      <c r="U1049" s="990"/>
      <c r="V1049" s="990"/>
      <c r="W1049" s="990"/>
      <c r="X1049" s="990"/>
    </row>
    <row r="1050" spans="1:24" s="896" customFormat="1">
      <c r="A1050" s="987">
        <f t="shared" si="17"/>
        <v>976</v>
      </c>
      <c r="B1050" s="988">
        <v>1169</v>
      </c>
      <c r="C1050" s="899" t="s">
        <v>10376</v>
      </c>
      <c r="D1050" s="988" t="s">
        <v>2666</v>
      </c>
      <c r="E1050" s="989">
        <v>52.4</v>
      </c>
      <c r="F1050" s="990"/>
      <c r="G1050" s="990"/>
      <c r="H1050" s="990"/>
      <c r="I1050" s="990"/>
      <c r="J1050" s="990"/>
      <c r="K1050" s="990"/>
      <c r="L1050" s="990"/>
      <c r="M1050" s="990"/>
      <c r="N1050" s="990"/>
      <c r="O1050" s="990"/>
      <c r="P1050" s="990"/>
      <c r="Q1050" s="990"/>
      <c r="R1050" s="990"/>
      <c r="S1050" s="990"/>
      <c r="T1050" s="990"/>
      <c r="U1050" s="990"/>
      <c r="V1050" s="990"/>
      <c r="W1050" s="990"/>
      <c r="X1050" s="990"/>
    </row>
    <row r="1051" spans="1:24" s="896" customFormat="1">
      <c r="A1051" s="987">
        <f t="shared" si="17"/>
        <v>977</v>
      </c>
      <c r="B1051" s="988">
        <v>1166</v>
      </c>
      <c r="C1051" s="899" t="s">
        <v>10377</v>
      </c>
      <c r="D1051" s="988" t="s">
        <v>2666</v>
      </c>
      <c r="E1051" s="989">
        <v>29.05</v>
      </c>
      <c r="F1051" s="990"/>
      <c r="G1051" s="990"/>
      <c r="H1051" s="990"/>
      <c r="I1051" s="990"/>
      <c r="J1051" s="990"/>
      <c r="K1051" s="990"/>
      <c r="L1051" s="990"/>
      <c r="M1051" s="990"/>
      <c r="N1051" s="990"/>
      <c r="O1051" s="990"/>
      <c r="P1051" s="990"/>
      <c r="Q1051" s="990"/>
      <c r="R1051" s="990"/>
      <c r="S1051" s="990"/>
      <c r="T1051" s="990"/>
      <c r="U1051" s="990"/>
      <c r="V1051" s="990"/>
      <c r="W1051" s="990"/>
      <c r="X1051" s="990"/>
    </row>
    <row r="1052" spans="1:24" s="896" customFormat="1">
      <c r="A1052" s="987">
        <f t="shared" si="17"/>
        <v>978</v>
      </c>
      <c r="B1052" s="988">
        <v>1163</v>
      </c>
      <c r="C1052" s="899" t="s">
        <v>10378</v>
      </c>
      <c r="D1052" s="988" t="s">
        <v>2666</v>
      </c>
      <c r="E1052" s="989">
        <v>7.32</v>
      </c>
      <c r="F1052" s="990"/>
      <c r="G1052" s="990"/>
      <c r="H1052" s="990"/>
      <c r="I1052" s="990"/>
      <c r="J1052" s="990"/>
      <c r="K1052" s="990"/>
      <c r="L1052" s="990"/>
      <c r="M1052" s="990"/>
      <c r="N1052" s="990"/>
      <c r="O1052" s="990"/>
      <c r="P1052" s="990"/>
      <c r="Q1052" s="990"/>
      <c r="R1052" s="990"/>
      <c r="S1052" s="990"/>
      <c r="T1052" s="990"/>
      <c r="U1052" s="990"/>
      <c r="V1052" s="990"/>
      <c r="W1052" s="990"/>
      <c r="X1052" s="990"/>
    </row>
    <row r="1053" spans="1:24" s="896" customFormat="1">
      <c r="A1053" s="987">
        <f t="shared" si="17"/>
        <v>979</v>
      </c>
      <c r="B1053" s="988">
        <v>12396</v>
      </c>
      <c r="C1053" s="899" t="s">
        <v>10379</v>
      </c>
      <c r="D1053" s="988" t="s">
        <v>2666</v>
      </c>
      <c r="E1053" s="989">
        <v>5.5</v>
      </c>
      <c r="F1053" s="990"/>
      <c r="G1053" s="990"/>
      <c r="H1053" s="990"/>
      <c r="I1053" s="990"/>
      <c r="J1053" s="990"/>
      <c r="K1053" s="990"/>
      <c r="L1053" s="990"/>
      <c r="M1053" s="990"/>
      <c r="N1053" s="990"/>
      <c r="O1053" s="990"/>
      <c r="P1053" s="990"/>
      <c r="Q1053" s="990"/>
      <c r="R1053" s="990"/>
      <c r="S1053" s="990"/>
      <c r="T1053" s="990"/>
      <c r="U1053" s="990"/>
      <c r="V1053" s="990"/>
      <c r="W1053" s="990"/>
      <c r="X1053" s="990"/>
    </row>
    <row r="1054" spans="1:24" s="896" customFormat="1">
      <c r="A1054" s="987">
        <f t="shared" si="17"/>
        <v>980</v>
      </c>
      <c r="B1054" s="988">
        <v>1168</v>
      </c>
      <c r="C1054" s="899" t="s">
        <v>10380</v>
      </c>
      <c r="D1054" s="988" t="s">
        <v>2666</v>
      </c>
      <c r="E1054" s="989">
        <v>74.7</v>
      </c>
      <c r="F1054" s="990"/>
      <c r="G1054" s="990"/>
      <c r="H1054" s="990"/>
      <c r="I1054" s="990"/>
      <c r="J1054" s="990"/>
      <c r="K1054" s="990"/>
      <c r="L1054" s="990"/>
      <c r="M1054" s="990"/>
      <c r="N1054" s="990"/>
      <c r="O1054" s="990"/>
      <c r="P1054" s="990"/>
      <c r="Q1054" s="990"/>
      <c r="R1054" s="990"/>
      <c r="S1054" s="990"/>
      <c r="T1054" s="990"/>
      <c r="U1054" s="990"/>
      <c r="V1054" s="990"/>
      <c r="W1054" s="990"/>
      <c r="X1054" s="990"/>
    </row>
    <row r="1055" spans="1:24" s="896" customFormat="1">
      <c r="A1055" s="987">
        <f t="shared" si="17"/>
        <v>981</v>
      </c>
      <c r="B1055" s="988">
        <v>1167</v>
      </c>
      <c r="C1055" s="899" t="s">
        <v>10381</v>
      </c>
      <c r="D1055" s="988" t="s">
        <v>2666</v>
      </c>
      <c r="E1055" s="989">
        <v>124.96</v>
      </c>
      <c r="F1055" s="990"/>
      <c r="G1055" s="990"/>
      <c r="H1055" s="990"/>
      <c r="I1055" s="990"/>
      <c r="J1055" s="990"/>
      <c r="K1055" s="990"/>
      <c r="L1055" s="990"/>
      <c r="M1055" s="990"/>
      <c r="N1055" s="990"/>
      <c r="O1055" s="990"/>
      <c r="P1055" s="990"/>
      <c r="Q1055" s="990"/>
      <c r="R1055" s="990"/>
      <c r="S1055" s="990"/>
      <c r="T1055" s="990"/>
      <c r="U1055" s="990"/>
      <c r="V1055" s="990"/>
      <c r="W1055" s="990"/>
      <c r="X1055" s="990"/>
    </row>
    <row r="1056" spans="1:24" s="896" customFormat="1">
      <c r="A1056" s="987">
        <f t="shared" si="17"/>
        <v>982</v>
      </c>
      <c r="B1056" s="988">
        <v>36331</v>
      </c>
      <c r="C1056" s="899" t="s">
        <v>10382</v>
      </c>
      <c r="D1056" s="988" t="s">
        <v>2666</v>
      </c>
      <c r="E1056" s="989">
        <v>2.33</v>
      </c>
      <c r="F1056" s="990"/>
      <c r="G1056" s="990"/>
      <c r="H1056" s="990"/>
      <c r="I1056" s="990"/>
      <c r="J1056" s="990"/>
      <c r="K1056" s="990"/>
      <c r="L1056" s="990"/>
      <c r="M1056" s="990"/>
      <c r="N1056" s="990"/>
      <c r="O1056" s="990"/>
      <c r="P1056" s="990"/>
      <c r="Q1056" s="990"/>
      <c r="R1056" s="990"/>
      <c r="S1056" s="990"/>
      <c r="T1056" s="990"/>
      <c r="U1056" s="990"/>
      <c r="V1056" s="990"/>
      <c r="W1056" s="990"/>
      <c r="X1056" s="990"/>
    </row>
    <row r="1057" spans="1:24" s="896" customFormat="1">
      <c r="A1057" s="987">
        <f t="shared" si="17"/>
        <v>983</v>
      </c>
      <c r="B1057" s="988">
        <v>36346</v>
      </c>
      <c r="C1057" s="899" t="s">
        <v>10383</v>
      </c>
      <c r="D1057" s="988" t="s">
        <v>2666</v>
      </c>
      <c r="E1057" s="989">
        <v>4</v>
      </c>
      <c r="F1057" s="990"/>
      <c r="G1057" s="990"/>
      <c r="H1057" s="990"/>
      <c r="I1057" s="990"/>
      <c r="J1057" s="990"/>
      <c r="K1057" s="990"/>
      <c r="L1057" s="990"/>
      <c r="M1057" s="990"/>
      <c r="N1057" s="990"/>
      <c r="O1057" s="990"/>
      <c r="P1057" s="990"/>
      <c r="Q1057" s="990"/>
      <c r="R1057" s="990"/>
      <c r="S1057" s="990"/>
      <c r="T1057" s="990"/>
      <c r="U1057" s="990"/>
      <c r="V1057" s="990"/>
      <c r="W1057" s="990"/>
      <c r="X1057" s="990"/>
    </row>
    <row r="1058" spans="1:24" s="896" customFormat="1">
      <c r="A1058" s="987">
        <f t="shared" si="17"/>
        <v>984</v>
      </c>
      <c r="B1058" s="988">
        <v>1210</v>
      </c>
      <c r="C1058" s="899" t="s">
        <v>10384</v>
      </c>
      <c r="D1058" s="988" t="s">
        <v>2666</v>
      </c>
      <c r="E1058" s="989">
        <v>15.52</v>
      </c>
      <c r="F1058" s="990"/>
      <c r="G1058" s="990"/>
      <c r="H1058" s="990"/>
      <c r="I1058" s="990"/>
      <c r="J1058" s="990"/>
      <c r="K1058" s="990"/>
      <c r="L1058" s="990"/>
      <c r="M1058" s="990"/>
      <c r="N1058" s="990"/>
      <c r="O1058" s="990"/>
      <c r="P1058" s="990"/>
      <c r="Q1058" s="990"/>
      <c r="R1058" s="990"/>
      <c r="S1058" s="990"/>
      <c r="T1058" s="990"/>
      <c r="U1058" s="990"/>
      <c r="V1058" s="990"/>
      <c r="W1058" s="990"/>
      <c r="X1058" s="990"/>
    </row>
    <row r="1059" spans="1:24" s="896" customFormat="1">
      <c r="A1059" s="987">
        <f t="shared" si="17"/>
        <v>985</v>
      </c>
      <c r="B1059" s="988">
        <v>1203</v>
      </c>
      <c r="C1059" s="899" t="s">
        <v>10385</v>
      </c>
      <c r="D1059" s="988" t="s">
        <v>2666</v>
      </c>
      <c r="E1059" s="989">
        <v>15.04</v>
      </c>
      <c r="F1059" s="990"/>
      <c r="G1059" s="990"/>
      <c r="H1059" s="990"/>
      <c r="I1059" s="990"/>
      <c r="J1059" s="990"/>
      <c r="K1059" s="990"/>
      <c r="L1059" s="990"/>
      <c r="M1059" s="990"/>
      <c r="N1059" s="990"/>
      <c r="O1059" s="990"/>
      <c r="P1059" s="990"/>
      <c r="Q1059" s="990"/>
      <c r="R1059" s="990"/>
      <c r="S1059" s="990"/>
      <c r="T1059" s="990"/>
      <c r="U1059" s="990"/>
      <c r="V1059" s="990"/>
      <c r="W1059" s="990"/>
      <c r="X1059" s="990"/>
    </row>
    <row r="1060" spans="1:24" s="896" customFormat="1">
      <c r="A1060" s="987">
        <f t="shared" si="17"/>
        <v>986</v>
      </c>
      <c r="B1060" s="988">
        <v>1197</v>
      </c>
      <c r="C1060" s="899" t="s">
        <v>10386</v>
      </c>
      <c r="D1060" s="988" t="s">
        <v>2666</v>
      </c>
      <c r="E1060" s="989">
        <v>1.92</v>
      </c>
      <c r="F1060" s="990"/>
      <c r="G1060" s="990"/>
      <c r="H1060" s="990"/>
      <c r="I1060" s="990"/>
      <c r="J1060" s="990"/>
      <c r="K1060" s="990"/>
      <c r="L1060" s="990"/>
      <c r="M1060" s="990"/>
      <c r="N1060" s="990"/>
      <c r="O1060" s="990"/>
      <c r="P1060" s="990"/>
      <c r="Q1060" s="990"/>
      <c r="R1060" s="990"/>
      <c r="S1060" s="990"/>
      <c r="T1060" s="990"/>
      <c r="U1060" s="990"/>
      <c r="V1060" s="990"/>
      <c r="W1060" s="990"/>
      <c r="X1060" s="990"/>
    </row>
    <row r="1061" spans="1:24" s="896" customFormat="1">
      <c r="A1061" s="987">
        <f t="shared" si="17"/>
        <v>987</v>
      </c>
      <c r="B1061" s="988">
        <v>1202</v>
      </c>
      <c r="C1061" s="899" t="s">
        <v>10387</v>
      </c>
      <c r="D1061" s="988" t="s">
        <v>2666</v>
      </c>
      <c r="E1061" s="989">
        <v>5.17</v>
      </c>
      <c r="F1061" s="990"/>
      <c r="G1061" s="990"/>
      <c r="H1061" s="990"/>
      <c r="I1061" s="990"/>
      <c r="J1061" s="990"/>
      <c r="K1061" s="990"/>
      <c r="L1061" s="990"/>
      <c r="M1061" s="990"/>
      <c r="N1061" s="990"/>
      <c r="O1061" s="990"/>
      <c r="P1061" s="990"/>
      <c r="Q1061" s="990"/>
      <c r="R1061" s="990"/>
      <c r="S1061" s="990"/>
      <c r="T1061" s="990"/>
      <c r="U1061" s="990"/>
      <c r="V1061" s="990"/>
      <c r="W1061" s="990"/>
      <c r="X1061" s="990"/>
    </row>
    <row r="1062" spans="1:24" s="896" customFormat="1">
      <c r="A1062" s="987">
        <f t="shared" si="17"/>
        <v>988</v>
      </c>
      <c r="B1062" s="988">
        <v>1188</v>
      </c>
      <c r="C1062" s="899" t="s">
        <v>10388</v>
      </c>
      <c r="D1062" s="988" t="s">
        <v>2666</v>
      </c>
      <c r="E1062" s="989">
        <v>30.57</v>
      </c>
      <c r="F1062" s="990"/>
      <c r="G1062" s="990"/>
      <c r="H1062" s="990"/>
      <c r="I1062" s="990"/>
      <c r="J1062" s="990"/>
      <c r="K1062" s="990"/>
      <c r="L1062" s="990"/>
      <c r="M1062" s="990"/>
      <c r="N1062" s="990"/>
      <c r="O1062" s="990"/>
      <c r="P1062" s="990"/>
      <c r="Q1062" s="990"/>
      <c r="R1062" s="990"/>
      <c r="S1062" s="990"/>
      <c r="T1062" s="990"/>
      <c r="U1062" s="990"/>
      <c r="V1062" s="990"/>
      <c r="W1062" s="990"/>
      <c r="X1062" s="990"/>
    </row>
    <row r="1063" spans="1:24" s="896" customFormat="1">
      <c r="A1063" s="987">
        <f t="shared" si="17"/>
        <v>989</v>
      </c>
      <c r="B1063" s="988">
        <v>1211</v>
      </c>
      <c r="C1063" s="899" t="s">
        <v>10389</v>
      </c>
      <c r="D1063" s="988" t="s">
        <v>2666</v>
      </c>
      <c r="E1063" s="989">
        <v>15.78</v>
      </c>
      <c r="F1063" s="990"/>
      <c r="G1063" s="990"/>
      <c r="H1063" s="990"/>
      <c r="I1063" s="990"/>
      <c r="J1063" s="990"/>
      <c r="K1063" s="990"/>
      <c r="L1063" s="990"/>
      <c r="M1063" s="990"/>
      <c r="N1063" s="990"/>
      <c r="O1063" s="990"/>
      <c r="P1063" s="990"/>
      <c r="Q1063" s="990"/>
      <c r="R1063" s="990"/>
      <c r="S1063" s="990"/>
      <c r="T1063" s="990"/>
      <c r="U1063" s="990"/>
      <c r="V1063" s="990"/>
      <c r="W1063" s="990"/>
      <c r="X1063" s="990"/>
    </row>
    <row r="1064" spans="1:24" s="896" customFormat="1">
      <c r="A1064" s="987">
        <f t="shared" si="17"/>
        <v>990</v>
      </c>
      <c r="B1064" s="988">
        <v>1198</v>
      </c>
      <c r="C1064" s="899" t="s">
        <v>10390</v>
      </c>
      <c r="D1064" s="988" t="s">
        <v>2666</v>
      </c>
      <c r="E1064" s="989">
        <v>2.84</v>
      </c>
      <c r="F1064" s="990"/>
      <c r="G1064" s="990"/>
      <c r="H1064" s="990"/>
      <c r="I1064" s="990"/>
      <c r="J1064" s="990"/>
      <c r="K1064" s="990"/>
      <c r="L1064" s="990"/>
      <c r="M1064" s="990"/>
      <c r="N1064" s="990"/>
      <c r="O1064" s="990"/>
      <c r="P1064" s="990"/>
      <c r="Q1064" s="990"/>
      <c r="R1064" s="990"/>
      <c r="S1064" s="990"/>
      <c r="T1064" s="990"/>
      <c r="U1064" s="990"/>
      <c r="V1064" s="990"/>
      <c r="W1064" s="990"/>
      <c r="X1064" s="990"/>
    </row>
    <row r="1065" spans="1:24" s="896" customFormat="1">
      <c r="A1065" s="987">
        <f t="shared" si="17"/>
        <v>991</v>
      </c>
      <c r="B1065" s="988">
        <v>1199</v>
      </c>
      <c r="C1065" s="899" t="s">
        <v>10391</v>
      </c>
      <c r="D1065" s="988" t="s">
        <v>2666</v>
      </c>
      <c r="E1065" s="989">
        <v>39.93</v>
      </c>
      <c r="F1065" s="990"/>
      <c r="G1065" s="990"/>
      <c r="H1065" s="990"/>
      <c r="I1065" s="990"/>
      <c r="J1065" s="990"/>
      <c r="K1065" s="990"/>
      <c r="L1065" s="990"/>
      <c r="M1065" s="990"/>
      <c r="N1065" s="990"/>
      <c r="O1065" s="990"/>
      <c r="P1065" s="990"/>
      <c r="Q1065" s="990"/>
      <c r="R1065" s="990"/>
      <c r="S1065" s="990"/>
      <c r="T1065" s="990"/>
      <c r="U1065" s="990"/>
      <c r="V1065" s="990"/>
      <c r="W1065" s="990"/>
      <c r="X1065" s="990"/>
    </row>
    <row r="1066" spans="1:24" s="896" customFormat="1">
      <c r="A1066" s="987">
        <f t="shared" si="17"/>
        <v>992</v>
      </c>
      <c r="B1066" s="988">
        <v>20088</v>
      </c>
      <c r="C1066" s="899" t="s">
        <v>10392</v>
      </c>
      <c r="D1066" s="988" t="s">
        <v>2666</v>
      </c>
      <c r="E1066" s="989">
        <v>20.94</v>
      </c>
      <c r="F1066" s="990"/>
      <c r="G1066" s="990"/>
      <c r="H1066" s="990"/>
      <c r="I1066" s="990"/>
      <c r="J1066" s="990"/>
      <c r="K1066" s="990"/>
      <c r="L1066" s="990"/>
      <c r="M1066" s="990"/>
      <c r="N1066" s="990"/>
      <c r="O1066" s="990"/>
      <c r="P1066" s="990"/>
      <c r="Q1066" s="990"/>
      <c r="R1066" s="990"/>
      <c r="S1066" s="990"/>
      <c r="T1066" s="990"/>
      <c r="U1066" s="990"/>
      <c r="V1066" s="990"/>
      <c r="W1066" s="990"/>
      <c r="X1066" s="990"/>
    </row>
    <row r="1067" spans="1:24" s="896" customFormat="1">
      <c r="A1067" s="987">
        <f t="shared" si="17"/>
        <v>993</v>
      </c>
      <c r="B1067" s="988">
        <v>20089</v>
      </c>
      <c r="C1067" s="899" t="s">
        <v>10393</v>
      </c>
      <c r="D1067" s="988" t="s">
        <v>2666</v>
      </c>
      <c r="E1067" s="989">
        <v>99.8</v>
      </c>
      <c r="F1067" s="990"/>
      <c r="G1067" s="990"/>
      <c r="H1067" s="990"/>
      <c r="I1067" s="990"/>
      <c r="J1067" s="990"/>
      <c r="K1067" s="990"/>
      <c r="L1067" s="990"/>
      <c r="M1067" s="990"/>
      <c r="N1067" s="990"/>
      <c r="O1067" s="990"/>
      <c r="P1067" s="990"/>
      <c r="Q1067" s="990"/>
      <c r="R1067" s="990"/>
      <c r="S1067" s="990"/>
      <c r="T1067" s="990"/>
      <c r="U1067" s="990"/>
      <c r="V1067" s="990"/>
      <c r="W1067" s="990"/>
      <c r="X1067" s="990"/>
    </row>
    <row r="1068" spans="1:24" s="896" customFormat="1">
      <c r="A1068" s="987">
        <f t="shared" si="17"/>
        <v>994</v>
      </c>
      <c r="B1068" s="988">
        <v>20087</v>
      </c>
      <c r="C1068" s="899" t="s">
        <v>10394</v>
      </c>
      <c r="D1068" s="988" t="s">
        <v>2666</v>
      </c>
      <c r="E1068" s="989">
        <v>15.08</v>
      </c>
      <c r="F1068" s="990"/>
      <c r="G1068" s="990"/>
      <c r="H1068" s="990"/>
      <c r="I1068" s="990"/>
      <c r="J1068" s="990"/>
      <c r="K1068" s="990"/>
      <c r="L1068" s="990"/>
      <c r="M1068" s="990"/>
      <c r="N1068" s="990"/>
      <c r="O1068" s="990"/>
      <c r="P1068" s="990"/>
      <c r="Q1068" s="990"/>
      <c r="R1068" s="990"/>
      <c r="S1068" s="990"/>
      <c r="T1068" s="990"/>
      <c r="U1068" s="990"/>
      <c r="V1068" s="990"/>
      <c r="W1068" s="990"/>
      <c r="X1068" s="990"/>
    </row>
    <row r="1069" spans="1:24" s="896" customFormat="1">
      <c r="A1069" s="987">
        <f t="shared" si="17"/>
        <v>995</v>
      </c>
      <c r="B1069" s="988">
        <v>1200</v>
      </c>
      <c r="C1069" s="899" t="s">
        <v>10395</v>
      </c>
      <c r="D1069" s="988" t="s">
        <v>2666</v>
      </c>
      <c r="E1069" s="989">
        <v>12.24</v>
      </c>
      <c r="F1069" s="990"/>
      <c r="G1069" s="990"/>
      <c r="H1069" s="990"/>
      <c r="I1069" s="990"/>
      <c r="J1069" s="990"/>
      <c r="K1069" s="990"/>
      <c r="L1069" s="990"/>
      <c r="M1069" s="990"/>
      <c r="N1069" s="990"/>
      <c r="O1069" s="990"/>
      <c r="P1069" s="990"/>
      <c r="Q1069" s="990"/>
      <c r="R1069" s="990"/>
      <c r="S1069" s="990"/>
      <c r="T1069" s="990"/>
      <c r="U1069" s="990"/>
      <c r="V1069" s="990"/>
      <c r="W1069" s="990"/>
      <c r="X1069" s="990"/>
    </row>
    <row r="1070" spans="1:24" s="896" customFormat="1">
      <c r="A1070" s="987">
        <f t="shared" si="17"/>
        <v>996</v>
      </c>
      <c r="B1070" s="988">
        <v>12909</v>
      </c>
      <c r="C1070" s="899" t="s">
        <v>10396</v>
      </c>
      <c r="D1070" s="988" t="s">
        <v>2666</v>
      </c>
      <c r="E1070" s="989">
        <v>5.55</v>
      </c>
      <c r="F1070" s="990"/>
      <c r="G1070" s="990"/>
      <c r="H1070" s="990"/>
      <c r="I1070" s="990"/>
      <c r="J1070" s="990"/>
      <c r="K1070" s="990"/>
      <c r="L1070" s="990"/>
      <c r="M1070" s="990"/>
      <c r="N1070" s="990"/>
      <c r="O1070" s="990"/>
      <c r="P1070" s="990"/>
      <c r="Q1070" s="990"/>
      <c r="R1070" s="990"/>
      <c r="S1070" s="990"/>
      <c r="T1070" s="990"/>
      <c r="U1070" s="990"/>
      <c r="V1070" s="990"/>
      <c r="W1070" s="990"/>
      <c r="X1070" s="990"/>
    </row>
    <row r="1071" spans="1:24" s="896" customFormat="1">
      <c r="A1071" s="987">
        <f t="shared" si="17"/>
        <v>997</v>
      </c>
      <c r="B1071" s="988">
        <v>12910</v>
      </c>
      <c r="C1071" s="899" t="s">
        <v>10397</v>
      </c>
      <c r="D1071" s="988" t="s">
        <v>2666</v>
      </c>
      <c r="E1071" s="989">
        <v>9.26</v>
      </c>
      <c r="F1071" s="990"/>
      <c r="G1071" s="990"/>
      <c r="H1071" s="990"/>
      <c r="I1071" s="990"/>
      <c r="J1071" s="990"/>
      <c r="K1071" s="990"/>
      <c r="L1071" s="990"/>
      <c r="M1071" s="990"/>
      <c r="N1071" s="990"/>
      <c r="O1071" s="990"/>
      <c r="P1071" s="990"/>
      <c r="Q1071" s="990"/>
      <c r="R1071" s="990"/>
      <c r="S1071" s="990"/>
      <c r="T1071" s="990"/>
      <c r="U1071" s="990"/>
      <c r="V1071" s="990"/>
      <c r="W1071" s="990"/>
      <c r="X1071" s="990"/>
    </row>
    <row r="1072" spans="1:24" s="896" customFormat="1">
      <c r="A1072" s="987">
        <f t="shared" si="17"/>
        <v>998</v>
      </c>
      <c r="B1072" s="988">
        <v>1184</v>
      </c>
      <c r="C1072" s="899" t="s">
        <v>10398</v>
      </c>
      <c r="D1072" s="988" t="s">
        <v>2666</v>
      </c>
      <c r="E1072" s="989">
        <v>98.17</v>
      </c>
      <c r="F1072" s="990"/>
      <c r="G1072" s="990"/>
      <c r="H1072" s="990"/>
      <c r="I1072" s="990"/>
      <c r="J1072" s="990"/>
      <c r="K1072" s="990"/>
      <c r="L1072" s="990"/>
      <c r="M1072" s="990"/>
      <c r="N1072" s="990"/>
      <c r="O1072" s="990"/>
      <c r="P1072" s="990"/>
      <c r="Q1072" s="990"/>
      <c r="R1072" s="990"/>
      <c r="S1072" s="990"/>
      <c r="T1072" s="990"/>
      <c r="U1072" s="990"/>
      <c r="V1072" s="990"/>
      <c r="W1072" s="990"/>
      <c r="X1072" s="990"/>
    </row>
    <row r="1073" spans="1:24" s="896" customFormat="1">
      <c r="A1073" s="987">
        <f t="shared" si="17"/>
        <v>999</v>
      </c>
      <c r="B1073" s="988">
        <v>1191</v>
      </c>
      <c r="C1073" s="899" t="s">
        <v>10399</v>
      </c>
      <c r="D1073" s="988" t="s">
        <v>2666</v>
      </c>
      <c r="E1073" s="989">
        <v>1.4</v>
      </c>
      <c r="F1073" s="990"/>
      <c r="G1073" s="990"/>
      <c r="H1073" s="990"/>
      <c r="I1073" s="990"/>
      <c r="J1073" s="990"/>
      <c r="K1073" s="990"/>
      <c r="L1073" s="990"/>
      <c r="M1073" s="990"/>
      <c r="N1073" s="990"/>
      <c r="O1073" s="990"/>
      <c r="P1073" s="990"/>
      <c r="Q1073" s="990"/>
      <c r="R1073" s="990"/>
      <c r="S1073" s="990"/>
      <c r="T1073" s="990"/>
      <c r="U1073" s="990"/>
      <c r="V1073" s="990"/>
      <c r="W1073" s="990"/>
      <c r="X1073" s="990"/>
    </row>
    <row r="1074" spans="1:24" s="896" customFormat="1">
      <c r="A1074" s="987">
        <f t="shared" si="17"/>
        <v>1000</v>
      </c>
      <c r="B1074" s="988">
        <v>1185</v>
      </c>
      <c r="C1074" s="899" t="s">
        <v>10400</v>
      </c>
      <c r="D1074" s="988" t="s">
        <v>2666</v>
      </c>
      <c r="E1074" s="989">
        <v>1.59</v>
      </c>
      <c r="F1074" s="990"/>
      <c r="G1074" s="990"/>
      <c r="H1074" s="990"/>
      <c r="I1074" s="990"/>
      <c r="J1074" s="990"/>
      <c r="K1074" s="990"/>
      <c r="L1074" s="990"/>
      <c r="M1074" s="990"/>
      <c r="N1074" s="990"/>
      <c r="O1074" s="990"/>
      <c r="P1074" s="990"/>
      <c r="Q1074" s="990"/>
      <c r="R1074" s="990"/>
      <c r="S1074" s="990"/>
      <c r="T1074" s="990"/>
      <c r="U1074" s="990"/>
      <c r="V1074" s="990"/>
      <c r="W1074" s="990"/>
      <c r="X1074" s="990"/>
    </row>
    <row r="1075" spans="1:24" s="896" customFormat="1">
      <c r="A1075" s="987">
        <f t="shared" si="17"/>
        <v>1001</v>
      </c>
      <c r="B1075" s="988">
        <v>1189</v>
      </c>
      <c r="C1075" s="899" t="s">
        <v>10401</v>
      </c>
      <c r="D1075" s="988" t="s">
        <v>2666</v>
      </c>
      <c r="E1075" s="989">
        <v>2.76</v>
      </c>
      <c r="F1075" s="990"/>
      <c r="G1075" s="990"/>
      <c r="H1075" s="990"/>
      <c r="I1075" s="990"/>
      <c r="J1075" s="990"/>
      <c r="K1075" s="990"/>
      <c r="L1075" s="990"/>
      <c r="M1075" s="990"/>
      <c r="N1075" s="990"/>
      <c r="O1075" s="990"/>
      <c r="P1075" s="990"/>
      <c r="Q1075" s="990"/>
      <c r="R1075" s="990"/>
      <c r="S1075" s="990"/>
      <c r="T1075" s="990"/>
      <c r="U1075" s="990"/>
      <c r="V1075" s="990"/>
      <c r="W1075" s="990"/>
      <c r="X1075" s="990"/>
    </row>
    <row r="1076" spans="1:24" s="896" customFormat="1">
      <c r="A1076" s="987">
        <f t="shared" si="17"/>
        <v>1002</v>
      </c>
      <c r="B1076" s="988">
        <v>1193</v>
      </c>
      <c r="C1076" s="899" t="s">
        <v>10402</v>
      </c>
      <c r="D1076" s="988" t="s">
        <v>2666</v>
      </c>
      <c r="E1076" s="989">
        <v>5.32</v>
      </c>
      <c r="F1076" s="990"/>
      <c r="G1076" s="990"/>
      <c r="H1076" s="990"/>
      <c r="I1076" s="990"/>
      <c r="J1076" s="990"/>
      <c r="K1076" s="990"/>
      <c r="L1076" s="990"/>
      <c r="M1076" s="990"/>
      <c r="N1076" s="990"/>
      <c r="O1076" s="990"/>
      <c r="P1076" s="990"/>
      <c r="Q1076" s="990"/>
      <c r="R1076" s="990"/>
      <c r="S1076" s="990"/>
      <c r="T1076" s="990"/>
      <c r="U1076" s="990"/>
      <c r="V1076" s="990"/>
      <c r="W1076" s="990"/>
      <c r="X1076" s="990"/>
    </row>
    <row r="1077" spans="1:24" s="896" customFormat="1">
      <c r="A1077" s="987">
        <f t="shared" si="17"/>
        <v>1003</v>
      </c>
      <c r="B1077" s="988">
        <v>1194</v>
      </c>
      <c r="C1077" s="899" t="s">
        <v>10403</v>
      </c>
      <c r="D1077" s="988" t="s">
        <v>2666</v>
      </c>
      <c r="E1077" s="989">
        <v>10.07</v>
      </c>
      <c r="F1077" s="990"/>
      <c r="G1077" s="990"/>
      <c r="H1077" s="990"/>
      <c r="I1077" s="990"/>
      <c r="J1077" s="990"/>
      <c r="K1077" s="990"/>
      <c r="L1077" s="990"/>
      <c r="M1077" s="990"/>
      <c r="N1077" s="990"/>
      <c r="O1077" s="990"/>
      <c r="P1077" s="990"/>
      <c r="Q1077" s="990"/>
      <c r="R1077" s="990"/>
      <c r="S1077" s="990"/>
      <c r="T1077" s="990"/>
      <c r="U1077" s="990"/>
      <c r="V1077" s="990"/>
      <c r="W1077" s="990"/>
      <c r="X1077" s="990"/>
    </row>
    <row r="1078" spans="1:24" s="896" customFormat="1">
      <c r="A1078" s="987">
        <f t="shared" si="17"/>
        <v>1004</v>
      </c>
      <c r="B1078" s="988">
        <v>1195</v>
      </c>
      <c r="C1078" s="899" t="s">
        <v>10404</v>
      </c>
      <c r="D1078" s="988" t="s">
        <v>2666</v>
      </c>
      <c r="E1078" s="989">
        <v>15.14</v>
      </c>
      <c r="F1078" s="990"/>
      <c r="G1078" s="990"/>
      <c r="H1078" s="990"/>
      <c r="I1078" s="990"/>
      <c r="J1078" s="990"/>
      <c r="K1078" s="990"/>
      <c r="L1078" s="990"/>
      <c r="M1078" s="990"/>
      <c r="N1078" s="990"/>
      <c r="O1078" s="990"/>
      <c r="P1078" s="990"/>
      <c r="Q1078" s="990"/>
      <c r="R1078" s="990"/>
      <c r="S1078" s="990"/>
      <c r="T1078" s="990"/>
      <c r="U1078" s="990"/>
      <c r="V1078" s="990"/>
      <c r="W1078" s="990"/>
      <c r="X1078" s="990"/>
    </row>
    <row r="1079" spans="1:24" s="896" customFormat="1">
      <c r="A1079" s="987">
        <f t="shared" si="17"/>
        <v>1005</v>
      </c>
      <c r="B1079" s="988">
        <v>1204</v>
      </c>
      <c r="C1079" s="899" t="s">
        <v>10405</v>
      </c>
      <c r="D1079" s="988" t="s">
        <v>2666</v>
      </c>
      <c r="E1079" s="989">
        <v>27.54</v>
      </c>
      <c r="F1079" s="990"/>
      <c r="G1079" s="990"/>
      <c r="H1079" s="990"/>
      <c r="I1079" s="990"/>
      <c r="J1079" s="990"/>
      <c r="K1079" s="990"/>
      <c r="L1079" s="990"/>
      <c r="M1079" s="990"/>
      <c r="N1079" s="990"/>
      <c r="O1079" s="990"/>
      <c r="P1079" s="990"/>
      <c r="Q1079" s="990"/>
      <c r="R1079" s="990"/>
      <c r="S1079" s="990"/>
      <c r="T1079" s="990"/>
      <c r="U1079" s="990"/>
      <c r="V1079" s="990"/>
      <c r="W1079" s="990"/>
      <c r="X1079" s="990"/>
    </row>
    <row r="1080" spans="1:24" s="896" customFormat="1">
      <c r="A1080" s="987">
        <f t="shared" si="17"/>
        <v>1006</v>
      </c>
      <c r="B1080" s="988">
        <v>1205</v>
      </c>
      <c r="C1080" s="899" t="s">
        <v>10406</v>
      </c>
      <c r="D1080" s="988" t="s">
        <v>2666</v>
      </c>
      <c r="E1080" s="989">
        <v>65.319999999999993</v>
      </c>
      <c r="F1080" s="990"/>
      <c r="G1080" s="990"/>
      <c r="H1080" s="990"/>
      <c r="I1080" s="990"/>
      <c r="J1080" s="990"/>
      <c r="K1080" s="990"/>
      <c r="L1080" s="990"/>
      <c r="M1080" s="990"/>
      <c r="N1080" s="990"/>
      <c r="O1080" s="990"/>
      <c r="P1080" s="990"/>
      <c r="Q1080" s="990"/>
      <c r="R1080" s="990"/>
      <c r="S1080" s="990"/>
      <c r="T1080" s="990"/>
      <c r="U1080" s="990"/>
      <c r="V1080" s="990"/>
      <c r="W1080" s="990"/>
      <c r="X1080" s="990"/>
    </row>
    <row r="1081" spans="1:24" s="896" customFormat="1">
      <c r="A1081" s="987">
        <f t="shared" si="17"/>
        <v>1007</v>
      </c>
      <c r="B1081" s="988">
        <v>1207</v>
      </c>
      <c r="C1081" s="899" t="s">
        <v>10407</v>
      </c>
      <c r="D1081" s="988" t="s">
        <v>2666</v>
      </c>
      <c r="E1081" s="989">
        <v>39.75</v>
      </c>
      <c r="F1081" s="990"/>
      <c r="G1081" s="990"/>
      <c r="H1081" s="990"/>
      <c r="I1081" s="990"/>
      <c r="J1081" s="990"/>
      <c r="K1081" s="990"/>
      <c r="L1081" s="990"/>
      <c r="M1081" s="990"/>
      <c r="N1081" s="990"/>
      <c r="O1081" s="990"/>
      <c r="P1081" s="990"/>
      <c r="Q1081" s="990"/>
      <c r="R1081" s="990"/>
      <c r="S1081" s="990"/>
      <c r="T1081" s="990"/>
      <c r="U1081" s="990"/>
      <c r="V1081" s="990"/>
      <c r="W1081" s="990"/>
      <c r="X1081" s="990"/>
    </row>
    <row r="1082" spans="1:24" s="896" customFormat="1">
      <c r="A1082" s="987">
        <f t="shared" si="17"/>
        <v>1008</v>
      </c>
      <c r="B1082" s="988">
        <v>1206</v>
      </c>
      <c r="C1082" s="899" t="s">
        <v>10408</v>
      </c>
      <c r="D1082" s="988" t="s">
        <v>2666</v>
      </c>
      <c r="E1082" s="989">
        <v>9.9700000000000006</v>
      </c>
      <c r="F1082" s="990"/>
      <c r="G1082" s="990"/>
      <c r="H1082" s="990"/>
      <c r="I1082" s="990"/>
      <c r="J1082" s="990"/>
      <c r="K1082" s="990"/>
      <c r="L1082" s="990"/>
      <c r="M1082" s="990"/>
      <c r="N1082" s="990"/>
      <c r="O1082" s="990"/>
      <c r="P1082" s="990"/>
      <c r="Q1082" s="990"/>
      <c r="R1082" s="990"/>
      <c r="S1082" s="990"/>
      <c r="T1082" s="990"/>
      <c r="U1082" s="990"/>
      <c r="V1082" s="990"/>
      <c r="W1082" s="990"/>
      <c r="X1082" s="990"/>
    </row>
    <row r="1083" spans="1:24" s="896" customFormat="1">
      <c r="A1083" s="987">
        <f t="shared" si="17"/>
        <v>1009</v>
      </c>
      <c r="B1083" s="988">
        <v>1183</v>
      </c>
      <c r="C1083" s="899" t="s">
        <v>10409</v>
      </c>
      <c r="D1083" s="988" t="s">
        <v>2666</v>
      </c>
      <c r="E1083" s="989">
        <v>25.96</v>
      </c>
      <c r="F1083" s="990"/>
      <c r="G1083" s="990"/>
      <c r="H1083" s="990"/>
      <c r="I1083" s="990"/>
      <c r="J1083" s="990"/>
      <c r="K1083" s="990"/>
      <c r="L1083" s="990"/>
      <c r="M1083" s="990"/>
      <c r="N1083" s="990"/>
      <c r="O1083" s="990"/>
      <c r="P1083" s="990"/>
      <c r="Q1083" s="990"/>
      <c r="R1083" s="990"/>
      <c r="S1083" s="990"/>
      <c r="T1083" s="990"/>
      <c r="U1083" s="990"/>
      <c r="V1083" s="990"/>
      <c r="W1083" s="990"/>
      <c r="X1083" s="990"/>
    </row>
    <row r="1084" spans="1:24" s="896" customFormat="1">
      <c r="A1084" s="987">
        <f t="shared" si="17"/>
        <v>1010</v>
      </c>
      <c r="B1084" s="988">
        <v>42685</v>
      </c>
      <c r="C1084" s="899" t="s">
        <v>10410</v>
      </c>
      <c r="D1084" s="988" t="s">
        <v>2666</v>
      </c>
      <c r="E1084" s="989">
        <v>73.87</v>
      </c>
      <c r="F1084" s="990"/>
      <c r="G1084" s="990"/>
      <c r="H1084" s="990"/>
      <c r="I1084" s="990"/>
      <c r="J1084" s="990"/>
      <c r="K1084" s="990"/>
      <c r="L1084" s="990"/>
      <c r="M1084" s="990"/>
      <c r="N1084" s="990"/>
      <c r="O1084" s="990"/>
      <c r="P1084" s="990"/>
      <c r="Q1084" s="990"/>
      <c r="R1084" s="990"/>
      <c r="S1084" s="990"/>
      <c r="T1084" s="990"/>
      <c r="U1084" s="990"/>
      <c r="V1084" s="990"/>
      <c r="W1084" s="990"/>
      <c r="X1084" s="990"/>
    </row>
    <row r="1085" spans="1:24" s="896" customFormat="1">
      <c r="A1085" s="987">
        <f t="shared" si="17"/>
        <v>1011</v>
      </c>
      <c r="B1085" s="988">
        <v>42686</v>
      </c>
      <c r="C1085" s="899" t="s">
        <v>10411</v>
      </c>
      <c r="D1085" s="988" t="s">
        <v>2666</v>
      </c>
      <c r="E1085" s="989">
        <v>115.01</v>
      </c>
      <c r="F1085" s="990"/>
      <c r="G1085" s="990"/>
      <c r="H1085" s="990"/>
      <c r="I1085" s="990"/>
      <c r="J1085" s="990"/>
      <c r="K1085" s="990"/>
      <c r="L1085" s="990"/>
      <c r="M1085" s="990"/>
      <c r="N1085" s="990"/>
      <c r="O1085" s="990"/>
      <c r="P1085" s="990"/>
      <c r="Q1085" s="990"/>
      <c r="R1085" s="990"/>
      <c r="S1085" s="990"/>
      <c r="T1085" s="990"/>
      <c r="U1085" s="990"/>
      <c r="V1085" s="990"/>
      <c r="W1085" s="990"/>
      <c r="X1085" s="990"/>
    </row>
    <row r="1086" spans="1:24" s="896" customFormat="1">
      <c r="A1086" s="987">
        <f t="shared" si="17"/>
        <v>1012</v>
      </c>
      <c r="B1086" s="988">
        <v>12894</v>
      </c>
      <c r="C1086" s="899" t="s">
        <v>10412</v>
      </c>
      <c r="D1086" s="988" t="s">
        <v>2666</v>
      </c>
      <c r="E1086" s="989">
        <v>26</v>
      </c>
      <c r="F1086" s="990"/>
      <c r="G1086" s="990"/>
      <c r="H1086" s="990"/>
      <c r="I1086" s="990"/>
      <c r="J1086" s="990"/>
      <c r="K1086" s="990"/>
      <c r="L1086" s="990"/>
      <c r="M1086" s="990"/>
      <c r="N1086" s="990"/>
      <c r="O1086" s="990"/>
      <c r="P1086" s="990"/>
      <c r="Q1086" s="990"/>
      <c r="R1086" s="990"/>
      <c r="S1086" s="990"/>
      <c r="T1086" s="990"/>
      <c r="U1086" s="990"/>
      <c r="V1086" s="990"/>
      <c r="W1086" s="990"/>
      <c r="X1086" s="990"/>
    </row>
    <row r="1087" spans="1:24" s="896" customFormat="1" ht="25.5">
      <c r="A1087" s="987">
        <f t="shared" si="17"/>
        <v>1013</v>
      </c>
      <c r="B1087" s="988">
        <v>12895</v>
      </c>
      <c r="C1087" s="899" t="s">
        <v>10413</v>
      </c>
      <c r="D1087" s="988" t="s">
        <v>2666</v>
      </c>
      <c r="E1087" s="989">
        <v>20</v>
      </c>
      <c r="F1087" s="990"/>
      <c r="G1087" s="990"/>
      <c r="H1087" s="990"/>
      <c r="I1087" s="990"/>
      <c r="J1087" s="990"/>
      <c r="K1087" s="990"/>
      <c r="L1087" s="990"/>
      <c r="M1087" s="990"/>
      <c r="N1087" s="990"/>
      <c r="O1087" s="990"/>
      <c r="P1087" s="990"/>
      <c r="Q1087" s="990"/>
      <c r="R1087" s="990"/>
      <c r="S1087" s="990"/>
      <c r="T1087" s="990"/>
      <c r="U1087" s="990"/>
      <c r="V1087" s="990"/>
      <c r="W1087" s="990"/>
      <c r="X1087" s="990"/>
    </row>
    <row r="1088" spans="1:24" s="896" customFormat="1" ht="25.5">
      <c r="A1088" s="987">
        <f t="shared" si="17"/>
        <v>1014</v>
      </c>
      <c r="B1088" s="988">
        <v>1631</v>
      </c>
      <c r="C1088" s="899" t="s">
        <v>10414</v>
      </c>
      <c r="D1088" s="988" t="s">
        <v>2666</v>
      </c>
      <c r="E1088" s="989">
        <v>151.72999999999999</v>
      </c>
      <c r="F1088" s="990"/>
      <c r="G1088" s="990"/>
      <c r="H1088" s="990"/>
      <c r="I1088" s="990"/>
      <c r="J1088" s="990"/>
      <c r="K1088" s="990"/>
      <c r="L1088" s="990"/>
      <c r="M1088" s="990"/>
      <c r="N1088" s="990"/>
      <c r="O1088" s="990"/>
      <c r="P1088" s="990"/>
      <c r="Q1088" s="990"/>
      <c r="R1088" s="990"/>
      <c r="S1088" s="990"/>
      <c r="T1088" s="990"/>
      <c r="U1088" s="990"/>
      <c r="V1088" s="990"/>
      <c r="W1088" s="990"/>
      <c r="X1088" s="990"/>
    </row>
    <row r="1089" spans="1:24" s="896" customFormat="1" ht="25.5">
      <c r="A1089" s="987">
        <f t="shared" si="17"/>
        <v>1015</v>
      </c>
      <c r="B1089" s="988">
        <v>1633</v>
      </c>
      <c r="C1089" s="899" t="s">
        <v>10415</v>
      </c>
      <c r="D1089" s="988" t="s">
        <v>2666</v>
      </c>
      <c r="E1089" s="989">
        <v>257.8</v>
      </c>
      <c r="F1089" s="990"/>
      <c r="G1089" s="990"/>
      <c r="H1089" s="990"/>
      <c r="I1089" s="990"/>
      <c r="J1089" s="990"/>
      <c r="K1089" s="990"/>
      <c r="L1089" s="990"/>
      <c r="M1089" s="990"/>
      <c r="N1089" s="990"/>
      <c r="O1089" s="990"/>
      <c r="P1089" s="990"/>
      <c r="Q1089" s="990"/>
      <c r="R1089" s="990"/>
      <c r="S1089" s="990"/>
      <c r="T1089" s="990"/>
      <c r="U1089" s="990"/>
      <c r="V1089" s="990"/>
      <c r="W1089" s="990"/>
      <c r="X1089" s="990"/>
    </row>
    <row r="1090" spans="1:24" s="896" customFormat="1">
      <c r="A1090" s="987">
        <f t="shared" si="17"/>
        <v>1016</v>
      </c>
      <c r="B1090" s="988">
        <v>10818</v>
      </c>
      <c r="C1090" s="899" t="s">
        <v>10416</v>
      </c>
      <c r="D1090" s="988" t="s">
        <v>2670</v>
      </c>
      <c r="E1090" s="989">
        <v>28.75</v>
      </c>
      <c r="F1090" s="990"/>
      <c r="G1090" s="990"/>
      <c r="H1090" s="990"/>
      <c r="I1090" s="990"/>
      <c r="J1090" s="990"/>
      <c r="K1090" s="990"/>
      <c r="L1090" s="990"/>
      <c r="M1090" s="990"/>
      <c r="N1090" s="990"/>
      <c r="O1090" s="990"/>
      <c r="P1090" s="990"/>
      <c r="Q1090" s="990"/>
      <c r="R1090" s="990"/>
      <c r="S1090" s="990"/>
      <c r="T1090" s="990"/>
      <c r="U1090" s="990"/>
      <c r="V1090" s="990"/>
      <c r="W1090" s="990"/>
      <c r="X1090" s="990"/>
    </row>
    <row r="1091" spans="1:24" s="896" customFormat="1">
      <c r="A1091" s="987">
        <f t="shared" si="17"/>
        <v>1017</v>
      </c>
      <c r="B1091" s="988">
        <v>41410</v>
      </c>
      <c r="C1091" s="899" t="s">
        <v>10417</v>
      </c>
      <c r="D1091" s="988" t="s">
        <v>2666</v>
      </c>
      <c r="E1091" s="989">
        <v>84</v>
      </c>
      <c r="F1091" s="990"/>
      <c r="G1091" s="990"/>
      <c r="H1091" s="990"/>
      <c r="I1091" s="990"/>
      <c r="J1091" s="990"/>
      <c r="K1091" s="990"/>
      <c r="L1091" s="990"/>
      <c r="M1091" s="990"/>
      <c r="N1091" s="990"/>
      <c r="O1091" s="990"/>
      <c r="P1091" s="990"/>
      <c r="Q1091" s="990"/>
      <c r="R1091" s="990"/>
      <c r="S1091" s="990"/>
      <c r="T1091" s="990"/>
      <c r="U1091" s="990"/>
      <c r="V1091" s="990"/>
      <c r="W1091" s="990"/>
      <c r="X1091" s="990"/>
    </row>
    <row r="1092" spans="1:24" s="896" customFormat="1">
      <c r="A1092" s="987">
        <f t="shared" si="17"/>
        <v>1018</v>
      </c>
      <c r="B1092" s="988">
        <v>41411</v>
      </c>
      <c r="C1092" s="899" t="s">
        <v>10418</v>
      </c>
      <c r="D1092" s="988" t="s">
        <v>2666</v>
      </c>
      <c r="E1092" s="989">
        <v>76.16</v>
      </c>
      <c r="F1092" s="990"/>
      <c r="G1092" s="990"/>
      <c r="H1092" s="990"/>
      <c r="I1092" s="990"/>
      <c r="J1092" s="990"/>
      <c r="K1092" s="990"/>
      <c r="L1092" s="990"/>
      <c r="M1092" s="990"/>
      <c r="N1092" s="990"/>
      <c r="O1092" s="990"/>
      <c r="P1092" s="990"/>
      <c r="Q1092" s="990"/>
      <c r="R1092" s="990"/>
      <c r="S1092" s="990"/>
      <c r="T1092" s="990"/>
      <c r="U1092" s="990"/>
      <c r="V1092" s="990"/>
      <c r="W1092" s="990"/>
      <c r="X1092" s="990"/>
    </row>
    <row r="1093" spans="1:24" s="896" customFormat="1">
      <c r="A1093" s="987">
        <f t="shared" si="17"/>
        <v>1019</v>
      </c>
      <c r="B1093" s="988">
        <v>41412</v>
      </c>
      <c r="C1093" s="899" t="s">
        <v>10419</v>
      </c>
      <c r="D1093" s="988" t="s">
        <v>2666</v>
      </c>
      <c r="E1093" s="989">
        <v>147.30000000000001</v>
      </c>
      <c r="F1093" s="990"/>
      <c r="G1093" s="990"/>
      <c r="H1093" s="990"/>
      <c r="I1093" s="990"/>
      <c r="J1093" s="990"/>
      <c r="K1093" s="990"/>
      <c r="L1093" s="990"/>
      <c r="M1093" s="990"/>
      <c r="N1093" s="990"/>
      <c r="O1093" s="990"/>
      <c r="P1093" s="990"/>
      <c r="Q1093" s="990"/>
      <c r="R1093" s="990"/>
      <c r="S1093" s="990"/>
      <c r="T1093" s="990"/>
      <c r="U1093" s="990"/>
      <c r="V1093" s="990"/>
      <c r="W1093" s="990"/>
      <c r="X1093" s="990"/>
    </row>
    <row r="1094" spans="1:24" s="896" customFormat="1">
      <c r="A1094" s="987">
        <f t="shared" si="17"/>
        <v>1020</v>
      </c>
      <c r="B1094" s="988">
        <v>41413</v>
      </c>
      <c r="C1094" s="899" t="s">
        <v>10420</v>
      </c>
      <c r="D1094" s="988" t="s">
        <v>2666</v>
      </c>
      <c r="E1094" s="989">
        <v>132.55000000000001</v>
      </c>
      <c r="F1094" s="990"/>
      <c r="G1094" s="990"/>
      <c r="H1094" s="990"/>
      <c r="I1094" s="990"/>
      <c r="J1094" s="990"/>
      <c r="K1094" s="990"/>
      <c r="L1094" s="990"/>
      <c r="M1094" s="990"/>
      <c r="N1094" s="990"/>
      <c r="O1094" s="990"/>
      <c r="P1094" s="990"/>
      <c r="Q1094" s="990"/>
      <c r="R1094" s="990"/>
      <c r="S1094" s="990"/>
      <c r="T1094" s="990"/>
      <c r="U1094" s="990"/>
      <c r="V1094" s="990"/>
      <c r="W1094" s="990"/>
      <c r="X1094" s="990"/>
    </row>
    <row r="1095" spans="1:24" s="896" customFormat="1" ht="38.25">
      <c r="A1095" s="987">
        <f t="shared" si="17"/>
        <v>1021</v>
      </c>
      <c r="B1095" s="988">
        <v>39359</v>
      </c>
      <c r="C1095" s="899" t="s">
        <v>10421</v>
      </c>
      <c r="D1095" s="988" t="s">
        <v>2666</v>
      </c>
      <c r="E1095" s="989">
        <v>24.81</v>
      </c>
      <c r="F1095" s="990"/>
      <c r="G1095" s="990"/>
      <c r="H1095" s="990"/>
      <c r="I1095" s="990"/>
      <c r="J1095" s="990"/>
      <c r="K1095" s="990"/>
      <c r="L1095" s="990"/>
      <c r="M1095" s="990"/>
      <c r="N1095" s="990"/>
      <c r="O1095" s="990"/>
      <c r="P1095" s="990"/>
      <c r="Q1095" s="990"/>
      <c r="R1095" s="990"/>
      <c r="S1095" s="990"/>
      <c r="T1095" s="990"/>
      <c r="U1095" s="990"/>
      <c r="V1095" s="990"/>
      <c r="W1095" s="990"/>
      <c r="X1095" s="990"/>
    </row>
    <row r="1096" spans="1:24" s="896" customFormat="1" ht="38.25">
      <c r="A1096" s="987">
        <f t="shared" si="17"/>
        <v>1022</v>
      </c>
      <c r="B1096" s="988">
        <v>39360</v>
      </c>
      <c r="C1096" s="899" t="s">
        <v>10422</v>
      </c>
      <c r="D1096" s="988" t="s">
        <v>2666</v>
      </c>
      <c r="E1096" s="989">
        <v>22.55</v>
      </c>
      <c r="F1096" s="990"/>
      <c r="G1096" s="990"/>
      <c r="H1096" s="990"/>
      <c r="I1096" s="990"/>
      <c r="J1096" s="990"/>
      <c r="K1096" s="990"/>
      <c r="L1096" s="990"/>
      <c r="M1096" s="990"/>
      <c r="N1096" s="990"/>
      <c r="O1096" s="990"/>
      <c r="P1096" s="990"/>
      <c r="Q1096" s="990"/>
      <c r="R1096" s="990"/>
      <c r="S1096" s="990"/>
      <c r="T1096" s="990"/>
      <c r="U1096" s="990"/>
      <c r="V1096" s="990"/>
      <c r="W1096" s="990"/>
      <c r="X1096" s="990"/>
    </row>
    <row r="1097" spans="1:24" s="896" customFormat="1" ht="25.5">
      <c r="A1097" s="987">
        <f t="shared" si="17"/>
        <v>1023</v>
      </c>
      <c r="B1097" s="988">
        <v>10710</v>
      </c>
      <c r="C1097" s="899" t="s">
        <v>10423</v>
      </c>
      <c r="D1097" s="988" t="s">
        <v>2667</v>
      </c>
      <c r="E1097" s="989">
        <v>135.9</v>
      </c>
      <c r="F1097" s="990"/>
      <c r="G1097" s="990"/>
      <c r="H1097" s="990"/>
      <c r="I1097" s="990"/>
      <c r="J1097" s="990"/>
      <c r="K1097" s="990"/>
      <c r="L1097" s="990"/>
      <c r="M1097" s="990"/>
      <c r="N1097" s="990"/>
      <c r="O1097" s="990"/>
      <c r="P1097" s="990"/>
      <c r="Q1097" s="990"/>
      <c r="R1097" s="990"/>
      <c r="S1097" s="990"/>
      <c r="T1097" s="990"/>
      <c r="U1097" s="990"/>
      <c r="V1097" s="990"/>
      <c r="W1097" s="990"/>
      <c r="X1097" s="990"/>
    </row>
    <row r="1098" spans="1:24" s="896" customFormat="1" ht="25.5">
      <c r="A1098" s="987">
        <f t="shared" si="17"/>
        <v>1024</v>
      </c>
      <c r="B1098" s="988">
        <v>10709</v>
      </c>
      <c r="C1098" s="899" t="s">
        <v>10424</v>
      </c>
      <c r="D1098" s="988" t="s">
        <v>2667</v>
      </c>
      <c r="E1098" s="989">
        <v>166.96</v>
      </c>
      <c r="F1098" s="990"/>
      <c r="G1098" s="990"/>
      <c r="H1098" s="990"/>
      <c r="I1098" s="990"/>
      <c r="J1098" s="990"/>
      <c r="K1098" s="990"/>
      <c r="L1098" s="990"/>
      <c r="M1098" s="990"/>
      <c r="N1098" s="990"/>
      <c r="O1098" s="990"/>
      <c r="P1098" s="990"/>
      <c r="Q1098" s="990"/>
      <c r="R1098" s="990"/>
      <c r="S1098" s="990"/>
      <c r="T1098" s="990"/>
      <c r="U1098" s="990"/>
      <c r="V1098" s="990"/>
      <c r="W1098" s="990"/>
      <c r="X1098" s="990"/>
    </row>
    <row r="1099" spans="1:24" s="896" customFormat="1" ht="25.5">
      <c r="A1099" s="987">
        <f t="shared" si="17"/>
        <v>1025</v>
      </c>
      <c r="B1099" s="988">
        <v>39636</v>
      </c>
      <c r="C1099" s="899" t="s">
        <v>10425</v>
      </c>
      <c r="D1099" s="988" t="s">
        <v>2667</v>
      </c>
      <c r="E1099" s="989">
        <v>170.49</v>
      </c>
      <c r="F1099" s="990"/>
      <c r="G1099" s="990"/>
      <c r="H1099" s="990"/>
      <c r="I1099" s="990"/>
      <c r="J1099" s="990"/>
      <c r="K1099" s="990"/>
      <c r="L1099" s="990"/>
      <c r="M1099" s="990"/>
      <c r="N1099" s="990"/>
      <c r="O1099" s="990"/>
      <c r="P1099" s="990"/>
      <c r="Q1099" s="990"/>
      <c r="R1099" s="990"/>
      <c r="S1099" s="990"/>
      <c r="T1099" s="990"/>
      <c r="U1099" s="990"/>
      <c r="V1099" s="990"/>
      <c r="W1099" s="990"/>
      <c r="X1099" s="990"/>
    </row>
    <row r="1100" spans="1:24" s="896" customFormat="1" ht="25.5">
      <c r="A1100" s="987">
        <f t="shared" ref="A1100:A1163" si="18">A1099+1</f>
        <v>1026</v>
      </c>
      <c r="B1100" s="988">
        <v>10708</v>
      </c>
      <c r="C1100" s="899" t="s">
        <v>10426</v>
      </c>
      <c r="D1100" s="988" t="s">
        <v>2667</v>
      </c>
      <c r="E1100" s="989">
        <v>52.61</v>
      </c>
      <c r="F1100" s="990"/>
      <c r="G1100" s="990"/>
      <c r="H1100" s="990"/>
      <c r="I1100" s="990"/>
      <c r="J1100" s="990"/>
      <c r="K1100" s="990"/>
      <c r="L1100" s="990"/>
      <c r="M1100" s="990"/>
      <c r="N1100" s="990"/>
      <c r="O1100" s="990"/>
      <c r="P1100" s="990"/>
      <c r="Q1100" s="990"/>
      <c r="R1100" s="990"/>
      <c r="S1100" s="990"/>
      <c r="T1100" s="990"/>
      <c r="U1100" s="990"/>
      <c r="V1100" s="990"/>
      <c r="W1100" s="990"/>
      <c r="X1100" s="990"/>
    </row>
    <row r="1101" spans="1:24" s="896" customFormat="1" ht="25.5">
      <c r="A1101" s="987">
        <f t="shared" si="18"/>
        <v>1027</v>
      </c>
      <c r="B1101" s="988">
        <v>39635</v>
      </c>
      <c r="C1101" s="899" t="s">
        <v>10427</v>
      </c>
      <c r="D1101" s="988" t="s">
        <v>2667</v>
      </c>
      <c r="E1101" s="989">
        <v>89.57</v>
      </c>
      <c r="F1101" s="990"/>
      <c r="G1101" s="990"/>
      <c r="H1101" s="990"/>
      <c r="I1101" s="990"/>
      <c r="J1101" s="990"/>
      <c r="K1101" s="990"/>
      <c r="L1101" s="990"/>
      <c r="M1101" s="990"/>
      <c r="N1101" s="990"/>
      <c r="O1101" s="990"/>
      <c r="P1101" s="990"/>
      <c r="Q1101" s="990"/>
      <c r="R1101" s="990"/>
      <c r="S1101" s="990"/>
      <c r="T1101" s="990"/>
      <c r="U1101" s="990"/>
      <c r="V1101" s="990"/>
      <c r="W1101" s="990"/>
      <c r="X1101" s="990"/>
    </row>
    <row r="1102" spans="1:24" s="896" customFormat="1">
      <c r="A1102" s="987">
        <f t="shared" si="18"/>
        <v>1028</v>
      </c>
      <c r="B1102" s="988">
        <v>6117</v>
      </c>
      <c r="C1102" s="899" t="s">
        <v>10428</v>
      </c>
      <c r="D1102" s="988" t="s">
        <v>2665</v>
      </c>
      <c r="E1102" s="989">
        <v>18.32</v>
      </c>
      <c r="F1102" s="990"/>
      <c r="G1102" s="990"/>
      <c r="H1102" s="990"/>
      <c r="I1102" s="990"/>
      <c r="J1102" s="990"/>
      <c r="K1102" s="990"/>
      <c r="L1102" s="990"/>
      <c r="M1102" s="990"/>
      <c r="N1102" s="990"/>
      <c r="O1102" s="990"/>
      <c r="P1102" s="990"/>
      <c r="Q1102" s="990"/>
      <c r="R1102" s="990"/>
      <c r="S1102" s="990"/>
      <c r="T1102" s="990"/>
      <c r="U1102" s="990"/>
      <c r="V1102" s="990"/>
      <c r="W1102" s="990"/>
      <c r="X1102" s="990"/>
    </row>
    <row r="1103" spans="1:24" s="896" customFormat="1">
      <c r="A1103" s="987">
        <f t="shared" si="18"/>
        <v>1029</v>
      </c>
      <c r="B1103" s="988">
        <v>40913</v>
      </c>
      <c r="C1103" s="899" t="s">
        <v>10429</v>
      </c>
      <c r="D1103" s="988" t="s">
        <v>2672</v>
      </c>
      <c r="E1103" s="989">
        <v>3221.17</v>
      </c>
      <c r="F1103" s="990"/>
      <c r="G1103" s="990"/>
      <c r="H1103" s="990"/>
      <c r="I1103" s="990"/>
      <c r="J1103" s="990"/>
      <c r="K1103" s="990"/>
      <c r="L1103" s="990"/>
      <c r="M1103" s="990"/>
      <c r="N1103" s="990"/>
      <c r="O1103" s="990"/>
      <c r="P1103" s="990"/>
      <c r="Q1103" s="990"/>
      <c r="R1103" s="990"/>
      <c r="S1103" s="990"/>
      <c r="T1103" s="990"/>
      <c r="U1103" s="990"/>
      <c r="V1103" s="990"/>
      <c r="W1103" s="990"/>
      <c r="X1103" s="990"/>
    </row>
    <row r="1104" spans="1:24" s="896" customFormat="1">
      <c r="A1104" s="987">
        <f t="shared" si="18"/>
        <v>1030</v>
      </c>
      <c r="B1104" s="988">
        <v>1214</v>
      </c>
      <c r="C1104" s="899" t="s">
        <v>10430</v>
      </c>
      <c r="D1104" s="988" t="s">
        <v>2665</v>
      </c>
      <c r="E1104" s="989">
        <v>22.54</v>
      </c>
      <c r="F1104" s="990"/>
      <c r="G1104" s="990"/>
      <c r="H1104" s="990"/>
      <c r="I1104" s="990"/>
      <c r="J1104" s="990"/>
      <c r="K1104" s="990"/>
      <c r="L1104" s="990"/>
      <c r="M1104" s="990"/>
      <c r="N1104" s="990"/>
      <c r="O1104" s="990"/>
      <c r="P1104" s="990"/>
      <c r="Q1104" s="990"/>
      <c r="R1104" s="990"/>
      <c r="S1104" s="990"/>
      <c r="T1104" s="990"/>
      <c r="U1104" s="990"/>
      <c r="V1104" s="990"/>
      <c r="W1104" s="990"/>
      <c r="X1104" s="990"/>
    </row>
    <row r="1105" spans="1:24" s="896" customFormat="1">
      <c r="A1105" s="987">
        <f t="shared" si="18"/>
        <v>1031</v>
      </c>
      <c r="B1105" s="988">
        <v>40915</v>
      </c>
      <c r="C1105" s="899" t="s">
        <v>10431</v>
      </c>
      <c r="D1105" s="988" t="s">
        <v>2672</v>
      </c>
      <c r="E1105" s="989">
        <v>3961.91</v>
      </c>
      <c r="F1105" s="990"/>
      <c r="G1105" s="990"/>
      <c r="H1105" s="990"/>
      <c r="I1105" s="990"/>
      <c r="J1105" s="990"/>
      <c r="K1105" s="990"/>
      <c r="L1105" s="990"/>
      <c r="M1105" s="990"/>
      <c r="N1105" s="990"/>
      <c r="O1105" s="990"/>
      <c r="P1105" s="990"/>
      <c r="Q1105" s="990"/>
      <c r="R1105" s="990"/>
      <c r="S1105" s="990"/>
      <c r="T1105" s="990"/>
      <c r="U1105" s="990"/>
      <c r="V1105" s="990"/>
      <c r="W1105" s="990"/>
      <c r="X1105" s="990"/>
    </row>
    <row r="1106" spans="1:24" s="896" customFormat="1">
      <c r="A1106" s="987">
        <f t="shared" si="18"/>
        <v>1032</v>
      </c>
      <c r="B1106" s="988">
        <v>1213</v>
      </c>
      <c r="C1106" s="899" t="s">
        <v>10432</v>
      </c>
      <c r="D1106" s="988" t="s">
        <v>2665</v>
      </c>
      <c r="E1106" s="989">
        <v>23.94</v>
      </c>
      <c r="F1106" s="990"/>
      <c r="G1106" s="990"/>
      <c r="H1106" s="990"/>
      <c r="I1106" s="990"/>
      <c r="J1106" s="990"/>
      <c r="K1106" s="990"/>
      <c r="L1106" s="990"/>
      <c r="M1106" s="990"/>
      <c r="N1106" s="990"/>
      <c r="O1106" s="990"/>
      <c r="P1106" s="990"/>
      <c r="Q1106" s="990"/>
      <c r="R1106" s="990"/>
      <c r="S1106" s="990"/>
      <c r="T1106" s="990"/>
      <c r="U1106" s="990"/>
      <c r="V1106" s="990"/>
      <c r="W1106" s="990"/>
      <c r="X1106" s="990"/>
    </row>
    <row r="1107" spans="1:24" s="896" customFormat="1">
      <c r="A1107" s="987">
        <f t="shared" si="18"/>
        <v>1033</v>
      </c>
      <c r="B1107" s="988">
        <v>40914</v>
      </c>
      <c r="C1107" s="899" t="s">
        <v>10433</v>
      </c>
      <c r="D1107" s="988" t="s">
        <v>2672</v>
      </c>
      <c r="E1107" s="989">
        <v>4207.42</v>
      </c>
      <c r="F1107" s="990"/>
      <c r="G1107" s="990"/>
      <c r="H1107" s="990"/>
      <c r="I1107" s="990"/>
      <c r="J1107" s="990"/>
      <c r="K1107" s="990"/>
      <c r="L1107" s="990"/>
      <c r="M1107" s="990"/>
      <c r="N1107" s="990"/>
      <c r="O1107" s="990"/>
      <c r="P1107" s="990"/>
      <c r="Q1107" s="990"/>
      <c r="R1107" s="990"/>
      <c r="S1107" s="990"/>
      <c r="T1107" s="990"/>
      <c r="U1107" s="990"/>
      <c r="V1107" s="990"/>
      <c r="W1107" s="990"/>
      <c r="X1107" s="990"/>
    </row>
    <row r="1108" spans="1:24" s="896" customFormat="1" ht="25.5">
      <c r="A1108" s="987">
        <f t="shared" si="18"/>
        <v>1034</v>
      </c>
      <c r="B1108" s="988">
        <v>5091</v>
      </c>
      <c r="C1108" s="899" t="s">
        <v>10434</v>
      </c>
      <c r="D1108" s="988" t="s">
        <v>2666</v>
      </c>
      <c r="E1108" s="989">
        <v>19.53</v>
      </c>
      <c r="F1108" s="990"/>
      <c r="G1108" s="990"/>
      <c r="H1108" s="990"/>
      <c r="I1108" s="990"/>
      <c r="J1108" s="990"/>
      <c r="K1108" s="990"/>
      <c r="L1108" s="990"/>
      <c r="M1108" s="990"/>
      <c r="N1108" s="990"/>
      <c r="O1108" s="990"/>
      <c r="P1108" s="990"/>
      <c r="Q1108" s="990"/>
      <c r="R1108" s="990"/>
      <c r="S1108" s="990"/>
      <c r="T1108" s="990"/>
      <c r="U1108" s="990"/>
      <c r="V1108" s="990"/>
      <c r="W1108" s="990"/>
      <c r="X1108" s="990"/>
    </row>
    <row r="1109" spans="1:24" s="896" customFormat="1" ht="25.5">
      <c r="A1109" s="987">
        <f t="shared" si="18"/>
        <v>1035</v>
      </c>
      <c r="B1109" s="988">
        <v>14615</v>
      </c>
      <c r="C1109" s="899" t="s">
        <v>10435</v>
      </c>
      <c r="D1109" s="988" t="s">
        <v>2666</v>
      </c>
      <c r="E1109" s="989">
        <v>3739.79</v>
      </c>
      <c r="F1109" s="990"/>
      <c r="G1109" s="990"/>
      <c r="H1109" s="990"/>
      <c r="I1109" s="990"/>
      <c r="J1109" s="990"/>
      <c r="K1109" s="990"/>
      <c r="L1109" s="990"/>
      <c r="M1109" s="990"/>
      <c r="N1109" s="990"/>
      <c r="O1109" s="990"/>
      <c r="P1109" s="990"/>
      <c r="Q1109" s="990"/>
      <c r="R1109" s="990"/>
      <c r="S1109" s="990"/>
      <c r="T1109" s="990"/>
      <c r="U1109" s="990"/>
      <c r="V1109" s="990"/>
      <c r="W1109" s="990"/>
      <c r="X1109" s="990"/>
    </row>
    <row r="1110" spans="1:24" s="896" customFormat="1">
      <c r="A1110" s="987">
        <f t="shared" si="18"/>
        <v>1036</v>
      </c>
      <c r="B1110" s="988">
        <v>2711</v>
      </c>
      <c r="C1110" s="899" t="s">
        <v>10436</v>
      </c>
      <c r="D1110" s="988" t="s">
        <v>2666</v>
      </c>
      <c r="E1110" s="989">
        <v>169.9</v>
      </c>
      <c r="F1110" s="990"/>
      <c r="G1110" s="990"/>
      <c r="H1110" s="990"/>
      <c r="I1110" s="990"/>
      <c r="J1110" s="990"/>
      <c r="K1110" s="990"/>
      <c r="L1110" s="990"/>
      <c r="M1110" s="990"/>
      <c r="N1110" s="990"/>
      <c r="O1110" s="990"/>
      <c r="P1110" s="990"/>
      <c r="Q1110" s="990"/>
      <c r="R1110" s="990"/>
      <c r="S1110" s="990"/>
      <c r="T1110" s="990"/>
      <c r="U1110" s="990"/>
      <c r="V1110" s="990"/>
      <c r="W1110" s="990"/>
      <c r="X1110" s="990"/>
    </row>
    <row r="1111" spans="1:24" s="896" customFormat="1" ht="38.25">
      <c r="A1111" s="987">
        <f t="shared" si="18"/>
        <v>1037</v>
      </c>
      <c r="B1111" s="988">
        <v>37727</v>
      </c>
      <c r="C1111" s="899" t="s">
        <v>10437</v>
      </c>
      <c r="D1111" s="988" t="s">
        <v>2666</v>
      </c>
      <c r="E1111" s="989">
        <v>19800</v>
      </c>
      <c r="F1111" s="990"/>
      <c r="G1111" s="990"/>
      <c r="H1111" s="990"/>
      <c r="I1111" s="990"/>
      <c r="J1111" s="990"/>
      <c r="K1111" s="990"/>
      <c r="L1111" s="990"/>
      <c r="M1111" s="990"/>
      <c r="N1111" s="990"/>
      <c r="O1111" s="990"/>
      <c r="P1111" s="990"/>
      <c r="Q1111" s="990"/>
      <c r="R1111" s="990"/>
      <c r="S1111" s="990"/>
      <c r="T1111" s="990"/>
      <c r="U1111" s="990"/>
      <c r="V1111" s="990"/>
      <c r="W1111" s="990"/>
      <c r="X1111" s="990"/>
    </row>
    <row r="1112" spans="1:24" s="896" customFormat="1" ht="38.25">
      <c r="A1112" s="987">
        <f t="shared" si="18"/>
        <v>1038</v>
      </c>
      <c r="B1112" s="988">
        <v>37728</v>
      </c>
      <c r="C1112" s="899" t="s">
        <v>10438</v>
      </c>
      <c r="D1112" s="988" t="s">
        <v>2666</v>
      </c>
      <c r="E1112" s="989">
        <v>26861.53</v>
      </c>
      <c r="F1112" s="990"/>
      <c r="G1112" s="990"/>
      <c r="H1112" s="990"/>
      <c r="I1112" s="990"/>
      <c r="J1112" s="990"/>
      <c r="K1112" s="990"/>
      <c r="L1112" s="990"/>
      <c r="M1112" s="990"/>
      <c r="N1112" s="990"/>
      <c r="O1112" s="990"/>
      <c r="P1112" s="990"/>
      <c r="Q1112" s="990"/>
      <c r="R1112" s="990"/>
      <c r="S1112" s="990"/>
      <c r="T1112" s="990"/>
      <c r="U1112" s="990"/>
      <c r="V1112" s="990"/>
      <c r="W1112" s="990"/>
      <c r="X1112" s="990"/>
    </row>
    <row r="1113" spans="1:24" s="896" customFormat="1" ht="38.25">
      <c r="A1113" s="987">
        <f t="shared" si="18"/>
        <v>1039</v>
      </c>
      <c r="B1113" s="988">
        <v>37729</v>
      </c>
      <c r="C1113" s="899" t="s">
        <v>10439</v>
      </c>
      <c r="D1113" s="988" t="s">
        <v>2666</v>
      </c>
      <c r="E1113" s="989">
        <v>29076.92</v>
      </c>
      <c r="F1113" s="990"/>
      <c r="G1113" s="990"/>
      <c r="H1113" s="990"/>
      <c r="I1113" s="990"/>
      <c r="J1113" s="990"/>
      <c r="K1113" s="990"/>
      <c r="L1113" s="990"/>
      <c r="M1113" s="990"/>
      <c r="N1113" s="990"/>
      <c r="O1113" s="990"/>
      <c r="P1113" s="990"/>
      <c r="Q1113" s="990"/>
      <c r="R1113" s="990"/>
      <c r="S1113" s="990"/>
      <c r="T1113" s="990"/>
      <c r="U1113" s="990"/>
      <c r="V1113" s="990"/>
      <c r="W1113" s="990"/>
      <c r="X1113" s="990"/>
    </row>
    <row r="1114" spans="1:24" s="896" customFormat="1" ht="38.25">
      <c r="A1114" s="987">
        <f t="shared" si="18"/>
        <v>1040</v>
      </c>
      <c r="B1114" s="988">
        <v>37730</v>
      </c>
      <c r="C1114" s="899" t="s">
        <v>10440</v>
      </c>
      <c r="D1114" s="988" t="s">
        <v>2666</v>
      </c>
      <c r="E1114" s="989">
        <v>31292.3</v>
      </c>
      <c r="F1114" s="990"/>
      <c r="G1114" s="990"/>
      <c r="H1114" s="990"/>
      <c r="I1114" s="990"/>
      <c r="J1114" s="990"/>
      <c r="K1114" s="990"/>
      <c r="L1114" s="990"/>
      <c r="M1114" s="990"/>
      <c r="N1114" s="990"/>
      <c r="O1114" s="990"/>
      <c r="P1114" s="990"/>
      <c r="Q1114" s="990"/>
      <c r="R1114" s="990"/>
      <c r="S1114" s="990"/>
      <c r="T1114" s="990"/>
      <c r="U1114" s="990"/>
      <c r="V1114" s="990"/>
      <c r="W1114" s="990"/>
      <c r="X1114" s="990"/>
    </row>
    <row r="1115" spans="1:24" s="896" customFormat="1" ht="38.25">
      <c r="A1115" s="987">
        <f t="shared" si="18"/>
        <v>1041</v>
      </c>
      <c r="B1115" s="988">
        <v>37731</v>
      </c>
      <c r="C1115" s="899" t="s">
        <v>10441</v>
      </c>
      <c r="D1115" s="988" t="s">
        <v>2666</v>
      </c>
      <c r="E1115" s="989">
        <v>33507.69</v>
      </c>
      <c r="F1115" s="990"/>
      <c r="G1115" s="990"/>
      <c r="H1115" s="990"/>
      <c r="I1115" s="990"/>
      <c r="J1115" s="990"/>
      <c r="K1115" s="990"/>
      <c r="L1115" s="990"/>
      <c r="M1115" s="990"/>
      <c r="N1115" s="990"/>
      <c r="O1115" s="990"/>
      <c r="P1115" s="990"/>
      <c r="Q1115" s="990"/>
      <c r="R1115" s="990"/>
      <c r="S1115" s="990"/>
      <c r="T1115" s="990"/>
      <c r="U1115" s="990"/>
      <c r="V1115" s="990"/>
      <c r="W1115" s="990"/>
      <c r="X1115" s="990"/>
    </row>
    <row r="1116" spans="1:24" s="896" customFormat="1" ht="38.25">
      <c r="A1116" s="987">
        <f t="shared" si="18"/>
        <v>1042</v>
      </c>
      <c r="B1116" s="988">
        <v>37732</v>
      </c>
      <c r="C1116" s="899" t="s">
        <v>10442</v>
      </c>
      <c r="D1116" s="988" t="s">
        <v>2666</v>
      </c>
      <c r="E1116" s="989">
        <v>38215.379999999997</v>
      </c>
      <c r="F1116" s="990"/>
      <c r="G1116" s="990"/>
      <c r="H1116" s="990"/>
      <c r="I1116" s="990"/>
      <c r="J1116" s="990"/>
      <c r="K1116" s="990"/>
      <c r="L1116" s="990"/>
      <c r="M1116" s="990"/>
      <c r="N1116" s="990"/>
      <c r="O1116" s="990"/>
      <c r="P1116" s="990"/>
      <c r="Q1116" s="990"/>
      <c r="R1116" s="990"/>
      <c r="S1116" s="990"/>
      <c r="T1116" s="990"/>
      <c r="U1116" s="990"/>
      <c r="V1116" s="990"/>
      <c r="W1116" s="990"/>
      <c r="X1116" s="990"/>
    </row>
    <row r="1117" spans="1:24" s="896" customFormat="1" ht="25.5">
      <c r="A1117" s="987">
        <f t="shared" si="18"/>
        <v>1043</v>
      </c>
      <c r="B1117" s="988">
        <v>42256</v>
      </c>
      <c r="C1117" s="899" t="s">
        <v>10443</v>
      </c>
      <c r="D1117" s="988" t="s">
        <v>2670</v>
      </c>
      <c r="E1117" s="989">
        <v>4.21</v>
      </c>
      <c r="F1117" s="990"/>
      <c r="G1117" s="990"/>
      <c r="H1117" s="990"/>
      <c r="I1117" s="990"/>
      <c r="J1117" s="990"/>
      <c r="K1117" s="990"/>
      <c r="L1117" s="990"/>
      <c r="M1117" s="990"/>
      <c r="N1117" s="990"/>
      <c r="O1117" s="990"/>
      <c r="P1117" s="990"/>
      <c r="Q1117" s="990"/>
      <c r="R1117" s="990"/>
      <c r="S1117" s="990"/>
      <c r="T1117" s="990"/>
      <c r="U1117" s="990"/>
      <c r="V1117" s="990"/>
      <c r="W1117" s="990"/>
      <c r="X1117" s="990"/>
    </row>
    <row r="1118" spans="1:24" s="896" customFormat="1" ht="25.5">
      <c r="A1118" s="987">
        <f t="shared" si="18"/>
        <v>1044</v>
      </c>
      <c r="B1118" s="988">
        <v>42250</v>
      </c>
      <c r="C1118" s="899" t="s">
        <v>10444</v>
      </c>
      <c r="D1118" s="988" t="s">
        <v>2676</v>
      </c>
      <c r="E1118" s="989">
        <v>1896.61</v>
      </c>
      <c r="F1118" s="990"/>
      <c r="G1118" s="990"/>
      <c r="H1118" s="990"/>
      <c r="I1118" s="990"/>
      <c r="J1118" s="990"/>
      <c r="K1118" s="990"/>
      <c r="L1118" s="990"/>
      <c r="M1118" s="990"/>
      <c r="N1118" s="990"/>
      <c r="O1118" s="990"/>
      <c r="P1118" s="990"/>
      <c r="Q1118" s="990"/>
      <c r="R1118" s="990"/>
      <c r="S1118" s="990"/>
      <c r="T1118" s="990"/>
      <c r="U1118" s="990"/>
      <c r="V1118" s="990"/>
      <c r="W1118" s="990"/>
      <c r="X1118" s="990"/>
    </row>
    <row r="1119" spans="1:24" s="896" customFormat="1">
      <c r="A1119" s="987">
        <f t="shared" si="18"/>
        <v>1045</v>
      </c>
      <c r="B1119" s="988">
        <v>4743</v>
      </c>
      <c r="C1119" s="899" t="s">
        <v>10445</v>
      </c>
      <c r="D1119" s="988" t="s">
        <v>2668</v>
      </c>
      <c r="E1119" s="989">
        <v>32.479999999999997</v>
      </c>
      <c r="F1119" s="990"/>
      <c r="G1119" s="990"/>
      <c r="H1119" s="990"/>
      <c r="I1119" s="990"/>
      <c r="J1119" s="990"/>
      <c r="K1119" s="990"/>
      <c r="L1119" s="990"/>
      <c r="M1119" s="990"/>
      <c r="N1119" s="990"/>
      <c r="O1119" s="990"/>
      <c r="P1119" s="990"/>
      <c r="Q1119" s="990"/>
      <c r="R1119" s="990"/>
      <c r="S1119" s="990"/>
      <c r="T1119" s="990"/>
      <c r="U1119" s="990"/>
      <c r="V1119" s="990"/>
      <c r="W1119" s="990"/>
      <c r="X1119" s="990"/>
    </row>
    <row r="1120" spans="1:24" s="896" customFormat="1">
      <c r="A1120" s="987">
        <f t="shared" si="18"/>
        <v>1046</v>
      </c>
      <c r="B1120" s="988">
        <v>4744</v>
      </c>
      <c r="C1120" s="899" t="s">
        <v>10446</v>
      </c>
      <c r="D1120" s="988" t="s">
        <v>2668</v>
      </c>
      <c r="E1120" s="989">
        <v>51.97</v>
      </c>
      <c r="F1120" s="990"/>
      <c r="G1120" s="990"/>
      <c r="H1120" s="990"/>
      <c r="I1120" s="990"/>
      <c r="J1120" s="990"/>
      <c r="K1120" s="990"/>
      <c r="L1120" s="990"/>
      <c r="M1120" s="990"/>
      <c r="N1120" s="990"/>
      <c r="O1120" s="990"/>
      <c r="P1120" s="990"/>
      <c r="Q1120" s="990"/>
      <c r="R1120" s="990"/>
      <c r="S1120" s="990"/>
      <c r="T1120" s="990"/>
      <c r="U1120" s="990"/>
      <c r="V1120" s="990"/>
      <c r="W1120" s="990"/>
      <c r="X1120" s="990"/>
    </row>
    <row r="1121" spans="1:24" s="896" customFormat="1">
      <c r="A1121" s="987">
        <f t="shared" si="18"/>
        <v>1047</v>
      </c>
      <c r="B1121" s="988">
        <v>4745</v>
      </c>
      <c r="C1121" s="899" t="s">
        <v>10447</v>
      </c>
      <c r="D1121" s="988" t="s">
        <v>2668</v>
      </c>
      <c r="E1121" s="989">
        <v>62.33</v>
      </c>
      <c r="F1121" s="990"/>
      <c r="G1121" s="990"/>
      <c r="H1121" s="990"/>
      <c r="I1121" s="990"/>
      <c r="J1121" s="990"/>
      <c r="K1121" s="990"/>
      <c r="L1121" s="990"/>
      <c r="M1121" s="990"/>
      <c r="N1121" s="990"/>
      <c r="O1121" s="990"/>
      <c r="P1121" s="990"/>
      <c r="Q1121" s="990"/>
      <c r="R1121" s="990"/>
      <c r="S1121" s="990"/>
      <c r="T1121" s="990"/>
      <c r="U1121" s="990"/>
      <c r="V1121" s="990"/>
      <c r="W1121" s="990"/>
      <c r="X1121" s="990"/>
    </row>
    <row r="1122" spans="1:24" s="896" customFormat="1" ht="38.25">
      <c r="A1122" s="987">
        <f t="shared" si="18"/>
        <v>1048</v>
      </c>
      <c r="B1122" s="988">
        <v>36496</v>
      </c>
      <c r="C1122" s="899" t="s">
        <v>10448</v>
      </c>
      <c r="D1122" s="988" t="s">
        <v>2666</v>
      </c>
      <c r="E1122" s="989">
        <v>9495.26</v>
      </c>
      <c r="F1122" s="990"/>
      <c r="G1122" s="990"/>
      <c r="H1122" s="990"/>
      <c r="I1122" s="990"/>
      <c r="J1122" s="990"/>
      <c r="K1122" s="990"/>
      <c r="L1122" s="990"/>
      <c r="M1122" s="990"/>
      <c r="N1122" s="990"/>
      <c r="O1122" s="990"/>
      <c r="P1122" s="990"/>
      <c r="Q1122" s="990"/>
      <c r="R1122" s="990"/>
      <c r="S1122" s="990"/>
      <c r="T1122" s="990"/>
      <c r="U1122" s="990"/>
      <c r="V1122" s="990"/>
      <c r="W1122" s="990"/>
      <c r="X1122" s="990"/>
    </row>
    <row r="1123" spans="1:24" s="896" customFormat="1" ht="38.25">
      <c r="A1123" s="987">
        <f t="shared" si="18"/>
        <v>1049</v>
      </c>
      <c r="B1123" s="988">
        <v>10630</v>
      </c>
      <c r="C1123" s="899" t="s">
        <v>10449</v>
      </c>
      <c r="D1123" s="988" t="s">
        <v>2666</v>
      </c>
      <c r="E1123" s="989">
        <v>605995.67000000004</v>
      </c>
      <c r="F1123" s="990"/>
      <c r="G1123" s="990"/>
      <c r="H1123" s="990"/>
      <c r="I1123" s="990"/>
      <c r="J1123" s="990"/>
      <c r="K1123" s="990"/>
      <c r="L1123" s="990"/>
      <c r="M1123" s="990"/>
      <c r="N1123" s="990"/>
      <c r="O1123" s="990"/>
      <c r="P1123" s="990"/>
      <c r="Q1123" s="990"/>
      <c r="R1123" s="990"/>
      <c r="S1123" s="990"/>
      <c r="T1123" s="990"/>
      <c r="U1123" s="990"/>
      <c r="V1123" s="990"/>
      <c r="W1123" s="990"/>
      <c r="X1123" s="990"/>
    </row>
    <row r="1124" spans="1:24" s="896" customFormat="1" ht="38.25">
      <c r="A1124" s="987">
        <f t="shared" si="18"/>
        <v>1050</v>
      </c>
      <c r="B1124" s="988">
        <v>37762</v>
      </c>
      <c r="C1124" s="899" t="s">
        <v>10450</v>
      </c>
      <c r="D1124" s="988" t="s">
        <v>2666</v>
      </c>
      <c r="E1124" s="989">
        <v>519725.56</v>
      </c>
      <c r="F1124" s="990"/>
      <c r="G1124" s="990"/>
      <c r="H1124" s="990"/>
      <c r="I1124" s="990"/>
      <c r="J1124" s="990"/>
      <c r="K1124" s="990"/>
      <c r="L1124" s="990"/>
      <c r="M1124" s="990"/>
      <c r="N1124" s="990"/>
      <c r="O1124" s="990"/>
      <c r="P1124" s="990"/>
      <c r="Q1124" s="990"/>
      <c r="R1124" s="990"/>
      <c r="S1124" s="990"/>
      <c r="T1124" s="990"/>
      <c r="U1124" s="990"/>
      <c r="V1124" s="990"/>
      <c r="W1124" s="990"/>
      <c r="X1124" s="990"/>
    </row>
    <row r="1125" spans="1:24" s="896" customFormat="1" ht="38.25">
      <c r="A1125" s="987">
        <f t="shared" si="18"/>
        <v>1051</v>
      </c>
      <c r="B1125" s="988">
        <v>37763</v>
      </c>
      <c r="C1125" s="899" t="s">
        <v>10451</v>
      </c>
      <c r="D1125" s="988" t="s">
        <v>2666</v>
      </c>
      <c r="E1125" s="989">
        <v>526037.93000000005</v>
      </c>
      <c r="F1125" s="990"/>
      <c r="G1125" s="990"/>
      <c r="H1125" s="990"/>
      <c r="I1125" s="990"/>
      <c r="J1125" s="990"/>
      <c r="K1125" s="990"/>
      <c r="L1125" s="990"/>
      <c r="M1125" s="990"/>
      <c r="N1125" s="990"/>
      <c r="O1125" s="990"/>
      <c r="P1125" s="990"/>
      <c r="Q1125" s="990"/>
      <c r="R1125" s="990"/>
      <c r="S1125" s="990"/>
      <c r="T1125" s="990"/>
      <c r="U1125" s="990"/>
      <c r="V1125" s="990"/>
      <c r="W1125" s="990"/>
      <c r="X1125" s="990"/>
    </row>
    <row r="1126" spans="1:24" s="896" customFormat="1" ht="38.25">
      <c r="A1126" s="987">
        <f t="shared" si="18"/>
        <v>1052</v>
      </c>
      <c r="B1126" s="988">
        <v>41992</v>
      </c>
      <c r="C1126" s="899" t="s">
        <v>10452</v>
      </c>
      <c r="D1126" s="988" t="s">
        <v>2666</v>
      </c>
      <c r="E1126" s="989">
        <v>598000</v>
      </c>
      <c r="F1126" s="990"/>
      <c r="G1126" s="990"/>
      <c r="H1126" s="990"/>
      <c r="I1126" s="990"/>
      <c r="J1126" s="990"/>
      <c r="K1126" s="990"/>
      <c r="L1126" s="990"/>
      <c r="M1126" s="990"/>
      <c r="N1126" s="990"/>
      <c r="O1126" s="990"/>
      <c r="P1126" s="990"/>
      <c r="Q1126" s="990"/>
      <c r="R1126" s="990"/>
      <c r="S1126" s="990"/>
      <c r="T1126" s="990"/>
      <c r="U1126" s="990"/>
      <c r="V1126" s="990"/>
      <c r="W1126" s="990"/>
      <c r="X1126" s="990"/>
    </row>
    <row r="1127" spans="1:24" s="896" customFormat="1" ht="38.25">
      <c r="A1127" s="987">
        <f t="shared" si="18"/>
        <v>1053</v>
      </c>
      <c r="B1127" s="988">
        <v>13215</v>
      </c>
      <c r="C1127" s="899" t="s">
        <v>10453</v>
      </c>
      <c r="D1127" s="988" t="s">
        <v>2666</v>
      </c>
      <c r="E1127" s="989">
        <v>733296.9</v>
      </c>
      <c r="F1127" s="990"/>
      <c r="G1127" s="990"/>
      <c r="H1127" s="990"/>
      <c r="I1127" s="990"/>
      <c r="J1127" s="990"/>
      <c r="K1127" s="990"/>
      <c r="L1127" s="990"/>
      <c r="M1127" s="990"/>
      <c r="N1127" s="990"/>
      <c r="O1127" s="990"/>
      <c r="P1127" s="990"/>
      <c r="Q1127" s="990"/>
      <c r="R1127" s="990"/>
      <c r="S1127" s="990"/>
      <c r="T1127" s="990"/>
      <c r="U1127" s="990"/>
      <c r="V1127" s="990"/>
      <c r="W1127" s="990"/>
      <c r="X1127" s="990"/>
    </row>
    <row r="1128" spans="1:24" s="896" customFormat="1">
      <c r="A1128" s="987">
        <f t="shared" si="18"/>
        <v>1054</v>
      </c>
      <c r="B1128" s="988">
        <v>4235</v>
      </c>
      <c r="C1128" s="899" t="s">
        <v>10454</v>
      </c>
      <c r="D1128" s="988" t="s">
        <v>2665</v>
      </c>
      <c r="E1128" s="989">
        <v>15.55</v>
      </c>
      <c r="F1128" s="990"/>
      <c r="G1128" s="990"/>
      <c r="H1128" s="990"/>
      <c r="I1128" s="990"/>
      <c r="J1128" s="990"/>
      <c r="K1128" s="990"/>
      <c r="L1128" s="990"/>
      <c r="M1128" s="990"/>
      <c r="N1128" s="990"/>
      <c r="O1128" s="990"/>
      <c r="P1128" s="990"/>
      <c r="Q1128" s="990"/>
      <c r="R1128" s="990"/>
      <c r="S1128" s="990"/>
      <c r="T1128" s="990"/>
      <c r="U1128" s="990"/>
      <c r="V1128" s="990"/>
      <c r="W1128" s="990"/>
      <c r="X1128" s="990"/>
    </row>
    <row r="1129" spans="1:24" s="896" customFormat="1">
      <c r="A1129" s="987">
        <f t="shared" si="18"/>
        <v>1055</v>
      </c>
      <c r="B1129" s="988">
        <v>40976</v>
      </c>
      <c r="C1129" s="899" t="s">
        <v>10455</v>
      </c>
      <c r="D1129" s="988" t="s">
        <v>2672</v>
      </c>
      <c r="E1129" s="989">
        <v>2736.85</v>
      </c>
      <c r="F1129" s="990"/>
      <c r="G1129" s="990"/>
      <c r="H1129" s="990"/>
      <c r="I1129" s="990"/>
      <c r="J1129" s="990"/>
      <c r="K1129" s="990"/>
      <c r="L1129" s="990"/>
      <c r="M1129" s="990"/>
      <c r="N1129" s="990"/>
      <c r="O1129" s="990"/>
      <c r="P1129" s="990"/>
      <c r="Q1129" s="990"/>
      <c r="R1129" s="990"/>
      <c r="S1129" s="990"/>
      <c r="T1129" s="990"/>
      <c r="U1129" s="990"/>
      <c r="V1129" s="990"/>
      <c r="W1129" s="990"/>
      <c r="X1129" s="990"/>
    </row>
    <row r="1130" spans="1:24" s="896" customFormat="1">
      <c r="A1130" s="987">
        <f t="shared" si="18"/>
        <v>1056</v>
      </c>
      <c r="B1130" s="988">
        <v>39013</v>
      </c>
      <c r="C1130" s="899" t="s">
        <v>10456</v>
      </c>
      <c r="D1130" s="988" t="s">
        <v>2666</v>
      </c>
      <c r="E1130" s="989">
        <v>1.3</v>
      </c>
      <c r="F1130" s="990"/>
      <c r="G1130" s="990"/>
      <c r="H1130" s="990"/>
      <c r="I1130" s="990"/>
      <c r="J1130" s="990"/>
      <c r="K1130" s="990"/>
      <c r="L1130" s="990"/>
      <c r="M1130" s="990"/>
      <c r="N1130" s="990"/>
      <c r="O1130" s="990"/>
      <c r="P1130" s="990"/>
      <c r="Q1130" s="990"/>
      <c r="R1130" s="990"/>
      <c r="S1130" s="990"/>
      <c r="T1130" s="990"/>
      <c r="U1130" s="990"/>
      <c r="V1130" s="990"/>
      <c r="W1130" s="990"/>
      <c r="X1130" s="990"/>
    </row>
    <row r="1131" spans="1:24" s="896" customFormat="1" ht="38.25">
      <c r="A1131" s="987">
        <f t="shared" si="18"/>
        <v>1057</v>
      </c>
      <c r="B1131" s="988">
        <v>43091</v>
      </c>
      <c r="C1131" s="899" t="s">
        <v>10457</v>
      </c>
      <c r="D1131" s="988" t="s">
        <v>2666</v>
      </c>
      <c r="E1131" s="989">
        <v>7624.46</v>
      </c>
      <c r="F1131" s="990"/>
      <c r="G1131" s="990"/>
      <c r="H1131" s="990"/>
      <c r="I1131" s="990"/>
      <c r="J1131" s="990"/>
      <c r="K1131" s="990"/>
      <c r="L1131" s="990"/>
      <c r="M1131" s="990"/>
      <c r="N1131" s="990"/>
      <c r="O1131" s="990"/>
      <c r="P1131" s="990"/>
      <c r="Q1131" s="990"/>
      <c r="R1131" s="990"/>
      <c r="S1131" s="990"/>
      <c r="T1131" s="990"/>
      <c r="U1131" s="990"/>
      <c r="V1131" s="990"/>
      <c r="W1131" s="990"/>
      <c r="X1131" s="990"/>
    </row>
    <row r="1132" spans="1:24" s="896" customFormat="1" ht="38.25">
      <c r="A1132" s="987">
        <f t="shared" si="18"/>
        <v>1058</v>
      </c>
      <c r="B1132" s="988">
        <v>43092</v>
      </c>
      <c r="C1132" s="899" t="s">
        <v>10458</v>
      </c>
      <c r="D1132" s="988" t="s">
        <v>2666</v>
      </c>
      <c r="E1132" s="989">
        <v>10165.950000000001</v>
      </c>
      <c r="F1132" s="990"/>
      <c r="G1132" s="990"/>
      <c r="H1132" s="990"/>
      <c r="I1132" s="990"/>
      <c r="J1132" s="990"/>
      <c r="K1132" s="990"/>
      <c r="L1132" s="990"/>
      <c r="M1132" s="990"/>
      <c r="N1132" s="990"/>
      <c r="O1132" s="990"/>
      <c r="P1132" s="990"/>
      <c r="Q1132" s="990"/>
      <c r="R1132" s="990"/>
      <c r="S1132" s="990"/>
      <c r="T1132" s="990"/>
      <c r="U1132" s="990"/>
      <c r="V1132" s="990"/>
      <c r="W1132" s="990"/>
      <c r="X1132" s="990"/>
    </row>
    <row r="1133" spans="1:24" s="896" customFormat="1" ht="38.25">
      <c r="A1133" s="987">
        <f t="shared" si="18"/>
        <v>1059</v>
      </c>
      <c r="B1133" s="988">
        <v>43089</v>
      </c>
      <c r="C1133" s="899" t="s">
        <v>10459</v>
      </c>
      <c r="D1133" s="988" t="s">
        <v>2666</v>
      </c>
      <c r="E1133" s="989">
        <v>1771.71</v>
      </c>
      <c r="F1133" s="990"/>
      <c r="G1133" s="990"/>
      <c r="H1133" s="990"/>
      <c r="I1133" s="990"/>
      <c r="J1133" s="990"/>
      <c r="K1133" s="990"/>
      <c r="L1133" s="990"/>
      <c r="M1133" s="990"/>
      <c r="N1133" s="990"/>
      <c r="O1133" s="990"/>
      <c r="P1133" s="990"/>
      <c r="Q1133" s="990"/>
      <c r="R1133" s="990"/>
      <c r="S1133" s="990"/>
      <c r="T1133" s="990"/>
      <c r="U1133" s="990"/>
      <c r="V1133" s="990"/>
      <c r="W1133" s="990"/>
      <c r="X1133" s="990"/>
    </row>
    <row r="1134" spans="1:24" s="896" customFormat="1" ht="38.25">
      <c r="A1134" s="987">
        <f t="shared" si="18"/>
        <v>1060</v>
      </c>
      <c r="B1134" s="988">
        <v>43090</v>
      </c>
      <c r="C1134" s="899" t="s">
        <v>10460</v>
      </c>
      <c r="D1134" s="988" t="s">
        <v>2666</v>
      </c>
      <c r="E1134" s="989">
        <v>3909.98</v>
      </c>
      <c r="F1134" s="990"/>
      <c r="G1134" s="990"/>
      <c r="H1134" s="990"/>
      <c r="I1134" s="990"/>
      <c r="J1134" s="990"/>
      <c r="K1134" s="990"/>
      <c r="L1134" s="990"/>
      <c r="M1134" s="990"/>
      <c r="N1134" s="990"/>
      <c r="O1134" s="990"/>
      <c r="P1134" s="990"/>
      <c r="Q1134" s="990"/>
      <c r="R1134" s="990"/>
      <c r="S1134" s="990"/>
      <c r="T1134" s="990"/>
      <c r="U1134" s="990"/>
      <c r="V1134" s="990"/>
      <c r="W1134" s="990"/>
      <c r="X1134" s="990"/>
    </row>
    <row r="1135" spans="1:24" s="896" customFormat="1">
      <c r="A1135" s="987">
        <f t="shared" si="18"/>
        <v>1061</v>
      </c>
      <c r="B1135" s="988">
        <v>41967</v>
      </c>
      <c r="C1135" s="899" t="s">
        <v>10461</v>
      </c>
      <c r="D1135" s="988" t="s">
        <v>2671</v>
      </c>
      <c r="E1135" s="989">
        <v>20.12</v>
      </c>
      <c r="F1135" s="990"/>
      <c r="G1135" s="990"/>
      <c r="H1135" s="990"/>
      <c r="I1135" s="990"/>
      <c r="J1135" s="990"/>
      <c r="K1135" s="990"/>
      <c r="L1135" s="990"/>
      <c r="M1135" s="990"/>
      <c r="N1135" s="990"/>
      <c r="O1135" s="990"/>
      <c r="P1135" s="990"/>
      <c r="Q1135" s="990"/>
      <c r="R1135" s="990"/>
      <c r="S1135" s="990"/>
      <c r="T1135" s="990"/>
      <c r="U1135" s="990"/>
      <c r="V1135" s="990"/>
      <c r="W1135" s="990"/>
      <c r="X1135" s="990"/>
    </row>
    <row r="1136" spans="1:24" s="896" customFormat="1" ht="25.5">
      <c r="A1136" s="987">
        <f t="shared" si="18"/>
        <v>1062</v>
      </c>
      <c r="B1136" s="988">
        <v>12760</v>
      </c>
      <c r="C1136" s="899" t="s">
        <v>10462</v>
      </c>
      <c r="D1136" s="988" t="s">
        <v>2667</v>
      </c>
      <c r="E1136" s="989">
        <v>1802.36</v>
      </c>
      <c r="F1136" s="990"/>
      <c r="G1136" s="990"/>
      <c r="H1136" s="990"/>
      <c r="I1136" s="990"/>
      <c r="J1136" s="990"/>
      <c r="K1136" s="990"/>
      <c r="L1136" s="990"/>
      <c r="M1136" s="990"/>
      <c r="N1136" s="990"/>
      <c r="O1136" s="990"/>
      <c r="P1136" s="990"/>
      <c r="Q1136" s="990"/>
      <c r="R1136" s="990"/>
      <c r="S1136" s="990"/>
      <c r="T1136" s="990"/>
      <c r="U1136" s="990"/>
      <c r="V1136" s="990"/>
      <c r="W1136" s="990"/>
      <c r="X1136" s="990"/>
    </row>
    <row r="1137" spans="1:24" s="896" customFormat="1" ht="25.5">
      <c r="A1137" s="987">
        <f t="shared" si="18"/>
        <v>1063</v>
      </c>
      <c r="B1137" s="988">
        <v>12759</v>
      </c>
      <c r="C1137" s="899" t="s">
        <v>10463</v>
      </c>
      <c r="D1137" s="988" t="s">
        <v>2667</v>
      </c>
      <c r="E1137" s="989">
        <v>1201.55</v>
      </c>
      <c r="F1137" s="990"/>
      <c r="G1137" s="990"/>
      <c r="H1137" s="990"/>
      <c r="I1137" s="990"/>
      <c r="J1137" s="990"/>
      <c r="K1137" s="990"/>
      <c r="L1137" s="990"/>
      <c r="M1137" s="990"/>
      <c r="N1137" s="990"/>
      <c r="O1137" s="990"/>
      <c r="P1137" s="990"/>
      <c r="Q1137" s="990"/>
      <c r="R1137" s="990"/>
      <c r="S1137" s="990"/>
      <c r="T1137" s="990"/>
      <c r="U1137" s="990"/>
      <c r="V1137" s="990"/>
      <c r="W1137" s="990"/>
      <c r="X1137" s="990"/>
    </row>
    <row r="1138" spans="1:24" s="896" customFormat="1" ht="25.5">
      <c r="A1138" s="987">
        <f t="shared" si="18"/>
        <v>1064</v>
      </c>
      <c r="B1138" s="988">
        <v>43105</v>
      </c>
      <c r="C1138" s="899" t="s">
        <v>10464</v>
      </c>
      <c r="D1138" s="988" t="s">
        <v>2670</v>
      </c>
      <c r="E1138" s="989">
        <v>47.87</v>
      </c>
      <c r="F1138" s="990"/>
      <c r="G1138" s="990"/>
      <c r="H1138" s="990"/>
      <c r="I1138" s="990"/>
      <c r="J1138" s="990"/>
      <c r="K1138" s="990"/>
      <c r="L1138" s="990"/>
      <c r="M1138" s="990"/>
      <c r="N1138" s="990"/>
      <c r="O1138" s="990"/>
      <c r="P1138" s="990"/>
      <c r="Q1138" s="990"/>
      <c r="R1138" s="990"/>
      <c r="S1138" s="990"/>
      <c r="T1138" s="990"/>
      <c r="U1138" s="990"/>
      <c r="V1138" s="990"/>
      <c r="W1138" s="990"/>
      <c r="X1138" s="990"/>
    </row>
    <row r="1139" spans="1:24" s="896" customFormat="1" ht="25.5">
      <c r="A1139" s="987">
        <f t="shared" si="18"/>
        <v>1065</v>
      </c>
      <c r="B1139" s="988">
        <v>40424</v>
      </c>
      <c r="C1139" s="899" t="s">
        <v>10465</v>
      </c>
      <c r="D1139" s="988" t="s">
        <v>2670</v>
      </c>
      <c r="E1139" s="989">
        <v>12.16</v>
      </c>
      <c r="F1139" s="990"/>
      <c r="G1139" s="990"/>
      <c r="H1139" s="990"/>
      <c r="I1139" s="990"/>
      <c r="J1139" s="990"/>
      <c r="K1139" s="990"/>
      <c r="L1139" s="990"/>
      <c r="M1139" s="990"/>
      <c r="N1139" s="990"/>
      <c r="O1139" s="990"/>
      <c r="P1139" s="990"/>
      <c r="Q1139" s="990"/>
      <c r="R1139" s="990"/>
      <c r="S1139" s="990"/>
      <c r="T1139" s="990"/>
      <c r="U1139" s="990"/>
      <c r="V1139" s="990"/>
      <c r="W1139" s="990"/>
      <c r="X1139" s="990"/>
    </row>
    <row r="1140" spans="1:24" s="896" customFormat="1">
      <c r="A1140" s="987">
        <f t="shared" si="18"/>
        <v>1066</v>
      </c>
      <c r="B1140" s="988">
        <v>1325</v>
      </c>
      <c r="C1140" s="899" t="s">
        <v>10466</v>
      </c>
      <c r="D1140" s="988" t="s">
        <v>2670</v>
      </c>
      <c r="E1140" s="989">
        <v>13.32</v>
      </c>
      <c r="F1140" s="990"/>
      <c r="G1140" s="990"/>
      <c r="H1140" s="990"/>
      <c r="I1140" s="990"/>
      <c r="J1140" s="990"/>
      <c r="K1140" s="990"/>
      <c r="L1140" s="990"/>
      <c r="M1140" s="990"/>
      <c r="N1140" s="990"/>
      <c r="O1140" s="990"/>
      <c r="P1140" s="990"/>
      <c r="Q1140" s="990"/>
      <c r="R1140" s="990"/>
      <c r="S1140" s="990"/>
      <c r="T1140" s="990"/>
      <c r="U1140" s="990"/>
      <c r="V1140" s="990"/>
      <c r="W1140" s="990"/>
      <c r="X1140" s="990"/>
    </row>
    <row r="1141" spans="1:24" s="896" customFormat="1">
      <c r="A1141" s="987">
        <f t="shared" si="18"/>
        <v>1067</v>
      </c>
      <c r="B1141" s="988">
        <v>1327</v>
      </c>
      <c r="C1141" s="899" t="s">
        <v>10467</v>
      </c>
      <c r="D1141" s="988" t="s">
        <v>2670</v>
      </c>
      <c r="E1141" s="989">
        <v>14.18</v>
      </c>
      <c r="F1141" s="990"/>
      <c r="G1141" s="990"/>
      <c r="H1141" s="990"/>
      <c r="I1141" s="990"/>
      <c r="J1141" s="990"/>
      <c r="K1141" s="990"/>
      <c r="L1141" s="990"/>
      <c r="M1141" s="990"/>
      <c r="N1141" s="990"/>
      <c r="O1141" s="990"/>
      <c r="P1141" s="990"/>
      <c r="Q1141" s="990"/>
      <c r="R1141" s="990"/>
      <c r="S1141" s="990"/>
      <c r="T1141" s="990"/>
      <c r="U1141" s="990"/>
      <c r="V1141" s="990"/>
      <c r="W1141" s="990"/>
      <c r="X1141" s="990"/>
    </row>
    <row r="1142" spans="1:24" s="896" customFormat="1">
      <c r="A1142" s="987">
        <f t="shared" si="18"/>
        <v>1068</v>
      </c>
      <c r="B1142" s="988">
        <v>1328</v>
      </c>
      <c r="C1142" s="899" t="s">
        <v>10468</v>
      </c>
      <c r="D1142" s="988" t="s">
        <v>2670</v>
      </c>
      <c r="E1142" s="989">
        <v>13.35</v>
      </c>
      <c r="F1142" s="990"/>
      <c r="G1142" s="990"/>
      <c r="H1142" s="990"/>
      <c r="I1142" s="990"/>
      <c r="J1142" s="990"/>
      <c r="K1142" s="990"/>
      <c r="L1142" s="990"/>
      <c r="M1142" s="990"/>
      <c r="N1142" s="990"/>
      <c r="O1142" s="990"/>
      <c r="P1142" s="990"/>
      <c r="Q1142" s="990"/>
      <c r="R1142" s="990"/>
      <c r="S1142" s="990"/>
      <c r="T1142" s="990"/>
      <c r="U1142" s="990"/>
      <c r="V1142" s="990"/>
      <c r="W1142" s="990"/>
      <c r="X1142" s="990"/>
    </row>
    <row r="1143" spans="1:24" s="896" customFormat="1">
      <c r="A1143" s="987">
        <f t="shared" si="18"/>
        <v>1069</v>
      </c>
      <c r="B1143" s="988">
        <v>1321</v>
      </c>
      <c r="C1143" s="899" t="s">
        <v>10469</v>
      </c>
      <c r="D1143" s="988" t="s">
        <v>2670</v>
      </c>
      <c r="E1143" s="989">
        <v>12.36</v>
      </c>
      <c r="F1143" s="990"/>
      <c r="G1143" s="990"/>
      <c r="H1143" s="990"/>
      <c r="I1143" s="990"/>
      <c r="J1143" s="990"/>
      <c r="K1143" s="990"/>
      <c r="L1143" s="990"/>
      <c r="M1143" s="990"/>
      <c r="N1143" s="990"/>
      <c r="O1143" s="990"/>
      <c r="P1143" s="990"/>
      <c r="Q1143" s="990"/>
      <c r="R1143" s="990"/>
      <c r="S1143" s="990"/>
      <c r="T1143" s="990"/>
      <c r="U1143" s="990"/>
      <c r="V1143" s="990"/>
      <c r="W1143" s="990"/>
      <c r="X1143" s="990"/>
    </row>
    <row r="1144" spans="1:24" s="896" customFormat="1">
      <c r="A1144" s="987">
        <f t="shared" si="18"/>
        <v>1070</v>
      </c>
      <c r="B1144" s="988">
        <v>1318</v>
      </c>
      <c r="C1144" s="899" t="s">
        <v>10470</v>
      </c>
      <c r="D1144" s="988" t="s">
        <v>2670</v>
      </c>
      <c r="E1144" s="989">
        <v>12.37</v>
      </c>
      <c r="F1144" s="990"/>
      <c r="G1144" s="990"/>
      <c r="H1144" s="990"/>
      <c r="I1144" s="990"/>
      <c r="J1144" s="990"/>
      <c r="K1144" s="990"/>
      <c r="L1144" s="990"/>
      <c r="M1144" s="990"/>
      <c r="N1144" s="990"/>
      <c r="O1144" s="990"/>
      <c r="P1144" s="990"/>
      <c r="Q1144" s="990"/>
      <c r="R1144" s="990"/>
      <c r="S1144" s="990"/>
      <c r="T1144" s="990"/>
      <c r="U1144" s="990"/>
      <c r="V1144" s="990"/>
      <c r="W1144" s="990"/>
      <c r="X1144" s="990"/>
    </row>
    <row r="1145" spans="1:24" s="896" customFormat="1">
      <c r="A1145" s="987">
        <f t="shared" si="18"/>
        <v>1071</v>
      </c>
      <c r="B1145" s="988">
        <v>1322</v>
      </c>
      <c r="C1145" s="899" t="s">
        <v>10471</v>
      </c>
      <c r="D1145" s="988" t="s">
        <v>2670</v>
      </c>
      <c r="E1145" s="989">
        <v>13.07</v>
      </c>
      <c r="F1145" s="990"/>
      <c r="G1145" s="990"/>
      <c r="H1145" s="990"/>
      <c r="I1145" s="990"/>
      <c r="J1145" s="990"/>
      <c r="K1145" s="990"/>
      <c r="L1145" s="990"/>
      <c r="M1145" s="990"/>
      <c r="N1145" s="990"/>
      <c r="O1145" s="990"/>
      <c r="P1145" s="990"/>
      <c r="Q1145" s="990"/>
      <c r="R1145" s="990"/>
      <c r="S1145" s="990"/>
      <c r="T1145" s="990"/>
      <c r="U1145" s="990"/>
      <c r="V1145" s="990"/>
      <c r="W1145" s="990"/>
      <c r="X1145" s="990"/>
    </row>
    <row r="1146" spans="1:24" s="896" customFormat="1">
      <c r="A1146" s="987">
        <f t="shared" si="18"/>
        <v>1072</v>
      </c>
      <c r="B1146" s="988">
        <v>1323</v>
      </c>
      <c r="C1146" s="899" t="s">
        <v>10472</v>
      </c>
      <c r="D1146" s="988" t="s">
        <v>2670</v>
      </c>
      <c r="E1146" s="989">
        <v>13.07</v>
      </c>
      <c r="F1146" s="990"/>
      <c r="G1146" s="990"/>
      <c r="H1146" s="990"/>
      <c r="I1146" s="990"/>
      <c r="J1146" s="990"/>
      <c r="K1146" s="990"/>
      <c r="L1146" s="990"/>
      <c r="M1146" s="990"/>
      <c r="N1146" s="990"/>
      <c r="O1146" s="990"/>
      <c r="P1146" s="990"/>
      <c r="Q1146" s="990"/>
      <c r="R1146" s="990"/>
      <c r="S1146" s="990"/>
      <c r="T1146" s="990"/>
      <c r="U1146" s="990"/>
      <c r="V1146" s="990"/>
      <c r="W1146" s="990"/>
      <c r="X1146" s="990"/>
    </row>
    <row r="1147" spans="1:24" s="896" customFormat="1">
      <c r="A1147" s="987">
        <f t="shared" si="18"/>
        <v>1073</v>
      </c>
      <c r="B1147" s="988">
        <v>1319</v>
      </c>
      <c r="C1147" s="899" t="s">
        <v>10473</v>
      </c>
      <c r="D1147" s="988" t="s">
        <v>2670</v>
      </c>
      <c r="E1147" s="989">
        <v>11.01</v>
      </c>
      <c r="F1147" s="990"/>
      <c r="G1147" s="990"/>
      <c r="H1147" s="990"/>
      <c r="I1147" s="990"/>
      <c r="J1147" s="990"/>
      <c r="K1147" s="990"/>
      <c r="L1147" s="990"/>
      <c r="M1147" s="990"/>
      <c r="N1147" s="990"/>
      <c r="O1147" s="990"/>
      <c r="P1147" s="990"/>
      <c r="Q1147" s="990"/>
      <c r="R1147" s="990"/>
      <c r="S1147" s="990"/>
      <c r="T1147" s="990"/>
      <c r="U1147" s="990"/>
      <c r="V1147" s="990"/>
      <c r="W1147" s="990"/>
      <c r="X1147" s="990"/>
    </row>
    <row r="1148" spans="1:24" s="896" customFormat="1">
      <c r="A1148" s="987">
        <f t="shared" si="18"/>
        <v>1074</v>
      </c>
      <c r="B1148" s="988">
        <v>11026</v>
      </c>
      <c r="C1148" s="899" t="s">
        <v>10474</v>
      </c>
      <c r="D1148" s="988" t="s">
        <v>2670</v>
      </c>
      <c r="E1148" s="989">
        <v>15.15</v>
      </c>
      <c r="F1148" s="990"/>
      <c r="G1148" s="990"/>
      <c r="H1148" s="990"/>
      <c r="I1148" s="990"/>
      <c r="J1148" s="990"/>
      <c r="K1148" s="990"/>
      <c r="L1148" s="990"/>
      <c r="M1148" s="990"/>
      <c r="N1148" s="990"/>
      <c r="O1148" s="990"/>
      <c r="P1148" s="990"/>
      <c r="Q1148" s="990"/>
      <c r="R1148" s="990"/>
      <c r="S1148" s="990"/>
      <c r="T1148" s="990"/>
      <c r="U1148" s="990"/>
      <c r="V1148" s="990"/>
      <c r="W1148" s="990"/>
      <c r="X1148" s="990"/>
    </row>
    <row r="1149" spans="1:24" s="896" customFormat="1">
      <c r="A1149" s="987">
        <f t="shared" si="18"/>
        <v>1075</v>
      </c>
      <c r="B1149" s="988">
        <v>11027</v>
      </c>
      <c r="C1149" s="899" t="s">
        <v>10475</v>
      </c>
      <c r="D1149" s="988" t="s">
        <v>2670</v>
      </c>
      <c r="E1149" s="989">
        <v>15.77</v>
      </c>
      <c r="F1149" s="990"/>
      <c r="G1149" s="990"/>
      <c r="H1149" s="990"/>
      <c r="I1149" s="990"/>
      <c r="J1149" s="990"/>
      <c r="K1149" s="990"/>
      <c r="L1149" s="990"/>
      <c r="M1149" s="990"/>
      <c r="N1149" s="990"/>
      <c r="O1149" s="990"/>
      <c r="P1149" s="990"/>
      <c r="Q1149" s="990"/>
      <c r="R1149" s="990"/>
      <c r="S1149" s="990"/>
      <c r="T1149" s="990"/>
      <c r="U1149" s="990"/>
      <c r="V1149" s="990"/>
      <c r="W1149" s="990"/>
      <c r="X1149" s="990"/>
    </row>
    <row r="1150" spans="1:24" s="896" customFormat="1">
      <c r="A1150" s="987">
        <f t="shared" si="18"/>
        <v>1076</v>
      </c>
      <c r="B1150" s="988">
        <v>11046</v>
      </c>
      <c r="C1150" s="899" t="s">
        <v>10476</v>
      </c>
      <c r="D1150" s="988" t="s">
        <v>2670</v>
      </c>
      <c r="E1150" s="989">
        <v>15.11</v>
      </c>
      <c r="F1150" s="990"/>
      <c r="G1150" s="990"/>
      <c r="H1150" s="990"/>
      <c r="I1150" s="990"/>
      <c r="J1150" s="990"/>
      <c r="K1150" s="990"/>
      <c r="L1150" s="990"/>
      <c r="M1150" s="990"/>
      <c r="N1150" s="990"/>
      <c r="O1150" s="990"/>
      <c r="P1150" s="990"/>
      <c r="Q1150" s="990"/>
      <c r="R1150" s="990"/>
      <c r="S1150" s="990"/>
      <c r="T1150" s="990"/>
      <c r="U1150" s="990"/>
      <c r="V1150" s="990"/>
      <c r="W1150" s="990"/>
      <c r="X1150" s="990"/>
    </row>
    <row r="1151" spans="1:24" s="896" customFormat="1">
      <c r="A1151" s="987">
        <f t="shared" si="18"/>
        <v>1077</v>
      </c>
      <c r="B1151" s="988">
        <v>11047</v>
      </c>
      <c r="C1151" s="899" t="s">
        <v>10477</v>
      </c>
      <c r="D1151" s="988" t="s">
        <v>2670</v>
      </c>
      <c r="E1151" s="989">
        <v>16.47</v>
      </c>
      <c r="F1151" s="990"/>
      <c r="G1151" s="990"/>
      <c r="H1151" s="990"/>
      <c r="I1151" s="990"/>
      <c r="J1151" s="990"/>
      <c r="K1151" s="990"/>
      <c r="L1151" s="990"/>
      <c r="M1151" s="990"/>
      <c r="N1151" s="990"/>
      <c r="O1151" s="990"/>
      <c r="P1151" s="990"/>
      <c r="Q1151" s="990"/>
      <c r="R1151" s="990"/>
      <c r="S1151" s="990"/>
      <c r="T1151" s="990"/>
      <c r="U1151" s="990"/>
      <c r="V1151" s="990"/>
      <c r="W1151" s="990"/>
      <c r="X1151" s="990"/>
    </row>
    <row r="1152" spans="1:24" s="896" customFormat="1">
      <c r="A1152" s="987">
        <f t="shared" si="18"/>
        <v>1078</v>
      </c>
      <c r="B1152" s="988">
        <v>43668</v>
      </c>
      <c r="C1152" s="899" t="s">
        <v>10478</v>
      </c>
      <c r="D1152" s="988" t="s">
        <v>2670</v>
      </c>
      <c r="E1152" s="989">
        <v>14.53</v>
      </c>
      <c r="F1152" s="990"/>
      <c r="G1152" s="990"/>
      <c r="H1152" s="990"/>
      <c r="I1152" s="990"/>
      <c r="J1152" s="990"/>
      <c r="K1152" s="990"/>
      <c r="L1152" s="990"/>
      <c r="M1152" s="990"/>
      <c r="N1152" s="990"/>
      <c r="O1152" s="990"/>
      <c r="P1152" s="990"/>
      <c r="Q1152" s="990"/>
      <c r="R1152" s="990"/>
      <c r="S1152" s="990"/>
      <c r="T1152" s="990"/>
      <c r="U1152" s="990"/>
      <c r="V1152" s="990"/>
      <c r="W1152" s="990"/>
      <c r="X1152" s="990"/>
    </row>
    <row r="1153" spans="1:24" s="896" customFormat="1">
      <c r="A1153" s="987">
        <f t="shared" si="18"/>
        <v>1079</v>
      </c>
      <c r="B1153" s="988">
        <v>11049</v>
      </c>
      <c r="C1153" s="899" t="s">
        <v>10479</v>
      </c>
      <c r="D1153" s="988" t="s">
        <v>2670</v>
      </c>
      <c r="E1153" s="989">
        <v>15.74</v>
      </c>
      <c r="F1153" s="990"/>
      <c r="G1153" s="990"/>
      <c r="H1153" s="990"/>
      <c r="I1153" s="990"/>
      <c r="J1153" s="990"/>
      <c r="K1153" s="990"/>
      <c r="L1153" s="990"/>
      <c r="M1153" s="990"/>
      <c r="N1153" s="990"/>
      <c r="O1153" s="990"/>
      <c r="P1153" s="990"/>
      <c r="Q1153" s="990"/>
      <c r="R1153" s="990"/>
      <c r="S1153" s="990"/>
      <c r="T1153" s="990"/>
      <c r="U1153" s="990"/>
      <c r="V1153" s="990"/>
      <c r="W1153" s="990"/>
      <c r="X1153" s="990"/>
    </row>
    <row r="1154" spans="1:24" s="896" customFormat="1">
      <c r="A1154" s="987">
        <f t="shared" si="18"/>
        <v>1080</v>
      </c>
      <c r="B1154" s="988">
        <v>43106</v>
      </c>
      <c r="C1154" s="899" t="s">
        <v>10480</v>
      </c>
      <c r="D1154" s="988" t="s">
        <v>2670</v>
      </c>
      <c r="E1154" s="989">
        <v>15.84</v>
      </c>
      <c r="F1154" s="990"/>
      <c r="G1154" s="990"/>
      <c r="H1154" s="990"/>
      <c r="I1154" s="990"/>
      <c r="J1154" s="990"/>
      <c r="K1154" s="990"/>
      <c r="L1154" s="990"/>
      <c r="M1154" s="990"/>
      <c r="N1154" s="990"/>
      <c r="O1154" s="990"/>
      <c r="P1154" s="990"/>
      <c r="Q1154" s="990"/>
      <c r="R1154" s="990"/>
      <c r="S1154" s="990"/>
      <c r="T1154" s="990"/>
      <c r="U1154" s="990"/>
      <c r="V1154" s="990"/>
      <c r="W1154" s="990"/>
      <c r="X1154" s="990"/>
    </row>
    <row r="1155" spans="1:24" s="896" customFormat="1">
      <c r="A1155" s="987">
        <f t="shared" si="18"/>
        <v>1081</v>
      </c>
      <c r="B1155" s="988">
        <v>11051</v>
      </c>
      <c r="C1155" s="899" t="s">
        <v>10481</v>
      </c>
      <c r="D1155" s="988" t="s">
        <v>2670</v>
      </c>
      <c r="E1155" s="989">
        <v>16.52</v>
      </c>
      <c r="F1155" s="990"/>
      <c r="G1155" s="990"/>
      <c r="H1155" s="990"/>
      <c r="I1155" s="990"/>
      <c r="J1155" s="990"/>
      <c r="K1155" s="990"/>
      <c r="L1155" s="990"/>
      <c r="M1155" s="990"/>
      <c r="N1155" s="990"/>
      <c r="O1155" s="990"/>
      <c r="P1155" s="990"/>
      <c r="Q1155" s="990"/>
      <c r="R1155" s="990"/>
      <c r="S1155" s="990"/>
      <c r="T1155" s="990"/>
      <c r="U1155" s="990"/>
      <c r="V1155" s="990"/>
      <c r="W1155" s="990"/>
      <c r="X1155" s="990"/>
    </row>
    <row r="1156" spans="1:24" s="896" customFormat="1">
      <c r="A1156" s="987">
        <f t="shared" si="18"/>
        <v>1082</v>
      </c>
      <c r="B1156" s="988">
        <v>11061</v>
      </c>
      <c r="C1156" s="899" t="s">
        <v>10482</v>
      </c>
      <c r="D1156" s="988" t="s">
        <v>2670</v>
      </c>
      <c r="E1156" s="989">
        <v>19.829999999999998</v>
      </c>
      <c r="F1156" s="990"/>
      <c r="G1156" s="990"/>
      <c r="H1156" s="990"/>
      <c r="I1156" s="990"/>
      <c r="J1156" s="990"/>
      <c r="K1156" s="990"/>
      <c r="L1156" s="990"/>
      <c r="M1156" s="990"/>
      <c r="N1156" s="990"/>
      <c r="O1156" s="990"/>
      <c r="P1156" s="990"/>
      <c r="Q1156" s="990"/>
      <c r="R1156" s="990"/>
      <c r="S1156" s="990"/>
      <c r="T1156" s="990"/>
      <c r="U1156" s="990"/>
      <c r="V1156" s="990"/>
      <c r="W1156" s="990"/>
      <c r="X1156" s="990"/>
    </row>
    <row r="1157" spans="1:24" s="896" customFormat="1">
      <c r="A1157" s="987">
        <f t="shared" si="18"/>
        <v>1083</v>
      </c>
      <c r="B1157" s="988">
        <v>43667</v>
      </c>
      <c r="C1157" s="899" t="s">
        <v>10483</v>
      </c>
      <c r="D1157" s="988" t="s">
        <v>2670</v>
      </c>
      <c r="E1157" s="989">
        <v>14.41</v>
      </c>
      <c r="F1157" s="990"/>
      <c r="G1157" s="990"/>
      <c r="H1157" s="990"/>
      <c r="I1157" s="990"/>
      <c r="J1157" s="990"/>
      <c r="K1157" s="990"/>
      <c r="L1157" s="990"/>
      <c r="M1157" s="990"/>
      <c r="N1157" s="990"/>
      <c r="O1157" s="990"/>
      <c r="P1157" s="990"/>
      <c r="Q1157" s="990"/>
      <c r="R1157" s="990"/>
      <c r="S1157" s="990"/>
      <c r="T1157" s="990"/>
      <c r="U1157" s="990"/>
      <c r="V1157" s="990"/>
      <c r="W1157" s="990"/>
      <c r="X1157" s="990"/>
    </row>
    <row r="1158" spans="1:24" s="896" customFormat="1">
      <c r="A1158" s="987">
        <f t="shared" si="18"/>
        <v>1084</v>
      </c>
      <c r="B1158" s="988">
        <v>1333</v>
      </c>
      <c r="C1158" s="899" t="s">
        <v>10484</v>
      </c>
      <c r="D1158" s="988" t="s">
        <v>2670</v>
      </c>
      <c r="E1158" s="989">
        <v>12</v>
      </c>
      <c r="F1158" s="990"/>
      <c r="G1158" s="990"/>
      <c r="H1158" s="990"/>
      <c r="I1158" s="990"/>
      <c r="J1158" s="990"/>
      <c r="K1158" s="990"/>
      <c r="L1158" s="990"/>
      <c r="M1158" s="990"/>
      <c r="N1158" s="990"/>
      <c r="O1158" s="990"/>
      <c r="P1158" s="990"/>
      <c r="Q1158" s="990"/>
      <c r="R1158" s="990"/>
      <c r="S1158" s="990"/>
      <c r="T1158" s="990"/>
      <c r="U1158" s="990"/>
      <c r="V1158" s="990"/>
      <c r="W1158" s="990"/>
      <c r="X1158" s="990"/>
    </row>
    <row r="1159" spans="1:24" s="896" customFormat="1">
      <c r="A1159" s="987">
        <f t="shared" si="18"/>
        <v>1085</v>
      </c>
      <c r="B1159" s="988">
        <v>1330</v>
      </c>
      <c r="C1159" s="899" t="s">
        <v>10485</v>
      </c>
      <c r="D1159" s="988" t="s">
        <v>2670</v>
      </c>
      <c r="E1159" s="989">
        <v>11.89</v>
      </c>
      <c r="F1159" s="990"/>
      <c r="G1159" s="990"/>
      <c r="H1159" s="990"/>
      <c r="I1159" s="990"/>
      <c r="J1159" s="990"/>
      <c r="K1159" s="990"/>
      <c r="L1159" s="990"/>
      <c r="M1159" s="990"/>
      <c r="N1159" s="990"/>
      <c r="O1159" s="990"/>
      <c r="P1159" s="990"/>
      <c r="Q1159" s="990"/>
      <c r="R1159" s="990"/>
      <c r="S1159" s="990"/>
      <c r="T1159" s="990"/>
      <c r="U1159" s="990"/>
      <c r="V1159" s="990"/>
      <c r="W1159" s="990"/>
      <c r="X1159" s="990"/>
    </row>
    <row r="1160" spans="1:24" s="896" customFormat="1">
      <c r="A1160" s="987">
        <f t="shared" si="18"/>
        <v>1086</v>
      </c>
      <c r="B1160" s="988">
        <v>10957</v>
      </c>
      <c r="C1160" s="899" t="s">
        <v>10486</v>
      </c>
      <c r="D1160" s="988" t="s">
        <v>2670</v>
      </c>
      <c r="E1160" s="989">
        <v>13.71</v>
      </c>
      <c r="F1160" s="990"/>
      <c r="G1160" s="990"/>
      <c r="H1160" s="990"/>
      <c r="I1160" s="990"/>
      <c r="J1160" s="990"/>
      <c r="K1160" s="990"/>
      <c r="L1160" s="990"/>
      <c r="M1160" s="990"/>
      <c r="N1160" s="990"/>
      <c r="O1160" s="990"/>
      <c r="P1160" s="990"/>
      <c r="Q1160" s="990"/>
      <c r="R1160" s="990"/>
      <c r="S1160" s="990"/>
      <c r="T1160" s="990"/>
      <c r="U1160" s="990"/>
      <c r="V1160" s="990"/>
      <c r="W1160" s="990"/>
      <c r="X1160" s="990"/>
    </row>
    <row r="1161" spans="1:24" s="896" customFormat="1">
      <c r="A1161" s="987">
        <f t="shared" si="18"/>
        <v>1087</v>
      </c>
      <c r="B1161" s="988">
        <v>1332</v>
      </c>
      <c r="C1161" s="899" t="s">
        <v>10487</v>
      </c>
      <c r="D1161" s="988" t="s">
        <v>2670</v>
      </c>
      <c r="E1161" s="989">
        <v>12.19</v>
      </c>
      <c r="F1161" s="990"/>
      <c r="G1161" s="990"/>
      <c r="H1161" s="990"/>
      <c r="I1161" s="990"/>
      <c r="J1161" s="990"/>
      <c r="K1161" s="990"/>
      <c r="L1161" s="990"/>
      <c r="M1161" s="990"/>
      <c r="N1161" s="990"/>
      <c r="O1161" s="990"/>
      <c r="P1161" s="990"/>
      <c r="Q1161" s="990"/>
      <c r="R1161" s="990"/>
      <c r="S1161" s="990"/>
      <c r="T1161" s="990"/>
      <c r="U1161" s="990"/>
      <c r="V1161" s="990"/>
      <c r="W1161" s="990"/>
      <c r="X1161" s="990"/>
    </row>
    <row r="1162" spans="1:24" s="896" customFormat="1">
      <c r="A1162" s="987">
        <f t="shared" si="18"/>
        <v>1088</v>
      </c>
      <c r="B1162" s="988">
        <v>1334</v>
      </c>
      <c r="C1162" s="899" t="s">
        <v>10488</v>
      </c>
      <c r="D1162" s="988" t="s">
        <v>2670</v>
      </c>
      <c r="E1162" s="989">
        <v>13.52</v>
      </c>
      <c r="F1162" s="990"/>
      <c r="G1162" s="990"/>
      <c r="H1162" s="990"/>
      <c r="I1162" s="990"/>
      <c r="J1162" s="990"/>
      <c r="K1162" s="990"/>
      <c r="L1162" s="990"/>
      <c r="M1162" s="990"/>
      <c r="N1162" s="990"/>
      <c r="O1162" s="990"/>
      <c r="P1162" s="990"/>
      <c r="Q1162" s="990"/>
      <c r="R1162" s="990"/>
      <c r="S1162" s="990"/>
      <c r="T1162" s="990"/>
      <c r="U1162" s="990"/>
      <c r="V1162" s="990"/>
      <c r="W1162" s="990"/>
      <c r="X1162" s="990"/>
    </row>
    <row r="1163" spans="1:24" s="896" customFormat="1">
      <c r="A1163" s="987">
        <f t="shared" si="18"/>
        <v>1089</v>
      </c>
      <c r="B1163" s="988">
        <v>1335</v>
      </c>
      <c r="C1163" s="899" t="s">
        <v>10489</v>
      </c>
      <c r="D1163" s="988" t="s">
        <v>2670</v>
      </c>
      <c r="E1163" s="989">
        <v>13.97</v>
      </c>
      <c r="F1163" s="990"/>
      <c r="G1163" s="990"/>
      <c r="H1163" s="990"/>
      <c r="I1163" s="990"/>
      <c r="J1163" s="990"/>
      <c r="K1163" s="990"/>
      <c r="L1163" s="990"/>
      <c r="M1163" s="990"/>
      <c r="N1163" s="990"/>
      <c r="O1163" s="990"/>
      <c r="P1163" s="990"/>
      <c r="Q1163" s="990"/>
      <c r="R1163" s="990"/>
      <c r="S1163" s="990"/>
      <c r="T1163" s="990"/>
      <c r="U1163" s="990"/>
      <c r="V1163" s="990"/>
      <c r="W1163" s="990"/>
      <c r="X1163" s="990"/>
    </row>
    <row r="1164" spans="1:24" s="896" customFormat="1">
      <c r="A1164" s="987">
        <f t="shared" ref="A1164:A1227" si="19">A1163+1</f>
        <v>1090</v>
      </c>
      <c r="B1164" s="988">
        <v>40425</v>
      </c>
      <c r="C1164" s="899" t="s">
        <v>10490</v>
      </c>
      <c r="D1164" s="988" t="s">
        <v>2670</v>
      </c>
      <c r="E1164" s="989">
        <v>11.96</v>
      </c>
      <c r="F1164" s="990"/>
      <c r="G1164" s="990"/>
      <c r="H1164" s="990"/>
      <c r="I1164" s="990"/>
      <c r="J1164" s="990"/>
      <c r="K1164" s="990"/>
      <c r="L1164" s="990"/>
      <c r="M1164" s="990"/>
      <c r="N1164" s="990"/>
      <c r="O1164" s="990"/>
      <c r="P1164" s="990"/>
      <c r="Q1164" s="990"/>
      <c r="R1164" s="990"/>
      <c r="S1164" s="990"/>
      <c r="T1164" s="990"/>
      <c r="U1164" s="990"/>
      <c r="V1164" s="990"/>
      <c r="W1164" s="990"/>
      <c r="X1164" s="990"/>
    </row>
    <row r="1165" spans="1:24" s="896" customFormat="1">
      <c r="A1165" s="987">
        <f t="shared" si="19"/>
        <v>1091</v>
      </c>
      <c r="B1165" s="988">
        <v>1337</v>
      </c>
      <c r="C1165" s="899" t="s">
        <v>10491</v>
      </c>
      <c r="D1165" s="988" t="s">
        <v>2670</v>
      </c>
      <c r="E1165" s="989">
        <v>13.71</v>
      </c>
      <c r="F1165" s="990"/>
      <c r="G1165" s="990"/>
      <c r="H1165" s="990"/>
      <c r="I1165" s="990"/>
      <c r="J1165" s="990"/>
      <c r="K1165" s="990"/>
      <c r="L1165" s="990"/>
      <c r="M1165" s="990"/>
      <c r="N1165" s="990"/>
      <c r="O1165" s="990"/>
      <c r="P1165" s="990"/>
      <c r="Q1165" s="990"/>
      <c r="R1165" s="990"/>
      <c r="S1165" s="990"/>
      <c r="T1165" s="990"/>
      <c r="U1165" s="990"/>
      <c r="V1165" s="990"/>
      <c r="W1165" s="990"/>
      <c r="X1165" s="990"/>
    </row>
    <row r="1166" spans="1:24" s="896" customFormat="1">
      <c r="A1166" s="987">
        <f t="shared" si="19"/>
        <v>1092</v>
      </c>
      <c r="B1166" s="988">
        <v>1338</v>
      </c>
      <c r="C1166" s="899" t="s">
        <v>10492</v>
      </c>
      <c r="D1166" s="988" t="s">
        <v>2667</v>
      </c>
      <c r="E1166" s="989">
        <v>57.4</v>
      </c>
      <c r="F1166" s="990"/>
      <c r="G1166" s="990"/>
      <c r="H1166" s="990"/>
      <c r="I1166" s="990"/>
      <c r="J1166" s="990"/>
      <c r="K1166" s="990"/>
      <c r="L1166" s="990"/>
      <c r="M1166" s="990"/>
      <c r="N1166" s="990"/>
      <c r="O1166" s="990"/>
      <c r="P1166" s="990"/>
      <c r="Q1166" s="990"/>
      <c r="R1166" s="990"/>
      <c r="S1166" s="990"/>
      <c r="T1166" s="990"/>
      <c r="U1166" s="990"/>
      <c r="V1166" s="990"/>
      <c r="W1166" s="990"/>
      <c r="X1166" s="990"/>
    </row>
    <row r="1167" spans="1:24" s="896" customFormat="1">
      <c r="A1167" s="987">
        <f t="shared" si="19"/>
        <v>1093</v>
      </c>
      <c r="B1167" s="988">
        <v>1340</v>
      </c>
      <c r="C1167" s="899" t="s">
        <v>10493</v>
      </c>
      <c r="D1167" s="988" t="s">
        <v>2667</v>
      </c>
      <c r="E1167" s="989">
        <v>66.36</v>
      </c>
      <c r="F1167" s="990"/>
      <c r="G1167" s="990"/>
      <c r="H1167" s="990"/>
      <c r="I1167" s="990"/>
      <c r="J1167" s="990"/>
      <c r="K1167" s="990"/>
      <c r="L1167" s="990"/>
      <c r="M1167" s="990"/>
      <c r="N1167" s="990"/>
      <c r="O1167" s="990"/>
      <c r="P1167" s="990"/>
      <c r="Q1167" s="990"/>
      <c r="R1167" s="990"/>
      <c r="S1167" s="990"/>
      <c r="T1167" s="990"/>
      <c r="U1167" s="990"/>
      <c r="V1167" s="990"/>
      <c r="W1167" s="990"/>
      <c r="X1167" s="990"/>
    </row>
    <row r="1168" spans="1:24" s="896" customFormat="1">
      <c r="A1168" s="987">
        <f t="shared" si="19"/>
        <v>1094</v>
      </c>
      <c r="B1168" s="988">
        <v>1341</v>
      </c>
      <c r="C1168" s="899" t="s">
        <v>10494</v>
      </c>
      <c r="D1168" s="988" t="s">
        <v>2667</v>
      </c>
      <c r="E1168" s="989">
        <v>63.92</v>
      </c>
      <c r="F1168" s="990"/>
      <c r="G1168" s="990"/>
      <c r="H1168" s="990"/>
      <c r="I1168" s="990"/>
      <c r="J1168" s="990"/>
      <c r="K1168" s="990"/>
      <c r="L1168" s="990"/>
      <c r="M1168" s="990"/>
      <c r="N1168" s="990"/>
      <c r="O1168" s="990"/>
      <c r="P1168" s="990"/>
      <c r="Q1168" s="990"/>
      <c r="R1168" s="990"/>
      <c r="S1168" s="990"/>
      <c r="T1168" s="990"/>
      <c r="U1168" s="990"/>
      <c r="V1168" s="990"/>
      <c r="W1168" s="990"/>
      <c r="X1168" s="990"/>
    </row>
    <row r="1169" spans="1:24" s="896" customFormat="1">
      <c r="A1169" s="987">
        <f t="shared" si="19"/>
        <v>1095</v>
      </c>
      <c r="B1169" s="988">
        <v>34659</v>
      </c>
      <c r="C1169" s="899" t="s">
        <v>10495</v>
      </c>
      <c r="D1169" s="988" t="s">
        <v>2667</v>
      </c>
      <c r="E1169" s="989">
        <v>42.4</v>
      </c>
      <c r="F1169" s="990"/>
      <c r="G1169" s="990"/>
      <c r="H1169" s="990"/>
      <c r="I1169" s="990"/>
      <c r="J1169" s="990"/>
      <c r="K1169" s="990"/>
      <c r="L1169" s="990"/>
      <c r="M1169" s="990"/>
      <c r="N1169" s="990"/>
      <c r="O1169" s="990"/>
      <c r="P1169" s="990"/>
      <c r="Q1169" s="990"/>
      <c r="R1169" s="990"/>
      <c r="S1169" s="990"/>
      <c r="T1169" s="990"/>
      <c r="U1169" s="990"/>
      <c r="V1169" s="990"/>
      <c r="W1169" s="990"/>
      <c r="X1169" s="990"/>
    </row>
    <row r="1170" spans="1:24" s="896" customFormat="1">
      <c r="A1170" s="987">
        <f t="shared" si="19"/>
        <v>1096</v>
      </c>
      <c r="B1170" s="988">
        <v>34514</v>
      </c>
      <c r="C1170" s="899" t="s">
        <v>10496</v>
      </c>
      <c r="D1170" s="988" t="s">
        <v>2667</v>
      </c>
      <c r="E1170" s="989">
        <v>46.96</v>
      </c>
      <c r="F1170" s="990"/>
      <c r="G1170" s="990"/>
      <c r="H1170" s="990"/>
      <c r="I1170" s="990"/>
      <c r="J1170" s="990"/>
      <c r="K1170" s="990"/>
      <c r="L1170" s="990"/>
      <c r="M1170" s="990"/>
      <c r="N1170" s="990"/>
      <c r="O1170" s="990"/>
      <c r="P1170" s="990"/>
      <c r="Q1170" s="990"/>
      <c r="R1170" s="990"/>
      <c r="S1170" s="990"/>
      <c r="T1170" s="990"/>
      <c r="U1170" s="990"/>
      <c r="V1170" s="990"/>
      <c r="W1170" s="990"/>
      <c r="X1170" s="990"/>
    </row>
    <row r="1171" spans="1:24" s="896" customFormat="1">
      <c r="A1171" s="987">
        <f t="shared" si="19"/>
        <v>1097</v>
      </c>
      <c r="B1171" s="988">
        <v>34660</v>
      </c>
      <c r="C1171" s="899" t="s">
        <v>10497</v>
      </c>
      <c r="D1171" s="988" t="s">
        <v>2667</v>
      </c>
      <c r="E1171" s="989">
        <v>59.59</v>
      </c>
      <c r="F1171" s="990"/>
      <c r="G1171" s="990"/>
      <c r="H1171" s="990"/>
      <c r="I1171" s="990"/>
      <c r="J1171" s="990"/>
      <c r="K1171" s="990"/>
      <c r="L1171" s="990"/>
      <c r="M1171" s="990"/>
      <c r="N1171" s="990"/>
      <c r="O1171" s="990"/>
      <c r="P1171" s="990"/>
      <c r="Q1171" s="990"/>
      <c r="R1171" s="990"/>
      <c r="S1171" s="990"/>
      <c r="T1171" s="990"/>
      <c r="U1171" s="990"/>
      <c r="V1171" s="990"/>
      <c r="W1171" s="990"/>
      <c r="X1171" s="990"/>
    </row>
    <row r="1172" spans="1:24" s="896" customFormat="1">
      <c r="A1172" s="987">
        <f t="shared" si="19"/>
        <v>1098</v>
      </c>
      <c r="B1172" s="988">
        <v>34661</v>
      </c>
      <c r="C1172" s="899" t="s">
        <v>10498</v>
      </c>
      <c r="D1172" s="988" t="s">
        <v>2667</v>
      </c>
      <c r="E1172" s="989">
        <v>85.59</v>
      </c>
      <c r="F1172" s="990"/>
      <c r="G1172" s="990"/>
      <c r="H1172" s="990"/>
      <c r="I1172" s="990"/>
      <c r="J1172" s="990"/>
      <c r="K1172" s="990"/>
      <c r="L1172" s="990"/>
      <c r="M1172" s="990"/>
      <c r="N1172" s="990"/>
      <c r="O1172" s="990"/>
      <c r="P1172" s="990"/>
      <c r="Q1172" s="990"/>
      <c r="R1172" s="990"/>
      <c r="S1172" s="990"/>
      <c r="T1172" s="990"/>
      <c r="U1172" s="990"/>
      <c r="V1172" s="990"/>
      <c r="W1172" s="990"/>
      <c r="X1172" s="990"/>
    </row>
    <row r="1173" spans="1:24" s="896" customFormat="1">
      <c r="A1173" s="987">
        <f t="shared" si="19"/>
        <v>1099</v>
      </c>
      <c r="B1173" s="988">
        <v>34667</v>
      </c>
      <c r="C1173" s="899" t="s">
        <v>10499</v>
      </c>
      <c r="D1173" s="988" t="s">
        <v>2667</v>
      </c>
      <c r="E1173" s="989">
        <v>31</v>
      </c>
      <c r="F1173" s="990"/>
      <c r="G1173" s="990"/>
      <c r="H1173" s="990"/>
      <c r="I1173" s="990"/>
      <c r="J1173" s="990"/>
      <c r="K1173" s="990"/>
      <c r="L1173" s="990"/>
      <c r="M1173" s="990"/>
      <c r="N1173" s="990"/>
      <c r="O1173" s="990"/>
      <c r="P1173" s="990"/>
      <c r="Q1173" s="990"/>
      <c r="R1173" s="990"/>
      <c r="S1173" s="990"/>
      <c r="T1173" s="990"/>
      <c r="U1173" s="990"/>
      <c r="V1173" s="990"/>
      <c r="W1173" s="990"/>
      <c r="X1173" s="990"/>
    </row>
    <row r="1174" spans="1:24" s="896" customFormat="1">
      <c r="A1174" s="987">
        <f t="shared" si="19"/>
        <v>1100</v>
      </c>
      <c r="B1174" s="988">
        <v>34668</v>
      </c>
      <c r="C1174" s="899" t="s">
        <v>10500</v>
      </c>
      <c r="D1174" s="988" t="s">
        <v>2667</v>
      </c>
      <c r="E1174" s="989">
        <v>40.51</v>
      </c>
      <c r="F1174" s="990"/>
      <c r="G1174" s="990"/>
      <c r="H1174" s="990"/>
      <c r="I1174" s="990"/>
      <c r="J1174" s="990"/>
      <c r="K1174" s="990"/>
      <c r="L1174" s="990"/>
      <c r="M1174" s="990"/>
      <c r="N1174" s="990"/>
      <c r="O1174" s="990"/>
      <c r="P1174" s="990"/>
      <c r="Q1174" s="990"/>
      <c r="R1174" s="990"/>
      <c r="S1174" s="990"/>
      <c r="T1174" s="990"/>
      <c r="U1174" s="990"/>
      <c r="V1174" s="990"/>
      <c r="W1174" s="990"/>
      <c r="X1174" s="990"/>
    </row>
    <row r="1175" spans="1:24" s="896" customFormat="1">
      <c r="A1175" s="987">
        <f t="shared" si="19"/>
        <v>1101</v>
      </c>
      <c r="B1175" s="988">
        <v>34741</v>
      </c>
      <c r="C1175" s="899" t="s">
        <v>10501</v>
      </c>
      <c r="D1175" s="988" t="s">
        <v>2667</v>
      </c>
      <c r="E1175" s="989">
        <v>44.57</v>
      </c>
      <c r="F1175" s="990"/>
      <c r="G1175" s="990"/>
      <c r="H1175" s="990"/>
      <c r="I1175" s="990"/>
      <c r="J1175" s="990"/>
      <c r="K1175" s="990"/>
      <c r="L1175" s="990"/>
      <c r="M1175" s="990"/>
      <c r="N1175" s="990"/>
      <c r="O1175" s="990"/>
      <c r="P1175" s="990"/>
      <c r="Q1175" s="990"/>
      <c r="R1175" s="990"/>
      <c r="S1175" s="990"/>
      <c r="T1175" s="990"/>
      <c r="U1175" s="990"/>
      <c r="V1175" s="990"/>
      <c r="W1175" s="990"/>
      <c r="X1175" s="990"/>
    </row>
    <row r="1176" spans="1:24" s="896" customFormat="1">
      <c r="A1176" s="987">
        <f t="shared" si="19"/>
        <v>1102</v>
      </c>
      <c r="B1176" s="988">
        <v>34664</v>
      </c>
      <c r="C1176" s="899" t="s">
        <v>10502</v>
      </c>
      <c r="D1176" s="988" t="s">
        <v>2667</v>
      </c>
      <c r="E1176" s="989">
        <v>48.63</v>
      </c>
      <c r="F1176" s="990"/>
      <c r="G1176" s="990"/>
      <c r="H1176" s="990"/>
      <c r="I1176" s="990"/>
      <c r="J1176" s="990"/>
      <c r="K1176" s="990"/>
      <c r="L1176" s="990"/>
      <c r="M1176" s="990"/>
      <c r="N1176" s="990"/>
      <c r="O1176" s="990"/>
      <c r="P1176" s="990"/>
      <c r="Q1176" s="990"/>
      <c r="R1176" s="990"/>
      <c r="S1176" s="990"/>
      <c r="T1176" s="990"/>
      <c r="U1176" s="990"/>
      <c r="V1176" s="990"/>
      <c r="W1176" s="990"/>
      <c r="X1176" s="990"/>
    </row>
    <row r="1177" spans="1:24" s="896" customFormat="1">
      <c r="A1177" s="987">
        <f t="shared" si="19"/>
        <v>1103</v>
      </c>
      <c r="B1177" s="988">
        <v>34665</v>
      </c>
      <c r="C1177" s="899" t="s">
        <v>10503</v>
      </c>
      <c r="D1177" s="988" t="s">
        <v>2667</v>
      </c>
      <c r="E1177" s="989">
        <v>60.37</v>
      </c>
      <c r="F1177" s="990"/>
      <c r="G1177" s="990"/>
      <c r="H1177" s="990"/>
      <c r="I1177" s="990"/>
      <c r="J1177" s="990"/>
      <c r="K1177" s="990"/>
      <c r="L1177" s="990"/>
      <c r="M1177" s="990"/>
      <c r="N1177" s="990"/>
      <c r="O1177" s="990"/>
      <c r="P1177" s="990"/>
      <c r="Q1177" s="990"/>
      <c r="R1177" s="990"/>
      <c r="S1177" s="990"/>
      <c r="T1177" s="990"/>
      <c r="U1177" s="990"/>
      <c r="V1177" s="990"/>
      <c r="W1177" s="990"/>
      <c r="X1177" s="990"/>
    </row>
    <row r="1178" spans="1:24" s="896" customFormat="1">
      <c r="A1178" s="987">
        <f t="shared" si="19"/>
        <v>1104</v>
      </c>
      <c r="B1178" s="988">
        <v>34666</v>
      </c>
      <c r="C1178" s="899" t="s">
        <v>10504</v>
      </c>
      <c r="D1178" s="988" t="s">
        <v>2667</v>
      </c>
      <c r="E1178" s="989">
        <v>91.2</v>
      </c>
      <c r="F1178" s="990"/>
      <c r="G1178" s="990"/>
      <c r="H1178" s="990"/>
      <c r="I1178" s="990"/>
      <c r="J1178" s="990"/>
      <c r="K1178" s="990"/>
      <c r="L1178" s="990"/>
      <c r="M1178" s="990"/>
      <c r="N1178" s="990"/>
      <c r="O1178" s="990"/>
      <c r="P1178" s="990"/>
      <c r="Q1178" s="990"/>
      <c r="R1178" s="990"/>
      <c r="S1178" s="990"/>
      <c r="T1178" s="990"/>
      <c r="U1178" s="990"/>
      <c r="V1178" s="990"/>
      <c r="W1178" s="990"/>
      <c r="X1178" s="990"/>
    </row>
    <row r="1179" spans="1:24" s="896" customFormat="1">
      <c r="A1179" s="987">
        <f t="shared" si="19"/>
        <v>1105</v>
      </c>
      <c r="B1179" s="988">
        <v>34669</v>
      </c>
      <c r="C1179" s="899" t="s">
        <v>10505</v>
      </c>
      <c r="D1179" s="988" t="s">
        <v>2667</v>
      </c>
      <c r="E1179" s="989">
        <v>33.43</v>
      </c>
      <c r="F1179" s="990"/>
      <c r="G1179" s="990"/>
      <c r="H1179" s="990"/>
      <c r="I1179" s="990"/>
      <c r="J1179" s="990"/>
      <c r="K1179" s="990"/>
      <c r="L1179" s="990"/>
      <c r="M1179" s="990"/>
      <c r="N1179" s="990"/>
      <c r="O1179" s="990"/>
      <c r="P1179" s="990"/>
      <c r="Q1179" s="990"/>
      <c r="R1179" s="990"/>
      <c r="S1179" s="990"/>
      <c r="T1179" s="990"/>
      <c r="U1179" s="990"/>
      <c r="V1179" s="990"/>
      <c r="W1179" s="990"/>
      <c r="X1179" s="990"/>
    </row>
    <row r="1180" spans="1:24" s="896" customFormat="1">
      <c r="A1180" s="987">
        <f t="shared" si="19"/>
        <v>1106</v>
      </c>
      <c r="B1180" s="988">
        <v>34670</v>
      </c>
      <c r="C1180" s="899" t="s">
        <v>10506</v>
      </c>
      <c r="D1180" s="988" t="s">
        <v>2667</v>
      </c>
      <c r="E1180" s="989">
        <v>40.89</v>
      </c>
      <c r="F1180" s="990"/>
      <c r="G1180" s="990"/>
      <c r="H1180" s="990"/>
      <c r="I1180" s="990"/>
      <c r="J1180" s="990"/>
      <c r="K1180" s="990"/>
      <c r="L1180" s="990"/>
      <c r="M1180" s="990"/>
      <c r="N1180" s="990"/>
      <c r="O1180" s="990"/>
      <c r="P1180" s="990"/>
      <c r="Q1180" s="990"/>
      <c r="R1180" s="990"/>
      <c r="S1180" s="990"/>
      <c r="T1180" s="990"/>
      <c r="U1180" s="990"/>
      <c r="V1180" s="990"/>
      <c r="W1180" s="990"/>
      <c r="X1180" s="990"/>
    </row>
    <row r="1181" spans="1:24" s="896" customFormat="1">
      <c r="A1181" s="987">
        <f t="shared" si="19"/>
        <v>1107</v>
      </c>
      <c r="B1181" s="988">
        <v>34671</v>
      </c>
      <c r="C1181" s="899" t="s">
        <v>10507</v>
      </c>
      <c r="D1181" s="988" t="s">
        <v>2667</v>
      </c>
      <c r="E1181" s="989">
        <v>34.130000000000003</v>
      </c>
      <c r="F1181" s="990"/>
      <c r="G1181" s="990"/>
      <c r="H1181" s="990"/>
      <c r="I1181" s="990"/>
      <c r="J1181" s="990"/>
      <c r="K1181" s="990"/>
      <c r="L1181" s="990"/>
      <c r="M1181" s="990"/>
      <c r="N1181" s="990"/>
      <c r="O1181" s="990"/>
      <c r="P1181" s="990"/>
      <c r="Q1181" s="990"/>
      <c r="R1181" s="990"/>
      <c r="S1181" s="990"/>
      <c r="T1181" s="990"/>
      <c r="U1181" s="990"/>
      <c r="V1181" s="990"/>
      <c r="W1181" s="990"/>
      <c r="X1181" s="990"/>
    </row>
    <row r="1182" spans="1:24" s="896" customFormat="1">
      <c r="A1182" s="987">
        <f t="shared" si="19"/>
        <v>1108</v>
      </c>
      <c r="B1182" s="988">
        <v>34672</v>
      </c>
      <c r="C1182" s="899" t="s">
        <v>10508</v>
      </c>
      <c r="D1182" s="988" t="s">
        <v>2667</v>
      </c>
      <c r="E1182" s="989">
        <v>36</v>
      </c>
      <c r="F1182" s="990"/>
      <c r="G1182" s="990"/>
      <c r="H1182" s="990"/>
      <c r="I1182" s="990"/>
      <c r="J1182" s="990"/>
      <c r="K1182" s="990"/>
      <c r="L1182" s="990"/>
      <c r="M1182" s="990"/>
      <c r="N1182" s="990"/>
      <c r="O1182" s="990"/>
      <c r="P1182" s="990"/>
      <c r="Q1182" s="990"/>
      <c r="R1182" s="990"/>
      <c r="S1182" s="990"/>
      <c r="T1182" s="990"/>
      <c r="U1182" s="990"/>
      <c r="V1182" s="990"/>
      <c r="W1182" s="990"/>
      <c r="X1182" s="990"/>
    </row>
    <row r="1183" spans="1:24" s="896" customFormat="1">
      <c r="A1183" s="987">
        <f t="shared" si="19"/>
        <v>1109</v>
      </c>
      <c r="B1183" s="988">
        <v>34673</v>
      </c>
      <c r="C1183" s="899" t="s">
        <v>10509</v>
      </c>
      <c r="D1183" s="988" t="s">
        <v>2667</v>
      </c>
      <c r="E1183" s="989">
        <v>43.92</v>
      </c>
      <c r="F1183" s="990"/>
      <c r="G1183" s="990"/>
      <c r="H1183" s="990"/>
      <c r="I1183" s="990"/>
      <c r="J1183" s="990"/>
      <c r="K1183" s="990"/>
      <c r="L1183" s="990"/>
      <c r="M1183" s="990"/>
      <c r="N1183" s="990"/>
      <c r="O1183" s="990"/>
      <c r="P1183" s="990"/>
      <c r="Q1183" s="990"/>
      <c r="R1183" s="990"/>
      <c r="S1183" s="990"/>
      <c r="T1183" s="990"/>
      <c r="U1183" s="990"/>
      <c r="V1183" s="990"/>
      <c r="W1183" s="990"/>
      <c r="X1183" s="990"/>
    </row>
    <row r="1184" spans="1:24" s="896" customFormat="1">
      <c r="A1184" s="987">
        <f t="shared" si="19"/>
        <v>1110</v>
      </c>
      <c r="B1184" s="988">
        <v>34674</v>
      </c>
      <c r="C1184" s="899" t="s">
        <v>10510</v>
      </c>
      <c r="D1184" s="988" t="s">
        <v>2667</v>
      </c>
      <c r="E1184" s="989">
        <v>58.4</v>
      </c>
      <c r="F1184" s="990"/>
      <c r="G1184" s="990"/>
      <c r="H1184" s="990"/>
      <c r="I1184" s="990"/>
      <c r="J1184" s="990"/>
      <c r="K1184" s="990"/>
      <c r="L1184" s="990"/>
      <c r="M1184" s="990"/>
      <c r="N1184" s="990"/>
      <c r="O1184" s="990"/>
      <c r="P1184" s="990"/>
      <c r="Q1184" s="990"/>
      <c r="R1184" s="990"/>
      <c r="S1184" s="990"/>
      <c r="T1184" s="990"/>
      <c r="U1184" s="990"/>
      <c r="V1184" s="990"/>
      <c r="W1184" s="990"/>
      <c r="X1184" s="990"/>
    </row>
    <row r="1185" spans="1:24" s="896" customFormat="1">
      <c r="A1185" s="987">
        <f t="shared" si="19"/>
        <v>1111</v>
      </c>
      <c r="B1185" s="988">
        <v>34675</v>
      </c>
      <c r="C1185" s="899" t="s">
        <v>10511</v>
      </c>
      <c r="D1185" s="988" t="s">
        <v>2667</v>
      </c>
      <c r="E1185" s="989">
        <v>71.2</v>
      </c>
      <c r="F1185" s="990"/>
      <c r="G1185" s="990"/>
      <c r="H1185" s="990"/>
      <c r="I1185" s="990"/>
      <c r="J1185" s="990"/>
      <c r="K1185" s="990"/>
      <c r="L1185" s="990"/>
      <c r="M1185" s="990"/>
      <c r="N1185" s="990"/>
      <c r="O1185" s="990"/>
      <c r="P1185" s="990"/>
      <c r="Q1185" s="990"/>
      <c r="R1185" s="990"/>
      <c r="S1185" s="990"/>
      <c r="T1185" s="990"/>
      <c r="U1185" s="990"/>
      <c r="V1185" s="990"/>
      <c r="W1185" s="990"/>
      <c r="X1185" s="990"/>
    </row>
    <row r="1186" spans="1:24" s="896" customFormat="1">
      <c r="A1186" s="987">
        <f t="shared" si="19"/>
        <v>1112</v>
      </c>
      <c r="B1186" s="988">
        <v>34676</v>
      </c>
      <c r="C1186" s="899" t="s">
        <v>10512</v>
      </c>
      <c r="D1186" s="988" t="s">
        <v>2667</v>
      </c>
      <c r="E1186" s="989">
        <v>20.49</v>
      </c>
      <c r="F1186" s="990"/>
      <c r="G1186" s="990"/>
      <c r="H1186" s="990"/>
      <c r="I1186" s="990"/>
      <c r="J1186" s="990"/>
      <c r="K1186" s="990"/>
      <c r="L1186" s="990"/>
      <c r="M1186" s="990"/>
      <c r="N1186" s="990"/>
      <c r="O1186" s="990"/>
      <c r="P1186" s="990"/>
      <c r="Q1186" s="990"/>
      <c r="R1186" s="990"/>
      <c r="S1186" s="990"/>
      <c r="T1186" s="990"/>
      <c r="U1186" s="990"/>
      <c r="V1186" s="990"/>
      <c r="W1186" s="990"/>
      <c r="X1186" s="990"/>
    </row>
    <row r="1187" spans="1:24" s="896" customFormat="1">
      <c r="A1187" s="987">
        <f t="shared" si="19"/>
        <v>1113</v>
      </c>
      <c r="B1187" s="988">
        <v>34677</v>
      </c>
      <c r="C1187" s="899" t="s">
        <v>10513</v>
      </c>
      <c r="D1187" s="988" t="s">
        <v>2667</v>
      </c>
      <c r="E1187" s="989">
        <v>27.56</v>
      </c>
      <c r="F1187" s="990"/>
      <c r="G1187" s="990"/>
      <c r="H1187" s="990"/>
      <c r="I1187" s="990"/>
      <c r="J1187" s="990"/>
      <c r="K1187" s="990"/>
      <c r="L1187" s="990"/>
      <c r="M1187" s="990"/>
      <c r="N1187" s="990"/>
      <c r="O1187" s="990"/>
      <c r="P1187" s="990"/>
      <c r="Q1187" s="990"/>
      <c r="R1187" s="990"/>
      <c r="S1187" s="990"/>
      <c r="T1187" s="990"/>
      <c r="U1187" s="990"/>
      <c r="V1187" s="990"/>
      <c r="W1187" s="990"/>
      <c r="X1187" s="990"/>
    </row>
    <row r="1188" spans="1:24" s="896" customFormat="1" ht="25.5">
      <c r="A1188" s="987">
        <f t="shared" si="19"/>
        <v>1114</v>
      </c>
      <c r="B1188" s="988">
        <v>43126</v>
      </c>
      <c r="C1188" s="899" t="s">
        <v>10514</v>
      </c>
      <c r="D1188" s="988" t="s">
        <v>2667</v>
      </c>
      <c r="E1188" s="989">
        <v>149.66</v>
      </c>
      <c r="F1188" s="990"/>
      <c r="G1188" s="990"/>
      <c r="H1188" s="990"/>
      <c r="I1188" s="990"/>
      <c r="J1188" s="990"/>
      <c r="K1188" s="990"/>
      <c r="L1188" s="990"/>
      <c r="M1188" s="990"/>
      <c r="N1188" s="990"/>
      <c r="O1188" s="990"/>
      <c r="P1188" s="990"/>
      <c r="Q1188" s="990"/>
      <c r="R1188" s="990"/>
      <c r="S1188" s="990"/>
      <c r="T1188" s="990"/>
      <c r="U1188" s="990"/>
      <c r="V1188" s="990"/>
      <c r="W1188" s="990"/>
      <c r="X1188" s="990"/>
    </row>
    <row r="1189" spans="1:24" s="896" customFormat="1" ht="25.5">
      <c r="A1189" s="987">
        <f t="shared" si="19"/>
        <v>1115</v>
      </c>
      <c r="B1189" s="988">
        <v>43124</v>
      </c>
      <c r="C1189" s="899" t="s">
        <v>10515</v>
      </c>
      <c r="D1189" s="988" t="s">
        <v>2667</v>
      </c>
      <c r="E1189" s="989">
        <v>174.74</v>
      </c>
      <c r="F1189" s="990"/>
      <c r="G1189" s="990"/>
      <c r="H1189" s="990"/>
      <c r="I1189" s="990"/>
      <c r="J1189" s="990"/>
      <c r="K1189" s="990"/>
      <c r="L1189" s="990"/>
      <c r="M1189" s="990"/>
      <c r="N1189" s="990"/>
      <c r="O1189" s="990"/>
      <c r="P1189" s="990"/>
      <c r="Q1189" s="990"/>
      <c r="R1189" s="990"/>
      <c r="S1189" s="990"/>
      <c r="T1189" s="990"/>
      <c r="U1189" s="990"/>
      <c r="V1189" s="990"/>
      <c r="W1189" s="990"/>
      <c r="X1189" s="990"/>
    </row>
    <row r="1190" spans="1:24" s="896" customFormat="1" ht="25.5">
      <c r="A1190" s="987">
        <f t="shared" si="19"/>
        <v>1116</v>
      </c>
      <c r="B1190" s="988">
        <v>43125</v>
      </c>
      <c r="C1190" s="899" t="s">
        <v>10516</v>
      </c>
      <c r="D1190" s="988" t="s">
        <v>2667</v>
      </c>
      <c r="E1190" s="989">
        <v>226.62</v>
      </c>
      <c r="F1190" s="990"/>
      <c r="G1190" s="990"/>
      <c r="H1190" s="990"/>
      <c r="I1190" s="990"/>
      <c r="J1190" s="990"/>
      <c r="K1190" s="990"/>
      <c r="L1190" s="990"/>
      <c r="M1190" s="990"/>
      <c r="N1190" s="990"/>
      <c r="O1190" s="990"/>
      <c r="P1190" s="990"/>
      <c r="Q1190" s="990"/>
      <c r="R1190" s="990"/>
      <c r="S1190" s="990"/>
      <c r="T1190" s="990"/>
      <c r="U1190" s="990"/>
      <c r="V1190" s="990"/>
      <c r="W1190" s="990"/>
      <c r="X1190" s="990"/>
    </row>
    <row r="1191" spans="1:24" s="896" customFormat="1" ht="25.5">
      <c r="A1191" s="987">
        <f t="shared" si="19"/>
        <v>1117</v>
      </c>
      <c r="B1191" s="988">
        <v>40623</v>
      </c>
      <c r="C1191" s="899" t="s">
        <v>10517</v>
      </c>
      <c r="D1191" s="988" t="s">
        <v>2673</v>
      </c>
      <c r="E1191" s="989">
        <v>133.5</v>
      </c>
      <c r="F1191" s="990"/>
      <c r="G1191" s="990"/>
      <c r="H1191" s="990"/>
      <c r="I1191" s="990"/>
      <c r="J1191" s="990"/>
      <c r="K1191" s="990"/>
      <c r="L1191" s="990"/>
      <c r="M1191" s="990"/>
      <c r="N1191" s="990"/>
      <c r="O1191" s="990"/>
      <c r="P1191" s="990"/>
      <c r="Q1191" s="990"/>
      <c r="R1191" s="990"/>
      <c r="S1191" s="990"/>
      <c r="T1191" s="990"/>
      <c r="U1191" s="990"/>
      <c r="V1191" s="990"/>
      <c r="W1191" s="990"/>
      <c r="X1191" s="990"/>
    </row>
    <row r="1192" spans="1:24" s="896" customFormat="1" ht="25.5">
      <c r="A1192" s="987">
        <f t="shared" si="19"/>
        <v>1118</v>
      </c>
      <c r="B1192" s="988">
        <v>43701</v>
      </c>
      <c r="C1192" s="899" t="s">
        <v>10518</v>
      </c>
      <c r="D1192" s="988" t="s">
        <v>2670</v>
      </c>
      <c r="E1192" s="989">
        <v>39.130000000000003</v>
      </c>
      <c r="F1192" s="990"/>
      <c r="G1192" s="990"/>
      <c r="H1192" s="990"/>
      <c r="I1192" s="990"/>
      <c r="J1192" s="990"/>
      <c r="K1192" s="990"/>
      <c r="L1192" s="990"/>
      <c r="M1192" s="990"/>
      <c r="N1192" s="990"/>
      <c r="O1192" s="990"/>
      <c r="P1192" s="990"/>
      <c r="Q1192" s="990"/>
      <c r="R1192" s="990"/>
      <c r="S1192" s="990"/>
      <c r="T1192" s="990"/>
      <c r="U1192" s="990"/>
      <c r="V1192" s="990"/>
      <c r="W1192" s="990"/>
      <c r="X1192" s="990"/>
    </row>
    <row r="1193" spans="1:24" s="896" customFormat="1" ht="25.5">
      <c r="A1193" s="987">
        <f t="shared" si="19"/>
        <v>1119</v>
      </c>
      <c r="B1193" s="988">
        <v>1345</v>
      </c>
      <c r="C1193" s="899" t="s">
        <v>10519</v>
      </c>
      <c r="D1193" s="988" t="s">
        <v>2667</v>
      </c>
      <c r="E1193" s="989">
        <v>77.540000000000006</v>
      </c>
      <c r="F1193" s="990"/>
      <c r="G1193" s="990"/>
      <c r="H1193" s="990"/>
      <c r="I1193" s="990"/>
      <c r="J1193" s="990"/>
      <c r="K1193" s="990"/>
      <c r="L1193" s="990"/>
      <c r="M1193" s="990"/>
      <c r="N1193" s="990"/>
      <c r="O1193" s="990"/>
      <c r="P1193" s="990"/>
      <c r="Q1193" s="990"/>
      <c r="R1193" s="990"/>
      <c r="S1193" s="990"/>
      <c r="T1193" s="990"/>
      <c r="U1193" s="990"/>
      <c r="V1193" s="990"/>
      <c r="W1193" s="990"/>
      <c r="X1193" s="990"/>
    </row>
    <row r="1194" spans="1:24" s="896" customFormat="1" ht="25.5">
      <c r="A1194" s="987">
        <f t="shared" si="19"/>
        <v>1120</v>
      </c>
      <c r="B1194" s="988">
        <v>1346</v>
      </c>
      <c r="C1194" s="899" t="s">
        <v>10520</v>
      </c>
      <c r="D1194" s="988" t="s">
        <v>2667</v>
      </c>
      <c r="E1194" s="989">
        <v>45.1</v>
      </c>
      <c r="F1194" s="990"/>
      <c r="G1194" s="990"/>
      <c r="H1194" s="990"/>
      <c r="I1194" s="990"/>
      <c r="J1194" s="990"/>
      <c r="K1194" s="990"/>
      <c r="L1194" s="990"/>
      <c r="M1194" s="990"/>
      <c r="N1194" s="990"/>
      <c r="O1194" s="990"/>
      <c r="P1194" s="990"/>
      <c r="Q1194" s="990"/>
      <c r="R1194" s="990"/>
      <c r="S1194" s="990"/>
      <c r="T1194" s="990"/>
      <c r="U1194" s="990"/>
      <c r="V1194" s="990"/>
      <c r="W1194" s="990"/>
      <c r="X1194" s="990"/>
    </row>
    <row r="1195" spans="1:24" s="896" customFormat="1" ht="25.5">
      <c r="A1195" s="987">
        <f t="shared" si="19"/>
        <v>1121</v>
      </c>
      <c r="B1195" s="988">
        <v>1347</v>
      </c>
      <c r="C1195" s="899" t="s">
        <v>10521</v>
      </c>
      <c r="D1195" s="988" t="s">
        <v>2667</v>
      </c>
      <c r="E1195" s="989">
        <v>55.89</v>
      </c>
      <c r="F1195" s="990"/>
      <c r="G1195" s="990"/>
      <c r="H1195" s="990"/>
      <c r="I1195" s="990"/>
      <c r="J1195" s="990"/>
      <c r="K1195" s="990"/>
      <c r="L1195" s="990"/>
      <c r="M1195" s="990"/>
      <c r="N1195" s="990"/>
      <c r="O1195" s="990"/>
      <c r="P1195" s="990"/>
      <c r="Q1195" s="990"/>
      <c r="R1195" s="990"/>
      <c r="S1195" s="990"/>
      <c r="T1195" s="990"/>
      <c r="U1195" s="990"/>
      <c r="V1195" s="990"/>
      <c r="W1195" s="990"/>
      <c r="X1195" s="990"/>
    </row>
    <row r="1196" spans="1:24" s="896" customFormat="1" ht="25.5">
      <c r="A1196" s="987">
        <f t="shared" si="19"/>
        <v>1122</v>
      </c>
      <c r="B1196" s="988">
        <v>43678</v>
      </c>
      <c r="C1196" s="899" t="s">
        <v>10522</v>
      </c>
      <c r="D1196" s="988" t="s">
        <v>2667</v>
      </c>
      <c r="E1196" s="989">
        <v>64.83</v>
      </c>
      <c r="F1196" s="990"/>
      <c r="G1196" s="990"/>
      <c r="H1196" s="990"/>
      <c r="I1196" s="990"/>
      <c r="J1196" s="990"/>
      <c r="K1196" s="990"/>
      <c r="L1196" s="990"/>
      <c r="M1196" s="990"/>
      <c r="N1196" s="990"/>
      <c r="O1196" s="990"/>
      <c r="P1196" s="990"/>
      <c r="Q1196" s="990"/>
      <c r="R1196" s="990"/>
      <c r="S1196" s="990"/>
      <c r="T1196" s="990"/>
      <c r="U1196" s="990"/>
      <c r="V1196" s="990"/>
      <c r="W1196" s="990"/>
      <c r="X1196" s="990"/>
    </row>
    <row r="1197" spans="1:24" s="896" customFormat="1" ht="25.5">
      <c r="A1197" s="987">
        <f t="shared" si="19"/>
        <v>1123</v>
      </c>
      <c r="B1197" s="988">
        <v>43680</v>
      </c>
      <c r="C1197" s="899" t="s">
        <v>10523</v>
      </c>
      <c r="D1197" s="988" t="s">
        <v>2667</v>
      </c>
      <c r="E1197" s="989">
        <v>93.39</v>
      </c>
      <c r="F1197" s="990"/>
      <c r="G1197" s="990"/>
      <c r="H1197" s="990"/>
      <c r="I1197" s="990"/>
      <c r="J1197" s="990"/>
      <c r="K1197" s="990"/>
      <c r="L1197" s="990"/>
      <c r="M1197" s="990"/>
      <c r="N1197" s="990"/>
      <c r="O1197" s="990"/>
      <c r="P1197" s="990"/>
      <c r="Q1197" s="990"/>
      <c r="R1197" s="990"/>
      <c r="S1197" s="990"/>
      <c r="T1197" s="990"/>
      <c r="U1197" s="990"/>
      <c r="V1197" s="990"/>
      <c r="W1197" s="990"/>
      <c r="X1197" s="990"/>
    </row>
    <row r="1198" spans="1:24" s="896" customFormat="1" ht="25.5">
      <c r="A1198" s="987">
        <f t="shared" si="19"/>
        <v>1124</v>
      </c>
      <c r="B1198" s="988">
        <v>43679</v>
      </c>
      <c r="C1198" s="899" t="s">
        <v>10524</v>
      </c>
      <c r="D1198" s="988" t="s">
        <v>2667</v>
      </c>
      <c r="E1198" s="989">
        <v>32.770000000000003</v>
      </c>
      <c r="F1198" s="990"/>
      <c r="G1198" s="990"/>
      <c r="H1198" s="990"/>
      <c r="I1198" s="990"/>
      <c r="J1198" s="990"/>
      <c r="K1198" s="990"/>
      <c r="L1198" s="990"/>
      <c r="M1198" s="990"/>
      <c r="N1198" s="990"/>
      <c r="O1198" s="990"/>
      <c r="P1198" s="990"/>
      <c r="Q1198" s="990"/>
      <c r="R1198" s="990"/>
      <c r="S1198" s="990"/>
      <c r="T1198" s="990"/>
      <c r="U1198" s="990"/>
      <c r="V1198" s="990"/>
      <c r="W1198" s="990"/>
      <c r="X1198" s="990"/>
    </row>
    <row r="1199" spans="1:24" s="896" customFormat="1" ht="25.5">
      <c r="A1199" s="987">
        <f t="shared" si="19"/>
        <v>1125</v>
      </c>
      <c r="B1199" s="988">
        <v>1355</v>
      </c>
      <c r="C1199" s="899" t="s">
        <v>10525</v>
      </c>
      <c r="D1199" s="988" t="s">
        <v>2667</v>
      </c>
      <c r="E1199" s="989">
        <v>37.299999999999997</v>
      </c>
      <c r="F1199" s="990"/>
      <c r="G1199" s="990"/>
      <c r="H1199" s="990"/>
      <c r="I1199" s="990"/>
      <c r="J1199" s="990"/>
      <c r="K1199" s="990"/>
      <c r="L1199" s="990"/>
      <c r="M1199" s="990"/>
      <c r="N1199" s="990"/>
      <c r="O1199" s="990"/>
      <c r="P1199" s="990"/>
      <c r="Q1199" s="990"/>
      <c r="R1199" s="990"/>
      <c r="S1199" s="990"/>
      <c r="T1199" s="990"/>
      <c r="U1199" s="990"/>
      <c r="V1199" s="990"/>
      <c r="W1199" s="990"/>
      <c r="X1199" s="990"/>
    </row>
    <row r="1200" spans="1:24" s="896" customFormat="1" ht="25.5">
      <c r="A1200" s="987">
        <f t="shared" si="19"/>
        <v>1126</v>
      </c>
      <c r="B1200" s="988">
        <v>1358</v>
      </c>
      <c r="C1200" s="899" t="s">
        <v>10526</v>
      </c>
      <c r="D1200" s="988" t="s">
        <v>2667</v>
      </c>
      <c r="E1200" s="989">
        <v>45.79</v>
      </c>
      <c r="F1200" s="990"/>
      <c r="G1200" s="990"/>
      <c r="H1200" s="990"/>
      <c r="I1200" s="990"/>
      <c r="J1200" s="990"/>
      <c r="K1200" s="990"/>
      <c r="L1200" s="990"/>
      <c r="M1200" s="990"/>
      <c r="N1200" s="990"/>
      <c r="O1200" s="990"/>
      <c r="P1200" s="990"/>
      <c r="Q1200" s="990"/>
      <c r="R1200" s="990"/>
      <c r="S1200" s="990"/>
      <c r="T1200" s="990"/>
      <c r="U1200" s="990"/>
      <c r="V1200" s="990"/>
      <c r="W1200" s="990"/>
      <c r="X1200" s="990"/>
    </row>
    <row r="1201" spans="1:24" s="896" customFormat="1" ht="25.5">
      <c r="A1201" s="987">
        <f t="shared" si="19"/>
        <v>1127</v>
      </c>
      <c r="B1201" s="988">
        <v>43681</v>
      </c>
      <c r="C1201" s="899" t="s">
        <v>10527</v>
      </c>
      <c r="D1201" s="988" t="s">
        <v>2667</v>
      </c>
      <c r="E1201" s="989">
        <v>28.85</v>
      </c>
      <c r="F1201" s="990"/>
      <c r="G1201" s="990"/>
      <c r="H1201" s="990"/>
      <c r="I1201" s="990"/>
      <c r="J1201" s="990"/>
      <c r="K1201" s="990"/>
      <c r="L1201" s="990"/>
      <c r="M1201" s="990"/>
      <c r="N1201" s="990"/>
      <c r="O1201" s="990"/>
      <c r="P1201" s="990"/>
      <c r="Q1201" s="990"/>
      <c r="R1201" s="990"/>
      <c r="S1201" s="990"/>
      <c r="T1201" s="990"/>
      <c r="U1201" s="990"/>
      <c r="V1201" s="990"/>
      <c r="W1201" s="990"/>
      <c r="X1201" s="990"/>
    </row>
    <row r="1202" spans="1:24" s="896" customFormat="1" ht="25.5">
      <c r="A1202" s="987">
        <f t="shared" si="19"/>
        <v>1128</v>
      </c>
      <c r="B1202" s="988">
        <v>43677</v>
      </c>
      <c r="C1202" s="899" t="s">
        <v>10528</v>
      </c>
      <c r="D1202" s="988" t="s">
        <v>2667</v>
      </c>
      <c r="E1202" s="989">
        <v>56.81</v>
      </c>
      <c r="F1202" s="990"/>
      <c r="G1202" s="990"/>
      <c r="H1202" s="990"/>
      <c r="I1202" s="990"/>
      <c r="J1202" s="990"/>
      <c r="K1202" s="990"/>
      <c r="L1202" s="990"/>
      <c r="M1202" s="990"/>
      <c r="N1202" s="990"/>
      <c r="O1202" s="990"/>
      <c r="P1202" s="990"/>
      <c r="Q1202" s="990"/>
      <c r="R1202" s="990"/>
      <c r="S1202" s="990"/>
      <c r="T1202" s="990"/>
      <c r="U1202" s="990"/>
      <c r="V1202" s="990"/>
      <c r="W1202" s="990"/>
      <c r="X1202" s="990"/>
    </row>
    <row r="1203" spans="1:24" s="896" customFormat="1" ht="25.5">
      <c r="A1203" s="987">
        <f t="shared" si="19"/>
        <v>1129</v>
      </c>
      <c r="B1203" s="988">
        <v>43682</v>
      </c>
      <c r="C1203" s="899" t="s">
        <v>10529</v>
      </c>
      <c r="D1203" s="988" t="s">
        <v>2667</v>
      </c>
      <c r="E1203" s="989">
        <v>17.41</v>
      </c>
      <c r="F1203" s="990"/>
      <c r="G1203" s="990"/>
      <c r="H1203" s="990"/>
      <c r="I1203" s="990"/>
      <c r="J1203" s="990"/>
      <c r="K1203" s="990"/>
      <c r="L1203" s="990"/>
      <c r="M1203" s="990"/>
      <c r="N1203" s="990"/>
      <c r="O1203" s="990"/>
      <c r="P1203" s="990"/>
      <c r="Q1203" s="990"/>
      <c r="R1203" s="990"/>
      <c r="S1203" s="990"/>
      <c r="T1203" s="990"/>
      <c r="U1203" s="990"/>
      <c r="V1203" s="990"/>
      <c r="W1203" s="990"/>
      <c r="X1203" s="990"/>
    </row>
    <row r="1204" spans="1:24" s="896" customFormat="1" ht="25.5">
      <c r="A1204" s="987">
        <f t="shared" si="19"/>
        <v>1130</v>
      </c>
      <c r="B1204" s="988">
        <v>20971</v>
      </c>
      <c r="C1204" s="899" t="s">
        <v>10530</v>
      </c>
      <c r="D1204" s="988" t="s">
        <v>2666</v>
      </c>
      <c r="E1204" s="989">
        <v>21.71</v>
      </c>
      <c r="F1204" s="990"/>
      <c r="G1204" s="990"/>
      <c r="H1204" s="990"/>
      <c r="I1204" s="990"/>
      <c r="J1204" s="990"/>
      <c r="K1204" s="990"/>
      <c r="L1204" s="990"/>
      <c r="M1204" s="990"/>
      <c r="N1204" s="990"/>
      <c r="O1204" s="990"/>
      <c r="P1204" s="990"/>
      <c r="Q1204" s="990"/>
      <c r="R1204" s="990"/>
      <c r="S1204" s="990"/>
      <c r="T1204" s="990"/>
      <c r="U1204" s="990"/>
      <c r="V1204" s="990"/>
      <c r="W1204" s="990"/>
      <c r="X1204" s="990"/>
    </row>
    <row r="1205" spans="1:24" s="896" customFormat="1">
      <c r="A1205" s="987">
        <f t="shared" si="19"/>
        <v>1131</v>
      </c>
      <c r="B1205" s="988">
        <v>13279</v>
      </c>
      <c r="C1205" s="899" t="s">
        <v>10531</v>
      </c>
      <c r="D1205" s="988" t="s">
        <v>2670</v>
      </c>
      <c r="E1205" s="989">
        <v>18.170000000000002</v>
      </c>
      <c r="F1205" s="990"/>
      <c r="G1205" s="990"/>
      <c r="H1205" s="990"/>
      <c r="I1205" s="990"/>
      <c r="J1205" s="990"/>
      <c r="K1205" s="990"/>
      <c r="L1205" s="990"/>
      <c r="M1205" s="990"/>
      <c r="N1205" s="990"/>
      <c r="O1205" s="990"/>
      <c r="P1205" s="990"/>
      <c r="Q1205" s="990"/>
      <c r="R1205" s="990"/>
      <c r="S1205" s="990"/>
      <c r="T1205" s="990"/>
      <c r="U1205" s="990"/>
      <c r="V1205" s="990"/>
      <c r="W1205" s="990"/>
      <c r="X1205" s="990"/>
    </row>
    <row r="1206" spans="1:24" s="896" customFormat="1">
      <c r="A1206" s="987">
        <f t="shared" si="19"/>
        <v>1132</v>
      </c>
      <c r="B1206" s="988">
        <v>11977</v>
      </c>
      <c r="C1206" s="899" t="s">
        <v>10532</v>
      </c>
      <c r="D1206" s="988" t="s">
        <v>2666</v>
      </c>
      <c r="E1206" s="989">
        <v>9.41</v>
      </c>
      <c r="F1206" s="990"/>
      <c r="G1206" s="990"/>
      <c r="H1206" s="990"/>
      <c r="I1206" s="990"/>
      <c r="J1206" s="990"/>
      <c r="K1206" s="990"/>
      <c r="L1206" s="990"/>
      <c r="M1206" s="990"/>
      <c r="N1206" s="990"/>
      <c r="O1206" s="990"/>
      <c r="P1206" s="990"/>
      <c r="Q1206" s="990"/>
      <c r="R1206" s="990"/>
      <c r="S1206" s="990"/>
      <c r="T1206" s="990"/>
      <c r="U1206" s="990"/>
      <c r="V1206" s="990"/>
      <c r="W1206" s="990"/>
      <c r="X1206" s="990"/>
    </row>
    <row r="1207" spans="1:24" s="896" customFormat="1">
      <c r="A1207" s="987">
        <f t="shared" si="19"/>
        <v>1133</v>
      </c>
      <c r="B1207" s="988">
        <v>11975</v>
      </c>
      <c r="C1207" s="899" t="s">
        <v>10533</v>
      </c>
      <c r="D1207" s="988" t="s">
        <v>2666</v>
      </c>
      <c r="E1207" s="989">
        <v>20.63</v>
      </c>
      <c r="F1207" s="990"/>
      <c r="G1207" s="990"/>
      <c r="H1207" s="990"/>
      <c r="I1207" s="990"/>
      <c r="J1207" s="990"/>
      <c r="K1207" s="990"/>
      <c r="L1207" s="990"/>
      <c r="M1207" s="990"/>
      <c r="N1207" s="990"/>
      <c r="O1207" s="990"/>
      <c r="P1207" s="990"/>
      <c r="Q1207" s="990"/>
      <c r="R1207" s="990"/>
      <c r="S1207" s="990"/>
      <c r="T1207" s="990"/>
      <c r="U1207" s="990"/>
      <c r="V1207" s="990"/>
      <c r="W1207" s="990"/>
      <c r="X1207" s="990"/>
    </row>
    <row r="1208" spans="1:24" s="896" customFormat="1" ht="25.5">
      <c r="A1208" s="987">
        <f t="shared" si="19"/>
        <v>1134</v>
      </c>
      <c r="B1208" s="988">
        <v>39746</v>
      </c>
      <c r="C1208" s="899" t="s">
        <v>10534</v>
      </c>
      <c r="D1208" s="988" t="s">
        <v>2666</v>
      </c>
      <c r="E1208" s="989">
        <v>229.61</v>
      </c>
      <c r="F1208" s="990"/>
      <c r="G1208" s="990"/>
      <c r="H1208" s="990"/>
      <c r="I1208" s="990"/>
      <c r="J1208" s="990"/>
      <c r="K1208" s="990"/>
      <c r="L1208" s="990"/>
      <c r="M1208" s="990"/>
      <c r="N1208" s="990"/>
      <c r="O1208" s="990"/>
      <c r="P1208" s="990"/>
      <c r="Q1208" s="990"/>
      <c r="R1208" s="990"/>
      <c r="S1208" s="990"/>
      <c r="T1208" s="990"/>
      <c r="U1208" s="990"/>
      <c r="V1208" s="990"/>
      <c r="W1208" s="990"/>
      <c r="X1208" s="990"/>
    </row>
    <row r="1209" spans="1:24" s="896" customFormat="1">
      <c r="A1209" s="987">
        <f t="shared" si="19"/>
        <v>1135</v>
      </c>
      <c r="B1209" s="988">
        <v>11976</v>
      </c>
      <c r="C1209" s="899" t="s">
        <v>10535</v>
      </c>
      <c r="D1209" s="988" t="s">
        <v>2666</v>
      </c>
      <c r="E1209" s="989">
        <v>1.05</v>
      </c>
      <c r="F1209" s="990"/>
      <c r="G1209" s="990"/>
      <c r="H1209" s="990"/>
      <c r="I1209" s="990"/>
      <c r="J1209" s="990"/>
      <c r="K1209" s="990"/>
      <c r="L1209" s="990"/>
      <c r="M1209" s="990"/>
      <c r="N1209" s="990"/>
      <c r="O1209" s="990"/>
      <c r="P1209" s="990"/>
      <c r="Q1209" s="990"/>
      <c r="R1209" s="990"/>
      <c r="S1209" s="990"/>
      <c r="T1209" s="990"/>
      <c r="U1209" s="990"/>
      <c r="V1209" s="990"/>
      <c r="W1209" s="990"/>
      <c r="X1209" s="990"/>
    </row>
    <row r="1210" spans="1:24" s="896" customFormat="1" ht="25.5">
      <c r="A1210" s="987">
        <f t="shared" si="19"/>
        <v>1136</v>
      </c>
      <c r="B1210" s="988">
        <v>1368</v>
      </c>
      <c r="C1210" s="899" t="s">
        <v>10536</v>
      </c>
      <c r="D1210" s="988" t="s">
        <v>2666</v>
      </c>
      <c r="E1210" s="989">
        <v>75.75</v>
      </c>
      <c r="F1210" s="990"/>
      <c r="G1210" s="990"/>
      <c r="H1210" s="990"/>
      <c r="I1210" s="990"/>
      <c r="J1210" s="990"/>
      <c r="K1210" s="990"/>
      <c r="L1210" s="990"/>
      <c r="M1210" s="990"/>
      <c r="N1210" s="990"/>
      <c r="O1210" s="990"/>
      <c r="P1210" s="990"/>
      <c r="Q1210" s="990"/>
      <c r="R1210" s="990"/>
      <c r="S1210" s="990"/>
      <c r="T1210" s="990"/>
      <c r="U1210" s="990"/>
      <c r="V1210" s="990"/>
      <c r="W1210" s="990"/>
      <c r="X1210" s="990"/>
    </row>
    <row r="1211" spans="1:24" s="896" customFormat="1">
      <c r="A1211" s="987">
        <f t="shared" si="19"/>
        <v>1137</v>
      </c>
      <c r="B1211" s="988">
        <v>1367</v>
      </c>
      <c r="C1211" s="899" t="s">
        <v>10537</v>
      </c>
      <c r="D1211" s="988" t="s">
        <v>2666</v>
      </c>
      <c r="E1211" s="989">
        <v>245.03</v>
      </c>
      <c r="F1211" s="990"/>
      <c r="G1211" s="990"/>
      <c r="H1211" s="990"/>
      <c r="I1211" s="990"/>
      <c r="J1211" s="990"/>
      <c r="K1211" s="990"/>
      <c r="L1211" s="990"/>
      <c r="M1211" s="990"/>
      <c r="N1211" s="990"/>
      <c r="O1211" s="990"/>
      <c r="P1211" s="990"/>
      <c r="Q1211" s="990"/>
      <c r="R1211" s="990"/>
      <c r="S1211" s="990"/>
      <c r="T1211" s="990"/>
      <c r="U1211" s="990"/>
      <c r="V1211" s="990"/>
      <c r="W1211" s="990"/>
      <c r="X1211" s="990"/>
    </row>
    <row r="1212" spans="1:24" s="896" customFormat="1" ht="25.5">
      <c r="A1212" s="987">
        <f t="shared" si="19"/>
        <v>1138</v>
      </c>
      <c r="B1212" s="988">
        <v>41899</v>
      </c>
      <c r="C1212" s="899" t="s">
        <v>10538</v>
      </c>
      <c r="D1212" s="988" t="s">
        <v>2676</v>
      </c>
      <c r="E1212" s="989">
        <v>5197.6099999999997</v>
      </c>
      <c r="F1212" s="990"/>
      <c r="G1212" s="990"/>
      <c r="H1212" s="990"/>
      <c r="I1212" s="990"/>
      <c r="J1212" s="990"/>
      <c r="K1212" s="990"/>
      <c r="L1212" s="990"/>
      <c r="M1212" s="990"/>
      <c r="N1212" s="990"/>
      <c r="O1212" s="990"/>
      <c r="P1212" s="990"/>
      <c r="Q1212" s="990"/>
      <c r="R1212" s="990"/>
      <c r="S1212" s="990"/>
      <c r="T1212" s="990"/>
      <c r="U1212" s="990"/>
      <c r="V1212" s="990"/>
      <c r="W1212" s="990"/>
      <c r="X1212" s="990"/>
    </row>
    <row r="1213" spans="1:24" s="896" customFormat="1">
      <c r="A1213" s="987">
        <f t="shared" si="19"/>
        <v>1139</v>
      </c>
      <c r="B1213" s="988">
        <v>1380</v>
      </c>
      <c r="C1213" s="899" t="s">
        <v>10539</v>
      </c>
      <c r="D1213" s="988" t="s">
        <v>2670</v>
      </c>
      <c r="E1213" s="989">
        <v>2.1</v>
      </c>
      <c r="F1213" s="990"/>
      <c r="G1213" s="990"/>
      <c r="H1213" s="990"/>
      <c r="I1213" s="990"/>
      <c r="J1213" s="990"/>
      <c r="K1213" s="990"/>
      <c r="L1213" s="990"/>
      <c r="M1213" s="990"/>
      <c r="N1213" s="990"/>
      <c r="O1213" s="990"/>
      <c r="P1213" s="990"/>
      <c r="Q1213" s="990"/>
      <c r="R1213" s="990"/>
      <c r="S1213" s="990"/>
      <c r="T1213" s="990"/>
      <c r="U1213" s="990"/>
      <c r="V1213" s="990"/>
      <c r="W1213" s="990"/>
      <c r="X1213" s="990"/>
    </row>
    <row r="1214" spans="1:24" s="896" customFormat="1">
      <c r="A1214" s="987">
        <f t="shared" si="19"/>
        <v>1140</v>
      </c>
      <c r="B1214" s="988">
        <v>1375</v>
      </c>
      <c r="C1214" s="899" t="s">
        <v>10540</v>
      </c>
      <c r="D1214" s="988" t="s">
        <v>2670</v>
      </c>
      <c r="E1214" s="989">
        <v>16.09</v>
      </c>
      <c r="F1214" s="990"/>
      <c r="G1214" s="990"/>
      <c r="H1214" s="990"/>
      <c r="I1214" s="990"/>
      <c r="J1214" s="990"/>
      <c r="K1214" s="990"/>
      <c r="L1214" s="990"/>
      <c r="M1214" s="990"/>
      <c r="N1214" s="990"/>
      <c r="O1214" s="990"/>
      <c r="P1214" s="990"/>
      <c r="Q1214" s="990"/>
      <c r="R1214" s="990"/>
      <c r="S1214" s="990"/>
      <c r="T1214" s="990"/>
      <c r="U1214" s="990"/>
      <c r="V1214" s="990"/>
      <c r="W1214" s="990"/>
      <c r="X1214" s="990"/>
    </row>
    <row r="1215" spans="1:24" s="896" customFormat="1">
      <c r="A1215" s="987">
        <f t="shared" si="19"/>
        <v>1141</v>
      </c>
      <c r="B1215" s="988">
        <v>1379</v>
      </c>
      <c r="C1215" s="899" t="s">
        <v>10541</v>
      </c>
      <c r="D1215" s="988" t="s">
        <v>2670</v>
      </c>
      <c r="E1215" s="989">
        <v>0.67</v>
      </c>
      <c r="F1215" s="990"/>
      <c r="G1215" s="990"/>
      <c r="H1215" s="990"/>
      <c r="I1215" s="990"/>
      <c r="J1215" s="990"/>
      <c r="K1215" s="990"/>
      <c r="L1215" s="990"/>
      <c r="M1215" s="990"/>
      <c r="N1215" s="990"/>
      <c r="O1215" s="990"/>
      <c r="P1215" s="990"/>
      <c r="Q1215" s="990"/>
      <c r="R1215" s="990"/>
      <c r="S1215" s="990"/>
      <c r="T1215" s="990"/>
      <c r="U1215" s="990"/>
      <c r="V1215" s="990"/>
      <c r="W1215" s="990"/>
      <c r="X1215" s="990"/>
    </row>
    <row r="1216" spans="1:24" s="896" customFormat="1">
      <c r="A1216" s="987">
        <f t="shared" si="19"/>
        <v>1142</v>
      </c>
      <c r="B1216" s="988">
        <v>13284</v>
      </c>
      <c r="C1216" s="899" t="s">
        <v>10542</v>
      </c>
      <c r="D1216" s="988" t="s">
        <v>2670</v>
      </c>
      <c r="E1216" s="989">
        <v>0.67</v>
      </c>
      <c r="F1216" s="990"/>
      <c r="G1216" s="990"/>
      <c r="H1216" s="990"/>
      <c r="I1216" s="990"/>
      <c r="J1216" s="990"/>
      <c r="K1216" s="990"/>
      <c r="L1216" s="990"/>
      <c r="M1216" s="990"/>
      <c r="N1216" s="990"/>
      <c r="O1216" s="990"/>
      <c r="P1216" s="990"/>
      <c r="Q1216" s="990"/>
      <c r="R1216" s="990"/>
      <c r="S1216" s="990"/>
      <c r="T1216" s="990"/>
      <c r="U1216" s="990"/>
      <c r="V1216" s="990"/>
      <c r="W1216" s="990"/>
      <c r="X1216" s="990"/>
    </row>
    <row r="1217" spans="1:24" s="896" customFormat="1">
      <c r="A1217" s="987">
        <f t="shared" si="19"/>
        <v>1143</v>
      </c>
      <c r="B1217" s="988">
        <v>44528</v>
      </c>
      <c r="C1217" s="899" t="s">
        <v>10543</v>
      </c>
      <c r="D1217" s="988" t="s">
        <v>2670</v>
      </c>
      <c r="E1217" s="989">
        <v>2.5299999999999998</v>
      </c>
      <c r="F1217" s="990"/>
      <c r="G1217" s="990"/>
      <c r="H1217" s="990"/>
      <c r="I1217" s="990"/>
      <c r="J1217" s="990"/>
      <c r="K1217" s="990"/>
      <c r="L1217" s="990"/>
      <c r="M1217" s="990"/>
      <c r="N1217" s="990"/>
      <c r="O1217" s="990"/>
      <c r="P1217" s="990"/>
      <c r="Q1217" s="990"/>
      <c r="R1217" s="990"/>
      <c r="S1217" s="990"/>
      <c r="T1217" s="990"/>
      <c r="U1217" s="990"/>
      <c r="V1217" s="990"/>
      <c r="W1217" s="990"/>
      <c r="X1217" s="990"/>
    </row>
    <row r="1218" spans="1:24" s="896" customFormat="1">
      <c r="A1218" s="987">
        <f t="shared" si="19"/>
        <v>1144</v>
      </c>
      <c r="B1218" s="988">
        <v>34753</v>
      </c>
      <c r="C1218" s="899" t="s">
        <v>10544</v>
      </c>
      <c r="D1218" s="988" t="s">
        <v>2670</v>
      </c>
      <c r="E1218" s="989">
        <v>0.73</v>
      </c>
      <c r="F1218" s="990"/>
      <c r="G1218" s="990"/>
      <c r="H1218" s="990"/>
      <c r="I1218" s="990"/>
      <c r="J1218" s="990"/>
      <c r="K1218" s="990"/>
      <c r="L1218" s="990"/>
      <c r="M1218" s="990"/>
      <c r="N1218" s="990"/>
      <c r="O1218" s="990"/>
      <c r="P1218" s="990"/>
      <c r="Q1218" s="990"/>
      <c r="R1218" s="990"/>
      <c r="S1218" s="990"/>
      <c r="T1218" s="990"/>
      <c r="U1218" s="990"/>
      <c r="V1218" s="990"/>
      <c r="W1218" s="990"/>
      <c r="X1218" s="990"/>
    </row>
    <row r="1219" spans="1:24" s="896" customFormat="1" ht="25.5">
      <c r="A1219" s="987">
        <f t="shared" si="19"/>
        <v>1145</v>
      </c>
      <c r="B1219" s="988">
        <v>420</v>
      </c>
      <c r="C1219" s="899" t="s">
        <v>10545</v>
      </c>
      <c r="D1219" s="988" t="s">
        <v>2666</v>
      </c>
      <c r="E1219" s="989">
        <v>19.489999999999998</v>
      </c>
      <c r="F1219" s="990"/>
      <c r="G1219" s="990"/>
      <c r="H1219" s="990"/>
      <c r="I1219" s="990"/>
      <c r="J1219" s="990"/>
      <c r="K1219" s="990"/>
      <c r="L1219" s="990"/>
      <c r="M1219" s="990"/>
      <c r="N1219" s="990"/>
      <c r="O1219" s="990"/>
      <c r="P1219" s="990"/>
      <c r="Q1219" s="990"/>
      <c r="R1219" s="990"/>
      <c r="S1219" s="990"/>
      <c r="T1219" s="990"/>
      <c r="U1219" s="990"/>
      <c r="V1219" s="990"/>
      <c r="W1219" s="990"/>
      <c r="X1219" s="990"/>
    </row>
    <row r="1220" spans="1:24" s="896" customFormat="1" ht="25.5">
      <c r="A1220" s="987">
        <f t="shared" si="19"/>
        <v>1146</v>
      </c>
      <c r="B1220" s="988">
        <v>12327</v>
      </c>
      <c r="C1220" s="899" t="s">
        <v>10546</v>
      </c>
      <c r="D1220" s="988" t="s">
        <v>2666</v>
      </c>
      <c r="E1220" s="989">
        <v>23.22</v>
      </c>
      <c r="F1220" s="990"/>
      <c r="G1220" s="990"/>
      <c r="H1220" s="990"/>
      <c r="I1220" s="990"/>
      <c r="J1220" s="990"/>
      <c r="K1220" s="990"/>
      <c r="L1220" s="990"/>
      <c r="M1220" s="990"/>
      <c r="N1220" s="990"/>
      <c r="O1220" s="990"/>
      <c r="P1220" s="990"/>
      <c r="Q1220" s="990"/>
      <c r="R1220" s="990"/>
      <c r="S1220" s="990"/>
      <c r="T1220" s="990"/>
      <c r="U1220" s="990"/>
      <c r="V1220" s="990"/>
      <c r="W1220" s="990"/>
      <c r="X1220" s="990"/>
    </row>
    <row r="1221" spans="1:24" s="896" customFormat="1" ht="25.5">
      <c r="A1221" s="987">
        <f t="shared" si="19"/>
        <v>1147</v>
      </c>
      <c r="B1221" s="988">
        <v>36148</v>
      </c>
      <c r="C1221" s="899" t="s">
        <v>10547</v>
      </c>
      <c r="D1221" s="988" t="s">
        <v>2666</v>
      </c>
      <c r="E1221" s="989">
        <v>96</v>
      </c>
      <c r="F1221" s="990"/>
      <c r="G1221" s="990"/>
      <c r="H1221" s="990"/>
      <c r="I1221" s="990"/>
      <c r="J1221" s="990"/>
      <c r="K1221" s="990"/>
      <c r="L1221" s="990"/>
      <c r="M1221" s="990"/>
      <c r="N1221" s="990"/>
      <c r="O1221" s="990"/>
      <c r="P1221" s="990"/>
      <c r="Q1221" s="990"/>
      <c r="R1221" s="990"/>
      <c r="S1221" s="990"/>
      <c r="T1221" s="990"/>
      <c r="U1221" s="990"/>
      <c r="V1221" s="990"/>
      <c r="W1221" s="990"/>
      <c r="X1221" s="990"/>
    </row>
    <row r="1222" spans="1:24" s="896" customFormat="1">
      <c r="A1222" s="987">
        <f t="shared" si="19"/>
        <v>1148</v>
      </c>
      <c r="B1222" s="988">
        <v>12329</v>
      </c>
      <c r="C1222" s="899" t="s">
        <v>10548</v>
      </c>
      <c r="D1222" s="988" t="s">
        <v>2670</v>
      </c>
      <c r="E1222" s="989">
        <v>162.62</v>
      </c>
      <c r="F1222" s="990"/>
      <c r="G1222" s="990"/>
      <c r="H1222" s="990"/>
      <c r="I1222" s="990"/>
      <c r="J1222" s="990"/>
      <c r="K1222" s="990"/>
      <c r="L1222" s="990"/>
      <c r="M1222" s="990"/>
      <c r="N1222" s="990"/>
      <c r="O1222" s="990"/>
      <c r="P1222" s="990"/>
      <c r="Q1222" s="990"/>
      <c r="R1222" s="990"/>
      <c r="S1222" s="990"/>
      <c r="T1222" s="990"/>
      <c r="U1222" s="990"/>
      <c r="V1222" s="990"/>
      <c r="W1222" s="990"/>
      <c r="X1222" s="990"/>
    </row>
    <row r="1223" spans="1:24" s="896" customFormat="1">
      <c r="A1223" s="987">
        <f t="shared" si="19"/>
        <v>1149</v>
      </c>
      <c r="B1223" s="988">
        <v>1339</v>
      </c>
      <c r="C1223" s="899" t="s">
        <v>10549</v>
      </c>
      <c r="D1223" s="988" t="s">
        <v>2670</v>
      </c>
      <c r="E1223" s="989">
        <v>57.55</v>
      </c>
      <c r="F1223" s="990"/>
      <c r="G1223" s="990"/>
      <c r="H1223" s="990"/>
      <c r="I1223" s="990"/>
      <c r="J1223" s="990"/>
      <c r="K1223" s="990"/>
      <c r="L1223" s="990"/>
      <c r="M1223" s="990"/>
      <c r="N1223" s="990"/>
      <c r="O1223" s="990"/>
      <c r="P1223" s="990"/>
      <c r="Q1223" s="990"/>
      <c r="R1223" s="990"/>
      <c r="S1223" s="990"/>
      <c r="T1223" s="990"/>
      <c r="U1223" s="990"/>
      <c r="V1223" s="990"/>
      <c r="W1223" s="990"/>
      <c r="X1223" s="990"/>
    </row>
    <row r="1224" spans="1:24" s="896" customFormat="1">
      <c r="A1224" s="987">
        <f t="shared" si="19"/>
        <v>1150</v>
      </c>
      <c r="B1224" s="988">
        <v>44396</v>
      </c>
      <c r="C1224" s="899" t="s">
        <v>10550</v>
      </c>
      <c r="D1224" s="988" t="s">
        <v>2670</v>
      </c>
      <c r="E1224" s="989">
        <v>41.12</v>
      </c>
      <c r="F1224" s="990"/>
      <c r="G1224" s="990"/>
      <c r="H1224" s="990"/>
      <c r="I1224" s="990"/>
      <c r="J1224" s="990"/>
      <c r="K1224" s="990"/>
      <c r="L1224" s="990"/>
      <c r="M1224" s="990"/>
      <c r="N1224" s="990"/>
      <c r="O1224" s="990"/>
      <c r="P1224" s="990"/>
      <c r="Q1224" s="990"/>
      <c r="R1224" s="990"/>
      <c r="S1224" s="990"/>
      <c r="T1224" s="990"/>
      <c r="U1224" s="990"/>
      <c r="V1224" s="990"/>
      <c r="W1224" s="990"/>
      <c r="X1224" s="990"/>
    </row>
    <row r="1225" spans="1:24" s="896" customFormat="1">
      <c r="A1225" s="987">
        <f t="shared" si="19"/>
        <v>1151</v>
      </c>
      <c r="B1225" s="988">
        <v>44327</v>
      </c>
      <c r="C1225" s="899" t="s">
        <v>10551</v>
      </c>
      <c r="D1225" s="988" t="s">
        <v>2671</v>
      </c>
      <c r="E1225" s="989">
        <v>139.85</v>
      </c>
      <c r="F1225" s="990"/>
      <c r="G1225" s="990"/>
      <c r="H1225" s="990"/>
      <c r="I1225" s="990"/>
      <c r="J1225" s="990"/>
      <c r="K1225" s="990"/>
      <c r="L1225" s="990"/>
      <c r="M1225" s="990"/>
      <c r="N1225" s="990"/>
      <c r="O1225" s="990"/>
      <c r="P1225" s="990"/>
      <c r="Q1225" s="990"/>
      <c r="R1225" s="990"/>
      <c r="S1225" s="990"/>
      <c r="T1225" s="990"/>
      <c r="U1225" s="990"/>
      <c r="V1225" s="990"/>
      <c r="W1225" s="990"/>
      <c r="X1225" s="990"/>
    </row>
    <row r="1226" spans="1:24" s="896" customFormat="1" ht="25.5">
      <c r="A1226" s="987">
        <f t="shared" si="19"/>
        <v>1152</v>
      </c>
      <c r="B1226" s="988">
        <v>37418</v>
      </c>
      <c r="C1226" s="899" t="s">
        <v>10552</v>
      </c>
      <c r="D1226" s="988" t="s">
        <v>2666</v>
      </c>
      <c r="E1226" s="989">
        <v>19.899999999999999</v>
      </c>
      <c r="F1226" s="990"/>
      <c r="G1226" s="990"/>
      <c r="H1226" s="990"/>
      <c r="I1226" s="990"/>
      <c r="J1226" s="990"/>
      <c r="K1226" s="990"/>
      <c r="L1226" s="990"/>
      <c r="M1226" s="990"/>
      <c r="N1226" s="990"/>
      <c r="O1226" s="990"/>
      <c r="P1226" s="990"/>
      <c r="Q1226" s="990"/>
      <c r="R1226" s="990"/>
      <c r="S1226" s="990"/>
      <c r="T1226" s="990"/>
      <c r="U1226" s="990"/>
      <c r="V1226" s="990"/>
      <c r="W1226" s="990"/>
      <c r="X1226" s="990"/>
    </row>
    <row r="1227" spans="1:24" s="896" customFormat="1" ht="25.5">
      <c r="A1227" s="987">
        <f t="shared" si="19"/>
        <v>1153</v>
      </c>
      <c r="B1227" s="988">
        <v>37419</v>
      </c>
      <c r="C1227" s="899" t="s">
        <v>10553</v>
      </c>
      <c r="D1227" s="988" t="s">
        <v>2666</v>
      </c>
      <c r="E1227" s="989">
        <v>20.43</v>
      </c>
      <c r="F1227" s="990"/>
      <c r="G1227" s="990"/>
      <c r="H1227" s="990"/>
      <c r="I1227" s="990"/>
      <c r="J1227" s="990"/>
      <c r="K1227" s="990"/>
      <c r="L1227" s="990"/>
      <c r="M1227" s="990"/>
      <c r="N1227" s="990"/>
      <c r="O1227" s="990"/>
      <c r="P1227" s="990"/>
      <c r="Q1227" s="990"/>
      <c r="R1227" s="990"/>
      <c r="S1227" s="990"/>
      <c r="T1227" s="990"/>
      <c r="U1227" s="990"/>
      <c r="V1227" s="990"/>
      <c r="W1227" s="990"/>
      <c r="X1227" s="990"/>
    </row>
    <row r="1228" spans="1:24" s="896" customFormat="1" ht="25.5">
      <c r="A1228" s="987">
        <f t="shared" ref="A1228:A1291" si="20">A1227+1</f>
        <v>1154</v>
      </c>
      <c r="B1228" s="988">
        <v>1427</v>
      </c>
      <c r="C1228" s="899" t="s">
        <v>10554</v>
      </c>
      <c r="D1228" s="988" t="s">
        <v>2666</v>
      </c>
      <c r="E1228" s="989">
        <v>23.38</v>
      </c>
      <c r="F1228" s="990"/>
      <c r="G1228" s="990"/>
      <c r="H1228" s="990"/>
      <c r="I1228" s="990"/>
      <c r="J1228" s="990"/>
      <c r="K1228" s="990"/>
      <c r="L1228" s="990"/>
      <c r="M1228" s="990"/>
      <c r="N1228" s="990"/>
      <c r="O1228" s="990"/>
      <c r="P1228" s="990"/>
      <c r="Q1228" s="990"/>
      <c r="R1228" s="990"/>
      <c r="S1228" s="990"/>
      <c r="T1228" s="990"/>
      <c r="U1228" s="990"/>
      <c r="V1228" s="990"/>
      <c r="W1228" s="990"/>
      <c r="X1228" s="990"/>
    </row>
    <row r="1229" spans="1:24" s="896" customFormat="1" ht="25.5">
      <c r="A1229" s="987">
        <f t="shared" si="20"/>
        <v>1155</v>
      </c>
      <c r="B1229" s="988">
        <v>1402</v>
      </c>
      <c r="C1229" s="899" t="s">
        <v>10555</v>
      </c>
      <c r="D1229" s="988" t="s">
        <v>2666</v>
      </c>
      <c r="E1229" s="989">
        <v>8.09</v>
      </c>
      <c r="F1229" s="990"/>
      <c r="G1229" s="990"/>
      <c r="H1229" s="990"/>
      <c r="I1229" s="990"/>
      <c r="J1229" s="990"/>
      <c r="K1229" s="990"/>
      <c r="L1229" s="990"/>
      <c r="M1229" s="990"/>
      <c r="N1229" s="990"/>
      <c r="O1229" s="990"/>
      <c r="P1229" s="990"/>
      <c r="Q1229" s="990"/>
      <c r="R1229" s="990"/>
      <c r="S1229" s="990"/>
      <c r="T1229" s="990"/>
      <c r="U1229" s="990"/>
      <c r="V1229" s="990"/>
      <c r="W1229" s="990"/>
      <c r="X1229" s="990"/>
    </row>
    <row r="1230" spans="1:24" s="896" customFormat="1" ht="25.5">
      <c r="A1230" s="987">
        <f t="shared" si="20"/>
        <v>1156</v>
      </c>
      <c r="B1230" s="988">
        <v>1420</v>
      </c>
      <c r="C1230" s="899" t="s">
        <v>10556</v>
      </c>
      <c r="D1230" s="988" t="s">
        <v>2666</v>
      </c>
      <c r="E1230" s="989">
        <v>10.4</v>
      </c>
      <c r="F1230" s="990"/>
      <c r="G1230" s="990"/>
      <c r="H1230" s="990"/>
      <c r="I1230" s="990"/>
      <c r="J1230" s="990"/>
      <c r="K1230" s="990"/>
      <c r="L1230" s="990"/>
      <c r="M1230" s="990"/>
      <c r="N1230" s="990"/>
      <c r="O1230" s="990"/>
      <c r="P1230" s="990"/>
      <c r="Q1230" s="990"/>
      <c r="R1230" s="990"/>
      <c r="S1230" s="990"/>
      <c r="T1230" s="990"/>
      <c r="U1230" s="990"/>
      <c r="V1230" s="990"/>
      <c r="W1230" s="990"/>
      <c r="X1230" s="990"/>
    </row>
    <row r="1231" spans="1:24" s="896" customFormat="1" ht="25.5">
      <c r="A1231" s="987">
        <f t="shared" si="20"/>
        <v>1157</v>
      </c>
      <c r="B1231" s="988">
        <v>1419</v>
      </c>
      <c r="C1231" s="899" t="s">
        <v>10557</v>
      </c>
      <c r="D1231" s="988" t="s">
        <v>2666</v>
      </c>
      <c r="E1231" s="989">
        <v>12.57</v>
      </c>
      <c r="F1231" s="990"/>
      <c r="G1231" s="990"/>
      <c r="H1231" s="990"/>
      <c r="I1231" s="990"/>
      <c r="J1231" s="990"/>
      <c r="K1231" s="990"/>
      <c r="L1231" s="990"/>
      <c r="M1231" s="990"/>
      <c r="N1231" s="990"/>
      <c r="O1231" s="990"/>
      <c r="P1231" s="990"/>
      <c r="Q1231" s="990"/>
      <c r="R1231" s="990"/>
      <c r="S1231" s="990"/>
      <c r="T1231" s="990"/>
      <c r="U1231" s="990"/>
      <c r="V1231" s="990"/>
      <c r="W1231" s="990"/>
      <c r="X1231" s="990"/>
    </row>
    <row r="1232" spans="1:24" s="896" customFormat="1" ht="25.5">
      <c r="A1232" s="987">
        <f t="shared" si="20"/>
        <v>1158</v>
      </c>
      <c r="B1232" s="988">
        <v>1414</v>
      </c>
      <c r="C1232" s="899" t="s">
        <v>10558</v>
      </c>
      <c r="D1232" s="988" t="s">
        <v>2666</v>
      </c>
      <c r="E1232" s="989">
        <v>12.29</v>
      </c>
      <c r="F1232" s="990"/>
      <c r="G1232" s="990"/>
      <c r="H1232" s="990"/>
      <c r="I1232" s="990"/>
      <c r="J1232" s="990"/>
      <c r="K1232" s="990"/>
      <c r="L1232" s="990"/>
      <c r="M1232" s="990"/>
      <c r="N1232" s="990"/>
      <c r="O1232" s="990"/>
      <c r="P1232" s="990"/>
      <c r="Q1232" s="990"/>
      <c r="R1232" s="990"/>
      <c r="S1232" s="990"/>
      <c r="T1232" s="990"/>
      <c r="U1232" s="990"/>
      <c r="V1232" s="990"/>
      <c r="W1232" s="990"/>
      <c r="X1232" s="990"/>
    </row>
    <row r="1233" spans="1:24" s="896" customFormat="1" ht="25.5">
      <c r="A1233" s="987">
        <f t="shared" si="20"/>
        <v>1159</v>
      </c>
      <c r="B1233" s="988">
        <v>1413</v>
      </c>
      <c r="C1233" s="899" t="s">
        <v>10559</v>
      </c>
      <c r="D1233" s="988" t="s">
        <v>2666</v>
      </c>
      <c r="E1233" s="989">
        <v>18.16</v>
      </c>
      <c r="F1233" s="990"/>
      <c r="G1233" s="990"/>
      <c r="H1233" s="990"/>
      <c r="I1233" s="990"/>
      <c r="J1233" s="990"/>
      <c r="K1233" s="990"/>
      <c r="L1233" s="990"/>
      <c r="M1233" s="990"/>
      <c r="N1233" s="990"/>
      <c r="O1233" s="990"/>
      <c r="P1233" s="990"/>
      <c r="Q1233" s="990"/>
      <c r="R1233" s="990"/>
      <c r="S1233" s="990"/>
      <c r="T1233" s="990"/>
      <c r="U1233" s="990"/>
      <c r="V1233" s="990"/>
      <c r="W1233" s="990"/>
      <c r="X1233" s="990"/>
    </row>
    <row r="1234" spans="1:24" s="896" customFormat="1" ht="25.5">
      <c r="A1234" s="987">
        <f t="shared" si="20"/>
        <v>1160</v>
      </c>
      <c r="B1234" s="988">
        <v>1412</v>
      </c>
      <c r="C1234" s="899" t="s">
        <v>10560</v>
      </c>
      <c r="D1234" s="988" t="s">
        <v>2666</v>
      </c>
      <c r="E1234" s="989">
        <v>15.39</v>
      </c>
      <c r="F1234" s="990"/>
      <c r="G1234" s="990"/>
      <c r="H1234" s="990"/>
      <c r="I1234" s="990"/>
      <c r="J1234" s="990"/>
      <c r="K1234" s="990"/>
      <c r="L1234" s="990"/>
      <c r="M1234" s="990"/>
      <c r="N1234" s="990"/>
      <c r="O1234" s="990"/>
      <c r="P1234" s="990"/>
      <c r="Q1234" s="990"/>
      <c r="R1234" s="990"/>
      <c r="S1234" s="990"/>
      <c r="T1234" s="990"/>
      <c r="U1234" s="990"/>
      <c r="V1234" s="990"/>
      <c r="W1234" s="990"/>
      <c r="X1234" s="990"/>
    </row>
    <row r="1235" spans="1:24" s="896" customFormat="1" ht="25.5">
      <c r="A1235" s="987">
        <f t="shared" si="20"/>
        <v>1161</v>
      </c>
      <c r="B1235" s="988">
        <v>1411</v>
      </c>
      <c r="C1235" s="899" t="s">
        <v>10561</v>
      </c>
      <c r="D1235" s="988" t="s">
        <v>2666</v>
      </c>
      <c r="E1235" s="989">
        <v>27.99</v>
      </c>
      <c r="F1235" s="990"/>
      <c r="G1235" s="990"/>
      <c r="H1235" s="990"/>
      <c r="I1235" s="990"/>
      <c r="J1235" s="990"/>
      <c r="K1235" s="990"/>
      <c r="L1235" s="990"/>
      <c r="M1235" s="990"/>
      <c r="N1235" s="990"/>
      <c r="O1235" s="990"/>
      <c r="P1235" s="990"/>
      <c r="Q1235" s="990"/>
      <c r="R1235" s="990"/>
      <c r="S1235" s="990"/>
      <c r="T1235" s="990"/>
      <c r="U1235" s="990"/>
      <c r="V1235" s="990"/>
      <c r="W1235" s="990"/>
      <c r="X1235" s="990"/>
    </row>
    <row r="1236" spans="1:24" s="896" customFormat="1" ht="25.5">
      <c r="A1236" s="987">
        <f t="shared" si="20"/>
        <v>1162</v>
      </c>
      <c r="B1236" s="988">
        <v>1406</v>
      </c>
      <c r="C1236" s="899" t="s">
        <v>10562</v>
      </c>
      <c r="D1236" s="988" t="s">
        <v>2666</v>
      </c>
      <c r="E1236" s="989">
        <v>18.559999999999999</v>
      </c>
      <c r="F1236" s="990"/>
      <c r="G1236" s="990"/>
      <c r="H1236" s="990"/>
      <c r="I1236" s="990"/>
      <c r="J1236" s="990"/>
      <c r="K1236" s="990"/>
      <c r="L1236" s="990"/>
      <c r="M1236" s="990"/>
      <c r="N1236" s="990"/>
      <c r="O1236" s="990"/>
      <c r="P1236" s="990"/>
      <c r="Q1236" s="990"/>
      <c r="R1236" s="990"/>
      <c r="S1236" s="990"/>
      <c r="T1236" s="990"/>
      <c r="U1236" s="990"/>
      <c r="V1236" s="990"/>
      <c r="W1236" s="990"/>
      <c r="X1236" s="990"/>
    </row>
    <row r="1237" spans="1:24" s="896" customFormat="1" ht="25.5">
      <c r="A1237" s="987">
        <f t="shared" si="20"/>
        <v>1163</v>
      </c>
      <c r="B1237" s="988">
        <v>1407</v>
      </c>
      <c r="C1237" s="899" t="s">
        <v>10563</v>
      </c>
      <c r="D1237" s="988" t="s">
        <v>2666</v>
      </c>
      <c r="E1237" s="989">
        <v>23.15</v>
      </c>
      <c r="F1237" s="990"/>
      <c r="G1237" s="990"/>
      <c r="H1237" s="990"/>
      <c r="I1237" s="990"/>
      <c r="J1237" s="990"/>
      <c r="K1237" s="990"/>
      <c r="L1237" s="990"/>
      <c r="M1237" s="990"/>
      <c r="N1237" s="990"/>
      <c r="O1237" s="990"/>
      <c r="P1237" s="990"/>
      <c r="Q1237" s="990"/>
      <c r="R1237" s="990"/>
      <c r="S1237" s="990"/>
      <c r="T1237" s="990"/>
      <c r="U1237" s="990"/>
      <c r="V1237" s="990"/>
      <c r="W1237" s="990"/>
      <c r="X1237" s="990"/>
    </row>
    <row r="1238" spans="1:24" s="896" customFormat="1" ht="25.5">
      <c r="A1238" s="987">
        <f t="shared" si="20"/>
        <v>1164</v>
      </c>
      <c r="B1238" s="988">
        <v>1404</v>
      </c>
      <c r="C1238" s="899" t="s">
        <v>10564</v>
      </c>
      <c r="D1238" s="988" t="s">
        <v>2666</v>
      </c>
      <c r="E1238" s="989">
        <v>24.61</v>
      </c>
      <c r="F1238" s="990"/>
      <c r="G1238" s="990"/>
      <c r="H1238" s="990"/>
      <c r="I1238" s="990"/>
      <c r="J1238" s="990"/>
      <c r="K1238" s="990"/>
      <c r="L1238" s="990"/>
      <c r="M1238" s="990"/>
      <c r="N1238" s="990"/>
      <c r="O1238" s="990"/>
      <c r="P1238" s="990"/>
      <c r="Q1238" s="990"/>
      <c r="R1238" s="990"/>
      <c r="S1238" s="990"/>
      <c r="T1238" s="990"/>
      <c r="U1238" s="990"/>
      <c r="V1238" s="990"/>
      <c r="W1238" s="990"/>
      <c r="X1238" s="990"/>
    </row>
    <row r="1239" spans="1:24" s="896" customFormat="1" ht="51">
      <c r="A1239" s="987">
        <f t="shared" si="20"/>
        <v>1165</v>
      </c>
      <c r="B1239" s="988">
        <v>11281</v>
      </c>
      <c r="C1239" s="899" t="s">
        <v>10565</v>
      </c>
      <c r="D1239" s="988" t="s">
        <v>2666</v>
      </c>
      <c r="E1239" s="989">
        <v>11599.9</v>
      </c>
      <c r="F1239" s="990"/>
      <c r="G1239" s="990"/>
      <c r="H1239" s="990"/>
      <c r="I1239" s="990"/>
      <c r="J1239" s="990"/>
      <c r="K1239" s="990"/>
      <c r="L1239" s="990"/>
      <c r="M1239" s="990"/>
      <c r="N1239" s="990"/>
      <c r="O1239" s="990"/>
      <c r="P1239" s="990"/>
      <c r="Q1239" s="990"/>
      <c r="R1239" s="990"/>
      <c r="S1239" s="990"/>
      <c r="T1239" s="990"/>
      <c r="U1239" s="990"/>
      <c r="V1239" s="990"/>
      <c r="W1239" s="990"/>
      <c r="X1239" s="990"/>
    </row>
    <row r="1240" spans="1:24" s="896" customFormat="1" ht="51">
      <c r="A1240" s="987">
        <f t="shared" si="20"/>
        <v>1166</v>
      </c>
      <c r="B1240" s="988">
        <v>1442</v>
      </c>
      <c r="C1240" s="899" t="s">
        <v>10566</v>
      </c>
      <c r="D1240" s="988" t="s">
        <v>2666</v>
      </c>
      <c r="E1240" s="989">
        <v>9738.0300000000007</v>
      </c>
      <c r="F1240" s="990"/>
      <c r="G1240" s="990"/>
      <c r="H1240" s="990"/>
      <c r="I1240" s="990"/>
      <c r="J1240" s="990"/>
      <c r="K1240" s="990"/>
      <c r="L1240" s="990"/>
      <c r="M1240" s="990"/>
      <c r="N1240" s="990"/>
      <c r="O1240" s="990"/>
      <c r="P1240" s="990"/>
      <c r="Q1240" s="990"/>
      <c r="R1240" s="990"/>
      <c r="S1240" s="990"/>
      <c r="T1240" s="990"/>
      <c r="U1240" s="990"/>
      <c r="V1240" s="990"/>
      <c r="W1240" s="990"/>
      <c r="X1240" s="990"/>
    </row>
    <row r="1241" spans="1:24" s="896" customFormat="1" ht="51">
      <c r="A1241" s="987">
        <f t="shared" si="20"/>
        <v>1167</v>
      </c>
      <c r="B1241" s="988">
        <v>13457</v>
      </c>
      <c r="C1241" s="899" t="s">
        <v>10567</v>
      </c>
      <c r="D1241" s="988" t="s">
        <v>2666</v>
      </c>
      <c r="E1241" s="989">
        <v>8405.7199999999993</v>
      </c>
      <c r="F1241" s="990"/>
      <c r="G1241" s="990"/>
      <c r="H1241" s="990"/>
      <c r="I1241" s="990"/>
      <c r="J1241" s="990"/>
      <c r="K1241" s="990"/>
      <c r="L1241" s="990"/>
      <c r="M1241" s="990"/>
      <c r="N1241" s="990"/>
      <c r="O1241" s="990"/>
      <c r="P1241" s="990"/>
      <c r="Q1241" s="990"/>
      <c r="R1241" s="990"/>
      <c r="S1241" s="990"/>
      <c r="T1241" s="990"/>
      <c r="U1241" s="990"/>
      <c r="V1241" s="990"/>
      <c r="W1241" s="990"/>
      <c r="X1241" s="990"/>
    </row>
    <row r="1242" spans="1:24" s="896" customFormat="1" ht="63.75">
      <c r="A1242" s="987">
        <f t="shared" si="20"/>
        <v>1168</v>
      </c>
      <c r="B1242" s="988">
        <v>40699</v>
      </c>
      <c r="C1242" s="899" t="s">
        <v>10568</v>
      </c>
      <c r="D1242" s="988" t="s">
        <v>2666</v>
      </c>
      <c r="E1242" s="989">
        <v>6497.94</v>
      </c>
      <c r="F1242" s="990"/>
      <c r="G1242" s="990"/>
      <c r="H1242" s="990"/>
      <c r="I1242" s="990"/>
      <c r="J1242" s="990"/>
      <c r="K1242" s="990"/>
      <c r="L1242" s="990"/>
      <c r="M1242" s="990"/>
      <c r="N1242" s="990"/>
      <c r="O1242" s="990"/>
      <c r="P1242" s="990"/>
      <c r="Q1242" s="990"/>
      <c r="R1242" s="990"/>
      <c r="S1242" s="990"/>
      <c r="T1242" s="990"/>
      <c r="U1242" s="990"/>
      <c r="V1242" s="990"/>
      <c r="W1242" s="990"/>
      <c r="X1242" s="990"/>
    </row>
    <row r="1243" spans="1:24" s="896" customFormat="1" ht="51">
      <c r="A1243" s="987">
        <f t="shared" si="20"/>
        <v>1169</v>
      </c>
      <c r="B1243" s="988">
        <v>40701</v>
      </c>
      <c r="C1243" s="899" t="s">
        <v>10569</v>
      </c>
      <c r="D1243" s="988" t="s">
        <v>2666</v>
      </c>
      <c r="E1243" s="989">
        <v>114892.54</v>
      </c>
      <c r="F1243" s="990"/>
      <c r="G1243" s="990"/>
      <c r="H1243" s="990"/>
      <c r="I1243" s="990"/>
      <c r="J1243" s="990"/>
      <c r="K1243" s="990"/>
      <c r="L1243" s="990"/>
      <c r="M1243" s="990"/>
      <c r="N1243" s="990"/>
      <c r="O1243" s="990"/>
      <c r="P1243" s="990"/>
      <c r="Q1243" s="990"/>
      <c r="R1243" s="990"/>
      <c r="S1243" s="990"/>
      <c r="T1243" s="990"/>
      <c r="U1243" s="990"/>
      <c r="V1243" s="990"/>
      <c r="W1243" s="990"/>
      <c r="X1243" s="990"/>
    </row>
    <row r="1244" spans="1:24" s="896" customFormat="1" ht="51">
      <c r="A1244" s="987">
        <f t="shared" si="20"/>
        <v>1170</v>
      </c>
      <c r="B1244" s="988">
        <v>40700</v>
      </c>
      <c r="C1244" s="899" t="s">
        <v>10570</v>
      </c>
      <c r="D1244" s="988" t="s">
        <v>2666</v>
      </c>
      <c r="E1244" s="989">
        <v>15126.36</v>
      </c>
      <c r="F1244" s="990"/>
      <c r="G1244" s="990"/>
      <c r="H1244" s="990"/>
      <c r="I1244" s="990"/>
      <c r="J1244" s="990"/>
      <c r="K1244" s="990"/>
      <c r="L1244" s="990"/>
      <c r="M1244" s="990"/>
      <c r="N1244" s="990"/>
      <c r="O1244" s="990"/>
      <c r="P1244" s="990"/>
      <c r="Q1244" s="990"/>
      <c r="R1244" s="990"/>
      <c r="S1244" s="990"/>
      <c r="T1244" s="990"/>
      <c r="U1244" s="990"/>
      <c r="V1244" s="990"/>
      <c r="W1244" s="990"/>
      <c r="X1244" s="990"/>
    </row>
    <row r="1245" spans="1:24" s="896" customFormat="1" ht="25.5">
      <c r="A1245" s="987">
        <f t="shared" si="20"/>
        <v>1171</v>
      </c>
      <c r="B1245" s="988">
        <v>13458</v>
      </c>
      <c r="C1245" s="899" t="s">
        <v>10571</v>
      </c>
      <c r="D1245" s="988" t="s">
        <v>2666</v>
      </c>
      <c r="E1245" s="989">
        <v>14373.78</v>
      </c>
      <c r="F1245" s="990"/>
      <c r="G1245" s="990"/>
      <c r="H1245" s="990"/>
      <c r="I1245" s="990"/>
      <c r="J1245" s="990"/>
      <c r="K1245" s="990"/>
      <c r="L1245" s="990"/>
      <c r="M1245" s="990"/>
      <c r="N1245" s="990"/>
      <c r="O1245" s="990"/>
      <c r="P1245" s="990"/>
      <c r="Q1245" s="990"/>
      <c r="R1245" s="990"/>
      <c r="S1245" s="990"/>
      <c r="T1245" s="990"/>
      <c r="U1245" s="990"/>
      <c r="V1245" s="990"/>
      <c r="W1245" s="990"/>
      <c r="X1245" s="990"/>
    </row>
    <row r="1246" spans="1:24" s="896" customFormat="1" ht="25.5">
      <c r="A1246" s="987">
        <f t="shared" si="20"/>
        <v>1172</v>
      </c>
      <c r="B1246" s="988">
        <v>11134</v>
      </c>
      <c r="C1246" s="899" t="s">
        <v>10572</v>
      </c>
      <c r="D1246" s="988" t="s">
        <v>2667</v>
      </c>
      <c r="E1246" s="989">
        <v>64.260000000000005</v>
      </c>
      <c r="F1246" s="990"/>
      <c r="G1246" s="990"/>
      <c r="H1246" s="990"/>
      <c r="I1246" s="990"/>
      <c r="J1246" s="990"/>
      <c r="K1246" s="990"/>
      <c r="L1246" s="990"/>
      <c r="M1246" s="990"/>
      <c r="N1246" s="990"/>
      <c r="O1246" s="990"/>
      <c r="P1246" s="990"/>
      <c r="Q1246" s="990"/>
      <c r="R1246" s="990"/>
      <c r="S1246" s="990"/>
      <c r="T1246" s="990"/>
      <c r="U1246" s="990"/>
      <c r="V1246" s="990"/>
      <c r="W1246" s="990"/>
      <c r="X1246" s="990"/>
    </row>
    <row r="1247" spans="1:24" s="896" customFormat="1" ht="25.5">
      <c r="A1247" s="987">
        <f t="shared" si="20"/>
        <v>1173</v>
      </c>
      <c r="B1247" s="988">
        <v>11135</v>
      </c>
      <c r="C1247" s="899" t="s">
        <v>10573</v>
      </c>
      <c r="D1247" s="988" t="s">
        <v>2667</v>
      </c>
      <c r="E1247" s="989">
        <v>69.38</v>
      </c>
      <c r="F1247" s="990"/>
      <c r="G1247" s="990"/>
      <c r="H1247" s="990"/>
      <c r="I1247" s="990"/>
      <c r="J1247" s="990"/>
      <c r="K1247" s="990"/>
      <c r="L1247" s="990"/>
      <c r="M1247" s="990"/>
      <c r="N1247" s="990"/>
      <c r="O1247" s="990"/>
      <c r="P1247" s="990"/>
      <c r="Q1247" s="990"/>
      <c r="R1247" s="990"/>
      <c r="S1247" s="990"/>
      <c r="T1247" s="990"/>
      <c r="U1247" s="990"/>
      <c r="V1247" s="990"/>
      <c r="W1247" s="990"/>
      <c r="X1247" s="990"/>
    </row>
    <row r="1248" spans="1:24" s="896" customFormat="1" ht="25.5">
      <c r="A1248" s="987">
        <f t="shared" si="20"/>
        <v>1174</v>
      </c>
      <c r="B1248" s="988">
        <v>11136</v>
      </c>
      <c r="C1248" s="899" t="s">
        <v>10574</v>
      </c>
      <c r="D1248" s="988" t="s">
        <v>2667</v>
      </c>
      <c r="E1248" s="989">
        <v>79.44</v>
      </c>
      <c r="F1248" s="990"/>
      <c r="G1248" s="990"/>
      <c r="H1248" s="990"/>
      <c r="I1248" s="990"/>
      <c r="J1248" s="990"/>
      <c r="K1248" s="990"/>
      <c r="L1248" s="990"/>
      <c r="M1248" s="990"/>
      <c r="N1248" s="990"/>
      <c r="O1248" s="990"/>
      <c r="P1248" s="990"/>
      <c r="Q1248" s="990"/>
      <c r="R1248" s="990"/>
      <c r="S1248" s="990"/>
      <c r="T1248" s="990"/>
      <c r="U1248" s="990"/>
      <c r="V1248" s="990"/>
      <c r="W1248" s="990"/>
      <c r="X1248" s="990"/>
    </row>
    <row r="1249" spans="1:24" s="896" customFormat="1" ht="25.5">
      <c r="A1249" s="987">
        <f t="shared" si="20"/>
        <v>1175</v>
      </c>
      <c r="B1249" s="988">
        <v>34743</v>
      </c>
      <c r="C1249" s="899" t="s">
        <v>10575</v>
      </c>
      <c r="D1249" s="988" t="s">
        <v>2667</v>
      </c>
      <c r="E1249" s="989">
        <v>95.85</v>
      </c>
      <c r="F1249" s="990"/>
      <c r="G1249" s="990"/>
      <c r="H1249" s="990"/>
      <c r="I1249" s="990"/>
      <c r="J1249" s="990"/>
      <c r="K1249" s="990"/>
      <c r="L1249" s="990"/>
      <c r="M1249" s="990"/>
      <c r="N1249" s="990"/>
      <c r="O1249" s="990"/>
      <c r="P1249" s="990"/>
      <c r="Q1249" s="990"/>
      <c r="R1249" s="990"/>
      <c r="S1249" s="990"/>
      <c r="T1249" s="990"/>
      <c r="U1249" s="990"/>
      <c r="V1249" s="990"/>
      <c r="W1249" s="990"/>
      <c r="X1249" s="990"/>
    </row>
    <row r="1250" spans="1:24" s="896" customFormat="1" ht="25.5">
      <c r="A1250" s="987">
        <f t="shared" si="20"/>
        <v>1176</v>
      </c>
      <c r="B1250" s="988">
        <v>11137</v>
      </c>
      <c r="C1250" s="899" t="s">
        <v>10576</v>
      </c>
      <c r="D1250" s="988" t="s">
        <v>2667</v>
      </c>
      <c r="E1250" s="989">
        <v>108.86</v>
      </c>
      <c r="F1250" s="990"/>
      <c r="G1250" s="990"/>
      <c r="H1250" s="990"/>
      <c r="I1250" s="990"/>
      <c r="J1250" s="990"/>
      <c r="K1250" s="990"/>
      <c r="L1250" s="990"/>
      <c r="M1250" s="990"/>
      <c r="N1250" s="990"/>
      <c r="O1250" s="990"/>
      <c r="P1250" s="990"/>
      <c r="Q1250" s="990"/>
      <c r="R1250" s="990"/>
      <c r="S1250" s="990"/>
      <c r="T1250" s="990"/>
      <c r="U1250" s="990"/>
      <c r="V1250" s="990"/>
      <c r="W1250" s="990"/>
      <c r="X1250" s="990"/>
    </row>
    <row r="1251" spans="1:24" s="896" customFormat="1" ht="25.5">
      <c r="A1251" s="987">
        <f t="shared" si="20"/>
        <v>1177</v>
      </c>
      <c r="B1251" s="988">
        <v>34745</v>
      </c>
      <c r="C1251" s="899" t="s">
        <v>10577</v>
      </c>
      <c r="D1251" s="988" t="s">
        <v>2667</v>
      </c>
      <c r="E1251" s="989">
        <v>129.46</v>
      </c>
      <c r="F1251" s="990"/>
      <c r="G1251" s="990"/>
      <c r="H1251" s="990"/>
      <c r="I1251" s="990"/>
      <c r="J1251" s="990"/>
      <c r="K1251" s="990"/>
      <c r="L1251" s="990"/>
      <c r="M1251" s="990"/>
      <c r="N1251" s="990"/>
      <c r="O1251" s="990"/>
      <c r="P1251" s="990"/>
      <c r="Q1251" s="990"/>
      <c r="R1251" s="990"/>
      <c r="S1251" s="990"/>
      <c r="T1251" s="990"/>
      <c r="U1251" s="990"/>
      <c r="V1251" s="990"/>
      <c r="W1251" s="990"/>
      <c r="X1251" s="990"/>
    </row>
    <row r="1252" spans="1:24" s="896" customFormat="1" ht="25.5">
      <c r="A1252" s="987">
        <f t="shared" si="20"/>
        <v>1178</v>
      </c>
      <c r="B1252" s="988">
        <v>34746</v>
      </c>
      <c r="C1252" s="899" t="s">
        <v>10578</v>
      </c>
      <c r="D1252" s="988" t="s">
        <v>2667</v>
      </c>
      <c r="E1252" s="989">
        <v>35.299999999999997</v>
      </c>
      <c r="F1252" s="990"/>
      <c r="G1252" s="990"/>
      <c r="H1252" s="990"/>
      <c r="I1252" s="990"/>
      <c r="J1252" s="990"/>
      <c r="K1252" s="990"/>
      <c r="L1252" s="990"/>
      <c r="M1252" s="990"/>
      <c r="N1252" s="990"/>
      <c r="O1252" s="990"/>
      <c r="P1252" s="990"/>
      <c r="Q1252" s="990"/>
      <c r="R1252" s="990"/>
      <c r="S1252" s="990"/>
      <c r="T1252" s="990"/>
      <c r="U1252" s="990"/>
      <c r="V1252" s="990"/>
      <c r="W1252" s="990"/>
      <c r="X1252" s="990"/>
    </row>
    <row r="1253" spans="1:24" s="896" customFormat="1" ht="25.5">
      <c r="A1253" s="987">
        <f t="shared" si="20"/>
        <v>1179</v>
      </c>
      <c r="B1253" s="988">
        <v>1360</v>
      </c>
      <c r="C1253" s="899" t="s">
        <v>10579</v>
      </c>
      <c r="D1253" s="988" t="s">
        <v>2667</v>
      </c>
      <c r="E1253" s="989">
        <v>41.19</v>
      </c>
      <c r="F1253" s="990"/>
      <c r="G1253" s="990"/>
      <c r="H1253" s="990"/>
      <c r="I1253" s="990"/>
      <c r="J1253" s="990"/>
      <c r="K1253" s="990"/>
      <c r="L1253" s="990"/>
      <c r="M1253" s="990"/>
      <c r="N1253" s="990"/>
      <c r="O1253" s="990"/>
      <c r="P1253" s="990"/>
      <c r="Q1253" s="990"/>
      <c r="R1253" s="990"/>
      <c r="S1253" s="990"/>
      <c r="T1253" s="990"/>
      <c r="U1253" s="990"/>
      <c r="V1253" s="990"/>
      <c r="W1253" s="990"/>
      <c r="X1253" s="990"/>
    </row>
    <row r="1254" spans="1:24" s="896" customFormat="1" ht="25.5">
      <c r="A1254" s="987">
        <f t="shared" si="20"/>
        <v>1180</v>
      </c>
      <c r="B1254" s="988">
        <v>36524</v>
      </c>
      <c r="C1254" s="899" t="s">
        <v>10580</v>
      </c>
      <c r="D1254" s="988" t="s">
        <v>2666</v>
      </c>
      <c r="E1254" s="989">
        <v>144260.79999999999</v>
      </c>
      <c r="F1254" s="990"/>
      <c r="G1254" s="990"/>
      <c r="H1254" s="990"/>
      <c r="I1254" s="990"/>
      <c r="J1254" s="990"/>
      <c r="K1254" s="990"/>
      <c r="L1254" s="990"/>
      <c r="M1254" s="990"/>
      <c r="N1254" s="990"/>
      <c r="O1254" s="990"/>
      <c r="P1254" s="990"/>
      <c r="Q1254" s="990"/>
      <c r="R1254" s="990"/>
      <c r="S1254" s="990"/>
      <c r="T1254" s="990"/>
      <c r="U1254" s="990"/>
      <c r="V1254" s="990"/>
      <c r="W1254" s="990"/>
      <c r="X1254" s="990"/>
    </row>
    <row r="1255" spans="1:24" s="896" customFormat="1" ht="25.5">
      <c r="A1255" s="987">
        <f t="shared" si="20"/>
        <v>1181</v>
      </c>
      <c r="B1255" s="988">
        <v>36526</v>
      </c>
      <c r="C1255" s="899" t="s">
        <v>10581</v>
      </c>
      <c r="D1255" s="988" t="s">
        <v>2666</v>
      </c>
      <c r="E1255" s="989">
        <v>116251.23</v>
      </c>
      <c r="F1255" s="990"/>
      <c r="G1255" s="990"/>
      <c r="H1255" s="990"/>
      <c r="I1255" s="990"/>
      <c r="J1255" s="990"/>
      <c r="K1255" s="990"/>
      <c r="L1255" s="990"/>
      <c r="M1255" s="990"/>
      <c r="N1255" s="990"/>
      <c r="O1255" s="990"/>
      <c r="P1255" s="990"/>
      <c r="Q1255" s="990"/>
      <c r="R1255" s="990"/>
      <c r="S1255" s="990"/>
      <c r="T1255" s="990"/>
      <c r="U1255" s="990"/>
      <c r="V1255" s="990"/>
      <c r="W1255" s="990"/>
      <c r="X1255" s="990"/>
    </row>
    <row r="1256" spans="1:24" s="896" customFormat="1" ht="25.5">
      <c r="A1256" s="987">
        <f t="shared" si="20"/>
        <v>1182</v>
      </c>
      <c r="B1256" s="988">
        <v>36523</v>
      </c>
      <c r="C1256" s="899" t="s">
        <v>10582</v>
      </c>
      <c r="D1256" s="988" t="s">
        <v>2666</v>
      </c>
      <c r="E1256" s="989">
        <v>248878.19</v>
      </c>
      <c r="F1256" s="990"/>
      <c r="G1256" s="990"/>
      <c r="H1256" s="990"/>
      <c r="I1256" s="990"/>
      <c r="J1256" s="990"/>
      <c r="K1256" s="990"/>
      <c r="L1256" s="990"/>
      <c r="M1256" s="990"/>
      <c r="N1256" s="990"/>
      <c r="O1256" s="990"/>
      <c r="P1256" s="990"/>
      <c r="Q1256" s="990"/>
      <c r="R1256" s="990"/>
      <c r="S1256" s="990"/>
      <c r="T1256" s="990"/>
      <c r="U1256" s="990"/>
      <c r="V1256" s="990"/>
      <c r="W1256" s="990"/>
      <c r="X1256" s="990"/>
    </row>
    <row r="1257" spans="1:24" s="896" customFormat="1" ht="25.5">
      <c r="A1257" s="987">
        <f t="shared" si="20"/>
        <v>1183</v>
      </c>
      <c r="B1257" s="988">
        <v>36527</v>
      </c>
      <c r="C1257" s="899" t="s">
        <v>10583</v>
      </c>
      <c r="D1257" s="988" t="s">
        <v>2666</v>
      </c>
      <c r="E1257" s="989">
        <v>270332.98</v>
      </c>
      <c r="F1257" s="990"/>
      <c r="G1257" s="990"/>
      <c r="H1257" s="990"/>
      <c r="I1257" s="990"/>
      <c r="J1257" s="990"/>
      <c r="K1257" s="990"/>
      <c r="L1257" s="990"/>
      <c r="M1257" s="990"/>
      <c r="N1257" s="990"/>
      <c r="O1257" s="990"/>
      <c r="P1257" s="990"/>
      <c r="Q1257" s="990"/>
      <c r="R1257" s="990"/>
      <c r="S1257" s="990"/>
      <c r="T1257" s="990"/>
      <c r="U1257" s="990"/>
      <c r="V1257" s="990"/>
      <c r="W1257" s="990"/>
      <c r="X1257" s="990"/>
    </row>
    <row r="1258" spans="1:24" s="896" customFormat="1" ht="25.5">
      <c r="A1258" s="987">
        <f t="shared" si="20"/>
        <v>1184</v>
      </c>
      <c r="B1258" s="988">
        <v>13803</v>
      </c>
      <c r="C1258" s="899" t="s">
        <v>10584</v>
      </c>
      <c r="D1258" s="988" t="s">
        <v>2666</v>
      </c>
      <c r="E1258" s="989">
        <v>97750.05</v>
      </c>
      <c r="F1258" s="990"/>
      <c r="G1258" s="990"/>
      <c r="H1258" s="990"/>
      <c r="I1258" s="990"/>
      <c r="J1258" s="990"/>
      <c r="K1258" s="990"/>
      <c r="L1258" s="990"/>
      <c r="M1258" s="990"/>
      <c r="N1258" s="990"/>
      <c r="O1258" s="990"/>
      <c r="P1258" s="990"/>
      <c r="Q1258" s="990"/>
      <c r="R1258" s="990"/>
      <c r="S1258" s="990"/>
      <c r="T1258" s="990"/>
      <c r="U1258" s="990"/>
      <c r="V1258" s="990"/>
      <c r="W1258" s="990"/>
      <c r="X1258" s="990"/>
    </row>
    <row r="1259" spans="1:24" s="896" customFormat="1" ht="25.5">
      <c r="A1259" s="987">
        <f t="shared" si="20"/>
        <v>1185</v>
      </c>
      <c r="B1259" s="988">
        <v>38642</v>
      </c>
      <c r="C1259" s="899" t="s">
        <v>10585</v>
      </c>
      <c r="D1259" s="988" t="s">
        <v>2666</v>
      </c>
      <c r="E1259" s="989">
        <v>62940.45</v>
      </c>
      <c r="F1259" s="990"/>
      <c r="G1259" s="990"/>
      <c r="H1259" s="990"/>
      <c r="I1259" s="990"/>
      <c r="J1259" s="990"/>
      <c r="K1259" s="990"/>
      <c r="L1259" s="990"/>
      <c r="M1259" s="990"/>
      <c r="N1259" s="990"/>
      <c r="O1259" s="990"/>
      <c r="P1259" s="990"/>
      <c r="Q1259" s="990"/>
      <c r="R1259" s="990"/>
      <c r="S1259" s="990"/>
      <c r="T1259" s="990"/>
      <c r="U1259" s="990"/>
      <c r="V1259" s="990"/>
      <c r="W1259" s="990"/>
      <c r="X1259" s="990"/>
    </row>
    <row r="1260" spans="1:24" s="896" customFormat="1" ht="25.5">
      <c r="A1260" s="987">
        <f t="shared" si="20"/>
        <v>1186</v>
      </c>
      <c r="B1260" s="988">
        <v>36522</v>
      </c>
      <c r="C1260" s="899" t="s">
        <v>10586</v>
      </c>
      <c r="D1260" s="988" t="s">
        <v>2666</v>
      </c>
      <c r="E1260" s="989">
        <v>73199</v>
      </c>
      <c r="F1260" s="990"/>
      <c r="G1260" s="990"/>
      <c r="H1260" s="990"/>
      <c r="I1260" s="990"/>
      <c r="J1260" s="990"/>
      <c r="K1260" s="990"/>
      <c r="L1260" s="990"/>
      <c r="M1260" s="990"/>
      <c r="N1260" s="990"/>
      <c r="O1260" s="990"/>
      <c r="P1260" s="990"/>
      <c r="Q1260" s="990"/>
      <c r="R1260" s="990"/>
      <c r="S1260" s="990"/>
      <c r="T1260" s="990"/>
      <c r="U1260" s="990"/>
      <c r="V1260" s="990"/>
      <c r="W1260" s="990"/>
      <c r="X1260" s="990"/>
    </row>
    <row r="1261" spans="1:24" s="896" customFormat="1" ht="25.5">
      <c r="A1261" s="987">
        <f t="shared" si="20"/>
        <v>1187</v>
      </c>
      <c r="B1261" s="988">
        <v>36525</v>
      </c>
      <c r="C1261" s="899" t="s">
        <v>10587</v>
      </c>
      <c r="D1261" s="988" t="s">
        <v>2666</v>
      </c>
      <c r="E1261" s="989">
        <v>98030.55</v>
      </c>
      <c r="F1261" s="990"/>
      <c r="G1261" s="990"/>
      <c r="H1261" s="990"/>
      <c r="I1261" s="990"/>
      <c r="J1261" s="990"/>
      <c r="K1261" s="990"/>
      <c r="L1261" s="990"/>
      <c r="M1261" s="990"/>
      <c r="N1261" s="990"/>
      <c r="O1261" s="990"/>
      <c r="P1261" s="990"/>
      <c r="Q1261" s="990"/>
      <c r="R1261" s="990"/>
      <c r="S1261" s="990"/>
      <c r="T1261" s="990"/>
      <c r="U1261" s="990"/>
      <c r="V1261" s="990"/>
      <c r="W1261" s="990"/>
      <c r="X1261" s="990"/>
    </row>
    <row r="1262" spans="1:24" s="896" customFormat="1" ht="25.5">
      <c r="A1262" s="987">
        <f t="shared" si="20"/>
        <v>1188</v>
      </c>
      <c r="B1262" s="988">
        <v>34348</v>
      </c>
      <c r="C1262" s="899" t="s">
        <v>10588</v>
      </c>
      <c r="D1262" s="988" t="s">
        <v>2669</v>
      </c>
      <c r="E1262" s="989">
        <v>30.01</v>
      </c>
      <c r="F1262" s="990"/>
      <c r="G1262" s="990"/>
      <c r="H1262" s="990"/>
      <c r="I1262" s="990"/>
      <c r="J1262" s="990"/>
      <c r="K1262" s="990"/>
      <c r="L1262" s="990"/>
      <c r="M1262" s="990"/>
      <c r="N1262" s="990"/>
      <c r="O1262" s="990"/>
      <c r="P1262" s="990"/>
      <c r="Q1262" s="990"/>
      <c r="R1262" s="990"/>
      <c r="S1262" s="990"/>
      <c r="T1262" s="990"/>
      <c r="U1262" s="990"/>
      <c r="V1262" s="990"/>
      <c r="W1262" s="990"/>
      <c r="X1262" s="990"/>
    </row>
    <row r="1263" spans="1:24" s="896" customFormat="1" ht="25.5">
      <c r="A1263" s="987">
        <f t="shared" si="20"/>
        <v>1189</v>
      </c>
      <c r="B1263" s="988">
        <v>34347</v>
      </c>
      <c r="C1263" s="899" t="s">
        <v>10589</v>
      </c>
      <c r="D1263" s="988" t="s">
        <v>2669</v>
      </c>
      <c r="E1263" s="989">
        <v>21.45</v>
      </c>
      <c r="F1263" s="990"/>
      <c r="G1263" s="990"/>
      <c r="H1263" s="990"/>
      <c r="I1263" s="990"/>
      <c r="J1263" s="990"/>
      <c r="K1263" s="990"/>
      <c r="L1263" s="990"/>
      <c r="M1263" s="990"/>
      <c r="N1263" s="990"/>
      <c r="O1263" s="990"/>
      <c r="P1263" s="990"/>
      <c r="Q1263" s="990"/>
      <c r="R1263" s="990"/>
      <c r="S1263" s="990"/>
      <c r="T1263" s="990"/>
      <c r="U1263" s="990"/>
      <c r="V1263" s="990"/>
      <c r="W1263" s="990"/>
      <c r="X1263" s="990"/>
    </row>
    <row r="1264" spans="1:24" s="896" customFormat="1" ht="25.5">
      <c r="A1264" s="987">
        <f t="shared" si="20"/>
        <v>1190</v>
      </c>
      <c r="B1264" s="988">
        <v>11146</v>
      </c>
      <c r="C1264" s="899" t="s">
        <v>10590</v>
      </c>
      <c r="D1264" s="988" t="s">
        <v>2668</v>
      </c>
      <c r="E1264" s="989">
        <v>433.22</v>
      </c>
      <c r="F1264" s="990"/>
      <c r="G1264" s="990"/>
      <c r="H1264" s="990"/>
      <c r="I1264" s="990"/>
      <c r="J1264" s="990"/>
      <c r="K1264" s="990"/>
      <c r="L1264" s="990"/>
      <c r="M1264" s="990"/>
      <c r="N1264" s="990"/>
      <c r="O1264" s="990"/>
      <c r="P1264" s="990"/>
      <c r="Q1264" s="990"/>
      <c r="R1264" s="990"/>
      <c r="S1264" s="990"/>
      <c r="T1264" s="990"/>
      <c r="U1264" s="990"/>
      <c r="V1264" s="990"/>
      <c r="W1264" s="990"/>
      <c r="X1264" s="990"/>
    </row>
    <row r="1265" spans="1:24" s="896" customFormat="1" ht="25.5">
      <c r="A1265" s="987">
        <f t="shared" si="20"/>
        <v>1191</v>
      </c>
      <c r="B1265" s="988">
        <v>11147</v>
      </c>
      <c r="C1265" s="899" t="s">
        <v>10591</v>
      </c>
      <c r="D1265" s="988" t="s">
        <v>2668</v>
      </c>
      <c r="E1265" s="989">
        <v>450.17</v>
      </c>
      <c r="F1265" s="990"/>
      <c r="G1265" s="990"/>
      <c r="H1265" s="990"/>
      <c r="I1265" s="990"/>
      <c r="J1265" s="990"/>
      <c r="K1265" s="990"/>
      <c r="L1265" s="990"/>
      <c r="M1265" s="990"/>
      <c r="N1265" s="990"/>
      <c r="O1265" s="990"/>
      <c r="P1265" s="990"/>
      <c r="Q1265" s="990"/>
      <c r="R1265" s="990"/>
      <c r="S1265" s="990"/>
      <c r="T1265" s="990"/>
      <c r="U1265" s="990"/>
      <c r="V1265" s="990"/>
      <c r="W1265" s="990"/>
      <c r="X1265" s="990"/>
    </row>
    <row r="1266" spans="1:24" s="896" customFormat="1" ht="25.5">
      <c r="A1266" s="987">
        <f t="shared" si="20"/>
        <v>1192</v>
      </c>
      <c r="B1266" s="988">
        <v>34872</v>
      </c>
      <c r="C1266" s="899" t="s">
        <v>10592</v>
      </c>
      <c r="D1266" s="988" t="s">
        <v>2668</v>
      </c>
      <c r="E1266" s="989">
        <v>455.23</v>
      </c>
      <c r="F1266" s="990"/>
      <c r="G1266" s="990"/>
      <c r="H1266" s="990"/>
      <c r="I1266" s="990"/>
      <c r="J1266" s="990"/>
      <c r="K1266" s="990"/>
      <c r="L1266" s="990"/>
      <c r="M1266" s="990"/>
      <c r="N1266" s="990"/>
      <c r="O1266" s="990"/>
      <c r="P1266" s="990"/>
      <c r="Q1266" s="990"/>
      <c r="R1266" s="990"/>
      <c r="S1266" s="990"/>
      <c r="T1266" s="990"/>
      <c r="U1266" s="990"/>
      <c r="V1266" s="990"/>
      <c r="W1266" s="990"/>
      <c r="X1266" s="990"/>
    </row>
    <row r="1267" spans="1:24" s="896" customFormat="1" ht="25.5">
      <c r="A1267" s="987">
        <f t="shared" si="20"/>
        <v>1193</v>
      </c>
      <c r="B1267" s="988">
        <v>34491</v>
      </c>
      <c r="C1267" s="899" t="s">
        <v>10593</v>
      </c>
      <c r="D1267" s="988" t="s">
        <v>2668</v>
      </c>
      <c r="E1267" s="989">
        <v>468.42</v>
      </c>
      <c r="F1267" s="990"/>
      <c r="G1267" s="990"/>
      <c r="H1267" s="990"/>
      <c r="I1267" s="990"/>
      <c r="J1267" s="990"/>
      <c r="K1267" s="990"/>
      <c r="L1267" s="990"/>
      <c r="M1267" s="990"/>
      <c r="N1267" s="990"/>
      <c r="O1267" s="990"/>
      <c r="P1267" s="990"/>
      <c r="Q1267" s="990"/>
      <c r="R1267" s="990"/>
      <c r="S1267" s="990"/>
      <c r="T1267" s="990"/>
      <c r="U1267" s="990"/>
      <c r="V1267" s="990"/>
      <c r="W1267" s="990"/>
      <c r="X1267" s="990"/>
    </row>
    <row r="1268" spans="1:24" s="896" customFormat="1" ht="25.5">
      <c r="A1268" s="987">
        <f t="shared" si="20"/>
        <v>1194</v>
      </c>
      <c r="B1268" s="988">
        <v>34770</v>
      </c>
      <c r="C1268" s="899" t="s">
        <v>10594</v>
      </c>
      <c r="D1268" s="988" t="s">
        <v>2676</v>
      </c>
      <c r="E1268" s="989">
        <v>480.63</v>
      </c>
      <c r="F1268" s="990"/>
      <c r="G1268" s="990"/>
      <c r="H1268" s="990"/>
      <c r="I1268" s="990"/>
      <c r="J1268" s="990"/>
      <c r="K1268" s="990"/>
      <c r="L1268" s="990"/>
      <c r="M1268" s="990"/>
      <c r="N1268" s="990"/>
      <c r="O1268" s="990"/>
      <c r="P1268" s="990"/>
      <c r="Q1268" s="990"/>
      <c r="R1268" s="990"/>
      <c r="S1268" s="990"/>
      <c r="T1268" s="990"/>
      <c r="U1268" s="990"/>
      <c r="V1268" s="990"/>
      <c r="W1268" s="990"/>
      <c r="X1268" s="990"/>
    </row>
    <row r="1269" spans="1:24" s="896" customFormat="1" ht="25.5">
      <c r="A1269" s="987">
        <f t="shared" si="20"/>
        <v>1195</v>
      </c>
      <c r="B1269" s="988">
        <v>1518</v>
      </c>
      <c r="C1269" s="899" t="s">
        <v>10595</v>
      </c>
      <c r="D1269" s="988" t="s">
        <v>2676</v>
      </c>
      <c r="E1269" s="989">
        <v>490</v>
      </c>
      <c r="F1269" s="990"/>
      <c r="G1269" s="990"/>
      <c r="H1269" s="990"/>
      <c r="I1269" s="990"/>
      <c r="J1269" s="990"/>
      <c r="K1269" s="990"/>
      <c r="L1269" s="990"/>
      <c r="M1269" s="990"/>
      <c r="N1269" s="990"/>
      <c r="O1269" s="990"/>
      <c r="P1269" s="990"/>
      <c r="Q1269" s="990"/>
      <c r="R1269" s="990"/>
      <c r="S1269" s="990"/>
      <c r="T1269" s="990"/>
      <c r="U1269" s="990"/>
      <c r="V1269" s="990"/>
      <c r="W1269" s="990"/>
      <c r="X1269" s="990"/>
    </row>
    <row r="1270" spans="1:24" s="896" customFormat="1" ht="25.5">
      <c r="A1270" s="987">
        <f t="shared" si="20"/>
        <v>1196</v>
      </c>
      <c r="B1270" s="988">
        <v>41965</v>
      </c>
      <c r="C1270" s="899" t="s">
        <v>10596</v>
      </c>
      <c r="D1270" s="988" t="s">
        <v>2676</v>
      </c>
      <c r="E1270" s="989">
        <v>429.65</v>
      </c>
      <c r="F1270" s="990"/>
      <c r="G1270" s="990"/>
      <c r="H1270" s="990"/>
      <c r="I1270" s="990"/>
      <c r="J1270" s="990"/>
      <c r="K1270" s="990"/>
      <c r="L1270" s="990"/>
      <c r="M1270" s="990"/>
      <c r="N1270" s="990"/>
      <c r="O1270" s="990"/>
      <c r="P1270" s="990"/>
      <c r="Q1270" s="990"/>
      <c r="R1270" s="990"/>
      <c r="S1270" s="990"/>
      <c r="T1270" s="990"/>
      <c r="U1270" s="990"/>
      <c r="V1270" s="990"/>
      <c r="W1270" s="990"/>
      <c r="X1270" s="990"/>
    </row>
    <row r="1271" spans="1:24" s="896" customFormat="1" ht="25.5">
      <c r="A1271" s="987">
        <f t="shared" si="20"/>
        <v>1197</v>
      </c>
      <c r="B1271" s="988">
        <v>34492</v>
      </c>
      <c r="C1271" s="899" t="s">
        <v>10597</v>
      </c>
      <c r="D1271" s="988" t="s">
        <v>2668</v>
      </c>
      <c r="E1271" s="989">
        <v>385</v>
      </c>
      <c r="F1271" s="990"/>
      <c r="G1271" s="990"/>
      <c r="H1271" s="990"/>
      <c r="I1271" s="990"/>
      <c r="J1271" s="990"/>
      <c r="K1271" s="990"/>
      <c r="L1271" s="990"/>
      <c r="M1271" s="990"/>
      <c r="N1271" s="990"/>
      <c r="O1271" s="990"/>
      <c r="P1271" s="990"/>
      <c r="Q1271" s="990"/>
      <c r="R1271" s="990"/>
      <c r="S1271" s="990"/>
      <c r="T1271" s="990"/>
      <c r="U1271" s="990"/>
      <c r="V1271" s="990"/>
      <c r="W1271" s="990"/>
      <c r="X1271" s="990"/>
    </row>
    <row r="1272" spans="1:24" s="896" customFormat="1" ht="25.5">
      <c r="A1272" s="987">
        <f t="shared" si="20"/>
        <v>1198</v>
      </c>
      <c r="B1272" s="988">
        <v>1524</v>
      </c>
      <c r="C1272" s="899" t="s">
        <v>10598</v>
      </c>
      <c r="D1272" s="988" t="s">
        <v>2668</v>
      </c>
      <c r="E1272" s="989">
        <v>415.64</v>
      </c>
      <c r="F1272" s="990"/>
      <c r="G1272" s="990"/>
      <c r="H1272" s="990"/>
      <c r="I1272" s="990"/>
      <c r="J1272" s="990"/>
      <c r="K1272" s="990"/>
      <c r="L1272" s="990"/>
      <c r="M1272" s="990"/>
      <c r="N1272" s="990"/>
      <c r="O1272" s="990"/>
      <c r="P1272" s="990"/>
      <c r="Q1272" s="990"/>
      <c r="R1272" s="990"/>
      <c r="S1272" s="990"/>
      <c r="T1272" s="990"/>
      <c r="U1272" s="990"/>
      <c r="V1272" s="990"/>
      <c r="W1272" s="990"/>
      <c r="X1272" s="990"/>
    </row>
    <row r="1273" spans="1:24" s="896" customFormat="1" ht="25.5">
      <c r="A1273" s="987">
        <f t="shared" si="20"/>
        <v>1199</v>
      </c>
      <c r="B1273" s="988">
        <v>38404</v>
      </c>
      <c r="C1273" s="899" t="s">
        <v>10599</v>
      </c>
      <c r="D1273" s="988" t="s">
        <v>2668</v>
      </c>
      <c r="E1273" s="989">
        <v>398.78</v>
      </c>
      <c r="F1273" s="990"/>
      <c r="G1273" s="990"/>
      <c r="H1273" s="990"/>
      <c r="I1273" s="990"/>
      <c r="J1273" s="990"/>
      <c r="K1273" s="990"/>
      <c r="L1273" s="990"/>
      <c r="M1273" s="990"/>
      <c r="N1273" s="990"/>
      <c r="O1273" s="990"/>
      <c r="P1273" s="990"/>
      <c r="Q1273" s="990"/>
      <c r="R1273" s="990"/>
      <c r="S1273" s="990"/>
      <c r="T1273" s="990"/>
      <c r="U1273" s="990"/>
      <c r="V1273" s="990"/>
      <c r="W1273" s="990"/>
      <c r="X1273" s="990"/>
    </row>
    <row r="1274" spans="1:24" s="896" customFormat="1" ht="25.5">
      <c r="A1274" s="987">
        <f t="shared" si="20"/>
        <v>1200</v>
      </c>
      <c r="B1274" s="988">
        <v>39849</v>
      </c>
      <c r="C1274" s="899" t="s">
        <v>10600</v>
      </c>
      <c r="D1274" s="988" t="s">
        <v>2668</v>
      </c>
      <c r="E1274" s="989">
        <v>457.01</v>
      </c>
      <c r="F1274" s="990"/>
      <c r="G1274" s="990"/>
      <c r="H1274" s="990"/>
      <c r="I1274" s="990"/>
      <c r="J1274" s="990"/>
      <c r="K1274" s="990"/>
      <c r="L1274" s="990"/>
      <c r="M1274" s="990"/>
      <c r="N1274" s="990"/>
      <c r="O1274" s="990"/>
      <c r="P1274" s="990"/>
      <c r="Q1274" s="990"/>
      <c r="R1274" s="990"/>
      <c r="S1274" s="990"/>
      <c r="T1274" s="990"/>
      <c r="U1274" s="990"/>
      <c r="V1274" s="990"/>
      <c r="W1274" s="990"/>
      <c r="X1274" s="990"/>
    </row>
    <row r="1275" spans="1:24" s="896" customFormat="1" ht="25.5">
      <c r="A1275" s="987">
        <f t="shared" si="20"/>
        <v>1201</v>
      </c>
      <c r="B1275" s="988">
        <v>38464</v>
      </c>
      <c r="C1275" s="899" t="s">
        <v>10601</v>
      </c>
      <c r="D1275" s="988" t="s">
        <v>2668</v>
      </c>
      <c r="E1275" s="989">
        <v>463.64</v>
      </c>
      <c r="F1275" s="990"/>
      <c r="G1275" s="990"/>
      <c r="H1275" s="990"/>
      <c r="I1275" s="990"/>
      <c r="J1275" s="990"/>
      <c r="K1275" s="990"/>
      <c r="L1275" s="990"/>
      <c r="M1275" s="990"/>
      <c r="N1275" s="990"/>
      <c r="O1275" s="990"/>
      <c r="P1275" s="990"/>
      <c r="Q1275" s="990"/>
      <c r="R1275" s="990"/>
      <c r="S1275" s="990"/>
      <c r="T1275" s="990"/>
      <c r="U1275" s="990"/>
      <c r="V1275" s="990"/>
      <c r="W1275" s="990"/>
      <c r="X1275" s="990"/>
    </row>
    <row r="1276" spans="1:24" s="896" customFormat="1" ht="25.5">
      <c r="A1276" s="987">
        <f t="shared" si="20"/>
        <v>1202</v>
      </c>
      <c r="B1276" s="988">
        <v>34493</v>
      </c>
      <c r="C1276" s="899" t="s">
        <v>10602</v>
      </c>
      <c r="D1276" s="988" t="s">
        <v>2668</v>
      </c>
      <c r="E1276" s="989">
        <v>395.85</v>
      </c>
      <c r="F1276" s="990"/>
      <c r="G1276" s="990"/>
      <c r="H1276" s="990"/>
      <c r="I1276" s="990"/>
      <c r="J1276" s="990"/>
      <c r="K1276" s="990"/>
      <c r="L1276" s="990"/>
      <c r="M1276" s="990"/>
      <c r="N1276" s="990"/>
      <c r="O1276" s="990"/>
      <c r="P1276" s="990"/>
      <c r="Q1276" s="990"/>
      <c r="R1276" s="990"/>
      <c r="S1276" s="990"/>
      <c r="T1276" s="990"/>
      <c r="U1276" s="990"/>
      <c r="V1276" s="990"/>
      <c r="W1276" s="990"/>
      <c r="X1276" s="990"/>
    </row>
    <row r="1277" spans="1:24" s="896" customFormat="1" ht="25.5">
      <c r="A1277" s="987">
        <f t="shared" si="20"/>
        <v>1203</v>
      </c>
      <c r="B1277" s="988">
        <v>1527</v>
      </c>
      <c r="C1277" s="899" t="s">
        <v>10603</v>
      </c>
      <c r="D1277" s="988" t="s">
        <v>2668</v>
      </c>
      <c r="E1277" s="989">
        <v>428.84</v>
      </c>
      <c r="F1277" s="990"/>
      <c r="G1277" s="990"/>
      <c r="H1277" s="990"/>
      <c r="I1277" s="990"/>
      <c r="J1277" s="990"/>
      <c r="K1277" s="990"/>
      <c r="L1277" s="990"/>
      <c r="M1277" s="990"/>
      <c r="N1277" s="990"/>
      <c r="O1277" s="990"/>
      <c r="P1277" s="990"/>
      <c r="Q1277" s="990"/>
      <c r="R1277" s="990"/>
      <c r="S1277" s="990"/>
      <c r="T1277" s="990"/>
      <c r="U1277" s="990"/>
      <c r="V1277" s="990"/>
      <c r="W1277" s="990"/>
      <c r="X1277" s="990"/>
    </row>
    <row r="1278" spans="1:24" s="896" customFormat="1" ht="25.5">
      <c r="A1278" s="987">
        <f t="shared" si="20"/>
        <v>1204</v>
      </c>
      <c r="B1278" s="988">
        <v>38405</v>
      </c>
      <c r="C1278" s="899" t="s">
        <v>10604</v>
      </c>
      <c r="D1278" s="988" t="s">
        <v>2668</v>
      </c>
      <c r="E1278" s="989">
        <v>411.08</v>
      </c>
      <c r="F1278" s="990"/>
      <c r="G1278" s="990"/>
      <c r="H1278" s="990"/>
      <c r="I1278" s="990"/>
      <c r="J1278" s="990"/>
      <c r="K1278" s="990"/>
      <c r="L1278" s="990"/>
      <c r="M1278" s="990"/>
      <c r="N1278" s="990"/>
      <c r="O1278" s="990"/>
      <c r="P1278" s="990"/>
      <c r="Q1278" s="990"/>
      <c r="R1278" s="990"/>
      <c r="S1278" s="990"/>
      <c r="T1278" s="990"/>
      <c r="U1278" s="990"/>
      <c r="V1278" s="990"/>
      <c r="W1278" s="990"/>
      <c r="X1278" s="990"/>
    </row>
    <row r="1279" spans="1:24" s="896" customFormat="1" ht="25.5">
      <c r="A1279" s="987">
        <f t="shared" si="20"/>
        <v>1205</v>
      </c>
      <c r="B1279" s="988">
        <v>38408</v>
      </c>
      <c r="C1279" s="899" t="s">
        <v>10605</v>
      </c>
      <c r="D1279" s="988" t="s">
        <v>2668</v>
      </c>
      <c r="E1279" s="989">
        <v>455.03</v>
      </c>
      <c r="F1279" s="990"/>
      <c r="G1279" s="990"/>
      <c r="H1279" s="990"/>
      <c r="I1279" s="990"/>
      <c r="J1279" s="990"/>
      <c r="K1279" s="990"/>
      <c r="L1279" s="990"/>
      <c r="M1279" s="990"/>
      <c r="N1279" s="990"/>
      <c r="O1279" s="990"/>
      <c r="P1279" s="990"/>
      <c r="Q1279" s="990"/>
      <c r="R1279" s="990"/>
      <c r="S1279" s="990"/>
      <c r="T1279" s="990"/>
      <c r="U1279" s="990"/>
      <c r="V1279" s="990"/>
      <c r="W1279" s="990"/>
      <c r="X1279" s="990"/>
    </row>
    <row r="1280" spans="1:24" s="896" customFormat="1" ht="25.5">
      <c r="A1280" s="987">
        <f t="shared" si="20"/>
        <v>1206</v>
      </c>
      <c r="B1280" s="988">
        <v>34494</v>
      </c>
      <c r="C1280" s="899" t="s">
        <v>10606</v>
      </c>
      <c r="D1280" s="988" t="s">
        <v>2668</v>
      </c>
      <c r="E1280" s="989">
        <v>409.04</v>
      </c>
      <c r="F1280" s="990"/>
      <c r="G1280" s="990"/>
      <c r="H1280" s="990"/>
      <c r="I1280" s="990"/>
      <c r="J1280" s="990"/>
      <c r="K1280" s="990"/>
      <c r="L1280" s="990"/>
      <c r="M1280" s="990"/>
      <c r="N1280" s="990"/>
      <c r="O1280" s="990"/>
      <c r="P1280" s="990"/>
      <c r="Q1280" s="990"/>
      <c r="R1280" s="990"/>
      <c r="S1280" s="990"/>
      <c r="T1280" s="990"/>
      <c r="U1280" s="990"/>
      <c r="V1280" s="990"/>
      <c r="W1280" s="990"/>
      <c r="X1280" s="990"/>
    </row>
    <row r="1281" spans="1:24" s="896" customFormat="1" ht="25.5">
      <c r="A1281" s="987">
        <f t="shared" si="20"/>
        <v>1207</v>
      </c>
      <c r="B1281" s="988">
        <v>1525</v>
      </c>
      <c r="C1281" s="899" t="s">
        <v>10607</v>
      </c>
      <c r="D1281" s="988" t="s">
        <v>2668</v>
      </c>
      <c r="E1281" s="989">
        <v>442.03</v>
      </c>
      <c r="F1281" s="990"/>
      <c r="G1281" s="990"/>
      <c r="H1281" s="990"/>
      <c r="I1281" s="990"/>
      <c r="J1281" s="990"/>
      <c r="K1281" s="990"/>
      <c r="L1281" s="990"/>
      <c r="M1281" s="990"/>
      <c r="N1281" s="990"/>
      <c r="O1281" s="990"/>
      <c r="P1281" s="990"/>
      <c r="Q1281" s="990"/>
      <c r="R1281" s="990"/>
      <c r="S1281" s="990"/>
      <c r="T1281" s="990"/>
      <c r="U1281" s="990"/>
      <c r="V1281" s="990"/>
      <c r="W1281" s="990"/>
      <c r="X1281" s="990"/>
    </row>
    <row r="1282" spans="1:24" s="896" customFormat="1" ht="25.5">
      <c r="A1282" s="987">
        <f t="shared" si="20"/>
        <v>1208</v>
      </c>
      <c r="B1282" s="988">
        <v>38406</v>
      </c>
      <c r="C1282" s="899" t="s">
        <v>10608</v>
      </c>
      <c r="D1282" s="988" t="s">
        <v>2668</v>
      </c>
      <c r="E1282" s="989">
        <v>434.07</v>
      </c>
      <c r="F1282" s="990"/>
      <c r="G1282" s="990"/>
      <c r="H1282" s="990"/>
      <c r="I1282" s="990"/>
      <c r="J1282" s="990"/>
      <c r="K1282" s="990"/>
      <c r="L1282" s="990"/>
      <c r="M1282" s="990"/>
      <c r="N1282" s="990"/>
      <c r="O1282" s="990"/>
      <c r="P1282" s="990"/>
      <c r="Q1282" s="990"/>
      <c r="R1282" s="990"/>
      <c r="S1282" s="990"/>
      <c r="T1282" s="990"/>
      <c r="U1282" s="990"/>
      <c r="V1282" s="990"/>
      <c r="W1282" s="990"/>
      <c r="X1282" s="990"/>
    </row>
    <row r="1283" spans="1:24" s="896" customFormat="1" ht="25.5">
      <c r="A1283" s="987">
        <f t="shared" si="20"/>
        <v>1209</v>
      </c>
      <c r="B1283" s="988">
        <v>38409</v>
      </c>
      <c r="C1283" s="899" t="s">
        <v>10609</v>
      </c>
      <c r="D1283" s="988" t="s">
        <v>2668</v>
      </c>
      <c r="E1283" s="989">
        <v>458.13</v>
      </c>
      <c r="F1283" s="990"/>
      <c r="G1283" s="990"/>
      <c r="H1283" s="990"/>
      <c r="I1283" s="990"/>
      <c r="J1283" s="990"/>
      <c r="K1283" s="990"/>
      <c r="L1283" s="990"/>
      <c r="M1283" s="990"/>
      <c r="N1283" s="990"/>
      <c r="O1283" s="990"/>
      <c r="P1283" s="990"/>
      <c r="Q1283" s="990"/>
      <c r="R1283" s="990"/>
      <c r="S1283" s="990"/>
      <c r="T1283" s="990"/>
      <c r="U1283" s="990"/>
      <c r="V1283" s="990"/>
      <c r="W1283" s="990"/>
      <c r="X1283" s="990"/>
    </row>
    <row r="1284" spans="1:24" s="896" customFormat="1" ht="25.5">
      <c r="A1284" s="987">
        <f t="shared" si="20"/>
        <v>1210</v>
      </c>
      <c r="B1284" s="988">
        <v>43360</v>
      </c>
      <c r="C1284" s="899" t="s">
        <v>10610</v>
      </c>
      <c r="D1284" s="988" t="s">
        <v>2668</v>
      </c>
      <c r="E1284" s="989">
        <v>477.7</v>
      </c>
      <c r="F1284" s="990"/>
      <c r="G1284" s="990"/>
      <c r="H1284" s="990"/>
      <c r="I1284" s="990"/>
      <c r="J1284" s="990"/>
      <c r="K1284" s="990"/>
      <c r="L1284" s="990"/>
      <c r="M1284" s="990"/>
      <c r="N1284" s="990"/>
      <c r="O1284" s="990"/>
      <c r="P1284" s="990"/>
      <c r="Q1284" s="990"/>
      <c r="R1284" s="990"/>
      <c r="S1284" s="990"/>
      <c r="T1284" s="990"/>
      <c r="U1284" s="990"/>
      <c r="V1284" s="990"/>
      <c r="W1284" s="990"/>
      <c r="X1284" s="990"/>
    </row>
    <row r="1285" spans="1:24" s="896" customFormat="1" ht="25.5">
      <c r="A1285" s="987">
        <f t="shared" si="20"/>
        <v>1211</v>
      </c>
      <c r="B1285" s="988">
        <v>34495</v>
      </c>
      <c r="C1285" s="899" t="s">
        <v>10611</v>
      </c>
      <c r="D1285" s="988" t="s">
        <v>2668</v>
      </c>
      <c r="E1285" s="989">
        <v>422.24</v>
      </c>
      <c r="F1285" s="990"/>
      <c r="G1285" s="990"/>
      <c r="H1285" s="990"/>
      <c r="I1285" s="990"/>
      <c r="J1285" s="990"/>
      <c r="K1285" s="990"/>
      <c r="L1285" s="990"/>
      <c r="M1285" s="990"/>
      <c r="N1285" s="990"/>
      <c r="O1285" s="990"/>
      <c r="P1285" s="990"/>
      <c r="Q1285" s="990"/>
      <c r="R1285" s="990"/>
      <c r="S1285" s="990"/>
      <c r="T1285" s="990"/>
      <c r="U1285" s="990"/>
      <c r="V1285" s="990"/>
      <c r="W1285" s="990"/>
      <c r="X1285" s="990"/>
    </row>
    <row r="1286" spans="1:24" s="896" customFormat="1" ht="25.5">
      <c r="A1286" s="987">
        <f t="shared" si="20"/>
        <v>1212</v>
      </c>
      <c r="B1286" s="988">
        <v>11145</v>
      </c>
      <c r="C1286" s="899" t="s">
        <v>10612</v>
      </c>
      <c r="D1286" s="988" t="s">
        <v>2668</v>
      </c>
      <c r="E1286" s="989">
        <v>455.23</v>
      </c>
      <c r="F1286" s="990"/>
      <c r="G1286" s="990"/>
      <c r="H1286" s="990"/>
      <c r="I1286" s="990"/>
      <c r="J1286" s="990"/>
      <c r="K1286" s="990"/>
      <c r="L1286" s="990"/>
      <c r="M1286" s="990"/>
      <c r="N1286" s="990"/>
      <c r="O1286" s="990"/>
      <c r="P1286" s="990"/>
      <c r="Q1286" s="990"/>
      <c r="R1286" s="990"/>
      <c r="S1286" s="990"/>
      <c r="T1286" s="990"/>
      <c r="U1286" s="990"/>
      <c r="V1286" s="990"/>
      <c r="W1286" s="990"/>
      <c r="X1286" s="990"/>
    </row>
    <row r="1287" spans="1:24" s="896" customFormat="1" ht="25.5">
      <c r="A1287" s="987">
        <f t="shared" si="20"/>
        <v>1213</v>
      </c>
      <c r="B1287" s="988">
        <v>34496</v>
      </c>
      <c r="C1287" s="899" t="s">
        <v>10613</v>
      </c>
      <c r="D1287" s="988" t="s">
        <v>2668</v>
      </c>
      <c r="E1287" s="989">
        <v>440.47</v>
      </c>
      <c r="F1287" s="990"/>
      <c r="G1287" s="990"/>
      <c r="H1287" s="990"/>
      <c r="I1287" s="990"/>
      <c r="J1287" s="990"/>
      <c r="K1287" s="990"/>
      <c r="L1287" s="990"/>
      <c r="M1287" s="990"/>
      <c r="N1287" s="990"/>
      <c r="O1287" s="990"/>
      <c r="P1287" s="990"/>
      <c r="Q1287" s="990"/>
      <c r="R1287" s="990"/>
      <c r="S1287" s="990"/>
      <c r="T1287" s="990"/>
      <c r="U1287" s="990"/>
      <c r="V1287" s="990"/>
      <c r="W1287" s="990"/>
      <c r="X1287" s="990"/>
    </row>
    <row r="1288" spans="1:24" s="896" customFormat="1" ht="25.5">
      <c r="A1288" s="987">
        <f t="shared" si="20"/>
        <v>1214</v>
      </c>
      <c r="B1288" s="988">
        <v>34479</v>
      </c>
      <c r="C1288" s="899" t="s">
        <v>10614</v>
      </c>
      <c r="D1288" s="988" t="s">
        <v>2668</v>
      </c>
      <c r="E1288" s="989">
        <v>468.42</v>
      </c>
      <c r="F1288" s="990"/>
      <c r="G1288" s="990"/>
      <c r="H1288" s="990"/>
      <c r="I1288" s="990"/>
      <c r="J1288" s="990"/>
      <c r="K1288" s="990"/>
      <c r="L1288" s="990"/>
      <c r="M1288" s="990"/>
      <c r="N1288" s="990"/>
      <c r="O1288" s="990"/>
      <c r="P1288" s="990"/>
      <c r="Q1288" s="990"/>
      <c r="R1288" s="990"/>
      <c r="S1288" s="990"/>
      <c r="T1288" s="990"/>
      <c r="U1288" s="990"/>
      <c r="V1288" s="990"/>
      <c r="W1288" s="990"/>
      <c r="X1288" s="990"/>
    </row>
    <row r="1289" spans="1:24" s="896" customFormat="1" ht="25.5">
      <c r="A1289" s="987">
        <f t="shared" si="20"/>
        <v>1215</v>
      </c>
      <c r="B1289" s="988">
        <v>34481</v>
      </c>
      <c r="C1289" s="899" t="s">
        <v>10615</v>
      </c>
      <c r="D1289" s="988" t="s">
        <v>2668</v>
      </c>
      <c r="E1289" s="989">
        <v>489.44</v>
      </c>
      <c r="F1289" s="990"/>
      <c r="G1289" s="990"/>
      <c r="H1289" s="990"/>
      <c r="I1289" s="990"/>
      <c r="J1289" s="990"/>
      <c r="K1289" s="990"/>
      <c r="L1289" s="990"/>
      <c r="M1289" s="990"/>
      <c r="N1289" s="990"/>
      <c r="O1289" s="990"/>
      <c r="P1289" s="990"/>
      <c r="Q1289" s="990"/>
      <c r="R1289" s="990"/>
      <c r="S1289" s="990"/>
      <c r="T1289" s="990"/>
      <c r="U1289" s="990"/>
      <c r="V1289" s="990"/>
      <c r="W1289" s="990"/>
      <c r="X1289" s="990"/>
    </row>
    <row r="1290" spans="1:24" s="896" customFormat="1" ht="25.5">
      <c r="A1290" s="987">
        <f t="shared" si="20"/>
        <v>1216</v>
      </c>
      <c r="B1290" s="988">
        <v>34483</v>
      </c>
      <c r="C1290" s="899" t="s">
        <v>10616</v>
      </c>
      <c r="D1290" s="988" t="s">
        <v>2668</v>
      </c>
      <c r="E1290" s="989">
        <v>522.94000000000005</v>
      </c>
      <c r="F1290" s="990"/>
      <c r="G1290" s="990"/>
      <c r="H1290" s="990"/>
      <c r="I1290" s="990"/>
      <c r="J1290" s="990"/>
      <c r="K1290" s="990"/>
      <c r="L1290" s="990"/>
      <c r="M1290" s="990"/>
      <c r="N1290" s="990"/>
      <c r="O1290" s="990"/>
      <c r="P1290" s="990"/>
      <c r="Q1290" s="990"/>
      <c r="R1290" s="990"/>
      <c r="S1290" s="990"/>
      <c r="T1290" s="990"/>
      <c r="U1290" s="990"/>
      <c r="V1290" s="990"/>
      <c r="W1290" s="990"/>
      <c r="X1290" s="990"/>
    </row>
    <row r="1291" spans="1:24" s="896" customFormat="1" ht="25.5">
      <c r="A1291" s="987">
        <f t="shared" si="20"/>
        <v>1217</v>
      </c>
      <c r="B1291" s="988">
        <v>34485</v>
      </c>
      <c r="C1291" s="899" t="s">
        <v>10617</v>
      </c>
      <c r="D1291" s="988" t="s">
        <v>2668</v>
      </c>
      <c r="E1291" s="989">
        <v>559.22</v>
      </c>
      <c r="F1291" s="990"/>
      <c r="G1291" s="990"/>
      <c r="H1291" s="990"/>
      <c r="I1291" s="990"/>
      <c r="J1291" s="990"/>
      <c r="K1291" s="990"/>
      <c r="L1291" s="990"/>
      <c r="M1291" s="990"/>
      <c r="N1291" s="990"/>
      <c r="O1291" s="990"/>
      <c r="P1291" s="990"/>
      <c r="Q1291" s="990"/>
      <c r="R1291" s="990"/>
      <c r="S1291" s="990"/>
      <c r="T1291" s="990"/>
      <c r="U1291" s="990"/>
      <c r="V1291" s="990"/>
      <c r="W1291" s="990"/>
      <c r="X1291" s="990"/>
    </row>
    <row r="1292" spans="1:24" s="896" customFormat="1" ht="25.5">
      <c r="A1292" s="987">
        <f t="shared" ref="A1292:A1355" si="21">A1291+1</f>
        <v>1218</v>
      </c>
      <c r="B1292" s="988">
        <v>14041</v>
      </c>
      <c r="C1292" s="899" t="s">
        <v>10618</v>
      </c>
      <c r="D1292" s="988" t="s">
        <v>2668</v>
      </c>
      <c r="E1292" s="989">
        <v>363.52</v>
      </c>
      <c r="F1292" s="990"/>
      <c r="G1292" s="990"/>
      <c r="H1292" s="990"/>
      <c r="I1292" s="990"/>
      <c r="J1292" s="990"/>
      <c r="K1292" s="990"/>
      <c r="L1292" s="990"/>
      <c r="M1292" s="990"/>
      <c r="N1292" s="990"/>
      <c r="O1292" s="990"/>
      <c r="P1292" s="990"/>
      <c r="Q1292" s="990"/>
      <c r="R1292" s="990"/>
      <c r="S1292" s="990"/>
      <c r="T1292" s="990"/>
      <c r="U1292" s="990"/>
      <c r="V1292" s="990"/>
      <c r="W1292" s="990"/>
      <c r="X1292" s="990"/>
    </row>
    <row r="1293" spans="1:24" s="896" customFormat="1" ht="25.5">
      <c r="A1293" s="987">
        <f t="shared" si="21"/>
        <v>1219</v>
      </c>
      <c r="B1293" s="988">
        <v>1523</v>
      </c>
      <c r="C1293" s="899" t="s">
        <v>10619</v>
      </c>
      <c r="D1293" s="988" t="s">
        <v>2668</v>
      </c>
      <c r="E1293" s="989">
        <v>369.46</v>
      </c>
      <c r="F1293" s="990"/>
      <c r="G1293" s="990"/>
      <c r="H1293" s="990"/>
      <c r="I1293" s="990"/>
      <c r="J1293" s="990"/>
      <c r="K1293" s="990"/>
      <c r="L1293" s="990"/>
      <c r="M1293" s="990"/>
      <c r="N1293" s="990"/>
      <c r="O1293" s="990"/>
      <c r="P1293" s="990"/>
      <c r="Q1293" s="990"/>
      <c r="R1293" s="990"/>
      <c r="S1293" s="990"/>
      <c r="T1293" s="990"/>
      <c r="U1293" s="990"/>
      <c r="V1293" s="990"/>
      <c r="W1293" s="990"/>
      <c r="X1293" s="990"/>
    </row>
    <row r="1294" spans="1:24" s="896" customFormat="1">
      <c r="A1294" s="987">
        <f t="shared" si="21"/>
        <v>1220</v>
      </c>
      <c r="B1294" s="988">
        <v>14052</v>
      </c>
      <c r="C1294" s="899" t="s">
        <v>10620</v>
      </c>
      <c r="D1294" s="988" t="s">
        <v>2666</v>
      </c>
      <c r="E1294" s="989">
        <v>12.82</v>
      </c>
      <c r="F1294" s="990"/>
      <c r="G1294" s="990"/>
      <c r="H1294" s="990"/>
      <c r="I1294" s="990"/>
      <c r="J1294" s="990"/>
      <c r="K1294" s="990"/>
      <c r="L1294" s="990"/>
      <c r="M1294" s="990"/>
      <c r="N1294" s="990"/>
      <c r="O1294" s="990"/>
      <c r="P1294" s="990"/>
      <c r="Q1294" s="990"/>
      <c r="R1294" s="990"/>
      <c r="S1294" s="990"/>
      <c r="T1294" s="990"/>
      <c r="U1294" s="990"/>
      <c r="V1294" s="990"/>
      <c r="W1294" s="990"/>
      <c r="X1294" s="990"/>
    </row>
    <row r="1295" spans="1:24" s="896" customFormat="1">
      <c r="A1295" s="987">
        <f t="shared" si="21"/>
        <v>1221</v>
      </c>
      <c r="B1295" s="988">
        <v>14054</v>
      </c>
      <c r="C1295" s="899" t="s">
        <v>10621</v>
      </c>
      <c r="D1295" s="988" t="s">
        <v>2666</v>
      </c>
      <c r="E1295" s="989">
        <v>16.66</v>
      </c>
      <c r="F1295" s="990"/>
      <c r="G1295" s="990"/>
      <c r="H1295" s="990"/>
      <c r="I1295" s="990"/>
      <c r="J1295" s="990"/>
      <c r="K1295" s="990"/>
      <c r="L1295" s="990"/>
      <c r="M1295" s="990"/>
      <c r="N1295" s="990"/>
      <c r="O1295" s="990"/>
      <c r="P1295" s="990"/>
      <c r="Q1295" s="990"/>
      <c r="R1295" s="990"/>
      <c r="S1295" s="990"/>
      <c r="T1295" s="990"/>
      <c r="U1295" s="990"/>
      <c r="V1295" s="990"/>
      <c r="W1295" s="990"/>
      <c r="X1295" s="990"/>
    </row>
    <row r="1296" spans="1:24" s="896" customFormat="1">
      <c r="A1296" s="987">
        <f t="shared" si="21"/>
        <v>1222</v>
      </c>
      <c r="B1296" s="988">
        <v>14053</v>
      </c>
      <c r="C1296" s="899" t="s">
        <v>10622</v>
      </c>
      <c r="D1296" s="988" t="s">
        <v>2666</v>
      </c>
      <c r="E1296" s="989">
        <v>13.01</v>
      </c>
      <c r="F1296" s="990"/>
      <c r="G1296" s="990"/>
      <c r="H1296" s="990"/>
      <c r="I1296" s="990"/>
      <c r="J1296" s="990"/>
      <c r="K1296" s="990"/>
      <c r="L1296" s="990"/>
      <c r="M1296" s="990"/>
      <c r="N1296" s="990"/>
      <c r="O1296" s="990"/>
      <c r="P1296" s="990"/>
      <c r="Q1296" s="990"/>
      <c r="R1296" s="990"/>
      <c r="S1296" s="990"/>
      <c r="T1296" s="990"/>
      <c r="U1296" s="990"/>
      <c r="V1296" s="990"/>
      <c r="W1296" s="990"/>
      <c r="X1296" s="990"/>
    </row>
    <row r="1297" spans="1:24" s="896" customFormat="1">
      <c r="A1297" s="987">
        <f t="shared" si="21"/>
        <v>1223</v>
      </c>
      <c r="B1297" s="988">
        <v>2558</v>
      </c>
      <c r="C1297" s="899" t="s">
        <v>10623</v>
      </c>
      <c r="D1297" s="988" t="s">
        <v>2666</v>
      </c>
      <c r="E1297" s="989">
        <v>9.8000000000000007</v>
      </c>
      <c r="F1297" s="990"/>
      <c r="G1297" s="990"/>
      <c r="H1297" s="990"/>
      <c r="I1297" s="990"/>
      <c r="J1297" s="990"/>
      <c r="K1297" s="990"/>
      <c r="L1297" s="990"/>
      <c r="M1297" s="990"/>
      <c r="N1297" s="990"/>
      <c r="O1297" s="990"/>
      <c r="P1297" s="990"/>
      <c r="Q1297" s="990"/>
      <c r="R1297" s="990"/>
      <c r="S1297" s="990"/>
      <c r="T1297" s="990"/>
      <c r="U1297" s="990"/>
      <c r="V1297" s="990"/>
      <c r="W1297" s="990"/>
      <c r="X1297" s="990"/>
    </row>
    <row r="1298" spans="1:24" s="896" customFormat="1">
      <c r="A1298" s="987">
        <f t="shared" si="21"/>
        <v>1224</v>
      </c>
      <c r="B1298" s="988">
        <v>2560</v>
      </c>
      <c r="C1298" s="899" t="s">
        <v>10624</v>
      </c>
      <c r="D1298" s="988" t="s">
        <v>2666</v>
      </c>
      <c r="E1298" s="989">
        <v>17.239999999999998</v>
      </c>
      <c r="F1298" s="990"/>
      <c r="G1298" s="990"/>
      <c r="H1298" s="990"/>
      <c r="I1298" s="990"/>
      <c r="J1298" s="990"/>
      <c r="K1298" s="990"/>
      <c r="L1298" s="990"/>
      <c r="M1298" s="990"/>
      <c r="N1298" s="990"/>
      <c r="O1298" s="990"/>
      <c r="P1298" s="990"/>
      <c r="Q1298" s="990"/>
      <c r="R1298" s="990"/>
      <c r="S1298" s="990"/>
      <c r="T1298" s="990"/>
      <c r="U1298" s="990"/>
      <c r="V1298" s="990"/>
      <c r="W1298" s="990"/>
      <c r="X1298" s="990"/>
    </row>
    <row r="1299" spans="1:24" s="896" customFormat="1">
      <c r="A1299" s="987">
        <f t="shared" si="21"/>
        <v>1225</v>
      </c>
      <c r="B1299" s="988">
        <v>2559</v>
      </c>
      <c r="C1299" s="899" t="s">
        <v>10625</v>
      </c>
      <c r="D1299" s="988" t="s">
        <v>2666</v>
      </c>
      <c r="E1299" s="989">
        <v>13.79</v>
      </c>
      <c r="F1299" s="990"/>
      <c r="G1299" s="990"/>
      <c r="H1299" s="990"/>
      <c r="I1299" s="990"/>
      <c r="J1299" s="990"/>
      <c r="K1299" s="990"/>
      <c r="L1299" s="990"/>
      <c r="M1299" s="990"/>
      <c r="N1299" s="990"/>
      <c r="O1299" s="990"/>
      <c r="P1299" s="990"/>
      <c r="Q1299" s="990"/>
      <c r="R1299" s="990"/>
      <c r="S1299" s="990"/>
      <c r="T1299" s="990"/>
      <c r="U1299" s="990"/>
      <c r="V1299" s="990"/>
      <c r="W1299" s="990"/>
      <c r="X1299" s="990"/>
    </row>
    <row r="1300" spans="1:24" s="896" customFormat="1">
      <c r="A1300" s="987">
        <f t="shared" si="21"/>
        <v>1226</v>
      </c>
      <c r="B1300" s="988">
        <v>2592</v>
      </c>
      <c r="C1300" s="899" t="s">
        <v>10626</v>
      </c>
      <c r="D1300" s="988" t="s">
        <v>2666</v>
      </c>
      <c r="E1300" s="989">
        <v>228.6</v>
      </c>
      <c r="F1300" s="990"/>
      <c r="G1300" s="990"/>
      <c r="H1300" s="990"/>
      <c r="I1300" s="990"/>
      <c r="J1300" s="990"/>
      <c r="K1300" s="990"/>
      <c r="L1300" s="990"/>
      <c r="M1300" s="990"/>
      <c r="N1300" s="990"/>
      <c r="O1300" s="990"/>
      <c r="P1300" s="990"/>
      <c r="Q1300" s="990"/>
      <c r="R1300" s="990"/>
      <c r="S1300" s="990"/>
      <c r="T1300" s="990"/>
      <c r="U1300" s="990"/>
      <c r="V1300" s="990"/>
      <c r="W1300" s="990"/>
      <c r="X1300" s="990"/>
    </row>
    <row r="1301" spans="1:24" s="896" customFormat="1" ht="25.5">
      <c r="A1301" s="987">
        <f t="shared" si="21"/>
        <v>1227</v>
      </c>
      <c r="B1301" s="988">
        <v>2566</v>
      </c>
      <c r="C1301" s="899" t="s">
        <v>10627</v>
      </c>
      <c r="D1301" s="988" t="s">
        <v>2666</v>
      </c>
      <c r="E1301" s="989">
        <v>23</v>
      </c>
      <c r="F1301" s="990"/>
      <c r="G1301" s="990"/>
      <c r="H1301" s="990"/>
      <c r="I1301" s="990"/>
      <c r="J1301" s="990"/>
      <c r="K1301" s="990"/>
      <c r="L1301" s="990"/>
      <c r="M1301" s="990"/>
      <c r="N1301" s="990"/>
      <c r="O1301" s="990"/>
      <c r="P1301" s="990"/>
      <c r="Q1301" s="990"/>
      <c r="R1301" s="990"/>
      <c r="S1301" s="990"/>
      <c r="T1301" s="990"/>
      <c r="U1301" s="990"/>
      <c r="V1301" s="990"/>
      <c r="W1301" s="990"/>
      <c r="X1301" s="990"/>
    </row>
    <row r="1302" spans="1:24" s="896" customFormat="1" ht="25.5">
      <c r="A1302" s="987">
        <f t="shared" si="21"/>
        <v>1228</v>
      </c>
      <c r="B1302" s="988">
        <v>2589</v>
      </c>
      <c r="C1302" s="899" t="s">
        <v>10628</v>
      </c>
      <c r="D1302" s="988" t="s">
        <v>2666</v>
      </c>
      <c r="E1302" s="989">
        <v>30.58</v>
      </c>
      <c r="F1302" s="990"/>
      <c r="G1302" s="990"/>
      <c r="H1302" s="990"/>
      <c r="I1302" s="990"/>
      <c r="J1302" s="990"/>
      <c r="K1302" s="990"/>
      <c r="L1302" s="990"/>
      <c r="M1302" s="990"/>
      <c r="N1302" s="990"/>
      <c r="O1302" s="990"/>
      <c r="P1302" s="990"/>
      <c r="Q1302" s="990"/>
      <c r="R1302" s="990"/>
      <c r="S1302" s="990"/>
      <c r="T1302" s="990"/>
      <c r="U1302" s="990"/>
      <c r="V1302" s="990"/>
      <c r="W1302" s="990"/>
      <c r="X1302" s="990"/>
    </row>
    <row r="1303" spans="1:24" s="896" customFormat="1">
      <c r="A1303" s="987">
        <f t="shared" si="21"/>
        <v>1229</v>
      </c>
      <c r="B1303" s="988">
        <v>2591</v>
      </c>
      <c r="C1303" s="899" t="s">
        <v>10629</v>
      </c>
      <c r="D1303" s="988" t="s">
        <v>2666</v>
      </c>
      <c r="E1303" s="989">
        <v>11.15</v>
      </c>
      <c r="F1303" s="990"/>
      <c r="G1303" s="990"/>
      <c r="H1303" s="990"/>
      <c r="I1303" s="990"/>
      <c r="J1303" s="990"/>
      <c r="K1303" s="990"/>
      <c r="L1303" s="990"/>
      <c r="M1303" s="990"/>
      <c r="N1303" s="990"/>
      <c r="O1303" s="990"/>
      <c r="P1303" s="990"/>
      <c r="Q1303" s="990"/>
      <c r="R1303" s="990"/>
      <c r="S1303" s="990"/>
      <c r="T1303" s="990"/>
      <c r="U1303" s="990"/>
      <c r="V1303" s="990"/>
      <c r="W1303" s="990"/>
      <c r="X1303" s="990"/>
    </row>
    <row r="1304" spans="1:24" s="896" customFormat="1">
      <c r="A1304" s="987">
        <f t="shared" si="21"/>
        <v>1230</v>
      </c>
      <c r="B1304" s="988">
        <v>2590</v>
      </c>
      <c r="C1304" s="899" t="s">
        <v>10630</v>
      </c>
      <c r="D1304" s="988" t="s">
        <v>2666</v>
      </c>
      <c r="E1304" s="989">
        <v>18.760000000000002</v>
      </c>
      <c r="F1304" s="990"/>
      <c r="G1304" s="990"/>
      <c r="H1304" s="990"/>
      <c r="I1304" s="990"/>
      <c r="J1304" s="990"/>
      <c r="K1304" s="990"/>
      <c r="L1304" s="990"/>
      <c r="M1304" s="990"/>
      <c r="N1304" s="990"/>
      <c r="O1304" s="990"/>
      <c r="P1304" s="990"/>
      <c r="Q1304" s="990"/>
      <c r="R1304" s="990"/>
      <c r="S1304" s="990"/>
      <c r="T1304" s="990"/>
      <c r="U1304" s="990"/>
      <c r="V1304" s="990"/>
      <c r="W1304" s="990"/>
      <c r="X1304" s="990"/>
    </row>
    <row r="1305" spans="1:24" s="896" customFormat="1">
      <c r="A1305" s="987">
        <f t="shared" si="21"/>
        <v>1231</v>
      </c>
      <c r="B1305" s="988">
        <v>2567</v>
      </c>
      <c r="C1305" s="899" t="s">
        <v>10631</v>
      </c>
      <c r="D1305" s="988" t="s">
        <v>2666</v>
      </c>
      <c r="E1305" s="989">
        <v>44.85</v>
      </c>
      <c r="F1305" s="990"/>
      <c r="G1305" s="990"/>
      <c r="H1305" s="990"/>
      <c r="I1305" s="990"/>
      <c r="J1305" s="990"/>
      <c r="K1305" s="990"/>
      <c r="L1305" s="990"/>
      <c r="M1305" s="990"/>
      <c r="N1305" s="990"/>
      <c r="O1305" s="990"/>
      <c r="P1305" s="990"/>
      <c r="Q1305" s="990"/>
      <c r="R1305" s="990"/>
      <c r="S1305" s="990"/>
      <c r="T1305" s="990"/>
      <c r="U1305" s="990"/>
      <c r="V1305" s="990"/>
      <c r="W1305" s="990"/>
      <c r="X1305" s="990"/>
    </row>
    <row r="1306" spans="1:24" s="896" customFormat="1">
      <c r="A1306" s="987">
        <f t="shared" si="21"/>
        <v>1232</v>
      </c>
      <c r="B1306" s="988">
        <v>2565</v>
      </c>
      <c r="C1306" s="899" t="s">
        <v>10632</v>
      </c>
      <c r="D1306" s="988" t="s">
        <v>2666</v>
      </c>
      <c r="E1306" s="989">
        <v>11.17</v>
      </c>
      <c r="F1306" s="990"/>
      <c r="G1306" s="990"/>
      <c r="H1306" s="990"/>
      <c r="I1306" s="990"/>
      <c r="J1306" s="990"/>
      <c r="K1306" s="990"/>
      <c r="L1306" s="990"/>
      <c r="M1306" s="990"/>
      <c r="N1306" s="990"/>
      <c r="O1306" s="990"/>
      <c r="P1306" s="990"/>
      <c r="Q1306" s="990"/>
      <c r="R1306" s="990"/>
      <c r="S1306" s="990"/>
      <c r="T1306" s="990"/>
      <c r="U1306" s="990"/>
      <c r="V1306" s="990"/>
      <c r="W1306" s="990"/>
      <c r="X1306" s="990"/>
    </row>
    <row r="1307" spans="1:24" s="896" customFormat="1">
      <c r="A1307" s="987">
        <f t="shared" si="21"/>
        <v>1233</v>
      </c>
      <c r="B1307" s="988">
        <v>2568</v>
      </c>
      <c r="C1307" s="899" t="s">
        <v>10633</v>
      </c>
      <c r="D1307" s="988" t="s">
        <v>2666</v>
      </c>
      <c r="E1307" s="989">
        <v>124.55</v>
      </c>
      <c r="F1307" s="990"/>
      <c r="G1307" s="990"/>
      <c r="H1307" s="990"/>
      <c r="I1307" s="990"/>
      <c r="J1307" s="990"/>
      <c r="K1307" s="990"/>
      <c r="L1307" s="990"/>
      <c r="M1307" s="990"/>
      <c r="N1307" s="990"/>
      <c r="O1307" s="990"/>
      <c r="P1307" s="990"/>
      <c r="Q1307" s="990"/>
      <c r="R1307" s="990"/>
      <c r="S1307" s="990"/>
      <c r="T1307" s="990"/>
      <c r="U1307" s="990"/>
      <c r="V1307" s="990"/>
      <c r="W1307" s="990"/>
      <c r="X1307" s="990"/>
    </row>
    <row r="1308" spans="1:24" s="896" customFormat="1">
      <c r="A1308" s="987">
        <f t="shared" si="21"/>
        <v>1234</v>
      </c>
      <c r="B1308" s="988">
        <v>2594</v>
      </c>
      <c r="C1308" s="899" t="s">
        <v>10634</v>
      </c>
      <c r="D1308" s="988" t="s">
        <v>2666</v>
      </c>
      <c r="E1308" s="989">
        <v>207.49</v>
      </c>
      <c r="F1308" s="990"/>
      <c r="G1308" s="990"/>
      <c r="H1308" s="990"/>
      <c r="I1308" s="990"/>
      <c r="J1308" s="990"/>
      <c r="K1308" s="990"/>
      <c r="L1308" s="990"/>
      <c r="M1308" s="990"/>
      <c r="N1308" s="990"/>
      <c r="O1308" s="990"/>
      <c r="P1308" s="990"/>
      <c r="Q1308" s="990"/>
      <c r="R1308" s="990"/>
      <c r="S1308" s="990"/>
      <c r="T1308" s="990"/>
      <c r="U1308" s="990"/>
      <c r="V1308" s="990"/>
      <c r="W1308" s="990"/>
      <c r="X1308" s="990"/>
    </row>
    <row r="1309" spans="1:24" s="896" customFormat="1" ht="25.5">
      <c r="A1309" s="987">
        <f t="shared" si="21"/>
        <v>1235</v>
      </c>
      <c r="B1309" s="988">
        <v>2587</v>
      </c>
      <c r="C1309" s="899" t="s">
        <v>10635</v>
      </c>
      <c r="D1309" s="988" t="s">
        <v>2666</v>
      </c>
      <c r="E1309" s="989">
        <v>35.36</v>
      </c>
      <c r="F1309" s="990"/>
      <c r="G1309" s="990"/>
      <c r="H1309" s="990"/>
      <c r="I1309" s="990"/>
      <c r="J1309" s="990"/>
      <c r="K1309" s="990"/>
      <c r="L1309" s="990"/>
      <c r="M1309" s="990"/>
      <c r="N1309" s="990"/>
      <c r="O1309" s="990"/>
      <c r="P1309" s="990"/>
      <c r="Q1309" s="990"/>
      <c r="R1309" s="990"/>
      <c r="S1309" s="990"/>
      <c r="T1309" s="990"/>
      <c r="U1309" s="990"/>
      <c r="V1309" s="990"/>
      <c r="W1309" s="990"/>
      <c r="X1309" s="990"/>
    </row>
    <row r="1310" spans="1:24" s="896" customFormat="1" ht="25.5">
      <c r="A1310" s="987">
        <f t="shared" si="21"/>
        <v>1236</v>
      </c>
      <c r="B1310" s="988">
        <v>2588</v>
      </c>
      <c r="C1310" s="899" t="s">
        <v>10636</v>
      </c>
      <c r="D1310" s="988" t="s">
        <v>2666</v>
      </c>
      <c r="E1310" s="989">
        <v>28.09</v>
      </c>
      <c r="F1310" s="990"/>
      <c r="G1310" s="990"/>
      <c r="H1310" s="990"/>
      <c r="I1310" s="990"/>
      <c r="J1310" s="990"/>
      <c r="K1310" s="990"/>
      <c r="L1310" s="990"/>
      <c r="M1310" s="990"/>
      <c r="N1310" s="990"/>
      <c r="O1310" s="990"/>
      <c r="P1310" s="990"/>
      <c r="Q1310" s="990"/>
      <c r="R1310" s="990"/>
      <c r="S1310" s="990"/>
      <c r="T1310" s="990"/>
      <c r="U1310" s="990"/>
      <c r="V1310" s="990"/>
      <c r="W1310" s="990"/>
      <c r="X1310" s="990"/>
    </row>
    <row r="1311" spans="1:24" s="896" customFormat="1" ht="25.5">
      <c r="A1311" s="987">
        <f t="shared" si="21"/>
        <v>1237</v>
      </c>
      <c r="B1311" s="988">
        <v>2569</v>
      </c>
      <c r="C1311" s="899" t="s">
        <v>10637</v>
      </c>
      <c r="D1311" s="988" t="s">
        <v>2666</v>
      </c>
      <c r="E1311" s="989">
        <v>10.82</v>
      </c>
      <c r="F1311" s="990"/>
      <c r="G1311" s="990"/>
      <c r="H1311" s="990"/>
      <c r="I1311" s="990"/>
      <c r="J1311" s="990"/>
      <c r="K1311" s="990"/>
      <c r="L1311" s="990"/>
      <c r="M1311" s="990"/>
      <c r="N1311" s="990"/>
      <c r="O1311" s="990"/>
      <c r="P1311" s="990"/>
      <c r="Q1311" s="990"/>
      <c r="R1311" s="990"/>
      <c r="S1311" s="990"/>
      <c r="T1311" s="990"/>
      <c r="U1311" s="990"/>
      <c r="V1311" s="990"/>
      <c r="W1311" s="990"/>
      <c r="X1311" s="990"/>
    </row>
    <row r="1312" spans="1:24" s="896" customFormat="1">
      <c r="A1312" s="987">
        <f t="shared" si="21"/>
        <v>1238</v>
      </c>
      <c r="B1312" s="988">
        <v>2570</v>
      </c>
      <c r="C1312" s="899" t="s">
        <v>10638</v>
      </c>
      <c r="D1312" s="988" t="s">
        <v>2666</v>
      </c>
      <c r="E1312" s="989">
        <v>18.14</v>
      </c>
      <c r="F1312" s="990"/>
      <c r="G1312" s="990"/>
      <c r="H1312" s="990"/>
      <c r="I1312" s="990"/>
      <c r="J1312" s="990"/>
      <c r="K1312" s="990"/>
      <c r="L1312" s="990"/>
      <c r="M1312" s="990"/>
      <c r="N1312" s="990"/>
      <c r="O1312" s="990"/>
      <c r="P1312" s="990"/>
      <c r="Q1312" s="990"/>
      <c r="R1312" s="990"/>
      <c r="S1312" s="990"/>
      <c r="T1312" s="990"/>
      <c r="U1312" s="990"/>
      <c r="V1312" s="990"/>
      <c r="W1312" s="990"/>
      <c r="X1312" s="990"/>
    </row>
    <row r="1313" spans="1:24" s="896" customFormat="1">
      <c r="A1313" s="987">
        <f t="shared" si="21"/>
        <v>1239</v>
      </c>
      <c r="B1313" s="988">
        <v>2571</v>
      </c>
      <c r="C1313" s="899" t="s">
        <v>10639</v>
      </c>
      <c r="D1313" s="988" t="s">
        <v>2666</v>
      </c>
      <c r="E1313" s="989">
        <v>53.86</v>
      </c>
      <c r="F1313" s="990"/>
      <c r="G1313" s="990"/>
      <c r="H1313" s="990"/>
      <c r="I1313" s="990"/>
      <c r="J1313" s="990"/>
      <c r="K1313" s="990"/>
      <c r="L1313" s="990"/>
      <c r="M1313" s="990"/>
      <c r="N1313" s="990"/>
      <c r="O1313" s="990"/>
      <c r="P1313" s="990"/>
      <c r="Q1313" s="990"/>
      <c r="R1313" s="990"/>
      <c r="S1313" s="990"/>
      <c r="T1313" s="990"/>
      <c r="U1313" s="990"/>
      <c r="V1313" s="990"/>
      <c r="W1313" s="990"/>
      <c r="X1313" s="990"/>
    </row>
    <row r="1314" spans="1:24" s="896" customFormat="1" ht="25.5">
      <c r="A1314" s="987">
        <f t="shared" si="21"/>
        <v>1240</v>
      </c>
      <c r="B1314" s="988">
        <v>2593</v>
      </c>
      <c r="C1314" s="899" t="s">
        <v>10640</v>
      </c>
      <c r="D1314" s="988" t="s">
        <v>2666</v>
      </c>
      <c r="E1314" s="989">
        <v>11.54</v>
      </c>
      <c r="F1314" s="990"/>
      <c r="G1314" s="990"/>
      <c r="H1314" s="990"/>
      <c r="I1314" s="990"/>
      <c r="J1314" s="990"/>
      <c r="K1314" s="990"/>
      <c r="L1314" s="990"/>
      <c r="M1314" s="990"/>
      <c r="N1314" s="990"/>
      <c r="O1314" s="990"/>
      <c r="P1314" s="990"/>
      <c r="Q1314" s="990"/>
      <c r="R1314" s="990"/>
      <c r="S1314" s="990"/>
      <c r="T1314" s="990"/>
      <c r="U1314" s="990"/>
      <c r="V1314" s="990"/>
      <c r="W1314" s="990"/>
      <c r="X1314" s="990"/>
    </row>
    <row r="1315" spans="1:24" s="896" customFormat="1">
      <c r="A1315" s="987">
        <f t="shared" si="21"/>
        <v>1241</v>
      </c>
      <c r="B1315" s="988">
        <v>2572</v>
      </c>
      <c r="C1315" s="899" t="s">
        <v>10641</v>
      </c>
      <c r="D1315" s="988" t="s">
        <v>2666</v>
      </c>
      <c r="E1315" s="989">
        <v>159.28</v>
      </c>
      <c r="F1315" s="990"/>
      <c r="G1315" s="990"/>
      <c r="H1315" s="990"/>
      <c r="I1315" s="990"/>
      <c r="J1315" s="990"/>
      <c r="K1315" s="990"/>
      <c r="L1315" s="990"/>
      <c r="M1315" s="990"/>
      <c r="N1315" s="990"/>
      <c r="O1315" s="990"/>
      <c r="P1315" s="990"/>
      <c r="Q1315" s="990"/>
      <c r="R1315" s="990"/>
      <c r="S1315" s="990"/>
      <c r="T1315" s="990"/>
      <c r="U1315" s="990"/>
      <c r="V1315" s="990"/>
      <c r="W1315" s="990"/>
      <c r="X1315" s="990"/>
    </row>
    <row r="1316" spans="1:24" s="896" customFormat="1">
      <c r="A1316" s="987">
        <f t="shared" si="21"/>
        <v>1242</v>
      </c>
      <c r="B1316" s="988">
        <v>2595</v>
      </c>
      <c r="C1316" s="899" t="s">
        <v>10642</v>
      </c>
      <c r="D1316" s="988" t="s">
        <v>2666</v>
      </c>
      <c r="E1316" s="989">
        <v>248.51</v>
      </c>
      <c r="F1316" s="990"/>
      <c r="G1316" s="990"/>
      <c r="H1316" s="990"/>
      <c r="I1316" s="990"/>
      <c r="J1316" s="990"/>
      <c r="K1316" s="990"/>
      <c r="L1316" s="990"/>
      <c r="M1316" s="990"/>
      <c r="N1316" s="990"/>
      <c r="O1316" s="990"/>
      <c r="P1316" s="990"/>
      <c r="Q1316" s="990"/>
      <c r="R1316" s="990"/>
      <c r="S1316" s="990"/>
      <c r="T1316" s="990"/>
      <c r="U1316" s="990"/>
      <c r="V1316" s="990"/>
      <c r="W1316" s="990"/>
      <c r="X1316" s="990"/>
    </row>
    <row r="1317" spans="1:24" s="896" customFormat="1" ht="25.5">
      <c r="A1317" s="987">
        <f t="shared" si="21"/>
        <v>1243</v>
      </c>
      <c r="B1317" s="988">
        <v>2576</v>
      </c>
      <c r="C1317" s="899" t="s">
        <v>10643</v>
      </c>
      <c r="D1317" s="988" t="s">
        <v>2666</v>
      </c>
      <c r="E1317" s="989">
        <v>42.36</v>
      </c>
      <c r="F1317" s="990"/>
      <c r="G1317" s="990"/>
      <c r="H1317" s="990"/>
      <c r="I1317" s="990"/>
      <c r="J1317" s="990"/>
      <c r="K1317" s="990"/>
      <c r="L1317" s="990"/>
      <c r="M1317" s="990"/>
      <c r="N1317" s="990"/>
      <c r="O1317" s="990"/>
      <c r="P1317" s="990"/>
      <c r="Q1317" s="990"/>
      <c r="R1317" s="990"/>
      <c r="S1317" s="990"/>
      <c r="T1317" s="990"/>
      <c r="U1317" s="990"/>
      <c r="V1317" s="990"/>
      <c r="W1317" s="990"/>
      <c r="X1317" s="990"/>
    </row>
    <row r="1318" spans="1:24" s="896" customFormat="1" ht="25.5">
      <c r="A1318" s="987">
        <f t="shared" si="21"/>
        <v>1244</v>
      </c>
      <c r="B1318" s="988">
        <v>2575</v>
      </c>
      <c r="C1318" s="899" t="s">
        <v>10644</v>
      </c>
      <c r="D1318" s="988" t="s">
        <v>2666</v>
      </c>
      <c r="E1318" s="989">
        <v>31.85</v>
      </c>
      <c r="F1318" s="990"/>
      <c r="G1318" s="990"/>
      <c r="H1318" s="990"/>
      <c r="I1318" s="990"/>
      <c r="J1318" s="990"/>
      <c r="K1318" s="990"/>
      <c r="L1318" s="990"/>
      <c r="M1318" s="990"/>
      <c r="N1318" s="990"/>
      <c r="O1318" s="990"/>
      <c r="P1318" s="990"/>
      <c r="Q1318" s="990"/>
      <c r="R1318" s="990"/>
      <c r="S1318" s="990"/>
      <c r="T1318" s="990"/>
      <c r="U1318" s="990"/>
      <c r="V1318" s="990"/>
      <c r="W1318" s="990"/>
      <c r="X1318" s="990"/>
    </row>
    <row r="1319" spans="1:24" s="896" customFormat="1">
      <c r="A1319" s="987">
        <f t="shared" si="21"/>
        <v>1245</v>
      </c>
      <c r="B1319" s="988">
        <v>2573</v>
      </c>
      <c r="C1319" s="899" t="s">
        <v>10645</v>
      </c>
      <c r="D1319" s="988" t="s">
        <v>2666</v>
      </c>
      <c r="E1319" s="989">
        <v>13.22</v>
      </c>
      <c r="F1319" s="990"/>
      <c r="G1319" s="990"/>
      <c r="H1319" s="990"/>
      <c r="I1319" s="990"/>
      <c r="J1319" s="990"/>
      <c r="K1319" s="990"/>
      <c r="L1319" s="990"/>
      <c r="M1319" s="990"/>
      <c r="N1319" s="990"/>
      <c r="O1319" s="990"/>
      <c r="P1319" s="990"/>
      <c r="Q1319" s="990"/>
      <c r="R1319" s="990"/>
      <c r="S1319" s="990"/>
      <c r="T1319" s="990"/>
      <c r="U1319" s="990"/>
      <c r="V1319" s="990"/>
      <c r="W1319" s="990"/>
      <c r="X1319" s="990"/>
    </row>
    <row r="1320" spans="1:24" s="896" customFormat="1">
      <c r="A1320" s="987">
        <f t="shared" si="21"/>
        <v>1246</v>
      </c>
      <c r="B1320" s="988">
        <v>2586</v>
      </c>
      <c r="C1320" s="899" t="s">
        <v>10646</v>
      </c>
      <c r="D1320" s="988" t="s">
        <v>2666</v>
      </c>
      <c r="E1320" s="989">
        <v>21.44</v>
      </c>
      <c r="F1320" s="990"/>
      <c r="G1320" s="990"/>
      <c r="H1320" s="990"/>
      <c r="I1320" s="990"/>
      <c r="J1320" s="990"/>
      <c r="K1320" s="990"/>
      <c r="L1320" s="990"/>
      <c r="M1320" s="990"/>
      <c r="N1320" s="990"/>
      <c r="O1320" s="990"/>
      <c r="P1320" s="990"/>
      <c r="Q1320" s="990"/>
      <c r="R1320" s="990"/>
      <c r="S1320" s="990"/>
      <c r="T1320" s="990"/>
      <c r="U1320" s="990"/>
      <c r="V1320" s="990"/>
      <c r="W1320" s="990"/>
      <c r="X1320" s="990"/>
    </row>
    <row r="1321" spans="1:24" s="896" customFormat="1">
      <c r="A1321" s="987">
        <f t="shared" si="21"/>
        <v>1247</v>
      </c>
      <c r="B1321" s="988">
        <v>2577</v>
      </c>
      <c r="C1321" s="899" t="s">
        <v>10647</v>
      </c>
      <c r="D1321" s="988" t="s">
        <v>2666</v>
      </c>
      <c r="E1321" s="989">
        <v>57.4</v>
      </c>
      <c r="F1321" s="990"/>
      <c r="G1321" s="990"/>
      <c r="H1321" s="990"/>
      <c r="I1321" s="990"/>
      <c r="J1321" s="990"/>
      <c r="K1321" s="990"/>
      <c r="L1321" s="990"/>
      <c r="M1321" s="990"/>
      <c r="N1321" s="990"/>
      <c r="O1321" s="990"/>
      <c r="P1321" s="990"/>
      <c r="Q1321" s="990"/>
      <c r="R1321" s="990"/>
      <c r="S1321" s="990"/>
      <c r="T1321" s="990"/>
      <c r="U1321" s="990"/>
      <c r="V1321" s="990"/>
      <c r="W1321" s="990"/>
      <c r="X1321" s="990"/>
    </row>
    <row r="1322" spans="1:24" s="896" customFormat="1">
      <c r="A1322" s="987">
        <f t="shared" si="21"/>
        <v>1248</v>
      </c>
      <c r="B1322" s="988">
        <v>2574</v>
      </c>
      <c r="C1322" s="899" t="s">
        <v>10648</v>
      </c>
      <c r="D1322" s="988" t="s">
        <v>2666</v>
      </c>
      <c r="E1322" s="989">
        <v>13.31</v>
      </c>
      <c r="F1322" s="990"/>
      <c r="G1322" s="990"/>
      <c r="H1322" s="990"/>
      <c r="I1322" s="990"/>
      <c r="J1322" s="990"/>
      <c r="K1322" s="990"/>
      <c r="L1322" s="990"/>
      <c r="M1322" s="990"/>
      <c r="N1322" s="990"/>
      <c r="O1322" s="990"/>
      <c r="P1322" s="990"/>
      <c r="Q1322" s="990"/>
      <c r="R1322" s="990"/>
      <c r="S1322" s="990"/>
      <c r="T1322" s="990"/>
      <c r="U1322" s="990"/>
      <c r="V1322" s="990"/>
      <c r="W1322" s="990"/>
      <c r="X1322" s="990"/>
    </row>
    <row r="1323" spans="1:24" s="896" customFormat="1">
      <c r="A1323" s="987">
        <f t="shared" si="21"/>
        <v>1249</v>
      </c>
      <c r="B1323" s="988">
        <v>2578</v>
      </c>
      <c r="C1323" s="899" t="s">
        <v>10649</v>
      </c>
      <c r="D1323" s="988" t="s">
        <v>2666</v>
      </c>
      <c r="E1323" s="989">
        <v>179.22</v>
      </c>
      <c r="F1323" s="990"/>
      <c r="G1323" s="990"/>
      <c r="H1323" s="990"/>
      <c r="I1323" s="990"/>
      <c r="J1323" s="990"/>
      <c r="K1323" s="990"/>
      <c r="L1323" s="990"/>
      <c r="M1323" s="990"/>
      <c r="N1323" s="990"/>
      <c r="O1323" s="990"/>
      <c r="P1323" s="990"/>
      <c r="Q1323" s="990"/>
      <c r="R1323" s="990"/>
      <c r="S1323" s="990"/>
      <c r="T1323" s="990"/>
      <c r="U1323" s="990"/>
      <c r="V1323" s="990"/>
      <c r="W1323" s="990"/>
      <c r="X1323" s="990"/>
    </row>
    <row r="1324" spans="1:24" s="896" customFormat="1">
      <c r="A1324" s="987">
        <f t="shared" si="21"/>
        <v>1250</v>
      </c>
      <c r="B1324" s="988">
        <v>2585</v>
      </c>
      <c r="C1324" s="899" t="s">
        <v>10650</v>
      </c>
      <c r="D1324" s="988" t="s">
        <v>2666</v>
      </c>
      <c r="E1324" s="989">
        <v>245.93</v>
      </c>
      <c r="F1324" s="990"/>
      <c r="G1324" s="990"/>
      <c r="H1324" s="990"/>
      <c r="I1324" s="990"/>
      <c r="J1324" s="990"/>
      <c r="K1324" s="990"/>
      <c r="L1324" s="990"/>
      <c r="M1324" s="990"/>
      <c r="N1324" s="990"/>
      <c r="O1324" s="990"/>
      <c r="P1324" s="990"/>
      <c r="Q1324" s="990"/>
      <c r="R1324" s="990"/>
      <c r="S1324" s="990"/>
      <c r="T1324" s="990"/>
      <c r="U1324" s="990"/>
      <c r="V1324" s="990"/>
      <c r="W1324" s="990"/>
      <c r="X1324" s="990"/>
    </row>
    <row r="1325" spans="1:24" s="896" customFormat="1">
      <c r="A1325" s="987">
        <f t="shared" si="21"/>
        <v>1251</v>
      </c>
      <c r="B1325" s="988">
        <v>12008</v>
      </c>
      <c r="C1325" s="899" t="s">
        <v>10651</v>
      </c>
      <c r="D1325" s="988" t="s">
        <v>2666</v>
      </c>
      <c r="E1325" s="989">
        <v>131.94999999999999</v>
      </c>
      <c r="F1325" s="990"/>
      <c r="G1325" s="990"/>
      <c r="H1325" s="990"/>
      <c r="I1325" s="990"/>
      <c r="J1325" s="990"/>
      <c r="K1325" s="990"/>
      <c r="L1325" s="990"/>
      <c r="M1325" s="990"/>
      <c r="N1325" s="990"/>
      <c r="O1325" s="990"/>
      <c r="P1325" s="990"/>
      <c r="Q1325" s="990"/>
      <c r="R1325" s="990"/>
      <c r="S1325" s="990"/>
      <c r="T1325" s="990"/>
      <c r="U1325" s="990"/>
      <c r="V1325" s="990"/>
      <c r="W1325" s="990"/>
      <c r="X1325" s="990"/>
    </row>
    <row r="1326" spans="1:24" s="896" customFormat="1" ht="25.5">
      <c r="A1326" s="987">
        <f t="shared" si="21"/>
        <v>1252</v>
      </c>
      <c r="B1326" s="988">
        <v>2582</v>
      </c>
      <c r="C1326" s="899" t="s">
        <v>10652</v>
      </c>
      <c r="D1326" s="988" t="s">
        <v>2666</v>
      </c>
      <c r="E1326" s="989">
        <v>39.29</v>
      </c>
      <c r="F1326" s="990"/>
      <c r="G1326" s="990"/>
      <c r="H1326" s="990"/>
      <c r="I1326" s="990"/>
      <c r="J1326" s="990"/>
      <c r="K1326" s="990"/>
      <c r="L1326" s="990"/>
      <c r="M1326" s="990"/>
      <c r="N1326" s="990"/>
      <c r="O1326" s="990"/>
      <c r="P1326" s="990"/>
      <c r="Q1326" s="990"/>
      <c r="R1326" s="990"/>
      <c r="S1326" s="990"/>
      <c r="T1326" s="990"/>
      <c r="U1326" s="990"/>
      <c r="V1326" s="990"/>
      <c r="W1326" s="990"/>
      <c r="X1326" s="990"/>
    </row>
    <row r="1327" spans="1:24" s="896" customFormat="1" ht="25.5">
      <c r="A1327" s="987">
        <f t="shared" si="21"/>
        <v>1253</v>
      </c>
      <c r="B1327" s="988">
        <v>2597</v>
      </c>
      <c r="C1327" s="899" t="s">
        <v>10653</v>
      </c>
      <c r="D1327" s="988" t="s">
        <v>2666</v>
      </c>
      <c r="E1327" s="989">
        <v>33.68</v>
      </c>
      <c r="F1327" s="990"/>
      <c r="G1327" s="990"/>
      <c r="H1327" s="990"/>
      <c r="I1327" s="990"/>
      <c r="J1327" s="990"/>
      <c r="K1327" s="990"/>
      <c r="L1327" s="990"/>
      <c r="M1327" s="990"/>
      <c r="N1327" s="990"/>
      <c r="O1327" s="990"/>
      <c r="P1327" s="990"/>
      <c r="Q1327" s="990"/>
      <c r="R1327" s="990"/>
      <c r="S1327" s="990"/>
      <c r="T1327" s="990"/>
      <c r="U1327" s="990"/>
      <c r="V1327" s="990"/>
      <c r="W1327" s="990"/>
      <c r="X1327" s="990"/>
    </row>
    <row r="1328" spans="1:24" s="896" customFormat="1">
      <c r="A1328" s="987">
        <f t="shared" si="21"/>
        <v>1254</v>
      </c>
      <c r="B1328" s="988">
        <v>2579</v>
      </c>
      <c r="C1328" s="899" t="s">
        <v>10654</v>
      </c>
      <c r="D1328" s="988" t="s">
        <v>2666</v>
      </c>
      <c r="E1328" s="989">
        <v>16.03</v>
      </c>
      <c r="F1328" s="990"/>
      <c r="G1328" s="990"/>
      <c r="H1328" s="990"/>
      <c r="I1328" s="990"/>
      <c r="J1328" s="990"/>
      <c r="K1328" s="990"/>
      <c r="L1328" s="990"/>
      <c r="M1328" s="990"/>
      <c r="N1328" s="990"/>
      <c r="O1328" s="990"/>
      <c r="P1328" s="990"/>
      <c r="Q1328" s="990"/>
      <c r="R1328" s="990"/>
      <c r="S1328" s="990"/>
      <c r="T1328" s="990"/>
      <c r="U1328" s="990"/>
      <c r="V1328" s="990"/>
      <c r="W1328" s="990"/>
      <c r="X1328" s="990"/>
    </row>
    <row r="1329" spans="1:24" s="896" customFormat="1">
      <c r="A1329" s="987">
        <f t="shared" si="21"/>
        <v>1255</v>
      </c>
      <c r="B1329" s="988">
        <v>2581</v>
      </c>
      <c r="C1329" s="899" t="s">
        <v>10655</v>
      </c>
      <c r="D1329" s="988" t="s">
        <v>2666</v>
      </c>
      <c r="E1329" s="989">
        <v>20.52</v>
      </c>
      <c r="F1329" s="990"/>
      <c r="G1329" s="990"/>
      <c r="H1329" s="990"/>
      <c r="I1329" s="990"/>
      <c r="J1329" s="990"/>
      <c r="K1329" s="990"/>
      <c r="L1329" s="990"/>
      <c r="M1329" s="990"/>
      <c r="N1329" s="990"/>
      <c r="O1329" s="990"/>
      <c r="P1329" s="990"/>
      <c r="Q1329" s="990"/>
      <c r="R1329" s="990"/>
      <c r="S1329" s="990"/>
      <c r="T1329" s="990"/>
      <c r="U1329" s="990"/>
      <c r="V1329" s="990"/>
      <c r="W1329" s="990"/>
      <c r="X1329" s="990"/>
    </row>
    <row r="1330" spans="1:24" s="896" customFormat="1">
      <c r="A1330" s="987">
        <f t="shared" si="21"/>
        <v>1256</v>
      </c>
      <c r="B1330" s="988">
        <v>2596</v>
      </c>
      <c r="C1330" s="899" t="s">
        <v>10656</v>
      </c>
      <c r="D1330" s="988" t="s">
        <v>2666</v>
      </c>
      <c r="E1330" s="989">
        <v>60.67</v>
      </c>
      <c r="F1330" s="990"/>
      <c r="G1330" s="990"/>
      <c r="H1330" s="990"/>
      <c r="I1330" s="990"/>
      <c r="J1330" s="990"/>
      <c r="K1330" s="990"/>
      <c r="L1330" s="990"/>
      <c r="M1330" s="990"/>
      <c r="N1330" s="990"/>
      <c r="O1330" s="990"/>
      <c r="P1330" s="990"/>
      <c r="Q1330" s="990"/>
      <c r="R1330" s="990"/>
      <c r="S1330" s="990"/>
      <c r="T1330" s="990"/>
      <c r="U1330" s="990"/>
      <c r="V1330" s="990"/>
      <c r="W1330" s="990"/>
      <c r="X1330" s="990"/>
    </row>
    <row r="1331" spans="1:24" s="896" customFormat="1">
      <c r="A1331" s="987">
        <f t="shared" si="21"/>
        <v>1257</v>
      </c>
      <c r="B1331" s="988">
        <v>2580</v>
      </c>
      <c r="C1331" s="899" t="s">
        <v>10657</v>
      </c>
      <c r="D1331" s="988" t="s">
        <v>2666</v>
      </c>
      <c r="E1331" s="989">
        <v>17.57</v>
      </c>
      <c r="F1331" s="990"/>
      <c r="G1331" s="990"/>
      <c r="H1331" s="990"/>
      <c r="I1331" s="990"/>
      <c r="J1331" s="990"/>
      <c r="K1331" s="990"/>
      <c r="L1331" s="990"/>
      <c r="M1331" s="990"/>
      <c r="N1331" s="990"/>
      <c r="O1331" s="990"/>
      <c r="P1331" s="990"/>
      <c r="Q1331" s="990"/>
      <c r="R1331" s="990"/>
      <c r="S1331" s="990"/>
      <c r="T1331" s="990"/>
      <c r="U1331" s="990"/>
      <c r="V1331" s="990"/>
      <c r="W1331" s="990"/>
      <c r="X1331" s="990"/>
    </row>
    <row r="1332" spans="1:24" s="896" customFormat="1">
      <c r="A1332" s="987">
        <f t="shared" si="21"/>
        <v>1258</v>
      </c>
      <c r="B1332" s="988">
        <v>2583</v>
      </c>
      <c r="C1332" s="899" t="s">
        <v>10658</v>
      </c>
      <c r="D1332" s="988" t="s">
        <v>2666</v>
      </c>
      <c r="E1332" s="989">
        <v>147.58000000000001</v>
      </c>
      <c r="F1332" s="990"/>
      <c r="G1332" s="990"/>
      <c r="H1332" s="990"/>
      <c r="I1332" s="990"/>
      <c r="J1332" s="990"/>
      <c r="K1332" s="990"/>
      <c r="L1332" s="990"/>
      <c r="M1332" s="990"/>
      <c r="N1332" s="990"/>
      <c r="O1332" s="990"/>
      <c r="P1332" s="990"/>
      <c r="Q1332" s="990"/>
      <c r="R1332" s="990"/>
      <c r="S1332" s="990"/>
      <c r="T1332" s="990"/>
      <c r="U1332" s="990"/>
      <c r="V1332" s="990"/>
      <c r="W1332" s="990"/>
      <c r="X1332" s="990"/>
    </row>
    <row r="1333" spans="1:24" s="896" customFormat="1">
      <c r="A1333" s="987">
        <f t="shared" si="21"/>
        <v>1259</v>
      </c>
      <c r="B1333" s="988">
        <v>2584</v>
      </c>
      <c r="C1333" s="899" t="s">
        <v>10659</v>
      </c>
      <c r="D1333" s="988" t="s">
        <v>2666</v>
      </c>
      <c r="E1333" s="989">
        <v>245.68</v>
      </c>
      <c r="F1333" s="990"/>
      <c r="G1333" s="990"/>
      <c r="H1333" s="990"/>
      <c r="I1333" s="990"/>
      <c r="J1333" s="990"/>
      <c r="K1333" s="990"/>
      <c r="L1333" s="990"/>
      <c r="M1333" s="990"/>
      <c r="N1333" s="990"/>
      <c r="O1333" s="990"/>
      <c r="P1333" s="990"/>
      <c r="Q1333" s="990"/>
      <c r="R1333" s="990"/>
      <c r="S1333" s="990"/>
      <c r="T1333" s="990"/>
      <c r="U1333" s="990"/>
      <c r="V1333" s="990"/>
      <c r="W1333" s="990"/>
      <c r="X1333" s="990"/>
    </row>
    <row r="1334" spans="1:24" s="896" customFormat="1">
      <c r="A1334" s="987">
        <f t="shared" si="21"/>
        <v>1260</v>
      </c>
      <c r="B1334" s="988">
        <v>12010</v>
      </c>
      <c r="C1334" s="899" t="s">
        <v>10660</v>
      </c>
      <c r="D1334" s="988" t="s">
        <v>2666</v>
      </c>
      <c r="E1334" s="989">
        <v>14.51</v>
      </c>
      <c r="F1334" s="990"/>
      <c r="G1334" s="990"/>
      <c r="H1334" s="990"/>
      <c r="I1334" s="990"/>
      <c r="J1334" s="990"/>
      <c r="K1334" s="990"/>
      <c r="L1334" s="990"/>
      <c r="M1334" s="990"/>
      <c r="N1334" s="990"/>
      <c r="O1334" s="990"/>
      <c r="P1334" s="990"/>
      <c r="Q1334" s="990"/>
      <c r="R1334" s="990"/>
      <c r="S1334" s="990"/>
      <c r="T1334" s="990"/>
      <c r="U1334" s="990"/>
      <c r="V1334" s="990"/>
      <c r="W1334" s="990"/>
      <c r="X1334" s="990"/>
    </row>
    <row r="1335" spans="1:24" s="896" customFormat="1">
      <c r="A1335" s="987">
        <f t="shared" si="21"/>
        <v>1261</v>
      </c>
      <c r="B1335" s="988">
        <v>39329</v>
      </c>
      <c r="C1335" s="899" t="s">
        <v>10661</v>
      </c>
      <c r="D1335" s="988" t="s">
        <v>2666</v>
      </c>
      <c r="E1335" s="989">
        <v>15.18</v>
      </c>
      <c r="F1335" s="990"/>
      <c r="G1335" s="990"/>
      <c r="H1335" s="990"/>
      <c r="I1335" s="990"/>
      <c r="J1335" s="990"/>
      <c r="K1335" s="990"/>
      <c r="L1335" s="990"/>
      <c r="M1335" s="990"/>
      <c r="N1335" s="990"/>
      <c r="O1335" s="990"/>
      <c r="P1335" s="990"/>
      <c r="Q1335" s="990"/>
      <c r="R1335" s="990"/>
      <c r="S1335" s="990"/>
      <c r="T1335" s="990"/>
      <c r="U1335" s="990"/>
      <c r="V1335" s="990"/>
      <c r="W1335" s="990"/>
      <c r="X1335" s="990"/>
    </row>
    <row r="1336" spans="1:24" s="896" customFormat="1">
      <c r="A1336" s="987">
        <f t="shared" si="21"/>
        <v>1262</v>
      </c>
      <c r="B1336" s="988">
        <v>39330</v>
      </c>
      <c r="C1336" s="899" t="s">
        <v>10662</v>
      </c>
      <c r="D1336" s="988" t="s">
        <v>2666</v>
      </c>
      <c r="E1336" s="989">
        <v>15.97</v>
      </c>
      <c r="F1336" s="990"/>
      <c r="G1336" s="990"/>
      <c r="H1336" s="990"/>
      <c r="I1336" s="990"/>
      <c r="J1336" s="990"/>
      <c r="K1336" s="990"/>
      <c r="L1336" s="990"/>
      <c r="M1336" s="990"/>
      <c r="N1336" s="990"/>
      <c r="O1336" s="990"/>
      <c r="P1336" s="990"/>
      <c r="Q1336" s="990"/>
      <c r="R1336" s="990"/>
      <c r="S1336" s="990"/>
      <c r="T1336" s="990"/>
      <c r="U1336" s="990"/>
      <c r="V1336" s="990"/>
      <c r="W1336" s="990"/>
      <c r="X1336" s="990"/>
    </row>
    <row r="1337" spans="1:24" s="896" customFormat="1">
      <c r="A1337" s="987">
        <f t="shared" si="21"/>
        <v>1263</v>
      </c>
      <c r="B1337" s="988">
        <v>39332</v>
      </c>
      <c r="C1337" s="899" t="s">
        <v>10663</v>
      </c>
      <c r="D1337" s="988" t="s">
        <v>2666</v>
      </c>
      <c r="E1337" s="989">
        <v>17.84</v>
      </c>
      <c r="F1337" s="990"/>
      <c r="G1337" s="990"/>
      <c r="H1337" s="990"/>
      <c r="I1337" s="990"/>
      <c r="J1337" s="990"/>
      <c r="K1337" s="990"/>
      <c r="L1337" s="990"/>
      <c r="M1337" s="990"/>
      <c r="N1337" s="990"/>
      <c r="O1337" s="990"/>
      <c r="P1337" s="990"/>
      <c r="Q1337" s="990"/>
      <c r="R1337" s="990"/>
      <c r="S1337" s="990"/>
      <c r="T1337" s="990"/>
      <c r="U1337" s="990"/>
      <c r="V1337" s="990"/>
      <c r="W1337" s="990"/>
      <c r="X1337" s="990"/>
    </row>
    <row r="1338" spans="1:24" s="896" customFormat="1">
      <c r="A1338" s="987">
        <f t="shared" si="21"/>
        <v>1264</v>
      </c>
      <c r="B1338" s="988">
        <v>39331</v>
      </c>
      <c r="C1338" s="899" t="s">
        <v>10664</v>
      </c>
      <c r="D1338" s="988" t="s">
        <v>2666</v>
      </c>
      <c r="E1338" s="989">
        <v>14.2</v>
      </c>
      <c r="F1338" s="990"/>
      <c r="G1338" s="990"/>
      <c r="H1338" s="990"/>
      <c r="I1338" s="990"/>
      <c r="J1338" s="990"/>
      <c r="K1338" s="990"/>
      <c r="L1338" s="990"/>
      <c r="M1338" s="990"/>
      <c r="N1338" s="990"/>
      <c r="O1338" s="990"/>
      <c r="P1338" s="990"/>
      <c r="Q1338" s="990"/>
      <c r="R1338" s="990"/>
      <c r="S1338" s="990"/>
      <c r="T1338" s="990"/>
      <c r="U1338" s="990"/>
      <c r="V1338" s="990"/>
      <c r="W1338" s="990"/>
      <c r="X1338" s="990"/>
    </row>
    <row r="1339" spans="1:24" s="896" customFormat="1">
      <c r="A1339" s="987">
        <f t="shared" si="21"/>
        <v>1265</v>
      </c>
      <c r="B1339" s="988">
        <v>39333</v>
      </c>
      <c r="C1339" s="899" t="s">
        <v>10665</v>
      </c>
      <c r="D1339" s="988" t="s">
        <v>2666</v>
      </c>
      <c r="E1339" s="989">
        <v>13.85</v>
      </c>
      <c r="F1339" s="990"/>
      <c r="G1339" s="990"/>
      <c r="H1339" s="990"/>
      <c r="I1339" s="990"/>
      <c r="J1339" s="990"/>
      <c r="K1339" s="990"/>
      <c r="L1339" s="990"/>
      <c r="M1339" s="990"/>
      <c r="N1339" s="990"/>
      <c r="O1339" s="990"/>
      <c r="P1339" s="990"/>
      <c r="Q1339" s="990"/>
      <c r="R1339" s="990"/>
      <c r="S1339" s="990"/>
      <c r="T1339" s="990"/>
      <c r="U1339" s="990"/>
      <c r="V1339" s="990"/>
      <c r="W1339" s="990"/>
      <c r="X1339" s="990"/>
    </row>
    <row r="1340" spans="1:24" s="896" customFormat="1">
      <c r="A1340" s="987">
        <f t="shared" si="21"/>
        <v>1266</v>
      </c>
      <c r="B1340" s="988">
        <v>39335</v>
      </c>
      <c r="C1340" s="899" t="s">
        <v>10666</v>
      </c>
      <c r="D1340" s="988" t="s">
        <v>2666</v>
      </c>
      <c r="E1340" s="989">
        <v>16.02</v>
      </c>
      <c r="F1340" s="990"/>
      <c r="G1340" s="990"/>
      <c r="H1340" s="990"/>
      <c r="I1340" s="990"/>
      <c r="J1340" s="990"/>
      <c r="K1340" s="990"/>
      <c r="L1340" s="990"/>
      <c r="M1340" s="990"/>
      <c r="N1340" s="990"/>
      <c r="O1340" s="990"/>
      <c r="P1340" s="990"/>
      <c r="Q1340" s="990"/>
      <c r="R1340" s="990"/>
      <c r="S1340" s="990"/>
      <c r="T1340" s="990"/>
      <c r="U1340" s="990"/>
      <c r="V1340" s="990"/>
      <c r="W1340" s="990"/>
      <c r="X1340" s="990"/>
    </row>
    <row r="1341" spans="1:24" s="896" customFormat="1">
      <c r="A1341" s="987">
        <f t="shared" si="21"/>
        <v>1267</v>
      </c>
      <c r="B1341" s="988">
        <v>39334</v>
      </c>
      <c r="C1341" s="899" t="s">
        <v>10667</v>
      </c>
      <c r="D1341" s="988" t="s">
        <v>2666</v>
      </c>
      <c r="E1341" s="989">
        <v>12.74</v>
      </c>
      <c r="F1341" s="990"/>
      <c r="G1341" s="990"/>
      <c r="H1341" s="990"/>
      <c r="I1341" s="990"/>
      <c r="J1341" s="990"/>
      <c r="K1341" s="990"/>
      <c r="L1341" s="990"/>
      <c r="M1341" s="990"/>
      <c r="N1341" s="990"/>
      <c r="O1341" s="990"/>
      <c r="P1341" s="990"/>
      <c r="Q1341" s="990"/>
      <c r="R1341" s="990"/>
      <c r="S1341" s="990"/>
      <c r="T1341" s="990"/>
      <c r="U1341" s="990"/>
      <c r="V1341" s="990"/>
      <c r="W1341" s="990"/>
      <c r="X1341" s="990"/>
    </row>
    <row r="1342" spans="1:24" s="896" customFormat="1">
      <c r="A1342" s="987">
        <f t="shared" si="21"/>
        <v>1268</v>
      </c>
      <c r="B1342" s="988">
        <v>12016</v>
      </c>
      <c r="C1342" s="899" t="s">
        <v>10668</v>
      </c>
      <c r="D1342" s="988" t="s">
        <v>2666</v>
      </c>
      <c r="E1342" s="989">
        <v>15.99</v>
      </c>
      <c r="F1342" s="990"/>
      <c r="G1342" s="990"/>
      <c r="H1342" s="990"/>
      <c r="I1342" s="990"/>
      <c r="J1342" s="990"/>
      <c r="K1342" s="990"/>
      <c r="L1342" s="990"/>
      <c r="M1342" s="990"/>
      <c r="N1342" s="990"/>
      <c r="O1342" s="990"/>
      <c r="P1342" s="990"/>
      <c r="Q1342" s="990"/>
      <c r="R1342" s="990"/>
      <c r="S1342" s="990"/>
      <c r="T1342" s="990"/>
      <c r="U1342" s="990"/>
      <c r="V1342" s="990"/>
      <c r="W1342" s="990"/>
      <c r="X1342" s="990"/>
    </row>
    <row r="1343" spans="1:24" s="896" customFormat="1">
      <c r="A1343" s="987">
        <f t="shared" si="21"/>
        <v>1269</v>
      </c>
      <c r="B1343" s="988">
        <v>12015</v>
      </c>
      <c r="C1343" s="899" t="s">
        <v>10669</v>
      </c>
      <c r="D1343" s="988" t="s">
        <v>2666</v>
      </c>
      <c r="E1343" s="989">
        <v>18.61</v>
      </c>
      <c r="F1343" s="990"/>
      <c r="G1343" s="990"/>
      <c r="H1343" s="990"/>
      <c r="I1343" s="990"/>
      <c r="J1343" s="990"/>
      <c r="K1343" s="990"/>
      <c r="L1343" s="990"/>
      <c r="M1343" s="990"/>
      <c r="N1343" s="990"/>
      <c r="O1343" s="990"/>
      <c r="P1343" s="990"/>
      <c r="Q1343" s="990"/>
      <c r="R1343" s="990"/>
      <c r="S1343" s="990"/>
      <c r="T1343" s="990"/>
      <c r="U1343" s="990"/>
      <c r="V1343" s="990"/>
      <c r="W1343" s="990"/>
      <c r="X1343" s="990"/>
    </row>
    <row r="1344" spans="1:24" s="896" customFormat="1">
      <c r="A1344" s="987">
        <f t="shared" si="21"/>
        <v>1270</v>
      </c>
      <c r="B1344" s="988">
        <v>12020</v>
      </c>
      <c r="C1344" s="899" t="s">
        <v>10670</v>
      </c>
      <c r="D1344" s="988" t="s">
        <v>2666</v>
      </c>
      <c r="E1344" s="989">
        <v>15.99</v>
      </c>
      <c r="F1344" s="990"/>
      <c r="G1344" s="990"/>
      <c r="H1344" s="990"/>
      <c r="I1344" s="990"/>
      <c r="J1344" s="990"/>
      <c r="K1344" s="990"/>
      <c r="L1344" s="990"/>
      <c r="M1344" s="990"/>
      <c r="N1344" s="990"/>
      <c r="O1344" s="990"/>
      <c r="P1344" s="990"/>
      <c r="Q1344" s="990"/>
      <c r="R1344" s="990"/>
      <c r="S1344" s="990"/>
      <c r="T1344" s="990"/>
      <c r="U1344" s="990"/>
      <c r="V1344" s="990"/>
      <c r="W1344" s="990"/>
      <c r="X1344" s="990"/>
    </row>
    <row r="1345" spans="1:24" s="896" customFormat="1">
      <c r="A1345" s="987">
        <f t="shared" si="21"/>
        <v>1271</v>
      </c>
      <c r="B1345" s="988">
        <v>12019</v>
      </c>
      <c r="C1345" s="899" t="s">
        <v>10671</v>
      </c>
      <c r="D1345" s="988" t="s">
        <v>2666</v>
      </c>
      <c r="E1345" s="989">
        <v>18.61</v>
      </c>
      <c r="F1345" s="990"/>
      <c r="G1345" s="990"/>
      <c r="H1345" s="990"/>
      <c r="I1345" s="990"/>
      <c r="J1345" s="990"/>
      <c r="K1345" s="990"/>
      <c r="L1345" s="990"/>
      <c r="M1345" s="990"/>
      <c r="N1345" s="990"/>
      <c r="O1345" s="990"/>
      <c r="P1345" s="990"/>
      <c r="Q1345" s="990"/>
      <c r="R1345" s="990"/>
      <c r="S1345" s="990"/>
      <c r="T1345" s="990"/>
      <c r="U1345" s="990"/>
      <c r="V1345" s="990"/>
      <c r="W1345" s="990"/>
      <c r="X1345" s="990"/>
    </row>
    <row r="1346" spans="1:24" s="896" customFormat="1">
      <c r="A1346" s="987">
        <f t="shared" si="21"/>
        <v>1272</v>
      </c>
      <c r="B1346" s="988">
        <v>39336</v>
      </c>
      <c r="C1346" s="899" t="s">
        <v>10672</v>
      </c>
      <c r="D1346" s="988" t="s">
        <v>2666</v>
      </c>
      <c r="E1346" s="989">
        <v>15.97</v>
      </c>
      <c r="F1346" s="990"/>
      <c r="G1346" s="990"/>
      <c r="H1346" s="990"/>
      <c r="I1346" s="990"/>
      <c r="J1346" s="990"/>
      <c r="K1346" s="990"/>
      <c r="L1346" s="990"/>
      <c r="M1346" s="990"/>
      <c r="N1346" s="990"/>
      <c r="O1346" s="990"/>
      <c r="P1346" s="990"/>
      <c r="Q1346" s="990"/>
      <c r="R1346" s="990"/>
      <c r="S1346" s="990"/>
      <c r="T1346" s="990"/>
      <c r="U1346" s="990"/>
      <c r="V1346" s="990"/>
      <c r="W1346" s="990"/>
      <c r="X1346" s="990"/>
    </row>
    <row r="1347" spans="1:24" s="896" customFormat="1">
      <c r="A1347" s="987">
        <f t="shared" si="21"/>
        <v>1273</v>
      </c>
      <c r="B1347" s="988">
        <v>39338</v>
      </c>
      <c r="C1347" s="899" t="s">
        <v>10673</v>
      </c>
      <c r="D1347" s="988" t="s">
        <v>2666</v>
      </c>
      <c r="E1347" s="989">
        <v>17.84</v>
      </c>
      <c r="F1347" s="990"/>
      <c r="G1347" s="990"/>
      <c r="H1347" s="990"/>
      <c r="I1347" s="990"/>
      <c r="J1347" s="990"/>
      <c r="K1347" s="990"/>
      <c r="L1347" s="990"/>
      <c r="M1347" s="990"/>
      <c r="N1347" s="990"/>
      <c r="O1347" s="990"/>
      <c r="P1347" s="990"/>
      <c r="Q1347" s="990"/>
      <c r="R1347" s="990"/>
      <c r="S1347" s="990"/>
      <c r="T1347" s="990"/>
      <c r="U1347" s="990"/>
      <c r="V1347" s="990"/>
      <c r="W1347" s="990"/>
      <c r="X1347" s="990"/>
    </row>
    <row r="1348" spans="1:24" s="896" customFormat="1">
      <c r="A1348" s="987">
        <f t="shared" si="21"/>
        <v>1274</v>
      </c>
      <c r="B1348" s="988">
        <v>39337</v>
      </c>
      <c r="C1348" s="899" t="s">
        <v>10674</v>
      </c>
      <c r="D1348" s="988" t="s">
        <v>2666</v>
      </c>
      <c r="E1348" s="989">
        <v>14.2</v>
      </c>
      <c r="F1348" s="990"/>
      <c r="G1348" s="990"/>
      <c r="H1348" s="990"/>
      <c r="I1348" s="990"/>
      <c r="J1348" s="990"/>
      <c r="K1348" s="990"/>
      <c r="L1348" s="990"/>
      <c r="M1348" s="990"/>
      <c r="N1348" s="990"/>
      <c r="O1348" s="990"/>
      <c r="P1348" s="990"/>
      <c r="Q1348" s="990"/>
      <c r="R1348" s="990"/>
      <c r="S1348" s="990"/>
      <c r="T1348" s="990"/>
      <c r="U1348" s="990"/>
      <c r="V1348" s="990"/>
      <c r="W1348" s="990"/>
      <c r="X1348" s="990"/>
    </row>
    <row r="1349" spans="1:24" s="896" customFormat="1">
      <c r="A1349" s="987">
        <f t="shared" si="21"/>
        <v>1275</v>
      </c>
      <c r="B1349" s="988">
        <v>39341</v>
      </c>
      <c r="C1349" s="899" t="s">
        <v>10675</v>
      </c>
      <c r="D1349" s="988" t="s">
        <v>2666</v>
      </c>
      <c r="E1349" s="989">
        <v>23.26</v>
      </c>
      <c r="F1349" s="990"/>
      <c r="G1349" s="990"/>
      <c r="H1349" s="990"/>
      <c r="I1349" s="990"/>
      <c r="J1349" s="990"/>
      <c r="K1349" s="990"/>
      <c r="L1349" s="990"/>
      <c r="M1349" s="990"/>
      <c r="N1349" s="990"/>
      <c r="O1349" s="990"/>
      <c r="P1349" s="990"/>
      <c r="Q1349" s="990"/>
      <c r="R1349" s="990"/>
      <c r="S1349" s="990"/>
      <c r="T1349" s="990"/>
      <c r="U1349" s="990"/>
      <c r="V1349" s="990"/>
      <c r="W1349" s="990"/>
      <c r="X1349" s="990"/>
    </row>
    <row r="1350" spans="1:24" s="896" customFormat="1">
      <c r="A1350" s="987">
        <f t="shared" si="21"/>
        <v>1276</v>
      </c>
      <c r="B1350" s="988">
        <v>39340</v>
      </c>
      <c r="C1350" s="899" t="s">
        <v>10676</v>
      </c>
      <c r="D1350" s="988" t="s">
        <v>2666</v>
      </c>
      <c r="E1350" s="989">
        <v>17.079999999999998</v>
      </c>
      <c r="F1350" s="990"/>
      <c r="G1350" s="990"/>
      <c r="H1350" s="990"/>
      <c r="I1350" s="990"/>
      <c r="J1350" s="990"/>
      <c r="K1350" s="990"/>
      <c r="L1350" s="990"/>
      <c r="M1350" s="990"/>
      <c r="N1350" s="990"/>
      <c r="O1350" s="990"/>
      <c r="P1350" s="990"/>
      <c r="Q1350" s="990"/>
      <c r="R1350" s="990"/>
      <c r="S1350" s="990"/>
      <c r="T1350" s="990"/>
      <c r="U1350" s="990"/>
      <c r="V1350" s="990"/>
      <c r="W1350" s="990"/>
      <c r="X1350" s="990"/>
    </row>
    <row r="1351" spans="1:24" s="896" customFormat="1">
      <c r="A1351" s="987">
        <f t="shared" si="21"/>
        <v>1277</v>
      </c>
      <c r="B1351" s="988">
        <v>12025</v>
      </c>
      <c r="C1351" s="899" t="s">
        <v>10677</v>
      </c>
      <c r="D1351" s="988" t="s">
        <v>2666</v>
      </c>
      <c r="E1351" s="989">
        <v>17.64</v>
      </c>
      <c r="F1351" s="990"/>
      <c r="G1351" s="990"/>
      <c r="H1351" s="990"/>
      <c r="I1351" s="990"/>
      <c r="J1351" s="990"/>
      <c r="K1351" s="990"/>
      <c r="L1351" s="990"/>
      <c r="M1351" s="990"/>
      <c r="N1351" s="990"/>
      <c r="O1351" s="990"/>
      <c r="P1351" s="990"/>
      <c r="Q1351" s="990"/>
      <c r="R1351" s="990"/>
      <c r="S1351" s="990"/>
      <c r="T1351" s="990"/>
      <c r="U1351" s="990"/>
      <c r="V1351" s="990"/>
      <c r="W1351" s="990"/>
      <c r="X1351" s="990"/>
    </row>
    <row r="1352" spans="1:24" s="896" customFormat="1">
      <c r="A1352" s="987">
        <f t="shared" si="21"/>
        <v>1278</v>
      </c>
      <c r="B1352" s="988">
        <v>39342</v>
      </c>
      <c r="C1352" s="899" t="s">
        <v>10678</v>
      </c>
      <c r="D1352" s="988" t="s">
        <v>2666</v>
      </c>
      <c r="E1352" s="989">
        <v>23.26</v>
      </c>
      <c r="F1352" s="990"/>
      <c r="G1352" s="990"/>
      <c r="H1352" s="990"/>
      <c r="I1352" s="990"/>
      <c r="J1352" s="990"/>
      <c r="K1352" s="990"/>
      <c r="L1352" s="990"/>
      <c r="M1352" s="990"/>
      <c r="N1352" s="990"/>
      <c r="O1352" s="990"/>
      <c r="P1352" s="990"/>
      <c r="Q1352" s="990"/>
      <c r="R1352" s="990"/>
      <c r="S1352" s="990"/>
      <c r="T1352" s="990"/>
      <c r="U1352" s="990"/>
      <c r="V1352" s="990"/>
      <c r="W1352" s="990"/>
      <c r="X1352" s="990"/>
    </row>
    <row r="1353" spans="1:24" s="896" customFormat="1">
      <c r="A1353" s="987">
        <f t="shared" si="21"/>
        <v>1279</v>
      </c>
      <c r="B1353" s="988">
        <v>39343</v>
      </c>
      <c r="C1353" s="899" t="s">
        <v>10679</v>
      </c>
      <c r="D1353" s="988" t="s">
        <v>2666</v>
      </c>
      <c r="E1353" s="989">
        <v>19.64</v>
      </c>
      <c r="F1353" s="990"/>
      <c r="G1353" s="990"/>
      <c r="H1353" s="990"/>
      <c r="I1353" s="990"/>
      <c r="J1353" s="990"/>
      <c r="K1353" s="990"/>
      <c r="L1353" s="990"/>
      <c r="M1353" s="990"/>
      <c r="N1353" s="990"/>
      <c r="O1353" s="990"/>
      <c r="P1353" s="990"/>
      <c r="Q1353" s="990"/>
      <c r="R1353" s="990"/>
      <c r="S1353" s="990"/>
      <c r="T1353" s="990"/>
      <c r="U1353" s="990"/>
      <c r="V1353" s="990"/>
      <c r="W1353" s="990"/>
      <c r="X1353" s="990"/>
    </row>
    <row r="1354" spans="1:24" s="896" customFormat="1">
      <c r="A1354" s="987">
        <f t="shared" si="21"/>
        <v>1280</v>
      </c>
      <c r="B1354" s="988">
        <v>39345</v>
      </c>
      <c r="C1354" s="899" t="s">
        <v>10680</v>
      </c>
      <c r="D1354" s="988" t="s">
        <v>2666</v>
      </c>
      <c r="E1354" s="989">
        <v>26.58</v>
      </c>
      <c r="F1354" s="990"/>
      <c r="G1354" s="990"/>
      <c r="H1354" s="990"/>
      <c r="I1354" s="990"/>
      <c r="J1354" s="990"/>
      <c r="K1354" s="990"/>
      <c r="L1354" s="990"/>
      <c r="M1354" s="990"/>
      <c r="N1354" s="990"/>
      <c r="O1354" s="990"/>
      <c r="P1354" s="990"/>
      <c r="Q1354" s="990"/>
      <c r="R1354" s="990"/>
      <c r="S1354" s="990"/>
      <c r="T1354" s="990"/>
      <c r="U1354" s="990"/>
      <c r="V1354" s="990"/>
      <c r="W1354" s="990"/>
      <c r="X1354" s="990"/>
    </row>
    <row r="1355" spans="1:24" s="896" customFormat="1">
      <c r="A1355" s="987">
        <f t="shared" si="21"/>
        <v>1281</v>
      </c>
      <c r="B1355" s="988">
        <v>39344</v>
      </c>
      <c r="C1355" s="899" t="s">
        <v>10681</v>
      </c>
      <c r="D1355" s="988" t="s">
        <v>2666</v>
      </c>
      <c r="E1355" s="989">
        <v>18.989999999999998</v>
      </c>
      <c r="F1355" s="990"/>
      <c r="G1355" s="990"/>
      <c r="H1355" s="990"/>
      <c r="I1355" s="990"/>
      <c r="J1355" s="990"/>
      <c r="K1355" s="990"/>
      <c r="L1355" s="990"/>
      <c r="M1355" s="990"/>
      <c r="N1355" s="990"/>
      <c r="O1355" s="990"/>
      <c r="P1355" s="990"/>
      <c r="Q1355" s="990"/>
      <c r="R1355" s="990"/>
      <c r="S1355" s="990"/>
      <c r="T1355" s="990"/>
      <c r="U1355" s="990"/>
      <c r="V1355" s="990"/>
      <c r="W1355" s="990"/>
      <c r="X1355" s="990"/>
    </row>
    <row r="1356" spans="1:24" s="896" customFormat="1" ht="25.5">
      <c r="A1356" s="987">
        <f t="shared" ref="A1356:A1419" si="22">A1355+1</f>
        <v>1282</v>
      </c>
      <c r="B1356" s="988">
        <v>12623</v>
      </c>
      <c r="C1356" s="899" t="s">
        <v>10682</v>
      </c>
      <c r="D1356" s="988" t="s">
        <v>2669</v>
      </c>
      <c r="E1356" s="989">
        <v>14.18</v>
      </c>
      <c r="F1356" s="990"/>
      <c r="G1356" s="990"/>
      <c r="H1356" s="990"/>
      <c r="I1356" s="990"/>
      <c r="J1356" s="990"/>
      <c r="K1356" s="990"/>
      <c r="L1356" s="990"/>
      <c r="M1356" s="990"/>
      <c r="N1356" s="990"/>
      <c r="O1356" s="990"/>
      <c r="P1356" s="990"/>
      <c r="Q1356" s="990"/>
      <c r="R1356" s="990"/>
      <c r="S1356" s="990"/>
      <c r="T1356" s="990"/>
      <c r="U1356" s="990"/>
      <c r="V1356" s="990"/>
      <c r="W1356" s="990"/>
      <c r="X1356" s="990"/>
    </row>
    <row r="1357" spans="1:24" s="896" customFormat="1">
      <c r="A1357" s="987">
        <f t="shared" si="22"/>
        <v>1283</v>
      </c>
      <c r="B1357" s="988">
        <v>34498</v>
      </c>
      <c r="C1357" s="899" t="s">
        <v>10683</v>
      </c>
      <c r="D1357" s="988" t="s">
        <v>2666</v>
      </c>
      <c r="E1357" s="989">
        <v>123.41</v>
      </c>
      <c r="F1357" s="990"/>
      <c r="G1357" s="990"/>
      <c r="H1357" s="990"/>
      <c r="I1357" s="990"/>
      <c r="J1357" s="990"/>
      <c r="K1357" s="990"/>
      <c r="L1357" s="990"/>
      <c r="M1357" s="990"/>
      <c r="N1357" s="990"/>
      <c r="O1357" s="990"/>
      <c r="P1357" s="990"/>
      <c r="Q1357" s="990"/>
      <c r="R1357" s="990"/>
      <c r="S1357" s="990"/>
      <c r="T1357" s="990"/>
      <c r="U1357" s="990"/>
      <c r="V1357" s="990"/>
      <c r="W1357" s="990"/>
      <c r="X1357" s="990"/>
    </row>
    <row r="1358" spans="1:24" s="896" customFormat="1">
      <c r="A1358" s="987">
        <f t="shared" si="22"/>
        <v>1284</v>
      </c>
      <c r="B1358" s="988">
        <v>13244</v>
      </c>
      <c r="C1358" s="899" t="s">
        <v>10684</v>
      </c>
      <c r="D1358" s="988" t="s">
        <v>2666</v>
      </c>
      <c r="E1358" s="989">
        <v>51.95</v>
      </c>
      <c r="F1358" s="990"/>
      <c r="G1358" s="990"/>
      <c r="H1358" s="990"/>
      <c r="I1358" s="990"/>
      <c r="J1358" s="990"/>
      <c r="K1358" s="990"/>
      <c r="L1358" s="990"/>
      <c r="M1358" s="990"/>
      <c r="N1358" s="990"/>
      <c r="O1358" s="990"/>
      <c r="P1358" s="990"/>
      <c r="Q1358" s="990"/>
      <c r="R1358" s="990"/>
      <c r="S1358" s="990"/>
      <c r="T1358" s="990"/>
      <c r="U1358" s="990"/>
      <c r="V1358" s="990"/>
      <c r="W1358" s="990"/>
      <c r="X1358" s="990"/>
    </row>
    <row r="1359" spans="1:24" s="896" customFormat="1" ht="25.5">
      <c r="A1359" s="987">
        <f t="shared" si="22"/>
        <v>1285</v>
      </c>
      <c r="B1359" s="988">
        <v>38998</v>
      </c>
      <c r="C1359" s="899" t="s">
        <v>10685</v>
      </c>
      <c r="D1359" s="988" t="s">
        <v>2666</v>
      </c>
      <c r="E1359" s="989">
        <v>16.920000000000002</v>
      </c>
      <c r="F1359" s="990"/>
      <c r="G1359" s="990"/>
      <c r="H1359" s="990"/>
      <c r="I1359" s="990"/>
      <c r="J1359" s="990"/>
      <c r="K1359" s="990"/>
      <c r="L1359" s="990"/>
      <c r="M1359" s="990"/>
      <c r="N1359" s="990"/>
      <c r="O1359" s="990"/>
      <c r="P1359" s="990"/>
      <c r="Q1359" s="990"/>
      <c r="R1359" s="990"/>
      <c r="S1359" s="990"/>
      <c r="T1359" s="990"/>
      <c r="U1359" s="990"/>
      <c r="V1359" s="990"/>
      <c r="W1359" s="990"/>
      <c r="X1359" s="990"/>
    </row>
    <row r="1360" spans="1:24" s="896" customFormat="1" ht="25.5">
      <c r="A1360" s="987">
        <f t="shared" si="22"/>
        <v>1286</v>
      </c>
      <c r="B1360" s="988">
        <v>38999</v>
      </c>
      <c r="C1360" s="899" t="s">
        <v>10686</v>
      </c>
      <c r="D1360" s="988" t="s">
        <v>2666</v>
      </c>
      <c r="E1360" s="989">
        <v>27.99</v>
      </c>
      <c r="F1360" s="990"/>
      <c r="G1360" s="990"/>
      <c r="H1360" s="990"/>
      <c r="I1360" s="990"/>
      <c r="J1360" s="990"/>
      <c r="K1360" s="990"/>
      <c r="L1360" s="990"/>
      <c r="M1360" s="990"/>
      <c r="N1360" s="990"/>
      <c r="O1360" s="990"/>
      <c r="P1360" s="990"/>
      <c r="Q1360" s="990"/>
      <c r="R1360" s="990"/>
      <c r="S1360" s="990"/>
      <c r="T1360" s="990"/>
      <c r="U1360" s="990"/>
      <c r="V1360" s="990"/>
      <c r="W1360" s="990"/>
      <c r="X1360" s="990"/>
    </row>
    <row r="1361" spans="1:24" s="896" customFormat="1" ht="25.5">
      <c r="A1361" s="987">
        <f t="shared" si="22"/>
        <v>1287</v>
      </c>
      <c r="B1361" s="988">
        <v>38996</v>
      </c>
      <c r="C1361" s="899" t="s">
        <v>10687</v>
      </c>
      <c r="D1361" s="988" t="s">
        <v>2666</v>
      </c>
      <c r="E1361" s="989">
        <v>24.44</v>
      </c>
      <c r="F1361" s="990"/>
      <c r="G1361" s="990"/>
      <c r="H1361" s="990"/>
      <c r="I1361" s="990"/>
      <c r="J1361" s="990"/>
      <c r="K1361" s="990"/>
      <c r="L1361" s="990"/>
      <c r="M1361" s="990"/>
      <c r="N1361" s="990"/>
      <c r="O1361" s="990"/>
      <c r="P1361" s="990"/>
      <c r="Q1361" s="990"/>
      <c r="R1361" s="990"/>
      <c r="S1361" s="990"/>
      <c r="T1361" s="990"/>
      <c r="U1361" s="990"/>
      <c r="V1361" s="990"/>
      <c r="W1361" s="990"/>
      <c r="X1361" s="990"/>
    </row>
    <row r="1362" spans="1:24" s="896" customFormat="1" ht="25.5">
      <c r="A1362" s="987">
        <f t="shared" si="22"/>
        <v>1288</v>
      </c>
      <c r="B1362" s="988">
        <v>38997</v>
      </c>
      <c r="C1362" s="899" t="s">
        <v>10688</v>
      </c>
      <c r="D1362" s="988" t="s">
        <v>2666</v>
      </c>
      <c r="E1362" s="989">
        <v>39.549999999999997</v>
      </c>
      <c r="F1362" s="990"/>
      <c r="G1362" s="990"/>
      <c r="H1362" s="990"/>
      <c r="I1362" s="990"/>
      <c r="J1362" s="990"/>
      <c r="K1362" s="990"/>
      <c r="L1362" s="990"/>
      <c r="M1362" s="990"/>
      <c r="N1362" s="990"/>
      <c r="O1362" s="990"/>
      <c r="P1362" s="990"/>
      <c r="Q1362" s="990"/>
      <c r="R1362" s="990"/>
      <c r="S1362" s="990"/>
      <c r="T1362" s="990"/>
      <c r="U1362" s="990"/>
      <c r="V1362" s="990"/>
      <c r="W1362" s="990"/>
      <c r="X1362" s="990"/>
    </row>
    <row r="1363" spans="1:24" s="896" customFormat="1">
      <c r="A1363" s="987">
        <f t="shared" si="22"/>
        <v>1289</v>
      </c>
      <c r="B1363" s="988">
        <v>39600</v>
      </c>
      <c r="C1363" s="899" t="s">
        <v>10689</v>
      </c>
      <c r="D1363" s="988" t="s">
        <v>2666</v>
      </c>
      <c r="E1363" s="989">
        <v>16.04</v>
      </c>
      <c r="F1363" s="990"/>
      <c r="G1363" s="990"/>
      <c r="H1363" s="990"/>
      <c r="I1363" s="990"/>
      <c r="J1363" s="990"/>
      <c r="K1363" s="990"/>
      <c r="L1363" s="990"/>
      <c r="M1363" s="990"/>
      <c r="N1363" s="990"/>
      <c r="O1363" s="990"/>
      <c r="P1363" s="990"/>
      <c r="Q1363" s="990"/>
      <c r="R1363" s="990"/>
      <c r="S1363" s="990"/>
      <c r="T1363" s="990"/>
      <c r="U1363" s="990"/>
      <c r="V1363" s="990"/>
      <c r="W1363" s="990"/>
      <c r="X1363" s="990"/>
    </row>
    <row r="1364" spans="1:24" s="896" customFormat="1">
      <c r="A1364" s="987">
        <f t="shared" si="22"/>
        <v>1290</v>
      </c>
      <c r="B1364" s="988">
        <v>39601</v>
      </c>
      <c r="C1364" s="899" t="s">
        <v>10690</v>
      </c>
      <c r="D1364" s="988" t="s">
        <v>2666</v>
      </c>
      <c r="E1364" s="989">
        <v>34.03</v>
      </c>
      <c r="F1364" s="990"/>
      <c r="G1364" s="990"/>
      <c r="H1364" s="990"/>
      <c r="I1364" s="990"/>
      <c r="J1364" s="990"/>
      <c r="K1364" s="990"/>
      <c r="L1364" s="990"/>
      <c r="M1364" s="990"/>
      <c r="N1364" s="990"/>
      <c r="O1364" s="990"/>
      <c r="P1364" s="990"/>
      <c r="Q1364" s="990"/>
      <c r="R1364" s="990"/>
      <c r="S1364" s="990"/>
      <c r="T1364" s="990"/>
      <c r="U1364" s="990"/>
      <c r="V1364" s="990"/>
      <c r="W1364" s="990"/>
      <c r="X1364" s="990"/>
    </row>
    <row r="1365" spans="1:24" s="896" customFormat="1">
      <c r="A1365" s="987">
        <f t="shared" si="22"/>
        <v>1291</v>
      </c>
      <c r="B1365" s="988">
        <v>39862</v>
      </c>
      <c r="C1365" s="899" t="s">
        <v>10691</v>
      </c>
      <c r="D1365" s="988" t="s">
        <v>2666</v>
      </c>
      <c r="E1365" s="989">
        <v>14.86</v>
      </c>
      <c r="F1365" s="990"/>
      <c r="G1365" s="990"/>
      <c r="H1365" s="990"/>
      <c r="I1365" s="990"/>
      <c r="J1365" s="990"/>
      <c r="K1365" s="990"/>
      <c r="L1365" s="990"/>
      <c r="M1365" s="990"/>
      <c r="N1365" s="990"/>
      <c r="O1365" s="990"/>
      <c r="P1365" s="990"/>
      <c r="Q1365" s="990"/>
      <c r="R1365" s="990"/>
      <c r="S1365" s="990"/>
      <c r="T1365" s="990"/>
      <c r="U1365" s="990"/>
      <c r="V1365" s="990"/>
      <c r="W1365" s="990"/>
      <c r="X1365" s="990"/>
    </row>
    <row r="1366" spans="1:24" s="896" customFormat="1">
      <c r="A1366" s="987">
        <f t="shared" si="22"/>
        <v>1292</v>
      </c>
      <c r="B1366" s="988">
        <v>39863</v>
      </c>
      <c r="C1366" s="899" t="s">
        <v>10692</v>
      </c>
      <c r="D1366" s="988" t="s">
        <v>2666</v>
      </c>
      <c r="E1366" s="989">
        <v>15.06</v>
      </c>
      <c r="F1366" s="990"/>
      <c r="G1366" s="990"/>
      <c r="H1366" s="990"/>
      <c r="I1366" s="990"/>
      <c r="J1366" s="990"/>
      <c r="K1366" s="990"/>
      <c r="L1366" s="990"/>
      <c r="M1366" s="990"/>
      <c r="N1366" s="990"/>
      <c r="O1366" s="990"/>
      <c r="P1366" s="990"/>
      <c r="Q1366" s="990"/>
      <c r="R1366" s="990"/>
      <c r="S1366" s="990"/>
      <c r="T1366" s="990"/>
      <c r="U1366" s="990"/>
      <c r="V1366" s="990"/>
      <c r="W1366" s="990"/>
      <c r="X1366" s="990"/>
    </row>
    <row r="1367" spans="1:24" s="896" customFormat="1">
      <c r="A1367" s="987">
        <f t="shared" si="22"/>
        <v>1293</v>
      </c>
      <c r="B1367" s="988">
        <v>39864</v>
      </c>
      <c r="C1367" s="899" t="s">
        <v>10693</v>
      </c>
      <c r="D1367" s="988" t="s">
        <v>2666</v>
      </c>
      <c r="E1367" s="989">
        <v>18.690000000000001</v>
      </c>
      <c r="F1367" s="990"/>
      <c r="G1367" s="990"/>
      <c r="H1367" s="990"/>
      <c r="I1367" s="990"/>
      <c r="J1367" s="990"/>
      <c r="K1367" s="990"/>
      <c r="L1367" s="990"/>
      <c r="M1367" s="990"/>
      <c r="N1367" s="990"/>
      <c r="O1367" s="990"/>
      <c r="P1367" s="990"/>
      <c r="Q1367" s="990"/>
      <c r="R1367" s="990"/>
      <c r="S1367" s="990"/>
      <c r="T1367" s="990"/>
      <c r="U1367" s="990"/>
      <c r="V1367" s="990"/>
      <c r="W1367" s="990"/>
      <c r="X1367" s="990"/>
    </row>
    <row r="1368" spans="1:24" s="896" customFormat="1">
      <c r="A1368" s="987">
        <f t="shared" si="22"/>
        <v>1294</v>
      </c>
      <c r="B1368" s="988">
        <v>39865</v>
      </c>
      <c r="C1368" s="899" t="s">
        <v>10694</v>
      </c>
      <c r="D1368" s="988" t="s">
        <v>2666</v>
      </c>
      <c r="E1368" s="989">
        <v>26.35</v>
      </c>
      <c r="F1368" s="990"/>
      <c r="G1368" s="990"/>
      <c r="H1368" s="990"/>
      <c r="I1368" s="990"/>
      <c r="J1368" s="990"/>
      <c r="K1368" s="990"/>
      <c r="L1368" s="990"/>
      <c r="M1368" s="990"/>
      <c r="N1368" s="990"/>
      <c r="O1368" s="990"/>
      <c r="P1368" s="990"/>
      <c r="Q1368" s="990"/>
      <c r="R1368" s="990"/>
      <c r="S1368" s="990"/>
      <c r="T1368" s="990"/>
      <c r="U1368" s="990"/>
      <c r="V1368" s="990"/>
      <c r="W1368" s="990"/>
      <c r="X1368" s="990"/>
    </row>
    <row r="1369" spans="1:24" s="896" customFormat="1" ht="25.5">
      <c r="A1369" s="987">
        <f t="shared" si="22"/>
        <v>1295</v>
      </c>
      <c r="B1369" s="988">
        <v>2517</v>
      </c>
      <c r="C1369" s="899" t="s">
        <v>10695</v>
      </c>
      <c r="D1369" s="988" t="s">
        <v>2666</v>
      </c>
      <c r="E1369" s="989">
        <v>24.48</v>
      </c>
      <c r="F1369" s="990"/>
      <c r="G1369" s="990"/>
      <c r="H1369" s="990"/>
      <c r="I1369" s="990"/>
      <c r="J1369" s="990"/>
      <c r="K1369" s="990"/>
      <c r="L1369" s="990"/>
      <c r="M1369" s="990"/>
      <c r="N1369" s="990"/>
      <c r="O1369" s="990"/>
      <c r="P1369" s="990"/>
      <c r="Q1369" s="990"/>
      <c r="R1369" s="990"/>
      <c r="S1369" s="990"/>
      <c r="T1369" s="990"/>
      <c r="U1369" s="990"/>
      <c r="V1369" s="990"/>
      <c r="W1369" s="990"/>
      <c r="X1369" s="990"/>
    </row>
    <row r="1370" spans="1:24" s="896" customFormat="1" ht="25.5">
      <c r="A1370" s="987">
        <f t="shared" si="22"/>
        <v>1296</v>
      </c>
      <c r="B1370" s="988">
        <v>2522</v>
      </c>
      <c r="C1370" s="899" t="s">
        <v>10696</v>
      </c>
      <c r="D1370" s="988" t="s">
        <v>2666</v>
      </c>
      <c r="E1370" s="989">
        <v>15.82</v>
      </c>
      <c r="F1370" s="990"/>
      <c r="G1370" s="990"/>
      <c r="H1370" s="990"/>
      <c r="I1370" s="990"/>
      <c r="J1370" s="990"/>
      <c r="K1370" s="990"/>
      <c r="L1370" s="990"/>
      <c r="M1370" s="990"/>
      <c r="N1370" s="990"/>
      <c r="O1370" s="990"/>
      <c r="P1370" s="990"/>
      <c r="Q1370" s="990"/>
      <c r="R1370" s="990"/>
      <c r="S1370" s="990"/>
      <c r="T1370" s="990"/>
      <c r="U1370" s="990"/>
      <c r="V1370" s="990"/>
      <c r="W1370" s="990"/>
      <c r="X1370" s="990"/>
    </row>
    <row r="1371" spans="1:24" s="896" customFormat="1" ht="25.5">
      <c r="A1371" s="987">
        <f t="shared" si="22"/>
        <v>1297</v>
      </c>
      <c r="B1371" s="988">
        <v>2548</v>
      </c>
      <c r="C1371" s="899" t="s">
        <v>10697</v>
      </c>
      <c r="D1371" s="988" t="s">
        <v>2666</v>
      </c>
      <c r="E1371" s="989">
        <v>9.73</v>
      </c>
      <c r="F1371" s="990"/>
      <c r="G1371" s="990"/>
      <c r="H1371" s="990"/>
      <c r="I1371" s="990"/>
      <c r="J1371" s="990"/>
      <c r="K1371" s="990"/>
      <c r="L1371" s="990"/>
      <c r="M1371" s="990"/>
      <c r="N1371" s="990"/>
      <c r="O1371" s="990"/>
      <c r="P1371" s="990"/>
      <c r="Q1371" s="990"/>
      <c r="R1371" s="990"/>
      <c r="S1371" s="990"/>
      <c r="T1371" s="990"/>
      <c r="U1371" s="990"/>
      <c r="V1371" s="990"/>
      <c r="W1371" s="990"/>
      <c r="X1371" s="990"/>
    </row>
    <row r="1372" spans="1:24" s="896" customFormat="1" ht="25.5">
      <c r="A1372" s="987">
        <f t="shared" si="22"/>
        <v>1298</v>
      </c>
      <c r="B1372" s="988">
        <v>2516</v>
      </c>
      <c r="C1372" s="899" t="s">
        <v>10698</v>
      </c>
      <c r="D1372" s="988" t="s">
        <v>2666</v>
      </c>
      <c r="E1372" s="989">
        <v>12.7</v>
      </c>
      <c r="F1372" s="990"/>
      <c r="G1372" s="990"/>
      <c r="H1372" s="990"/>
      <c r="I1372" s="990"/>
      <c r="J1372" s="990"/>
      <c r="K1372" s="990"/>
      <c r="L1372" s="990"/>
      <c r="M1372" s="990"/>
      <c r="N1372" s="990"/>
      <c r="O1372" s="990"/>
      <c r="P1372" s="990"/>
      <c r="Q1372" s="990"/>
      <c r="R1372" s="990"/>
      <c r="S1372" s="990"/>
      <c r="T1372" s="990"/>
      <c r="U1372" s="990"/>
      <c r="V1372" s="990"/>
      <c r="W1372" s="990"/>
      <c r="X1372" s="990"/>
    </row>
    <row r="1373" spans="1:24" s="896" customFormat="1" ht="25.5">
      <c r="A1373" s="987">
        <f t="shared" si="22"/>
        <v>1299</v>
      </c>
      <c r="B1373" s="988">
        <v>2518</v>
      </c>
      <c r="C1373" s="899" t="s">
        <v>10699</v>
      </c>
      <c r="D1373" s="988" t="s">
        <v>2666</v>
      </c>
      <c r="E1373" s="989">
        <v>116.51</v>
      </c>
      <c r="F1373" s="990"/>
      <c r="G1373" s="990"/>
      <c r="H1373" s="990"/>
      <c r="I1373" s="990"/>
      <c r="J1373" s="990"/>
      <c r="K1373" s="990"/>
      <c r="L1373" s="990"/>
      <c r="M1373" s="990"/>
      <c r="N1373" s="990"/>
      <c r="O1373" s="990"/>
      <c r="P1373" s="990"/>
      <c r="Q1373" s="990"/>
      <c r="R1373" s="990"/>
      <c r="S1373" s="990"/>
      <c r="T1373" s="990"/>
      <c r="U1373" s="990"/>
      <c r="V1373" s="990"/>
      <c r="W1373" s="990"/>
      <c r="X1373" s="990"/>
    </row>
    <row r="1374" spans="1:24" s="896" customFormat="1" ht="25.5">
      <c r="A1374" s="987">
        <f t="shared" si="22"/>
        <v>1300</v>
      </c>
      <c r="B1374" s="988">
        <v>2521</v>
      </c>
      <c r="C1374" s="899" t="s">
        <v>10700</v>
      </c>
      <c r="D1374" s="988" t="s">
        <v>2666</v>
      </c>
      <c r="E1374" s="989">
        <v>49.6</v>
      </c>
      <c r="F1374" s="990"/>
      <c r="G1374" s="990"/>
      <c r="H1374" s="990"/>
      <c r="I1374" s="990"/>
      <c r="J1374" s="990"/>
      <c r="K1374" s="990"/>
      <c r="L1374" s="990"/>
      <c r="M1374" s="990"/>
      <c r="N1374" s="990"/>
      <c r="O1374" s="990"/>
      <c r="P1374" s="990"/>
      <c r="Q1374" s="990"/>
      <c r="R1374" s="990"/>
      <c r="S1374" s="990"/>
      <c r="T1374" s="990"/>
      <c r="U1374" s="990"/>
      <c r="V1374" s="990"/>
      <c r="W1374" s="990"/>
      <c r="X1374" s="990"/>
    </row>
    <row r="1375" spans="1:24" s="896" customFormat="1" ht="25.5">
      <c r="A1375" s="987">
        <f t="shared" si="22"/>
        <v>1301</v>
      </c>
      <c r="B1375" s="988">
        <v>2515</v>
      </c>
      <c r="C1375" s="899" t="s">
        <v>10701</v>
      </c>
      <c r="D1375" s="988" t="s">
        <v>2666</v>
      </c>
      <c r="E1375" s="989">
        <v>10.57</v>
      </c>
      <c r="F1375" s="990"/>
      <c r="G1375" s="990"/>
      <c r="H1375" s="990"/>
      <c r="I1375" s="990"/>
      <c r="J1375" s="990"/>
      <c r="K1375" s="990"/>
      <c r="L1375" s="990"/>
      <c r="M1375" s="990"/>
      <c r="N1375" s="990"/>
      <c r="O1375" s="990"/>
      <c r="P1375" s="990"/>
      <c r="Q1375" s="990"/>
      <c r="R1375" s="990"/>
      <c r="S1375" s="990"/>
      <c r="T1375" s="990"/>
      <c r="U1375" s="990"/>
      <c r="V1375" s="990"/>
      <c r="W1375" s="990"/>
      <c r="X1375" s="990"/>
    </row>
    <row r="1376" spans="1:24" s="896" customFormat="1" ht="25.5">
      <c r="A1376" s="987">
        <f t="shared" si="22"/>
        <v>1302</v>
      </c>
      <c r="B1376" s="988">
        <v>2519</v>
      </c>
      <c r="C1376" s="899" t="s">
        <v>10702</v>
      </c>
      <c r="D1376" s="988" t="s">
        <v>2666</v>
      </c>
      <c r="E1376" s="989">
        <v>140.49</v>
      </c>
      <c r="F1376" s="990"/>
      <c r="G1376" s="990"/>
      <c r="H1376" s="990"/>
      <c r="I1376" s="990"/>
      <c r="J1376" s="990"/>
      <c r="K1376" s="990"/>
      <c r="L1376" s="990"/>
      <c r="M1376" s="990"/>
      <c r="N1376" s="990"/>
      <c r="O1376" s="990"/>
      <c r="P1376" s="990"/>
      <c r="Q1376" s="990"/>
      <c r="R1376" s="990"/>
      <c r="S1376" s="990"/>
      <c r="T1376" s="990"/>
      <c r="U1376" s="990"/>
      <c r="V1376" s="990"/>
      <c r="W1376" s="990"/>
      <c r="X1376" s="990"/>
    </row>
    <row r="1377" spans="1:24" s="896" customFormat="1" ht="25.5">
      <c r="A1377" s="987">
        <f t="shared" si="22"/>
        <v>1303</v>
      </c>
      <c r="B1377" s="988">
        <v>2520</v>
      </c>
      <c r="C1377" s="899" t="s">
        <v>10703</v>
      </c>
      <c r="D1377" s="988" t="s">
        <v>2666</v>
      </c>
      <c r="E1377" s="989">
        <v>258.58</v>
      </c>
      <c r="F1377" s="990"/>
      <c r="G1377" s="990"/>
      <c r="H1377" s="990"/>
      <c r="I1377" s="990"/>
      <c r="J1377" s="990"/>
      <c r="K1377" s="990"/>
      <c r="L1377" s="990"/>
      <c r="M1377" s="990"/>
      <c r="N1377" s="990"/>
      <c r="O1377" s="990"/>
      <c r="P1377" s="990"/>
      <c r="Q1377" s="990"/>
      <c r="R1377" s="990"/>
      <c r="S1377" s="990"/>
      <c r="T1377" s="990"/>
      <c r="U1377" s="990"/>
      <c r="V1377" s="990"/>
      <c r="W1377" s="990"/>
      <c r="X1377" s="990"/>
    </row>
    <row r="1378" spans="1:24" s="896" customFormat="1" ht="25.5">
      <c r="A1378" s="987">
        <f t="shared" si="22"/>
        <v>1304</v>
      </c>
      <c r="B1378" s="988">
        <v>1602</v>
      </c>
      <c r="C1378" s="899" t="s">
        <v>10704</v>
      </c>
      <c r="D1378" s="988" t="s">
        <v>2666</v>
      </c>
      <c r="E1378" s="989">
        <v>42.71</v>
      </c>
      <c r="F1378" s="990"/>
      <c r="G1378" s="990"/>
      <c r="H1378" s="990"/>
      <c r="I1378" s="990"/>
      <c r="J1378" s="990"/>
      <c r="K1378" s="990"/>
      <c r="L1378" s="990"/>
      <c r="M1378" s="990"/>
      <c r="N1378" s="990"/>
      <c r="O1378" s="990"/>
      <c r="P1378" s="990"/>
      <c r="Q1378" s="990"/>
      <c r="R1378" s="990"/>
      <c r="S1378" s="990"/>
      <c r="T1378" s="990"/>
      <c r="U1378" s="990"/>
      <c r="V1378" s="990"/>
      <c r="W1378" s="990"/>
      <c r="X1378" s="990"/>
    </row>
    <row r="1379" spans="1:24" s="896" customFormat="1" ht="25.5">
      <c r="A1379" s="987">
        <f t="shared" si="22"/>
        <v>1305</v>
      </c>
      <c r="B1379" s="988">
        <v>1601</v>
      </c>
      <c r="C1379" s="899" t="s">
        <v>10705</v>
      </c>
      <c r="D1379" s="988" t="s">
        <v>2666</v>
      </c>
      <c r="E1379" s="989">
        <v>38.07</v>
      </c>
      <c r="F1379" s="990"/>
      <c r="G1379" s="990"/>
      <c r="H1379" s="990"/>
      <c r="I1379" s="990"/>
      <c r="J1379" s="990"/>
      <c r="K1379" s="990"/>
      <c r="L1379" s="990"/>
      <c r="M1379" s="990"/>
      <c r="N1379" s="990"/>
      <c r="O1379" s="990"/>
      <c r="P1379" s="990"/>
      <c r="Q1379" s="990"/>
      <c r="R1379" s="990"/>
      <c r="S1379" s="990"/>
      <c r="T1379" s="990"/>
      <c r="U1379" s="990"/>
      <c r="V1379" s="990"/>
      <c r="W1379" s="990"/>
      <c r="X1379" s="990"/>
    </row>
    <row r="1380" spans="1:24" s="896" customFormat="1" ht="25.5">
      <c r="A1380" s="987">
        <f t="shared" si="22"/>
        <v>1306</v>
      </c>
      <c r="B1380" s="988">
        <v>1598</v>
      </c>
      <c r="C1380" s="899" t="s">
        <v>10706</v>
      </c>
      <c r="D1380" s="988" t="s">
        <v>2666</v>
      </c>
      <c r="E1380" s="989">
        <v>11.26</v>
      </c>
      <c r="F1380" s="990"/>
      <c r="G1380" s="990"/>
      <c r="H1380" s="990"/>
      <c r="I1380" s="990"/>
      <c r="J1380" s="990"/>
      <c r="K1380" s="990"/>
      <c r="L1380" s="990"/>
      <c r="M1380" s="990"/>
      <c r="N1380" s="990"/>
      <c r="O1380" s="990"/>
      <c r="P1380" s="990"/>
      <c r="Q1380" s="990"/>
      <c r="R1380" s="990"/>
      <c r="S1380" s="990"/>
      <c r="T1380" s="990"/>
      <c r="U1380" s="990"/>
      <c r="V1380" s="990"/>
      <c r="W1380" s="990"/>
      <c r="X1380" s="990"/>
    </row>
    <row r="1381" spans="1:24" s="896" customFormat="1" ht="25.5">
      <c r="A1381" s="987">
        <f t="shared" si="22"/>
        <v>1307</v>
      </c>
      <c r="B1381" s="988">
        <v>1600</v>
      </c>
      <c r="C1381" s="899" t="s">
        <v>10707</v>
      </c>
      <c r="D1381" s="988" t="s">
        <v>2666</v>
      </c>
      <c r="E1381" s="989">
        <v>16.63</v>
      </c>
      <c r="F1381" s="990"/>
      <c r="G1381" s="990"/>
      <c r="H1381" s="990"/>
      <c r="I1381" s="990"/>
      <c r="J1381" s="990"/>
      <c r="K1381" s="990"/>
      <c r="L1381" s="990"/>
      <c r="M1381" s="990"/>
      <c r="N1381" s="990"/>
      <c r="O1381" s="990"/>
      <c r="P1381" s="990"/>
      <c r="Q1381" s="990"/>
      <c r="R1381" s="990"/>
      <c r="S1381" s="990"/>
      <c r="T1381" s="990"/>
      <c r="U1381" s="990"/>
      <c r="V1381" s="990"/>
      <c r="W1381" s="990"/>
      <c r="X1381" s="990"/>
    </row>
    <row r="1382" spans="1:24" s="896" customFormat="1" ht="25.5">
      <c r="A1382" s="987">
        <f t="shared" si="22"/>
        <v>1308</v>
      </c>
      <c r="B1382" s="988">
        <v>1603</v>
      </c>
      <c r="C1382" s="899" t="s">
        <v>10708</v>
      </c>
      <c r="D1382" s="988" t="s">
        <v>2666</v>
      </c>
      <c r="E1382" s="989">
        <v>64.489999999999995</v>
      </c>
      <c r="F1382" s="990"/>
      <c r="G1382" s="990"/>
      <c r="H1382" s="990"/>
      <c r="I1382" s="990"/>
      <c r="J1382" s="990"/>
      <c r="K1382" s="990"/>
      <c r="L1382" s="990"/>
      <c r="M1382" s="990"/>
      <c r="N1382" s="990"/>
      <c r="O1382" s="990"/>
      <c r="P1382" s="990"/>
      <c r="Q1382" s="990"/>
      <c r="R1382" s="990"/>
      <c r="S1382" s="990"/>
      <c r="T1382" s="990"/>
      <c r="U1382" s="990"/>
      <c r="V1382" s="990"/>
      <c r="W1382" s="990"/>
      <c r="X1382" s="990"/>
    </row>
    <row r="1383" spans="1:24" s="896" customFormat="1" ht="25.5">
      <c r="A1383" s="987">
        <f t="shared" si="22"/>
        <v>1309</v>
      </c>
      <c r="B1383" s="988">
        <v>1599</v>
      </c>
      <c r="C1383" s="899" t="s">
        <v>10709</v>
      </c>
      <c r="D1383" s="988" t="s">
        <v>2666</v>
      </c>
      <c r="E1383" s="989">
        <v>13.07</v>
      </c>
      <c r="F1383" s="990"/>
      <c r="G1383" s="990"/>
      <c r="H1383" s="990"/>
      <c r="I1383" s="990"/>
      <c r="J1383" s="990"/>
      <c r="K1383" s="990"/>
      <c r="L1383" s="990"/>
      <c r="M1383" s="990"/>
      <c r="N1383" s="990"/>
      <c r="O1383" s="990"/>
      <c r="P1383" s="990"/>
      <c r="Q1383" s="990"/>
      <c r="R1383" s="990"/>
      <c r="S1383" s="990"/>
      <c r="T1383" s="990"/>
      <c r="U1383" s="990"/>
      <c r="V1383" s="990"/>
      <c r="W1383" s="990"/>
      <c r="X1383" s="990"/>
    </row>
    <row r="1384" spans="1:24" s="896" customFormat="1" ht="25.5">
      <c r="A1384" s="987">
        <f t="shared" si="22"/>
        <v>1310</v>
      </c>
      <c r="B1384" s="988">
        <v>1597</v>
      </c>
      <c r="C1384" s="899" t="s">
        <v>10710</v>
      </c>
      <c r="D1384" s="988" t="s">
        <v>2666</v>
      </c>
      <c r="E1384" s="989">
        <v>10.59</v>
      </c>
      <c r="F1384" s="990"/>
      <c r="G1384" s="990"/>
      <c r="H1384" s="990"/>
      <c r="I1384" s="990"/>
      <c r="J1384" s="990"/>
      <c r="K1384" s="990"/>
      <c r="L1384" s="990"/>
      <c r="M1384" s="990"/>
      <c r="N1384" s="990"/>
      <c r="O1384" s="990"/>
      <c r="P1384" s="990"/>
      <c r="Q1384" s="990"/>
      <c r="R1384" s="990"/>
      <c r="S1384" s="990"/>
      <c r="T1384" s="990"/>
      <c r="U1384" s="990"/>
      <c r="V1384" s="990"/>
      <c r="W1384" s="990"/>
      <c r="X1384" s="990"/>
    </row>
    <row r="1385" spans="1:24" s="896" customFormat="1">
      <c r="A1385" s="987">
        <f t="shared" si="22"/>
        <v>1311</v>
      </c>
      <c r="B1385" s="988">
        <v>39602</v>
      </c>
      <c r="C1385" s="899" t="s">
        <v>10711</v>
      </c>
      <c r="D1385" s="988" t="s">
        <v>2666</v>
      </c>
      <c r="E1385" s="989">
        <v>1.7</v>
      </c>
      <c r="F1385" s="990"/>
      <c r="G1385" s="990"/>
      <c r="H1385" s="990"/>
      <c r="I1385" s="990"/>
      <c r="J1385" s="990"/>
      <c r="K1385" s="990"/>
      <c r="L1385" s="990"/>
      <c r="M1385" s="990"/>
      <c r="N1385" s="990"/>
      <c r="O1385" s="990"/>
      <c r="P1385" s="990"/>
      <c r="Q1385" s="990"/>
      <c r="R1385" s="990"/>
      <c r="S1385" s="990"/>
      <c r="T1385" s="990"/>
      <c r="U1385" s="990"/>
      <c r="V1385" s="990"/>
      <c r="W1385" s="990"/>
      <c r="X1385" s="990"/>
    </row>
    <row r="1386" spans="1:24" s="896" customFormat="1">
      <c r="A1386" s="987">
        <f t="shared" si="22"/>
        <v>1312</v>
      </c>
      <c r="B1386" s="988">
        <v>39603</v>
      </c>
      <c r="C1386" s="899" t="s">
        <v>10712</v>
      </c>
      <c r="D1386" s="988" t="s">
        <v>2666</v>
      </c>
      <c r="E1386" s="989">
        <v>3.62</v>
      </c>
      <c r="F1386" s="990"/>
      <c r="G1386" s="990"/>
      <c r="H1386" s="990"/>
      <c r="I1386" s="990"/>
      <c r="J1386" s="990"/>
      <c r="K1386" s="990"/>
      <c r="L1386" s="990"/>
      <c r="M1386" s="990"/>
      <c r="N1386" s="990"/>
      <c r="O1386" s="990"/>
      <c r="P1386" s="990"/>
      <c r="Q1386" s="990"/>
      <c r="R1386" s="990"/>
      <c r="S1386" s="990"/>
      <c r="T1386" s="990"/>
      <c r="U1386" s="990"/>
      <c r="V1386" s="990"/>
      <c r="W1386" s="990"/>
      <c r="X1386" s="990"/>
    </row>
    <row r="1387" spans="1:24" s="896" customFormat="1" ht="25.5">
      <c r="A1387" s="987">
        <f t="shared" si="22"/>
        <v>1313</v>
      </c>
      <c r="B1387" s="988">
        <v>11821</v>
      </c>
      <c r="C1387" s="899" t="s">
        <v>10713</v>
      </c>
      <c r="D1387" s="988" t="s">
        <v>2666</v>
      </c>
      <c r="E1387" s="989">
        <v>8.6999999999999993</v>
      </c>
      <c r="F1387" s="990"/>
      <c r="G1387" s="990"/>
      <c r="H1387" s="990"/>
      <c r="I1387" s="990"/>
      <c r="J1387" s="990"/>
      <c r="K1387" s="990"/>
      <c r="L1387" s="990"/>
      <c r="M1387" s="990"/>
      <c r="N1387" s="990"/>
      <c r="O1387" s="990"/>
      <c r="P1387" s="990"/>
      <c r="Q1387" s="990"/>
      <c r="R1387" s="990"/>
      <c r="S1387" s="990"/>
      <c r="T1387" s="990"/>
      <c r="U1387" s="990"/>
      <c r="V1387" s="990"/>
      <c r="W1387" s="990"/>
      <c r="X1387" s="990"/>
    </row>
    <row r="1388" spans="1:24" s="896" customFormat="1" ht="25.5">
      <c r="A1388" s="987">
        <f t="shared" si="22"/>
        <v>1314</v>
      </c>
      <c r="B1388" s="988">
        <v>1562</v>
      </c>
      <c r="C1388" s="899" t="s">
        <v>10714</v>
      </c>
      <c r="D1388" s="988" t="s">
        <v>2666</v>
      </c>
      <c r="E1388" s="989">
        <v>14.25</v>
      </c>
      <c r="F1388" s="990"/>
      <c r="G1388" s="990"/>
      <c r="H1388" s="990"/>
      <c r="I1388" s="990"/>
      <c r="J1388" s="990"/>
      <c r="K1388" s="990"/>
      <c r="L1388" s="990"/>
      <c r="M1388" s="990"/>
      <c r="N1388" s="990"/>
      <c r="O1388" s="990"/>
      <c r="P1388" s="990"/>
      <c r="Q1388" s="990"/>
      <c r="R1388" s="990"/>
      <c r="S1388" s="990"/>
      <c r="T1388" s="990"/>
      <c r="U1388" s="990"/>
      <c r="V1388" s="990"/>
      <c r="W1388" s="990"/>
      <c r="X1388" s="990"/>
    </row>
    <row r="1389" spans="1:24" s="896" customFormat="1" ht="25.5">
      <c r="A1389" s="987">
        <f t="shared" si="22"/>
        <v>1315</v>
      </c>
      <c r="B1389" s="988">
        <v>1563</v>
      </c>
      <c r="C1389" s="899" t="s">
        <v>10715</v>
      </c>
      <c r="D1389" s="988" t="s">
        <v>2666</v>
      </c>
      <c r="E1389" s="989">
        <v>19.12</v>
      </c>
      <c r="F1389" s="990"/>
      <c r="G1389" s="990"/>
      <c r="H1389" s="990"/>
      <c r="I1389" s="990"/>
      <c r="J1389" s="990"/>
      <c r="K1389" s="990"/>
      <c r="L1389" s="990"/>
      <c r="M1389" s="990"/>
      <c r="N1389" s="990"/>
      <c r="O1389" s="990"/>
      <c r="P1389" s="990"/>
      <c r="Q1389" s="990"/>
      <c r="R1389" s="990"/>
      <c r="S1389" s="990"/>
      <c r="T1389" s="990"/>
      <c r="U1389" s="990"/>
      <c r="V1389" s="990"/>
      <c r="W1389" s="990"/>
      <c r="X1389" s="990"/>
    </row>
    <row r="1390" spans="1:24" s="896" customFormat="1">
      <c r="A1390" s="987">
        <f t="shared" si="22"/>
        <v>1316</v>
      </c>
      <c r="B1390" s="988">
        <v>11856</v>
      </c>
      <c r="C1390" s="899" t="s">
        <v>10716</v>
      </c>
      <c r="D1390" s="988" t="s">
        <v>2666</v>
      </c>
      <c r="E1390" s="989">
        <v>5.7</v>
      </c>
      <c r="F1390" s="990"/>
      <c r="G1390" s="990"/>
      <c r="H1390" s="990"/>
      <c r="I1390" s="990"/>
      <c r="J1390" s="990"/>
      <c r="K1390" s="990"/>
      <c r="L1390" s="990"/>
      <c r="M1390" s="990"/>
      <c r="N1390" s="990"/>
      <c r="O1390" s="990"/>
      <c r="P1390" s="990"/>
      <c r="Q1390" s="990"/>
      <c r="R1390" s="990"/>
      <c r="S1390" s="990"/>
      <c r="T1390" s="990"/>
      <c r="U1390" s="990"/>
      <c r="V1390" s="990"/>
      <c r="W1390" s="990"/>
      <c r="X1390" s="990"/>
    </row>
    <row r="1391" spans="1:24" s="896" customFormat="1">
      <c r="A1391" s="987">
        <f t="shared" si="22"/>
        <v>1317</v>
      </c>
      <c r="B1391" s="988">
        <v>11857</v>
      </c>
      <c r="C1391" s="899" t="s">
        <v>10717</v>
      </c>
      <c r="D1391" s="988" t="s">
        <v>2666</v>
      </c>
      <c r="E1391" s="989">
        <v>30</v>
      </c>
      <c r="F1391" s="990"/>
      <c r="G1391" s="990"/>
      <c r="H1391" s="990"/>
      <c r="I1391" s="990"/>
      <c r="J1391" s="990"/>
      <c r="K1391" s="990"/>
      <c r="L1391" s="990"/>
      <c r="M1391" s="990"/>
      <c r="N1391" s="990"/>
      <c r="O1391" s="990"/>
      <c r="P1391" s="990"/>
      <c r="Q1391" s="990"/>
      <c r="R1391" s="990"/>
      <c r="S1391" s="990"/>
      <c r="T1391" s="990"/>
      <c r="U1391" s="990"/>
      <c r="V1391" s="990"/>
      <c r="W1391" s="990"/>
      <c r="X1391" s="990"/>
    </row>
    <row r="1392" spans="1:24" s="896" customFormat="1">
      <c r="A1392" s="987">
        <f t="shared" si="22"/>
        <v>1318</v>
      </c>
      <c r="B1392" s="988">
        <v>11858</v>
      </c>
      <c r="C1392" s="899" t="s">
        <v>10718</v>
      </c>
      <c r="D1392" s="988" t="s">
        <v>2666</v>
      </c>
      <c r="E1392" s="989">
        <v>37.229999999999997</v>
      </c>
      <c r="F1392" s="990"/>
      <c r="G1392" s="990"/>
      <c r="H1392" s="990"/>
      <c r="I1392" s="990"/>
      <c r="J1392" s="990"/>
      <c r="K1392" s="990"/>
      <c r="L1392" s="990"/>
      <c r="M1392" s="990"/>
      <c r="N1392" s="990"/>
      <c r="O1392" s="990"/>
      <c r="P1392" s="990"/>
      <c r="Q1392" s="990"/>
      <c r="R1392" s="990"/>
      <c r="S1392" s="990"/>
      <c r="T1392" s="990"/>
      <c r="U1392" s="990"/>
      <c r="V1392" s="990"/>
      <c r="W1392" s="990"/>
      <c r="X1392" s="990"/>
    </row>
    <row r="1393" spans="1:24" s="896" customFormat="1">
      <c r="A1393" s="987">
        <f t="shared" si="22"/>
        <v>1319</v>
      </c>
      <c r="B1393" s="988">
        <v>1539</v>
      </c>
      <c r="C1393" s="899" t="s">
        <v>10719</v>
      </c>
      <c r="D1393" s="988" t="s">
        <v>2666</v>
      </c>
      <c r="E1393" s="989">
        <v>6.7</v>
      </c>
      <c r="F1393" s="990"/>
      <c r="G1393" s="990"/>
      <c r="H1393" s="990"/>
      <c r="I1393" s="990"/>
      <c r="J1393" s="990"/>
      <c r="K1393" s="990"/>
      <c r="L1393" s="990"/>
      <c r="M1393" s="990"/>
      <c r="N1393" s="990"/>
      <c r="O1393" s="990"/>
      <c r="P1393" s="990"/>
      <c r="Q1393" s="990"/>
      <c r="R1393" s="990"/>
      <c r="S1393" s="990"/>
      <c r="T1393" s="990"/>
      <c r="U1393" s="990"/>
      <c r="V1393" s="990"/>
      <c r="W1393" s="990"/>
      <c r="X1393" s="990"/>
    </row>
    <row r="1394" spans="1:24" s="896" customFormat="1">
      <c r="A1394" s="987">
        <f t="shared" si="22"/>
        <v>1320</v>
      </c>
      <c r="B1394" s="988">
        <v>11859</v>
      </c>
      <c r="C1394" s="899" t="s">
        <v>10720</v>
      </c>
      <c r="D1394" s="988" t="s">
        <v>2666</v>
      </c>
      <c r="E1394" s="989">
        <v>50.65</v>
      </c>
      <c r="F1394" s="990"/>
      <c r="G1394" s="990"/>
      <c r="H1394" s="990"/>
      <c r="I1394" s="990"/>
      <c r="J1394" s="990"/>
      <c r="K1394" s="990"/>
      <c r="L1394" s="990"/>
      <c r="M1394" s="990"/>
      <c r="N1394" s="990"/>
      <c r="O1394" s="990"/>
      <c r="P1394" s="990"/>
      <c r="Q1394" s="990"/>
      <c r="R1394" s="990"/>
      <c r="S1394" s="990"/>
      <c r="T1394" s="990"/>
      <c r="U1394" s="990"/>
      <c r="V1394" s="990"/>
      <c r="W1394" s="990"/>
      <c r="X1394" s="990"/>
    </row>
    <row r="1395" spans="1:24" s="896" customFormat="1">
      <c r="A1395" s="987">
        <f t="shared" si="22"/>
        <v>1321</v>
      </c>
      <c r="B1395" s="988">
        <v>1550</v>
      </c>
      <c r="C1395" s="899" t="s">
        <v>10721</v>
      </c>
      <c r="D1395" s="988" t="s">
        <v>2666</v>
      </c>
      <c r="E1395" s="989">
        <v>7.07</v>
      </c>
      <c r="F1395" s="990"/>
      <c r="G1395" s="990"/>
      <c r="H1395" s="990"/>
      <c r="I1395" s="990"/>
      <c r="J1395" s="990"/>
      <c r="K1395" s="990"/>
      <c r="L1395" s="990"/>
      <c r="M1395" s="990"/>
      <c r="N1395" s="990"/>
      <c r="O1395" s="990"/>
      <c r="P1395" s="990"/>
      <c r="Q1395" s="990"/>
      <c r="R1395" s="990"/>
      <c r="S1395" s="990"/>
      <c r="T1395" s="990"/>
      <c r="U1395" s="990"/>
      <c r="V1395" s="990"/>
      <c r="W1395" s="990"/>
      <c r="X1395" s="990"/>
    </row>
    <row r="1396" spans="1:24" s="896" customFormat="1">
      <c r="A1396" s="987">
        <f t="shared" si="22"/>
        <v>1322</v>
      </c>
      <c r="B1396" s="988">
        <v>11854</v>
      </c>
      <c r="C1396" s="899" t="s">
        <v>10722</v>
      </c>
      <c r="D1396" s="988" t="s">
        <v>2666</v>
      </c>
      <c r="E1396" s="989">
        <v>8.83</v>
      </c>
      <c r="F1396" s="990"/>
      <c r="G1396" s="990"/>
      <c r="H1396" s="990"/>
      <c r="I1396" s="990"/>
      <c r="J1396" s="990"/>
      <c r="K1396" s="990"/>
      <c r="L1396" s="990"/>
      <c r="M1396" s="990"/>
      <c r="N1396" s="990"/>
      <c r="O1396" s="990"/>
      <c r="P1396" s="990"/>
      <c r="Q1396" s="990"/>
      <c r="R1396" s="990"/>
      <c r="S1396" s="990"/>
      <c r="T1396" s="990"/>
      <c r="U1396" s="990"/>
      <c r="V1396" s="990"/>
      <c r="W1396" s="990"/>
      <c r="X1396" s="990"/>
    </row>
    <row r="1397" spans="1:24" s="896" customFormat="1">
      <c r="A1397" s="987">
        <f t="shared" si="22"/>
        <v>1323</v>
      </c>
      <c r="B1397" s="988">
        <v>11862</v>
      </c>
      <c r="C1397" s="899" t="s">
        <v>10723</v>
      </c>
      <c r="D1397" s="988" t="s">
        <v>2666</v>
      </c>
      <c r="E1397" s="989">
        <v>12.38</v>
      </c>
      <c r="F1397" s="990"/>
      <c r="G1397" s="990"/>
      <c r="H1397" s="990"/>
      <c r="I1397" s="990"/>
      <c r="J1397" s="990"/>
      <c r="K1397" s="990"/>
      <c r="L1397" s="990"/>
      <c r="M1397" s="990"/>
      <c r="N1397" s="990"/>
      <c r="O1397" s="990"/>
      <c r="P1397" s="990"/>
      <c r="Q1397" s="990"/>
      <c r="R1397" s="990"/>
      <c r="S1397" s="990"/>
      <c r="T1397" s="990"/>
      <c r="U1397" s="990"/>
      <c r="V1397" s="990"/>
      <c r="W1397" s="990"/>
      <c r="X1397" s="990"/>
    </row>
    <row r="1398" spans="1:24" s="896" customFormat="1">
      <c r="A1398" s="987">
        <f t="shared" si="22"/>
        <v>1324</v>
      </c>
      <c r="B1398" s="988">
        <v>11863</v>
      </c>
      <c r="C1398" s="899" t="s">
        <v>10724</v>
      </c>
      <c r="D1398" s="988" t="s">
        <v>2666</v>
      </c>
      <c r="E1398" s="989">
        <v>5</v>
      </c>
      <c r="F1398" s="990"/>
      <c r="G1398" s="990"/>
      <c r="H1398" s="990"/>
      <c r="I1398" s="990"/>
      <c r="J1398" s="990"/>
      <c r="K1398" s="990"/>
      <c r="L1398" s="990"/>
      <c r="M1398" s="990"/>
      <c r="N1398" s="990"/>
      <c r="O1398" s="990"/>
      <c r="P1398" s="990"/>
      <c r="Q1398" s="990"/>
      <c r="R1398" s="990"/>
      <c r="S1398" s="990"/>
      <c r="T1398" s="990"/>
      <c r="U1398" s="990"/>
      <c r="V1398" s="990"/>
      <c r="W1398" s="990"/>
      <c r="X1398" s="990"/>
    </row>
    <row r="1399" spans="1:24" s="896" customFormat="1">
      <c r="A1399" s="987">
        <f t="shared" si="22"/>
        <v>1325</v>
      </c>
      <c r="B1399" s="988">
        <v>11855</v>
      </c>
      <c r="C1399" s="899" t="s">
        <v>10725</v>
      </c>
      <c r="D1399" s="988" t="s">
        <v>2666</v>
      </c>
      <c r="E1399" s="989">
        <v>18.489999999999998</v>
      </c>
      <c r="F1399" s="990"/>
      <c r="G1399" s="990"/>
      <c r="H1399" s="990"/>
      <c r="I1399" s="990"/>
      <c r="J1399" s="990"/>
      <c r="K1399" s="990"/>
      <c r="L1399" s="990"/>
      <c r="M1399" s="990"/>
      <c r="N1399" s="990"/>
      <c r="O1399" s="990"/>
      <c r="P1399" s="990"/>
      <c r="Q1399" s="990"/>
      <c r="R1399" s="990"/>
      <c r="S1399" s="990"/>
      <c r="T1399" s="990"/>
      <c r="U1399" s="990"/>
      <c r="V1399" s="990"/>
      <c r="W1399" s="990"/>
      <c r="X1399" s="990"/>
    </row>
    <row r="1400" spans="1:24" s="896" customFormat="1">
      <c r="A1400" s="987">
        <f t="shared" si="22"/>
        <v>1326</v>
      </c>
      <c r="B1400" s="988">
        <v>11864</v>
      </c>
      <c r="C1400" s="899" t="s">
        <v>10726</v>
      </c>
      <c r="D1400" s="988" t="s">
        <v>2666</v>
      </c>
      <c r="E1400" s="989">
        <v>27.95</v>
      </c>
      <c r="F1400" s="990"/>
      <c r="G1400" s="990"/>
      <c r="H1400" s="990"/>
      <c r="I1400" s="990"/>
      <c r="J1400" s="990"/>
      <c r="K1400" s="990"/>
      <c r="L1400" s="990"/>
      <c r="M1400" s="990"/>
      <c r="N1400" s="990"/>
      <c r="O1400" s="990"/>
      <c r="P1400" s="990"/>
      <c r="Q1400" s="990"/>
      <c r="R1400" s="990"/>
      <c r="S1400" s="990"/>
      <c r="T1400" s="990"/>
      <c r="U1400" s="990"/>
      <c r="V1400" s="990"/>
      <c r="W1400" s="990"/>
      <c r="X1400" s="990"/>
    </row>
    <row r="1401" spans="1:24" s="896" customFormat="1" ht="25.5">
      <c r="A1401" s="987">
        <f t="shared" si="22"/>
        <v>1327</v>
      </c>
      <c r="B1401" s="988">
        <v>2527</v>
      </c>
      <c r="C1401" s="899" t="s">
        <v>10727</v>
      </c>
      <c r="D1401" s="988" t="s">
        <v>2666</v>
      </c>
      <c r="E1401" s="989">
        <v>8.76</v>
      </c>
      <c r="F1401" s="990"/>
      <c r="G1401" s="990"/>
      <c r="H1401" s="990"/>
      <c r="I1401" s="990"/>
      <c r="J1401" s="990"/>
      <c r="K1401" s="990"/>
      <c r="L1401" s="990"/>
      <c r="M1401" s="990"/>
      <c r="N1401" s="990"/>
      <c r="O1401" s="990"/>
      <c r="P1401" s="990"/>
      <c r="Q1401" s="990"/>
      <c r="R1401" s="990"/>
      <c r="S1401" s="990"/>
      <c r="T1401" s="990"/>
      <c r="U1401" s="990"/>
      <c r="V1401" s="990"/>
      <c r="W1401" s="990"/>
      <c r="X1401" s="990"/>
    </row>
    <row r="1402" spans="1:24" s="896" customFormat="1" ht="25.5">
      <c r="A1402" s="987">
        <f t="shared" si="22"/>
        <v>1328</v>
      </c>
      <c r="B1402" s="988">
        <v>2526</v>
      </c>
      <c r="C1402" s="899" t="s">
        <v>10728</v>
      </c>
      <c r="D1402" s="988" t="s">
        <v>2666</v>
      </c>
      <c r="E1402" s="989">
        <v>5.61</v>
      </c>
      <c r="F1402" s="990"/>
      <c r="G1402" s="990"/>
      <c r="H1402" s="990"/>
      <c r="I1402" s="990"/>
      <c r="J1402" s="990"/>
      <c r="K1402" s="990"/>
      <c r="L1402" s="990"/>
      <c r="M1402" s="990"/>
      <c r="N1402" s="990"/>
      <c r="O1402" s="990"/>
      <c r="P1402" s="990"/>
      <c r="Q1402" s="990"/>
      <c r="R1402" s="990"/>
      <c r="S1402" s="990"/>
      <c r="T1402" s="990"/>
      <c r="U1402" s="990"/>
      <c r="V1402" s="990"/>
      <c r="W1402" s="990"/>
      <c r="X1402" s="990"/>
    </row>
    <row r="1403" spans="1:24" s="896" customFormat="1" ht="25.5">
      <c r="A1403" s="987">
        <f t="shared" si="22"/>
        <v>1329</v>
      </c>
      <c r="B1403" s="988">
        <v>2487</v>
      </c>
      <c r="C1403" s="899" t="s">
        <v>10729</v>
      </c>
      <c r="D1403" s="988" t="s">
        <v>2666</v>
      </c>
      <c r="E1403" s="989">
        <v>1.91</v>
      </c>
      <c r="F1403" s="990"/>
      <c r="G1403" s="990"/>
      <c r="H1403" s="990"/>
      <c r="I1403" s="990"/>
      <c r="J1403" s="990"/>
      <c r="K1403" s="990"/>
      <c r="L1403" s="990"/>
      <c r="M1403" s="990"/>
      <c r="N1403" s="990"/>
      <c r="O1403" s="990"/>
      <c r="P1403" s="990"/>
      <c r="Q1403" s="990"/>
      <c r="R1403" s="990"/>
      <c r="S1403" s="990"/>
      <c r="T1403" s="990"/>
      <c r="U1403" s="990"/>
      <c r="V1403" s="990"/>
      <c r="W1403" s="990"/>
      <c r="X1403" s="990"/>
    </row>
    <row r="1404" spans="1:24" s="896" customFormat="1" ht="25.5">
      <c r="A1404" s="987">
        <f t="shared" si="22"/>
        <v>1330</v>
      </c>
      <c r="B1404" s="988">
        <v>2483</v>
      </c>
      <c r="C1404" s="899" t="s">
        <v>10730</v>
      </c>
      <c r="D1404" s="988" t="s">
        <v>2666</v>
      </c>
      <c r="E1404" s="989">
        <v>3.99</v>
      </c>
      <c r="F1404" s="990"/>
      <c r="G1404" s="990"/>
      <c r="H1404" s="990"/>
      <c r="I1404" s="990"/>
      <c r="J1404" s="990"/>
      <c r="K1404" s="990"/>
      <c r="L1404" s="990"/>
      <c r="M1404" s="990"/>
      <c r="N1404" s="990"/>
      <c r="O1404" s="990"/>
      <c r="P1404" s="990"/>
      <c r="Q1404" s="990"/>
      <c r="R1404" s="990"/>
      <c r="S1404" s="990"/>
      <c r="T1404" s="990"/>
      <c r="U1404" s="990"/>
      <c r="V1404" s="990"/>
      <c r="W1404" s="990"/>
      <c r="X1404" s="990"/>
    </row>
    <row r="1405" spans="1:24" s="896" customFormat="1" ht="25.5">
      <c r="A1405" s="987">
        <f t="shared" si="22"/>
        <v>1331</v>
      </c>
      <c r="B1405" s="988">
        <v>2528</v>
      </c>
      <c r="C1405" s="899" t="s">
        <v>10731</v>
      </c>
      <c r="D1405" s="988" t="s">
        <v>2666</v>
      </c>
      <c r="E1405" s="989">
        <v>22.05</v>
      </c>
      <c r="F1405" s="990"/>
      <c r="G1405" s="990"/>
      <c r="H1405" s="990"/>
      <c r="I1405" s="990"/>
      <c r="J1405" s="990"/>
      <c r="K1405" s="990"/>
      <c r="L1405" s="990"/>
      <c r="M1405" s="990"/>
      <c r="N1405" s="990"/>
      <c r="O1405" s="990"/>
      <c r="P1405" s="990"/>
      <c r="Q1405" s="990"/>
      <c r="R1405" s="990"/>
      <c r="S1405" s="990"/>
      <c r="T1405" s="990"/>
      <c r="U1405" s="990"/>
      <c r="V1405" s="990"/>
      <c r="W1405" s="990"/>
      <c r="X1405" s="990"/>
    </row>
    <row r="1406" spans="1:24" s="896" customFormat="1" ht="25.5">
      <c r="A1406" s="987">
        <f t="shared" si="22"/>
        <v>1332</v>
      </c>
      <c r="B1406" s="988">
        <v>2489</v>
      </c>
      <c r="C1406" s="899" t="s">
        <v>10732</v>
      </c>
      <c r="D1406" s="988" t="s">
        <v>2666</v>
      </c>
      <c r="E1406" s="989">
        <v>9.7100000000000009</v>
      </c>
      <c r="F1406" s="990"/>
      <c r="G1406" s="990"/>
      <c r="H1406" s="990"/>
      <c r="I1406" s="990"/>
      <c r="J1406" s="990"/>
      <c r="K1406" s="990"/>
      <c r="L1406" s="990"/>
      <c r="M1406" s="990"/>
      <c r="N1406" s="990"/>
      <c r="O1406" s="990"/>
      <c r="P1406" s="990"/>
      <c r="Q1406" s="990"/>
      <c r="R1406" s="990"/>
      <c r="S1406" s="990"/>
      <c r="T1406" s="990"/>
      <c r="U1406" s="990"/>
      <c r="V1406" s="990"/>
      <c r="W1406" s="990"/>
      <c r="X1406" s="990"/>
    </row>
    <row r="1407" spans="1:24" s="896" customFormat="1" ht="25.5">
      <c r="A1407" s="987">
        <f t="shared" si="22"/>
        <v>1333</v>
      </c>
      <c r="B1407" s="988">
        <v>2488</v>
      </c>
      <c r="C1407" s="899" t="s">
        <v>10733</v>
      </c>
      <c r="D1407" s="988" t="s">
        <v>2666</v>
      </c>
      <c r="E1407" s="989">
        <v>2.2400000000000002</v>
      </c>
      <c r="F1407" s="990"/>
      <c r="G1407" s="990"/>
      <c r="H1407" s="990"/>
      <c r="I1407" s="990"/>
      <c r="J1407" s="990"/>
      <c r="K1407" s="990"/>
      <c r="L1407" s="990"/>
      <c r="M1407" s="990"/>
      <c r="N1407" s="990"/>
      <c r="O1407" s="990"/>
      <c r="P1407" s="990"/>
      <c r="Q1407" s="990"/>
      <c r="R1407" s="990"/>
      <c r="S1407" s="990"/>
      <c r="T1407" s="990"/>
      <c r="U1407" s="990"/>
      <c r="V1407" s="990"/>
      <c r="W1407" s="990"/>
      <c r="X1407" s="990"/>
    </row>
    <row r="1408" spans="1:24" s="896" customFormat="1" ht="25.5">
      <c r="A1408" s="987">
        <f t="shared" si="22"/>
        <v>1334</v>
      </c>
      <c r="B1408" s="988">
        <v>2484</v>
      </c>
      <c r="C1408" s="899" t="s">
        <v>10734</v>
      </c>
      <c r="D1408" s="988" t="s">
        <v>2666</v>
      </c>
      <c r="E1408" s="989">
        <v>32.020000000000003</v>
      </c>
      <c r="F1408" s="990"/>
      <c r="G1408" s="990"/>
      <c r="H1408" s="990"/>
      <c r="I1408" s="990"/>
      <c r="J1408" s="990"/>
      <c r="K1408" s="990"/>
      <c r="L1408" s="990"/>
      <c r="M1408" s="990"/>
      <c r="N1408" s="990"/>
      <c r="O1408" s="990"/>
      <c r="P1408" s="990"/>
      <c r="Q1408" s="990"/>
      <c r="R1408" s="990"/>
      <c r="S1408" s="990"/>
      <c r="T1408" s="990"/>
      <c r="U1408" s="990"/>
      <c r="V1408" s="990"/>
      <c r="W1408" s="990"/>
      <c r="X1408" s="990"/>
    </row>
    <row r="1409" spans="1:24" s="896" customFormat="1" ht="25.5">
      <c r="A1409" s="987">
        <f t="shared" si="22"/>
        <v>1335</v>
      </c>
      <c r="B1409" s="988">
        <v>2485</v>
      </c>
      <c r="C1409" s="899" t="s">
        <v>10735</v>
      </c>
      <c r="D1409" s="988" t="s">
        <v>2666</v>
      </c>
      <c r="E1409" s="989">
        <v>50.19</v>
      </c>
      <c r="F1409" s="990"/>
      <c r="G1409" s="990"/>
      <c r="H1409" s="990"/>
      <c r="I1409" s="990"/>
      <c r="J1409" s="990"/>
      <c r="K1409" s="990"/>
      <c r="L1409" s="990"/>
      <c r="M1409" s="990"/>
      <c r="N1409" s="990"/>
      <c r="O1409" s="990"/>
      <c r="P1409" s="990"/>
      <c r="Q1409" s="990"/>
      <c r="R1409" s="990"/>
      <c r="S1409" s="990"/>
      <c r="T1409" s="990"/>
      <c r="U1409" s="990"/>
      <c r="V1409" s="990"/>
      <c r="W1409" s="990"/>
      <c r="X1409" s="990"/>
    </row>
    <row r="1410" spans="1:24" s="896" customFormat="1">
      <c r="A1410" s="987">
        <f t="shared" si="22"/>
        <v>1336</v>
      </c>
      <c r="B1410" s="988">
        <v>38005</v>
      </c>
      <c r="C1410" s="899" t="s">
        <v>10736</v>
      </c>
      <c r="D1410" s="988" t="s">
        <v>2666</v>
      </c>
      <c r="E1410" s="989">
        <v>29.24</v>
      </c>
      <c r="F1410" s="990"/>
      <c r="G1410" s="990"/>
      <c r="H1410" s="990"/>
      <c r="I1410" s="990"/>
      <c r="J1410" s="990"/>
      <c r="K1410" s="990"/>
      <c r="L1410" s="990"/>
      <c r="M1410" s="990"/>
      <c r="N1410" s="990"/>
      <c r="O1410" s="990"/>
      <c r="P1410" s="990"/>
      <c r="Q1410" s="990"/>
      <c r="R1410" s="990"/>
      <c r="S1410" s="990"/>
      <c r="T1410" s="990"/>
      <c r="U1410" s="990"/>
      <c r="V1410" s="990"/>
      <c r="W1410" s="990"/>
      <c r="X1410" s="990"/>
    </row>
    <row r="1411" spans="1:24" s="896" customFormat="1">
      <c r="A1411" s="987">
        <f t="shared" si="22"/>
        <v>1337</v>
      </c>
      <c r="B1411" s="988">
        <v>38006</v>
      </c>
      <c r="C1411" s="899" t="s">
        <v>10737</v>
      </c>
      <c r="D1411" s="988" t="s">
        <v>2666</v>
      </c>
      <c r="E1411" s="989">
        <v>35.89</v>
      </c>
      <c r="F1411" s="990"/>
      <c r="G1411" s="990"/>
      <c r="H1411" s="990"/>
      <c r="I1411" s="990"/>
      <c r="J1411" s="990"/>
      <c r="K1411" s="990"/>
      <c r="L1411" s="990"/>
      <c r="M1411" s="990"/>
      <c r="N1411" s="990"/>
      <c r="O1411" s="990"/>
      <c r="P1411" s="990"/>
      <c r="Q1411" s="990"/>
      <c r="R1411" s="990"/>
      <c r="S1411" s="990"/>
      <c r="T1411" s="990"/>
      <c r="U1411" s="990"/>
      <c r="V1411" s="990"/>
      <c r="W1411" s="990"/>
      <c r="X1411" s="990"/>
    </row>
    <row r="1412" spans="1:24" s="896" customFormat="1">
      <c r="A1412" s="987">
        <f t="shared" si="22"/>
        <v>1338</v>
      </c>
      <c r="B1412" s="988">
        <v>38428</v>
      </c>
      <c r="C1412" s="899" t="s">
        <v>10738</v>
      </c>
      <c r="D1412" s="988" t="s">
        <v>2666</v>
      </c>
      <c r="E1412" s="989">
        <v>33.619999999999997</v>
      </c>
      <c r="F1412" s="990"/>
      <c r="G1412" s="990"/>
      <c r="H1412" s="990"/>
      <c r="I1412" s="990"/>
      <c r="J1412" s="990"/>
      <c r="K1412" s="990"/>
      <c r="L1412" s="990"/>
      <c r="M1412" s="990"/>
      <c r="N1412" s="990"/>
      <c r="O1412" s="990"/>
      <c r="P1412" s="990"/>
      <c r="Q1412" s="990"/>
      <c r="R1412" s="990"/>
      <c r="S1412" s="990"/>
      <c r="T1412" s="990"/>
      <c r="U1412" s="990"/>
      <c r="V1412" s="990"/>
      <c r="W1412" s="990"/>
      <c r="X1412" s="990"/>
    </row>
    <row r="1413" spans="1:24" s="896" customFormat="1">
      <c r="A1413" s="987">
        <f t="shared" si="22"/>
        <v>1339</v>
      </c>
      <c r="B1413" s="988">
        <v>38007</v>
      </c>
      <c r="C1413" s="899" t="s">
        <v>10739</v>
      </c>
      <c r="D1413" s="988" t="s">
        <v>2666</v>
      </c>
      <c r="E1413" s="989">
        <v>54.93</v>
      </c>
      <c r="F1413" s="990"/>
      <c r="G1413" s="990"/>
      <c r="H1413" s="990"/>
      <c r="I1413" s="990"/>
      <c r="J1413" s="990"/>
      <c r="K1413" s="990"/>
      <c r="L1413" s="990"/>
      <c r="M1413" s="990"/>
      <c r="N1413" s="990"/>
      <c r="O1413" s="990"/>
      <c r="P1413" s="990"/>
      <c r="Q1413" s="990"/>
      <c r="R1413" s="990"/>
      <c r="S1413" s="990"/>
      <c r="T1413" s="990"/>
      <c r="U1413" s="990"/>
      <c r="V1413" s="990"/>
      <c r="W1413" s="990"/>
      <c r="X1413" s="990"/>
    </row>
    <row r="1414" spans="1:24" s="896" customFormat="1">
      <c r="A1414" s="987">
        <f t="shared" si="22"/>
        <v>1340</v>
      </c>
      <c r="B1414" s="988">
        <v>38008</v>
      </c>
      <c r="C1414" s="899" t="s">
        <v>10740</v>
      </c>
      <c r="D1414" s="988" t="s">
        <v>2666</v>
      </c>
      <c r="E1414" s="989">
        <v>221.22</v>
      </c>
      <c r="F1414" s="990"/>
      <c r="G1414" s="990"/>
      <c r="H1414" s="990"/>
      <c r="I1414" s="990"/>
      <c r="J1414" s="990"/>
      <c r="K1414" s="990"/>
      <c r="L1414" s="990"/>
      <c r="M1414" s="990"/>
      <c r="N1414" s="990"/>
      <c r="O1414" s="990"/>
      <c r="P1414" s="990"/>
      <c r="Q1414" s="990"/>
      <c r="R1414" s="990"/>
      <c r="S1414" s="990"/>
      <c r="T1414" s="990"/>
      <c r="U1414" s="990"/>
      <c r="V1414" s="990"/>
      <c r="W1414" s="990"/>
      <c r="X1414" s="990"/>
    </row>
    <row r="1415" spans="1:24" s="896" customFormat="1">
      <c r="A1415" s="987">
        <f t="shared" si="22"/>
        <v>1341</v>
      </c>
      <c r="B1415" s="988">
        <v>38009</v>
      </c>
      <c r="C1415" s="899" t="s">
        <v>10741</v>
      </c>
      <c r="D1415" s="988" t="s">
        <v>2666</v>
      </c>
      <c r="E1415" s="989">
        <v>270.37</v>
      </c>
      <c r="F1415" s="990"/>
      <c r="G1415" s="990"/>
      <c r="H1415" s="990"/>
      <c r="I1415" s="990"/>
      <c r="J1415" s="990"/>
      <c r="K1415" s="990"/>
      <c r="L1415" s="990"/>
      <c r="M1415" s="990"/>
      <c r="N1415" s="990"/>
      <c r="O1415" s="990"/>
      <c r="P1415" s="990"/>
      <c r="Q1415" s="990"/>
      <c r="R1415" s="990"/>
      <c r="S1415" s="990"/>
      <c r="T1415" s="990"/>
      <c r="U1415" s="990"/>
      <c r="V1415" s="990"/>
      <c r="W1415" s="990"/>
      <c r="X1415" s="990"/>
    </row>
    <row r="1416" spans="1:24" s="896" customFormat="1" ht="25.5">
      <c r="A1416" s="987">
        <f t="shared" si="22"/>
        <v>1342</v>
      </c>
      <c r="B1416" s="988">
        <v>39279</v>
      </c>
      <c r="C1416" s="899" t="s">
        <v>10742</v>
      </c>
      <c r="D1416" s="988" t="s">
        <v>2666</v>
      </c>
      <c r="E1416" s="989">
        <v>11.03</v>
      </c>
      <c r="F1416" s="990"/>
      <c r="G1416" s="990"/>
      <c r="H1416" s="990"/>
      <c r="I1416" s="990"/>
      <c r="J1416" s="990"/>
      <c r="K1416" s="990"/>
      <c r="L1416" s="990"/>
      <c r="M1416" s="990"/>
      <c r="N1416" s="990"/>
      <c r="O1416" s="990"/>
      <c r="P1416" s="990"/>
      <c r="Q1416" s="990"/>
      <c r="R1416" s="990"/>
      <c r="S1416" s="990"/>
      <c r="T1416" s="990"/>
      <c r="U1416" s="990"/>
      <c r="V1416" s="990"/>
      <c r="W1416" s="990"/>
      <c r="X1416" s="990"/>
    </row>
    <row r="1417" spans="1:24" s="896" customFormat="1" ht="25.5">
      <c r="A1417" s="987">
        <f t="shared" si="22"/>
        <v>1343</v>
      </c>
      <c r="B1417" s="988">
        <v>38845</v>
      </c>
      <c r="C1417" s="899" t="s">
        <v>10743</v>
      </c>
      <c r="D1417" s="988" t="s">
        <v>2666</v>
      </c>
      <c r="E1417" s="989">
        <v>15.96</v>
      </c>
      <c r="F1417" s="990"/>
      <c r="G1417" s="990"/>
      <c r="H1417" s="990"/>
      <c r="I1417" s="990"/>
      <c r="J1417" s="990"/>
      <c r="K1417" s="990"/>
      <c r="L1417" s="990"/>
      <c r="M1417" s="990"/>
      <c r="N1417" s="990"/>
      <c r="O1417" s="990"/>
      <c r="P1417" s="990"/>
      <c r="Q1417" s="990"/>
      <c r="R1417" s="990"/>
      <c r="S1417" s="990"/>
      <c r="T1417" s="990"/>
      <c r="U1417" s="990"/>
      <c r="V1417" s="990"/>
      <c r="W1417" s="990"/>
      <c r="X1417" s="990"/>
    </row>
    <row r="1418" spans="1:24" s="896" customFormat="1" ht="25.5">
      <c r="A1418" s="987">
        <f t="shared" si="22"/>
        <v>1344</v>
      </c>
      <c r="B1418" s="988">
        <v>39280</v>
      </c>
      <c r="C1418" s="899" t="s">
        <v>10744</v>
      </c>
      <c r="D1418" s="988" t="s">
        <v>2666</v>
      </c>
      <c r="E1418" s="989">
        <v>14.3</v>
      </c>
      <c r="F1418" s="990"/>
      <c r="G1418" s="990"/>
      <c r="H1418" s="990"/>
      <c r="I1418" s="990"/>
      <c r="J1418" s="990"/>
      <c r="K1418" s="990"/>
      <c r="L1418" s="990"/>
      <c r="M1418" s="990"/>
      <c r="N1418" s="990"/>
      <c r="O1418" s="990"/>
      <c r="P1418" s="990"/>
      <c r="Q1418" s="990"/>
      <c r="R1418" s="990"/>
      <c r="S1418" s="990"/>
      <c r="T1418" s="990"/>
      <c r="U1418" s="990"/>
      <c r="V1418" s="990"/>
      <c r="W1418" s="990"/>
      <c r="X1418" s="990"/>
    </row>
    <row r="1419" spans="1:24" s="896" customFormat="1" ht="25.5">
      <c r="A1419" s="987">
        <f t="shared" si="22"/>
        <v>1345</v>
      </c>
      <c r="B1419" s="988">
        <v>39281</v>
      </c>
      <c r="C1419" s="899" t="s">
        <v>10745</v>
      </c>
      <c r="D1419" s="988" t="s">
        <v>2666</v>
      </c>
      <c r="E1419" s="989">
        <v>18.829999999999998</v>
      </c>
      <c r="F1419" s="990"/>
      <c r="G1419" s="990"/>
      <c r="H1419" s="990"/>
      <c r="I1419" s="990"/>
      <c r="J1419" s="990"/>
      <c r="K1419" s="990"/>
      <c r="L1419" s="990"/>
      <c r="M1419" s="990"/>
      <c r="N1419" s="990"/>
      <c r="O1419" s="990"/>
      <c r="P1419" s="990"/>
      <c r="Q1419" s="990"/>
      <c r="R1419" s="990"/>
      <c r="S1419" s="990"/>
      <c r="T1419" s="990"/>
      <c r="U1419" s="990"/>
      <c r="V1419" s="990"/>
      <c r="W1419" s="990"/>
      <c r="X1419" s="990"/>
    </row>
    <row r="1420" spans="1:24" s="896" customFormat="1" ht="25.5">
      <c r="A1420" s="987">
        <f t="shared" ref="A1420:A1483" si="23">A1419+1</f>
        <v>1346</v>
      </c>
      <c r="B1420" s="988">
        <v>38849</v>
      </c>
      <c r="C1420" s="899" t="s">
        <v>10746</v>
      </c>
      <c r="D1420" s="988" t="s">
        <v>2666</v>
      </c>
      <c r="E1420" s="989">
        <v>16.13</v>
      </c>
      <c r="F1420" s="990"/>
      <c r="G1420" s="990"/>
      <c r="H1420" s="990"/>
      <c r="I1420" s="990"/>
      <c r="J1420" s="990"/>
      <c r="K1420" s="990"/>
      <c r="L1420" s="990"/>
      <c r="M1420" s="990"/>
      <c r="N1420" s="990"/>
      <c r="O1420" s="990"/>
      <c r="P1420" s="990"/>
      <c r="Q1420" s="990"/>
      <c r="R1420" s="990"/>
      <c r="S1420" s="990"/>
      <c r="T1420" s="990"/>
      <c r="U1420" s="990"/>
      <c r="V1420" s="990"/>
      <c r="W1420" s="990"/>
      <c r="X1420" s="990"/>
    </row>
    <row r="1421" spans="1:24" s="896" customFormat="1" ht="25.5">
      <c r="A1421" s="987">
        <f t="shared" si="23"/>
        <v>1347</v>
      </c>
      <c r="B1421" s="988">
        <v>39282</v>
      </c>
      <c r="C1421" s="899" t="s">
        <v>10747</v>
      </c>
      <c r="D1421" s="988" t="s">
        <v>2666</v>
      </c>
      <c r="E1421" s="989">
        <v>19.28</v>
      </c>
      <c r="F1421" s="990"/>
      <c r="G1421" s="990"/>
      <c r="H1421" s="990"/>
      <c r="I1421" s="990"/>
      <c r="J1421" s="990"/>
      <c r="K1421" s="990"/>
      <c r="L1421" s="990"/>
      <c r="M1421" s="990"/>
      <c r="N1421" s="990"/>
      <c r="O1421" s="990"/>
      <c r="P1421" s="990"/>
      <c r="Q1421" s="990"/>
      <c r="R1421" s="990"/>
      <c r="S1421" s="990"/>
      <c r="T1421" s="990"/>
      <c r="U1421" s="990"/>
      <c r="V1421" s="990"/>
      <c r="W1421" s="990"/>
      <c r="X1421" s="990"/>
    </row>
    <row r="1422" spans="1:24" s="896" customFormat="1" ht="25.5">
      <c r="A1422" s="987">
        <f t="shared" si="23"/>
        <v>1348</v>
      </c>
      <c r="B1422" s="988">
        <v>38852</v>
      </c>
      <c r="C1422" s="899" t="s">
        <v>10748</v>
      </c>
      <c r="D1422" s="988" t="s">
        <v>2666</v>
      </c>
      <c r="E1422" s="989">
        <v>26.23</v>
      </c>
      <c r="F1422" s="990"/>
      <c r="G1422" s="990"/>
      <c r="H1422" s="990"/>
      <c r="I1422" s="990"/>
      <c r="J1422" s="990"/>
      <c r="K1422" s="990"/>
      <c r="L1422" s="990"/>
      <c r="M1422" s="990"/>
      <c r="N1422" s="990"/>
      <c r="O1422" s="990"/>
      <c r="P1422" s="990"/>
      <c r="Q1422" s="990"/>
      <c r="R1422" s="990"/>
      <c r="S1422" s="990"/>
      <c r="T1422" s="990"/>
      <c r="U1422" s="990"/>
      <c r="V1422" s="990"/>
      <c r="W1422" s="990"/>
      <c r="X1422" s="990"/>
    </row>
    <row r="1423" spans="1:24" s="896" customFormat="1" ht="25.5">
      <c r="A1423" s="987">
        <f t="shared" si="23"/>
        <v>1349</v>
      </c>
      <c r="B1423" s="988">
        <v>38844</v>
      </c>
      <c r="C1423" s="899" t="s">
        <v>10749</v>
      </c>
      <c r="D1423" s="988" t="s">
        <v>2666</v>
      </c>
      <c r="E1423" s="989">
        <v>8.06</v>
      </c>
      <c r="F1423" s="990"/>
      <c r="G1423" s="990"/>
      <c r="H1423" s="990"/>
      <c r="I1423" s="990"/>
      <c r="J1423" s="990"/>
      <c r="K1423" s="990"/>
      <c r="L1423" s="990"/>
      <c r="M1423" s="990"/>
      <c r="N1423" s="990"/>
      <c r="O1423" s="990"/>
      <c r="P1423" s="990"/>
      <c r="Q1423" s="990"/>
      <c r="R1423" s="990"/>
      <c r="S1423" s="990"/>
      <c r="T1423" s="990"/>
      <c r="U1423" s="990"/>
      <c r="V1423" s="990"/>
      <c r="W1423" s="990"/>
      <c r="X1423" s="990"/>
    </row>
    <row r="1424" spans="1:24" s="896" customFormat="1" ht="25.5">
      <c r="A1424" s="987">
        <f t="shared" si="23"/>
        <v>1350</v>
      </c>
      <c r="B1424" s="988">
        <v>38846</v>
      </c>
      <c r="C1424" s="899" t="s">
        <v>10750</v>
      </c>
      <c r="D1424" s="988" t="s">
        <v>2666</v>
      </c>
      <c r="E1424" s="989">
        <v>8.81</v>
      </c>
      <c r="F1424" s="990"/>
      <c r="G1424" s="990"/>
      <c r="H1424" s="990"/>
      <c r="I1424" s="990"/>
      <c r="J1424" s="990"/>
      <c r="K1424" s="990"/>
      <c r="L1424" s="990"/>
      <c r="M1424" s="990"/>
      <c r="N1424" s="990"/>
      <c r="O1424" s="990"/>
      <c r="P1424" s="990"/>
      <c r="Q1424" s="990"/>
      <c r="R1424" s="990"/>
      <c r="S1424" s="990"/>
      <c r="T1424" s="990"/>
      <c r="U1424" s="990"/>
      <c r="V1424" s="990"/>
      <c r="W1424" s="990"/>
      <c r="X1424" s="990"/>
    </row>
    <row r="1425" spans="1:24" s="896" customFormat="1" ht="25.5">
      <c r="A1425" s="987">
        <f t="shared" si="23"/>
        <v>1351</v>
      </c>
      <c r="B1425" s="988">
        <v>38847</v>
      </c>
      <c r="C1425" s="899" t="s">
        <v>10751</v>
      </c>
      <c r="D1425" s="988" t="s">
        <v>2666</v>
      </c>
      <c r="E1425" s="989">
        <v>10.84</v>
      </c>
      <c r="F1425" s="990"/>
      <c r="G1425" s="990"/>
      <c r="H1425" s="990"/>
      <c r="I1425" s="990"/>
      <c r="J1425" s="990"/>
      <c r="K1425" s="990"/>
      <c r="L1425" s="990"/>
      <c r="M1425" s="990"/>
      <c r="N1425" s="990"/>
      <c r="O1425" s="990"/>
      <c r="P1425" s="990"/>
      <c r="Q1425" s="990"/>
      <c r="R1425" s="990"/>
      <c r="S1425" s="990"/>
      <c r="T1425" s="990"/>
      <c r="U1425" s="990"/>
      <c r="V1425" s="990"/>
      <c r="W1425" s="990"/>
      <c r="X1425" s="990"/>
    </row>
    <row r="1426" spans="1:24" s="896" customFormat="1" ht="25.5">
      <c r="A1426" s="987">
        <f t="shared" si="23"/>
        <v>1352</v>
      </c>
      <c r="B1426" s="988">
        <v>38850</v>
      </c>
      <c r="C1426" s="899" t="s">
        <v>10752</v>
      </c>
      <c r="D1426" s="988" t="s">
        <v>2666</v>
      </c>
      <c r="E1426" s="989">
        <v>15.07</v>
      </c>
      <c r="F1426" s="990"/>
      <c r="G1426" s="990"/>
      <c r="H1426" s="990"/>
      <c r="I1426" s="990"/>
      <c r="J1426" s="990"/>
      <c r="K1426" s="990"/>
      <c r="L1426" s="990"/>
      <c r="M1426" s="990"/>
      <c r="N1426" s="990"/>
      <c r="O1426" s="990"/>
      <c r="P1426" s="990"/>
      <c r="Q1426" s="990"/>
      <c r="R1426" s="990"/>
      <c r="S1426" s="990"/>
      <c r="T1426" s="990"/>
      <c r="U1426" s="990"/>
      <c r="V1426" s="990"/>
      <c r="W1426" s="990"/>
      <c r="X1426" s="990"/>
    </row>
    <row r="1427" spans="1:24" s="896" customFormat="1" ht="25.5">
      <c r="A1427" s="987">
        <f t="shared" si="23"/>
        <v>1353</v>
      </c>
      <c r="B1427" s="988">
        <v>38848</v>
      </c>
      <c r="C1427" s="899" t="s">
        <v>10753</v>
      </c>
      <c r="D1427" s="988" t="s">
        <v>2666</v>
      </c>
      <c r="E1427" s="989">
        <v>12.61</v>
      </c>
      <c r="F1427" s="990"/>
      <c r="G1427" s="990"/>
      <c r="H1427" s="990"/>
      <c r="I1427" s="990"/>
      <c r="J1427" s="990"/>
      <c r="K1427" s="990"/>
      <c r="L1427" s="990"/>
      <c r="M1427" s="990"/>
      <c r="N1427" s="990"/>
      <c r="O1427" s="990"/>
      <c r="P1427" s="990"/>
      <c r="Q1427" s="990"/>
      <c r="R1427" s="990"/>
      <c r="S1427" s="990"/>
      <c r="T1427" s="990"/>
      <c r="U1427" s="990"/>
      <c r="V1427" s="990"/>
      <c r="W1427" s="990"/>
      <c r="X1427" s="990"/>
    </row>
    <row r="1428" spans="1:24" s="896" customFormat="1" ht="25.5">
      <c r="A1428" s="987">
        <f t="shared" si="23"/>
        <v>1354</v>
      </c>
      <c r="B1428" s="988">
        <v>38851</v>
      </c>
      <c r="C1428" s="899" t="s">
        <v>10754</v>
      </c>
      <c r="D1428" s="988" t="s">
        <v>2666</v>
      </c>
      <c r="E1428" s="989">
        <v>22.92</v>
      </c>
      <c r="F1428" s="990"/>
      <c r="G1428" s="990"/>
      <c r="H1428" s="990"/>
      <c r="I1428" s="990"/>
      <c r="J1428" s="990"/>
      <c r="K1428" s="990"/>
      <c r="L1428" s="990"/>
      <c r="M1428" s="990"/>
      <c r="N1428" s="990"/>
      <c r="O1428" s="990"/>
      <c r="P1428" s="990"/>
      <c r="Q1428" s="990"/>
      <c r="R1428" s="990"/>
      <c r="S1428" s="990"/>
      <c r="T1428" s="990"/>
      <c r="U1428" s="990"/>
      <c r="V1428" s="990"/>
      <c r="W1428" s="990"/>
      <c r="X1428" s="990"/>
    </row>
    <row r="1429" spans="1:24" s="896" customFormat="1">
      <c r="A1429" s="987">
        <f t="shared" si="23"/>
        <v>1355</v>
      </c>
      <c r="B1429" s="988">
        <v>38860</v>
      </c>
      <c r="C1429" s="899" t="s">
        <v>10755</v>
      </c>
      <c r="D1429" s="988" t="s">
        <v>2666</v>
      </c>
      <c r="E1429" s="989">
        <v>6.47</v>
      </c>
      <c r="F1429" s="990"/>
      <c r="G1429" s="990"/>
      <c r="H1429" s="990"/>
      <c r="I1429" s="990"/>
      <c r="J1429" s="990"/>
      <c r="K1429" s="990"/>
      <c r="L1429" s="990"/>
      <c r="M1429" s="990"/>
      <c r="N1429" s="990"/>
      <c r="O1429" s="990"/>
      <c r="P1429" s="990"/>
      <c r="Q1429" s="990"/>
      <c r="R1429" s="990"/>
      <c r="S1429" s="990"/>
      <c r="T1429" s="990"/>
      <c r="U1429" s="990"/>
      <c r="V1429" s="990"/>
      <c r="W1429" s="990"/>
      <c r="X1429" s="990"/>
    </row>
    <row r="1430" spans="1:24" s="896" customFormat="1">
      <c r="A1430" s="987">
        <f t="shared" si="23"/>
        <v>1356</v>
      </c>
      <c r="B1430" s="988">
        <v>38861</v>
      </c>
      <c r="C1430" s="899" t="s">
        <v>10756</v>
      </c>
      <c r="D1430" s="988" t="s">
        <v>2666</v>
      </c>
      <c r="E1430" s="989">
        <v>8.7200000000000006</v>
      </c>
      <c r="F1430" s="990"/>
      <c r="G1430" s="990"/>
      <c r="H1430" s="990"/>
      <c r="I1430" s="990"/>
      <c r="J1430" s="990"/>
      <c r="K1430" s="990"/>
      <c r="L1430" s="990"/>
      <c r="M1430" s="990"/>
      <c r="N1430" s="990"/>
      <c r="O1430" s="990"/>
      <c r="P1430" s="990"/>
      <c r="Q1430" s="990"/>
      <c r="R1430" s="990"/>
      <c r="S1430" s="990"/>
      <c r="T1430" s="990"/>
      <c r="U1430" s="990"/>
      <c r="V1430" s="990"/>
      <c r="W1430" s="990"/>
      <c r="X1430" s="990"/>
    </row>
    <row r="1431" spans="1:24" s="896" customFormat="1">
      <c r="A1431" s="987">
        <f t="shared" si="23"/>
        <v>1357</v>
      </c>
      <c r="B1431" s="988">
        <v>38862</v>
      </c>
      <c r="C1431" s="899" t="s">
        <v>10757</v>
      </c>
      <c r="D1431" s="988" t="s">
        <v>2666</v>
      </c>
      <c r="E1431" s="989">
        <v>7.35</v>
      </c>
      <c r="F1431" s="990"/>
      <c r="G1431" s="990"/>
      <c r="H1431" s="990"/>
      <c r="I1431" s="990"/>
      <c r="J1431" s="990"/>
      <c r="K1431" s="990"/>
      <c r="L1431" s="990"/>
      <c r="M1431" s="990"/>
      <c r="N1431" s="990"/>
      <c r="O1431" s="990"/>
      <c r="P1431" s="990"/>
      <c r="Q1431" s="990"/>
      <c r="R1431" s="990"/>
      <c r="S1431" s="990"/>
      <c r="T1431" s="990"/>
      <c r="U1431" s="990"/>
      <c r="V1431" s="990"/>
      <c r="W1431" s="990"/>
      <c r="X1431" s="990"/>
    </row>
    <row r="1432" spans="1:24" s="896" customFormat="1">
      <c r="A1432" s="987">
        <f t="shared" si="23"/>
        <v>1358</v>
      </c>
      <c r="B1432" s="988">
        <v>38863</v>
      </c>
      <c r="C1432" s="899" t="s">
        <v>10758</v>
      </c>
      <c r="D1432" s="988" t="s">
        <v>2666</v>
      </c>
      <c r="E1432" s="989">
        <v>8.44</v>
      </c>
      <c r="F1432" s="990"/>
      <c r="G1432" s="990"/>
      <c r="H1432" s="990"/>
      <c r="I1432" s="990"/>
      <c r="J1432" s="990"/>
      <c r="K1432" s="990"/>
      <c r="L1432" s="990"/>
      <c r="M1432" s="990"/>
      <c r="N1432" s="990"/>
      <c r="O1432" s="990"/>
      <c r="P1432" s="990"/>
      <c r="Q1432" s="990"/>
      <c r="R1432" s="990"/>
      <c r="S1432" s="990"/>
      <c r="T1432" s="990"/>
      <c r="U1432" s="990"/>
      <c r="V1432" s="990"/>
      <c r="W1432" s="990"/>
      <c r="X1432" s="990"/>
    </row>
    <row r="1433" spans="1:24" s="896" customFormat="1">
      <c r="A1433" s="987">
        <f t="shared" si="23"/>
        <v>1359</v>
      </c>
      <c r="B1433" s="988">
        <v>38865</v>
      </c>
      <c r="C1433" s="899" t="s">
        <v>10759</v>
      </c>
      <c r="D1433" s="988" t="s">
        <v>2666</v>
      </c>
      <c r="E1433" s="989">
        <v>11.46</v>
      </c>
      <c r="F1433" s="990"/>
      <c r="G1433" s="990"/>
      <c r="H1433" s="990"/>
      <c r="I1433" s="990"/>
      <c r="J1433" s="990"/>
      <c r="K1433" s="990"/>
      <c r="L1433" s="990"/>
      <c r="M1433" s="990"/>
      <c r="N1433" s="990"/>
      <c r="O1433" s="990"/>
      <c r="P1433" s="990"/>
      <c r="Q1433" s="990"/>
      <c r="R1433" s="990"/>
      <c r="S1433" s="990"/>
      <c r="T1433" s="990"/>
      <c r="U1433" s="990"/>
      <c r="V1433" s="990"/>
      <c r="W1433" s="990"/>
      <c r="X1433" s="990"/>
    </row>
    <row r="1434" spans="1:24" s="896" customFormat="1">
      <c r="A1434" s="987">
        <f t="shared" si="23"/>
        <v>1360</v>
      </c>
      <c r="B1434" s="988">
        <v>38864</v>
      </c>
      <c r="C1434" s="899" t="s">
        <v>10760</v>
      </c>
      <c r="D1434" s="988" t="s">
        <v>2666</v>
      </c>
      <c r="E1434" s="989">
        <v>17.52</v>
      </c>
      <c r="F1434" s="990"/>
      <c r="G1434" s="990"/>
      <c r="H1434" s="990"/>
      <c r="I1434" s="990"/>
      <c r="J1434" s="990"/>
      <c r="K1434" s="990"/>
      <c r="L1434" s="990"/>
      <c r="M1434" s="990"/>
      <c r="N1434" s="990"/>
      <c r="O1434" s="990"/>
      <c r="P1434" s="990"/>
      <c r="Q1434" s="990"/>
      <c r="R1434" s="990"/>
      <c r="S1434" s="990"/>
      <c r="T1434" s="990"/>
      <c r="U1434" s="990"/>
      <c r="V1434" s="990"/>
      <c r="W1434" s="990"/>
      <c r="X1434" s="990"/>
    </row>
    <row r="1435" spans="1:24" s="896" customFormat="1">
      <c r="A1435" s="987">
        <f t="shared" si="23"/>
        <v>1361</v>
      </c>
      <c r="B1435" s="988">
        <v>38866</v>
      </c>
      <c r="C1435" s="899" t="s">
        <v>10761</v>
      </c>
      <c r="D1435" s="988" t="s">
        <v>2666</v>
      </c>
      <c r="E1435" s="989">
        <v>12.33</v>
      </c>
      <c r="F1435" s="990"/>
      <c r="G1435" s="990"/>
      <c r="H1435" s="990"/>
      <c r="I1435" s="990"/>
      <c r="J1435" s="990"/>
      <c r="K1435" s="990"/>
      <c r="L1435" s="990"/>
      <c r="M1435" s="990"/>
      <c r="N1435" s="990"/>
      <c r="O1435" s="990"/>
      <c r="P1435" s="990"/>
      <c r="Q1435" s="990"/>
      <c r="R1435" s="990"/>
      <c r="S1435" s="990"/>
      <c r="T1435" s="990"/>
      <c r="U1435" s="990"/>
      <c r="V1435" s="990"/>
      <c r="W1435" s="990"/>
      <c r="X1435" s="990"/>
    </row>
    <row r="1436" spans="1:24" s="896" customFormat="1">
      <c r="A1436" s="987">
        <f t="shared" si="23"/>
        <v>1362</v>
      </c>
      <c r="B1436" s="988">
        <v>38868</v>
      </c>
      <c r="C1436" s="899" t="s">
        <v>10762</v>
      </c>
      <c r="D1436" s="988" t="s">
        <v>2666</v>
      </c>
      <c r="E1436" s="989">
        <v>20.56</v>
      </c>
      <c r="F1436" s="990"/>
      <c r="G1436" s="990"/>
      <c r="H1436" s="990"/>
      <c r="I1436" s="990"/>
      <c r="J1436" s="990"/>
      <c r="K1436" s="990"/>
      <c r="L1436" s="990"/>
      <c r="M1436" s="990"/>
      <c r="N1436" s="990"/>
      <c r="O1436" s="990"/>
      <c r="P1436" s="990"/>
      <c r="Q1436" s="990"/>
      <c r="R1436" s="990"/>
      <c r="S1436" s="990"/>
      <c r="T1436" s="990"/>
      <c r="U1436" s="990"/>
      <c r="V1436" s="990"/>
      <c r="W1436" s="990"/>
      <c r="X1436" s="990"/>
    </row>
    <row r="1437" spans="1:24" s="896" customFormat="1" ht="25.5">
      <c r="A1437" s="987">
        <f t="shared" si="23"/>
        <v>1363</v>
      </c>
      <c r="B1437" s="988">
        <v>38853</v>
      </c>
      <c r="C1437" s="899" t="s">
        <v>10763</v>
      </c>
      <c r="D1437" s="988" t="s">
        <v>2666</v>
      </c>
      <c r="E1437" s="989">
        <v>6.64</v>
      </c>
      <c r="F1437" s="990"/>
      <c r="G1437" s="990"/>
      <c r="H1437" s="990"/>
      <c r="I1437" s="990"/>
      <c r="J1437" s="990"/>
      <c r="K1437" s="990"/>
      <c r="L1437" s="990"/>
      <c r="M1437" s="990"/>
      <c r="N1437" s="990"/>
      <c r="O1437" s="990"/>
      <c r="P1437" s="990"/>
      <c r="Q1437" s="990"/>
      <c r="R1437" s="990"/>
      <c r="S1437" s="990"/>
      <c r="T1437" s="990"/>
      <c r="U1437" s="990"/>
      <c r="V1437" s="990"/>
      <c r="W1437" s="990"/>
      <c r="X1437" s="990"/>
    </row>
    <row r="1438" spans="1:24" s="896" customFormat="1" ht="25.5">
      <c r="A1438" s="987">
        <f t="shared" si="23"/>
        <v>1364</v>
      </c>
      <c r="B1438" s="988">
        <v>38854</v>
      </c>
      <c r="C1438" s="899" t="s">
        <v>10764</v>
      </c>
      <c r="D1438" s="988" t="s">
        <v>2666</v>
      </c>
      <c r="E1438" s="989">
        <v>9.08</v>
      </c>
      <c r="F1438" s="990"/>
      <c r="G1438" s="990"/>
      <c r="H1438" s="990"/>
      <c r="I1438" s="990"/>
      <c r="J1438" s="990"/>
      <c r="K1438" s="990"/>
      <c r="L1438" s="990"/>
      <c r="M1438" s="990"/>
      <c r="N1438" s="990"/>
      <c r="O1438" s="990"/>
      <c r="P1438" s="990"/>
      <c r="Q1438" s="990"/>
      <c r="R1438" s="990"/>
      <c r="S1438" s="990"/>
      <c r="T1438" s="990"/>
      <c r="U1438" s="990"/>
      <c r="V1438" s="990"/>
      <c r="W1438" s="990"/>
      <c r="X1438" s="990"/>
    </row>
    <row r="1439" spans="1:24" s="896" customFormat="1" ht="25.5">
      <c r="A1439" s="987">
        <f t="shared" si="23"/>
        <v>1365</v>
      </c>
      <c r="B1439" s="988">
        <v>38855</v>
      </c>
      <c r="C1439" s="899" t="s">
        <v>10765</v>
      </c>
      <c r="D1439" s="988" t="s">
        <v>2666</v>
      </c>
      <c r="E1439" s="989">
        <v>6.73</v>
      </c>
      <c r="F1439" s="990"/>
      <c r="G1439" s="990"/>
      <c r="H1439" s="990"/>
      <c r="I1439" s="990"/>
      <c r="J1439" s="990"/>
      <c r="K1439" s="990"/>
      <c r="L1439" s="990"/>
      <c r="M1439" s="990"/>
      <c r="N1439" s="990"/>
      <c r="O1439" s="990"/>
      <c r="P1439" s="990"/>
      <c r="Q1439" s="990"/>
      <c r="R1439" s="990"/>
      <c r="S1439" s="990"/>
      <c r="T1439" s="990"/>
      <c r="U1439" s="990"/>
      <c r="V1439" s="990"/>
      <c r="W1439" s="990"/>
      <c r="X1439" s="990"/>
    </row>
    <row r="1440" spans="1:24" s="896" customFormat="1" ht="25.5">
      <c r="A1440" s="987">
        <f t="shared" si="23"/>
        <v>1366</v>
      </c>
      <c r="B1440" s="988">
        <v>38856</v>
      </c>
      <c r="C1440" s="899" t="s">
        <v>10766</v>
      </c>
      <c r="D1440" s="988" t="s">
        <v>2666</v>
      </c>
      <c r="E1440" s="989">
        <v>10.82</v>
      </c>
      <c r="F1440" s="990"/>
      <c r="G1440" s="990"/>
      <c r="H1440" s="990"/>
      <c r="I1440" s="990"/>
      <c r="J1440" s="990"/>
      <c r="K1440" s="990"/>
      <c r="L1440" s="990"/>
      <c r="M1440" s="990"/>
      <c r="N1440" s="990"/>
      <c r="O1440" s="990"/>
      <c r="P1440" s="990"/>
      <c r="Q1440" s="990"/>
      <c r="R1440" s="990"/>
      <c r="S1440" s="990"/>
      <c r="T1440" s="990"/>
      <c r="U1440" s="990"/>
      <c r="V1440" s="990"/>
      <c r="W1440" s="990"/>
      <c r="X1440" s="990"/>
    </row>
    <row r="1441" spans="1:24" s="896" customFormat="1" ht="25.5">
      <c r="A1441" s="987">
        <f t="shared" si="23"/>
        <v>1367</v>
      </c>
      <c r="B1441" s="988">
        <v>38857</v>
      </c>
      <c r="C1441" s="899" t="s">
        <v>10767</v>
      </c>
      <c r="D1441" s="988" t="s">
        <v>2666</v>
      </c>
      <c r="E1441" s="989">
        <v>14.31</v>
      </c>
      <c r="F1441" s="990"/>
      <c r="G1441" s="990"/>
      <c r="H1441" s="990"/>
      <c r="I1441" s="990"/>
      <c r="J1441" s="990"/>
      <c r="K1441" s="990"/>
      <c r="L1441" s="990"/>
      <c r="M1441" s="990"/>
      <c r="N1441" s="990"/>
      <c r="O1441" s="990"/>
      <c r="P1441" s="990"/>
      <c r="Q1441" s="990"/>
      <c r="R1441" s="990"/>
      <c r="S1441" s="990"/>
      <c r="T1441" s="990"/>
      <c r="U1441" s="990"/>
      <c r="V1441" s="990"/>
      <c r="W1441" s="990"/>
      <c r="X1441" s="990"/>
    </row>
    <row r="1442" spans="1:24" s="896" customFormat="1" ht="25.5">
      <c r="A1442" s="987">
        <f t="shared" si="23"/>
        <v>1368</v>
      </c>
      <c r="B1442" s="988">
        <v>38858</v>
      </c>
      <c r="C1442" s="899" t="s">
        <v>10768</v>
      </c>
      <c r="D1442" s="988" t="s">
        <v>2666</v>
      </c>
      <c r="E1442" s="989">
        <v>13.01</v>
      </c>
      <c r="F1442" s="990"/>
      <c r="G1442" s="990"/>
      <c r="H1442" s="990"/>
      <c r="I1442" s="990"/>
      <c r="J1442" s="990"/>
      <c r="K1442" s="990"/>
      <c r="L1442" s="990"/>
      <c r="M1442" s="990"/>
      <c r="N1442" s="990"/>
      <c r="O1442" s="990"/>
      <c r="P1442" s="990"/>
      <c r="Q1442" s="990"/>
      <c r="R1442" s="990"/>
      <c r="S1442" s="990"/>
      <c r="T1442" s="990"/>
      <c r="U1442" s="990"/>
      <c r="V1442" s="990"/>
      <c r="W1442" s="990"/>
      <c r="X1442" s="990"/>
    </row>
    <row r="1443" spans="1:24" s="896" customFormat="1" ht="25.5">
      <c r="A1443" s="987">
        <f t="shared" si="23"/>
        <v>1369</v>
      </c>
      <c r="B1443" s="988">
        <v>38859</v>
      </c>
      <c r="C1443" s="899" t="s">
        <v>10769</v>
      </c>
      <c r="D1443" s="988" t="s">
        <v>2666</v>
      </c>
      <c r="E1443" s="989">
        <v>21.07</v>
      </c>
      <c r="F1443" s="990"/>
      <c r="G1443" s="990"/>
      <c r="H1443" s="990"/>
      <c r="I1443" s="990"/>
      <c r="J1443" s="990"/>
      <c r="K1443" s="990"/>
      <c r="L1443" s="990"/>
      <c r="M1443" s="990"/>
      <c r="N1443" s="990"/>
      <c r="O1443" s="990"/>
      <c r="P1443" s="990"/>
      <c r="Q1443" s="990"/>
      <c r="R1443" s="990"/>
      <c r="S1443" s="990"/>
      <c r="T1443" s="990"/>
      <c r="U1443" s="990"/>
      <c r="V1443" s="990"/>
      <c r="W1443" s="990"/>
      <c r="X1443" s="990"/>
    </row>
    <row r="1444" spans="1:24" s="896" customFormat="1" ht="51">
      <c r="A1444" s="987">
        <f t="shared" si="23"/>
        <v>1370</v>
      </c>
      <c r="B1444" s="988">
        <v>3104</v>
      </c>
      <c r="C1444" s="899" t="s">
        <v>10770</v>
      </c>
      <c r="D1444" s="988" t="s">
        <v>2677</v>
      </c>
      <c r="E1444" s="989">
        <v>167.79</v>
      </c>
      <c r="F1444" s="990"/>
      <c r="G1444" s="990"/>
      <c r="H1444" s="990"/>
      <c r="I1444" s="990"/>
      <c r="J1444" s="990"/>
      <c r="K1444" s="990"/>
      <c r="L1444" s="990"/>
      <c r="M1444" s="990"/>
      <c r="N1444" s="990"/>
      <c r="O1444" s="990"/>
      <c r="P1444" s="990"/>
      <c r="Q1444" s="990"/>
      <c r="R1444" s="990"/>
      <c r="S1444" s="990"/>
      <c r="T1444" s="990"/>
      <c r="U1444" s="990"/>
      <c r="V1444" s="990"/>
      <c r="W1444" s="990"/>
      <c r="X1444" s="990"/>
    </row>
    <row r="1445" spans="1:24" s="896" customFormat="1" ht="25.5">
      <c r="A1445" s="987">
        <f t="shared" si="23"/>
        <v>1371</v>
      </c>
      <c r="B1445" s="988">
        <v>1607</v>
      </c>
      <c r="C1445" s="899" t="s">
        <v>10771</v>
      </c>
      <c r="D1445" s="988" t="s">
        <v>2677</v>
      </c>
      <c r="E1445" s="989">
        <v>0.2</v>
      </c>
      <c r="F1445" s="990"/>
      <c r="G1445" s="990"/>
      <c r="H1445" s="990"/>
      <c r="I1445" s="990"/>
      <c r="J1445" s="990"/>
      <c r="K1445" s="990"/>
      <c r="L1445" s="990"/>
      <c r="M1445" s="990"/>
      <c r="N1445" s="990"/>
      <c r="O1445" s="990"/>
      <c r="P1445" s="990"/>
      <c r="Q1445" s="990"/>
      <c r="R1445" s="990"/>
      <c r="S1445" s="990"/>
      <c r="T1445" s="990"/>
      <c r="U1445" s="990"/>
      <c r="V1445" s="990"/>
      <c r="W1445" s="990"/>
      <c r="X1445" s="990"/>
    </row>
    <row r="1446" spans="1:24" s="896" customFormat="1" ht="25.5">
      <c r="A1446" s="987">
        <f t="shared" si="23"/>
        <v>1372</v>
      </c>
      <c r="B1446" s="988">
        <v>38169</v>
      </c>
      <c r="C1446" s="899" t="s">
        <v>10772</v>
      </c>
      <c r="D1446" s="988" t="s">
        <v>2677</v>
      </c>
      <c r="E1446" s="989">
        <v>79.040000000000006</v>
      </c>
      <c r="F1446" s="990"/>
      <c r="G1446" s="990"/>
      <c r="H1446" s="990"/>
      <c r="I1446" s="990"/>
      <c r="J1446" s="990"/>
      <c r="K1446" s="990"/>
      <c r="L1446" s="990"/>
      <c r="M1446" s="990"/>
      <c r="N1446" s="990"/>
      <c r="O1446" s="990"/>
      <c r="P1446" s="990"/>
      <c r="Q1446" s="990"/>
      <c r="R1446" s="990"/>
      <c r="S1446" s="990"/>
      <c r="T1446" s="990"/>
      <c r="U1446" s="990"/>
      <c r="V1446" s="990"/>
      <c r="W1446" s="990"/>
      <c r="X1446" s="990"/>
    </row>
    <row r="1447" spans="1:24" s="896" customFormat="1" ht="25.5">
      <c r="A1447" s="987">
        <f t="shared" si="23"/>
        <v>1373</v>
      </c>
      <c r="B1447" s="988">
        <v>6142</v>
      </c>
      <c r="C1447" s="899" t="s">
        <v>10773</v>
      </c>
      <c r="D1447" s="988" t="s">
        <v>2666</v>
      </c>
      <c r="E1447" s="989">
        <v>9.08</v>
      </c>
      <c r="F1447" s="990"/>
      <c r="G1447" s="990"/>
      <c r="H1447" s="990"/>
      <c r="I1447" s="990"/>
      <c r="J1447" s="990"/>
      <c r="K1447" s="990"/>
      <c r="L1447" s="990"/>
      <c r="M1447" s="990"/>
      <c r="N1447" s="990"/>
      <c r="O1447" s="990"/>
      <c r="P1447" s="990"/>
      <c r="Q1447" s="990"/>
      <c r="R1447" s="990"/>
      <c r="S1447" s="990"/>
      <c r="T1447" s="990"/>
      <c r="U1447" s="990"/>
      <c r="V1447" s="990"/>
      <c r="W1447" s="990"/>
      <c r="X1447" s="990"/>
    </row>
    <row r="1448" spans="1:24" s="896" customFormat="1" ht="25.5">
      <c r="A1448" s="987">
        <f t="shared" si="23"/>
        <v>1374</v>
      </c>
      <c r="B1448" s="988">
        <v>11686</v>
      </c>
      <c r="C1448" s="899" t="s">
        <v>10774</v>
      </c>
      <c r="D1448" s="988" t="s">
        <v>2666</v>
      </c>
      <c r="E1448" s="989">
        <v>12.6</v>
      </c>
      <c r="F1448" s="990"/>
      <c r="G1448" s="990"/>
      <c r="H1448" s="990"/>
      <c r="I1448" s="990"/>
      <c r="J1448" s="990"/>
      <c r="K1448" s="990"/>
      <c r="L1448" s="990"/>
      <c r="M1448" s="990"/>
      <c r="N1448" s="990"/>
      <c r="O1448" s="990"/>
      <c r="P1448" s="990"/>
      <c r="Q1448" s="990"/>
      <c r="R1448" s="990"/>
      <c r="S1448" s="990"/>
      <c r="T1448" s="990"/>
      <c r="U1448" s="990"/>
      <c r="V1448" s="990"/>
      <c r="W1448" s="990"/>
      <c r="X1448" s="990"/>
    </row>
    <row r="1449" spans="1:24" s="896" customFormat="1" ht="25.5">
      <c r="A1449" s="987">
        <f t="shared" si="23"/>
        <v>1375</v>
      </c>
      <c r="B1449" s="988">
        <v>37598</v>
      </c>
      <c r="C1449" s="899" t="s">
        <v>10775</v>
      </c>
      <c r="D1449" s="988" t="s">
        <v>2666</v>
      </c>
      <c r="E1449" s="989">
        <v>41.06</v>
      </c>
      <c r="F1449" s="990"/>
      <c r="G1449" s="990"/>
      <c r="H1449" s="990"/>
      <c r="I1449" s="990"/>
      <c r="J1449" s="990"/>
      <c r="K1449" s="990"/>
      <c r="L1449" s="990"/>
      <c r="M1449" s="990"/>
      <c r="N1449" s="990"/>
      <c r="O1449" s="990"/>
      <c r="P1449" s="990"/>
      <c r="Q1449" s="990"/>
      <c r="R1449" s="990"/>
      <c r="S1449" s="990"/>
      <c r="T1449" s="990"/>
      <c r="U1449" s="990"/>
      <c r="V1449" s="990"/>
      <c r="W1449" s="990"/>
      <c r="X1449" s="990"/>
    </row>
    <row r="1450" spans="1:24" s="896" customFormat="1" ht="38.25">
      <c r="A1450" s="987">
        <f t="shared" si="23"/>
        <v>1376</v>
      </c>
      <c r="B1450" s="988">
        <v>25398</v>
      </c>
      <c r="C1450" s="899" t="s">
        <v>10776</v>
      </c>
      <c r="D1450" s="988" t="s">
        <v>2666</v>
      </c>
      <c r="E1450" s="989">
        <v>4727.99</v>
      </c>
      <c r="F1450" s="990"/>
      <c r="G1450" s="990"/>
      <c r="H1450" s="990"/>
      <c r="I1450" s="990"/>
      <c r="J1450" s="990"/>
      <c r="K1450" s="990"/>
      <c r="L1450" s="990"/>
      <c r="M1450" s="990"/>
      <c r="N1450" s="990"/>
      <c r="O1450" s="990"/>
      <c r="P1450" s="990"/>
      <c r="Q1450" s="990"/>
      <c r="R1450" s="990"/>
      <c r="S1450" s="990"/>
      <c r="T1450" s="990"/>
      <c r="U1450" s="990"/>
      <c r="V1450" s="990"/>
      <c r="W1450" s="990"/>
      <c r="X1450" s="990"/>
    </row>
    <row r="1451" spans="1:24" s="896" customFormat="1" ht="38.25">
      <c r="A1451" s="987">
        <f t="shared" si="23"/>
        <v>1377</v>
      </c>
      <c r="B1451" s="988">
        <v>25399</v>
      </c>
      <c r="C1451" s="899" t="s">
        <v>10777</v>
      </c>
      <c r="D1451" s="988" t="s">
        <v>2666</v>
      </c>
      <c r="E1451" s="989">
        <v>2870.3</v>
      </c>
      <c r="F1451" s="990"/>
      <c r="G1451" s="990"/>
      <c r="H1451" s="990"/>
      <c r="I1451" s="990"/>
      <c r="J1451" s="990"/>
      <c r="K1451" s="990"/>
      <c r="L1451" s="990"/>
      <c r="M1451" s="990"/>
      <c r="N1451" s="990"/>
      <c r="O1451" s="990"/>
      <c r="P1451" s="990"/>
      <c r="Q1451" s="990"/>
      <c r="R1451" s="990"/>
      <c r="S1451" s="990"/>
      <c r="T1451" s="990"/>
      <c r="U1451" s="990"/>
      <c r="V1451" s="990"/>
      <c r="W1451" s="990"/>
      <c r="X1451" s="990"/>
    </row>
    <row r="1452" spans="1:24" s="896" customFormat="1" ht="25.5">
      <c r="A1452" s="987">
        <f t="shared" si="23"/>
        <v>1378</v>
      </c>
      <c r="B1452" s="988">
        <v>43440</v>
      </c>
      <c r="C1452" s="899" t="s">
        <v>10778</v>
      </c>
      <c r="D1452" s="988" t="s">
        <v>2666</v>
      </c>
      <c r="E1452" s="989">
        <v>300.35000000000002</v>
      </c>
      <c r="F1452" s="990"/>
      <c r="G1452" s="990"/>
      <c r="H1452" s="990"/>
      <c r="I1452" s="990"/>
      <c r="J1452" s="990"/>
      <c r="K1452" s="990"/>
      <c r="L1452" s="990"/>
      <c r="M1452" s="990"/>
      <c r="N1452" s="990"/>
      <c r="O1452" s="990"/>
      <c r="P1452" s="990"/>
      <c r="Q1452" s="990"/>
      <c r="R1452" s="990"/>
      <c r="S1452" s="990"/>
      <c r="T1452" s="990"/>
      <c r="U1452" s="990"/>
      <c r="V1452" s="990"/>
      <c r="W1452" s="990"/>
      <c r="X1452" s="990"/>
    </row>
    <row r="1453" spans="1:24" s="896" customFormat="1" ht="25.5">
      <c r="A1453" s="987">
        <f t="shared" si="23"/>
        <v>1379</v>
      </c>
      <c r="B1453" s="988">
        <v>10667</v>
      </c>
      <c r="C1453" s="899" t="s">
        <v>10779</v>
      </c>
      <c r="D1453" s="988" t="s">
        <v>2666</v>
      </c>
      <c r="E1453" s="989">
        <v>22500</v>
      </c>
      <c r="F1453" s="990"/>
      <c r="G1453" s="990"/>
      <c r="H1453" s="990"/>
      <c r="I1453" s="990"/>
      <c r="J1453" s="990"/>
      <c r="K1453" s="990"/>
      <c r="L1453" s="990"/>
      <c r="M1453" s="990"/>
      <c r="N1453" s="990"/>
      <c r="O1453" s="990"/>
      <c r="P1453" s="990"/>
      <c r="Q1453" s="990"/>
      <c r="R1453" s="990"/>
      <c r="S1453" s="990"/>
      <c r="T1453" s="990"/>
      <c r="U1453" s="990"/>
      <c r="V1453" s="990"/>
      <c r="W1453" s="990"/>
      <c r="X1453" s="990"/>
    </row>
    <row r="1454" spans="1:24" s="896" customFormat="1" ht="25.5">
      <c r="A1454" s="987">
        <f t="shared" si="23"/>
        <v>1380</v>
      </c>
      <c r="B1454" s="988">
        <v>1613</v>
      </c>
      <c r="C1454" s="899" t="s">
        <v>10780</v>
      </c>
      <c r="D1454" s="988" t="s">
        <v>2666</v>
      </c>
      <c r="E1454" s="989">
        <v>1522.88</v>
      </c>
      <c r="F1454" s="990"/>
      <c r="G1454" s="990"/>
      <c r="H1454" s="990"/>
      <c r="I1454" s="990"/>
      <c r="J1454" s="990"/>
      <c r="K1454" s="990"/>
      <c r="L1454" s="990"/>
      <c r="M1454" s="990"/>
      <c r="N1454" s="990"/>
      <c r="O1454" s="990"/>
      <c r="P1454" s="990"/>
      <c r="Q1454" s="990"/>
      <c r="R1454" s="990"/>
      <c r="S1454" s="990"/>
      <c r="T1454" s="990"/>
      <c r="U1454" s="990"/>
      <c r="V1454" s="990"/>
      <c r="W1454" s="990"/>
      <c r="X1454" s="990"/>
    </row>
    <row r="1455" spans="1:24" s="896" customFormat="1" ht="25.5">
      <c r="A1455" s="987">
        <f t="shared" si="23"/>
        <v>1381</v>
      </c>
      <c r="B1455" s="988">
        <v>1626</v>
      </c>
      <c r="C1455" s="899" t="s">
        <v>10781</v>
      </c>
      <c r="D1455" s="988" t="s">
        <v>2666</v>
      </c>
      <c r="E1455" s="989">
        <v>2277.66</v>
      </c>
      <c r="F1455" s="990"/>
      <c r="G1455" s="990"/>
      <c r="H1455" s="990"/>
      <c r="I1455" s="990"/>
      <c r="J1455" s="990"/>
      <c r="K1455" s="990"/>
      <c r="L1455" s="990"/>
      <c r="M1455" s="990"/>
      <c r="N1455" s="990"/>
      <c r="O1455" s="990"/>
      <c r="P1455" s="990"/>
      <c r="Q1455" s="990"/>
      <c r="R1455" s="990"/>
      <c r="S1455" s="990"/>
      <c r="T1455" s="990"/>
      <c r="U1455" s="990"/>
      <c r="V1455" s="990"/>
      <c r="W1455" s="990"/>
      <c r="X1455" s="990"/>
    </row>
    <row r="1456" spans="1:24" s="896" customFormat="1" ht="25.5">
      <c r="A1456" s="987">
        <f t="shared" si="23"/>
        <v>1382</v>
      </c>
      <c r="B1456" s="988">
        <v>1625</v>
      </c>
      <c r="C1456" s="899" t="s">
        <v>10782</v>
      </c>
      <c r="D1456" s="988" t="s">
        <v>2666</v>
      </c>
      <c r="E1456" s="989">
        <v>159.08000000000001</v>
      </c>
      <c r="F1456" s="990"/>
      <c r="G1456" s="990"/>
      <c r="H1456" s="990"/>
      <c r="I1456" s="990"/>
      <c r="J1456" s="990"/>
      <c r="K1456" s="990"/>
      <c r="L1456" s="990"/>
      <c r="M1456" s="990"/>
      <c r="N1456" s="990"/>
      <c r="O1456" s="990"/>
      <c r="P1456" s="990"/>
      <c r="Q1456" s="990"/>
      <c r="R1456" s="990"/>
      <c r="S1456" s="990"/>
      <c r="T1456" s="990"/>
      <c r="U1456" s="990"/>
      <c r="V1456" s="990"/>
      <c r="W1456" s="990"/>
      <c r="X1456" s="990"/>
    </row>
    <row r="1457" spans="1:24" s="896" customFormat="1" ht="25.5">
      <c r="A1457" s="987">
        <f t="shared" si="23"/>
        <v>1383</v>
      </c>
      <c r="B1457" s="988">
        <v>1622</v>
      </c>
      <c r="C1457" s="899" t="s">
        <v>10783</v>
      </c>
      <c r="D1457" s="988" t="s">
        <v>2666</v>
      </c>
      <c r="E1457" s="989">
        <v>5139.74</v>
      </c>
      <c r="F1457" s="990"/>
      <c r="G1457" s="990"/>
      <c r="H1457" s="990"/>
      <c r="I1457" s="990"/>
      <c r="J1457" s="990"/>
      <c r="K1457" s="990"/>
      <c r="L1457" s="990"/>
      <c r="M1457" s="990"/>
      <c r="N1457" s="990"/>
      <c r="O1457" s="990"/>
      <c r="P1457" s="990"/>
      <c r="Q1457" s="990"/>
      <c r="R1457" s="990"/>
      <c r="S1457" s="990"/>
      <c r="T1457" s="990"/>
      <c r="U1457" s="990"/>
      <c r="V1457" s="990"/>
      <c r="W1457" s="990"/>
      <c r="X1457" s="990"/>
    </row>
    <row r="1458" spans="1:24" s="896" customFormat="1" ht="25.5">
      <c r="A1458" s="987">
        <f t="shared" si="23"/>
        <v>1384</v>
      </c>
      <c r="B1458" s="988">
        <v>1620</v>
      </c>
      <c r="C1458" s="899" t="s">
        <v>10784</v>
      </c>
      <c r="D1458" s="988" t="s">
        <v>2666</v>
      </c>
      <c r="E1458" s="989">
        <v>335.12</v>
      </c>
      <c r="F1458" s="990"/>
      <c r="G1458" s="990"/>
      <c r="H1458" s="990"/>
      <c r="I1458" s="990"/>
      <c r="J1458" s="990"/>
      <c r="K1458" s="990"/>
      <c r="L1458" s="990"/>
      <c r="M1458" s="990"/>
      <c r="N1458" s="990"/>
      <c r="O1458" s="990"/>
      <c r="P1458" s="990"/>
      <c r="Q1458" s="990"/>
      <c r="R1458" s="990"/>
      <c r="S1458" s="990"/>
      <c r="T1458" s="990"/>
      <c r="U1458" s="990"/>
      <c r="V1458" s="990"/>
      <c r="W1458" s="990"/>
      <c r="X1458" s="990"/>
    </row>
    <row r="1459" spans="1:24" s="896" customFormat="1" ht="25.5">
      <c r="A1459" s="987">
        <f t="shared" si="23"/>
        <v>1385</v>
      </c>
      <c r="B1459" s="988">
        <v>1629</v>
      </c>
      <c r="C1459" s="899" t="s">
        <v>10785</v>
      </c>
      <c r="D1459" s="988" t="s">
        <v>2666</v>
      </c>
      <c r="E1459" s="989">
        <v>12508.9</v>
      </c>
      <c r="F1459" s="990"/>
      <c r="G1459" s="990"/>
      <c r="H1459" s="990"/>
      <c r="I1459" s="990"/>
      <c r="J1459" s="990"/>
      <c r="K1459" s="990"/>
      <c r="L1459" s="990"/>
      <c r="M1459" s="990"/>
      <c r="N1459" s="990"/>
      <c r="O1459" s="990"/>
      <c r="P1459" s="990"/>
      <c r="Q1459" s="990"/>
      <c r="R1459" s="990"/>
      <c r="S1459" s="990"/>
      <c r="T1459" s="990"/>
      <c r="U1459" s="990"/>
      <c r="V1459" s="990"/>
      <c r="W1459" s="990"/>
      <c r="X1459" s="990"/>
    </row>
    <row r="1460" spans="1:24" s="896" customFormat="1" ht="25.5">
      <c r="A1460" s="987">
        <f t="shared" si="23"/>
        <v>1386</v>
      </c>
      <c r="B1460" s="988">
        <v>1627</v>
      </c>
      <c r="C1460" s="899" t="s">
        <v>10786</v>
      </c>
      <c r="D1460" s="988" t="s">
        <v>2666</v>
      </c>
      <c r="E1460" s="989">
        <v>640.57000000000005</v>
      </c>
      <c r="F1460" s="990"/>
      <c r="G1460" s="990"/>
      <c r="H1460" s="990"/>
      <c r="I1460" s="990"/>
      <c r="J1460" s="990"/>
      <c r="K1460" s="990"/>
      <c r="L1460" s="990"/>
      <c r="M1460" s="990"/>
      <c r="N1460" s="990"/>
      <c r="O1460" s="990"/>
      <c r="P1460" s="990"/>
      <c r="Q1460" s="990"/>
      <c r="R1460" s="990"/>
      <c r="S1460" s="990"/>
      <c r="T1460" s="990"/>
      <c r="U1460" s="990"/>
      <c r="V1460" s="990"/>
      <c r="W1460" s="990"/>
      <c r="X1460" s="990"/>
    </row>
    <row r="1461" spans="1:24" s="896" customFormat="1" ht="25.5">
      <c r="A1461" s="987">
        <f t="shared" si="23"/>
        <v>1387</v>
      </c>
      <c r="B1461" s="988">
        <v>1623</v>
      </c>
      <c r="C1461" s="899" t="s">
        <v>10787</v>
      </c>
      <c r="D1461" s="988" t="s">
        <v>2666</v>
      </c>
      <c r="E1461" s="989">
        <v>129.74</v>
      </c>
      <c r="F1461" s="990"/>
      <c r="G1461" s="990"/>
      <c r="H1461" s="990"/>
      <c r="I1461" s="990"/>
      <c r="J1461" s="990"/>
      <c r="K1461" s="990"/>
      <c r="L1461" s="990"/>
      <c r="M1461" s="990"/>
      <c r="N1461" s="990"/>
      <c r="O1461" s="990"/>
      <c r="P1461" s="990"/>
      <c r="Q1461" s="990"/>
      <c r="R1461" s="990"/>
      <c r="S1461" s="990"/>
      <c r="T1461" s="990"/>
      <c r="U1461" s="990"/>
      <c r="V1461" s="990"/>
      <c r="W1461" s="990"/>
      <c r="X1461" s="990"/>
    </row>
    <row r="1462" spans="1:24" s="896" customFormat="1" ht="25.5">
      <c r="A1462" s="987">
        <f t="shared" si="23"/>
        <v>1388</v>
      </c>
      <c r="B1462" s="988">
        <v>1619</v>
      </c>
      <c r="C1462" s="899" t="s">
        <v>10788</v>
      </c>
      <c r="D1462" s="988" t="s">
        <v>2666</v>
      </c>
      <c r="E1462" s="989">
        <v>178.47</v>
      </c>
      <c r="F1462" s="990"/>
      <c r="G1462" s="990"/>
      <c r="H1462" s="990"/>
      <c r="I1462" s="990"/>
      <c r="J1462" s="990"/>
      <c r="K1462" s="990"/>
      <c r="L1462" s="990"/>
      <c r="M1462" s="990"/>
      <c r="N1462" s="990"/>
      <c r="O1462" s="990"/>
      <c r="P1462" s="990"/>
      <c r="Q1462" s="990"/>
      <c r="R1462" s="990"/>
      <c r="S1462" s="990"/>
      <c r="T1462" s="990"/>
      <c r="U1462" s="990"/>
      <c r="V1462" s="990"/>
      <c r="W1462" s="990"/>
      <c r="X1462" s="990"/>
    </row>
    <row r="1463" spans="1:24" s="896" customFormat="1" ht="25.5">
      <c r="A1463" s="987">
        <f t="shared" si="23"/>
        <v>1389</v>
      </c>
      <c r="B1463" s="988">
        <v>1630</v>
      </c>
      <c r="C1463" s="899" t="s">
        <v>10789</v>
      </c>
      <c r="D1463" s="988" t="s">
        <v>2666</v>
      </c>
      <c r="E1463" s="989">
        <v>3929.43</v>
      </c>
      <c r="F1463" s="990"/>
      <c r="G1463" s="990"/>
      <c r="H1463" s="990"/>
      <c r="I1463" s="990"/>
      <c r="J1463" s="990"/>
      <c r="K1463" s="990"/>
      <c r="L1463" s="990"/>
      <c r="M1463" s="990"/>
      <c r="N1463" s="990"/>
      <c r="O1463" s="990"/>
      <c r="P1463" s="990"/>
      <c r="Q1463" s="990"/>
      <c r="R1463" s="990"/>
      <c r="S1463" s="990"/>
      <c r="T1463" s="990"/>
      <c r="U1463" s="990"/>
      <c r="V1463" s="990"/>
      <c r="W1463" s="990"/>
      <c r="X1463" s="990"/>
    </row>
    <row r="1464" spans="1:24" s="896" customFormat="1" ht="25.5">
      <c r="A1464" s="987">
        <f t="shared" si="23"/>
        <v>1390</v>
      </c>
      <c r="B1464" s="988">
        <v>1616</v>
      </c>
      <c r="C1464" s="899" t="s">
        <v>10790</v>
      </c>
      <c r="D1464" s="988" t="s">
        <v>2666</v>
      </c>
      <c r="E1464" s="989">
        <v>6043.54</v>
      </c>
      <c r="F1464" s="990"/>
      <c r="G1464" s="990"/>
      <c r="H1464" s="990"/>
      <c r="I1464" s="990"/>
      <c r="J1464" s="990"/>
      <c r="K1464" s="990"/>
      <c r="L1464" s="990"/>
      <c r="M1464" s="990"/>
      <c r="N1464" s="990"/>
      <c r="O1464" s="990"/>
      <c r="P1464" s="990"/>
      <c r="Q1464" s="990"/>
      <c r="R1464" s="990"/>
      <c r="S1464" s="990"/>
      <c r="T1464" s="990"/>
      <c r="U1464" s="990"/>
      <c r="V1464" s="990"/>
      <c r="W1464" s="990"/>
      <c r="X1464" s="990"/>
    </row>
    <row r="1465" spans="1:24" s="896" customFormat="1" ht="25.5">
      <c r="A1465" s="987">
        <f t="shared" si="23"/>
        <v>1391</v>
      </c>
      <c r="B1465" s="988">
        <v>1614</v>
      </c>
      <c r="C1465" s="899" t="s">
        <v>10791</v>
      </c>
      <c r="D1465" s="988" t="s">
        <v>2666</v>
      </c>
      <c r="E1465" s="989">
        <v>276.20999999999998</v>
      </c>
      <c r="F1465" s="990"/>
      <c r="G1465" s="990"/>
      <c r="H1465" s="990"/>
      <c r="I1465" s="990"/>
      <c r="J1465" s="990"/>
      <c r="K1465" s="990"/>
      <c r="L1465" s="990"/>
      <c r="M1465" s="990"/>
      <c r="N1465" s="990"/>
      <c r="O1465" s="990"/>
      <c r="P1465" s="990"/>
      <c r="Q1465" s="990"/>
      <c r="R1465" s="990"/>
      <c r="S1465" s="990"/>
      <c r="T1465" s="990"/>
      <c r="U1465" s="990"/>
      <c r="V1465" s="990"/>
      <c r="W1465" s="990"/>
      <c r="X1465" s="990"/>
    </row>
    <row r="1466" spans="1:24" s="896" customFormat="1" ht="25.5">
      <c r="A1466" s="987">
        <f t="shared" si="23"/>
        <v>1392</v>
      </c>
      <c r="B1466" s="988">
        <v>1617</v>
      </c>
      <c r="C1466" s="899" t="s">
        <v>10792</v>
      </c>
      <c r="D1466" s="988" t="s">
        <v>2666</v>
      </c>
      <c r="E1466" s="989">
        <v>7214.68</v>
      </c>
      <c r="F1466" s="990"/>
      <c r="G1466" s="990"/>
      <c r="H1466" s="990"/>
      <c r="I1466" s="990"/>
      <c r="J1466" s="990"/>
      <c r="K1466" s="990"/>
      <c r="L1466" s="990"/>
      <c r="M1466" s="990"/>
      <c r="N1466" s="990"/>
      <c r="O1466" s="990"/>
      <c r="P1466" s="990"/>
      <c r="Q1466" s="990"/>
      <c r="R1466" s="990"/>
      <c r="S1466" s="990"/>
      <c r="T1466" s="990"/>
      <c r="U1466" s="990"/>
      <c r="V1466" s="990"/>
      <c r="W1466" s="990"/>
      <c r="X1466" s="990"/>
    </row>
    <row r="1467" spans="1:24" s="896" customFormat="1" ht="25.5">
      <c r="A1467" s="987">
        <f t="shared" si="23"/>
        <v>1393</v>
      </c>
      <c r="B1467" s="988">
        <v>1621</v>
      </c>
      <c r="C1467" s="899" t="s">
        <v>10793</v>
      </c>
      <c r="D1467" s="988" t="s">
        <v>2666</v>
      </c>
      <c r="E1467" s="989">
        <v>493.99</v>
      </c>
      <c r="F1467" s="990"/>
      <c r="G1467" s="990"/>
      <c r="H1467" s="990"/>
      <c r="I1467" s="990"/>
      <c r="J1467" s="990"/>
      <c r="K1467" s="990"/>
      <c r="L1467" s="990"/>
      <c r="M1467" s="990"/>
      <c r="N1467" s="990"/>
      <c r="O1467" s="990"/>
      <c r="P1467" s="990"/>
      <c r="Q1467" s="990"/>
      <c r="R1467" s="990"/>
      <c r="S1467" s="990"/>
      <c r="T1467" s="990"/>
      <c r="U1467" s="990"/>
      <c r="V1467" s="990"/>
      <c r="W1467" s="990"/>
      <c r="X1467" s="990"/>
    </row>
    <row r="1468" spans="1:24" s="896" customFormat="1" ht="25.5">
      <c r="A1468" s="987">
        <f t="shared" si="23"/>
        <v>1394</v>
      </c>
      <c r="B1468" s="988">
        <v>1624</v>
      </c>
      <c r="C1468" s="899" t="s">
        <v>10794</v>
      </c>
      <c r="D1468" s="988" t="s">
        <v>2666</v>
      </c>
      <c r="E1468" s="989">
        <v>17734.04</v>
      </c>
      <c r="F1468" s="990"/>
      <c r="G1468" s="990"/>
      <c r="H1468" s="990"/>
      <c r="I1468" s="990"/>
      <c r="J1468" s="990"/>
      <c r="K1468" s="990"/>
      <c r="L1468" s="990"/>
      <c r="M1468" s="990"/>
      <c r="N1468" s="990"/>
      <c r="O1468" s="990"/>
      <c r="P1468" s="990"/>
      <c r="Q1468" s="990"/>
      <c r="R1468" s="990"/>
      <c r="S1468" s="990"/>
      <c r="T1468" s="990"/>
      <c r="U1468" s="990"/>
      <c r="V1468" s="990"/>
      <c r="W1468" s="990"/>
      <c r="X1468" s="990"/>
    </row>
    <row r="1469" spans="1:24" s="896" customFormat="1" ht="25.5">
      <c r="A1469" s="987">
        <f t="shared" si="23"/>
        <v>1395</v>
      </c>
      <c r="B1469" s="988">
        <v>1615</v>
      </c>
      <c r="C1469" s="899" t="s">
        <v>10795</v>
      </c>
      <c r="D1469" s="988" t="s">
        <v>2666</v>
      </c>
      <c r="E1469" s="989">
        <v>927.65</v>
      </c>
      <c r="F1469" s="990"/>
      <c r="G1469" s="990"/>
      <c r="H1469" s="990"/>
      <c r="I1469" s="990"/>
      <c r="J1469" s="990"/>
      <c r="K1469" s="990"/>
      <c r="L1469" s="990"/>
      <c r="M1469" s="990"/>
      <c r="N1469" s="990"/>
      <c r="O1469" s="990"/>
      <c r="P1469" s="990"/>
      <c r="Q1469" s="990"/>
      <c r="R1469" s="990"/>
      <c r="S1469" s="990"/>
      <c r="T1469" s="990"/>
      <c r="U1469" s="990"/>
      <c r="V1469" s="990"/>
      <c r="W1469" s="990"/>
      <c r="X1469" s="990"/>
    </row>
    <row r="1470" spans="1:24" s="896" customFormat="1" ht="25.5">
      <c r="A1470" s="987">
        <f t="shared" si="23"/>
        <v>1396</v>
      </c>
      <c r="B1470" s="988">
        <v>1612</v>
      </c>
      <c r="C1470" s="899" t="s">
        <v>10796</v>
      </c>
      <c r="D1470" s="988" t="s">
        <v>2666</v>
      </c>
      <c r="E1470" s="989">
        <v>122.18</v>
      </c>
      <c r="F1470" s="990"/>
      <c r="G1470" s="990"/>
      <c r="H1470" s="990"/>
      <c r="I1470" s="990"/>
      <c r="J1470" s="990"/>
      <c r="K1470" s="990"/>
      <c r="L1470" s="990"/>
      <c r="M1470" s="990"/>
      <c r="N1470" s="990"/>
      <c r="O1470" s="990"/>
      <c r="P1470" s="990"/>
      <c r="Q1470" s="990"/>
      <c r="R1470" s="990"/>
      <c r="S1470" s="990"/>
      <c r="T1470" s="990"/>
      <c r="U1470" s="990"/>
      <c r="V1470" s="990"/>
      <c r="W1470" s="990"/>
      <c r="X1470" s="990"/>
    </row>
    <row r="1471" spans="1:24" s="896" customFormat="1" ht="25.5">
      <c r="A1471" s="987">
        <f t="shared" si="23"/>
        <v>1397</v>
      </c>
      <c r="B1471" s="988">
        <v>1618</v>
      </c>
      <c r="C1471" s="899" t="s">
        <v>10797</v>
      </c>
      <c r="D1471" s="988" t="s">
        <v>2666</v>
      </c>
      <c r="E1471" s="989">
        <v>1274.73</v>
      </c>
      <c r="F1471" s="990"/>
      <c r="G1471" s="990"/>
      <c r="H1471" s="990"/>
      <c r="I1471" s="990"/>
      <c r="J1471" s="990"/>
      <c r="K1471" s="990"/>
      <c r="L1471" s="990"/>
      <c r="M1471" s="990"/>
      <c r="N1471" s="990"/>
      <c r="O1471" s="990"/>
      <c r="P1471" s="990"/>
      <c r="Q1471" s="990"/>
      <c r="R1471" s="990"/>
      <c r="S1471" s="990"/>
      <c r="T1471" s="990"/>
      <c r="U1471" s="990"/>
      <c r="V1471" s="990"/>
      <c r="W1471" s="990"/>
      <c r="X1471" s="990"/>
    </row>
    <row r="1472" spans="1:24" s="896" customFormat="1">
      <c r="A1472" s="987">
        <f t="shared" si="23"/>
        <v>1398</v>
      </c>
      <c r="B1472" s="988">
        <v>14211</v>
      </c>
      <c r="C1472" s="899" t="s">
        <v>10798</v>
      </c>
      <c r="D1472" s="988" t="s">
        <v>2666</v>
      </c>
      <c r="E1472" s="989">
        <v>39.32</v>
      </c>
      <c r="F1472" s="990"/>
      <c r="G1472" s="990"/>
      <c r="H1472" s="990"/>
      <c r="I1472" s="990"/>
      <c r="J1472" s="990"/>
      <c r="K1472" s="990"/>
      <c r="L1472" s="990"/>
      <c r="M1472" s="990"/>
      <c r="N1472" s="990"/>
      <c r="O1472" s="990"/>
      <c r="P1472" s="990"/>
      <c r="Q1472" s="990"/>
      <c r="R1472" s="990"/>
      <c r="S1472" s="990"/>
      <c r="T1472" s="990"/>
      <c r="U1472" s="990"/>
      <c r="V1472" s="990"/>
      <c r="W1472" s="990"/>
      <c r="X1472" s="990"/>
    </row>
    <row r="1473" spans="1:24" s="896" customFormat="1" ht="25.5">
      <c r="A1473" s="987">
        <f t="shared" si="23"/>
        <v>1399</v>
      </c>
      <c r="B1473" s="988">
        <v>43657</v>
      </c>
      <c r="C1473" s="899" t="s">
        <v>10799</v>
      </c>
      <c r="D1473" s="988" t="s">
        <v>2669</v>
      </c>
      <c r="E1473" s="989">
        <v>7.11</v>
      </c>
      <c r="F1473" s="990"/>
      <c r="G1473" s="990"/>
      <c r="H1473" s="990"/>
      <c r="I1473" s="990"/>
      <c r="J1473" s="990"/>
      <c r="K1473" s="990"/>
      <c r="L1473" s="990"/>
      <c r="M1473" s="990"/>
      <c r="N1473" s="990"/>
      <c r="O1473" s="990"/>
      <c r="P1473" s="990"/>
      <c r="Q1473" s="990"/>
      <c r="R1473" s="990"/>
      <c r="S1473" s="990"/>
      <c r="T1473" s="990"/>
      <c r="U1473" s="990"/>
      <c r="V1473" s="990"/>
      <c r="W1473" s="990"/>
      <c r="X1473" s="990"/>
    </row>
    <row r="1474" spans="1:24" s="896" customFormat="1">
      <c r="A1474" s="987">
        <f t="shared" si="23"/>
        <v>1400</v>
      </c>
      <c r="B1474" s="988">
        <v>34500</v>
      </c>
      <c r="C1474" s="899" t="s">
        <v>10800</v>
      </c>
      <c r="D1474" s="988" t="s">
        <v>2665</v>
      </c>
      <c r="E1474" s="989">
        <v>147.62</v>
      </c>
      <c r="F1474" s="990"/>
      <c r="G1474" s="990"/>
      <c r="H1474" s="990"/>
      <c r="I1474" s="990"/>
      <c r="J1474" s="990"/>
      <c r="K1474" s="990"/>
      <c r="L1474" s="990"/>
      <c r="M1474" s="990"/>
      <c r="N1474" s="990"/>
      <c r="O1474" s="990"/>
      <c r="P1474" s="990"/>
      <c r="Q1474" s="990"/>
      <c r="R1474" s="990"/>
      <c r="S1474" s="990"/>
      <c r="T1474" s="990"/>
      <c r="U1474" s="990"/>
      <c r="V1474" s="990"/>
      <c r="W1474" s="990"/>
      <c r="X1474" s="990"/>
    </row>
    <row r="1475" spans="1:24" s="896" customFormat="1">
      <c r="A1475" s="987">
        <f t="shared" si="23"/>
        <v>1401</v>
      </c>
      <c r="B1475" s="988">
        <v>40934</v>
      </c>
      <c r="C1475" s="899" t="s">
        <v>10801</v>
      </c>
      <c r="D1475" s="988" t="s">
        <v>2672</v>
      </c>
      <c r="E1475" s="989">
        <v>25945.38</v>
      </c>
      <c r="F1475" s="990"/>
      <c r="G1475" s="990"/>
      <c r="H1475" s="990"/>
      <c r="I1475" s="990"/>
      <c r="J1475" s="990"/>
      <c r="K1475" s="990"/>
      <c r="L1475" s="990"/>
      <c r="M1475" s="990"/>
      <c r="N1475" s="990"/>
      <c r="O1475" s="990"/>
      <c r="P1475" s="990"/>
      <c r="Q1475" s="990"/>
      <c r="R1475" s="990"/>
      <c r="S1475" s="990"/>
      <c r="T1475" s="990"/>
      <c r="U1475" s="990"/>
      <c r="V1475" s="990"/>
      <c r="W1475" s="990"/>
      <c r="X1475" s="990"/>
    </row>
    <row r="1476" spans="1:24" s="896" customFormat="1">
      <c r="A1476" s="987">
        <f t="shared" si="23"/>
        <v>1402</v>
      </c>
      <c r="B1476" s="988">
        <v>38200</v>
      </c>
      <c r="C1476" s="899" t="s">
        <v>10802</v>
      </c>
      <c r="D1476" s="988" t="s">
        <v>2678</v>
      </c>
      <c r="E1476" s="989">
        <v>853.65</v>
      </c>
      <c r="F1476" s="990"/>
      <c r="G1476" s="990"/>
      <c r="H1476" s="990"/>
      <c r="I1476" s="990"/>
      <c r="J1476" s="990"/>
      <c r="K1476" s="990"/>
      <c r="L1476" s="990"/>
      <c r="M1476" s="990"/>
      <c r="N1476" s="990"/>
      <c r="O1476" s="990"/>
      <c r="P1476" s="990"/>
      <c r="Q1476" s="990"/>
      <c r="R1476" s="990"/>
      <c r="S1476" s="990"/>
      <c r="T1476" s="990"/>
      <c r="U1476" s="990"/>
      <c r="V1476" s="990"/>
      <c r="W1476" s="990"/>
      <c r="X1476" s="990"/>
    </row>
    <row r="1477" spans="1:24" s="896" customFormat="1" ht="25.5">
      <c r="A1477" s="987">
        <f t="shared" si="23"/>
        <v>1403</v>
      </c>
      <c r="B1477" s="988">
        <v>39269</v>
      </c>
      <c r="C1477" s="899" t="s">
        <v>10803</v>
      </c>
      <c r="D1477" s="988" t="s">
        <v>2669</v>
      </c>
      <c r="E1477" s="989">
        <v>1.28</v>
      </c>
      <c r="F1477" s="990"/>
      <c r="G1477" s="990"/>
      <c r="H1477" s="990"/>
      <c r="I1477" s="990"/>
      <c r="J1477" s="990"/>
      <c r="K1477" s="990"/>
      <c r="L1477" s="990"/>
      <c r="M1477" s="990"/>
      <c r="N1477" s="990"/>
      <c r="O1477" s="990"/>
      <c r="P1477" s="990"/>
      <c r="Q1477" s="990"/>
      <c r="R1477" s="990"/>
      <c r="S1477" s="990"/>
      <c r="T1477" s="990"/>
      <c r="U1477" s="990"/>
      <c r="V1477" s="990"/>
      <c r="W1477" s="990"/>
      <c r="X1477" s="990"/>
    </row>
    <row r="1478" spans="1:24" s="896" customFormat="1" ht="25.5">
      <c r="A1478" s="987">
        <f t="shared" si="23"/>
        <v>1404</v>
      </c>
      <c r="B1478" s="988">
        <v>11889</v>
      </c>
      <c r="C1478" s="899" t="s">
        <v>10804</v>
      </c>
      <c r="D1478" s="988" t="s">
        <v>2669</v>
      </c>
      <c r="E1478" s="989">
        <v>1.78</v>
      </c>
      <c r="F1478" s="990"/>
      <c r="G1478" s="990"/>
      <c r="H1478" s="990"/>
      <c r="I1478" s="990"/>
      <c r="J1478" s="990"/>
      <c r="K1478" s="990"/>
      <c r="L1478" s="990"/>
      <c r="M1478" s="990"/>
      <c r="N1478" s="990"/>
      <c r="O1478" s="990"/>
      <c r="P1478" s="990"/>
      <c r="Q1478" s="990"/>
      <c r="R1478" s="990"/>
      <c r="S1478" s="990"/>
      <c r="T1478" s="990"/>
      <c r="U1478" s="990"/>
      <c r="V1478" s="990"/>
      <c r="W1478" s="990"/>
      <c r="X1478" s="990"/>
    </row>
    <row r="1479" spans="1:24" s="896" customFormat="1" ht="25.5">
      <c r="A1479" s="987">
        <f t="shared" si="23"/>
        <v>1405</v>
      </c>
      <c r="B1479" s="988">
        <v>39270</v>
      </c>
      <c r="C1479" s="899" t="s">
        <v>10805</v>
      </c>
      <c r="D1479" s="988" t="s">
        <v>2669</v>
      </c>
      <c r="E1479" s="989">
        <v>2.12</v>
      </c>
      <c r="F1479" s="990"/>
      <c r="G1479" s="990"/>
      <c r="H1479" s="990"/>
      <c r="I1479" s="990"/>
      <c r="J1479" s="990"/>
      <c r="K1479" s="990"/>
      <c r="L1479" s="990"/>
      <c r="M1479" s="990"/>
      <c r="N1479" s="990"/>
      <c r="O1479" s="990"/>
      <c r="P1479" s="990"/>
      <c r="Q1479" s="990"/>
      <c r="R1479" s="990"/>
      <c r="S1479" s="990"/>
      <c r="T1479" s="990"/>
      <c r="U1479" s="990"/>
      <c r="V1479" s="990"/>
      <c r="W1479" s="990"/>
      <c r="X1479" s="990"/>
    </row>
    <row r="1480" spans="1:24" s="896" customFormat="1" ht="25.5">
      <c r="A1480" s="987">
        <f t="shared" si="23"/>
        <v>1406</v>
      </c>
      <c r="B1480" s="988">
        <v>11890</v>
      </c>
      <c r="C1480" s="899" t="s">
        <v>10806</v>
      </c>
      <c r="D1480" s="988" t="s">
        <v>2669</v>
      </c>
      <c r="E1480" s="989">
        <v>2.75</v>
      </c>
      <c r="F1480" s="990"/>
      <c r="G1480" s="990"/>
      <c r="H1480" s="990"/>
      <c r="I1480" s="990"/>
      <c r="J1480" s="990"/>
      <c r="K1480" s="990"/>
      <c r="L1480" s="990"/>
      <c r="M1480" s="990"/>
      <c r="N1480" s="990"/>
      <c r="O1480" s="990"/>
      <c r="P1480" s="990"/>
      <c r="Q1480" s="990"/>
      <c r="R1480" s="990"/>
      <c r="S1480" s="990"/>
      <c r="T1480" s="990"/>
      <c r="U1480" s="990"/>
      <c r="V1480" s="990"/>
      <c r="W1480" s="990"/>
      <c r="X1480" s="990"/>
    </row>
    <row r="1481" spans="1:24" s="896" customFormat="1" ht="25.5">
      <c r="A1481" s="987">
        <f t="shared" si="23"/>
        <v>1407</v>
      </c>
      <c r="B1481" s="988">
        <v>11891</v>
      </c>
      <c r="C1481" s="899" t="s">
        <v>10807</v>
      </c>
      <c r="D1481" s="988" t="s">
        <v>2669</v>
      </c>
      <c r="E1481" s="989">
        <v>4.54</v>
      </c>
      <c r="F1481" s="990"/>
      <c r="G1481" s="990"/>
      <c r="H1481" s="990"/>
      <c r="I1481" s="990"/>
      <c r="J1481" s="990"/>
      <c r="K1481" s="990"/>
      <c r="L1481" s="990"/>
      <c r="M1481" s="990"/>
      <c r="N1481" s="990"/>
      <c r="O1481" s="990"/>
      <c r="P1481" s="990"/>
      <c r="Q1481" s="990"/>
      <c r="R1481" s="990"/>
      <c r="S1481" s="990"/>
      <c r="T1481" s="990"/>
      <c r="U1481" s="990"/>
      <c r="V1481" s="990"/>
      <c r="W1481" s="990"/>
      <c r="X1481" s="990"/>
    </row>
    <row r="1482" spans="1:24" s="896" customFormat="1" ht="25.5">
      <c r="A1482" s="987">
        <f t="shared" si="23"/>
        <v>1408</v>
      </c>
      <c r="B1482" s="988">
        <v>11892</v>
      </c>
      <c r="C1482" s="899" t="s">
        <v>10808</v>
      </c>
      <c r="D1482" s="988" t="s">
        <v>2669</v>
      </c>
      <c r="E1482" s="989">
        <v>7</v>
      </c>
      <c r="F1482" s="990"/>
      <c r="G1482" s="990"/>
      <c r="H1482" s="990"/>
      <c r="I1482" s="990"/>
      <c r="J1482" s="990"/>
      <c r="K1482" s="990"/>
      <c r="L1482" s="990"/>
      <c r="M1482" s="990"/>
      <c r="N1482" s="990"/>
      <c r="O1482" s="990"/>
      <c r="P1482" s="990"/>
      <c r="Q1482" s="990"/>
      <c r="R1482" s="990"/>
      <c r="S1482" s="990"/>
      <c r="T1482" s="990"/>
      <c r="U1482" s="990"/>
      <c r="V1482" s="990"/>
      <c r="W1482" s="990"/>
      <c r="X1482" s="990"/>
    </row>
    <row r="1483" spans="1:24" s="896" customFormat="1">
      <c r="A1483" s="987">
        <f t="shared" si="23"/>
        <v>1409</v>
      </c>
      <c r="B1483" s="988">
        <v>37601</v>
      </c>
      <c r="C1483" s="899" t="s">
        <v>10809</v>
      </c>
      <c r="D1483" s="988" t="s">
        <v>2669</v>
      </c>
      <c r="E1483" s="989">
        <v>9.1199999999999992</v>
      </c>
      <c r="F1483" s="990"/>
      <c r="G1483" s="990"/>
      <c r="H1483" s="990"/>
      <c r="I1483" s="990"/>
      <c r="J1483" s="990"/>
      <c r="K1483" s="990"/>
      <c r="L1483" s="990"/>
      <c r="M1483" s="990"/>
      <c r="N1483" s="990"/>
      <c r="O1483" s="990"/>
      <c r="P1483" s="990"/>
      <c r="Q1483" s="990"/>
      <c r="R1483" s="990"/>
      <c r="S1483" s="990"/>
      <c r="T1483" s="990"/>
      <c r="U1483" s="990"/>
      <c r="V1483" s="990"/>
      <c r="W1483" s="990"/>
      <c r="X1483" s="990"/>
    </row>
    <row r="1484" spans="1:24" s="896" customFormat="1">
      <c r="A1484" s="987">
        <f t="shared" ref="A1484:A1547" si="24">A1483+1</f>
        <v>1410</v>
      </c>
      <c r="B1484" s="988">
        <v>1634</v>
      </c>
      <c r="C1484" s="899" t="s">
        <v>10810</v>
      </c>
      <c r="D1484" s="988" t="s">
        <v>2669</v>
      </c>
      <c r="E1484" s="989">
        <v>9.43</v>
      </c>
      <c r="F1484" s="990"/>
      <c r="G1484" s="990"/>
      <c r="H1484" s="990"/>
      <c r="I1484" s="990"/>
      <c r="J1484" s="990"/>
      <c r="K1484" s="990"/>
      <c r="L1484" s="990"/>
      <c r="M1484" s="990"/>
      <c r="N1484" s="990"/>
      <c r="O1484" s="990"/>
      <c r="P1484" s="990"/>
      <c r="Q1484" s="990"/>
      <c r="R1484" s="990"/>
      <c r="S1484" s="990"/>
      <c r="T1484" s="990"/>
      <c r="U1484" s="990"/>
      <c r="V1484" s="990"/>
      <c r="W1484" s="990"/>
      <c r="X1484" s="990"/>
    </row>
    <row r="1485" spans="1:24" s="896" customFormat="1" ht="25.5">
      <c r="A1485" s="987">
        <f t="shared" si="24"/>
        <v>1411</v>
      </c>
      <c r="B1485" s="988">
        <v>5086</v>
      </c>
      <c r="C1485" s="899" t="s">
        <v>10811</v>
      </c>
      <c r="D1485" s="988" t="s">
        <v>2670</v>
      </c>
      <c r="E1485" s="989">
        <v>32.72</v>
      </c>
      <c r="F1485" s="990"/>
      <c r="G1485" s="990"/>
      <c r="H1485" s="990"/>
      <c r="I1485" s="990"/>
      <c r="J1485" s="990"/>
      <c r="K1485" s="990"/>
      <c r="L1485" s="990"/>
      <c r="M1485" s="990"/>
      <c r="N1485" s="990"/>
      <c r="O1485" s="990"/>
      <c r="P1485" s="990"/>
      <c r="Q1485" s="990"/>
      <c r="R1485" s="990"/>
      <c r="S1485" s="990"/>
      <c r="T1485" s="990"/>
      <c r="U1485" s="990"/>
      <c r="V1485" s="990"/>
      <c r="W1485" s="990"/>
      <c r="X1485" s="990"/>
    </row>
    <row r="1486" spans="1:24" s="896" customFormat="1" ht="25.5">
      <c r="A1486" s="987">
        <f t="shared" si="24"/>
        <v>1412</v>
      </c>
      <c r="B1486" s="988">
        <v>11280</v>
      </c>
      <c r="C1486" s="899" t="s">
        <v>10812</v>
      </c>
      <c r="D1486" s="988" t="s">
        <v>2666</v>
      </c>
      <c r="E1486" s="989">
        <v>10291.209999999999</v>
      </c>
      <c r="F1486" s="990"/>
      <c r="G1486" s="990"/>
      <c r="H1486" s="990"/>
      <c r="I1486" s="990"/>
      <c r="J1486" s="990"/>
      <c r="K1486" s="990"/>
      <c r="L1486" s="990"/>
      <c r="M1486" s="990"/>
      <c r="N1486" s="990"/>
      <c r="O1486" s="990"/>
      <c r="P1486" s="990"/>
      <c r="Q1486" s="990"/>
      <c r="R1486" s="990"/>
      <c r="S1486" s="990"/>
      <c r="T1486" s="990"/>
      <c r="U1486" s="990"/>
      <c r="V1486" s="990"/>
      <c r="W1486" s="990"/>
      <c r="X1486" s="990"/>
    </row>
    <row r="1487" spans="1:24" s="896" customFormat="1" ht="25.5">
      <c r="A1487" s="987">
        <f t="shared" si="24"/>
        <v>1413</v>
      </c>
      <c r="B1487" s="988">
        <v>40519</v>
      </c>
      <c r="C1487" s="899" t="s">
        <v>10813</v>
      </c>
      <c r="D1487" s="988" t="s">
        <v>2666</v>
      </c>
      <c r="E1487" s="989">
        <v>84837.22</v>
      </c>
      <c r="F1487" s="990"/>
      <c r="G1487" s="990"/>
      <c r="H1487" s="990"/>
      <c r="I1487" s="990"/>
      <c r="J1487" s="990"/>
      <c r="K1487" s="990"/>
      <c r="L1487" s="990"/>
      <c r="M1487" s="990"/>
      <c r="N1487" s="990"/>
      <c r="O1487" s="990"/>
      <c r="P1487" s="990"/>
      <c r="Q1487" s="990"/>
      <c r="R1487" s="990"/>
      <c r="S1487" s="990"/>
      <c r="T1487" s="990"/>
      <c r="U1487" s="990"/>
      <c r="V1487" s="990"/>
      <c r="W1487" s="990"/>
      <c r="X1487" s="990"/>
    </row>
    <row r="1488" spans="1:24" s="896" customFormat="1" ht="25.5">
      <c r="A1488" s="987">
        <f t="shared" si="24"/>
        <v>1414</v>
      </c>
      <c r="B1488" s="988">
        <v>39869</v>
      </c>
      <c r="C1488" s="899" t="s">
        <v>10814</v>
      </c>
      <c r="D1488" s="988" t="s">
        <v>2666</v>
      </c>
      <c r="E1488" s="989">
        <v>14.75</v>
      </c>
      <c r="F1488" s="990"/>
      <c r="G1488" s="990"/>
      <c r="H1488" s="990"/>
      <c r="I1488" s="990"/>
      <c r="J1488" s="990"/>
      <c r="K1488" s="990"/>
      <c r="L1488" s="990"/>
      <c r="M1488" s="990"/>
      <c r="N1488" s="990"/>
      <c r="O1488" s="990"/>
      <c r="P1488" s="990"/>
      <c r="Q1488" s="990"/>
      <c r="R1488" s="990"/>
      <c r="S1488" s="990"/>
      <c r="T1488" s="990"/>
      <c r="U1488" s="990"/>
      <c r="V1488" s="990"/>
      <c r="W1488" s="990"/>
      <c r="X1488" s="990"/>
    </row>
    <row r="1489" spans="1:24" s="896" customFormat="1" ht="25.5">
      <c r="A1489" s="987">
        <f t="shared" si="24"/>
        <v>1415</v>
      </c>
      <c r="B1489" s="988">
        <v>39870</v>
      </c>
      <c r="C1489" s="899" t="s">
        <v>10815</v>
      </c>
      <c r="D1489" s="988" t="s">
        <v>2666</v>
      </c>
      <c r="E1489" s="989">
        <v>22.56</v>
      </c>
      <c r="F1489" s="990"/>
      <c r="G1489" s="990"/>
      <c r="H1489" s="990"/>
      <c r="I1489" s="990"/>
      <c r="J1489" s="990"/>
      <c r="K1489" s="990"/>
      <c r="L1489" s="990"/>
      <c r="M1489" s="990"/>
      <c r="N1489" s="990"/>
      <c r="O1489" s="990"/>
      <c r="P1489" s="990"/>
      <c r="Q1489" s="990"/>
      <c r="R1489" s="990"/>
      <c r="S1489" s="990"/>
      <c r="T1489" s="990"/>
      <c r="U1489" s="990"/>
      <c r="V1489" s="990"/>
      <c r="W1489" s="990"/>
      <c r="X1489" s="990"/>
    </row>
    <row r="1490" spans="1:24" s="896" customFormat="1" ht="25.5">
      <c r="A1490" s="987">
        <f t="shared" si="24"/>
        <v>1416</v>
      </c>
      <c r="B1490" s="988">
        <v>39871</v>
      </c>
      <c r="C1490" s="899" t="s">
        <v>10816</v>
      </c>
      <c r="D1490" s="988" t="s">
        <v>2666</v>
      </c>
      <c r="E1490" s="989">
        <v>25.29</v>
      </c>
      <c r="F1490" s="990"/>
      <c r="G1490" s="990"/>
      <c r="H1490" s="990"/>
      <c r="I1490" s="990"/>
      <c r="J1490" s="990"/>
      <c r="K1490" s="990"/>
      <c r="L1490" s="990"/>
      <c r="M1490" s="990"/>
      <c r="N1490" s="990"/>
      <c r="O1490" s="990"/>
      <c r="P1490" s="990"/>
      <c r="Q1490" s="990"/>
      <c r="R1490" s="990"/>
      <c r="S1490" s="990"/>
      <c r="T1490" s="990"/>
      <c r="U1490" s="990"/>
      <c r="V1490" s="990"/>
      <c r="W1490" s="990"/>
      <c r="X1490" s="990"/>
    </row>
    <row r="1491" spans="1:24" s="896" customFormat="1">
      <c r="A1491" s="987">
        <f t="shared" si="24"/>
        <v>1417</v>
      </c>
      <c r="B1491" s="988">
        <v>12722</v>
      </c>
      <c r="C1491" s="899" t="s">
        <v>10817</v>
      </c>
      <c r="D1491" s="988" t="s">
        <v>2666</v>
      </c>
      <c r="E1491" s="989">
        <v>846.46</v>
      </c>
      <c r="F1491" s="990"/>
      <c r="G1491" s="990"/>
      <c r="H1491" s="990"/>
      <c r="I1491" s="990"/>
      <c r="J1491" s="990"/>
      <c r="K1491" s="990"/>
      <c r="L1491" s="990"/>
      <c r="M1491" s="990"/>
      <c r="N1491" s="990"/>
      <c r="O1491" s="990"/>
      <c r="P1491" s="990"/>
      <c r="Q1491" s="990"/>
      <c r="R1491" s="990"/>
      <c r="S1491" s="990"/>
      <c r="T1491" s="990"/>
      <c r="U1491" s="990"/>
      <c r="V1491" s="990"/>
      <c r="W1491" s="990"/>
      <c r="X1491" s="990"/>
    </row>
    <row r="1492" spans="1:24" s="896" customFormat="1">
      <c r="A1492" s="987">
        <f t="shared" si="24"/>
        <v>1418</v>
      </c>
      <c r="B1492" s="988">
        <v>12714</v>
      </c>
      <c r="C1492" s="899" t="s">
        <v>10818</v>
      </c>
      <c r="D1492" s="988" t="s">
        <v>2666</v>
      </c>
      <c r="E1492" s="989">
        <v>5.52</v>
      </c>
      <c r="F1492" s="990"/>
      <c r="G1492" s="990"/>
      <c r="H1492" s="990"/>
      <c r="I1492" s="990"/>
      <c r="J1492" s="990"/>
      <c r="K1492" s="990"/>
      <c r="L1492" s="990"/>
      <c r="M1492" s="990"/>
      <c r="N1492" s="990"/>
      <c r="O1492" s="990"/>
      <c r="P1492" s="990"/>
      <c r="Q1492" s="990"/>
      <c r="R1492" s="990"/>
      <c r="S1492" s="990"/>
      <c r="T1492" s="990"/>
      <c r="U1492" s="990"/>
      <c r="V1492" s="990"/>
      <c r="W1492" s="990"/>
      <c r="X1492" s="990"/>
    </row>
    <row r="1493" spans="1:24" s="896" customFormat="1">
      <c r="A1493" s="987">
        <f t="shared" si="24"/>
        <v>1419</v>
      </c>
      <c r="B1493" s="988">
        <v>12715</v>
      </c>
      <c r="C1493" s="899" t="s">
        <v>10819</v>
      </c>
      <c r="D1493" s="988" t="s">
        <v>2666</v>
      </c>
      <c r="E1493" s="989">
        <v>12.47</v>
      </c>
      <c r="F1493" s="990"/>
      <c r="G1493" s="990"/>
      <c r="H1493" s="990"/>
      <c r="I1493" s="990"/>
      <c r="J1493" s="990"/>
      <c r="K1493" s="990"/>
      <c r="L1493" s="990"/>
      <c r="M1493" s="990"/>
      <c r="N1493" s="990"/>
      <c r="O1493" s="990"/>
      <c r="P1493" s="990"/>
      <c r="Q1493" s="990"/>
      <c r="R1493" s="990"/>
      <c r="S1493" s="990"/>
      <c r="T1493" s="990"/>
      <c r="U1493" s="990"/>
      <c r="V1493" s="990"/>
      <c r="W1493" s="990"/>
      <c r="X1493" s="990"/>
    </row>
    <row r="1494" spans="1:24" s="896" customFormat="1">
      <c r="A1494" s="987">
        <f t="shared" si="24"/>
        <v>1420</v>
      </c>
      <c r="B1494" s="988">
        <v>12716</v>
      </c>
      <c r="C1494" s="899" t="s">
        <v>10820</v>
      </c>
      <c r="D1494" s="988" t="s">
        <v>2666</v>
      </c>
      <c r="E1494" s="989">
        <v>21.42</v>
      </c>
      <c r="F1494" s="990"/>
      <c r="G1494" s="990"/>
      <c r="H1494" s="990"/>
      <c r="I1494" s="990"/>
      <c r="J1494" s="990"/>
      <c r="K1494" s="990"/>
      <c r="L1494" s="990"/>
      <c r="M1494" s="990"/>
      <c r="N1494" s="990"/>
      <c r="O1494" s="990"/>
      <c r="P1494" s="990"/>
      <c r="Q1494" s="990"/>
      <c r="R1494" s="990"/>
      <c r="S1494" s="990"/>
      <c r="T1494" s="990"/>
      <c r="U1494" s="990"/>
      <c r="V1494" s="990"/>
      <c r="W1494" s="990"/>
      <c r="X1494" s="990"/>
    </row>
    <row r="1495" spans="1:24" s="896" customFormat="1">
      <c r="A1495" s="987">
        <f t="shared" si="24"/>
        <v>1421</v>
      </c>
      <c r="B1495" s="988">
        <v>12717</v>
      </c>
      <c r="C1495" s="899" t="s">
        <v>10821</v>
      </c>
      <c r="D1495" s="988" t="s">
        <v>2666</v>
      </c>
      <c r="E1495" s="989">
        <v>42.11</v>
      </c>
      <c r="F1495" s="990"/>
      <c r="G1495" s="990"/>
      <c r="H1495" s="990"/>
      <c r="I1495" s="990"/>
      <c r="J1495" s="990"/>
      <c r="K1495" s="990"/>
      <c r="L1495" s="990"/>
      <c r="M1495" s="990"/>
      <c r="N1495" s="990"/>
      <c r="O1495" s="990"/>
      <c r="P1495" s="990"/>
      <c r="Q1495" s="990"/>
      <c r="R1495" s="990"/>
      <c r="S1495" s="990"/>
      <c r="T1495" s="990"/>
      <c r="U1495" s="990"/>
      <c r="V1495" s="990"/>
      <c r="W1495" s="990"/>
      <c r="X1495" s="990"/>
    </row>
    <row r="1496" spans="1:24" s="896" customFormat="1">
      <c r="A1496" s="987">
        <f t="shared" si="24"/>
        <v>1422</v>
      </c>
      <c r="B1496" s="988">
        <v>12718</v>
      </c>
      <c r="C1496" s="899" t="s">
        <v>10822</v>
      </c>
      <c r="D1496" s="988" t="s">
        <v>2666</v>
      </c>
      <c r="E1496" s="989">
        <v>64.63</v>
      </c>
      <c r="F1496" s="990"/>
      <c r="G1496" s="990"/>
      <c r="H1496" s="990"/>
      <c r="I1496" s="990"/>
      <c r="J1496" s="990"/>
      <c r="K1496" s="990"/>
      <c r="L1496" s="990"/>
      <c r="M1496" s="990"/>
      <c r="N1496" s="990"/>
      <c r="O1496" s="990"/>
      <c r="P1496" s="990"/>
      <c r="Q1496" s="990"/>
      <c r="R1496" s="990"/>
      <c r="S1496" s="990"/>
      <c r="T1496" s="990"/>
      <c r="U1496" s="990"/>
      <c r="V1496" s="990"/>
      <c r="W1496" s="990"/>
      <c r="X1496" s="990"/>
    </row>
    <row r="1497" spans="1:24" s="896" customFormat="1">
      <c r="A1497" s="987">
        <f t="shared" si="24"/>
        <v>1423</v>
      </c>
      <c r="B1497" s="988">
        <v>12719</v>
      </c>
      <c r="C1497" s="899" t="s">
        <v>10823</v>
      </c>
      <c r="D1497" s="988" t="s">
        <v>2666</v>
      </c>
      <c r="E1497" s="989">
        <v>102.59</v>
      </c>
      <c r="F1497" s="990"/>
      <c r="G1497" s="990"/>
      <c r="H1497" s="990"/>
      <c r="I1497" s="990"/>
      <c r="J1497" s="990"/>
      <c r="K1497" s="990"/>
      <c r="L1497" s="990"/>
      <c r="M1497" s="990"/>
      <c r="N1497" s="990"/>
      <c r="O1497" s="990"/>
      <c r="P1497" s="990"/>
      <c r="Q1497" s="990"/>
      <c r="R1497" s="990"/>
      <c r="S1497" s="990"/>
      <c r="T1497" s="990"/>
      <c r="U1497" s="990"/>
      <c r="V1497" s="990"/>
      <c r="W1497" s="990"/>
      <c r="X1497" s="990"/>
    </row>
    <row r="1498" spans="1:24" s="896" customFormat="1">
      <c r="A1498" s="987">
        <f t="shared" si="24"/>
        <v>1424</v>
      </c>
      <c r="B1498" s="988">
        <v>12720</v>
      </c>
      <c r="C1498" s="899" t="s">
        <v>10824</v>
      </c>
      <c r="D1498" s="988" t="s">
        <v>2666</v>
      </c>
      <c r="E1498" s="989">
        <v>357.23</v>
      </c>
      <c r="F1498" s="990"/>
      <c r="G1498" s="990"/>
      <c r="H1498" s="990"/>
      <c r="I1498" s="990"/>
      <c r="J1498" s="990"/>
      <c r="K1498" s="990"/>
      <c r="L1498" s="990"/>
      <c r="M1498" s="990"/>
      <c r="N1498" s="990"/>
      <c r="O1498" s="990"/>
      <c r="P1498" s="990"/>
      <c r="Q1498" s="990"/>
      <c r="R1498" s="990"/>
      <c r="S1498" s="990"/>
      <c r="T1498" s="990"/>
      <c r="U1498" s="990"/>
      <c r="V1498" s="990"/>
      <c r="W1498" s="990"/>
      <c r="X1498" s="990"/>
    </row>
    <row r="1499" spans="1:24" s="896" customFormat="1">
      <c r="A1499" s="987">
        <f t="shared" si="24"/>
        <v>1425</v>
      </c>
      <c r="B1499" s="988">
        <v>12721</v>
      </c>
      <c r="C1499" s="899" t="s">
        <v>10825</v>
      </c>
      <c r="D1499" s="988" t="s">
        <v>2666</v>
      </c>
      <c r="E1499" s="989">
        <v>342.56</v>
      </c>
      <c r="F1499" s="990"/>
      <c r="G1499" s="990"/>
      <c r="H1499" s="990"/>
      <c r="I1499" s="990"/>
      <c r="J1499" s="990"/>
      <c r="K1499" s="990"/>
      <c r="L1499" s="990"/>
      <c r="M1499" s="990"/>
      <c r="N1499" s="990"/>
      <c r="O1499" s="990"/>
      <c r="P1499" s="990"/>
      <c r="Q1499" s="990"/>
      <c r="R1499" s="990"/>
      <c r="S1499" s="990"/>
      <c r="T1499" s="990"/>
      <c r="U1499" s="990"/>
      <c r="V1499" s="990"/>
      <c r="W1499" s="990"/>
      <c r="X1499" s="990"/>
    </row>
    <row r="1500" spans="1:24" s="896" customFormat="1" ht="25.5">
      <c r="A1500" s="987">
        <f t="shared" si="24"/>
        <v>1426</v>
      </c>
      <c r="B1500" s="988">
        <v>3468</v>
      </c>
      <c r="C1500" s="899" t="s">
        <v>10826</v>
      </c>
      <c r="D1500" s="988" t="s">
        <v>2666</v>
      </c>
      <c r="E1500" s="989">
        <v>44.5</v>
      </c>
      <c r="F1500" s="990"/>
      <c r="G1500" s="990"/>
      <c r="H1500" s="990"/>
      <c r="I1500" s="990"/>
      <c r="J1500" s="990"/>
      <c r="K1500" s="990"/>
      <c r="L1500" s="990"/>
      <c r="M1500" s="990"/>
      <c r="N1500" s="990"/>
      <c r="O1500" s="990"/>
      <c r="P1500" s="990"/>
      <c r="Q1500" s="990"/>
      <c r="R1500" s="990"/>
      <c r="S1500" s="990"/>
      <c r="T1500" s="990"/>
      <c r="U1500" s="990"/>
      <c r="V1500" s="990"/>
      <c r="W1500" s="990"/>
      <c r="X1500" s="990"/>
    </row>
    <row r="1501" spans="1:24" s="896" customFormat="1" ht="25.5">
      <c r="A1501" s="987">
        <f t="shared" si="24"/>
        <v>1427</v>
      </c>
      <c r="B1501" s="988">
        <v>3465</v>
      </c>
      <c r="C1501" s="899" t="s">
        <v>10827</v>
      </c>
      <c r="D1501" s="988" t="s">
        <v>2666</v>
      </c>
      <c r="E1501" s="989">
        <v>44.49</v>
      </c>
      <c r="F1501" s="990"/>
      <c r="G1501" s="990"/>
      <c r="H1501" s="990"/>
      <c r="I1501" s="990"/>
      <c r="J1501" s="990"/>
      <c r="K1501" s="990"/>
      <c r="L1501" s="990"/>
      <c r="M1501" s="990"/>
      <c r="N1501" s="990"/>
      <c r="O1501" s="990"/>
      <c r="P1501" s="990"/>
      <c r="Q1501" s="990"/>
      <c r="R1501" s="990"/>
      <c r="S1501" s="990"/>
      <c r="T1501" s="990"/>
      <c r="U1501" s="990"/>
      <c r="V1501" s="990"/>
      <c r="W1501" s="990"/>
      <c r="X1501" s="990"/>
    </row>
    <row r="1502" spans="1:24" s="896" customFormat="1" ht="25.5">
      <c r="A1502" s="987">
        <f t="shared" si="24"/>
        <v>1428</v>
      </c>
      <c r="B1502" s="988">
        <v>12403</v>
      </c>
      <c r="C1502" s="899" t="s">
        <v>10828</v>
      </c>
      <c r="D1502" s="988" t="s">
        <v>2666</v>
      </c>
      <c r="E1502" s="989">
        <v>31.71</v>
      </c>
      <c r="F1502" s="990"/>
      <c r="G1502" s="990"/>
      <c r="H1502" s="990"/>
      <c r="I1502" s="990"/>
      <c r="J1502" s="990"/>
      <c r="K1502" s="990"/>
      <c r="L1502" s="990"/>
      <c r="M1502" s="990"/>
      <c r="N1502" s="990"/>
      <c r="O1502" s="990"/>
      <c r="P1502" s="990"/>
      <c r="Q1502" s="990"/>
      <c r="R1502" s="990"/>
      <c r="S1502" s="990"/>
      <c r="T1502" s="990"/>
      <c r="U1502" s="990"/>
      <c r="V1502" s="990"/>
      <c r="W1502" s="990"/>
      <c r="X1502" s="990"/>
    </row>
    <row r="1503" spans="1:24" s="896" customFormat="1">
      <c r="A1503" s="987">
        <f t="shared" si="24"/>
        <v>1429</v>
      </c>
      <c r="B1503" s="988">
        <v>3463</v>
      </c>
      <c r="C1503" s="899" t="s">
        <v>10829</v>
      </c>
      <c r="D1503" s="988" t="s">
        <v>2666</v>
      </c>
      <c r="E1503" s="989">
        <v>18.52</v>
      </c>
      <c r="F1503" s="990"/>
      <c r="G1503" s="990"/>
      <c r="H1503" s="990"/>
      <c r="I1503" s="990"/>
      <c r="J1503" s="990"/>
      <c r="K1503" s="990"/>
      <c r="L1503" s="990"/>
      <c r="M1503" s="990"/>
      <c r="N1503" s="990"/>
      <c r="O1503" s="990"/>
      <c r="P1503" s="990"/>
      <c r="Q1503" s="990"/>
      <c r="R1503" s="990"/>
      <c r="S1503" s="990"/>
      <c r="T1503" s="990"/>
      <c r="U1503" s="990"/>
      <c r="V1503" s="990"/>
      <c r="W1503" s="990"/>
      <c r="X1503" s="990"/>
    </row>
    <row r="1504" spans="1:24" s="896" customFormat="1">
      <c r="A1504" s="987">
        <f t="shared" si="24"/>
        <v>1430</v>
      </c>
      <c r="B1504" s="988">
        <v>3464</v>
      </c>
      <c r="C1504" s="899" t="s">
        <v>10830</v>
      </c>
      <c r="D1504" s="988" t="s">
        <v>2666</v>
      </c>
      <c r="E1504" s="989">
        <v>18.52</v>
      </c>
      <c r="F1504" s="990"/>
      <c r="G1504" s="990"/>
      <c r="H1504" s="990"/>
      <c r="I1504" s="990"/>
      <c r="J1504" s="990"/>
      <c r="K1504" s="990"/>
      <c r="L1504" s="990"/>
      <c r="M1504" s="990"/>
      <c r="N1504" s="990"/>
      <c r="O1504" s="990"/>
      <c r="P1504" s="990"/>
      <c r="Q1504" s="990"/>
      <c r="R1504" s="990"/>
      <c r="S1504" s="990"/>
      <c r="T1504" s="990"/>
      <c r="U1504" s="990"/>
      <c r="V1504" s="990"/>
      <c r="W1504" s="990"/>
      <c r="X1504" s="990"/>
    </row>
    <row r="1505" spans="1:24" s="896" customFormat="1" ht="25.5">
      <c r="A1505" s="987">
        <f t="shared" si="24"/>
        <v>1431</v>
      </c>
      <c r="B1505" s="988">
        <v>3466</v>
      </c>
      <c r="C1505" s="899" t="s">
        <v>10831</v>
      </c>
      <c r="D1505" s="988" t="s">
        <v>2666</v>
      </c>
      <c r="E1505" s="989">
        <v>112.99</v>
      </c>
      <c r="F1505" s="990"/>
      <c r="G1505" s="990"/>
      <c r="H1505" s="990"/>
      <c r="I1505" s="990"/>
      <c r="J1505" s="990"/>
      <c r="K1505" s="990"/>
      <c r="L1505" s="990"/>
      <c r="M1505" s="990"/>
      <c r="N1505" s="990"/>
      <c r="O1505" s="990"/>
      <c r="P1505" s="990"/>
      <c r="Q1505" s="990"/>
      <c r="R1505" s="990"/>
      <c r="S1505" s="990"/>
      <c r="T1505" s="990"/>
      <c r="U1505" s="990"/>
      <c r="V1505" s="990"/>
      <c r="W1505" s="990"/>
      <c r="X1505" s="990"/>
    </row>
    <row r="1506" spans="1:24" s="896" customFormat="1" ht="25.5">
      <c r="A1506" s="987">
        <f t="shared" si="24"/>
        <v>1432</v>
      </c>
      <c r="B1506" s="988">
        <v>3467</v>
      </c>
      <c r="C1506" s="899" t="s">
        <v>10832</v>
      </c>
      <c r="D1506" s="988" t="s">
        <v>2666</v>
      </c>
      <c r="E1506" s="989">
        <v>63.81</v>
      </c>
      <c r="F1506" s="990"/>
      <c r="G1506" s="990"/>
      <c r="H1506" s="990"/>
      <c r="I1506" s="990"/>
      <c r="J1506" s="990"/>
      <c r="K1506" s="990"/>
      <c r="L1506" s="990"/>
      <c r="M1506" s="990"/>
      <c r="N1506" s="990"/>
      <c r="O1506" s="990"/>
      <c r="P1506" s="990"/>
      <c r="Q1506" s="990"/>
      <c r="R1506" s="990"/>
      <c r="S1506" s="990"/>
      <c r="T1506" s="990"/>
      <c r="U1506" s="990"/>
      <c r="V1506" s="990"/>
      <c r="W1506" s="990"/>
      <c r="X1506" s="990"/>
    </row>
    <row r="1507" spans="1:24" s="896" customFormat="1" ht="25.5">
      <c r="A1507" s="987">
        <f t="shared" si="24"/>
        <v>1433</v>
      </c>
      <c r="B1507" s="988">
        <v>3462</v>
      </c>
      <c r="C1507" s="899" t="s">
        <v>10833</v>
      </c>
      <c r="D1507" s="988" t="s">
        <v>2666</v>
      </c>
      <c r="E1507" s="989">
        <v>12.22</v>
      </c>
      <c r="F1507" s="990"/>
      <c r="G1507" s="990"/>
      <c r="H1507" s="990"/>
      <c r="I1507" s="990"/>
      <c r="J1507" s="990"/>
      <c r="K1507" s="990"/>
      <c r="L1507" s="990"/>
      <c r="M1507" s="990"/>
      <c r="N1507" s="990"/>
      <c r="O1507" s="990"/>
      <c r="P1507" s="990"/>
      <c r="Q1507" s="990"/>
      <c r="R1507" s="990"/>
      <c r="S1507" s="990"/>
      <c r="T1507" s="990"/>
      <c r="U1507" s="990"/>
      <c r="V1507" s="990"/>
      <c r="W1507" s="990"/>
      <c r="X1507" s="990"/>
    </row>
    <row r="1508" spans="1:24" s="896" customFormat="1">
      <c r="A1508" s="987">
        <f t="shared" si="24"/>
        <v>1434</v>
      </c>
      <c r="B1508" s="988">
        <v>3446</v>
      </c>
      <c r="C1508" s="899" t="s">
        <v>10834</v>
      </c>
      <c r="D1508" s="988" t="s">
        <v>2666</v>
      </c>
      <c r="E1508" s="989">
        <v>37.619999999999997</v>
      </c>
      <c r="F1508" s="990"/>
      <c r="G1508" s="990"/>
      <c r="H1508" s="990"/>
      <c r="I1508" s="990"/>
      <c r="J1508" s="990"/>
      <c r="K1508" s="990"/>
      <c r="L1508" s="990"/>
      <c r="M1508" s="990"/>
      <c r="N1508" s="990"/>
      <c r="O1508" s="990"/>
      <c r="P1508" s="990"/>
      <c r="Q1508" s="990"/>
      <c r="R1508" s="990"/>
      <c r="S1508" s="990"/>
      <c r="T1508" s="990"/>
      <c r="U1508" s="990"/>
      <c r="V1508" s="990"/>
      <c r="W1508" s="990"/>
      <c r="X1508" s="990"/>
    </row>
    <row r="1509" spans="1:24" s="896" customFormat="1">
      <c r="A1509" s="987">
        <f t="shared" si="24"/>
        <v>1435</v>
      </c>
      <c r="B1509" s="988">
        <v>3445</v>
      </c>
      <c r="C1509" s="899" t="s">
        <v>10835</v>
      </c>
      <c r="D1509" s="988" t="s">
        <v>2666</v>
      </c>
      <c r="E1509" s="989">
        <v>30.71</v>
      </c>
      <c r="F1509" s="990"/>
      <c r="G1509" s="990"/>
      <c r="H1509" s="990"/>
      <c r="I1509" s="990"/>
      <c r="J1509" s="990"/>
      <c r="K1509" s="990"/>
      <c r="L1509" s="990"/>
      <c r="M1509" s="990"/>
      <c r="N1509" s="990"/>
      <c r="O1509" s="990"/>
      <c r="P1509" s="990"/>
      <c r="Q1509" s="990"/>
      <c r="R1509" s="990"/>
      <c r="S1509" s="990"/>
      <c r="T1509" s="990"/>
      <c r="U1509" s="990"/>
      <c r="V1509" s="990"/>
      <c r="W1509" s="990"/>
      <c r="X1509" s="990"/>
    </row>
    <row r="1510" spans="1:24" s="896" customFormat="1">
      <c r="A1510" s="987">
        <f t="shared" si="24"/>
        <v>1436</v>
      </c>
      <c r="B1510" s="988">
        <v>3441</v>
      </c>
      <c r="C1510" s="899" t="s">
        <v>10836</v>
      </c>
      <c r="D1510" s="988" t="s">
        <v>2666</v>
      </c>
      <c r="E1510" s="989">
        <v>8.67</v>
      </c>
      <c r="F1510" s="990"/>
      <c r="G1510" s="990"/>
      <c r="H1510" s="990"/>
      <c r="I1510" s="990"/>
      <c r="J1510" s="990"/>
      <c r="K1510" s="990"/>
      <c r="L1510" s="990"/>
      <c r="M1510" s="990"/>
      <c r="N1510" s="990"/>
      <c r="O1510" s="990"/>
      <c r="P1510" s="990"/>
      <c r="Q1510" s="990"/>
      <c r="R1510" s="990"/>
      <c r="S1510" s="990"/>
      <c r="T1510" s="990"/>
      <c r="U1510" s="990"/>
      <c r="V1510" s="990"/>
      <c r="W1510" s="990"/>
      <c r="X1510" s="990"/>
    </row>
    <row r="1511" spans="1:24" s="896" customFormat="1">
      <c r="A1511" s="987">
        <f t="shared" si="24"/>
        <v>1437</v>
      </c>
      <c r="B1511" s="988">
        <v>3444</v>
      </c>
      <c r="C1511" s="899" t="s">
        <v>10837</v>
      </c>
      <c r="D1511" s="988" t="s">
        <v>2666</v>
      </c>
      <c r="E1511" s="989">
        <v>18.899999999999999</v>
      </c>
      <c r="F1511" s="990"/>
      <c r="G1511" s="990"/>
      <c r="H1511" s="990"/>
      <c r="I1511" s="990"/>
      <c r="J1511" s="990"/>
      <c r="K1511" s="990"/>
      <c r="L1511" s="990"/>
      <c r="M1511" s="990"/>
      <c r="N1511" s="990"/>
      <c r="O1511" s="990"/>
      <c r="P1511" s="990"/>
      <c r="Q1511" s="990"/>
      <c r="R1511" s="990"/>
      <c r="S1511" s="990"/>
      <c r="T1511" s="990"/>
      <c r="U1511" s="990"/>
      <c r="V1511" s="990"/>
      <c r="W1511" s="990"/>
      <c r="X1511" s="990"/>
    </row>
    <row r="1512" spans="1:24" s="896" customFormat="1">
      <c r="A1512" s="987">
        <f t="shared" si="24"/>
        <v>1438</v>
      </c>
      <c r="B1512" s="988">
        <v>12402</v>
      </c>
      <c r="C1512" s="899" t="s">
        <v>10838</v>
      </c>
      <c r="D1512" s="988" t="s">
        <v>2666</v>
      </c>
      <c r="E1512" s="989">
        <v>105.74</v>
      </c>
      <c r="F1512" s="990"/>
      <c r="G1512" s="990"/>
      <c r="H1512" s="990"/>
      <c r="I1512" s="990"/>
      <c r="J1512" s="990"/>
      <c r="K1512" s="990"/>
      <c r="L1512" s="990"/>
      <c r="M1512" s="990"/>
      <c r="N1512" s="990"/>
      <c r="O1512" s="990"/>
      <c r="P1512" s="990"/>
      <c r="Q1512" s="990"/>
      <c r="R1512" s="990"/>
      <c r="S1512" s="990"/>
      <c r="T1512" s="990"/>
      <c r="U1512" s="990"/>
      <c r="V1512" s="990"/>
      <c r="W1512" s="990"/>
      <c r="X1512" s="990"/>
    </row>
    <row r="1513" spans="1:24" s="896" customFormat="1">
      <c r="A1513" s="987">
        <f t="shared" si="24"/>
        <v>1439</v>
      </c>
      <c r="B1513" s="988">
        <v>3447</v>
      </c>
      <c r="C1513" s="899" t="s">
        <v>10839</v>
      </c>
      <c r="D1513" s="988" t="s">
        <v>2666</v>
      </c>
      <c r="E1513" s="989">
        <v>54.71</v>
      </c>
      <c r="F1513" s="990"/>
      <c r="G1513" s="990"/>
      <c r="H1513" s="990"/>
      <c r="I1513" s="990"/>
      <c r="J1513" s="990"/>
      <c r="K1513" s="990"/>
      <c r="L1513" s="990"/>
      <c r="M1513" s="990"/>
      <c r="N1513" s="990"/>
      <c r="O1513" s="990"/>
      <c r="P1513" s="990"/>
      <c r="Q1513" s="990"/>
      <c r="R1513" s="990"/>
      <c r="S1513" s="990"/>
      <c r="T1513" s="990"/>
      <c r="U1513" s="990"/>
      <c r="V1513" s="990"/>
      <c r="W1513" s="990"/>
      <c r="X1513" s="990"/>
    </row>
    <row r="1514" spans="1:24" s="896" customFormat="1">
      <c r="A1514" s="987">
        <f t="shared" si="24"/>
        <v>1440</v>
      </c>
      <c r="B1514" s="988">
        <v>3442</v>
      </c>
      <c r="C1514" s="899" t="s">
        <v>10840</v>
      </c>
      <c r="D1514" s="988" t="s">
        <v>2666</v>
      </c>
      <c r="E1514" s="989">
        <v>12.96</v>
      </c>
      <c r="F1514" s="990"/>
      <c r="G1514" s="990"/>
      <c r="H1514" s="990"/>
      <c r="I1514" s="990"/>
      <c r="J1514" s="990"/>
      <c r="K1514" s="990"/>
      <c r="L1514" s="990"/>
      <c r="M1514" s="990"/>
      <c r="N1514" s="990"/>
      <c r="O1514" s="990"/>
      <c r="P1514" s="990"/>
      <c r="Q1514" s="990"/>
      <c r="R1514" s="990"/>
      <c r="S1514" s="990"/>
      <c r="T1514" s="990"/>
      <c r="U1514" s="990"/>
      <c r="V1514" s="990"/>
      <c r="W1514" s="990"/>
      <c r="X1514" s="990"/>
    </row>
    <row r="1515" spans="1:24" s="896" customFormat="1">
      <c r="A1515" s="987">
        <f t="shared" si="24"/>
        <v>1441</v>
      </c>
      <c r="B1515" s="988">
        <v>3448</v>
      </c>
      <c r="C1515" s="899" t="s">
        <v>10841</v>
      </c>
      <c r="D1515" s="988" t="s">
        <v>2666</v>
      </c>
      <c r="E1515" s="989">
        <v>154.6</v>
      </c>
      <c r="F1515" s="990"/>
      <c r="G1515" s="990"/>
      <c r="H1515" s="990"/>
      <c r="I1515" s="990"/>
      <c r="J1515" s="990"/>
      <c r="K1515" s="990"/>
      <c r="L1515" s="990"/>
      <c r="M1515" s="990"/>
      <c r="N1515" s="990"/>
      <c r="O1515" s="990"/>
      <c r="P1515" s="990"/>
      <c r="Q1515" s="990"/>
      <c r="R1515" s="990"/>
      <c r="S1515" s="990"/>
      <c r="T1515" s="990"/>
      <c r="U1515" s="990"/>
      <c r="V1515" s="990"/>
      <c r="W1515" s="990"/>
      <c r="X1515" s="990"/>
    </row>
    <row r="1516" spans="1:24" s="896" customFormat="1">
      <c r="A1516" s="987">
        <f t="shared" si="24"/>
        <v>1442</v>
      </c>
      <c r="B1516" s="988">
        <v>3449</v>
      </c>
      <c r="C1516" s="899" t="s">
        <v>10842</v>
      </c>
      <c r="D1516" s="988" t="s">
        <v>2666</v>
      </c>
      <c r="E1516" s="989">
        <v>270.89</v>
      </c>
      <c r="F1516" s="990"/>
      <c r="G1516" s="990"/>
      <c r="H1516" s="990"/>
      <c r="I1516" s="990"/>
      <c r="J1516" s="990"/>
      <c r="K1516" s="990"/>
      <c r="L1516" s="990"/>
      <c r="M1516" s="990"/>
      <c r="N1516" s="990"/>
      <c r="O1516" s="990"/>
      <c r="P1516" s="990"/>
      <c r="Q1516" s="990"/>
      <c r="R1516" s="990"/>
      <c r="S1516" s="990"/>
      <c r="T1516" s="990"/>
      <c r="U1516" s="990"/>
      <c r="V1516" s="990"/>
      <c r="W1516" s="990"/>
      <c r="X1516" s="990"/>
    </row>
    <row r="1517" spans="1:24" s="896" customFormat="1">
      <c r="A1517" s="987">
        <f t="shared" si="24"/>
        <v>1443</v>
      </c>
      <c r="B1517" s="988">
        <v>37438</v>
      </c>
      <c r="C1517" s="899" t="s">
        <v>10843</v>
      </c>
      <c r="D1517" s="988" t="s">
        <v>2666</v>
      </c>
      <c r="E1517" s="989">
        <v>255.01</v>
      </c>
      <c r="F1517" s="990"/>
      <c r="G1517" s="990"/>
      <c r="H1517" s="990"/>
      <c r="I1517" s="990"/>
      <c r="J1517" s="990"/>
      <c r="K1517" s="990"/>
      <c r="L1517" s="990"/>
      <c r="M1517" s="990"/>
      <c r="N1517" s="990"/>
      <c r="O1517" s="990"/>
      <c r="P1517" s="990"/>
      <c r="Q1517" s="990"/>
      <c r="R1517" s="990"/>
      <c r="S1517" s="990"/>
      <c r="T1517" s="990"/>
      <c r="U1517" s="990"/>
      <c r="V1517" s="990"/>
      <c r="W1517" s="990"/>
      <c r="X1517" s="990"/>
    </row>
    <row r="1518" spans="1:24" s="896" customFormat="1">
      <c r="A1518" s="987">
        <f t="shared" si="24"/>
        <v>1444</v>
      </c>
      <c r="B1518" s="988">
        <v>37439</v>
      </c>
      <c r="C1518" s="899" t="s">
        <v>10844</v>
      </c>
      <c r="D1518" s="988" t="s">
        <v>2666</v>
      </c>
      <c r="E1518" s="989">
        <v>1667.24</v>
      </c>
      <c r="F1518" s="990"/>
      <c r="G1518" s="990"/>
      <c r="H1518" s="990"/>
      <c r="I1518" s="990"/>
      <c r="J1518" s="990"/>
      <c r="K1518" s="990"/>
      <c r="L1518" s="990"/>
      <c r="M1518" s="990"/>
      <c r="N1518" s="990"/>
      <c r="O1518" s="990"/>
      <c r="P1518" s="990"/>
      <c r="Q1518" s="990"/>
      <c r="R1518" s="990"/>
      <c r="S1518" s="990"/>
      <c r="T1518" s="990"/>
      <c r="U1518" s="990"/>
      <c r="V1518" s="990"/>
      <c r="W1518" s="990"/>
      <c r="X1518" s="990"/>
    </row>
    <row r="1519" spans="1:24" s="896" customFormat="1">
      <c r="A1519" s="987">
        <f t="shared" si="24"/>
        <v>1445</v>
      </c>
      <c r="B1519" s="988">
        <v>37435</v>
      </c>
      <c r="C1519" s="899" t="s">
        <v>10845</v>
      </c>
      <c r="D1519" s="988" t="s">
        <v>2666</v>
      </c>
      <c r="E1519" s="989">
        <v>29.97</v>
      </c>
      <c r="F1519" s="990"/>
      <c r="G1519" s="990"/>
      <c r="H1519" s="990"/>
      <c r="I1519" s="990"/>
      <c r="J1519" s="990"/>
      <c r="K1519" s="990"/>
      <c r="L1519" s="990"/>
      <c r="M1519" s="990"/>
      <c r="N1519" s="990"/>
      <c r="O1519" s="990"/>
      <c r="P1519" s="990"/>
      <c r="Q1519" s="990"/>
      <c r="R1519" s="990"/>
      <c r="S1519" s="990"/>
      <c r="T1519" s="990"/>
      <c r="U1519" s="990"/>
      <c r="V1519" s="990"/>
      <c r="W1519" s="990"/>
      <c r="X1519" s="990"/>
    </row>
    <row r="1520" spans="1:24" s="896" customFormat="1">
      <c r="A1520" s="987">
        <f t="shared" si="24"/>
        <v>1446</v>
      </c>
      <c r="B1520" s="988">
        <v>37436</v>
      </c>
      <c r="C1520" s="899" t="s">
        <v>10846</v>
      </c>
      <c r="D1520" s="988" t="s">
        <v>2666</v>
      </c>
      <c r="E1520" s="989">
        <v>35.369999999999997</v>
      </c>
      <c r="F1520" s="990"/>
      <c r="G1520" s="990"/>
      <c r="H1520" s="990"/>
      <c r="I1520" s="990"/>
      <c r="J1520" s="990"/>
      <c r="K1520" s="990"/>
      <c r="L1520" s="990"/>
      <c r="M1520" s="990"/>
      <c r="N1520" s="990"/>
      <c r="O1520" s="990"/>
      <c r="P1520" s="990"/>
      <c r="Q1520" s="990"/>
      <c r="R1520" s="990"/>
      <c r="S1520" s="990"/>
      <c r="T1520" s="990"/>
      <c r="U1520" s="990"/>
      <c r="V1520" s="990"/>
      <c r="W1520" s="990"/>
      <c r="X1520" s="990"/>
    </row>
    <row r="1521" spans="1:24" s="896" customFormat="1">
      <c r="A1521" s="987">
        <f t="shared" si="24"/>
        <v>1447</v>
      </c>
      <c r="B1521" s="988">
        <v>37437</v>
      </c>
      <c r="C1521" s="899" t="s">
        <v>10847</v>
      </c>
      <c r="D1521" s="988" t="s">
        <v>2666</v>
      </c>
      <c r="E1521" s="989">
        <v>51.15</v>
      </c>
      <c r="F1521" s="990"/>
      <c r="G1521" s="990"/>
      <c r="H1521" s="990"/>
      <c r="I1521" s="990"/>
      <c r="J1521" s="990"/>
      <c r="K1521" s="990"/>
      <c r="L1521" s="990"/>
      <c r="M1521" s="990"/>
      <c r="N1521" s="990"/>
      <c r="O1521" s="990"/>
      <c r="P1521" s="990"/>
      <c r="Q1521" s="990"/>
      <c r="R1521" s="990"/>
      <c r="S1521" s="990"/>
      <c r="T1521" s="990"/>
      <c r="U1521" s="990"/>
      <c r="V1521" s="990"/>
      <c r="W1521" s="990"/>
      <c r="X1521" s="990"/>
    </row>
    <row r="1522" spans="1:24" s="896" customFormat="1">
      <c r="A1522" s="987">
        <f t="shared" si="24"/>
        <v>1448</v>
      </c>
      <c r="B1522" s="988">
        <v>3473</v>
      </c>
      <c r="C1522" s="899" t="s">
        <v>10848</v>
      </c>
      <c r="D1522" s="988" t="s">
        <v>2666</v>
      </c>
      <c r="E1522" s="989">
        <v>42.53</v>
      </c>
      <c r="F1522" s="990"/>
      <c r="G1522" s="990"/>
      <c r="H1522" s="990"/>
      <c r="I1522" s="990"/>
      <c r="J1522" s="990"/>
      <c r="K1522" s="990"/>
      <c r="L1522" s="990"/>
      <c r="M1522" s="990"/>
      <c r="N1522" s="990"/>
      <c r="O1522" s="990"/>
      <c r="P1522" s="990"/>
      <c r="Q1522" s="990"/>
      <c r="R1522" s="990"/>
      <c r="S1522" s="990"/>
      <c r="T1522" s="990"/>
      <c r="U1522" s="990"/>
      <c r="V1522" s="990"/>
      <c r="W1522" s="990"/>
      <c r="X1522" s="990"/>
    </row>
    <row r="1523" spans="1:24" s="896" customFormat="1">
      <c r="A1523" s="987">
        <f t="shared" si="24"/>
        <v>1449</v>
      </c>
      <c r="B1523" s="988">
        <v>3474</v>
      </c>
      <c r="C1523" s="899" t="s">
        <v>10849</v>
      </c>
      <c r="D1523" s="988" t="s">
        <v>2666</v>
      </c>
      <c r="E1523" s="989">
        <v>35.06</v>
      </c>
      <c r="F1523" s="990"/>
      <c r="G1523" s="990"/>
      <c r="H1523" s="990"/>
      <c r="I1523" s="990"/>
      <c r="J1523" s="990"/>
      <c r="K1523" s="990"/>
      <c r="L1523" s="990"/>
      <c r="M1523" s="990"/>
      <c r="N1523" s="990"/>
      <c r="O1523" s="990"/>
      <c r="P1523" s="990"/>
      <c r="Q1523" s="990"/>
      <c r="R1523" s="990"/>
      <c r="S1523" s="990"/>
      <c r="T1523" s="990"/>
      <c r="U1523" s="990"/>
      <c r="V1523" s="990"/>
      <c r="W1523" s="990"/>
      <c r="X1523" s="990"/>
    </row>
    <row r="1524" spans="1:24" s="896" customFormat="1">
      <c r="A1524" s="987">
        <f t="shared" si="24"/>
        <v>1450</v>
      </c>
      <c r="B1524" s="988">
        <v>3450</v>
      </c>
      <c r="C1524" s="899" t="s">
        <v>10850</v>
      </c>
      <c r="D1524" s="988" t="s">
        <v>2666</v>
      </c>
      <c r="E1524" s="989">
        <v>10.16</v>
      </c>
      <c r="F1524" s="990"/>
      <c r="G1524" s="990"/>
      <c r="H1524" s="990"/>
      <c r="I1524" s="990"/>
      <c r="J1524" s="990"/>
      <c r="K1524" s="990"/>
      <c r="L1524" s="990"/>
      <c r="M1524" s="990"/>
      <c r="N1524" s="990"/>
      <c r="O1524" s="990"/>
      <c r="P1524" s="990"/>
      <c r="Q1524" s="990"/>
      <c r="R1524" s="990"/>
      <c r="S1524" s="990"/>
      <c r="T1524" s="990"/>
      <c r="U1524" s="990"/>
      <c r="V1524" s="990"/>
      <c r="W1524" s="990"/>
      <c r="X1524" s="990"/>
    </row>
    <row r="1525" spans="1:24" s="896" customFormat="1">
      <c r="A1525" s="987">
        <f t="shared" si="24"/>
        <v>1451</v>
      </c>
      <c r="B1525" s="988">
        <v>3443</v>
      </c>
      <c r="C1525" s="899" t="s">
        <v>10851</v>
      </c>
      <c r="D1525" s="988" t="s">
        <v>2666</v>
      </c>
      <c r="E1525" s="989">
        <v>21.81</v>
      </c>
      <c r="F1525" s="990"/>
      <c r="G1525" s="990"/>
      <c r="H1525" s="990"/>
      <c r="I1525" s="990"/>
      <c r="J1525" s="990"/>
      <c r="K1525" s="990"/>
      <c r="L1525" s="990"/>
      <c r="M1525" s="990"/>
      <c r="N1525" s="990"/>
      <c r="O1525" s="990"/>
      <c r="P1525" s="990"/>
      <c r="Q1525" s="990"/>
      <c r="R1525" s="990"/>
      <c r="S1525" s="990"/>
      <c r="T1525" s="990"/>
      <c r="U1525" s="990"/>
      <c r="V1525" s="990"/>
      <c r="W1525" s="990"/>
      <c r="X1525" s="990"/>
    </row>
    <row r="1526" spans="1:24" s="896" customFormat="1">
      <c r="A1526" s="987">
        <f t="shared" si="24"/>
        <v>1452</v>
      </c>
      <c r="B1526" s="988">
        <v>3453</v>
      </c>
      <c r="C1526" s="899" t="s">
        <v>10852</v>
      </c>
      <c r="D1526" s="988" t="s">
        <v>2666</v>
      </c>
      <c r="E1526" s="989">
        <v>124.15</v>
      </c>
      <c r="F1526" s="990"/>
      <c r="G1526" s="990"/>
      <c r="H1526" s="990"/>
      <c r="I1526" s="990"/>
      <c r="J1526" s="990"/>
      <c r="K1526" s="990"/>
      <c r="L1526" s="990"/>
      <c r="M1526" s="990"/>
      <c r="N1526" s="990"/>
      <c r="O1526" s="990"/>
      <c r="P1526" s="990"/>
      <c r="Q1526" s="990"/>
      <c r="R1526" s="990"/>
      <c r="S1526" s="990"/>
      <c r="T1526" s="990"/>
      <c r="U1526" s="990"/>
      <c r="V1526" s="990"/>
      <c r="W1526" s="990"/>
      <c r="X1526" s="990"/>
    </row>
    <row r="1527" spans="1:24" s="896" customFormat="1">
      <c r="A1527" s="987">
        <f t="shared" si="24"/>
        <v>1453</v>
      </c>
      <c r="B1527" s="988">
        <v>3452</v>
      </c>
      <c r="C1527" s="899" t="s">
        <v>10853</v>
      </c>
      <c r="D1527" s="988" t="s">
        <v>2666</v>
      </c>
      <c r="E1527" s="989">
        <v>61.28</v>
      </c>
      <c r="F1527" s="990"/>
      <c r="G1527" s="990"/>
      <c r="H1527" s="990"/>
      <c r="I1527" s="990"/>
      <c r="J1527" s="990"/>
      <c r="K1527" s="990"/>
      <c r="L1527" s="990"/>
      <c r="M1527" s="990"/>
      <c r="N1527" s="990"/>
      <c r="O1527" s="990"/>
      <c r="P1527" s="990"/>
      <c r="Q1527" s="990"/>
      <c r="R1527" s="990"/>
      <c r="S1527" s="990"/>
      <c r="T1527" s="990"/>
      <c r="U1527" s="990"/>
      <c r="V1527" s="990"/>
      <c r="W1527" s="990"/>
      <c r="X1527" s="990"/>
    </row>
    <row r="1528" spans="1:24" s="896" customFormat="1">
      <c r="A1528" s="987">
        <f t="shared" si="24"/>
        <v>1454</v>
      </c>
      <c r="B1528" s="988">
        <v>3451</v>
      </c>
      <c r="C1528" s="899" t="s">
        <v>10854</v>
      </c>
      <c r="D1528" s="988" t="s">
        <v>2666</v>
      </c>
      <c r="E1528" s="989">
        <v>12.15</v>
      </c>
      <c r="F1528" s="990"/>
      <c r="G1528" s="990"/>
      <c r="H1528" s="990"/>
      <c r="I1528" s="990"/>
      <c r="J1528" s="990"/>
      <c r="K1528" s="990"/>
      <c r="L1528" s="990"/>
      <c r="M1528" s="990"/>
      <c r="N1528" s="990"/>
      <c r="O1528" s="990"/>
      <c r="P1528" s="990"/>
      <c r="Q1528" s="990"/>
      <c r="R1528" s="990"/>
      <c r="S1528" s="990"/>
      <c r="T1528" s="990"/>
      <c r="U1528" s="990"/>
      <c r="V1528" s="990"/>
      <c r="W1528" s="990"/>
      <c r="X1528" s="990"/>
    </row>
    <row r="1529" spans="1:24" s="896" customFormat="1">
      <c r="A1529" s="987">
        <f t="shared" si="24"/>
        <v>1455</v>
      </c>
      <c r="B1529" s="988">
        <v>3454</v>
      </c>
      <c r="C1529" s="899" t="s">
        <v>10855</v>
      </c>
      <c r="D1529" s="988" t="s">
        <v>2666</v>
      </c>
      <c r="E1529" s="989">
        <v>188.83</v>
      </c>
      <c r="F1529" s="990"/>
      <c r="G1529" s="990"/>
      <c r="H1529" s="990"/>
      <c r="I1529" s="990"/>
      <c r="J1529" s="990"/>
      <c r="K1529" s="990"/>
      <c r="L1529" s="990"/>
      <c r="M1529" s="990"/>
      <c r="N1529" s="990"/>
      <c r="O1529" s="990"/>
      <c r="P1529" s="990"/>
      <c r="Q1529" s="990"/>
      <c r="R1529" s="990"/>
      <c r="S1529" s="990"/>
      <c r="T1529" s="990"/>
      <c r="U1529" s="990"/>
      <c r="V1529" s="990"/>
      <c r="W1529" s="990"/>
      <c r="X1529" s="990"/>
    </row>
    <row r="1530" spans="1:24" s="896" customFormat="1">
      <c r="A1530" s="987">
        <f t="shared" si="24"/>
        <v>1456</v>
      </c>
      <c r="B1530" s="988">
        <v>3458</v>
      </c>
      <c r="C1530" s="899" t="s">
        <v>10856</v>
      </c>
      <c r="D1530" s="988" t="s">
        <v>2666</v>
      </c>
      <c r="E1530" s="989">
        <v>34.090000000000003</v>
      </c>
      <c r="F1530" s="990"/>
      <c r="G1530" s="990"/>
      <c r="H1530" s="990"/>
      <c r="I1530" s="990"/>
      <c r="J1530" s="990"/>
      <c r="K1530" s="990"/>
      <c r="L1530" s="990"/>
      <c r="M1530" s="990"/>
      <c r="N1530" s="990"/>
      <c r="O1530" s="990"/>
      <c r="P1530" s="990"/>
      <c r="Q1530" s="990"/>
      <c r="R1530" s="990"/>
      <c r="S1530" s="990"/>
      <c r="T1530" s="990"/>
      <c r="U1530" s="990"/>
      <c r="V1530" s="990"/>
      <c r="W1530" s="990"/>
      <c r="X1530" s="990"/>
    </row>
    <row r="1531" spans="1:24" s="896" customFormat="1">
      <c r="A1531" s="987">
        <f t="shared" si="24"/>
        <v>1457</v>
      </c>
      <c r="B1531" s="988">
        <v>3457</v>
      </c>
      <c r="C1531" s="899" t="s">
        <v>10857</v>
      </c>
      <c r="D1531" s="988" t="s">
        <v>2666</v>
      </c>
      <c r="E1531" s="989">
        <v>25.59</v>
      </c>
      <c r="F1531" s="990"/>
      <c r="G1531" s="990"/>
      <c r="H1531" s="990"/>
      <c r="I1531" s="990"/>
      <c r="J1531" s="990"/>
      <c r="K1531" s="990"/>
      <c r="L1531" s="990"/>
      <c r="M1531" s="990"/>
      <c r="N1531" s="990"/>
      <c r="O1531" s="990"/>
      <c r="P1531" s="990"/>
      <c r="Q1531" s="990"/>
      <c r="R1531" s="990"/>
      <c r="S1531" s="990"/>
      <c r="T1531" s="990"/>
      <c r="U1531" s="990"/>
      <c r="V1531" s="990"/>
      <c r="W1531" s="990"/>
      <c r="X1531" s="990"/>
    </row>
    <row r="1532" spans="1:24" s="896" customFormat="1">
      <c r="A1532" s="987">
        <f t="shared" si="24"/>
        <v>1458</v>
      </c>
      <c r="B1532" s="988">
        <v>3455</v>
      </c>
      <c r="C1532" s="899" t="s">
        <v>10858</v>
      </c>
      <c r="D1532" s="988" t="s">
        <v>2666</v>
      </c>
      <c r="E1532" s="989">
        <v>7.27</v>
      </c>
      <c r="F1532" s="990"/>
      <c r="G1532" s="990"/>
      <c r="H1532" s="990"/>
      <c r="I1532" s="990"/>
      <c r="J1532" s="990"/>
      <c r="K1532" s="990"/>
      <c r="L1532" s="990"/>
      <c r="M1532" s="990"/>
      <c r="N1532" s="990"/>
      <c r="O1532" s="990"/>
      <c r="P1532" s="990"/>
      <c r="Q1532" s="990"/>
      <c r="R1532" s="990"/>
      <c r="S1532" s="990"/>
      <c r="T1532" s="990"/>
      <c r="U1532" s="990"/>
      <c r="V1532" s="990"/>
      <c r="W1532" s="990"/>
      <c r="X1532" s="990"/>
    </row>
    <row r="1533" spans="1:24" s="896" customFormat="1">
      <c r="A1533" s="987">
        <f t="shared" si="24"/>
        <v>1459</v>
      </c>
      <c r="B1533" s="988">
        <v>3472</v>
      </c>
      <c r="C1533" s="899" t="s">
        <v>10859</v>
      </c>
      <c r="D1533" s="988" t="s">
        <v>2666</v>
      </c>
      <c r="E1533" s="989">
        <v>16.329999999999998</v>
      </c>
      <c r="F1533" s="990"/>
      <c r="G1533" s="990"/>
      <c r="H1533" s="990"/>
      <c r="I1533" s="990"/>
      <c r="J1533" s="990"/>
      <c r="K1533" s="990"/>
      <c r="L1533" s="990"/>
      <c r="M1533" s="990"/>
      <c r="N1533" s="990"/>
      <c r="O1533" s="990"/>
      <c r="P1533" s="990"/>
      <c r="Q1533" s="990"/>
      <c r="R1533" s="990"/>
      <c r="S1533" s="990"/>
      <c r="T1533" s="990"/>
      <c r="U1533" s="990"/>
      <c r="V1533" s="990"/>
      <c r="W1533" s="990"/>
      <c r="X1533" s="990"/>
    </row>
    <row r="1534" spans="1:24" s="896" customFormat="1">
      <c r="A1534" s="987">
        <f t="shared" si="24"/>
        <v>1460</v>
      </c>
      <c r="B1534" s="988">
        <v>3470</v>
      </c>
      <c r="C1534" s="899" t="s">
        <v>10860</v>
      </c>
      <c r="D1534" s="988" t="s">
        <v>2666</v>
      </c>
      <c r="E1534" s="989">
        <v>95.2</v>
      </c>
      <c r="F1534" s="990"/>
      <c r="G1534" s="990"/>
      <c r="H1534" s="990"/>
      <c r="I1534" s="990"/>
      <c r="J1534" s="990"/>
      <c r="K1534" s="990"/>
      <c r="L1534" s="990"/>
      <c r="M1534" s="990"/>
      <c r="N1534" s="990"/>
      <c r="O1534" s="990"/>
      <c r="P1534" s="990"/>
      <c r="Q1534" s="990"/>
      <c r="R1534" s="990"/>
      <c r="S1534" s="990"/>
      <c r="T1534" s="990"/>
      <c r="U1534" s="990"/>
      <c r="V1534" s="990"/>
      <c r="W1534" s="990"/>
      <c r="X1534" s="990"/>
    </row>
    <row r="1535" spans="1:24" s="896" customFormat="1">
      <c r="A1535" s="987">
        <f t="shared" si="24"/>
        <v>1461</v>
      </c>
      <c r="B1535" s="988">
        <v>3471</v>
      </c>
      <c r="C1535" s="899" t="s">
        <v>10861</v>
      </c>
      <c r="D1535" s="988" t="s">
        <v>2666</v>
      </c>
      <c r="E1535" s="989">
        <v>52.31</v>
      </c>
      <c r="F1535" s="990"/>
      <c r="G1535" s="990"/>
      <c r="H1535" s="990"/>
      <c r="I1535" s="990"/>
      <c r="J1535" s="990"/>
      <c r="K1535" s="990"/>
      <c r="L1535" s="990"/>
      <c r="M1535" s="990"/>
      <c r="N1535" s="990"/>
      <c r="O1535" s="990"/>
      <c r="P1535" s="990"/>
      <c r="Q1535" s="990"/>
      <c r="R1535" s="990"/>
      <c r="S1535" s="990"/>
      <c r="T1535" s="990"/>
      <c r="U1535" s="990"/>
      <c r="V1535" s="990"/>
      <c r="W1535" s="990"/>
      <c r="X1535" s="990"/>
    </row>
    <row r="1536" spans="1:24" s="896" customFormat="1">
      <c r="A1536" s="987">
        <f t="shared" si="24"/>
        <v>1462</v>
      </c>
      <c r="B1536" s="988">
        <v>3456</v>
      </c>
      <c r="C1536" s="899" t="s">
        <v>10862</v>
      </c>
      <c r="D1536" s="988" t="s">
        <v>2666</v>
      </c>
      <c r="E1536" s="989">
        <v>10.88</v>
      </c>
      <c r="F1536" s="990"/>
      <c r="G1536" s="990"/>
      <c r="H1536" s="990"/>
      <c r="I1536" s="990"/>
      <c r="J1536" s="990"/>
      <c r="K1536" s="990"/>
      <c r="L1536" s="990"/>
      <c r="M1536" s="990"/>
      <c r="N1536" s="990"/>
      <c r="O1536" s="990"/>
      <c r="P1536" s="990"/>
      <c r="Q1536" s="990"/>
      <c r="R1536" s="990"/>
      <c r="S1536" s="990"/>
      <c r="T1536" s="990"/>
      <c r="U1536" s="990"/>
      <c r="V1536" s="990"/>
      <c r="W1536" s="990"/>
      <c r="X1536" s="990"/>
    </row>
    <row r="1537" spans="1:24" s="896" customFormat="1">
      <c r="A1537" s="987">
        <f t="shared" si="24"/>
        <v>1463</v>
      </c>
      <c r="B1537" s="988">
        <v>3459</v>
      </c>
      <c r="C1537" s="899" t="s">
        <v>10863</v>
      </c>
      <c r="D1537" s="988" t="s">
        <v>2666</v>
      </c>
      <c r="E1537" s="989">
        <v>134.28</v>
      </c>
      <c r="F1537" s="990"/>
      <c r="G1537" s="990"/>
      <c r="H1537" s="990"/>
      <c r="I1537" s="990"/>
      <c r="J1537" s="990"/>
      <c r="K1537" s="990"/>
      <c r="L1537" s="990"/>
      <c r="M1537" s="990"/>
      <c r="N1537" s="990"/>
      <c r="O1537" s="990"/>
      <c r="P1537" s="990"/>
      <c r="Q1537" s="990"/>
      <c r="R1537" s="990"/>
      <c r="S1537" s="990"/>
      <c r="T1537" s="990"/>
      <c r="U1537" s="990"/>
      <c r="V1537" s="990"/>
      <c r="W1537" s="990"/>
      <c r="X1537" s="990"/>
    </row>
    <row r="1538" spans="1:24" s="896" customFormat="1">
      <c r="A1538" s="987">
        <f t="shared" si="24"/>
        <v>1464</v>
      </c>
      <c r="B1538" s="988">
        <v>3469</v>
      </c>
      <c r="C1538" s="899" t="s">
        <v>10864</v>
      </c>
      <c r="D1538" s="988" t="s">
        <v>2666</v>
      </c>
      <c r="E1538" s="989">
        <v>255.36</v>
      </c>
      <c r="F1538" s="990"/>
      <c r="G1538" s="990"/>
      <c r="H1538" s="990"/>
      <c r="I1538" s="990"/>
      <c r="J1538" s="990"/>
      <c r="K1538" s="990"/>
      <c r="L1538" s="990"/>
      <c r="M1538" s="990"/>
      <c r="N1538" s="990"/>
      <c r="O1538" s="990"/>
      <c r="P1538" s="990"/>
      <c r="Q1538" s="990"/>
      <c r="R1538" s="990"/>
      <c r="S1538" s="990"/>
      <c r="T1538" s="990"/>
      <c r="U1538" s="990"/>
      <c r="V1538" s="990"/>
      <c r="W1538" s="990"/>
      <c r="X1538" s="990"/>
    </row>
    <row r="1539" spans="1:24" s="896" customFormat="1">
      <c r="A1539" s="987">
        <f t="shared" si="24"/>
        <v>1465</v>
      </c>
      <c r="B1539" s="988">
        <v>3460</v>
      </c>
      <c r="C1539" s="899" t="s">
        <v>10865</v>
      </c>
      <c r="D1539" s="988" t="s">
        <v>2666</v>
      </c>
      <c r="E1539" s="989">
        <v>372.61</v>
      </c>
      <c r="F1539" s="990"/>
      <c r="G1539" s="990"/>
      <c r="H1539" s="990"/>
      <c r="I1539" s="990"/>
      <c r="J1539" s="990"/>
      <c r="K1539" s="990"/>
      <c r="L1539" s="990"/>
      <c r="M1539" s="990"/>
      <c r="N1539" s="990"/>
      <c r="O1539" s="990"/>
      <c r="P1539" s="990"/>
      <c r="Q1539" s="990"/>
      <c r="R1539" s="990"/>
      <c r="S1539" s="990"/>
      <c r="T1539" s="990"/>
      <c r="U1539" s="990"/>
      <c r="V1539" s="990"/>
      <c r="W1539" s="990"/>
      <c r="X1539" s="990"/>
    </row>
    <row r="1540" spans="1:24" s="896" customFormat="1">
      <c r="A1540" s="987">
        <f t="shared" si="24"/>
        <v>1466</v>
      </c>
      <c r="B1540" s="988">
        <v>3461</v>
      </c>
      <c r="C1540" s="899" t="s">
        <v>10866</v>
      </c>
      <c r="D1540" s="988" t="s">
        <v>2666</v>
      </c>
      <c r="E1540" s="989">
        <v>952.38</v>
      </c>
      <c r="F1540" s="990"/>
      <c r="G1540" s="990"/>
      <c r="H1540" s="990"/>
      <c r="I1540" s="990"/>
      <c r="J1540" s="990"/>
      <c r="K1540" s="990"/>
      <c r="L1540" s="990"/>
      <c r="M1540" s="990"/>
      <c r="N1540" s="990"/>
      <c r="O1540" s="990"/>
      <c r="P1540" s="990"/>
      <c r="Q1540" s="990"/>
      <c r="R1540" s="990"/>
      <c r="S1540" s="990"/>
      <c r="T1540" s="990"/>
      <c r="U1540" s="990"/>
      <c r="V1540" s="990"/>
      <c r="W1540" s="990"/>
      <c r="X1540" s="990"/>
    </row>
    <row r="1541" spans="1:24" s="896" customFormat="1">
      <c r="A1541" s="987">
        <f t="shared" si="24"/>
        <v>1467</v>
      </c>
      <c r="B1541" s="988">
        <v>37433</v>
      </c>
      <c r="C1541" s="899" t="s">
        <v>10867</v>
      </c>
      <c r="D1541" s="988" t="s">
        <v>2666</v>
      </c>
      <c r="E1541" s="989">
        <v>255.01</v>
      </c>
      <c r="F1541" s="990"/>
      <c r="G1541" s="990"/>
      <c r="H1541" s="990"/>
      <c r="I1541" s="990"/>
      <c r="J1541" s="990"/>
      <c r="K1541" s="990"/>
      <c r="L1541" s="990"/>
      <c r="M1541" s="990"/>
      <c r="N1541" s="990"/>
      <c r="O1541" s="990"/>
      <c r="P1541" s="990"/>
      <c r="Q1541" s="990"/>
      <c r="R1541" s="990"/>
      <c r="S1541" s="990"/>
      <c r="T1541" s="990"/>
      <c r="U1541" s="990"/>
      <c r="V1541" s="990"/>
      <c r="W1541" s="990"/>
      <c r="X1541" s="990"/>
    </row>
    <row r="1542" spans="1:24" s="896" customFormat="1">
      <c r="A1542" s="987">
        <f t="shared" si="24"/>
        <v>1468</v>
      </c>
      <c r="B1542" s="988">
        <v>37430</v>
      </c>
      <c r="C1542" s="899" t="s">
        <v>10868</v>
      </c>
      <c r="D1542" s="988" t="s">
        <v>2666</v>
      </c>
      <c r="E1542" s="989">
        <v>31.96</v>
      </c>
      <c r="F1542" s="990"/>
      <c r="G1542" s="990"/>
      <c r="H1542" s="990"/>
      <c r="I1542" s="990"/>
      <c r="J1542" s="990"/>
      <c r="K1542" s="990"/>
      <c r="L1542" s="990"/>
      <c r="M1542" s="990"/>
      <c r="N1542" s="990"/>
      <c r="O1542" s="990"/>
      <c r="P1542" s="990"/>
      <c r="Q1542" s="990"/>
      <c r="R1542" s="990"/>
      <c r="S1542" s="990"/>
      <c r="T1542" s="990"/>
      <c r="U1542" s="990"/>
      <c r="V1542" s="990"/>
      <c r="W1542" s="990"/>
      <c r="X1542" s="990"/>
    </row>
    <row r="1543" spans="1:24" s="896" customFormat="1">
      <c r="A1543" s="987">
        <f t="shared" si="24"/>
        <v>1469</v>
      </c>
      <c r="B1543" s="988">
        <v>37434</v>
      </c>
      <c r="C1543" s="899" t="s">
        <v>10869</v>
      </c>
      <c r="D1543" s="988" t="s">
        <v>2666</v>
      </c>
      <c r="E1543" s="989">
        <v>2377.71</v>
      </c>
      <c r="F1543" s="990"/>
      <c r="G1543" s="990"/>
      <c r="H1543" s="990"/>
      <c r="I1543" s="990"/>
      <c r="J1543" s="990"/>
      <c r="K1543" s="990"/>
      <c r="L1543" s="990"/>
      <c r="M1543" s="990"/>
      <c r="N1543" s="990"/>
      <c r="O1543" s="990"/>
      <c r="P1543" s="990"/>
      <c r="Q1543" s="990"/>
      <c r="R1543" s="990"/>
      <c r="S1543" s="990"/>
      <c r="T1543" s="990"/>
      <c r="U1543" s="990"/>
      <c r="V1543" s="990"/>
      <c r="W1543" s="990"/>
      <c r="X1543" s="990"/>
    </row>
    <row r="1544" spans="1:24" s="896" customFormat="1">
      <c r="A1544" s="987">
        <f t="shared" si="24"/>
        <v>1470</v>
      </c>
      <c r="B1544" s="988">
        <v>37431</v>
      </c>
      <c r="C1544" s="899" t="s">
        <v>10870</v>
      </c>
      <c r="D1544" s="988" t="s">
        <v>2666</v>
      </c>
      <c r="E1544" s="989">
        <v>43.35</v>
      </c>
      <c r="F1544" s="990"/>
      <c r="G1544" s="990"/>
      <c r="H1544" s="990"/>
      <c r="I1544" s="990"/>
      <c r="J1544" s="990"/>
      <c r="K1544" s="990"/>
      <c r="L1544" s="990"/>
      <c r="M1544" s="990"/>
      <c r="N1544" s="990"/>
      <c r="O1544" s="990"/>
      <c r="P1544" s="990"/>
      <c r="Q1544" s="990"/>
      <c r="R1544" s="990"/>
      <c r="S1544" s="990"/>
      <c r="T1544" s="990"/>
      <c r="U1544" s="990"/>
      <c r="V1544" s="990"/>
      <c r="W1544" s="990"/>
      <c r="X1544" s="990"/>
    </row>
    <row r="1545" spans="1:24" s="896" customFormat="1">
      <c r="A1545" s="987">
        <f t="shared" si="24"/>
        <v>1471</v>
      </c>
      <c r="B1545" s="988">
        <v>37432</v>
      </c>
      <c r="C1545" s="899" t="s">
        <v>10871</v>
      </c>
      <c r="D1545" s="988" t="s">
        <v>2666</v>
      </c>
      <c r="E1545" s="989">
        <v>79.959999999999994</v>
      </c>
      <c r="F1545" s="990"/>
      <c r="G1545" s="990"/>
      <c r="H1545" s="990"/>
      <c r="I1545" s="990"/>
      <c r="J1545" s="990"/>
      <c r="K1545" s="990"/>
      <c r="L1545" s="990"/>
      <c r="M1545" s="990"/>
      <c r="N1545" s="990"/>
      <c r="O1545" s="990"/>
      <c r="P1545" s="990"/>
      <c r="Q1545" s="990"/>
      <c r="R1545" s="990"/>
      <c r="S1545" s="990"/>
      <c r="T1545" s="990"/>
      <c r="U1545" s="990"/>
      <c r="V1545" s="990"/>
      <c r="W1545" s="990"/>
      <c r="X1545" s="990"/>
    </row>
    <row r="1546" spans="1:24" s="896" customFormat="1" ht="25.5">
      <c r="A1546" s="987">
        <f t="shared" si="24"/>
        <v>1472</v>
      </c>
      <c r="B1546" s="988">
        <v>37413</v>
      </c>
      <c r="C1546" s="899" t="s">
        <v>10872</v>
      </c>
      <c r="D1546" s="988" t="s">
        <v>2666</v>
      </c>
      <c r="E1546" s="989">
        <v>4.5599999999999996</v>
      </c>
      <c r="F1546" s="990"/>
      <c r="G1546" s="990"/>
      <c r="H1546" s="990"/>
      <c r="I1546" s="990"/>
      <c r="J1546" s="990"/>
      <c r="K1546" s="990"/>
      <c r="L1546" s="990"/>
      <c r="M1546" s="990"/>
      <c r="N1546" s="990"/>
      <c r="O1546" s="990"/>
      <c r="P1546" s="990"/>
      <c r="Q1546" s="990"/>
      <c r="R1546" s="990"/>
      <c r="S1546" s="990"/>
      <c r="T1546" s="990"/>
      <c r="U1546" s="990"/>
      <c r="V1546" s="990"/>
      <c r="W1546" s="990"/>
      <c r="X1546" s="990"/>
    </row>
    <row r="1547" spans="1:24" s="896" customFormat="1" ht="25.5">
      <c r="A1547" s="987">
        <f t="shared" si="24"/>
        <v>1473</v>
      </c>
      <c r="B1547" s="988">
        <v>37414</v>
      </c>
      <c r="C1547" s="899" t="s">
        <v>10873</v>
      </c>
      <c r="D1547" s="988" t="s">
        <v>2666</v>
      </c>
      <c r="E1547" s="989">
        <v>5.17</v>
      </c>
      <c r="F1547" s="990"/>
      <c r="G1547" s="990"/>
      <c r="H1547" s="990"/>
      <c r="I1547" s="990"/>
      <c r="J1547" s="990"/>
      <c r="K1547" s="990"/>
      <c r="L1547" s="990"/>
      <c r="M1547" s="990"/>
      <c r="N1547" s="990"/>
      <c r="O1547" s="990"/>
      <c r="P1547" s="990"/>
      <c r="Q1547" s="990"/>
      <c r="R1547" s="990"/>
      <c r="S1547" s="990"/>
      <c r="T1547" s="990"/>
      <c r="U1547" s="990"/>
      <c r="V1547" s="990"/>
      <c r="W1547" s="990"/>
      <c r="X1547" s="990"/>
    </row>
    <row r="1548" spans="1:24" s="896" customFormat="1" ht="25.5">
      <c r="A1548" s="987">
        <f t="shared" ref="A1548:A1611" si="25">A1547+1</f>
        <v>1474</v>
      </c>
      <c r="B1548" s="988">
        <v>37415</v>
      </c>
      <c r="C1548" s="899" t="s">
        <v>10874</v>
      </c>
      <c r="D1548" s="988" t="s">
        <v>2666</v>
      </c>
      <c r="E1548" s="989">
        <v>9.41</v>
      </c>
      <c r="F1548" s="990"/>
      <c r="G1548" s="990"/>
      <c r="H1548" s="990"/>
      <c r="I1548" s="990"/>
      <c r="J1548" s="990"/>
      <c r="K1548" s="990"/>
      <c r="L1548" s="990"/>
      <c r="M1548" s="990"/>
      <c r="N1548" s="990"/>
      <c r="O1548" s="990"/>
      <c r="P1548" s="990"/>
      <c r="Q1548" s="990"/>
      <c r="R1548" s="990"/>
      <c r="S1548" s="990"/>
      <c r="T1548" s="990"/>
      <c r="U1548" s="990"/>
      <c r="V1548" s="990"/>
      <c r="W1548" s="990"/>
      <c r="X1548" s="990"/>
    </row>
    <row r="1549" spans="1:24" s="896" customFormat="1" ht="25.5">
      <c r="A1549" s="987">
        <f t="shared" si="25"/>
        <v>1475</v>
      </c>
      <c r="B1549" s="988">
        <v>37416</v>
      </c>
      <c r="C1549" s="899" t="s">
        <v>10875</v>
      </c>
      <c r="D1549" s="988" t="s">
        <v>2666</v>
      </c>
      <c r="E1549" s="989">
        <v>4.26</v>
      </c>
      <c r="F1549" s="990"/>
      <c r="G1549" s="990"/>
      <c r="H1549" s="990"/>
      <c r="I1549" s="990"/>
      <c r="J1549" s="990"/>
      <c r="K1549" s="990"/>
      <c r="L1549" s="990"/>
      <c r="M1549" s="990"/>
      <c r="N1549" s="990"/>
      <c r="O1549" s="990"/>
      <c r="P1549" s="990"/>
      <c r="Q1549" s="990"/>
      <c r="R1549" s="990"/>
      <c r="S1549" s="990"/>
      <c r="T1549" s="990"/>
      <c r="U1549" s="990"/>
      <c r="V1549" s="990"/>
      <c r="W1549" s="990"/>
      <c r="X1549" s="990"/>
    </row>
    <row r="1550" spans="1:24" s="896" customFormat="1" ht="25.5">
      <c r="A1550" s="987">
        <f t="shared" si="25"/>
        <v>1476</v>
      </c>
      <c r="B1550" s="988">
        <v>37417</v>
      </c>
      <c r="C1550" s="899" t="s">
        <v>10876</v>
      </c>
      <c r="D1550" s="988" t="s">
        <v>2666</v>
      </c>
      <c r="E1550" s="989">
        <v>6.13</v>
      </c>
      <c r="F1550" s="990"/>
      <c r="G1550" s="990"/>
      <c r="H1550" s="990"/>
      <c r="I1550" s="990"/>
      <c r="J1550" s="990"/>
      <c r="K1550" s="990"/>
      <c r="L1550" s="990"/>
      <c r="M1550" s="990"/>
      <c r="N1550" s="990"/>
      <c r="O1550" s="990"/>
      <c r="P1550" s="990"/>
      <c r="Q1550" s="990"/>
      <c r="R1550" s="990"/>
      <c r="S1550" s="990"/>
      <c r="T1550" s="990"/>
      <c r="U1550" s="990"/>
      <c r="V1550" s="990"/>
      <c r="W1550" s="990"/>
      <c r="X1550" s="990"/>
    </row>
    <row r="1551" spans="1:24" s="896" customFormat="1" ht="25.5">
      <c r="A1551" s="987">
        <f t="shared" si="25"/>
        <v>1477</v>
      </c>
      <c r="B1551" s="988">
        <v>43590</v>
      </c>
      <c r="C1551" s="899" t="s">
        <v>10877</v>
      </c>
      <c r="D1551" s="988" t="s">
        <v>2666</v>
      </c>
      <c r="E1551" s="989">
        <v>152.13</v>
      </c>
      <c r="F1551" s="990"/>
      <c r="G1551" s="990"/>
      <c r="H1551" s="990"/>
      <c r="I1551" s="990"/>
      <c r="J1551" s="990"/>
      <c r="K1551" s="990"/>
      <c r="L1551" s="990"/>
      <c r="M1551" s="990"/>
      <c r="N1551" s="990"/>
      <c r="O1551" s="990"/>
      <c r="P1551" s="990"/>
      <c r="Q1551" s="990"/>
      <c r="R1551" s="990"/>
      <c r="S1551" s="990"/>
      <c r="T1551" s="990"/>
      <c r="U1551" s="990"/>
      <c r="V1551" s="990"/>
      <c r="W1551" s="990"/>
      <c r="X1551" s="990"/>
    </row>
    <row r="1552" spans="1:24" s="896" customFormat="1" ht="25.5">
      <c r="A1552" s="987">
        <f t="shared" si="25"/>
        <v>1478</v>
      </c>
      <c r="B1552" s="988">
        <v>43589</v>
      </c>
      <c r="C1552" s="899" t="s">
        <v>10878</v>
      </c>
      <c r="D1552" s="988" t="s">
        <v>2666</v>
      </c>
      <c r="E1552" s="989">
        <v>27.52</v>
      </c>
      <c r="F1552" s="990"/>
      <c r="G1552" s="990"/>
      <c r="H1552" s="990"/>
      <c r="I1552" s="990"/>
      <c r="J1552" s="990"/>
      <c r="K1552" s="990"/>
      <c r="L1552" s="990"/>
      <c r="M1552" s="990"/>
      <c r="N1552" s="990"/>
      <c r="O1552" s="990"/>
      <c r="P1552" s="990"/>
      <c r="Q1552" s="990"/>
      <c r="R1552" s="990"/>
      <c r="S1552" s="990"/>
      <c r="T1552" s="990"/>
      <c r="U1552" s="990"/>
      <c r="V1552" s="990"/>
      <c r="W1552" s="990"/>
      <c r="X1552" s="990"/>
    </row>
    <row r="1553" spans="1:24" s="896" customFormat="1">
      <c r="A1553" s="987">
        <f t="shared" si="25"/>
        <v>1479</v>
      </c>
      <c r="B1553" s="988">
        <v>34519</v>
      </c>
      <c r="C1553" s="899" t="s">
        <v>10879</v>
      </c>
      <c r="D1553" s="988" t="s">
        <v>2666</v>
      </c>
      <c r="E1553" s="989">
        <v>88.11</v>
      </c>
      <c r="F1553" s="990"/>
      <c r="G1553" s="990"/>
      <c r="H1553" s="990"/>
      <c r="I1553" s="990"/>
      <c r="J1553" s="990"/>
      <c r="K1553" s="990"/>
      <c r="L1553" s="990"/>
      <c r="M1553" s="990"/>
      <c r="N1553" s="990"/>
      <c r="O1553" s="990"/>
      <c r="P1553" s="990"/>
      <c r="Q1553" s="990"/>
      <c r="R1553" s="990"/>
      <c r="S1553" s="990"/>
      <c r="T1553" s="990"/>
      <c r="U1553" s="990"/>
      <c r="V1553" s="990"/>
      <c r="W1553" s="990"/>
      <c r="X1553" s="990"/>
    </row>
    <row r="1554" spans="1:24" s="896" customFormat="1">
      <c r="A1554" s="987">
        <f t="shared" si="25"/>
        <v>1480</v>
      </c>
      <c r="B1554" s="988">
        <v>1649</v>
      </c>
      <c r="C1554" s="899" t="s">
        <v>10880</v>
      </c>
      <c r="D1554" s="988" t="s">
        <v>2666</v>
      </c>
      <c r="E1554" s="989">
        <v>80.400000000000006</v>
      </c>
      <c r="F1554" s="990"/>
      <c r="G1554" s="990"/>
      <c r="H1554" s="990"/>
      <c r="I1554" s="990"/>
      <c r="J1554" s="990"/>
      <c r="K1554" s="990"/>
      <c r="L1554" s="990"/>
      <c r="M1554" s="990"/>
      <c r="N1554" s="990"/>
      <c r="O1554" s="990"/>
      <c r="P1554" s="990"/>
      <c r="Q1554" s="990"/>
      <c r="R1554" s="990"/>
      <c r="S1554" s="990"/>
      <c r="T1554" s="990"/>
      <c r="U1554" s="990"/>
      <c r="V1554" s="990"/>
      <c r="W1554" s="990"/>
      <c r="X1554" s="990"/>
    </row>
    <row r="1555" spans="1:24" s="896" customFormat="1">
      <c r="A1555" s="987">
        <f t="shared" si="25"/>
        <v>1481</v>
      </c>
      <c r="B1555" s="988">
        <v>1653</v>
      </c>
      <c r="C1555" s="899" t="s">
        <v>10881</v>
      </c>
      <c r="D1555" s="988" t="s">
        <v>2666</v>
      </c>
      <c r="E1555" s="989">
        <v>62.98</v>
      </c>
      <c r="F1555" s="990"/>
      <c r="G1555" s="990"/>
      <c r="H1555" s="990"/>
      <c r="I1555" s="990"/>
      <c r="J1555" s="990"/>
      <c r="K1555" s="990"/>
      <c r="L1555" s="990"/>
      <c r="M1555" s="990"/>
      <c r="N1555" s="990"/>
      <c r="O1555" s="990"/>
      <c r="P1555" s="990"/>
      <c r="Q1555" s="990"/>
      <c r="R1555" s="990"/>
      <c r="S1555" s="990"/>
      <c r="T1555" s="990"/>
      <c r="U1555" s="990"/>
      <c r="V1555" s="990"/>
      <c r="W1555" s="990"/>
      <c r="X1555" s="990"/>
    </row>
    <row r="1556" spans="1:24" s="896" customFormat="1">
      <c r="A1556" s="987">
        <f t="shared" si="25"/>
        <v>1482</v>
      </c>
      <c r="B1556" s="988">
        <v>1647</v>
      </c>
      <c r="C1556" s="899" t="s">
        <v>10882</v>
      </c>
      <c r="D1556" s="988" t="s">
        <v>2666</v>
      </c>
      <c r="E1556" s="989">
        <v>22.55</v>
      </c>
      <c r="F1556" s="990"/>
      <c r="G1556" s="990"/>
      <c r="H1556" s="990"/>
      <c r="I1556" s="990"/>
      <c r="J1556" s="990"/>
      <c r="K1556" s="990"/>
      <c r="L1556" s="990"/>
      <c r="M1556" s="990"/>
      <c r="N1556" s="990"/>
      <c r="O1556" s="990"/>
      <c r="P1556" s="990"/>
      <c r="Q1556" s="990"/>
      <c r="R1556" s="990"/>
      <c r="S1556" s="990"/>
      <c r="T1556" s="990"/>
      <c r="U1556" s="990"/>
      <c r="V1556" s="990"/>
      <c r="W1556" s="990"/>
      <c r="X1556" s="990"/>
    </row>
    <row r="1557" spans="1:24" s="896" customFormat="1">
      <c r="A1557" s="987">
        <f t="shared" si="25"/>
        <v>1483</v>
      </c>
      <c r="B1557" s="988">
        <v>1648</v>
      </c>
      <c r="C1557" s="899" t="s">
        <v>10883</v>
      </c>
      <c r="D1557" s="988" t="s">
        <v>2666</v>
      </c>
      <c r="E1557" s="989">
        <v>43.3</v>
      </c>
      <c r="F1557" s="990"/>
      <c r="G1557" s="990"/>
      <c r="H1557" s="990"/>
      <c r="I1557" s="990"/>
      <c r="J1557" s="990"/>
      <c r="K1557" s="990"/>
      <c r="L1557" s="990"/>
      <c r="M1557" s="990"/>
      <c r="N1557" s="990"/>
      <c r="O1557" s="990"/>
      <c r="P1557" s="990"/>
      <c r="Q1557" s="990"/>
      <c r="R1557" s="990"/>
      <c r="S1557" s="990"/>
      <c r="T1557" s="990"/>
      <c r="U1557" s="990"/>
      <c r="V1557" s="990"/>
      <c r="W1557" s="990"/>
      <c r="X1557" s="990"/>
    </row>
    <row r="1558" spans="1:24" s="896" customFormat="1">
      <c r="A1558" s="987">
        <f t="shared" si="25"/>
        <v>1484</v>
      </c>
      <c r="B1558" s="988">
        <v>1651</v>
      </c>
      <c r="C1558" s="899" t="s">
        <v>10884</v>
      </c>
      <c r="D1558" s="988" t="s">
        <v>2666</v>
      </c>
      <c r="E1558" s="989">
        <v>200.88</v>
      </c>
      <c r="F1558" s="990"/>
      <c r="G1558" s="990"/>
      <c r="H1558" s="990"/>
      <c r="I1558" s="990"/>
      <c r="J1558" s="990"/>
      <c r="K1558" s="990"/>
      <c r="L1558" s="990"/>
      <c r="M1558" s="990"/>
      <c r="N1558" s="990"/>
      <c r="O1558" s="990"/>
      <c r="P1558" s="990"/>
      <c r="Q1558" s="990"/>
      <c r="R1558" s="990"/>
      <c r="S1558" s="990"/>
      <c r="T1558" s="990"/>
      <c r="U1558" s="990"/>
      <c r="V1558" s="990"/>
      <c r="W1558" s="990"/>
      <c r="X1558" s="990"/>
    </row>
    <row r="1559" spans="1:24" s="896" customFormat="1">
      <c r="A1559" s="987">
        <f t="shared" si="25"/>
        <v>1485</v>
      </c>
      <c r="B1559" s="988">
        <v>1650</v>
      </c>
      <c r="C1559" s="899" t="s">
        <v>10885</v>
      </c>
      <c r="D1559" s="988" t="s">
        <v>2666</v>
      </c>
      <c r="E1559" s="989">
        <v>111.04</v>
      </c>
      <c r="F1559" s="990"/>
      <c r="G1559" s="990"/>
      <c r="H1559" s="990"/>
      <c r="I1559" s="990"/>
      <c r="J1559" s="990"/>
      <c r="K1559" s="990"/>
      <c r="L1559" s="990"/>
      <c r="M1559" s="990"/>
      <c r="N1559" s="990"/>
      <c r="O1559" s="990"/>
      <c r="P1559" s="990"/>
      <c r="Q1559" s="990"/>
      <c r="R1559" s="990"/>
      <c r="S1559" s="990"/>
      <c r="T1559" s="990"/>
      <c r="U1559" s="990"/>
      <c r="V1559" s="990"/>
      <c r="W1559" s="990"/>
      <c r="X1559" s="990"/>
    </row>
    <row r="1560" spans="1:24" s="896" customFormat="1">
      <c r="A1560" s="987">
        <f t="shared" si="25"/>
        <v>1486</v>
      </c>
      <c r="B1560" s="988">
        <v>1654</v>
      </c>
      <c r="C1560" s="899" t="s">
        <v>10886</v>
      </c>
      <c r="D1560" s="988" t="s">
        <v>2666</v>
      </c>
      <c r="E1560" s="989">
        <v>30.95</v>
      </c>
      <c r="F1560" s="990"/>
      <c r="G1560" s="990"/>
      <c r="H1560" s="990"/>
      <c r="I1560" s="990"/>
      <c r="J1560" s="990"/>
      <c r="K1560" s="990"/>
      <c r="L1560" s="990"/>
      <c r="M1560" s="990"/>
      <c r="N1560" s="990"/>
      <c r="O1560" s="990"/>
      <c r="P1560" s="990"/>
      <c r="Q1560" s="990"/>
      <c r="R1560" s="990"/>
      <c r="S1560" s="990"/>
      <c r="T1560" s="990"/>
      <c r="U1560" s="990"/>
      <c r="V1560" s="990"/>
      <c r="W1560" s="990"/>
      <c r="X1560" s="990"/>
    </row>
    <row r="1561" spans="1:24" s="896" customFormat="1">
      <c r="A1561" s="987">
        <f t="shared" si="25"/>
        <v>1487</v>
      </c>
      <c r="B1561" s="988">
        <v>1652</v>
      </c>
      <c r="C1561" s="899" t="s">
        <v>10887</v>
      </c>
      <c r="D1561" s="988" t="s">
        <v>2666</v>
      </c>
      <c r="E1561" s="989">
        <v>288.32</v>
      </c>
      <c r="F1561" s="990"/>
      <c r="G1561" s="990"/>
      <c r="H1561" s="990"/>
      <c r="I1561" s="990"/>
      <c r="J1561" s="990"/>
      <c r="K1561" s="990"/>
      <c r="L1561" s="990"/>
      <c r="M1561" s="990"/>
      <c r="N1561" s="990"/>
      <c r="O1561" s="990"/>
      <c r="P1561" s="990"/>
      <c r="Q1561" s="990"/>
      <c r="R1561" s="990"/>
      <c r="S1561" s="990"/>
      <c r="T1561" s="990"/>
      <c r="U1561" s="990"/>
      <c r="V1561" s="990"/>
      <c r="W1561" s="990"/>
      <c r="X1561" s="990"/>
    </row>
    <row r="1562" spans="1:24" s="896" customFormat="1" ht="25.5">
      <c r="A1562" s="987">
        <f t="shared" si="25"/>
        <v>1488</v>
      </c>
      <c r="B1562" s="988">
        <v>10510</v>
      </c>
      <c r="C1562" s="899" t="s">
        <v>10888</v>
      </c>
      <c r="D1562" s="988" t="s">
        <v>2666</v>
      </c>
      <c r="E1562" s="989">
        <v>140.5</v>
      </c>
      <c r="F1562" s="990"/>
      <c r="G1562" s="990"/>
      <c r="H1562" s="990"/>
      <c r="I1562" s="990"/>
      <c r="J1562" s="990"/>
      <c r="K1562" s="990"/>
      <c r="L1562" s="990"/>
      <c r="M1562" s="990"/>
      <c r="N1562" s="990"/>
      <c r="O1562" s="990"/>
      <c r="P1562" s="990"/>
      <c r="Q1562" s="990"/>
      <c r="R1562" s="990"/>
      <c r="S1562" s="990"/>
      <c r="T1562" s="990"/>
      <c r="U1562" s="990"/>
      <c r="V1562" s="990"/>
      <c r="W1562" s="990"/>
      <c r="X1562" s="990"/>
    </row>
    <row r="1563" spans="1:24" s="896" customFormat="1">
      <c r="A1563" s="987">
        <f t="shared" si="25"/>
        <v>1489</v>
      </c>
      <c r="B1563" s="988">
        <v>1747</v>
      </c>
      <c r="C1563" s="899" t="s">
        <v>10889</v>
      </c>
      <c r="D1563" s="988" t="s">
        <v>2666</v>
      </c>
      <c r="E1563" s="989">
        <v>247.24</v>
      </c>
      <c r="F1563" s="990"/>
      <c r="G1563" s="990"/>
      <c r="H1563" s="990"/>
      <c r="I1563" s="990"/>
      <c r="J1563" s="990"/>
      <c r="K1563" s="990"/>
      <c r="L1563" s="990"/>
      <c r="M1563" s="990"/>
      <c r="N1563" s="990"/>
      <c r="O1563" s="990"/>
      <c r="P1563" s="990"/>
      <c r="Q1563" s="990"/>
      <c r="R1563" s="990"/>
      <c r="S1563" s="990"/>
      <c r="T1563" s="990"/>
      <c r="U1563" s="990"/>
      <c r="V1563" s="990"/>
      <c r="W1563" s="990"/>
      <c r="X1563" s="990"/>
    </row>
    <row r="1564" spans="1:24" s="896" customFormat="1">
      <c r="A1564" s="987">
        <f t="shared" si="25"/>
        <v>1490</v>
      </c>
      <c r="B1564" s="988">
        <v>1744</v>
      </c>
      <c r="C1564" s="899" t="s">
        <v>10890</v>
      </c>
      <c r="D1564" s="988" t="s">
        <v>2666</v>
      </c>
      <c r="E1564" s="989">
        <v>171.25</v>
      </c>
      <c r="F1564" s="990"/>
      <c r="G1564" s="990"/>
      <c r="H1564" s="990"/>
      <c r="I1564" s="990"/>
      <c r="J1564" s="990"/>
      <c r="K1564" s="990"/>
      <c r="L1564" s="990"/>
      <c r="M1564" s="990"/>
      <c r="N1564" s="990"/>
      <c r="O1564" s="990"/>
      <c r="P1564" s="990"/>
      <c r="Q1564" s="990"/>
      <c r="R1564" s="990"/>
      <c r="S1564" s="990"/>
      <c r="T1564" s="990"/>
      <c r="U1564" s="990"/>
      <c r="V1564" s="990"/>
      <c r="W1564" s="990"/>
      <c r="X1564" s="990"/>
    </row>
    <row r="1565" spans="1:24" s="896" customFormat="1">
      <c r="A1565" s="987">
        <f t="shared" si="25"/>
        <v>1491</v>
      </c>
      <c r="B1565" s="988">
        <v>1743</v>
      </c>
      <c r="C1565" s="899" t="s">
        <v>10891</v>
      </c>
      <c r="D1565" s="988" t="s">
        <v>2666</v>
      </c>
      <c r="E1565" s="989">
        <v>224.88</v>
      </c>
      <c r="F1565" s="990"/>
      <c r="G1565" s="990"/>
      <c r="H1565" s="990"/>
      <c r="I1565" s="990"/>
      <c r="J1565" s="990"/>
      <c r="K1565" s="990"/>
      <c r="L1565" s="990"/>
      <c r="M1565" s="990"/>
      <c r="N1565" s="990"/>
      <c r="O1565" s="990"/>
      <c r="P1565" s="990"/>
      <c r="Q1565" s="990"/>
      <c r="R1565" s="990"/>
      <c r="S1565" s="990"/>
      <c r="T1565" s="990"/>
      <c r="U1565" s="990"/>
      <c r="V1565" s="990"/>
      <c r="W1565" s="990"/>
      <c r="X1565" s="990"/>
    </row>
    <row r="1566" spans="1:24" s="896" customFormat="1" ht="25.5">
      <c r="A1566" s="987">
        <f t="shared" si="25"/>
        <v>1492</v>
      </c>
      <c r="B1566" s="988">
        <v>39640</v>
      </c>
      <c r="C1566" s="899" t="s">
        <v>10892</v>
      </c>
      <c r="D1566" s="988" t="s">
        <v>2666</v>
      </c>
      <c r="E1566" s="989">
        <v>12.93</v>
      </c>
      <c r="F1566" s="990"/>
      <c r="G1566" s="990"/>
      <c r="H1566" s="990"/>
      <c r="I1566" s="990"/>
      <c r="J1566" s="990"/>
      <c r="K1566" s="990"/>
      <c r="L1566" s="990"/>
      <c r="M1566" s="990"/>
      <c r="N1566" s="990"/>
      <c r="O1566" s="990"/>
      <c r="P1566" s="990"/>
      <c r="Q1566" s="990"/>
      <c r="R1566" s="990"/>
      <c r="S1566" s="990"/>
      <c r="T1566" s="990"/>
      <c r="U1566" s="990"/>
      <c r="V1566" s="990"/>
      <c r="W1566" s="990"/>
      <c r="X1566" s="990"/>
    </row>
    <row r="1567" spans="1:24" s="896" customFormat="1" ht="25.5">
      <c r="A1567" s="987">
        <f t="shared" si="25"/>
        <v>1493</v>
      </c>
      <c r="B1567" s="988">
        <v>7216</v>
      </c>
      <c r="C1567" s="899" t="s">
        <v>10893</v>
      </c>
      <c r="D1567" s="988" t="s">
        <v>2666</v>
      </c>
      <c r="E1567" s="989">
        <v>69.489999999999995</v>
      </c>
      <c r="F1567" s="990"/>
      <c r="G1567" s="990"/>
      <c r="H1567" s="990"/>
      <c r="I1567" s="990"/>
      <c r="J1567" s="990"/>
      <c r="K1567" s="990"/>
      <c r="L1567" s="990"/>
      <c r="M1567" s="990"/>
      <c r="N1567" s="990"/>
      <c r="O1567" s="990"/>
      <c r="P1567" s="990"/>
      <c r="Q1567" s="990"/>
      <c r="R1567" s="990"/>
      <c r="S1567" s="990"/>
      <c r="T1567" s="990"/>
      <c r="U1567" s="990"/>
      <c r="V1567" s="990"/>
      <c r="W1567" s="990"/>
      <c r="X1567" s="990"/>
    </row>
    <row r="1568" spans="1:24" s="896" customFormat="1" ht="25.5">
      <c r="A1568" s="987">
        <f t="shared" si="25"/>
        <v>1494</v>
      </c>
      <c r="B1568" s="988">
        <v>20235</v>
      </c>
      <c r="C1568" s="899" t="s">
        <v>10894</v>
      </c>
      <c r="D1568" s="988" t="s">
        <v>2666</v>
      </c>
      <c r="E1568" s="989">
        <v>55.87</v>
      </c>
      <c r="F1568" s="990"/>
      <c r="G1568" s="990"/>
      <c r="H1568" s="990"/>
      <c r="I1568" s="990"/>
      <c r="J1568" s="990"/>
      <c r="K1568" s="990"/>
      <c r="L1568" s="990"/>
      <c r="M1568" s="990"/>
      <c r="N1568" s="990"/>
      <c r="O1568" s="990"/>
      <c r="P1568" s="990"/>
      <c r="Q1568" s="990"/>
      <c r="R1568" s="990"/>
      <c r="S1568" s="990"/>
      <c r="T1568" s="990"/>
      <c r="U1568" s="990"/>
      <c r="V1568" s="990"/>
      <c r="W1568" s="990"/>
      <c r="X1568" s="990"/>
    </row>
    <row r="1569" spans="1:24" s="896" customFormat="1" ht="25.5">
      <c r="A1569" s="987">
        <f t="shared" si="25"/>
        <v>1495</v>
      </c>
      <c r="B1569" s="988">
        <v>7181</v>
      </c>
      <c r="C1569" s="899" t="s">
        <v>10895</v>
      </c>
      <c r="D1569" s="988" t="s">
        <v>2666</v>
      </c>
      <c r="E1569" s="989">
        <v>3.56</v>
      </c>
      <c r="F1569" s="990"/>
      <c r="G1569" s="990"/>
      <c r="H1569" s="990"/>
      <c r="I1569" s="990"/>
      <c r="J1569" s="990"/>
      <c r="K1569" s="990"/>
      <c r="L1569" s="990"/>
      <c r="M1569" s="990"/>
      <c r="N1569" s="990"/>
      <c r="O1569" s="990"/>
      <c r="P1569" s="990"/>
      <c r="Q1569" s="990"/>
      <c r="R1569" s="990"/>
      <c r="S1569" s="990"/>
      <c r="T1569" s="990"/>
      <c r="U1569" s="990"/>
      <c r="V1569" s="990"/>
      <c r="W1569" s="990"/>
      <c r="X1569" s="990"/>
    </row>
    <row r="1570" spans="1:24" s="896" customFormat="1" ht="25.5">
      <c r="A1570" s="987">
        <f t="shared" si="25"/>
        <v>1496</v>
      </c>
      <c r="B1570" s="988">
        <v>40742</v>
      </c>
      <c r="C1570" s="899" t="s">
        <v>10896</v>
      </c>
      <c r="D1570" s="988" t="s">
        <v>2666</v>
      </c>
      <c r="E1570" s="989">
        <v>8.75</v>
      </c>
      <c r="F1570" s="990"/>
      <c r="G1570" s="990"/>
      <c r="H1570" s="990"/>
      <c r="I1570" s="990"/>
      <c r="J1570" s="990"/>
      <c r="K1570" s="990"/>
      <c r="L1570" s="990"/>
      <c r="M1570" s="990"/>
      <c r="N1570" s="990"/>
      <c r="O1570" s="990"/>
      <c r="P1570" s="990"/>
      <c r="Q1570" s="990"/>
      <c r="R1570" s="990"/>
      <c r="S1570" s="990"/>
      <c r="T1570" s="990"/>
      <c r="U1570" s="990"/>
      <c r="V1570" s="990"/>
      <c r="W1570" s="990"/>
      <c r="X1570" s="990"/>
    </row>
    <row r="1571" spans="1:24" s="896" customFormat="1" ht="25.5">
      <c r="A1571" s="987">
        <f t="shared" si="25"/>
        <v>1497</v>
      </c>
      <c r="B1571" s="988">
        <v>7214</v>
      </c>
      <c r="C1571" s="899" t="s">
        <v>10897</v>
      </c>
      <c r="D1571" s="988" t="s">
        <v>2666</v>
      </c>
      <c r="E1571" s="989">
        <v>67.86</v>
      </c>
      <c r="F1571" s="990"/>
      <c r="G1571" s="990"/>
      <c r="H1571" s="990"/>
      <c r="I1571" s="990"/>
      <c r="J1571" s="990"/>
      <c r="K1571" s="990"/>
      <c r="L1571" s="990"/>
      <c r="M1571" s="990"/>
      <c r="N1571" s="990"/>
      <c r="O1571" s="990"/>
      <c r="P1571" s="990"/>
      <c r="Q1571" s="990"/>
      <c r="R1571" s="990"/>
      <c r="S1571" s="990"/>
      <c r="T1571" s="990"/>
      <c r="U1571" s="990"/>
      <c r="V1571" s="990"/>
      <c r="W1571" s="990"/>
      <c r="X1571" s="990"/>
    </row>
    <row r="1572" spans="1:24" s="896" customFormat="1" ht="25.5">
      <c r="A1572" s="987">
        <f t="shared" si="25"/>
        <v>1498</v>
      </c>
      <c r="B1572" s="988">
        <v>7219</v>
      </c>
      <c r="C1572" s="899" t="s">
        <v>10898</v>
      </c>
      <c r="D1572" s="988" t="s">
        <v>2666</v>
      </c>
      <c r="E1572" s="989">
        <v>60.19</v>
      </c>
      <c r="F1572" s="990"/>
      <c r="G1572" s="990"/>
      <c r="H1572" s="990"/>
      <c r="I1572" s="990"/>
      <c r="J1572" s="990"/>
      <c r="K1572" s="990"/>
      <c r="L1572" s="990"/>
      <c r="M1572" s="990"/>
      <c r="N1572" s="990"/>
      <c r="O1572" s="990"/>
      <c r="P1572" s="990"/>
      <c r="Q1572" s="990"/>
      <c r="R1572" s="990"/>
      <c r="S1572" s="990"/>
      <c r="T1572" s="990"/>
      <c r="U1572" s="990"/>
      <c r="V1572" s="990"/>
      <c r="W1572" s="990"/>
      <c r="X1572" s="990"/>
    </row>
    <row r="1573" spans="1:24" s="896" customFormat="1">
      <c r="A1573" s="987">
        <f t="shared" si="25"/>
        <v>1499</v>
      </c>
      <c r="B1573" s="988">
        <v>37972</v>
      </c>
      <c r="C1573" s="899" t="s">
        <v>10899</v>
      </c>
      <c r="D1573" s="988" t="s">
        <v>2666</v>
      </c>
      <c r="E1573" s="989">
        <v>10.47</v>
      </c>
      <c r="F1573" s="990"/>
      <c r="G1573" s="990"/>
      <c r="H1573" s="990"/>
      <c r="I1573" s="990"/>
      <c r="J1573" s="990"/>
      <c r="K1573" s="990"/>
      <c r="L1573" s="990"/>
      <c r="M1573" s="990"/>
      <c r="N1573" s="990"/>
      <c r="O1573" s="990"/>
      <c r="P1573" s="990"/>
      <c r="Q1573" s="990"/>
      <c r="R1573" s="990"/>
      <c r="S1573" s="990"/>
      <c r="T1573" s="990"/>
      <c r="U1573" s="990"/>
      <c r="V1573" s="990"/>
      <c r="W1573" s="990"/>
      <c r="X1573" s="990"/>
    </row>
    <row r="1574" spans="1:24" s="896" customFormat="1">
      <c r="A1574" s="987">
        <f t="shared" si="25"/>
        <v>1500</v>
      </c>
      <c r="B1574" s="988">
        <v>37973</v>
      </c>
      <c r="C1574" s="899" t="s">
        <v>10900</v>
      </c>
      <c r="D1574" s="988" t="s">
        <v>2666</v>
      </c>
      <c r="E1574" s="989">
        <v>16.77</v>
      </c>
      <c r="F1574" s="990"/>
      <c r="G1574" s="990"/>
      <c r="H1574" s="990"/>
      <c r="I1574" s="990"/>
      <c r="J1574" s="990"/>
      <c r="K1574" s="990"/>
      <c r="L1574" s="990"/>
      <c r="M1574" s="990"/>
      <c r="N1574" s="990"/>
      <c r="O1574" s="990"/>
      <c r="P1574" s="990"/>
      <c r="Q1574" s="990"/>
      <c r="R1574" s="990"/>
      <c r="S1574" s="990"/>
      <c r="T1574" s="990"/>
      <c r="U1574" s="990"/>
      <c r="V1574" s="990"/>
      <c r="W1574" s="990"/>
      <c r="X1574" s="990"/>
    </row>
    <row r="1575" spans="1:24" s="896" customFormat="1">
      <c r="A1575" s="987">
        <f t="shared" si="25"/>
        <v>1501</v>
      </c>
      <c r="B1575" s="988">
        <v>37971</v>
      </c>
      <c r="C1575" s="899" t="s">
        <v>10901</v>
      </c>
      <c r="D1575" s="988" t="s">
        <v>2666</v>
      </c>
      <c r="E1575" s="989">
        <v>6.29</v>
      </c>
      <c r="F1575" s="990"/>
      <c r="G1575" s="990"/>
      <c r="H1575" s="990"/>
      <c r="I1575" s="990"/>
      <c r="J1575" s="990"/>
      <c r="K1575" s="990"/>
      <c r="L1575" s="990"/>
      <c r="M1575" s="990"/>
      <c r="N1575" s="990"/>
      <c r="O1575" s="990"/>
      <c r="P1575" s="990"/>
      <c r="Q1575" s="990"/>
      <c r="R1575" s="990"/>
      <c r="S1575" s="990"/>
      <c r="T1575" s="990"/>
      <c r="U1575" s="990"/>
      <c r="V1575" s="990"/>
      <c r="W1575" s="990"/>
      <c r="X1575" s="990"/>
    </row>
    <row r="1576" spans="1:24" s="896" customFormat="1" ht="25.5">
      <c r="A1576" s="987">
        <f t="shared" si="25"/>
        <v>1502</v>
      </c>
      <c r="B1576" s="988">
        <v>20094</v>
      </c>
      <c r="C1576" s="899" t="s">
        <v>10902</v>
      </c>
      <c r="D1576" s="988" t="s">
        <v>2666</v>
      </c>
      <c r="E1576" s="989">
        <v>23.87</v>
      </c>
      <c r="F1576" s="990"/>
      <c r="G1576" s="990"/>
      <c r="H1576" s="990"/>
      <c r="I1576" s="990"/>
      <c r="J1576" s="990"/>
      <c r="K1576" s="990"/>
      <c r="L1576" s="990"/>
      <c r="M1576" s="990"/>
      <c r="N1576" s="990"/>
      <c r="O1576" s="990"/>
      <c r="P1576" s="990"/>
      <c r="Q1576" s="990"/>
      <c r="R1576" s="990"/>
      <c r="S1576" s="990"/>
      <c r="T1576" s="990"/>
      <c r="U1576" s="990"/>
      <c r="V1576" s="990"/>
      <c r="W1576" s="990"/>
      <c r="X1576" s="990"/>
    </row>
    <row r="1577" spans="1:24" s="896" customFormat="1" ht="25.5">
      <c r="A1577" s="987">
        <f t="shared" si="25"/>
        <v>1503</v>
      </c>
      <c r="B1577" s="988">
        <v>20095</v>
      </c>
      <c r="C1577" s="899" t="s">
        <v>10903</v>
      </c>
      <c r="D1577" s="988" t="s">
        <v>2666</v>
      </c>
      <c r="E1577" s="989">
        <v>30.4</v>
      </c>
      <c r="F1577" s="990"/>
      <c r="G1577" s="990"/>
      <c r="H1577" s="990"/>
      <c r="I1577" s="990"/>
      <c r="J1577" s="990"/>
      <c r="K1577" s="990"/>
      <c r="L1577" s="990"/>
      <c r="M1577" s="990"/>
      <c r="N1577" s="990"/>
      <c r="O1577" s="990"/>
      <c r="P1577" s="990"/>
      <c r="Q1577" s="990"/>
      <c r="R1577" s="990"/>
      <c r="S1577" s="990"/>
      <c r="T1577" s="990"/>
      <c r="U1577" s="990"/>
      <c r="V1577" s="990"/>
      <c r="W1577" s="990"/>
      <c r="X1577" s="990"/>
    </row>
    <row r="1578" spans="1:24" s="896" customFormat="1">
      <c r="A1578" s="987">
        <f t="shared" si="25"/>
        <v>1504</v>
      </c>
      <c r="B1578" s="988">
        <v>1954</v>
      </c>
      <c r="C1578" s="899" t="s">
        <v>10904</v>
      </c>
      <c r="D1578" s="988" t="s">
        <v>2666</v>
      </c>
      <c r="E1578" s="989">
        <v>175.1</v>
      </c>
      <c r="F1578" s="990"/>
      <c r="G1578" s="990"/>
      <c r="H1578" s="990"/>
      <c r="I1578" s="990"/>
      <c r="J1578" s="990"/>
      <c r="K1578" s="990"/>
      <c r="L1578" s="990"/>
      <c r="M1578" s="990"/>
      <c r="N1578" s="990"/>
      <c r="O1578" s="990"/>
      <c r="P1578" s="990"/>
      <c r="Q1578" s="990"/>
      <c r="R1578" s="990"/>
      <c r="S1578" s="990"/>
      <c r="T1578" s="990"/>
      <c r="U1578" s="990"/>
      <c r="V1578" s="990"/>
      <c r="W1578" s="990"/>
      <c r="X1578" s="990"/>
    </row>
    <row r="1579" spans="1:24" s="896" customFormat="1">
      <c r="A1579" s="987">
        <f t="shared" si="25"/>
        <v>1505</v>
      </c>
      <c r="B1579" s="988">
        <v>1926</v>
      </c>
      <c r="C1579" s="899" t="s">
        <v>10905</v>
      </c>
      <c r="D1579" s="988" t="s">
        <v>2666</v>
      </c>
      <c r="E1579" s="989">
        <v>2.31</v>
      </c>
      <c r="F1579" s="990"/>
      <c r="G1579" s="990"/>
      <c r="H1579" s="990"/>
      <c r="I1579" s="990"/>
      <c r="J1579" s="990"/>
      <c r="K1579" s="990"/>
      <c r="L1579" s="990"/>
      <c r="M1579" s="990"/>
      <c r="N1579" s="990"/>
      <c r="O1579" s="990"/>
      <c r="P1579" s="990"/>
      <c r="Q1579" s="990"/>
      <c r="R1579" s="990"/>
      <c r="S1579" s="990"/>
      <c r="T1579" s="990"/>
      <c r="U1579" s="990"/>
      <c r="V1579" s="990"/>
      <c r="W1579" s="990"/>
      <c r="X1579" s="990"/>
    </row>
    <row r="1580" spans="1:24" s="896" customFormat="1">
      <c r="A1580" s="987">
        <f t="shared" si="25"/>
        <v>1506</v>
      </c>
      <c r="B1580" s="988">
        <v>1927</v>
      </c>
      <c r="C1580" s="899" t="s">
        <v>10906</v>
      </c>
      <c r="D1580" s="988" t="s">
        <v>2666</v>
      </c>
      <c r="E1580" s="989">
        <v>3.05</v>
      </c>
      <c r="F1580" s="990"/>
      <c r="G1580" s="990"/>
      <c r="H1580" s="990"/>
      <c r="I1580" s="990"/>
      <c r="J1580" s="990"/>
      <c r="K1580" s="990"/>
      <c r="L1580" s="990"/>
      <c r="M1580" s="990"/>
      <c r="N1580" s="990"/>
      <c r="O1580" s="990"/>
      <c r="P1580" s="990"/>
      <c r="Q1580" s="990"/>
      <c r="R1580" s="990"/>
      <c r="S1580" s="990"/>
      <c r="T1580" s="990"/>
      <c r="U1580" s="990"/>
      <c r="V1580" s="990"/>
      <c r="W1580" s="990"/>
      <c r="X1580" s="990"/>
    </row>
    <row r="1581" spans="1:24" s="896" customFormat="1">
      <c r="A1581" s="987">
        <f t="shared" si="25"/>
        <v>1507</v>
      </c>
      <c r="B1581" s="988">
        <v>1923</v>
      </c>
      <c r="C1581" s="899" t="s">
        <v>10907</v>
      </c>
      <c r="D1581" s="988" t="s">
        <v>2666</v>
      </c>
      <c r="E1581" s="989">
        <v>4.99</v>
      </c>
      <c r="F1581" s="990"/>
      <c r="G1581" s="990"/>
      <c r="H1581" s="990"/>
      <c r="I1581" s="990"/>
      <c r="J1581" s="990"/>
      <c r="K1581" s="990"/>
      <c r="L1581" s="990"/>
      <c r="M1581" s="990"/>
      <c r="N1581" s="990"/>
      <c r="O1581" s="990"/>
      <c r="P1581" s="990"/>
      <c r="Q1581" s="990"/>
      <c r="R1581" s="990"/>
      <c r="S1581" s="990"/>
      <c r="T1581" s="990"/>
      <c r="U1581" s="990"/>
      <c r="V1581" s="990"/>
      <c r="W1581" s="990"/>
      <c r="X1581" s="990"/>
    </row>
    <row r="1582" spans="1:24" s="896" customFormat="1">
      <c r="A1582" s="987">
        <f t="shared" si="25"/>
        <v>1508</v>
      </c>
      <c r="B1582" s="988">
        <v>1929</v>
      </c>
      <c r="C1582" s="899" t="s">
        <v>10908</v>
      </c>
      <c r="D1582" s="988" t="s">
        <v>2666</v>
      </c>
      <c r="E1582" s="989">
        <v>8.18</v>
      </c>
      <c r="F1582" s="990"/>
      <c r="G1582" s="990"/>
      <c r="H1582" s="990"/>
      <c r="I1582" s="990"/>
      <c r="J1582" s="990"/>
      <c r="K1582" s="990"/>
      <c r="L1582" s="990"/>
      <c r="M1582" s="990"/>
      <c r="N1582" s="990"/>
      <c r="O1582" s="990"/>
      <c r="P1582" s="990"/>
      <c r="Q1582" s="990"/>
      <c r="R1582" s="990"/>
      <c r="S1582" s="990"/>
      <c r="T1582" s="990"/>
      <c r="U1582" s="990"/>
      <c r="V1582" s="990"/>
      <c r="W1582" s="990"/>
      <c r="X1582" s="990"/>
    </row>
    <row r="1583" spans="1:24" s="896" customFormat="1">
      <c r="A1583" s="987">
        <f t="shared" si="25"/>
        <v>1509</v>
      </c>
      <c r="B1583" s="988">
        <v>1930</v>
      </c>
      <c r="C1583" s="899" t="s">
        <v>10909</v>
      </c>
      <c r="D1583" s="988" t="s">
        <v>2666</v>
      </c>
      <c r="E1583" s="989">
        <v>15.86</v>
      </c>
      <c r="F1583" s="990"/>
      <c r="G1583" s="990"/>
      <c r="H1583" s="990"/>
      <c r="I1583" s="990"/>
      <c r="J1583" s="990"/>
      <c r="K1583" s="990"/>
      <c r="L1583" s="990"/>
      <c r="M1583" s="990"/>
      <c r="N1583" s="990"/>
      <c r="O1583" s="990"/>
      <c r="P1583" s="990"/>
      <c r="Q1583" s="990"/>
      <c r="R1583" s="990"/>
      <c r="S1583" s="990"/>
      <c r="T1583" s="990"/>
      <c r="U1583" s="990"/>
      <c r="V1583" s="990"/>
      <c r="W1583" s="990"/>
      <c r="X1583" s="990"/>
    </row>
    <row r="1584" spans="1:24" s="896" customFormat="1">
      <c r="A1584" s="987">
        <f t="shared" si="25"/>
        <v>1510</v>
      </c>
      <c r="B1584" s="988">
        <v>1924</v>
      </c>
      <c r="C1584" s="899" t="s">
        <v>10910</v>
      </c>
      <c r="D1584" s="988" t="s">
        <v>2666</v>
      </c>
      <c r="E1584" s="989">
        <v>27.33</v>
      </c>
      <c r="F1584" s="990"/>
      <c r="G1584" s="990"/>
      <c r="H1584" s="990"/>
      <c r="I1584" s="990"/>
      <c r="J1584" s="990"/>
      <c r="K1584" s="990"/>
      <c r="L1584" s="990"/>
      <c r="M1584" s="990"/>
      <c r="N1584" s="990"/>
      <c r="O1584" s="990"/>
      <c r="P1584" s="990"/>
      <c r="Q1584" s="990"/>
      <c r="R1584" s="990"/>
      <c r="S1584" s="990"/>
      <c r="T1584" s="990"/>
      <c r="U1584" s="990"/>
      <c r="V1584" s="990"/>
      <c r="W1584" s="990"/>
      <c r="X1584" s="990"/>
    </row>
    <row r="1585" spans="1:24" s="896" customFormat="1">
      <c r="A1585" s="987">
        <f t="shared" si="25"/>
        <v>1511</v>
      </c>
      <c r="B1585" s="988">
        <v>1922</v>
      </c>
      <c r="C1585" s="899" t="s">
        <v>10911</v>
      </c>
      <c r="D1585" s="988" t="s">
        <v>2666</v>
      </c>
      <c r="E1585" s="989">
        <v>40.6</v>
      </c>
      <c r="F1585" s="990"/>
      <c r="G1585" s="990"/>
      <c r="H1585" s="990"/>
      <c r="I1585" s="990"/>
      <c r="J1585" s="990"/>
      <c r="K1585" s="990"/>
      <c r="L1585" s="990"/>
      <c r="M1585" s="990"/>
      <c r="N1585" s="990"/>
      <c r="O1585" s="990"/>
      <c r="P1585" s="990"/>
      <c r="Q1585" s="990"/>
      <c r="R1585" s="990"/>
      <c r="S1585" s="990"/>
      <c r="T1585" s="990"/>
      <c r="U1585" s="990"/>
      <c r="V1585" s="990"/>
      <c r="W1585" s="990"/>
      <c r="X1585" s="990"/>
    </row>
    <row r="1586" spans="1:24" s="896" customFormat="1">
      <c r="A1586" s="987">
        <f t="shared" si="25"/>
        <v>1512</v>
      </c>
      <c r="B1586" s="988">
        <v>1953</v>
      </c>
      <c r="C1586" s="899" t="s">
        <v>10912</v>
      </c>
      <c r="D1586" s="988" t="s">
        <v>2666</v>
      </c>
      <c r="E1586" s="989">
        <v>70.94</v>
      </c>
      <c r="F1586" s="990"/>
      <c r="G1586" s="990"/>
      <c r="H1586" s="990"/>
      <c r="I1586" s="990"/>
      <c r="J1586" s="990"/>
      <c r="K1586" s="990"/>
      <c r="L1586" s="990"/>
      <c r="M1586" s="990"/>
      <c r="N1586" s="990"/>
      <c r="O1586" s="990"/>
      <c r="P1586" s="990"/>
      <c r="Q1586" s="990"/>
      <c r="R1586" s="990"/>
      <c r="S1586" s="990"/>
      <c r="T1586" s="990"/>
      <c r="U1586" s="990"/>
      <c r="V1586" s="990"/>
      <c r="W1586" s="990"/>
      <c r="X1586" s="990"/>
    </row>
    <row r="1587" spans="1:24" s="896" customFormat="1">
      <c r="A1587" s="987">
        <f t="shared" si="25"/>
        <v>1513</v>
      </c>
      <c r="B1587" s="988">
        <v>1962</v>
      </c>
      <c r="C1587" s="899" t="s">
        <v>10913</v>
      </c>
      <c r="D1587" s="988" t="s">
        <v>2666</v>
      </c>
      <c r="E1587" s="989">
        <v>232.1</v>
      </c>
      <c r="F1587" s="990"/>
      <c r="G1587" s="990"/>
      <c r="H1587" s="990"/>
      <c r="I1587" s="990"/>
      <c r="J1587" s="990"/>
      <c r="K1587" s="990"/>
      <c r="L1587" s="990"/>
      <c r="M1587" s="990"/>
      <c r="N1587" s="990"/>
      <c r="O1587" s="990"/>
      <c r="P1587" s="990"/>
      <c r="Q1587" s="990"/>
      <c r="R1587" s="990"/>
      <c r="S1587" s="990"/>
      <c r="T1587" s="990"/>
      <c r="U1587" s="990"/>
      <c r="V1587" s="990"/>
      <c r="W1587" s="990"/>
      <c r="X1587" s="990"/>
    </row>
    <row r="1588" spans="1:24" s="896" customFormat="1">
      <c r="A1588" s="987">
        <f t="shared" si="25"/>
        <v>1514</v>
      </c>
      <c r="B1588" s="988">
        <v>1955</v>
      </c>
      <c r="C1588" s="899" t="s">
        <v>10914</v>
      </c>
      <c r="D1588" s="988" t="s">
        <v>2666</v>
      </c>
      <c r="E1588" s="989">
        <v>3.07</v>
      </c>
      <c r="F1588" s="990"/>
      <c r="G1588" s="990"/>
      <c r="H1588" s="990"/>
      <c r="I1588" s="990"/>
      <c r="J1588" s="990"/>
      <c r="K1588" s="990"/>
      <c r="L1588" s="990"/>
      <c r="M1588" s="990"/>
      <c r="N1588" s="990"/>
      <c r="O1588" s="990"/>
      <c r="P1588" s="990"/>
      <c r="Q1588" s="990"/>
      <c r="R1588" s="990"/>
      <c r="S1588" s="990"/>
      <c r="T1588" s="990"/>
      <c r="U1588" s="990"/>
      <c r="V1588" s="990"/>
      <c r="W1588" s="990"/>
      <c r="X1588" s="990"/>
    </row>
    <row r="1589" spans="1:24" s="896" customFormat="1">
      <c r="A1589" s="987">
        <f t="shared" si="25"/>
        <v>1515</v>
      </c>
      <c r="B1589" s="988">
        <v>1956</v>
      </c>
      <c r="C1589" s="899" t="s">
        <v>10915</v>
      </c>
      <c r="D1589" s="988" t="s">
        <v>2666</v>
      </c>
      <c r="E1589" s="989">
        <v>3.96</v>
      </c>
      <c r="F1589" s="990"/>
      <c r="G1589" s="990"/>
      <c r="H1589" s="990"/>
      <c r="I1589" s="990"/>
      <c r="J1589" s="990"/>
      <c r="K1589" s="990"/>
      <c r="L1589" s="990"/>
      <c r="M1589" s="990"/>
      <c r="N1589" s="990"/>
      <c r="O1589" s="990"/>
      <c r="P1589" s="990"/>
      <c r="Q1589" s="990"/>
      <c r="R1589" s="990"/>
      <c r="S1589" s="990"/>
      <c r="T1589" s="990"/>
      <c r="U1589" s="990"/>
      <c r="V1589" s="990"/>
      <c r="W1589" s="990"/>
      <c r="X1589" s="990"/>
    </row>
    <row r="1590" spans="1:24" s="896" customFormat="1">
      <c r="A1590" s="987">
        <f t="shared" si="25"/>
        <v>1516</v>
      </c>
      <c r="B1590" s="988">
        <v>1957</v>
      </c>
      <c r="C1590" s="899" t="s">
        <v>10916</v>
      </c>
      <c r="D1590" s="988" t="s">
        <v>2666</v>
      </c>
      <c r="E1590" s="989">
        <v>8.99</v>
      </c>
      <c r="F1590" s="990"/>
      <c r="G1590" s="990"/>
      <c r="H1590" s="990"/>
      <c r="I1590" s="990"/>
      <c r="J1590" s="990"/>
      <c r="K1590" s="990"/>
      <c r="L1590" s="990"/>
      <c r="M1590" s="990"/>
      <c r="N1590" s="990"/>
      <c r="O1590" s="990"/>
      <c r="P1590" s="990"/>
      <c r="Q1590" s="990"/>
      <c r="R1590" s="990"/>
      <c r="S1590" s="990"/>
      <c r="T1590" s="990"/>
      <c r="U1590" s="990"/>
      <c r="V1590" s="990"/>
      <c r="W1590" s="990"/>
      <c r="X1590" s="990"/>
    </row>
    <row r="1591" spans="1:24" s="896" customFormat="1">
      <c r="A1591" s="987">
        <f t="shared" si="25"/>
        <v>1517</v>
      </c>
      <c r="B1591" s="988">
        <v>1958</v>
      </c>
      <c r="C1591" s="899" t="s">
        <v>10917</v>
      </c>
      <c r="D1591" s="988" t="s">
        <v>2666</v>
      </c>
      <c r="E1591" s="989">
        <v>15.97</v>
      </c>
      <c r="F1591" s="990"/>
      <c r="G1591" s="990"/>
      <c r="H1591" s="990"/>
      <c r="I1591" s="990"/>
      <c r="J1591" s="990"/>
      <c r="K1591" s="990"/>
      <c r="L1591" s="990"/>
      <c r="M1591" s="990"/>
      <c r="N1591" s="990"/>
      <c r="O1591" s="990"/>
      <c r="P1591" s="990"/>
      <c r="Q1591" s="990"/>
      <c r="R1591" s="990"/>
      <c r="S1591" s="990"/>
      <c r="T1591" s="990"/>
      <c r="U1591" s="990"/>
      <c r="V1591" s="990"/>
      <c r="W1591" s="990"/>
      <c r="X1591" s="990"/>
    </row>
    <row r="1592" spans="1:24" s="896" customFormat="1">
      <c r="A1592" s="987">
        <f t="shared" si="25"/>
        <v>1518</v>
      </c>
      <c r="B1592" s="988">
        <v>1959</v>
      </c>
      <c r="C1592" s="899" t="s">
        <v>10918</v>
      </c>
      <c r="D1592" s="988" t="s">
        <v>2666</v>
      </c>
      <c r="E1592" s="989">
        <v>19.47</v>
      </c>
      <c r="F1592" s="990"/>
      <c r="G1592" s="990"/>
      <c r="H1592" s="990"/>
      <c r="I1592" s="990"/>
      <c r="J1592" s="990"/>
      <c r="K1592" s="990"/>
      <c r="L1592" s="990"/>
      <c r="M1592" s="990"/>
      <c r="N1592" s="990"/>
      <c r="O1592" s="990"/>
      <c r="P1592" s="990"/>
      <c r="Q1592" s="990"/>
      <c r="R1592" s="990"/>
      <c r="S1592" s="990"/>
      <c r="T1592" s="990"/>
      <c r="U1592" s="990"/>
      <c r="V1592" s="990"/>
      <c r="W1592" s="990"/>
      <c r="X1592" s="990"/>
    </row>
    <row r="1593" spans="1:24" s="896" customFormat="1">
      <c r="A1593" s="987">
        <f t="shared" si="25"/>
        <v>1519</v>
      </c>
      <c r="B1593" s="988">
        <v>1925</v>
      </c>
      <c r="C1593" s="899" t="s">
        <v>10919</v>
      </c>
      <c r="D1593" s="988" t="s">
        <v>2666</v>
      </c>
      <c r="E1593" s="989">
        <v>48.13</v>
      </c>
      <c r="F1593" s="990"/>
      <c r="G1593" s="990"/>
      <c r="H1593" s="990"/>
      <c r="I1593" s="990"/>
      <c r="J1593" s="990"/>
      <c r="K1593" s="990"/>
      <c r="L1593" s="990"/>
      <c r="M1593" s="990"/>
      <c r="N1593" s="990"/>
      <c r="O1593" s="990"/>
      <c r="P1593" s="990"/>
      <c r="Q1593" s="990"/>
      <c r="R1593" s="990"/>
      <c r="S1593" s="990"/>
      <c r="T1593" s="990"/>
      <c r="U1593" s="990"/>
      <c r="V1593" s="990"/>
      <c r="W1593" s="990"/>
      <c r="X1593" s="990"/>
    </row>
    <row r="1594" spans="1:24" s="896" customFormat="1">
      <c r="A1594" s="987">
        <f t="shared" si="25"/>
        <v>1520</v>
      </c>
      <c r="B1594" s="988">
        <v>1960</v>
      </c>
      <c r="C1594" s="899" t="s">
        <v>10920</v>
      </c>
      <c r="D1594" s="988" t="s">
        <v>2666</v>
      </c>
      <c r="E1594" s="989">
        <v>68.42</v>
      </c>
      <c r="F1594" s="990"/>
      <c r="G1594" s="990"/>
      <c r="H1594" s="990"/>
      <c r="I1594" s="990"/>
      <c r="J1594" s="990"/>
      <c r="K1594" s="990"/>
      <c r="L1594" s="990"/>
      <c r="M1594" s="990"/>
      <c r="N1594" s="990"/>
      <c r="O1594" s="990"/>
      <c r="P1594" s="990"/>
      <c r="Q1594" s="990"/>
      <c r="R1594" s="990"/>
      <c r="S1594" s="990"/>
      <c r="T1594" s="990"/>
      <c r="U1594" s="990"/>
      <c r="V1594" s="990"/>
      <c r="W1594" s="990"/>
      <c r="X1594" s="990"/>
    </row>
    <row r="1595" spans="1:24" s="896" customFormat="1">
      <c r="A1595" s="987">
        <f t="shared" si="25"/>
        <v>1521</v>
      </c>
      <c r="B1595" s="988">
        <v>1961</v>
      </c>
      <c r="C1595" s="899" t="s">
        <v>10921</v>
      </c>
      <c r="D1595" s="988" t="s">
        <v>2666</v>
      </c>
      <c r="E1595" s="989">
        <v>98.32</v>
      </c>
      <c r="F1595" s="990"/>
      <c r="G1595" s="990"/>
      <c r="H1595" s="990"/>
      <c r="I1595" s="990"/>
      <c r="J1595" s="990"/>
      <c r="K1595" s="990"/>
      <c r="L1595" s="990"/>
      <c r="M1595" s="990"/>
      <c r="N1595" s="990"/>
      <c r="O1595" s="990"/>
      <c r="P1595" s="990"/>
      <c r="Q1595" s="990"/>
      <c r="R1595" s="990"/>
      <c r="S1595" s="990"/>
      <c r="T1595" s="990"/>
      <c r="U1595" s="990"/>
      <c r="V1595" s="990"/>
      <c r="W1595" s="990"/>
      <c r="X1595" s="990"/>
    </row>
    <row r="1596" spans="1:24" s="896" customFormat="1" ht="25.5">
      <c r="A1596" s="987">
        <f t="shared" si="25"/>
        <v>1522</v>
      </c>
      <c r="B1596" s="988">
        <v>38426</v>
      </c>
      <c r="C1596" s="899" t="s">
        <v>10922</v>
      </c>
      <c r="D1596" s="988" t="s">
        <v>2666</v>
      </c>
      <c r="E1596" s="989">
        <v>34.29</v>
      </c>
      <c r="F1596" s="990"/>
      <c r="G1596" s="990"/>
      <c r="H1596" s="990"/>
      <c r="I1596" s="990"/>
      <c r="J1596" s="990"/>
      <c r="K1596" s="990"/>
      <c r="L1596" s="990"/>
      <c r="M1596" s="990"/>
      <c r="N1596" s="990"/>
      <c r="O1596" s="990"/>
      <c r="P1596" s="990"/>
      <c r="Q1596" s="990"/>
      <c r="R1596" s="990"/>
      <c r="S1596" s="990"/>
      <c r="T1596" s="990"/>
      <c r="U1596" s="990"/>
      <c r="V1596" s="990"/>
      <c r="W1596" s="990"/>
      <c r="X1596" s="990"/>
    </row>
    <row r="1597" spans="1:24" s="896" customFormat="1" ht="25.5">
      <c r="A1597" s="987">
        <f t="shared" si="25"/>
        <v>1523</v>
      </c>
      <c r="B1597" s="988">
        <v>38423</v>
      </c>
      <c r="C1597" s="899" t="s">
        <v>10923</v>
      </c>
      <c r="D1597" s="988" t="s">
        <v>2666</v>
      </c>
      <c r="E1597" s="989">
        <v>77.77</v>
      </c>
      <c r="F1597" s="990"/>
      <c r="G1597" s="990"/>
      <c r="H1597" s="990"/>
      <c r="I1597" s="990"/>
      <c r="J1597" s="990"/>
      <c r="K1597" s="990"/>
      <c r="L1597" s="990"/>
      <c r="M1597" s="990"/>
      <c r="N1597" s="990"/>
      <c r="O1597" s="990"/>
      <c r="P1597" s="990"/>
      <c r="Q1597" s="990"/>
      <c r="R1597" s="990"/>
      <c r="S1597" s="990"/>
      <c r="T1597" s="990"/>
      <c r="U1597" s="990"/>
      <c r="V1597" s="990"/>
      <c r="W1597" s="990"/>
      <c r="X1597" s="990"/>
    </row>
    <row r="1598" spans="1:24" s="896" customFormat="1">
      <c r="A1598" s="987">
        <f t="shared" si="25"/>
        <v>1524</v>
      </c>
      <c r="B1598" s="988">
        <v>38421</v>
      </c>
      <c r="C1598" s="899" t="s">
        <v>10924</v>
      </c>
      <c r="D1598" s="988" t="s">
        <v>2666</v>
      </c>
      <c r="E1598" s="989">
        <v>36.71</v>
      </c>
      <c r="F1598" s="990"/>
      <c r="G1598" s="990"/>
      <c r="H1598" s="990"/>
      <c r="I1598" s="990"/>
      <c r="J1598" s="990"/>
      <c r="K1598" s="990"/>
      <c r="L1598" s="990"/>
      <c r="M1598" s="990"/>
      <c r="N1598" s="990"/>
      <c r="O1598" s="990"/>
      <c r="P1598" s="990"/>
      <c r="Q1598" s="990"/>
      <c r="R1598" s="990"/>
      <c r="S1598" s="990"/>
      <c r="T1598" s="990"/>
      <c r="U1598" s="990"/>
      <c r="V1598" s="990"/>
      <c r="W1598" s="990"/>
      <c r="X1598" s="990"/>
    </row>
    <row r="1599" spans="1:24" s="896" customFormat="1">
      <c r="A1599" s="987">
        <f t="shared" si="25"/>
        <v>1525</v>
      </c>
      <c r="B1599" s="988">
        <v>38422</v>
      </c>
      <c r="C1599" s="899" t="s">
        <v>10925</v>
      </c>
      <c r="D1599" s="988" t="s">
        <v>2666</v>
      </c>
      <c r="E1599" s="989">
        <v>53.67</v>
      </c>
      <c r="F1599" s="990"/>
      <c r="G1599" s="990"/>
      <c r="H1599" s="990"/>
      <c r="I1599" s="990"/>
      <c r="J1599" s="990"/>
      <c r="K1599" s="990"/>
      <c r="L1599" s="990"/>
      <c r="M1599" s="990"/>
      <c r="N1599" s="990"/>
      <c r="O1599" s="990"/>
      <c r="P1599" s="990"/>
      <c r="Q1599" s="990"/>
      <c r="R1599" s="990"/>
      <c r="S1599" s="990"/>
      <c r="T1599" s="990"/>
      <c r="U1599" s="990"/>
      <c r="V1599" s="990"/>
      <c r="W1599" s="990"/>
      <c r="X1599" s="990"/>
    </row>
    <row r="1600" spans="1:24" s="896" customFormat="1" ht="25.5">
      <c r="A1600" s="987">
        <f t="shared" si="25"/>
        <v>1526</v>
      </c>
      <c r="B1600" s="988">
        <v>39866</v>
      </c>
      <c r="C1600" s="899" t="s">
        <v>10926</v>
      </c>
      <c r="D1600" s="988" t="s">
        <v>2666</v>
      </c>
      <c r="E1600" s="989">
        <v>19.54</v>
      </c>
      <c r="F1600" s="990"/>
      <c r="G1600" s="990"/>
      <c r="H1600" s="990"/>
      <c r="I1600" s="990"/>
      <c r="J1600" s="990"/>
      <c r="K1600" s="990"/>
      <c r="L1600" s="990"/>
      <c r="M1600" s="990"/>
      <c r="N1600" s="990"/>
      <c r="O1600" s="990"/>
      <c r="P1600" s="990"/>
      <c r="Q1600" s="990"/>
      <c r="R1600" s="990"/>
      <c r="S1600" s="990"/>
      <c r="T1600" s="990"/>
      <c r="U1600" s="990"/>
      <c r="V1600" s="990"/>
      <c r="W1600" s="990"/>
      <c r="X1600" s="990"/>
    </row>
    <row r="1601" spans="1:24" s="896" customFormat="1" ht="25.5">
      <c r="A1601" s="987">
        <f t="shared" si="25"/>
        <v>1527</v>
      </c>
      <c r="B1601" s="988">
        <v>39867</v>
      </c>
      <c r="C1601" s="899" t="s">
        <v>10927</v>
      </c>
      <c r="D1601" s="988" t="s">
        <v>2666</v>
      </c>
      <c r="E1601" s="989">
        <v>43.44</v>
      </c>
      <c r="F1601" s="990"/>
      <c r="G1601" s="990"/>
      <c r="H1601" s="990"/>
      <c r="I1601" s="990"/>
      <c r="J1601" s="990"/>
      <c r="K1601" s="990"/>
      <c r="L1601" s="990"/>
      <c r="M1601" s="990"/>
      <c r="N1601" s="990"/>
      <c r="O1601" s="990"/>
      <c r="P1601" s="990"/>
      <c r="Q1601" s="990"/>
      <c r="R1601" s="990"/>
      <c r="S1601" s="990"/>
      <c r="T1601" s="990"/>
      <c r="U1601" s="990"/>
      <c r="V1601" s="990"/>
      <c r="W1601" s="990"/>
      <c r="X1601" s="990"/>
    </row>
    <row r="1602" spans="1:24" s="896" customFormat="1" ht="25.5">
      <c r="A1602" s="987">
        <f t="shared" si="25"/>
        <v>1528</v>
      </c>
      <c r="B1602" s="988">
        <v>39868</v>
      </c>
      <c r="C1602" s="899" t="s">
        <v>10928</v>
      </c>
      <c r="D1602" s="988" t="s">
        <v>2666</v>
      </c>
      <c r="E1602" s="989">
        <v>78.260000000000005</v>
      </c>
      <c r="F1602" s="990"/>
      <c r="G1602" s="990"/>
      <c r="H1602" s="990"/>
      <c r="I1602" s="990"/>
      <c r="J1602" s="990"/>
      <c r="K1602" s="990"/>
      <c r="L1602" s="990"/>
      <c r="M1602" s="990"/>
      <c r="N1602" s="990"/>
      <c r="O1602" s="990"/>
      <c r="P1602" s="990"/>
      <c r="Q1602" s="990"/>
      <c r="R1602" s="990"/>
      <c r="S1602" s="990"/>
      <c r="T1602" s="990"/>
      <c r="U1602" s="990"/>
      <c r="V1602" s="990"/>
      <c r="W1602" s="990"/>
      <c r="X1602" s="990"/>
    </row>
    <row r="1603" spans="1:24" s="896" customFormat="1">
      <c r="A1603" s="987">
        <f t="shared" si="25"/>
        <v>1529</v>
      </c>
      <c r="B1603" s="988">
        <v>37999</v>
      </c>
      <c r="C1603" s="899" t="s">
        <v>10929</v>
      </c>
      <c r="D1603" s="988" t="s">
        <v>2666</v>
      </c>
      <c r="E1603" s="989">
        <v>10.039999999999999</v>
      </c>
      <c r="F1603" s="990"/>
      <c r="G1603" s="990"/>
      <c r="H1603" s="990"/>
      <c r="I1603" s="990"/>
      <c r="J1603" s="990"/>
      <c r="K1603" s="990"/>
      <c r="L1603" s="990"/>
      <c r="M1603" s="990"/>
      <c r="N1603" s="990"/>
      <c r="O1603" s="990"/>
      <c r="P1603" s="990"/>
      <c r="Q1603" s="990"/>
      <c r="R1603" s="990"/>
      <c r="S1603" s="990"/>
      <c r="T1603" s="990"/>
      <c r="U1603" s="990"/>
      <c r="V1603" s="990"/>
      <c r="W1603" s="990"/>
      <c r="X1603" s="990"/>
    </row>
    <row r="1604" spans="1:24" s="896" customFormat="1">
      <c r="A1604" s="987">
        <f t="shared" si="25"/>
        <v>1530</v>
      </c>
      <c r="B1604" s="988">
        <v>38000</v>
      </c>
      <c r="C1604" s="899" t="s">
        <v>10930</v>
      </c>
      <c r="D1604" s="988" t="s">
        <v>2666</v>
      </c>
      <c r="E1604" s="989">
        <v>13.29</v>
      </c>
      <c r="F1604" s="990"/>
      <c r="G1604" s="990"/>
      <c r="H1604" s="990"/>
      <c r="I1604" s="990"/>
      <c r="J1604" s="990"/>
      <c r="K1604" s="990"/>
      <c r="L1604" s="990"/>
      <c r="M1604" s="990"/>
      <c r="N1604" s="990"/>
      <c r="O1604" s="990"/>
      <c r="P1604" s="990"/>
      <c r="Q1604" s="990"/>
      <c r="R1604" s="990"/>
      <c r="S1604" s="990"/>
      <c r="T1604" s="990"/>
      <c r="U1604" s="990"/>
      <c r="V1604" s="990"/>
      <c r="W1604" s="990"/>
      <c r="X1604" s="990"/>
    </row>
    <row r="1605" spans="1:24" s="896" customFormat="1">
      <c r="A1605" s="987">
        <f t="shared" si="25"/>
        <v>1531</v>
      </c>
      <c r="B1605" s="988">
        <v>38129</v>
      </c>
      <c r="C1605" s="899" t="s">
        <v>10931</v>
      </c>
      <c r="D1605" s="988" t="s">
        <v>2666</v>
      </c>
      <c r="E1605" s="989">
        <v>5.32</v>
      </c>
      <c r="F1605" s="990"/>
      <c r="G1605" s="990"/>
      <c r="H1605" s="990"/>
      <c r="I1605" s="990"/>
      <c r="J1605" s="990"/>
      <c r="K1605" s="990"/>
      <c r="L1605" s="990"/>
      <c r="M1605" s="990"/>
      <c r="N1605" s="990"/>
      <c r="O1605" s="990"/>
      <c r="P1605" s="990"/>
      <c r="Q1605" s="990"/>
      <c r="R1605" s="990"/>
      <c r="S1605" s="990"/>
      <c r="T1605" s="990"/>
      <c r="U1605" s="990"/>
      <c r="V1605" s="990"/>
      <c r="W1605" s="990"/>
      <c r="X1605" s="990"/>
    </row>
    <row r="1606" spans="1:24" s="896" customFormat="1">
      <c r="A1606" s="987">
        <f t="shared" si="25"/>
        <v>1532</v>
      </c>
      <c r="B1606" s="988">
        <v>38025</v>
      </c>
      <c r="C1606" s="899" t="s">
        <v>10932</v>
      </c>
      <c r="D1606" s="988" t="s">
        <v>2666</v>
      </c>
      <c r="E1606" s="989">
        <v>8.89</v>
      </c>
      <c r="F1606" s="990"/>
      <c r="G1606" s="990"/>
      <c r="H1606" s="990"/>
      <c r="I1606" s="990"/>
      <c r="J1606" s="990"/>
      <c r="K1606" s="990"/>
      <c r="L1606" s="990"/>
      <c r="M1606" s="990"/>
      <c r="N1606" s="990"/>
      <c r="O1606" s="990"/>
      <c r="P1606" s="990"/>
      <c r="Q1606" s="990"/>
      <c r="R1606" s="990"/>
      <c r="S1606" s="990"/>
      <c r="T1606" s="990"/>
      <c r="U1606" s="990"/>
      <c r="V1606" s="990"/>
      <c r="W1606" s="990"/>
      <c r="X1606" s="990"/>
    </row>
    <row r="1607" spans="1:24" s="896" customFormat="1">
      <c r="A1607" s="987">
        <f t="shared" si="25"/>
        <v>1533</v>
      </c>
      <c r="B1607" s="988">
        <v>38026</v>
      </c>
      <c r="C1607" s="899" t="s">
        <v>10933</v>
      </c>
      <c r="D1607" s="988" t="s">
        <v>2666</v>
      </c>
      <c r="E1607" s="989">
        <v>23.8</v>
      </c>
      <c r="F1607" s="990"/>
      <c r="G1607" s="990"/>
      <c r="H1607" s="990"/>
      <c r="I1607" s="990"/>
      <c r="J1607" s="990"/>
      <c r="K1607" s="990"/>
      <c r="L1607" s="990"/>
      <c r="M1607" s="990"/>
      <c r="N1607" s="990"/>
      <c r="O1607" s="990"/>
      <c r="P1607" s="990"/>
      <c r="Q1607" s="990"/>
      <c r="R1607" s="990"/>
      <c r="S1607" s="990"/>
      <c r="T1607" s="990"/>
      <c r="U1607" s="990"/>
      <c r="V1607" s="990"/>
      <c r="W1607" s="990"/>
      <c r="X1607" s="990"/>
    </row>
    <row r="1608" spans="1:24" s="896" customFormat="1" ht="25.5">
      <c r="A1608" s="987">
        <f t="shared" si="25"/>
        <v>1534</v>
      </c>
      <c r="B1608" s="988">
        <v>1858</v>
      </c>
      <c r="C1608" s="899" t="s">
        <v>10934</v>
      </c>
      <c r="D1608" s="988" t="s">
        <v>2666</v>
      </c>
      <c r="E1608" s="989">
        <v>33.43</v>
      </c>
      <c r="F1608" s="990"/>
      <c r="G1608" s="990"/>
      <c r="H1608" s="990"/>
      <c r="I1608" s="990"/>
      <c r="J1608" s="990"/>
      <c r="K1608" s="990"/>
      <c r="L1608" s="990"/>
      <c r="M1608" s="990"/>
      <c r="N1608" s="990"/>
      <c r="O1608" s="990"/>
      <c r="P1608" s="990"/>
      <c r="Q1608" s="990"/>
      <c r="R1608" s="990"/>
      <c r="S1608" s="990"/>
      <c r="T1608" s="990"/>
      <c r="U1608" s="990"/>
      <c r="V1608" s="990"/>
      <c r="W1608" s="990"/>
      <c r="X1608" s="990"/>
    </row>
    <row r="1609" spans="1:24" s="896" customFormat="1" ht="25.5">
      <c r="A1609" s="987">
        <f t="shared" si="25"/>
        <v>1535</v>
      </c>
      <c r="B1609" s="988">
        <v>1844</v>
      </c>
      <c r="C1609" s="899" t="s">
        <v>10935</v>
      </c>
      <c r="D1609" s="988" t="s">
        <v>2666</v>
      </c>
      <c r="E1609" s="989">
        <v>123.25</v>
      </c>
      <c r="F1609" s="990"/>
      <c r="G1609" s="990"/>
      <c r="H1609" s="990"/>
      <c r="I1609" s="990"/>
      <c r="J1609" s="990"/>
      <c r="K1609" s="990"/>
      <c r="L1609" s="990"/>
      <c r="M1609" s="990"/>
      <c r="N1609" s="990"/>
      <c r="O1609" s="990"/>
      <c r="P1609" s="990"/>
      <c r="Q1609" s="990"/>
      <c r="R1609" s="990"/>
      <c r="S1609" s="990"/>
      <c r="T1609" s="990"/>
      <c r="U1609" s="990"/>
      <c r="V1609" s="990"/>
      <c r="W1609" s="990"/>
      <c r="X1609" s="990"/>
    </row>
    <row r="1610" spans="1:24" s="896" customFormat="1" ht="25.5">
      <c r="A1610" s="987">
        <f t="shared" si="25"/>
        <v>1536</v>
      </c>
      <c r="B1610" s="988">
        <v>1863</v>
      </c>
      <c r="C1610" s="899" t="s">
        <v>10936</v>
      </c>
      <c r="D1610" s="988" t="s">
        <v>2666</v>
      </c>
      <c r="E1610" s="989">
        <v>48.51</v>
      </c>
      <c r="F1610" s="990"/>
      <c r="G1610" s="990"/>
      <c r="H1610" s="990"/>
      <c r="I1610" s="990"/>
      <c r="J1610" s="990"/>
      <c r="K1610" s="990"/>
      <c r="L1610" s="990"/>
      <c r="M1610" s="990"/>
      <c r="N1610" s="990"/>
      <c r="O1610" s="990"/>
      <c r="P1610" s="990"/>
      <c r="Q1610" s="990"/>
      <c r="R1610" s="990"/>
      <c r="S1610" s="990"/>
      <c r="T1610" s="990"/>
      <c r="U1610" s="990"/>
      <c r="V1610" s="990"/>
      <c r="W1610" s="990"/>
      <c r="X1610" s="990"/>
    </row>
    <row r="1611" spans="1:24" s="896" customFormat="1" ht="25.5">
      <c r="A1611" s="987">
        <f t="shared" si="25"/>
        <v>1537</v>
      </c>
      <c r="B1611" s="988">
        <v>1865</v>
      </c>
      <c r="C1611" s="899" t="s">
        <v>10937</v>
      </c>
      <c r="D1611" s="988" t="s">
        <v>2666</v>
      </c>
      <c r="E1611" s="989">
        <v>176.99</v>
      </c>
      <c r="F1611" s="990"/>
      <c r="G1611" s="990"/>
      <c r="H1611" s="990"/>
      <c r="I1611" s="990"/>
      <c r="J1611" s="990"/>
      <c r="K1611" s="990"/>
      <c r="L1611" s="990"/>
      <c r="M1611" s="990"/>
      <c r="N1611" s="990"/>
      <c r="O1611" s="990"/>
      <c r="P1611" s="990"/>
      <c r="Q1611" s="990"/>
      <c r="R1611" s="990"/>
      <c r="S1611" s="990"/>
      <c r="T1611" s="990"/>
      <c r="U1611" s="990"/>
      <c r="V1611" s="990"/>
      <c r="W1611" s="990"/>
      <c r="X1611" s="990"/>
    </row>
    <row r="1612" spans="1:24" s="896" customFormat="1">
      <c r="A1612" s="987">
        <f t="shared" ref="A1612:A1675" si="26">A1611+1</f>
        <v>1538</v>
      </c>
      <c r="B1612" s="988">
        <v>36355</v>
      </c>
      <c r="C1612" s="899" t="s">
        <v>10938</v>
      </c>
      <c r="D1612" s="988" t="s">
        <v>2666</v>
      </c>
      <c r="E1612" s="989">
        <v>9.36</v>
      </c>
      <c r="F1612" s="990"/>
      <c r="G1612" s="990"/>
      <c r="H1612" s="990"/>
      <c r="I1612" s="990"/>
      <c r="J1612" s="990"/>
      <c r="K1612" s="990"/>
      <c r="L1612" s="990"/>
      <c r="M1612" s="990"/>
      <c r="N1612" s="990"/>
      <c r="O1612" s="990"/>
      <c r="P1612" s="990"/>
      <c r="Q1612" s="990"/>
      <c r="R1612" s="990"/>
      <c r="S1612" s="990"/>
      <c r="T1612" s="990"/>
      <c r="U1612" s="990"/>
      <c r="V1612" s="990"/>
      <c r="W1612" s="990"/>
      <c r="X1612" s="990"/>
    </row>
    <row r="1613" spans="1:24" s="896" customFormat="1">
      <c r="A1613" s="987">
        <f t="shared" si="26"/>
        <v>1539</v>
      </c>
      <c r="B1613" s="988">
        <v>36356</v>
      </c>
      <c r="C1613" s="899" t="s">
        <v>10939</v>
      </c>
      <c r="D1613" s="988" t="s">
        <v>2666</v>
      </c>
      <c r="E1613" s="989">
        <v>15.73</v>
      </c>
      <c r="F1613" s="990"/>
      <c r="G1613" s="990"/>
      <c r="H1613" s="990"/>
      <c r="I1613" s="990"/>
      <c r="J1613" s="990"/>
      <c r="K1613" s="990"/>
      <c r="L1613" s="990"/>
      <c r="M1613" s="990"/>
      <c r="N1613" s="990"/>
      <c r="O1613" s="990"/>
      <c r="P1613" s="990"/>
      <c r="Q1613" s="990"/>
      <c r="R1613" s="990"/>
      <c r="S1613" s="990"/>
      <c r="T1613" s="990"/>
      <c r="U1613" s="990"/>
      <c r="V1613" s="990"/>
      <c r="W1613" s="990"/>
      <c r="X1613" s="990"/>
    </row>
    <row r="1614" spans="1:24" s="896" customFormat="1">
      <c r="A1614" s="987">
        <f t="shared" si="26"/>
        <v>1540</v>
      </c>
      <c r="B1614" s="988">
        <v>1932</v>
      </c>
      <c r="C1614" s="899" t="s">
        <v>10940</v>
      </c>
      <c r="D1614" s="988" t="s">
        <v>2666</v>
      </c>
      <c r="E1614" s="989">
        <v>13.25</v>
      </c>
      <c r="F1614" s="990"/>
      <c r="G1614" s="990"/>
      <c r="H1614" s="990"/>
      <c r="I1614" s="990"/>
      <c r="J1614" s="990"/>
      <c r="K1614" s="990"/>
      <c r="L1614" s="990"/>
      <c r="M1614" s="990"/>
      <c r="N1614" s="990"/>
      <c r="O1614" s="990"/>
      <c r="P1614" s="990"/>
      <c r="Q1614" s="990"/>
      <c r="R1614" s="990"/>
      <c r="S1614" s="990"/>
      <c r="T1614" s="990"/>
      <c r="U1614" s="990"/>
      <c r="V1614" s="990"/>
      <c r="W1614" s="990"/>
      <c r="X1614" s="990"/>
    </row>
    <row r="1615" spans="1:24" s="896" customFormat="1">
      <c r="A1615" s="987">
        <f t="shared" si="26"/>
        <v>1541</v>
      </c>
      <c r="B1615" s="988">
        <v>1933</v>
      </c>
      <c r="C1615" s="899" t="s">
        <v>10941</v>
      </c>
      <c r="D1615" s="988" t="s">
        <v>2666</v>
      </c>
      <c r="E1615" s="989">
        <v>5.83</v>
      </c>
      <c r="F1615" s="990"/>
      <c r="G1615" s="990"/>
      <c r="H1615" s="990"/>
      <c r="I1615" s="990"/>
      <c r="J1615" s="990"/>
      <c r="K1615" s="990"/>
      <c r="L1615" s="990"/>
      <c r="M1615" s="990"/>
      <c r="N1615" s="990"/>
      <c r="O1615" s="990"/>
      <c r="P1615" s="990"/>
      <c r="Q1615" s="990"/>
      <c r="R1615" s="990"/>
      <c r="S1615" s="990"/>
      <c r="T1615" s="990"/>
      <c r="U1615" s="990"/>
      <c r="V1615" s="990"/>
      <c r="W1615" s="990"/>
      <c r="X1615" s="990"/>
    </row>
    <row r="1616" spans="1:24" s="896" customFormat="1">
      <c r="A1616" s="987">
        <f t="shared" si="26"/>
        <v>1542</v>
      </c>
      <c r="B1616" s="988">
        <v>1951</v>
      </c>
      <c r="C1616" s="899" t="s">
        <v>10942</v>
      </c>
      <c r="D1616" s="988" t="s">
        <v>2666</v>
      </c>
      <c r="E1616" s="989">
        <v>25.92</v>
      </c>
      <c r="F1616" s="990"/>
      <c r="G1616" s="990"/>
      <c r="H1616" s="990"/>
      <c r="I1616" s="990"/>
      <c r="J1616" s="990"/>
      <c r="K1616" s="990"/>
      <c r="L1616" s="990"/>
      <c r="M1616" s="990"/>
      <c r="N1616" s="990"/>
      <c r="O1616" s="990"/>
      <c r="P1616" s="990"/>
      <c r="Q1616" s="990"/>
      <c r="R1616" s="990"/>
      <c r="S1616" s="990"/>
      <c r="T1616" s="990"/>
      <c r="U1616" s="990"/>
      <c r="V1616" s="990"/>
      <c r="W1616" s="990"/>
      <c r="X1616" s="990"/>
    </row>
    <row r="1617" spans="1:24" s="896" customFormat="1">
      <c r="A1617" s="987">
        <f t="shared" si="26"/>
        <v>1543</v>
      </c>
      <c r="B1617" s="988">
        <v>1966</v>
      </c>
      <c r="C1617" s="899" t="s">
        <v>10943</v>
      </c>
      <c r="D1617" s="988" t="s">
        <v>2666</v>
      </c>
      <c r="E1617" s="989">
        <v>29.82</v>
      </c>
      <c r="F1617" s="990"/>
      <c r="G1617" s="990"/>
      <c r="H1617" s="990"/>
      <c r="I1617" s="990"/>
      <c r="J1617" s="990"/>
      <c r="K1617" s="990"/>
      <c r="L1617" s="990"/>
      <c r="M1617" s="990"/>
      <c r="N1617" s="990"/>
      <c r="O1617" s="990"/>
      <c r="P1617" s="990"/>
      <c r="Q1617" s="990"/>
      <c r="R1617" s="990"/>
      <c r="S1617" s="990"/>
      <c r="T1617" s="990"/>
      <c r="U1617" s="990"/>
      <c r="V1617" s="990"/>
      <c r="W1617" s="990"/>
      <c r="X1617" s="990"/>
    </row>
    <row r="1618" spans="1:24" s="896" customFormat="1">
      <c r="A1618" s="987">
        <f t="shared" si="26"/>
        <v>1544</v>
      </c>
      <c r="B1618" s="988">
        <v>1952</v>
      </c>
      <c r="C1618" s="899" t="s">
        <v>10944</v>
      </c>
      <c r="D1618" s="988" t="s">
        <v>2666</v>
      </c>
      <c r="E1618" s="989">
        <v>111.97</v>
      </c>
      <c r="F1618" s="990"/>
      <c r="G1618" s="990"/>
      <c r="H1618" s="990"/>
      <c r="I1618" s="990"/>
      <c r="J1618" s="990"/>
      <c r="K1618" s="990"/>
      <c r="L1618" s="990"/>
      <c r="M1618" s="990"/>
      <c r="N1618" s="990"/>
      <c r="O1618" s="990"/>
      <c r="P1618" s="990"/>
      <c r="Q1618" s="990"/>
      <c r="R1618" s="990"/>
      <c r="S1618" s="990"/>
      <c r="T1618" s="990"/>
      <c r="U1618" s="990"/>
      <c r="V1618" s="990"/>
      <c r="W1618" s="990"/>
      <c r="X1618" s="990"/>
    </row>
    <row r="1619" spans="1:24" s="896" customFormat="1">
      <c r="A1619" s="987">
        <f t="shared" si="26"/>
        <v>1545</v>
      </c>
      <c r="B1619" s="988">
        <v>20104</v>
      </c>
      <c r="C1619" s="899" t="s">
        <v>10945</v>
      </c>
      <c r="D1619" s="988" t="s">
        <v>2666</v>
      </c>
      <c r="E1619" s="989">
        <v>827.35</v>
      </c>
      <c r="F1619" s="990"/>
      <c r="G1619" s="990"/>
      <c r="H1619" s="990"/>
      <c r="I1619" s="990"/>
      <c r="J1619" s="990"/>
      <c r="K1619" s="990"/>
      <c r="L1619" s="990"/>
      <c r="M1619" s="990"/>
      <c r="N1619" s="990"/>
      <c r="O1619" s="990"/>
      <c r="P1619" s="990"/>
      <c r="Q1619" s="990"/>
      <c r="R1619" s="990"/>
      <c r="S1619" s="990"/>
      <c r="T1619" s="990"/>
      <c r="U1619" s="990"/>
      <c r="V1619" s="990"/>
      <c r="W1619" s="990"/>
      <c r="X1619" s="990"/>
    </row>
    <row r="1620" spans="1:24" s="896" customFormat="1">
      <c r="A1620" s="987">
        <f t="shared" si="26"/>
        <v>1546</v>
      </c>
      <c r="B1620" s="988">
        <v>20105</v>
      </c>
      <c r="C1620" s="899" t="s">
        <v>10946</v>
      </c>
      <c r="D1620" s="988" t="s">
        <v>2666</v>
      </c>
      <c r="E1620" s="989">
        <v>1288.68</v>
      </c>
      <c r="F1620" s="990"/>
      <c r="G1620" s="990"/>
      <c r="H1620" s="990"/>
      <c r="I1620" s="990"/>
      <c r="J1620" s="990"/>
      <c r="K1620" s="990"/>
      <c r="L1620" s="990"/>
      <c r="M1620" s="990"/>
      <c r="N1620" s="990"/>
      <c r="O1620" s="990"/>
      <c r="P1620" s="990"/>
      <c r="Q1620" s="990"/>
      <c r="R1620" s="990"/>
      <c r="S1620" s="990"/>
      <c r="T1620" s="990"/>
      <c r="U1620" s="990"/>
      <c r="V1620" s="990"/>
      <c r="W1620" s="990"/>
      <c r="X1620" s="990"/>
    </row>
    <row r="1621" spans="1:24" s="896" customFormat="1">
      <c r="A1621" s="987">
        <f t="shared" si="26"/>
        <v>1547</v>
      </c>
      <c r="B1621" s="988">
        <v>1965</v>
      </c>
      <c r="C1621" s="899" t="s">
        <v>10947</v>
      </c>
      <c r="D1621" s="988" t="s">
        <v>2666</v>
      </c>
      <c r="E1621" s="989">
        <v>60.45</v>
      </c>
      <c r="F1621" s="990"/>
      <c r="G1621" s="990"/>
      <c r="H1621" s="990"/>
      <c r="I1621" s="990"/>
      <c r="J1621" s="990"/>
      <c r="K1621" s="990"/>
      <c r="L1621" s="990"/>
      <c r="M1621" s="990"/>
      <c r="N1621" s="990"/>
      <c r="O1621" s="990"/>
      <c r="P1621" s="990"/>
      <c r="Q1621" s="990"/>
      <c r="R1621" s="990"/>
      <c r="S1621" s="990"/>
      <c r="T1621" s="990"/>
      <c r="U1621" s="990"/>
      <c r="V1621" s="990"/>
      <c r="W1621" s="990"/>
      <c r="X1621" s="990"/>
    </row>
    <row r="1622" spans="1:24" s="896" customFormat="1">
      <c r="A1622" s="987">
        <f t="shared" si="26"/>
        <v>1548</v>
      </c>
      <c r="B1622" s="988">
        <v>10765</v>
      </c>
      <c r="C1622" s="899" t="s">
        <v>10948</v>
      </c>
      <c r="D1622" s="988" t="s">
        <v>2666</v>
      </c>
      <c r="E1622" s="989">
        <v>15.28</v>
      </c>
      <c r="F1622" s="990"/>
      <c r="G1622" s="990"/>
      <c r="H1622" s="990"/>
      <c r="I1622" s="990"/>
      <c r="J1622" s="990"/>
      <c r="K1622" s="990"/>
      <c r="L1622" s="990"/>
      <c r="M1622" s="990"/>
      <c r="N1622" s="990"/>
      <c r="O1622" s="990"/>
      <c r="P1622" s="990"/>
      <c r="Q1622" s="990"/>
      <c r="R1622" s="990"/>
      <c r="S1622" s="990"/>
      <c r="T1622" s="990"/>
      <c r="U1622" s="990"/>
      <c r="V1622" s="990"/>
      <c r="W1622" s="990"/>
      <c r="X1622" s="990"/>
    </row>
    <row r="1623" spans="1:24" s="896" customFormat="1">
      <c r="A1623" s="987">
        <f t="shared" si="26"/>
        <v>1549</v>
      </c>
      <c r="B1623" s="988">
        <v>10767</v>
      </c>
      <c r="C1623" s="899" t="s">
        <v>10949</v>
      </c>
      <c r="D1623" s="988" t="s">
        <v>2666</v>
      </c>
      <c r="E1623" s="989">
        <v>50.06</v>
      </c>
      <c r="F1623" s="990"/>
      <c r="G1623" s="990"/>
      <c r="H1623" s="990"/>
      <c r="I1623" s="990"/>
      <c r="J1623" s="990"/>
      <c r="K1623" s="990"/>
      <c r="L1623" s="990"/>
      <c r="M1623" s="990"/>
      <c r="N1623" s="990"/>
      <c r="O1623" s="990"/>
      <c r="P1623" s="990"/>
      <c r="Q1623" s="990"/>
      <c r="R1623" s="990"/>
      <c r="S1623" s="990"/>
      <c r="T1623" s="990"/>
      <c r="U1623" s="990"/>
      <c r="V1623" s="990"/>
      <c r="W1623" s="990"/>
      <c r="X1623" s="990"/>
    </row>
    <row r="1624" spans="1:24" s="896" customFormat="1">
      <c r="A1624" s="987">
        <f t="shared" si="26"/>
        <v>1550</v>
      </c>
      <c r="B1624" s="988">
        <v>1970</v>
      </c>
      <c r="C1624" s="899" t="s">
        <v>10950</v>
      </c>
      <c r="D1624" s="988" t="s">
        <v>2666</v>
      </c>
      <c r="E1624" s="989">
        <v>62.74</v>
      </c>
      <c r="F1624" s="990"/>
      <c r="G1624" s="990"/>
      <c r="H1624" s="990"/>
      <c r="I1624" s="990"/>
      <c r="J1624" s="990"/>
      <c r="K1624" s="990"/>
      <c r="L1624" s="990"/>
      <c r="M1624" s="990"/>
      <c r="N1624" s="990"/>
      <c r="O1624" s="990"/>
      <c r="P1624" s="990"/>
      <c r="Q1624" s="990"/>
      <c r="R1624" s="990"/>
      <c r="S1624" s="990"/>
      <c r="T1624" s="990"/>
      <c r="U1624" s="990"/>
      <c r="V1624" s="990"/>
      <c r="W1624" s="990"/>
      <c r="X1624" s="990"/>
    </row>
    <row r="1625" spans="1:24" s="896" customFormat="1">
      <c r="A1625" s="987">
        <f t="shared" si="26"/>
        <v>1551</v>
      </c>
      <c r="B1625" s="988">
        <v>1967</v>
      </c>
      <c r="C1625" s="899" t="s">
        <v>10951</v>
      </c>
      <c r="D1625" s="988" t="s">
        <v>2666</v>
      </c>
      <c r="E1625" s="989">
        <v>6.98</v>
      </c>
      <c r="F1625" s="990"/>
      <c r="G1625" s="990"/>
      <c r="H1625" s="990"/>
      <c r="I1625" s="990"/>
      <c r="J1625" s="990"/>
      <c r="K1625" s="990"/>
      <c r="L1625" s="990"/>
      <c r="M1625" s="990"/>
      <c r="N1625" s="990"/>
      <c r="O1625" s="990"/>
      <c r="P1625" s="990"/>
      <c r="Q1625" s="990"/>
      <c r="R1625" s="990"/>
      <c r="S1625" s="990"/>
      <c r="T1625" s="990"/>
      <c r="U1625" s="990"/>
      <c r="V1625" s="990"/>
      <c r="W1625" s="990"/>
      <c r="X1625" s="990"/>
    </row>
    <row r="1626" spans="1:24" s="896" customFormat="1">
      <c r="A1626" s="987">
        <f t="shared" si="26"/>
        <v>1552</v>
      </c>
      <c r="B1626" s="988">
        <v>1968</v>
      </c>
      <c r="C1626" s="899" t="s">
        <v>10952</v>
      </c>
      <c r="D1626" s="988" t="s">
        <v>2666</v>
      </c>
      <c r="E1626" s="989">
        <v>14.63</v>
      </c>
      <c r="F1626" s="990"/>
      <c r="G1626" s="990"/>
      <c r="H1626" s="990"/>
      <c r="I1626" s="990"/>
      <c r="J1626" s="990"/>
      <c r="K1626" s="990"/>
      <c r="L1626" s="990"/>
      <c r="M1626" s="990"/>
      <c r="N1626" s="990"/>
      <c r="O1626" s="990"/>
      <c r="P1626" s="990"/>
      <c r="Q1626" s="990"/>
      <c r="R1626" s="990"/>
      <c r="S1626" s="990"/>
      <c r="T1626" s="990"/>
      <c r="U1626" s="990"/>
      <c r="V1626" s="990"/>
      <c r="W1626" s="990"/>
      <c r="X1626" s="990"/>
    </row>
    <row r="1627" spans="1:24" s="896" customFormat="1">
      <c r="A1627" s="987">
        <f t="shared" si="26"/>
        <v>1553</v>
      </c>
      <c r="B1627" s="988">
        <v>1969</v>
      </c>
      <c r="C1627" s="899" t="s">
        <v>10953</v>
      </c>
      <c r="D1627" s="988" t="s">
        <v>2666</v>
      </c>
      <c r="E1627" s="989">
        <v>43.03</v>
      </c>
      <c r="F1627" s="990"/>
      <c r="G1627" s="990"/>
      <c r="H1627" s="990"/>
      <c r="I1627" s="990"/>
      <c r="J1627" s="990"/>
      <c r="K1627" s="990"/>
      <c r="L1627" s="990"/>
      <c r="M1627" s="990"/>
      <c r="N1627" s="990"/>
      <c r="O1627" s="990"/>
      <c r="P1627" s="990"/>
      <c r="Q1627" s="990"/>
      <c r="R1627" s="990"/>
      <c r="S1627" s="990"/>
      <c r="T1627" s="990"/>
      <c r="U1627" s="990"/>
      <c r="V1627" s="990"/>
      <c r="W1627" s="990"/>
      <c r="X1627" s="990"/>
    </row>
    <row r="1628" spans="1:24" s="896" customFormat="1">
      <c r="A1628" s="987">
        <f t="shared" si="26"/>
        <v>1554</v>
      </c>
      <c r="B1628" s="988">
        <v>1839</v>
      </c>
      <c r="C1628" s="899" t="s">
        <v>10954</v>
      </c>
      <c r="D1628" s="988" t="s">
        <v>2666</v>
      </c>
      <c r="E1628" s="989">
        <v>167.53</v>
      </c>
      <c r="F1628" s="990"/>
      <c r="G1628" s="990"/>
      <c r="H1628" s="990"/>
      <c r="I1628" s="990"/>
      <c r="J1628" s="990"/>
      <c r="K1628" s="990"/>
      <c r="L1628" s="990"/>
      <c r="M1628" s="990"/>
      <c r="N1628" s="990"/>
      <c r="O1628" s="990"/>
      <c r="P1628" s="990"/>
      <c r="Q1628" s="990"/>
      <c r="R1628" s="990"/>
      <c r="S1628" s="990"/>
      <c r="T1628" s="990"/>
      <c r="U1628" s="990"/>
      <c r="V1628" s="990"/>
      <c r="W1628" s="990"/>
      <c r="X1628" s="990"/>
    </row>
    <row r="1629" spans="1:24" s="896" customFormat="1">
      <c r="A1629" s="987">
        <f t="shared" si="26"/>
        <v>1555</v>
      </c>
      <c r="B1629" s="988">
        <v>1835</v>
      </c>
      <c r="C1629" s="899" t="s">
        <v>10955</v>
      </c>
      <c r="D1629" s="988" t="s">
        <v>2666</v>
      </c>
      <c r="E1629" s="989">
        <v>35.619999999999997</v>
      </c>
      <c r="F1629" s="990"/>
      <c r="G1629" s="990"/>
      <c r="H1629" s="990"/>
      <c r="I1629" s="990"/>
      <c r="J1629" s="990"/>
      <c r="K1629" s="990"/>
      <c r="L1629" s="990"/>
      <c r="M1629" s="990"/>
      <c r="N1629" s="990"/>
      <c r="O1629" s="990"/>
      <c r="P1629" s="990"/>
      <c r="Q1629" s="990"/>
      <c r="R1629" s="990"/>
      <c r="S1629" s="990"/>
      <c r="T1629" s="990"/>
      <c r="U1629" s="990"/>
      <c r="V1629" s="990"/>
      <c r="W1629" s="990"/>
      <c r="X1629" s="990"/>
    </row>
    <row r="1630" spans="1:24" s="896" customFormat="1">
      <c r="A1630" s="987">
        <f t="shared" si="26"/>
        <v>1556</v>
      </c>
      <c r="B1630" s="988">
        <v>1823</v>
      </c>
      <c r="C1630" s="899" t="s">
        <v>10956</v>
      </c>
      <c r="D1630" s="988" t="s">
        <v>2666</v>
      </c>
      <c r="E1630" s="989">
        <v>68.86</v>
      </c>
      <c r="F1630" s="990"/>
      <c r="G1630" s="990"/>
      <c r="H1630" s="990"/>
      <c r="I1630" s="990"/>
      <c r="J1630" s="990"/>
      <c r="K1630" s="990"/>
      <c r="L1630" s="990"/>
      <c r="M1630" s="990"/>
      <c r="N1630" s="990"/>
      <c r="O1630" s="990"/>
      <c r="P1630" s="990"/>
      <c r="Q1630" s="990"/>
      <c r="R1630" s="990"/>
      <c r="S1630" s="990"/>
      <c r="T1630" s="990"/>
      <c r="U1630" s="990"/>
      <c r="V1630" s="990"/>
      <c r="W1630" s="990"/>
      <c r="X1630" s="990"/>
    </row>
    <row r="1631" spans="1:24" s="896" customFormat="1">
      <c r="A1631" s="987">
        <f t="shared" si="26"/>
        <v>1557</v>
      </c>
      <c r="B1631" s="988">
        <v>1827</v>
      </c>
      <c r="C1631" s="899" t="s">
        <v>10957</v>
      </c>
      <c r="D1631" s="988" t="s">
        <v>2666</v>
      </c>
      <c r="E1631" s="989">
        <v>165.9</v>
      </c>
      <c r="F1631" s="990"/>
      <c r="G1631" s="990"/>
      <c r="H1631" s="990"/>
      <c r="I1631" s="990"/>
      <c r="J1631" s="990"/>
      <c r="K1631" s="990"/>
      <c r="L1631" s="990"/>
      <c r="M1631" s="990"/>
      <c r="N1631" s="990"/>
      <c r="O1631" s="990"/>
      <c r="P1631" s="990"/>
      <c r="Q1631" s="990"/>
      <c r="R1631" s="990"/>
      <c r="S1631" s="990"/>
      <c r="T1631" s="990"/>
      <c r="U1631" s="990"/>
      <c r="V1631" s="990"/>
      <c r="W1631" s="990"/>
      <c r="X1631" s="990"/>
    </row>
    <row r="1632" spans="1:24" s="896" customFormat="1">
      <c r="A1632" s="987">
        <f t="shared" si="26"/>
        <v>1558</v>
      </c>
      <c r="B1632" s="988">
        <v>1831</v>
      </c>
      <c r="C1632" s="899" t="s">
        <v>10958</v>
      </c>
      <c r="D1632" s="988" t="s">
        <v>2666</v>
      </c>
      <c r="E1632" s="989">
        <v>36.22</v>
      </c>
      <c r="F1632" s="990"/>
      <c r="G1632" s="990"/>
      <c r="H1632" s="990"/>
      <c r="I1632" s="990"/>
      <c r="J1632" s="990"/>
      <c r="K1632" s="990"/>
      <c r="L1632" s="990"/>
      <c r="M1632" s="990"/>
      <c r="N1632" s="990"/>
      <c r="O1632" s="990"/>
      <c r="P1632" s="990"/>
      <c r="Q1632" s="990"/>
      <c r="R1632" s="990"/>
      <c r="S1632" s="990"/>
      <c r="T1632" s="990"/>
      <c r="U1632" s="990"/>
      <c r="V1632" s="990"/>
      <c r="W1632" s="990"/>
      <c r="X1632" s="990"/>
    </row>
    <row r="1633" spans="1:24" s="896" customFormat="1">
      <c r="A1633" s="987">
        <f t="shared" si="26"/>
        <v>1559</v>
      </c>
      <c r="B1633" s="988">
        <v>1825</v>
      </c>
      <c r="C1633" s="899" t="s">
        <v>10959</v>
      </c>
      <c r="D1633" s="988" t="s">
        <v>2666</v>
      </c>
      <c r="E1633" s="989">
        <v>89.38</v>
      </c>
      <c r="F1633" s="990"/>
      <c r="G1633" s="990"/>
      <c r="H1633" s="990"/>
      <c r="I1633" s="990"/>
      <c r="J1633" s="990"/>
      <c r="K1633" s="990"/>
      <c r="L1633" s="990"/>
      <c r="M1633" s="990"/>
      <c r="N1633" s="990"/>
      <c r="O1633" s="990"/>
      <c r="P1633" s="990"/>
      <c r="Q1633" s="990"/>
      <c r="R1633" s="990"/>
      <c r="S1633" s="990"/>
      <c r="T1633" s="990"/>
      <c r="U1633" s="990"/>
      <c r="V1633" s="990"/>
      <c r="W1633" s="990"/>
      <c r="X1633" s="990"/>
    </row>
    <row r="1634" spans="1:24" s="896" customFormat="1">
      <c r="A1634" s="987">
        <f t="shared" si="26"/>
        <v>1560</v>
      </c>
      <c r="B1634" s="988">
        <v>1828</v>
      </c>
      <c r="C1634" s="899" t="s">
        <v>10960</v>
      </c>
      <c r="D1634" s="988" t="s">
        <v>2666</v>
      </c>
      <c r="E1634" s="989">
        <v>202.45</v>
      </c>
      <c r="F1634" s="990"/>
      <c r="G1634" s="990"/>
      <c r="H1634" s="990"/>
      <c r="I1634" s="990"/>
      <c r="J1634" s="990"/>
      <c r="K1634" s="990"/>
      <c r="L1634" s="990"/>
      <c r="M1634" s="990"/>
      <c r="N1634" s="990"/>
      <c r="O1634" s="990"/>
      <c r="P1634" s="990"/>
      <c r="Q1634" s="990"/>
      <c r="R1634" s="990"/>
      <c r="S1634" s="990"/>
      <c r="T1634" s="990"/>
      <c r="U1634" s="990"/>
      <c r="V1634" s="990"/>
      <c r="W1634" s="990"/>
      <c r="X1634" s="990"/>
    </row>
    <row r="1635" spans="1:24" s="896" customFormat="1">
      <c r="A1635" s="987">
        <f t="shared" si="26"/>
        <v>1561</v>
      </c>
      <c r="B1635" s="988">
        <v>1845</v>
      </c>
      <c r="C1635" s="899" t="s">
        <v>10961</v>
      </c>
      <c r="D1635" s="988" t="s">
        <v>2666</v>
      </c>
      <c r="E1635" s="989">
        <v>45.38</v>
      </c>
      <c r="F1635" s="990"/>
      <c r="G1635" s="990"/>
      <c r="H1635" s="990"/>
      <c r="I1635" s="990"/>
      <c r="J1635" s="990"/>
      <c r="K1635" s="990"/>
      <c r="L1635" s="990"/>
      <c r="M1635" s="990"/>
      <c r="N1635" s="990"/>
      <c r="O1635" s="990"/>
      <c r="P1635" s="990"/>
      <c r="Q1635" s="990"/>
      <c r="R1635" s="990"/>
      <c r="S1635" s="990"/>
      <c r="T1635" s="990"/>
      <c r="U1635" s="990"/>
      <c r="V1635" s="990"/>
      <c r="W1635" s="990"/>
      <c r="X1635" s="990"/>
    </row>
    <row r="1636" spans="1:24" s="896" customFormat="1">
      <c r="A1636" s="987">
        <f t="shared" si="26"/>
        <v>1562</v>
      </c>
      <c r="B1636" s="988">
        <v>1824</v>
      </c>
      <c r="C1636" s="899" t="s">
        <v>10962</v>
      </c>
      <c r="D1636" s="988" t="s">
        <v>2666</v>
      </c>
      <c r="E1636" s="989">
        <v>107.15</v>
      </c>
      <c r="F1636" s="990"/>
      <c r="G1636" s="990"/>
      <c r="H1636" s="990"/>
      <c r="I1636" s="990"/>
      <c r="J1636" s="990"/>
      <c r="K1636" s="990"/>
      <c r="L1636" s="990"/>
      <c r="M1636" s="990"/>
      <c r="N1636" s="990"/>
      <c r="O1636" s="990"/>
      <c r="P1636" s="990"/>
      <c r="Q1636" s="990"/>
      <c r="R1636" s="990"/>
      <c r="S1636" s="990"/>
      <c r="T1636" s="990"/>
      <c r="U1636" s="990"/>
      <c r="V1636" s="990"/>
      <c r="W1636" s="990"/>
      <c r="X1636" s="990"/>
    </row>
    <row r="1637" spans="1:24" s="896" customFormat="1">
      <c r="A1637" s="987">
        <f t="shared" si="26"/>
        <v>1563</v>
      </c>
      <c r="B1637" s="988">
        <v>1941</v>
      </c>
      <c r="C1637" s="899" t="s">
        <v>10963</v>
      </c>
      <c r="D1637" s="988" t="s">
        <v>2666</v>
      </c>
      <c r="E1637" s="989">
        <v>34.299999999999997</v>
      </c>
      <c r="F1637" s="990"/>
      <c r="G1637" s="990"/>
      <c r="H1637" s="990"/>
      <c r="I1637" s="990"/>
      <c r="J1637" s="990"/>
      <c r="K1637" s="990"/>
      <c r="L1637" s="990"/>
      <c r="M1637" s="990"/>
      <c r="N1637" s="990"/>
      <c r="O1637" s="990"/>
      <c r="P1637" s="990"/>
      <c r="Q1637" s="990"/>
      <c r="R1637" s="990"/>
      <c r="S1637" s="990"/>
      <c r="T1637" s="990"/>
      <c r="U1637" s="990"/>
      <c r="V1637" s="990"/>
      <c r="W1637" s="990"/>
      <c r="X1637" s="990"/>
    </row>
    <row r="1638" spans="1:24" s="896" customFormat="1">
      <c r="A1638" s="987">
        <f t="shared" si="26"/>
        <v>1564</v>
      </c>
      <c r="B1638" s="988">
        <v>1940</v>
      </c>
      <c r="C1638" s="899" t="s">
        <v>10964</v>
      </c>
      <c r="D1638" s="988" t="s">
        <v>2666</v>
      </c>
      <c r="E1638" s="989">
        <v>25.93</v>
      </c>
      <c r="F1638" s="990"/>
      <c r="G1638" s="990"/>
      <c r="H1638" s="990"/>
      <c r="I1638" s="990"/>
      <c r="J1638" s="990"/>
      <c r="K1638" s="990"/>
      <c r="L1638" s="990"/>
      <c r="M1638" s="990"/>
      <c r="N1638" s="990"/>
      <c r="O1638" s="990"/>
      <c r="P1638" s="990"/>
      <c r="Q1638" s="990"/>
      <c r="R1638" s="990"/>
      <c r="S1638" s="990"/>
      <c r="T1638" s="990"/>
      <c r="U1638" s="990"/>
      <c r="V1638" s="990"/>
      <c r="W1638" s="990"/>
      <c r="X1638" s="990"/>
    </row>
    <row r="1639" spans="1:24" s="896" customFormat="1">
      <c r="A1639" s="987">
        <f t="shared" si="26"/>
        <v>1565</v>
      </c>
      <c r="B1639" s="988">
        <v>1937</v>
      </c>
      <c r="C1639" s="899" t="s">
        <v>10965</v>
      </c>
      <c r="D1639" s="988" t="s">
        <v>2666</v>
      </c>
      <c r="E1639" s="989">
        <v>5.38</v>
      </c>
      <c r="F1639" s="990"/>
      <c r="G1639" s="990"/>
      <c r="H1639" s="990"/>
      <c r="I1639" s="990"/>
      <c r="J1639" s="990"/>
      <c r="K1639" s="990"/>
      <c r="L1639" s="990"/>
      <c r="M1639" s="990"/>
      <c r="N1639" s="990"/>
      <c r="O1639" s="990"/>
      <c r="P1639" s="990"/>
      <c r="Q1639" s="990"/>
      <c r="R1639" s="990"/>
      <c r="S1639" s="990"/>
      <c r="T1639" s="990"/>
      <c r="U1639" s="990"/>
      <c r="V1639" s="990"/>
      <c r="W1639" s="990"/>
      <c r="X1639" s="990"/>
    </row>
    <row r="1640" spans="1:24" s="896" customFormat="1">
      <c r="A1640" s="987">
        <f t="shared" si="26"/>
        <v>1566</v>
      </c>
      <c r="B1640" s="988">
        <v>1939</v>
      </c>
      <c r="C1640" s="899" t="s">
        <v>10966</v>
      </c>
      <c r="D1640" s="988" t="s">
        <v>2666</v>
      </c>
      <c r="E1640" s="989">
        <v>10.66</v>
      </c>
      <c r="F1640" s="990"/>
      <c r="G1640" s="990"/>
      <c r="H1640" s="990"/>
      <c r="I1640" s="990"/>
      <c r="J1640" s="990"/>
      <c r="K1640" s="990"/>
      <c r="L1640" s="990"/>
      <c r="M1640" s="990"/>
      <c r="N1640" s="990"/>
      <c r="O1640" s="990"/>
      <c r="P1640" s="990"/>
      <c r="Q1640" s="990"/>
      <c r="R1640" s="990"/>
      <c r="S1640" s="990"/>
      <c r="T1640" s="990"/>
      <c r="U1640" s="990"/>
      <c r="V1640" s="990"/>
      <c r="W1640" s="990"/>
      <c r="X1640" s="990"/>
    </row>
    <row r="1641" spans="1:24" s="896" customFormat="1">
      <c r="A1641" s="987">
        <f t="shared" si="26"/>
        <v>1567</v>
      </c>
      <c r="B1641" s="988">
        <v>1942</v>
      </c>
      <c r="C1641" s="899" t="s">
        <v>10967</v>
      </c>
      <c r="D1641" s="988" t="s">
        <v>2666</v>
      </c>
      <c r="E1641" s="989">
        <v>48.95</v>
      </c>
      <c r="F1641" s="990"/>
      <c r="G1641" s="990"/>
      <c r="H1641" s="990"/>
      <c r="I1641" s="990"/>
      <c r="J1641" s="990"/>
      <c r="K1641" s="990"/>
      <c r="L1641" s="990"/>
      <c r="M1641" s="990"/>
      <c r="N1641" s="990"/>
      <c r="O1641" s="990"/>
      <c r="P1641" s="990"/>
      <c r="Q1641" s="990"/>
      <c r="R1641" s="990"/>
      <c r="S1641" s="990"/>
      <c r="T1641" s="990"/>
      <c r="U1641" s="990"/>
      <c r="V1641" s="990"/>
      <c r="W1641" s="990"/>
      <c r="X1641" s="990"/>
    </row>
    <row r="1642" spans="1:24" s="896" customFormat="1">
      <c r="A1642" s="987">
        <f t="shared" si="26"/>
        <v>1568</v>
      </c>
      <c r="B1642" s="988">
        <v>1938</v>
      </c>
      <c r="C1642" s="899" t="s">
        <v>10968</v>
      </c>
      <c r="D1642" s="988" t="s">
        <v>2666</v>
      </c>
      <c r="E1642" s="989">
        <v>6.82</v>
      </c>
      <c r="F1642" s="990"/>
      <c r="G1642" s="990"/>
      <c r="H1642" s="990"/>
      <c r="I1642" s="990"/>
      <c r="J1642" s="990"/>
      <c r="K1642" s="990"/>
      <c r="L1642" s="990"/>
      <c r="M1642" s="990"/>
      <c r="N1642" s="990"/>
      <c r="O1642" s="990"/>
      <c r="P1642" s="990"/>
      <c r="Q1642" s="990"/>
      <c r="R1642" s="990"/>
      <c r="S1642" s="990"/>
      <c r="T1642" s="990"/>
      <c r="U1642" s="990"/>
      <c r="V1642" s="990"/>
      <c r="W1642" s="990"/>
      <c r="X1642" s="990"/>
    </row>
    <row r="1643" spans="1:24" s="896" customFormat="1" ht="25.5">
      <c r="A1643" s="987">
        <f t="shared" si="26"/>
        <v>1569</v>
      </c>
      <c r="B1643" s="988">
        <v>42692</v>
      </c>
      <c r="C1643" s="899" t="s">
        <v>10969</v>
      </c>
      <c r="D1643" s="988" t="s">
        <v>2666</v>
      </c>
      <c r="E1643" s="989">
        <v>392.68</v>
      </c>
      <c r="F1643" s="990"/>
      <c r="G1643" s="990"/>
      <c r="H1643" s="990"/>
      <c r="I1643" s="990"/>
      <c r="J1643" s="990"/>
      <c r="K1643" s="990"/>
      <c r="L1643" s="990"/>
      <c r="M1643" s="990"/>
      <c r="N1643" s="990"/>
      <c r="O1643" s="990"/>
      <c r="P1643" s="990"/>
      <c r="Q1643" s="990"/>
      <c r="R1643" s="990"/>
      <c r="S1643" s="990"/>
      <c r="T1643" s="990"/>
      <c r="U1643" s="990"/>
      <c r="V1643" s="990"/>
      <c r="W1643" s="990"/>
      <c r="X1643" s="990"/>
    </row>
    <row r="1644" spans="1:24" s="896" customFormat="1" ht="25.5">
      <c r="A1644" s="987">
        <f t="shared" si="26"/>
        <v>1570</v>
      </c>
      <c r="B1644" s="988">
        <v>42693</v>
      </c>
      <c r="C1644" s="899" t="s">
        <v>10970</v>
      </c>
      <c r="D1644" s="988" t="s">
        <v>2666</v>
      </c>
      <c r="E1644" s="989">
        <v>645.92999999999995</v>
      </c>
      <c r="F1644" s="990"/>
      <c r="G1644" s="990"/>
      <c r="H1644" s="990"/>
      <c r="I1644" s="990"/>
      <c r="J1644" s="990"/>
      <c r="K1644" s="990"/>
      <c r="L1644" s="990"/>
      <c r="M1644" s="990"/>
      <c r="N1644" s="990"/>
      <c r="O1644" s="990"/>
      <c r="P1644" s="990"/>
      <c r="Q1644" s="990"/>
      <c r="R1644" s="990"/>
      <c r="S1644" s="990"/>
      <c r="T1644" s="990"/>
      <c r="U1644" s="990"/>
      <c r="V1644" s="990"/>
      <c r="W1644" s="990"/>
      <c r="X1644" s="990"/>
    </row>
    <row r="1645" spans="1:24" s="896" customFormat="1" ht="25.5">
      <c r="A1645" s="987">
        <f t="shared" si="26"/>
        <v>1571</v>
      </c>
      <c r="B1645" s="988">
        <v>42695</v>
      </c>
      <c r="C1645" s="899" t="s">
        <v>10971</v>
      </c>
      <c r="D1645" s="988" t="s">
        <v>2666</v>
      </c>
      <c r="E1645" s="989">
        <v>491.13</v>
      </c>
      <c r="F1645" s="990"/>
      <c r="G1645" s="990"/>
      <c r="H1645" s="990"/>
      <c r="I1645" s="990"/>
      <c r="J1645" s="990"/>
      <c r="K1645" s="990"/>
      <c r="L1645" s="990"/>
      <c r="M1645" s="990"/>
      <c r="N1645" s="990"/>
      <c r="O1645" s="990"/>
      <c r="P1645" s="990"/>
      <c r="Q1645" s="990"/>
      <c r="R1645" s="990"/>
      <c r="S1645" s="990"/>
      <c r="T1645" s="990"/>
      <c r="U1645" s="990"/>
      <c r="V1645" s="990"/>
      <c r="W1645" s="990"/>
      <c r="X1645" s="990"/>
    </row>
    <row r="1646" spans="1:24" s="896" customFormat="1" ht="25.5">
      <c r="A1646" s="987">
        <f t="shared" si="26"/>
        <v>1572</v>
      </c>
      <c r="B1646" s="988">
        <v>42694</v>
      </c>
      <c r="C1646" s="899" t="s">
        <v>10972</v>
      </c>
      <c r="D1646" s="988" t="s">
        <v>2666</v>
      </c>
      <c r="E1646" s="989">
        <v>726.08</v>
      </c>
      <c r="F1646" s="990"/>
      <c r="G1646" s="990"/>
      <c r="H1646" s="990"/>
      <c r="I1646" s="990"/>
      <c r="J1646" s="990"/>
      <c r="K1646" s="990"/>
      <c r="L1646" s="990"/>
      <c r="M1646" s="990"/>
      <c r="N1646" s="990"/>
      <c r="O1646" s="990"/>
      <c r="P1646" s="990"/>
      <c r="Q1646" s="990"/>
      <c r="R1646" s="990"/>
      <c r="S1646" s="990"/>
      <c r="T1646" s="990"/>
      <c r="U1646" s="990"/>
      <c r="V1646" s="990"/>
      <c r="W1646" s="990"/>
      <c r="X1646" s="990"/>
    </row>
    <row r="1647" spans="1:24" s="896" customFormat="1" ht="25.5">
      <c r="A1647" s="987">
        <f t="shared" si="26"/>
        <v>1573</v>
      </c>
      <c r="B1647" s="988">
        <v>20097</v>
      </c>
      <c r="C1647" s="899" t="s">
        <v>10973</v>
      </c>
      <c r="D1647" s="988" t="s">
        <v>2666</v>
      </c>
      <c r="E1647" s="989">
        <v>59.27</v>
      </c>
      <c r="F1647" s="990"/>
      <c r="G1647" s="990"/>
      <c r="H1647" s="990"/>
      <c r="I1647" s="990"/>
      <c r="J1647" s="990"/>
      <c r="K1647" s="990"/>
      <c r="L1647" s="990"/>
      <c r="M1647" s="990"/>
      <c r="N1647" s="990"/>
      <c r="O1647" s="990"/>
      <c r="P1647" s="990"/>
      <c r="Q1647" s="990"/>
      <c r="R1647" s="990"/>
      <c r="S1647" s="990"/>
      <c r="T1647" s="990"/>
      <c r="U1647" s="990"/>
      <c r="V1647" s="990"/>
      <c r="W1647" s="990"/>
      <c r="X1647" s="990"/>
    </row>
    <row r="1648" spans="1:24" s="896" customFormat="1" ht="25.5">
      <c r="A1648" s="987">
        <f t="shared" si="26"/>
        <v>1574</v>
      </c>
      <c r="B1648" s="988">
        <v>20098</v>
      </c>
      <c r="C1648" s="899" t="s">
        <v>10974</v>
      </c>
      <c r="D1648" s="988" t="s">
        <v>2666</v>
      </c>
      <c r="E1648" s="989">
        <v>199.85</v>
      </c>
      <c r="F1648" s="990"/>
      <c r="G1648" s="990"/>
      <c r="H1648" s="990"/>
      <c r="I1648" s="990"/>
      <c r="J1648" s="990"/>
      <c r="K1648" s="990"/>
      <c r="L1648" s="990"/>
      <c r="M1648" s="990"/>
      <c r="N1648" s="990"/>
      <c r="O1648" s="990"/>
      <c r="P1648" s="990"/>
      <c r="Q1648" s="990"/>
      <c r="R1648" s="990"/>
      <c r="S1648" s="990"/>
      <c r="T1648" s="990"/>
      <c r="U1648" s="990"/>
      <c r="V1648" s="990"/>
      <c r="W1648" s="990"/>
      <c r="X1648" s="990"/>
    </row>
    <row r="1649" spans="1:24" s="896" customFormat="1" ht="25.5">
      <c r="A1649" s="987">
        <f t="shared" si="26"/>
        <v>1575</v>
      </c>
      <c r="B1649" s="988">
        <v>20096</v>
      </c>
      <c r="C1649" s="899" t="s">
        <v>10975</v>
      </c>
      <c r="D1649" s="988" t="s">
        <v>2666</v>
      </c>
      <c r="E1649" s="989">
        <v>38.78</v>
      </c>
      <c r="F1649" s="990"/>
      <c r="G1649" s="990"/>
      <c r="H1649" s="990"/>
      <c r="I1649" s="990"/>
      <c r="J1649" s="990"/>
      <c r="K1649" s="990"/>
      <c r="L1649" s="990"/>
      <c r="M1649" s="990"/>
      <c r="N1649" s="990"/>
      <c r="O1649" s="990"/>
      <c r="P1649" s="990"/>
      <c r="Q1649" s="990"/>
      <c r="R1649" s="990"/>
      <c r="S1649" s="990"/>
      <c r="T1649" s="990"/>
      <c r="U1649" s="990"/>
      <c r="V1649" s="990"/>
      <c r="W1649" s="990"/>
      <c r="X1649" s="990"/>
    </row>
    <row r="1650" spans="1:24" s="896" customFormat="1">
      <c r="A1650" s="987">
        <f t="shared" si="26"/>
        <v>1576</v>
      </c>
      <c r="B1650" s="988">
        <v>1964</v>
      </c>
      <c r="C1650" s="899" t="s">
        <v>10976</v>
      </c>
      <c r="D1650" s="988" t="s">
        <v>2666</v>
      </c>
      <c r="E1650" s="989">
        <v>35.85</v>
      </c>
      <c r="F1650" s="990"/>
      <c r="G1650" s="990"/>
      <c r="H1650" s="990"/>
      <c r="I1650" s="990"/>
      <c r="J1650" s="990"/>
      <c r="K1650" s="990"/>
      <c r="L1650" s="990"/>
      <c r="M1650" s="990"/>
      <c r="N1650" s="990"/>
      <c r="O1650" s="990"/>
      <c r="P1650" s="990"/>
      <c r="Q1650" s="990"/>
      <c r="R1650" s="990"/>
      <c r="S1650" s="990"/>
      <c r="T1650" s="990"/>
      <c r="U1650" s="990"/>
      <c r="V1650" s="990"/>
      <c r="W1650" s="990"/>
      <c r="X1650" s="990"/>
    </row>
    <row r="1651" spans="1:24" s="896" customFormat="1">
      <c r="A1651" s="987">
        <f t="shared" si="26"/>
        <v>1577</v>
      </c>
      <c r="B1651" s="988">
        <v>1880</v>
      </c>
      <c r="C1651" s="899" t="s">
        <v>10977</v>
      </c>
      <c r="D1651" s="988" t="s">
        <v>2666</v>
      </c>
      <c r="E1651" s="989">
        <v>4.75</v>
      </c>
      <c r="F1651" s="990"/>
      <c r="G1651" s="990"/>
      <c r="H1651" s="990"/>
      <c r="I1651" s="990"/>
      <c r="J1651" s="990"/>
      <c r="K1651" s="990"/>
      <c r="L1651" s="990"/>
      <c r="M1651" s="990"/>
      <c r="N1651" s="990"/>
      <c r="O1651" s="990"/>
      <c r="P1651" s="990"/>
      <c r="Q1651" s="990"/>
      <c r="R1651" s="990"/>
      <c r="S1651" s="990"/>
      <c r="T1651" s="990"/>
      <c r="U1651" s="990"/>
      <c r="V1651" s="990"/>
      <c r="W1651" s="990"/>
      <c r="X1651" s="990"/>
    </row>
    <row r="1652" spans="1:24" s="896" customFormat="1">
      <c r="A1652" s="987">
        <f t="shared" si="26"/>
        <v>1578</v>
      </c>
      <c r="B1652" s="988">
        <v>39274</v>
      </c>
      <c r="C1652" s="899" t="s">
        <v>10978</v>
      </c>
      <c r="D1652" s="988" t="s">
        <v>2666</v>
      </c>
      <c r="E1652" s="989">
        <v>3.68</v>
      </c>
      <c r="F1652" s="990"/>
      <c r="G1652" s="990"/>
      <c r="H1652" s="990"/>
      <c r="I1652" s="990"/>
      <c r="J1652" s="990"/>
      <c r="K1652" s="990"/>
      <c r="L1652" s="990"/>
      <c r="M1652" s="990"/>
      <c r="N1652" s="990"/>
      <c r="O1652" s="990"/>
      <c r="P1652" s="990"/>
      <c r="Q1652" s="990"/>
      <c r="R1652" s="990"/>
      <c r="S1652" s="990"/>
      <c r="T1652" s="990"/>
      <c r="U1652" s="990"/>
      <c r="V1652" s="990"/>
      <c r="W1652" s="990"/>
      <c r="X1652" s="990"/>
    </row>
    <row r="1653" spans="1:24" s="896" customFormat="1" ht="25.5">
      <c r="A1653" s="987">
        <f t="shared" si="26"/>
        <v>1579</v>
      </c>
      <c r="B1653" s="988">
        <v>2628</v>
      </c>
      <c r="C1653" s="899" t="s">
        <v>10979</v>
      </c>
      <c r="D1653" s="988" t="s">
        <v>2666</v>
      </c>
      <c r="E1653" s="989">
        <v>300.3</v>
      </c>
      <c r="F1653" s="990"/>
      <c r="G1653" s="990"/>
      <c r="H1653" s="990"/>
      <c r="I1653" s="990"/>
      <c r="J1653" s="990"/>
      <c r="K1653" s="990"/>
      <c r="L1653" s="990"/>
      <c r="M1653" s="990"/>
      <c r="N1653" s="990"/>
      <c r="O1653" s="990"/>
      <c r="P1653" s="990"/>
      <c r="Q1653" s="990"/>
      <c r="R1653" s="990"/>
      <c r="S1653" s="990"/>
      <c r="T1653" s="990"/>
      <c r="U1653" s="990"/>
      <c r="V1653" s="990"/>
      <c r="W1653" s="990"/>
      <c r="X1653" s="990"/>
    </row>
    <row r="1654" spans="1:24" s="896" customFormat="1" ht="25.5">
      <c r="A1654" s="987">
        <f t="shared" si="26"/>
        <v>1580</v>
      </c>
      <c r="B1654" s="988">
        <v>2622</v>
      </c>
      <c r="C1654" s="899" t="s">
        <v>10980</v>
      </c>
      <c r="D1654" s="988" t="s">
        <v>2666</v>
      </c>
      <c r="E1654" s="989">
        <v>7.13</v>
      </c>
      <c r="F1654" s="990"/>
      <c r="G1654" s="990"/>
      <c r="H1654" s="990"/>
      <c r="I1654" s="990"/>
      <c r="J1654" s="990"/>
      <c r="K1654" s="990"/>
      <c r="L1654" s="990"/>
      <c r="M1654" s="990"/>
      <c r="N1654" s="990"/>
      <c r="O1654" s="990"/>
      <c r="P1654" s="990"/>
      <c r="Q1654" s="990"/>
      <c r="R1654" s="990"/>
      <c r="S1654" s="990"/>
      <c r="T1654" s="990"/>
      <c r="U1654" s="990"/>
      <c r="V1654" s="990"/>
      <c r="W1654" s="990"/>
      <c r="X1654" s="990"/>
    </row>
    <row r="1655" spans="1:24" s="896" customFormat="1" ht="25.5">
      <c r="A1655" s="987">
        <f t="shared" si="26"/>
        <v>1581</v>
      </c>
      <c r="B1655" s="988">
        <v>2623</v>
      </c>
      <c r="C1655" s="899" t="s">
        <v>10981</v>
      </c>
      <c r="D1655" s="988" t="s">
        <v>2666</v>
      </c>
      <c r="E1655" s="989">
        <v>8.58</v>
      </c>
      <c r="F1655" s="990"/>
      <c r="G1655" s="990"/>
      <c r="H1655" s="990"/>
      <c r="I1655" s="990"/>
      <c r="J1655" s="990"/>
      <c r="K1655" s="990"/>
      <c r="L1655" s="990"/>
      <c r="M1655" s="990"/>
      <c r="N1655" s="990"/>
      <c r="O1655" s="990"/>
      <c r="P1655" s="990"/>
      <c r="Q1655" s="990"/>
      <c r="R1655" s="990"/>
      <c r="S1655" s="990"/>
      <c r="T1655" s="990"/>
      <c r="U1655" s="990"/>
      <c r="V1655" s="990"/>
      <c r="W1655" s="990"/>
      <c r="X1655" s="990"/>
    </row>
    <row r="1656" spans="1:24" s="896" customFormat="1" ht="25.5">
      <c r="A1656" s="987">
        <f t="shared" si="26"/>
        <v>1582</v>
      </c>
      <c r="B1656" s="988">
        <v>2624</v>
      </c>
      <c r="C1656" s="899" t="s">
        <v>10982</v>
      </c>
      <c r="D1656" s="988" t="s">
        <v>2666</v>
      </c>
      <c r="E1656" s="989">
        <v>13.65</v>
      </c>
      <c r="F1656" s="990"/>
      <c r="G1656" s="990"/>
      <c r="H1656" s="990"/>
      <c r="I1656" s="990"/>
      <c r="J1656" s="990"/>
      <c r="K1656" s="990"/>
      <c r="L1656" s="990"/>
      <c r="M1656" s="990"/>
      <c r="N1656" s="990"/>
      <c r="O1656" s="990"/>
      <c r="P1656" s="990"/>
      <c r="Q1656" s="990"/>
      <c r="R1656" s="990"/>
      <c r="S1656" s="990"/>
      <c r="T1656" s="990"/>
      <c r="U1656" s="990"/>
      <c r="V1656" s="990"/>
      <c r="W1656" s="990"/>
      <c r="X1656" s="990"/>
    </row>
    <row r="1657" spans="1:24" s="896" customFormat="1" ht="25.5">
      <c r="A1657" s="987">
        <f t="shared" si="26"/>
        <v>1583</v>
      </c>
      <c r="B1657" s="988">
        <v>2625</v>
      </c>
      <c r="C1657" s="899" t="s">
        <v>10983</v>
      </c>
      <c r="D1657" s="988" t="s">
        <v>2666</v>
      </c>
      <c r="E1657" s="989">
        <v>28.81</v>
      </c>
      <c r="F1657" s="990"/>
      <c r="G1657" s="990"/>
      <c r="H1657" s="990"/>
      <c r="I1657" s="990"/>
      <c r="J1657" s="990"/>
      <c r="K1657" s="990"/>
      <c r="L1657" s="990"/>
      <c r="M1657" s="990"/>
      <c r="N1657" s="990"/>
      <c r="O1657" s="990"/>
      <c r="P1657" s="990"/>
      <c r="Q1657" s="990"/>
      <c r="R1657" s="990"/>
      <c r="S1657" s="990"/>
      <c r="T1657" s="990"/>
      <c r="U1657" s="990"/>
      <c r="V1657" s="990"/>
      <c r="W1657" s="990"/>
      <c r="X1657" s="990"/>
    </row>
    <row r="1658" spans="1:24" s="896" customFormat="1" ht="25.5">
      <c r="A1658" s="987">
        <f t="shared" si="26"/>
        <v>1584</v>
      </c>
      <c r="B1658" s="988">
        <v>2626</v>
      </c>
      <c r="C1658" s="899" t="s">
        <v>10984</v>
      </c>
      <c r="D1658" s="988" t="s">
        <v>2666</v>
      </c>
      <c r="E1658" s="989">
        <v>42.22</v>
      </c>
      <c r="F1658" s="990"/>
      <c r="G1658" s="990"/>
      <c r="H1658" s="990"/>
      <c r="I1658" s="990"/>
      <c r="J1658" s="990"/>
      <c r="K1658" s="990"/>
      <c r="L1658" s="990"/>
      <c r="M1658" s="990"/>
      <c r="N1658" s="990"/>
      <c r="O1658" s="990"/>
      <c r="P1658" s="990"/>
      <c r="Q1658" s="990"/>
      <c r="R1658" s="990"/>
      <c r="S1658" s="990"/>
      <c r="T1658" s="990"/>
      <c r="U1658" s="990"/>
      <c r="V1658" s="990"/>
      <c r="W1658" s="990"/>
      <c r="X1658" s="990"/>
    </row>
    <row r="1659" spans="1:24" s="896" customFormat="1" ht="25.5">
      <c r="A1659" s="987">
        <f t="shared" si="26"/>
        <v>1585</v>
      </c>
      <c r="B1659" s="988">
        <v>2630</v>
      </c>
      <c r="C1659" s="899" t="s">
        <v>10985</v>
      </c>
      <c r="D1659" s="988" t="s">
        <v>2666</v>
      </c>
      <c r="E1659" s="989">
        <v>64.209999999999994</v>
      </c>
      <c r="F1659" s="990"/>
      <c r="G1659" s="990"/>
      <c r="H1659" s="990"/>
      <c r="I1659" s="990"/>
      <c r="J1659" s="990"/>
      <c r="K1659" s="990"/>
      <c r="L1659" s="990"/>
      <c r="M1659" s="990"/>
      <c r="N1659" s="990"/>
      <c r="O1659" s="990"/>
      <c r="P1659" s="990"/>
      <c r="Q1659" s="990"/>
      <c r="R1659" s="990"/>
      <c r="S1659" s="990"/>
      <c r="T1659" s="990"/>
      <c r="U1659" s="990"/>
      <c r="V1659" s="990"/>
      <c r="W1659" s="990"/>
      <c r="X1659" s="990"/>
    </row>
    <row r="1660" spans="1:24" s="896" customFormat="1" ht="25.5">
      <c r="A1660" s="987">
        <f t="shared" si="26"/>
        <v>1586</v>
      </c>
      <c r="B1660" s="988">
        <v>2627</v>
      </c>
      <c r="C1660" s="899" t="s">
        <v>10986</v>
      </c>
      <c r="D1660" s="988" t="s">
        <v>2666</v>
      </c>
      <c r="E1660" s="989">
        <v>113.11</v>
      </c>
      <c r="F1660" s="990"/>
      <c r="G1660" s="990"/>
      <c r="H1660" s="990"/>
      <c r="I1660" s="990"/>
      <c r="J1660" s="990"/>
      <c r="K1660" s="990"/>
      <c r="L1660" s="990"/>
      <c r="M1660" s="990"/>
      <c r="N1660" s="990"/>
      <c r="O1660" s="990"/>
      <c r="P1660" s="990"/>
      <c r="Q1660" s="990"/>
      <c r="R1660" s="990"/>
      <c r="S1660" s="990"/>
      <c r="T1660" s="990"/>
      <c r="U1660" s="990"/>
      <c r="V1660" s="990"/>
      <c r="W1660" s="990"/>
      <c r="X1660" s="990"/>
    </row>
    <row r="1661" spans="1:24" s="896" customFormat="1" ht="25.5">
      <c r="A1661" s="987">
        <f t="shared" si="26"/>
        <v>1587</v>
      </c>
      <c r="B1661" s="988">
        <v>2629</v>
      </c>
      <c r="C1661" s="899" t="s">
        <v>10987</v>
      </c>
      <c r="D1661" s="988" t="s">
        <v>2666</v>
      </c>
      <c r="E1661" s="989">
        <v>152.99</v>
      </c>
      <c r="F1661" s="990"/>
      <c r="G1661" s="990"/>
      <c r="H1661" s="990"/>
      <c r="I1661" s="990"/>
      <c r="J1661" s="990"/>
      <c r="K1661" s="990"/>
      <c r="L1661" s="990"/>
      <c r="M1661" s="990"/>
      <c r="N1661" s="990"/>
      <c r="O1661" s="990"/>
      <c r="P1661" s="990"/>
      <c r="Q1661" s="990"/>
      <c r="R1661" s="990"/>
      <c r="S1661" s="990"/>
      <c r="T1661" s="990"/>
      <c r="U1661" s="990"/>
      <c r="V1661" s="990"/>
      <c r="W1661" s="990"/>
      <c r="X1661" s="990"/>
    </row>
    <row r="1662" spans="1:24" s="896" customFormat="1">
      <c r="A1662" s="987">
        <f t="shared" si="26"/>
        <v>1588</v>
      </c>
      <c r="B1662" s="988">
        <v>12033</v>
      </c>
      <c r="C1662" s="899" t="s">
        <v>10988</v>
      </c>
      <c r="D1662" s="988" t="s">
        <v>2666</v>
      </c>
      <c r="E1662" s="989">
        <v>15.15</v>
      </c>
      <c r="F1662" s="990"/>
      <c r="G1662" s="990"/>
      <c r="H1662" s="990"/>
      <c r="I1662" s="990"/>
      <c r="J1662" s="990"/>
      <c r="K1662" s="990"/>
      <c r="L1662" s="990"/>
      <c r="M1662" s="990"/>
      <c r="N1662" s="990"/>
      <c r="O1662" s="990"/>
      <c r="P1662" s="990"/>
      <c r="Q1662" s="990"/>
      <c r="R1662" s="990"/>
      <c r="S1662" s="990"/>
      <c r="T1662" s="990"/>
      <c r="U1662" s="990"/>
      <c r="V1662" s="990"/>
      <c r="W1662" s="990"/>
      <c r="X1662" s="990"/>
    </row>
    <row r="1663" spans="1:24" s="896" customFormat="1">
      <c r="A1663" s="987">
        <f t="shared" si="26"/>
        <v>1589</v>
      </c>
      <c r="B1663" s="988">
        <v>40408</v>
      </c>
      <c r="C1663" s="899" t="s">
        <v>10989</v>
      </c>
      <c r="D1663" s="988" t="s">
        <v>2666</v>
      </c>
      <c r="E1663" s="989">
        <v>9.9600000000000009</v>
      </c>
      <c r="F1663" s="990"/>
      <c r="G1663" s="990"/>
      <c r="H1663" s="990"/>
      <c r="I1663" s="990"/>
      <c r="J1663" s="990"/>
      <c r="K1663" s="990"/>
      <c r="L1663" s="990"/>
      <c r="M1663" s="990"/>
      <c r="N1663" s="990"/>
      <c r="O1663" s="990"/>
      <c r="P1663" s="990"/>
      <c r="Q1663" s="990"/>
      <c r="R1663" s="990"/>
      <c r="S1663" s="990"/>
      <c r="T1663" s="990"/>
      <c r="U1663" s="990"/>
      <c r="V1663" s="990"/>
      <c r="W1663" s="990"/>
      <c r="X1663" s="990"/>
    </row>
    <row r="1664" spans="1:24" s="896" customFormat="1">
      <c r="A1664" s="987">
        <f t="shared" si="26"/>
        <v>1590</v>
      </c>
      <c r="B1664" s="988">
        <v>40409</v>
      </c>
      <c r="C1664" s="899" t="s">
        <v>10990</v>
      </c>
      <c r="D1664" s="988" t="s">
        <v>2666</v>
      </c>
      <c r="E1664" s="989">
        <v>3.52</v>
      </c>
      <c r="F1664" s="990"/>
      <c r="G1664" s="990"/>
      <c r="H1664" s="990"/>
      <c r="I1664" s="990"/>
      <c r="J1664" s="990"/>
      <c r="K1664" s="990"/>
      <c r="L1664" s="990"/>
      <c r="M1664" s="990"/>
      <c r="N1664" s="990"/>
      <c r="O1664" s="990"/>
      <c r="P1664" s="990"/>
      <c r="Q1664" s="990"/>
      <c r="R1664" s="990"/>
      <c r="S1664" s="990"/>
      <c r="T1664" s="990"/>
      <c r="U1664" s="990"/>
      <c r="V1664" s="990"/>
      <c r="W1664" s="990"/>
      <c r="X1664" s="990"/>
    </row>
    <row r="1665" spans="1:24" s="896" customFormat="1">
      <c r="A1665" s="987">
        <f t="shared" si="26"/>
        <v>1591</v>
      </c>
      <c r="B1665" s="988">
        <v>39276</v>
      </c>
      <c r="C1665" s="899" t="s">
        <v>10991</v>
      </c>
      <c r="D1665" s="988" t="s">
        <v>2666</v>
      </c>
      <c r="E1665" s="989">
        <v>8.9700000000000006</v>
      </c>
      <c r="F1665" s="990"/>
      <c r="G1665" s="990"/>
      <c r="H1665" s="990"/>
      <c r="I1665" s="990"/>
      <c r="J1665" s="990"/>
      <c r="K1665" s="990"/>
      <c r="L1665" s="990"/>
      <c r="M1665" s="990"/>
      <c r="N1665" s="990"/>
      <c r="O1665" s="990"/>
      <c r="P1665" s="990"/>
      <c r="Q1665" s="990"/>
      <c r="R1665" s="990"/>
      <c r="S1665" s="990"/>
      <c r="T1665" s="990"/>
      <c r="U1665" s="990"/>
      <c r="V1665" s="990"/>
      <c r="W1665" s="990"/>
      <c r="X1665" s="990"/>
    </row>
    <row r="1666" spans="1:24" s="896" customFormat="1">
      <c r="A1666" s="987">
        <f t="shared" si="26"/>
        <v>1592</v>
      </c>
      <c r="B1666" s="988">
        <v>39277</v>
      </c>
      <c r="C1666" s="899" t="s">
        <v>10992</v>
      </c>
      <c r="D1666" s="988" t="s">
        <v>2666</v>
      </c>
      <c r="E1666" s="989">
        <v>24.22</v>
      </c>
      <c r="F1666" s="990"/>
      <c r="G1666" s="990"/>
      <c r="H1666" s="990"/>
      <c r="I1666" s="990"/>
      <c r="J1666" s="990"/>
      <c r="K1666" s="990"/>
      <c r="L1666" s="990"/>
      <c r="M1666" s="990"/>
      <c r="N1666" s="990"/>
      <c r="O1666" s="990"/>
      <c r="P1666" s="990"/>
      <c r="Q1666" s="990"/>
      <c r="R1666" s="990"/>
      <c r="S1666" s="990"/>
      <c r="T1666" s="990"/>
      <c r="U1666" s="990"/>
      <c r="V1666" s="990"/>
      <c r="W1666" s="990"/>
      <c r="X1666" s="990"/>
    </row>
    <row r="1667" spans="1:24" s="896" customFormat="1">
      <c r="A1667" s="987">
        <f t="shared" si="26"/>
        <v>1593</v>
      </c>
      <c r="B1667" s="988">
        <v>12034</v>
      </c>
      <c r="C1667" s="899" t="s">
        <v>10993</v>
      </c>
      <c r="D1667" s="988" t="s">
        <v>2666</v>
      </c>
      <c r="E1667" s="989">
        <v>6.86</v>
      </c>
      <c r="F1667" s="990"/>
      <c r="G1667" s="990"/>
      <c r="H1667" s="990"/>
      <c r="I1667" s="990"/>
      <c r="J1667" s="990"/>
      <c r="K1667" s="990"/>
      <c r="L1667" s="990"/>
      <c r="M1667" s="990"/>
      <c r="N1667" s="990"/>
      <c r="O1667" s="990"/>
      <c r="P1667" s="990"/>
      <c r="Q1667" s="990"/>
      <c r="R1667" s="990"/>
      <c r="S1667" s="990"/>
      <c r="T1667" s="990"/>
      <c r="U1667" s="990"/>
      <c r="V1667" s="990"/>
      <c r="W1667" s="990"/>
      <c r="X1667" s="990"/>
    </row>
    <row r="1668" spans="1:24" s="896" customFormat="1">
      <c r="A1668" s="987">
        <f t="shared" si="26"/>
        <v>1594</v>
      </c>
      <c r="B1668" s="988">
        <v>39879</v>
      </c>
      <c r="C1668" s="899" t="s">
        <v>10994</v>
      </c>
      <c r="D1668" s="988" t="s">
        <v>2666</v>
      </c>
      <c r="E1668" s="989">
        <v>5.49</v>
      </c>
      <c r="F1668" s="990"/>
      <c r="G1668" s="990"/>
      <c r="H1668" s="990"/>
      <c r="I1668" s="990"/>
      <c r="J1668" s="990"/>
      <c r="K1668" s="990"/>
      <c r="L1668" s="990"/>
      <c r="M1668" s="990"/>
      <c r="N1668" s="990"/>
      <c r="O1668" s="990"/>
      <c r="P1668" s="990"/>
      <c r="Q1668" s="990"/>
      <c r="R1668" s="990"/>
      <c r="S1668" s="990"/>
      <c r="T1668" s="990"/>
      <c r="U1668" s="990"/>
      <c r="V1668" s="990"/>
      <c r="W1668" s="990"/>
      <c r="X1668" s="990"/>
    </row>
    <row r="1669" spans="1:24" s="896" customFormat="1">
      <c r="A1669" s="987">
        <f t="shared" si="26"/>
        <v>1595</v>
      </c>
      <c r="B1669" s="988">
        <v>39880</v>
      </c>
      <c r="C1669" s="899" t="s">
        <v>10995</v>
      </c>
      <c r="D1669" s="988" t="s">
        <v>2666</v>
      </c>
      <c r="E1669" s="989">
        <v>12.16</v>
      </c>
      <c r="F1669" s="990"/>
      <c r="G1669" s="990"/>
      <c r="H1669" s="990"/>
      <c r="I1669" s="990"/>
      <c r="J1669" s="990"/>
      <c r="K1669" s="990"/>
      <c r="L1669" s="990"/>
      <c r="M1669" s="990"/>
      <c r="N1669" s="990"/>
      <c r="O1669" s="990"/>
      <c r="P1669" s="990"/>
      <c r="Q1669" s="990"/>
      <c r="R1669" s="990"/>
      <c r="S1669" s="990"/>
      <c r="T1669" s="990"/>
      <c r="U1669" s="990"/>
      <c r="V1669" s="990"/>
      <c r="W1669" s="990"/>
      <c r="X1669" s="990"/>
    </row>
    <row r="1670" spans="1:24" s="896" customFormat="1">
      <c r="A1670" s="987">
        <f t="shared" si="26"/>
        <v>1596</v>
      </c>
      <c r="B1670" s="988">
        <v>39881</v>
      </c>
      <c r="C1670" s="899" t="s">
        <v>10996</v>
      </c>
      <c r="D1670" s="988" t="s">
        <v>2666</v>
      </c>
      <c r="E1670" s="989">
        <v>19.52</v>
      </c>
      <c r="F1670" s="990"/>
      <c r="G1670" s="990"/>
      <c r="H1670" s="990"/>
      <c r="I1670" s="990"/>
      <c r="J1670" s="990"/>
      <c r="K1670" s="990"/>
      <c r="L1670" s="990"/>
      <c r="M1670" s="990"/>
      <c r="N1670" s="990"/>
      <c r="O1670" s="990"/>
      <c r="P1670" s="990"/>
      <c r="Q1670" s="990"/>
      <c r="R1670" s="990"/>
      <c r="S1670" s="990"/>
      <c r="T1670" s="990"/>
      <c r="U1670" s="990"/>
      <c r="V1670" s="990"/>
      <c r="W1670" s="990"/>
      <c r="X1670" s="990"/>
    </row>
    <row r="1671" spans="1:24" s="896" customFormat="1">
      <c r="A1671" s="987">
        <f t="shared" si="26"/>
        <v>1597</v>
      </c>
      <c r="B1671" s="988">
        <v>39882</v>
      </c>
      <c r="C1671" s="899" t="s">
        <v>10997</v>
      </c>
      <c r="D1671" s="988" t="s">
        <v>2666</v>
      </c>
      <c r="E1671" s="989">
        <v>51.42</v>
      </c>
      <c r="F1671" s="990"/>
      <c r="G1671" s="990"/>
      <c r="H1671" s="990"/>
      <c r="I1671" s="990"/>
      <c r="J1671" s="990"/>
      <c r="K1671" s="990"/>
      <c r="L1671" s="990"/>
      <c r="M1671" s="990"/>
      <c r="N1671" s="990"/>
      <c r="O1671" s="990"/>
      <c r="P1671" s="990"/>
      <c r="Q1671" s="990"/>
      <c r="R1671" s="990"/>
      <c r="S1671" s="990"/>
      <c r="T1671" s="990"/>
      <c r="U1671" s="990"/>
      <c r="V1671" s="990"/>
      <c r="W1671" s="990"/>
      <c r="X1671" s="990"/>
    </row>
    <row r="1672" spans="1:24" s="896" customFormat="1">
      <c r="A1672" s="987">
        <f t="shared" si="26"/>
        <v>1598</v>
      </c>
      <c r="B1672" s="988">
        <v>39883</v>
      </c>
      <c r="C1672" s="899" t="s">
        <v>10998</v>
      </c>
      <c r="D1672" s="988" t="s">
        <v>2666</v>
      </c>
      <c r="E1672" s="989">
        <v>82.12</v>
      </c>
      <c r="F1672" s="990"/>
      <c r="G1672" s="990"/>
      <c r="H1672" s="990"/>
      <c r="I1672" s="990"/>
      <c r="J1672" s="990"/>
      <c r="K1672" s="990"/>
      <c r="L1672" s="990"/>
      <c r="M1672" s="990"/>
      <c r="N1672" s="990"/>
      <c r="O1672" s="990"/>
      <c r="P1672" s="990"/>
      <c r="Q1672" s="990"/>
      <c r="R1672" s="990"/>
      <c r="S1672" s="990"/>
      <c r="T1672" s="990"/>
      <c r="U1672" s="990"/>
      <c r="V1672" s="990"/>
      <c r="W1672" s="990"/>
      <c r="X1672" s="990"/>
    </row>
    <row r="1673" spans="1:24" s="896" customFormat="1">
      <c r="A1673" s="987">
        <f t="shared" si="26"/>
        <v>1599</v>
      </c>
      <c r="B1673" s="988">
        <v>39884</v>
      </c>
      <c r="C1673" s="899" t="s">
        <v>10999</v>
      </c>
      <c r="D1673" s="988" t="s">
        <v>2666</v>
      </c>
      <c r="E1673" s="989">
        <v>121.97</v>
      </c>
      <c r="F1673" s="990"/>
      <c r="G1673" s="990"/>
      <c r="H1673" s="990"/>
      <c r="I1673" s="990"/>
      <c r="J1673" s="990"/>
      <c r="K1673" s="990"/>
      <c r="L1673" s="990"/>
      <c r="M1673" s="990"/>
      <c r="N1673" s="990"/>
      <c r="O1673" s="990"/>
      <c r="P1673" s="990"/>
      <c r="Q1673" s="990"/>
      <c r="R1673" s="990"/>
      <c r="S1673" s="990"/>
      <c r="T1673" s="990"/>
      <c r="U1673" s="990"/>
      <c r="V1673" s="990"/>
      <c r="W1673" s="990"/>
      <c r="X1673" s="990"/>
    </row>
    <row r="1674" spans="1:24" s="896" customFormat="1">
      <c r="A1674" s="987">
        <f t="shared" si="26"/>
        <v>1600</v>
      </c>
      <c r="B1674" s="988">
        <v>39885</v>
      </c>
      <c r="C1674" s="899" t="s">
        <v>11000</v>
      </c>
      <c r="D1674" s="988" t="s">
        <v>2666</v>
      </c>
      <c r="E1674" s="989">
        <v>289.87</v>
      </c>
      <c r="F1674" s="990"/>
      <c r="G1674" s="990"/>
      <c r="H1674" s="990"/>
      <c r="I1674" s="990"/>
      <c r="J1674" s="990"/>
      <c r="K1674" s="990"/>
      <c r="L1674" s="990"/>
      <c r="M1674" s="990"/>
      <c r="N1674" s="990"/>
      <c r="O1674" s="990"/>
      <c r="P1674" s="990"/>
      <c r="Q1674" s="990"/>
      <c r="R1674" s="990"/>
      <c r="S1674" s="990"/>
      <c r="T1674" s="990"/>
      <c r="U1674" s="990"/>
      <c r="V1674" s="990"/>
      <c r="W1674" s="990"/>
      <c r="X1674" s="990"/>
    </row>
    <row r="1675" spans="1:24" s="896" customFormat="1">
      <c r="A1675" s="987">
        <f t="shared" si="26"/>
        <v>1601</v>
      </c>
      <c r="B1675" s="988">
        <v>1777</v>
      </c>
      <c r="C1675" s="899" t="s">
        <v>11001</v>
      </c>
      <c r="D1675" s="988" t="s">
        <v>2666</v>
      </c>
      <c r="E1675" s="989">
        <v>86.69</v>
      </c>
      <c r="F1675" s="990"/>
      <c r="G1675" s="990"/>
      <c r="H1675" s="990"/>
      <c r="I1675" s="990"/>
      <c r="J1675" s="990"/>
      <c r="K1675" s="990"/>
      <c r="L1675" s="990"/>
      <c r="M1675" s="990"/>
      <c r="N1675" s="990"/>
      <c r="O1675" s="990"/>
      <c r="P1675" s="990"/>
      <c r="Q1675" s="990"/>
      <c r="R1675" s="990"/>
      <c r="S1675" s="990"/>
      <c r="T1675" s="990"/>
      <c r="U1675" s="990"/>
      <c r="V1675" s="990"/>
      <c r="W1675" s="990"/>
      <c r="X1675" s="990"/>
    </row>
    <row r="1676" spans="1:24" s="896" customFormat="1">
      <c r="A1676" s="987">
        <f t="shared" ref="A1676:A1739" si="27">A1675+1</f>
        <v>1602</v>
      </c>
      <c r="B1676" s="988">
        <v>1819</v>
      </c>
      <c r="C1676" s="899" t="s">
        <v>11002</v>
      </c>
      <c r="D1676" s="988" t="s">
        <v>2666</v>
      </c>
      <c r="E1676" s="989">
        <v>63.07</v>
      </c>
      <c r="F1676" s="990"/>
      <c r="G1676" s="990"/>
      <c r="H1676" s="990"/>
      <c r="I1676" s="990"/>
      <c r="J1676" s="990"/>
      <c r="K1676" s="990"/>
      <c r="L1676" s="990"/>
      <c r="M1676" s="990"/>
      <c r="N1676" s="990"/>
      <c r="O1676" s="990"/>
      <c r="P1676" s="990"/>
      <c r="Q1676" s="990"/>
      <c r="R1676" s="990"/>
      <c r="S1676" s="990"/>
      <c r="T1676" s="990"/>
      <c r="U1676" s="990"/>
      <c r="V1676" s="990"/>
      <c r="W1676" s="990"/>
      <c r="X1676" s="990"/>
    </row>
    <row r="1677" spans="1:24" s="896" customFormat="1">
      <c r="A1677" s="987">
        <f t="shared" si="27"/>
        <v>1603</v>
      </c>
      <c r="B1677" s="988">
        <v>1775</v>
      </c>
      <c r="C1677" s="899" t="s">
        <v>11003</v>
      </c>
      <c r="D1677" s="988" t="s">
        <v>2666</v>
      </c>
      <c r="E1677" s="989">
        <v>18.86</v>
      </c>
      <c r="F1677" s="990"/>
      <c r="G1677" s="990"/>
      <c r="H1677" s="990"/>
      <c r="I1677" s="990"/>
      <c r="J1677" s="990"/>
      <c r="K1677" s="990"/>
      <c r="L1677" s="990"/>
      <c r="M1677" s="990"/>
      <c r="N1677" s="990"/>
      <c r="O1677" s="990"/>
      <c r="P1677" s="990"/>
      <c r="Q1677" s="990"/>
      <c r="R1677" s="990"/>
      <c r="S1677" s="990"/>
      <c r="T1677" s="990"/>
      <c r="U1677" s="990"/>
      <c r="V1677" s="990"/>
      <c r="W1677" s="990"/>
      <c r="X1677" s="990"/>
    </row>
    <row r="1678" spans="1:24" s="896" customFormat="1">
      <c r="A1678" s="987">
        <f t="shared" si="27"/>
        <v>1604</v>
      </c>
      <c r="B1678" s="988">
        <v>1776</v>
      </c>
      <c r="C1678" s="899" t="s">
        <v>11004</v>
      </c>
      <c r="D1678" s="988" t="s">
        <v>2666</v>
      </c>
      <c r="E1678" s="989">
        <v>51.31</v>
      </c>
      <c r="F1678" s="990"/>
      <c r="G1678" s="990"/>
      <c r="H1678" s="990"/>
      <c r="I1678" s="990"/>
      <c r="J1678" s="990"/>
      <c r="K1678" s="990"/>
      <c r="L1678" s="990"/>
      <c r="M1678" s="990"/>
      <c r="N1678" s="990"/>
      <c r="O1678" s="990"/>
      <c r="P1678" s="990"/>
      <c r="Q1678" s="990"/>
      <c r="R1678" s="990"/>
      <c r="S1678" s="990"/>
      <c r="T1678" s="990"/>
      <c r="U1678" s="990"/>
      <c r="V1678" s="990"/>
      <c r="W1678" s="990"/>
      <c r="X1678" s="990"/>
    </row>
    <row r="1679" spans="1:24" s="896" customFormat="1">
      <c r="A1679" s="987">
        <f t="shared" si="27"/>
        <v>1605</v>
      </c>
      <c r="B1679" s="988">
        <v>1778</v>
      </c>
      <c r="C1679" s="899" t="s">
        <v>11005</v>
      </c>
      <c r="D1679" s="988" t="s">
        <v>2666</v>
      </c>
      <c r="E1679" s="989">
        <v>209.84</v>
      </c>
      <c r="F1679" s="990"/>
      <c r="G1679" s="990"/>
      <c r="H1679" s="990"/>
      <c r="I1679" s="990"/>
      <c r="J1679" s="990"/>
      <c r="K1679" s="990"/>
      <c r="L1679" s="990"/>
      <c r="M1679" s="990"/>
      <c r="N1679" s="990"/>
      <c r="O1679" s="990"/>
      <c r="P1679" s="990"/>
      <c r="Q1679" s="990"/>
      <c r="R1679" s="990"/>
      <c r="S1679" s="990"/>
      <c r="T1679" s="990"/>
      <c r="U1679" s="990"/>
      <c r="V1679" s="990"/>
      <c r="W1679" s="990"/>
      <c r="X1679" s="990"/>
    </row>
    <row r="1680" spans="1:24" s="896" customFormat="1">
      <c r="A1680" s="987">
        <f t="shared" si="27"/>
        <v>1606</v>
      </c>
      <c r="B1680" s="988">
        <v>1818</v>
      </c>
      <c r="C1680" s="899" t="s">
        <v>11006</v>
      </c>
      <c r="D1680" s="988" t="s">
        <v>2666</v>
      </c>
      <c r="E1680" s="989">
        <v>139.29</v>
      </c>
      <c r="F1680" s="990"/>
      <c r="G1680" s="990"/>
      <c r="H1680" s="990"/>
      <c r="I1680" s="990"/>
      <c r="J1680" s="990"/>
      <c r="K1680" s="990"/>
      <c r="L1680" s="990"/>
      <c r="M1680" s="990"/>
      <c r="N1680" s="990"/>
      <c r="O1680" s="990"/>
      <c r="P1680" s="990"/>
      <c r="Q1680" s="990"/>
      <c r="R1680" s="990"/>
      <c r="S1680" s="990"/>
      <c r="T1680" s="990"/>
      <c r="U1680" s="990"/>
      <c r="V1680" s="990"/>
      <c r="W1680" s="990"/>
      <c r="X1680" s="990"/>
    </row>
    <row r="1681" spans="1:24" s="896" customFormat="1">
      <c r="A1681" s="987">
        <f t="shared" si="27"/>
        <v>1607</v>
      </c>
      <c r="B1681" s="988">
        <v>1820</v>
      </c>
      <c r="C1681" s="899" t="s">
        <v>11007</v>
      </c>
      <c r="D1681" s="988" t="s">
        <v>2666</v>
      </c>
      <c r="E1681" s="989">
        <v>27.24</v>
      </c>
      <c r="F1681" s="990"/>
      <c r="G1681" s="990"/>
      <c r="H1681" s="990"/>
      <c r="I1681" s="990"/>
      <c r="J1681" s="990"/>
      <c r="K1681" s="990"/>
      <c r="L1681" s="990"/>
      <c r="M1681" s="990"/>
      <c r="N1681" s="990"/>
      <c r="O1681" s="990"/>
      <c r="P1681" s="990"/>
      <c r="Q1681" s="990"/>
      <c r="R1681" s="990"/>
      <c r="S1681" s="990"/>
      <c r="T1681" s="990"/>
      <c r="U1681" s="990"/>
      <c r="V1681" s="990"/>
      <c r="W1681" s="990"/>
      <c r="X1681" s="990"/>
    </row>
    <row r="1682" spans="1:24" s="896" customFormat="1">
      <c r="A1682" s="987">
        <f t="shared" si="27"/>
        <v>1608</v>
      </c>
      <c r="B1682" s="988">
        <v>1779</v>
      </c>
      <c r="C1682" s="899" t="s">
        <v>11008</v>
      </c>
      <c r="D1682" s="988" t="s">
        <v>2666</v>
      </c>
      <c r="E1682" s="989">
        <v>305.17</v>
      </c>
      <c r="F1682" s="990"/>
      <c r="G1682" s="990"/>
      <c r="H1682" s="990"/>
      <c r="I1682" s="990"/>
      <c r="J1682" s="990"/>
      <c r="K1682" s="990"/>
      <c r="L1682" s="990"/>
      <c r="M1682" s="990"/>
      <c r="N1682" s="990"/>
      <c r="O1682" s="990"/>
      <c r="P1682" s="990"/>
      <c r="Q1682" s="990"/>
      <c r="R1682" s="990"/>
      <c r="S1682" s="990"/>
      <c r="T1682" s="990"/>
      <c r="U1682" s="990"/>
      <c r="V1682" s="990"/>
      <c r="W1682" s="990"/>
      <c r="X1682" s="990"/>
    </row>
    <row r="1683" spans="1:24" s="896" customFormat="1">
      <c r="A1683" s="987">
        <f t="shared" si="27"/>
        <v>1609</v>
      </c>
      <c r="B1683" s="988">
        <v>1780</v>
      </c>
      <c r="C1683" s="899" t="s">
        <v>11009</v>
      </c>
      <c r="D1683" s="988" t="s">
        <v>2666</v>
      </c>
      <c r="E1683" s="989">
        <v>629.13</v>
      </c>
      <c r="F1683" s="990"/>
      <c r="G1683" s="990"/>
      <c r="H1683" s="990"/>
      <c r="I1683" s="990"/>
      <c r="J1683" s="990"/>
      <c r="K1683" s="990"/>
      <c r="L1683" s="990"/>
      <c r="M1683" s="990"/>
      <c r="N1683" s="990"/>
      <c r="O1683" s="990"/>
      <c r="P1683" s="990"/>
      <c r="Q1683" s="990"/>
      <c r="R1683" s="990"/>
      <c r="S1683" s="990"/>
      <c r="T1683" s="990"/>
      <c r="U1683" s="990"/>
      <c r="V1683" s="990"/>
      <c r="W1683" s="990"/>
      <c r="X1683" s="990"/>
    </row>
    <row r="1684" spans="1:24" s="896" customFormat="1">
      <c r="A1684" s="987">
        <f t="shared" si="27"/>
        <v>1610</v>
      </c>
      <c r="B1684" s="988">
        <v>1783</v>
      </c>
      <c r="C1684" s="899" t="s">
        <v>11010</v>
      </c>
      <c r="D1684" s="988" t="s">
        <v>2666</v>
      </c>
      <c r="E1684" s="989">
        <v>66.52</v>
      </c>
      <c r="F1684" s="990"/>
      <c r="G1684" s="990"/>
      <c r="H1684" s="990"/>
      <c r="I1684" s="990"/>
      <c r="J1684" s="990"/>
      <c r="K1684" s="990"/>
      <c r="L1684" s="990"/>
      <c r="M1684" s="990"/>
      <c r="N1684" s="990"/>
      <c r="O1684" s="990"/>
      <c r="P1684" s="990"/>
      <c r="Q1684" s="990"/>
      <c r="R1684" s="990"/>
      <c r="S1684" s="990"/>
      <c r="T1684" s="990"/>
      <c r="U1684" s="990"/>
      <c r="V1684" s="990"/>
      <c r="W1684" s="990"/>
      <c r="X1684" s="990"/>
    </row>
    <row r="1685" spans="1:24" s="896" customFormat="1">
      <c r="A1685" s="987">
        <f t="shared" si="27"/>
        <v>1611</v>
      </c>
      <c r="B1685" s="988">
        <v>1782</v>
      </c>
      <c r="C1685" s="899" t="s">
        <v>11011</v>
      </c>
      <c r="D1685" s="988" t="s">
        <v>2666</v>
      </c>
      <c r="E1685" s="989">
        <v>52.59</v>
      </c>
      <c r="F1685" s="990"/>
      <c r="G1685" s="990"/>
      <c r="H1685" s="990"/>
      <c r="I1685" s="990"/>
      <c r="J1685" s="990"/>
      <c r="K1685" s="990"/>
      <c r="L1685" s="990"/>
      <c r="M1685" s="990"/>
      <c r="N1685" s="990"/>
      <c r="O1685" s="990"/>
      <c r="P1685" s="990"/>
      <c r="Q1685" s="990"/>
      <c r="R1685" s="990"/>
      <c r="S1685" s="990"/>
      <c r="T1685" s="990"/>
      <c r="U1685" s="990"/>
      <c r="V1685" s="990"/>
      <c r="W1685" s="990"/>
      <c r="X1685" s="990"/>
    </row>
    <row r="1686" spans="1:24" s="896" customFormat="1">
      <c r="A1686" s="987">
        <f t="shared" si="27"/>
        <v>1612</v>
      </c>
      <c r="B1686" s="988">
        <v>1817</v>
      </c>
      <c r="C1686" s="899" t="s">
        <v>11012</v>
      </c>
      <c r="D1686" s="988" t="s">
        <v>2666</v>
      </c>
      <c r="E1686" s="989">
        <v>15.67</v>
      </c>
      <c r="F1686" s="990"/>
      <c r="G1686" s="990"/>
      <c r="H1686" s="990"/>
      <c r="I1686" s="990"/>
      <c r="J1686" s="990"/>
      <c r="K1686" s="990"/>
      <c r="L1686" s="990"/>
      <c r="M1686" s="990"/>
      <c r="N1686" s="990"/>
      <c r="O1686" s="990"/>
      <c r="P1686" s="990"/>
      <c r="Q1686" s="990"/>
      <c r="R1686" s="990"/>
      <c r="S1686" s="990"/>
      <c r="T1686" s="990"/>
      <c r="U1686" s="990"/>
      <c r="V1686" s="990"/>
      <c r="W1686" s="990"/>
      <c r="X1686" s="990"/>
    </row>
    <row r="1687" spans="1:24" s="896" customFormat="1">
      <c r="A1687" s="987">
        <f t="shared" si="27"/>
        <v>1613</v>
      </c>
      <c r="B1687" s="988">
        <v>1781</v>
      </c>
      <c r="C1687" s="899" t="s">
        <v>11013</v>
      </c>
      <c r="D1687" s="988" t="s">
        <v>2666</v>
      </c>
      <c r="E1687" s="989">
        <v>34.270000000000003</v>
      </c>
      <c r="F1687" s="990"/>
      <c r="G1687" s="990"/>
      <c r="H1687" s="990"/>
      <c r="I1687" s="990"/>
      <c r="J1687" s="990"/>
      <c r="K1687" s="990"/>
      <c r="L1687" s="990"/>
      <c r="M1687" s="990"/>
      <c r="N1687" s="990"/>
      <c r="O1687" s="990"/>
      <c r="P1687" s="990"/>
      <c r="Q1687" s="990"/>
      <c r="R1687" s="990"/>
      <c r="S1687" s="990"/>
      <c r="T1687" s="990"/>
      <c r="U1687" s="990"/>
      <c r="V1687" s="990"/>
      <c r="W1687" s="990"/>
      <c r="X1687" s="990"/>
    </row>
    <row r="1688" spans="1:24" s="896" customFormat="1">
      <c r="A1688" s="987">
        <f t="shared" si="27"/>
        <v>1614</v>
      </c>
      <c r="B1688" s="988">
        <v>1784</v>
      </c>
      <c r="C1688" s="899" t="s">
        <v>11014</v>
      </c>
      <c r="D1688" s="988" t="s">
        <v>2666</v>
      </c>
      <c r="E1688" s="989">
        <v>187.83</v>
      </c>
      <c r="F1688" s="990"/>
      <c r="G1688" s="990"/>
      <c r="H1688" s="990"/>
      <c r="I1688" s="990"/>
      <c r="J1688" s="990"/>
      <c r="K1688" s="990"/>
      <c r="L1688" s="990"/>
      <c r="M1688" s="990"/>
      <c r="N1688" s="990"/>
      <c r="O1688" s="990"/>
      <c r="P1688" s="990"/>
      <c r="Q1688" s="990"/>
      <c r="R1688" s="990"/>
      <c r="S1688" s="990"/>
      <c r="T1688" s="990"/>
      <c r="U1688" s="990"/>
      <c r="V1688" s="990"/>
      <c r="W1688" s="990"/>
      <c r="X1688" s="990"/>
    </row>
    <row r="1689" spans="1:24" s="896" customFormat="1">
      <c r="A1689" s="987">
        <f t="shared" si="27"/>
        <v>1615</v>
      </c>
      <c r="B1689" s="988">
        <v>1810</v>
      </c>
      <c r="C1689" s="899" t="s">
        <v>11015</v>
      </c>
      <c r="D1689" s="988" t="s">
        <v>2666</v>
      </c>
      <c r="E1689" s="989">
        <v>104.18</v>
      </c>
      <c r="F1689" s="990"/>
      <c r="G1689" s="990"/>
      <c r="H1689" s="990"/>
      <c r="I1689" s="990"/>
      <c r="J1689" s="990"/>
      <c r="K1689" s="990"/>
      <c r="L1689" s="990"/>
      <c r="M1689" s="990"/>
      <c r="N1689" s="990"/>
      <c r="O1689" s="990"/>
      <c r="P1689" s="990"/>
      <c r="Q1689" s="990"/>
      <c r="R1689" s="990"/>
      <c r="S1689" s="990"/>
      <c r="T1689" s="990"/>
      <c r="U1689" s="990"/>
      <c r="V1689" s="990"/>
      <c r="W1689" s="990"/>
      <c r="X1689" s="990"/>
    </row>
    <row r="1690" spans="1:24" s="896" customFormat="1">
      <c r="A1690" s="987">
        <f t="shared" si="27"/>
        <v>1616</v>
      </c>
      <c r="B1690" s="988">
        <v>1811</v>
      </c>
      <c r="C1690" s="899" t="s">
        <v>11016</v>
      </c>
      <c r="D1690" s="988" t="s">
        <v>2666</v>
      </c>
      <c r="E1690" s="989">
        <v>22.54</v>
      </c>
      <c r="F1690" s="990"/>
      <c r="G1690" s="990"/>
      <c r="H1690" s="990"/>
      <c r="I1690" s="990"/>
      <c r="J1690" s="990"/>
      <c r="K1690" s="990"/>
      <c r="L1690" s="990"/>
      <c r="M1690" s="990"/>
      <c r="N1690" s="990"/>
      <c r="O1690" s="990"/>
      <c r="P1690" s="990"/>
      <c r="Q1690" s="990"/>
      <c r="R1690" s="990"/>
      <c r="S1690" s="990"/>
      <c r="T1690" s="990"/>
      <c r="U1690" s="990"/>
      <c r="V1690" s="990"/>
      <c r="W1690" s="990"/>
      <c r="X1690" s="990"/>
    </row>
    <row r="1691" spans="1:24" s="896" customFormat="1">
      <c r="A1691" s="987">
        <f t="shared" si="27"/>
        <v>1617</v>
      </c>
      <c r="B1691" s="988">
        <v>1812</v>
      </c>
      <c r="C1691" s="899" t="s">
        <v>11017</v>
      </c>
      <c r="D1691" s="988" t="s">
        <v>2666</v>
      </c>
      <c r="E1691" s="989">
        <v>263</v>
      </c>
      <c r="F1691" s="990"/>
      <c r="G1691" s="990"/>
      <c r="H1691" s="990"/>
      <c r="I1691" s="990"/>
      <c r="J1691" s="990"/>
      <c r="K1691" s="990"/>
      <c r="L1691" s="990"/>
      <c r="M1691" s="990"/>
      <c r="N1691" s="990"/>
      <c r="O1691" s="990"/>
      <c r="P1691" s="990"/>
      <c r="Q1691" s="990"/>
      <c r="R1691" s="990"/>
      <c r="S1691" s="990"/>
      <c r="T1691" s="990"/>
      <c r="U1691" s="990"/>
      <c r="V1691" s="990"/>
      <c r="W1691" s="990"/>
      <c r="X1691" s="990"/>
    </row>
    <row r="1692" spans="1:24" s="896" customFormat="1">
      <c r="A1692" s="987">
        <f t="shared" si="27"/>
        <v>1618</v>
      </c>
      <c r="B1692" s="988">
        <v>40386</v>
      </c>
      <c r="C1692" s="899" t="s">
        <v>11018</v>
      </c>
      <c r="D1692" s="988" t="s">
        <v>2666</v>
      </c>
      <c r="E1692" s="989">
        <v>95.63</v>
      </c>
      <c r="F1692" s="990"/>
      <c r="G1692" s="990"/>
      <c r="H1692" s="990"/>
      <c r="I1692" s="990"/>
      <c r="J1692" s="990"/>
      <c r="K1692" s="990"/>
      <c r="L1692" s="990"/>
      <c r="M1692" s="990"/>
      <c r="N1692" s="990"/>
      <c r="O1692" s="990"/>
      <c r="P1692" s="990"/>
      <c r="Q1692" s="990"/>
      <c r="R1692" s="990"/>
      <c r="S1692" s="990"/>
      <c r="T1692" s="990"/>
      <c r="U1692" s="990"/>
      <c r="V1692" s="990"/>
      <c r="W1692" s="990"/>
      <c r="X1692" s="990"/>
    </row>
    <row r="1693" spans="1:24" s="896" customFormat="1">
      <c r="A1693" s="987">
        <f t="shared" si="27"/>
        <v>1619</v>
      </c>
      <c r="B1693" s="988">
        <v>40384</v>
      </c>
      <c r="C1693" s="899" t="s">
        <v>11019</v>
      </c>
      <c r="D1693" s="988" t="s">
        <v>2666</v>
      </c>
      <c r="E1693" s="989">
        <v>65.47</v>
      </c>
      <c r="F1693" s="990"/>
      <c r="G1693" s="990"/>
      <c r="H1693" s="990"/>
      <c r="I1693" s="990"/>
      <c r="J1693" s="990"/>
      <c r="K1693" s="990"/>
      <c r="L1693" s="990"/>
      <c r="M1693" s="990"/>
      <c r="N1693" s="990"/>
      <c r="O1693" s="990"/>
      <c r="P1693" s="990"/>
      <c r="Q1693" s="990"/>
      <c r="R1693" s="990"/>
      <c r="S1693" s="990"/>
      <c r="T1693" s="990"/>
      <c r="U1693" s="990"/>
      <c r="V1693" s="990"/>
      <c r="W1693" s="990"/>
      <c r="X1693" s="990"/>
    </row>
    <row r="1694" spans="1:24" s="896" customFormat="1">
      <c r="A1694" s="987">
        <f t="shared" si="27"/>
        <v>1620</v>
      </c>
      <c r="B1694" s="988">
        <v>40379</v>
      </c>
      <c r="C1694" s="899" t="s">
        <v>11020</v>
      </c>
      <c r="D1694" s="988" t="s">
        <v>2666</v>
      </c>
      <c r="E1694" s="989">
        <v>22.63</v>
      </c>
      <c r="F1694" s="990"/>
      <c r="G1694" s="990"/>
      <c r="H1694" s="990"/>
      <c r="I1694" s="990"/>
      <c r="J1694" s="990"/>
      <c r="K1694" s="990"/>
      <c r="L1694" s="990"/>
      <c r="M1694" s="990"/>
      <c r="N1694" s="990"/>
      <c r="O1694" s="990"/>
      <c r="P1694" s="990"/>
      <c r="Q1694" s="990"/>
      <c r="R1694" s="990"/>
      <c r="S1694" s="990"/>
      <c r="T1694" s="990"/>
      <c r="U1694" s="990"/>
      <c r="V1694" s="990"/>
      <c r="W1694" s="990"/>
      <c r="X1694" s="990"/>
    </row>
    <row r="1695" spans="1:24" s="896" customFormat="1">
      <c r="A1695" s="987">
        <f t="shared" si="27"/>
        <v>1621</v>
      </c>
      <c r="B1695" s="988">
        <v>40423</v>
      </c>
      <c r="C1695" s="899" t="s">
        <v>11021</v>
      </c>
      <c r="D1695" s="988" t="s">
        <v>2666</v>
      </c>
      <c r="E1695" s="989">
        <v>42.83</v>
      </c>
      <c r="F1695" s="990"/>
      <c r="G1695" s="990"/>
      <c r="H1695" s="990"/>
      <c r="I1695" s="990"/>
      <c r="J1695" s="990"/>
      <c r="K1695" s="990"/>
      <c r="L1695" s="990"/>
      <c r="M1695" s="990"/>
      <c r="N1695" s="990"/>
      <c r="O1695" s="990"/>
      <c r="P1695" s="990"/>
      <c r="Q1695" s="990"/>
      <c r="R1695" s="990"/>
      <c r="S1695" s="990"/>
      <c r="T1695" s="990"/>
      <c r="U1695" s="990"/>
      <c r="V1695" s="990"/>
      <c r="W1695" s="990"/>
      <c r="X1695" s="990"/>
    </row>
    <row r="1696" spans="1:24" s="896" customFormat="1">
      <c r="A1696" s="987">
        <f t="shared" si="27"/>
        <v>1622</v>
      </c>
      <c r="B1696" s="988">
        <v>40389</v>
      </c>
      <c r="C1696" s="899" t="s">
        <v>11022</v>
      </c>
      <c r="D1696" s="988" t="s">
        <v>2666</v>
      </c>
      <c r="E1696" s="989">
        <v>271.62</v>
      </c>
      <c r="F1696" s="990"/>
      <c r="G1696" s="990"/>
      <c r="H1696" s="990"/>
      <c r="I1696" s="990"/>
      <c r="J1696" s="990"/>
      <c r="K1696" s="990"/>
      <c r="L1696" s="990"/>
      <c r="M1696" s="990"/>
      <c r="N1696" s="990"/>
      <c r="O1696" s="990"/>
      <c r="P1696" s="990"/>
      <c r="Q1696" s="990"/>
      <c r="R1696" s="990"/>
      <c r="S1696" s="990"/>
      <c r="T1696" s="990"/>
      <c r="U1696" s="990"/>
      <c r="V1696" s="990"/>
      <c r="W1696" s="990"/>
      <c r="X1696" s="990"/>
    </row>
    <row r="1697" spans="1:24" s="896" customFormat="1">
      <c r="A1697" s="987">
        <f t="shared" si="27"/>
        <v>1623</v>
      </c>
      <c r="B1697" s="988">
        <v>40388</v>
      </c>
      <c r="C1697" s="899" t="s">
        <v>11023</v>
      </c>
      <c r="D1697" s="988" t="s">
        <v>2666</v>
      </c>
      <c r="E1697" s="989">
        <v>135.96</v>
      </c>
      <c r="F1697" s="990"/>
      <c r="G1697" s="990"/>
      <c r="H1697" s="990"/>
      <c r="I1697" s="990"/>
      <c r="J1697" s="990"/>
      <c r="K1697" s="990"/>
      <c r="L1697" s="990"/>
      <c r="M1697" s="990"/>
      <c r="N1697" s="990"/>
      <c r="O1697" s="990"/>
      <c r="P1697" s="990"/>
      <c r="Q1697" s="990"/>
      <c r="R1697" s="990"/>
      <c r="S1697" s="990"/>
      <c r="T1697" s="990"/>
      <c r="U1697" s="990"/>
      <c r="V1697" s="990"/>
      <c r="W1697" s="990"/>
      <c r="X1697" s="990"/>
    </row>
    <row r="1698" spans="1:24" s="896" customFormat="1">
      <c r="A1698" s="987">
        <f t="shared" si="27"/>
        <v>1624</v>
      </c>
      <c r="B1698" s="988">
        <v>40381</v>
      </c>
      <c r="C1698" s="899" t="s">
        <v>11024</v>
      </c>
      <c r="D1698" s="988" t="s">
        <v>2666</v>
      </c>
      <c r="E1698" s="989">
        <v>30.18</v>
      </c>
      <c r="F1698" s="990"/>
      <c r="G1698" s="990"/>
      <c r="H1698" s="990"/>
      <c r="I1698" s="990"/>
      <c r="J1698" s="990"/>
      <c r="K1698" s="990"/>
      <c r="L1698" s="990"/>
      <c r="M1698" s="990"/>
      <c r="N1698" s="990"/>
      <c r="O1698" s="990"/>
      <c r="P1698" s="990"/>
      <c r="Q1698" s="990"/>
      <c r="R1698" s="990"/>
      <c r="S1698" s="990"/>
      <c r="T1698" s="990"/>
      <c r="U1698" s="990"/>
      <c r="V1698" s="990"/>
      <c r="W1698" s="990"/>
      <c r="X1698" s="990"/>
    </row>
    <row r="1699" spans="1:24" s="896" customFormat="1">
      <c r="A1699" s="987">
        <f t="shared" si="27"/>
        <v>1625</v>
      </c>
      <c r="B1699" s="988">
        <v>40391</v>
      </c>
      <c r="C1699" s="899" t="s">
        <v>11025</v>
      </c>
      <c r="D1699" s="988" t="s">
        <v>2666</v>
      </c>
      <c r="E1699" s="989">
        <v>705</v>
      </c>
      <c r="F1699" s="990"/>
      <c r="G1699" s="990"/>
      <c r="H1699" s="990"/>
      <c r="I1699" s="990"/>
      <c r="J1699" s="990"/>
      <c r="K1699" s="990"/>
      <c r="L1699" s="990"/>
      <c r="M1699" s="990"/>
      <c r="N1699" s="990"/>
      <c r="O1699" s="990"/>
      <c r="P1699" s="990"/>
      <c r="Q1699" s="990"/>
      <c r="R1699" s="990"/>
      <c r="S1699" s="990"/>
      <c r="T1699" s="990"/>
      <c r="U1699" s="990"/>
      <c r="V1699" s="990"/>
      <c r="W1699" s="990"/>
      <c r="X1699" s="990"/>
    </row>
    <row r="1700" spans="1:24" s="896" customFormat="1">
      <c r="A1700" s="987">
        <f t="shared" si="27"/>
        <v>1626</v>
      </c>
      <c r="B1700" s="988">
        <v>40414</v>
      </c>
      <c r="C1700" s="899" t="s">
        <v>11026</v>
      </c>
      <c r="D1700" s="988" t="s">
        <v>2666</v>
      </c>
      <c r="E1700" s="989">
        <v>23.54</v>
      </c>
      <c r="F1700" s="990"/>
      <c r="G1700" s="990"/>
      <c r="H1700" s="990"/>
      <c r="I1700" s="990"/>
      <c r="J1700" s="990"/>
      <c r="K1700" s="990"/>
      <c r="L1700" s="990"/>
      <c r="M1700" s="990"/>
      <c r="N1700" s="990"/>
      <c r="O1700" s="990"/>
      <c r="P1700" s="990"/>
      <c r="Q1700" s="990"/>
      <c r="R1700" s="990"/>
      <c r="S1700" s="990"/>
      <c r="T1700" s="990"/>
      <c r="U1700" s="990"/>
      <c r="V1700" s="990"/>
      <c r="W1700" s="990"/>
      <c r="X1700" s="990"/>
    </row>
    <row r="1701" spans="1:24" s="896" customFormat="1">
      <c r="A1701" s="987">
        <f t="shared" si="27"/>
        <v>1627</v>
      </c>
      <c r="B1701" s="988">
        <v>40416</v>
      </c>
      <c r="C1701" s="899" t="s">
        <v>11027</v>
      </c>
      <c r="D1701" s="988" t="s">
        <v>2666</v>
      </c>
      <c r="E1701" s="989">
        <v>32.54</v>
      </c>
      <c r="F1701" s="990"/>
      <c r="G1701" s="990"/>
      <c r="H1701" s="990"/>
      <c r="I1701" s="990"/>
      <c r="J1701" s="990"/>
      <c r="K1701" s="990"/>
      <c r="L1701" s="990"/>
      <c r="M1701" s="990"/>
      <c r="N1701" s="990"/>
      <c r="O1701" s="990"/>
      <c r="P1701" s="990"/>
      <c r="Q1701" s="990"/>
      <c r="R1701" s="990"/>
      <c r="S1701" s="990"/>
      <c r="T1701" s="990"/>
      <c r="U1701" s="990"/>
      <c r="V1701" s="990"/>
      <c r="W1701" s="990"/>
      <c r="X1701" s="990"/>
    </row>
    <row r="1702" spans="1:24" s="896" customFormat="1">
      <c r="A1702" s="987">
        <f t="shared" si="27"/>
        <v>1628</v>
      </c>
      <c r="B1702" s="988">
        <v>40418</v>
      </c>
      <c r="C1702" s="899" t="s">
        <v>11028</v>
      </c>
      <c r="D1702" s="988" t="s">
        <v>2666</v>
      </c>
      <c r="E1702" s="989">
        <v>38.81</v>
      </c>
      <c r="F1702" s="990"/>
      <c r="G1702" s="990"/>
      <c r="H1702" s="990"/>
      <c r="I1702" s="990"/>
      <c r="J1702" s="990"/>
      <c r="K1702" s="990"/>
      <c r="L1702" s="990"/>
      <c r="M1702" s="990"/>
      <c r="N1702" s="990"/>
      <c r="O1702" s="990"/>
      <c r="P1702" s="990"/>
      <c r="Q1702" s="990"/>
      <c r="R1702" s="990"/>
      <c r="S1702" s="990"/>
      <c r="T1702" s="990"/>
      <c r="U1702" s="990"/>
      <c r="V1702" s="990"/>
      <c r="W1702" s="990"/>
      <c r="X1702" s="990"/>
    </row>
    <row r="1703" spans="1:24" s="896" customFormat="1" ht="25.5">
      <c r="A1703" s="987">
        <f t="shared" si="27"/>
        <v>1629</v>
      </c>
      <c r="B1703" s="988">
        <v>2609</v>
      </c>
      <c r="C1703" s="899" t="s">
        <v>11029</v>
      </c>
      <c r="D1703" s="988" t="s">
        <v>2666</v>
      </c>
      <c r="E1703" s="989">
        <v>6.7</v>
      </c>
      <c r="F1703" s="990"/>
      <c r="G1703" s="990"/>
      <c r="H1703" s="990"/>
      <c r="I1703" s="990"/>
      <c r="J1703" s="990"/>
      <c r="K1703" s="990"/>
      <c r="L1703" s="990"/>
      <c r="M1703" s="990"/>
      <c r="N1703" s="990"/>
      <c r="O1703" s="990"/>
      <c r="P1703" s="990"/>
      <c r="Q1703" s="990"/>
      <c r="R1703" s="990"/>
      <c r="S1703" s="990"/>
      <c r="T1703" s="990"/>
      <c r="U1703" s="990"/>
      <c r="V1703" s="990"/>
      <c r="W1703" s="990"/>
      <c r="X1703" s="990"/>
    </row>
    <row r="1704" spans="1:24" s="896" customFormat="1" ht="25.5">
      <c r="A1704" s="987">
        <f t="shared" si="27"/>
        <v>1630</v>
      </c>
      <c r="B1704" s="988">
        <v>2634</v>
      </c>
      <c r="C1704" s="899" t="s">
        <v>11030</v>
      </c>
      <c r="D1704" s="988" t="s">
        <v>2666</v>
      </c>
      <c r="E1704" s="989">
        <v>8.8000000000000007</v>
      </c>
      <c r="F1704" s="990"/>
      <c r="G1704" s="990"/>
      <c r="H1704" s="990"/>
      <c r="I1704" s="990"/>
      <c r="J1704" s="990"/>
      <c r="K1704" s="990"/>
      <c r="L1704" s="990"/>
      <c r="M1704" s="990"/>
      <c r="N1704" s="990"/>
      <c r="O1704" s="990"/>
      <c r="P1704" s="990"/>
      <c r="Q1704" s="990"/>
      <c r="R1704" s="990"/>
      <c r="S1704" s="990"/>
      <c r="T1704" s="990"/>
      <c r="U1704" s="990"/>
      <c r="V1704" s="990"/>
      <c r="W1704" s="990"/>
      <c r="X1704" s="990"/>
    </row>
    <row r="1705" spans="1:24" s="896" customFormat="1" ht="25.5">
      <c r="A1705" s="987">
        <f t="shared" si="27"/>
        <v>1631</v>
      </c>
      <c r="B1705" s="988">
        <v>2611</v>
      </c>
      <c r="C1705" s="899" t="s">
        <v>11031</v>
      </c>
      <c r="D1705" s="988" t="s">
        <v>2666</v>
      </c>
      <c r="E1705" s="989">
        <v>24.8</v>
      </c>
      <c r="F1705" s="990"/>
      <c r="G1705" s="990"/>
      <c r="H1705" s="990"/>
      <c r="I1705" s="990"/>
      <c r="J1705" s="990"/>
      <c r="K1705" s="990"/>
      <c r="L1705" s="990"/>
      <c r="M1705" s="990"/>
      <c r="N1705" s="990"/>
      <c r="O1705" s="990"/>
      <c r="P1705" s="990"/>
      <c r="Q1705" s="990"/>
      <c r="R1705" s="990"/>
      <c r="S1705" s="990"/>
      <c r="T1705" s="990"/>
      <c r="U1705" s="990"/>
      <c r="V1705" s="990"/>
      <c r="W1705" s="990"/>
      <c r="X1705" s="990"/>
    </row>
    <row r="1706" spans="1:24" s="896" customFormat="1">
      <c r="A1706" s="987">
        <f t="shared" si="27"/>
        <v>1632</v>
      </c>
      <c r="B1706" s="988">
        <v>34359</v>
      </c>
      <c r="C1706" s="899" t="s">
        <v>11032</v>
      </c>
      <c r="D1706" s="988" t="s">
        <v>2666</v>
      </c>
      <c r="E1706" s="989">
        <v>11.65</v>
      </c>
      <c r="F1706" s="990"/>
      <c r="G1706" s="990"/>
      <c r="H1706" s="990"/>
      <c r="I1706" s="990"/>
      <c r="J1706" s="990"/>
      <c r="K1706" s="990"/>
      <c r="L1706" s="990"/>
      <c r="M1706" s="990"/>
      <c r="N1706" s="990"/>
      <c r="O1706" s="990"/>
      <c r="P1706" s="990"/>
      <c r="Q1706" s="990"/>
      <c r="R1706" s="990"/>
      <c r="S1706" s="990"/>
      <c r="T1706" s="990"/>
      <c r="U1706" s="990"/>
      <c r="V1706" s="990"/>
      <c r="W1706" s="990"/>
      <c r="X1706" s="990"/>
    </row>
    <row r="1707" spans="1:24" s="896" customFormat="1">
      <c r="A1707" s="987">
        <f t="shared" si="27"/>
        <v>1633</v>
      </c>
      <c r="B1707" s="988">
        <v>1789</v>
      </c>
      <c r="C1707" s="899" t="s">
        <v>11033</v>
      </c>
      <c r="D1707" s="988" t="s">
        <v>2666</v>
      </c>
      <c r="E1707" s="989">
        <v>83.2</v>
      </c>
      <c r="F1707" s="990"/>
      <c r="G1707" s="990"/>
      <c r="H1707" s="990"/>
      <c r="I1707" s="990"/>
      <c r="J1707" s="990"/>
      <c r="K1707" s="990"/>
      <c r="L1707" s="990"/>
      <c r="M1707" s="990"/>
      <c r="N1707" s="990"/>
      <c r="O1707" s="990"/>
      <c r="P1707" s="990"/>
      <c r="Q1707" s="990"/>
      <c r="R1707" s="990"/>
      <c r="S1707" s="990"/>
      <c r="T1707" s="990"/>
      <c r="U1707" s="990"/>
      <c r="V1707" s="990"/>
      <c r="W1707" s="990"/>
      <c r="X1707" s="990"/>
    </row>
    <row r="1708" spans="1:24" s="896" customFormat="1">
      <c r="A1708" s="987">
        <f t="shared" si="27"/>
        <v>1634</v>
      </c>
      <c r="B1708" s="988">
        <v>1788</v>
      </c>
      <c r="C1708" s="899" t="s">
        <v>11034</v>
      </c>
      <c r="D1708" s="988" t="s">
        <v>2666</v>
      </c>
      <c r="E1708" s="989">
        <v>66.69</v>
      </c>
      <c r="F1708" s="990"/>
      <c r="G1708" s="990"/>
      <c r="H1708" s="990"/>
      <c r="I1708" s="990"/>
      <c r="J1708" s="990"/>
      <c r="K1708" s="990"/>
      <c r="L1708" s="990"/>
      <c r="M1708" s="990"/>
      <c r="N1708" s="990"/>
      <c r="O1708" s="990"/>
      <c r="P1708" s="990"/>
      <c r="Q1708" s="990"/>
      <c r="R1708" s="990"/>
      <c r="S1708" s="990"/>
      <c r="T1708" s="990"/>
      <c r="U1708" s="990"/>
      <c r="V1708" s="990"/>
      <c r="W1708" s="990"/>
      <c r="X1708" s="990"/>
    </row>
    <row r="1709" spans="1:24" s="896" customFormat="1">
      <c r="A1709" s="987">
        <f t="shared" si="27"/>
        <v>1635</v>
      </c>
      <c r="B1709" s="988">
        <v>1786</v>
      </c>
      <c r="C1709" s="899" t="s">
        <v>11035</v>
      </c>
      <c r="D1709" s="988" t="s">
        <v>2666</v>
      </c>
      <c r="E1709" s="989">
        <v>16.559999999999999</v>
      </c>
      <c r="F1709" s="990"/>
      <c r="G1709" s="990"/>
      <c r="H1709" s="990"/>
      <c r="I1709" s="990"/>
      <c r="J1709" s="990"/>
      <c r="K1709" s="990"/>
      <c r="L1709" s="990"/>
      <c r="M1709" s="990"/>
      <c r="N1709" s="990"/>
      <c r="O1709" s="990"/>
      <c r="P1709" s="990"/>
      <c r="Q1709" s="990"/>
      <c r="R1709" s="990"/>
      <c r="S1709" s="990"/>
      <c r="T1709" s="990"/>
      <c r="U1709" s="990"/>
      <c r="V1709" s="990"/>
      <c r="W1709" s="990"/>
      <c r="X1709" s="990"/>
    </row>
    <row r="1710" spans="1:24" s="896" customFormat="1">
      <c r="A1710" s="987">
        <f t="shared" si="27"/>
        <v>1636</v>
      </c>
      <c r="B1710" s="988">
        <v>1787</v>
      </c>
      <c r="C1710" s="899" t="s">
        <v>11036</v>
      </c>
      <c r="D1710" s="988" t="s">
        <v>2666</v>
      </c>
      <c r="E1710" s="989">
        <v>39.65</v>
      </c>
      <c r="F1710" s="990"/>
      <c r="G1710" s="990"/>
      <c r="H1710" s="990"/>
      <c r="I1710" s="990"/>
      <c r="J1710" s="990"/>
      <c r="K1710" s="990"/>
      <c r="L1710" s="990"/>
      <c r="M1710" s="990"/>
      <c r="N1710" s="990"/>
      <c r="O1710" s="990"/>
      <c r="P1710" s="990"/>
      <c r="Q1710" s="990"/>
      <c r="R1710" s="990"/>
      <c r="S1710" s="990"/>
      <c r="T1710" s="990"/>
      <c r="U1710" s="990"/>
      <c r="V1710" s="990"/>
      <c r="W1710" s="990"/>
      <c r="X1710" s="990"/>
    </row>
    <row r="1711" spans="1:24" s="896" customFormat="1">
      <c r="A1711" s="987">
        <f t="shared" si="27"/>
        <v>1637</v>
      </c>
      <c r="B1711" s="988">
        <v>1791</v>
      </c>
      <c r="C1711" s="899" t="s">
        <v>11037</v>
      </c>
      <c r="D1711" s="988" t="s">
        <v>2666</v>
      </c>
      <c r="E1711" s="989">
        <v>240.46</v>
      </c>
      <c r="F1711" s="990"/>
      <c r="G1711" s="990"/>
      <c r="H1711" s="990"/>
      <c r="I1711" s="990"/>
      <c r="J1711" s="990"/>
      <c r="K1711" s="990"/>
      <c r="L1711" s="990"/>
      <c r="M1711" s="990"/>
      <c r="N1711" s="990"/>
      <c r="O1711" s="990"/>
      <c r="P1711" s="990"/>
      <c r="Q1711" s="990"/>
      <c r="R1711" s="990"/>
      <c r="S1711" s="990"/>
      <c r="T1711" s="990"/>
      <c r="U1711" s="990"/>
      <c r="V1711" s="990"/>
      <c r="W1711" s="990"/>
      <c r="X1711" s="990"/>
    </row>
    <row r="1712" spans="1:24" s="896" customFormat="1">
      <c r="A1712" s="987">
        <f t="shared" si="27"/>
        <v>1638</v>
      </c>
      <c r="B1712" s="988">
        <v>1790</v>
      </c>
      <c r="C1712" s="899" t="s">
        <v>11038</v>
      </c>
      <c r="D1712" s="988" t="s">
        <v>2666</v>
      </c>
      <c r="E1712" s="989">
        <v>138.56</v>
      </c>
      <c r="F1712" s="990"/>
      <c r="G1712" s="990"/>
      <c r="H1712" s="990"/>
      <c r="I1712" s="990"/>
      <c r="J1712" s="990"/>
      <c r="K1712" s="990"/>
      <c r="L1712" s="990"/>
      <c r="M1712" s="990"/>
      <c r="N1712" s="990"/>
      <c r="O1712" s="990"/>
      <c r="P1712" s="990"/>
      <c r="Q1712" s="990"/>
      <c r="R1712" s="990"/>
      <c r="S1712" s="990"/>
      <c r="T1712" s="990"/>
      <c r="U1712" s="990"/>
      <c r="V1712" s="990"/>
      <c r="W1712" s="990"/>
      <c r="X1712" s="990"/>
    </row>
    <row r="1713" spans="1:24" s="896" customFormat="1">
      <c r="A1713" s="987">
        <f t="shared" si="27"/>
        <v>1639</v>
      </c>
      <c r="B1713" s="988">
        <v>1813</v>
      </c>
      <c r="C1713" s="899" t="s">
        <v>11039</v>
      </c>
      <c r="D1713" s="988" t="s">
        <v>2666</v>
      </c>
      <c r="E1713" s="989">
        <v>26.28</v>
      </c>
      <c r="F1713" s="990"/>
      <c r="G1713" s="990"/>
      <c r="H1713" s="990"/>
      <c r="I1713" s="990"/>
      <c r="J1713" s="990"/>
      <c r="K1713" s="990"/>
      <c r="L1713" s="990"/>
      <c r="M1713" s="990"/>
      <c r="N1713" s="990"/>
      <c r="O1713" s="990"/>
      <c r="P1713" s="990"/>
      <c r="Q1713" s="990"/>
      <c r="R1713" s="990"/>
      <c r="S1713" s="990"/>
      <c r="T1713" s="990"/>
      <c r="U1713" s="990"/>
      <c r="V1713" s="990"/>
      <c r="W1713" s="990"/>
      <c r="X1713" s="990"/>
    </row>
    <row r="1714" spans="1:24" s="896" customFormat="1">
      <c r="A1714" s="987">
        <f t="shared" si="27"/>
        <v>1640</v>
      </c>
      <c r="B1714" s="988">
        <v>1792</v>
      </c>
      <c r="C1714" s="899" t="s">
        <v>11040</v>
      </c>
      <c r="D1714" s="988" t="s">
        <v>2666</v>
      </c>
      <c r="E1714" s="989">
        <v>324.58</v>
      </c>
      <c r="F1714" s="990"/>
      <c r="G1714" s="990"/>
      <c r="H1714" s="990"/>
      <c r="I1714" s="990"/>
      <c r="J1714" s="990"/>
      <c r="K1714" s="990"/>
      <c r="L1714" s="990"/>
      <c r="M1714" s="990"/>
      <c r="N1714" s="990"/>
      <c r="O1714" s="990"/>
      <c r="P1714" s="990"/>
      <c r="Q1714" s="990"/>
      <c r="R1714" s="990"/>
      <c r="S1714" s="990"/>
      <c r="T1714" s="990"/>
      <c r="U1714" s="990"/>
      <c r="V1714" s="990"/>
      <c r="W1714" s="990"/>
      <c r="X1714" s="990"/>
    </row>
    <row r="1715" spans="1:24" s="896" customFormat="1">
      <c r="A1715" s="987">
        <f t="shared" si="27"/>
        <v>1641</v>
      </c>
      <c r="B1715" s="988">
        <v>1793</v>
      </c>
      <c r="C1715" s="899" t="s">
        <v>11041</v>
      </c>
      <c r="D1715" s="988" t="s">
        <v>2666</v>
      </c>
      <c r="E1715" s="989">
        <v>655.87</v>
      </c>
      <c r="F1715" s="990"/>
      <c r="G1715" s="990"/>
      <c r="H1715" s="990"/>
      <c r="I1715" s="990"/>
      <c r="J1715" s="990"/>
      <c r="K1715" s="990"/>
      <c r="L1715" s="990"/>
      <c r="M1715" s="990"/>
      <c r="N1715" s="990"/>
      <c r="O1715" s="990"/>
      <c r="P1715" s="990"/>
      <c r="Q1715" s="990"/>
      <c r="R1715" s="990"/>
      <c r="S1715" s="990"/>
      <c r="T1715" s="990"/>
      <c r="U1715" s="990"/>
      <c r="V1715" s="990"/>
      <c r="W1715" s="990"/>
      <c r="X1715" s="990"/>
    </row>
    <row r="1716" spans="1:24" s="896" customFormat="1">
      <c r="A1716" s="987">
        <f t="shared" si="27"/>
        <v>1642</v>
      </c>
      <c r="B1716" s="988">
        <v>1809</v>
      </c>
      <c r="C1716" s="899" t="s">
        <v>11042</v>
      </c>
      <c r="D1716" s="988" t="s">
        <v>2666</v>
      </c>
      <c r="E1716" s="989">
        <v>78</v>
      </c>
      <c r="F1716" s="990"/>
      <c r="G1716" s="990"/>
      <c r="H1716" s="990"/>
      <c r="I1716" s="990"/>
      <c r="J1716" s="990"/>
      <c r="K1716" s="990"/>
      <c r="L1716" s="990"/>
      <c r="M1716" s="990"/>
      <c r="N1716" s="990"/>
      <c r="O1716" s="990"/>
      <c r="P1716" s="990"/>
      <c r="Q1716" s="990"/>
      <c r="R1716" s="990"/>
      <c r="S1716" s="990"/>
      <c r="T1716" s="990"/>
      <c r="U1716" s="990"/>
      <c r="V1716" s="990"/>
      <c r="W1716" s="990"/>
      <c r="X1716" s="990"/>
    </row>
    <row r="1717" spans="1:24" s="896" customFormat="1">
      <c r="A1717" s="987">
        <f t="shared" si="27"/>
        <v>1643</v>
      </c>
      <c r="B1717" s="988">
        <v>1814</v>
      </c>
      <c r="C1717" s="899" t="s">
        <v>11043</v>
      </c>
      <c r="D1717" s="988" t="s">
        <v>2666</v>
      </c>
      <c r="E1717" s="989">
        <v>64.08</v>
      </c>
      <c r="F1717" s="990"/>
      <c r="G1717" s="990"/>
      <c r="H1717" s="990"/>
      <c r="I1717" s="990"/>
      <c r="J1717" s="990"/>
      <c r="K1717" s="990"/>
      <c r="L1717" s="990"/>
      <c r="M1717" s="990"/>
      <c r="N1717" s="990"/>
      <c r="O1717" s="990"/>
      <c r="P1717" s="990"/>
      <c r="Q1717" s="990"/>
      <c r="R1717" s="990"/>
      <c r="S1717" s="990"/>
      <c r="T1717" s="990"/>
      <c r="U1717" s="990"/>
      <c r="V1717" s="990"/>
      <c r="W1717" s="990"/>
      <c r="X1717" s="990"/>
    </row>
    <row r="1718" spans="1:24" s="896" customFormat="1">
      <c r="A1718" s="987">
        <f t="shared" si="27"/>
        <v>1644</v>
      </c>
      <c r="B1718" s="988">
        <v>1803</v>
      </c>
      <c r="C1718" s="899" t="s">
        <v>11044</v>
      </c>
      <c r="D1718" s="988" t="s">
        <v>2666</v>
      </c>
      <c r="E1718" s="989">
        <v>16.190000000000001</v>
      </c>
      <c r="F1718" s="990"/>
      <c r="G1718" s="990"/>
      <c r="H1718" s="990"/>
      <c r="I1718" s="990"/>
      <c r="J1718" s="990"/>
      <c r="K1718" s="990"/>
      <c r="L1718" s="990"/>
      <c r="M1718" s="990"/>
      <c r="N1718" s="990"/>
      <c r="O1718" s="990"/>
      <c r="P1718" s="990"/>
      <c r="Q1718" s="990"/>
      <c r="R1718" s="990"/>
      <c r="S1718" s="990"/>
      <c r="T1718" s="990"/>
      <c r="U1718" s="990"/>
      <c r="V1718" s="990"/>
      <c r="W1718" s="990"/>
      <c r="X1718" s="990"/>
    </row>
    <row r="1719" spans="1:24" s="896" customFormat="1">
      <c r="A1719" s="987">
        <f t="shared" si="27"/>
        <v>1645</v>
      </c>
      <c r="B1719" s="988">
        <v>1805</v>
      </c>
      <c r="C1719" s="899" t="s">
        <v>11045</v>
      </c>
      <c r="D1719" s="988" t="s">
        <v>2666</v>
      </c>
      <c r="E1719" s="989">
        <v>37.19</v>
      </c>
      <c r="F1719" s="990"/>
      <c r="G1719" s="990"/>
      <c r="H1719" s="990"/>
      <c r="I1719" s="990"/>
      <c r="J1719" s="990"/>
      <c r="K1719" s="990"/>
      <c r="L1719" s="990"/>
      <c r="M1719" s="990"/>
      <c r="N1719" s="990"/>
      <c r="O1719" s="990"/>
      <c r="P1719" s="990"/>
      <c r="Q1719" s="990"/>
      <c r="R1719" s="990"/>
      <c r="S1719" s="990"/>
      <c r="T1719" s="990"/>
      <c r="U1719" s="990"/>
      <c r="V1719" s="990"/>
      <c r="W1719" s="990"/>
      <c r="X1719" s="990"/>
    </row>
    <row r="1720" spans="1:24" s="896" customFormat="1">
      <c r="A1720" s="987">
        <f t="shared" si="27"/>
        <v>1646</v>
      </c>
      <c r="B1720" s="988">
        <v>1821</v>
      </c>
      <c r="C1720" s="899" t="s">
        <v>11046</v>
      </c>
      <c r="D1720" s="988" t="s">
        <v>2666</v>
      </c>
      <c r="E1720" s="989">
        <v>219.69</v>
      </c>
      <c r="F1720" s="990"/>
      <c r="G1720" s="990"/>
      <c r="H1720" s="990"/>
      <c r="I1720" s="990"/>
      <c r="J1720" s="990"/>
      <c r="K1720" s="990"/>
      <c r="L1720" s="990"/>
      <c r="M1720" s="990"/>
      <c r="N1720" s="990"/>
      <c r="O1720" s="990"/>
      <c r="P1720" s="990"/>
      <c r="Q1720" s="990"/>
      <c r="R1720" s="990"/>
      <c r="S1720" s="990"/>
      <c r="T1720" s="990"/>
      <c r="U1720" s="990"/>
      <c r="V1720" s="990"/>
      <c r="W1720" s="990"/>
      <c r="X1720" s="990"/>
    </row>
    <row r="1721" spans="1:24" s="896" customFormat="1">
      <c r="A1721" s="987">
        <f t="shared" si="27"/>
        <v>1647</v>
      </c>
      <c r="B1721" s="988">
        <v>1806</v>
      </c>
      <c r="C1721" s="899" t="s">
        <v>11047</v>
      </c>
      <c r="D1721" s="988" t="s">
        <v>2666</v>
      </c>
      <c r="E1721" s="989">
        <v>130.76</v>
      </c>
      <c r="F1721" s="990"/>
      <c r="G1721" s="990"/>
      <c r="H1721" s="990"/>
      <c r="I1721" s="990"/>
      <c r="J1721" s="990"/>
      <c r="K1721" s="990"/>
      <c r="L1721" s="990"/>
      <c r="M1721" s="990"/>
      <c r="N1721" s="990"/>
      <c r="O1721" s="990"/>
      <c r="P1721" s="990"/>
      <c r="Q1721" s="990"/>
      <c r="R1721" s="990"/>
      <c r="S1721" s="990"/>
      <c r="T1721" s="990"/>
      <c r="U1721" s="990"/>
      <c r="V1721" s="990"/>
      <c r="W1721" s="990"/>
      <c r="X1721" s="990"/>
    </row>
    <row r="1722" spans="1:24" s="896" customFormat="1">
      <c r="A1722" s="987">
        <f t="shared" si="27"/>
        <v>1648</v>
      </c>
      <c r="B1722" s="988">
        <v>1804</v>
      </c>
      <c r="C1722" s="899" t="s">
        <v>11048</v>
      </c>
      <c r="D1722" s="988" t="s">
        <v>2666</v>
      </c>
      <c r="E1722" s="989">
        <v>23.05</v>
      </c>
      <c r="F1722" s="990"/>
      <c r="G1722" s="990"/>
      <c r="H1722" s="990"/>
      <c r="I1722" s="990"/>
      <c r="J1722" s="990"/>
      <c r="K1722" s="990"/>
      <c r="L1722" s="990"/>
      <c r="M1722" s="990"/>
      <c r="N1722" s="990"/>
      <c r="O1722" s="990"/>
      <c r="P1722" s="990"/>
      <c r="Q1722" s="990"/>
      <c r="R1722" s="990"/>
      <c r="S1722" s="990"/>
      <c r="T1722" s="990"/>
      <c r="U1722" s="990"/>
      <c r="V1722" s="990"/>
      <c r="W1722" s="990"/>
      <c r="X1722" s="990"/>
    </row>
    <row r="1723" spans="1:24" s="896" customFormat="1">
      <c r="A1723" s="987">
        <f t="shared" si="27"/>
        <v>1649</v>
      </c>
      <c r="B1723" s="988">
        <v>1807</v>
      </c>
      <c r="C1723" s="899" t="s">
        <v>11049</v>
      </c>
      <c r="D1723" s="988" t="s">
        <v>2666</v>
      </c>
      <c r="E1723" s="989">
        <v>314.2</v>
      </c>
      <c r="F1723" s="990"/>
      <c r="G1723" s="990"/>
      <c r="H1723" s="990"/>
      <c r="I1723" s="990"/>
      <c r="J1723" s="990"/>
      <c r="K1723" s="990"/>
      <c r="L1723" s="990"/>
      <c r="M1723" s="990"/>
      <c r="N1723" s="990"/>
      <c r="O1723" s="990"/>
      <c r="P1723" s="990"/>
      <c r="Q1723" s="990"/>
      <c r="R1723" s="990"/>
      <c r="S1723" s="990"/>
      <c r="T1723" s="990"/>
      <c r="U1723" s="990"/>
      <c r="V1723" s="990"/>
      <c r="W1723" s="990"/>
      <c r="X1723" s="990"/>
    </row>
    <row r="1724" spans="1:24" s="896" customFormat="1">
      <c r="A1724" s="987">
        <f t="shared" si="27"/>
        <v>1650</v>
      </c>
      <c r="B1724" s="988">
        <v>1808</v>
      </c>
      <c r="C1724" s="899" t="s">
        <v>11050</v>
      </c>
      <c r="D1724" s="988" t="s">
        <v>2666</v>
      </c>
      <c r="E1724" s="989">
        <v>629.91</v>
      </c>
      <c r="F1724" s="990"/>
      <c r="G1724" s="990"/>
      <c r="H1724" s="990"/>
      <c r="I1724" s="990"/>
      <c r="J1724" s="990"/>
      <c r="K1724" s="990"/>
      <c r="L1724" s="990"/>
      <c r="M1724" s="990"/>
      <c r="N1724" s="990"/>
      <c r="O1724" s="990"/>
      <c r="P1724" s="990"/>
      <c r="Q1724" s="990"/>
      <c r="R1724" s="990"/>
      <c r="S1724" s="990"/>
      <c r="T1724" s="990"/>
      <c r="U1724" s="990"/>
      <c r="V1724" s="990"/>
      <c r="W1724" s="990"/>
      <c r="X1724" s="990"/>
    </row>
    <row r="1725" spans="1:24" s="896" customFormat="1">
      <c r="A1725" s="987">
        <f t="shared" si="27"/>
        <v>1651</v>
      </c>
      <c r="B1725" s="988">
        <v>1797</v>
      </c>
      <c r="C1725" s="899" t="s">
        <v>11051</v>
      </c>
      <c r="D1725" s="988" t="s">
        <v>2666</v>
      </c>
      <c r="E1725" s="989">
        <v>94.47</v>
      </c>
      <c r="F1725" s="990"/>
      <c r="G1725" s="990"/>
      <c r="H1725" s="990"/>
      <c r="I1725" s="990"/>
      <c r="J1725" s="990"/>
      <c r="K1725" s="990"/>
      <c r="L1725" s="990"/>
      <c r="M1725" s="990"/>
      <c r="N1725" s="990"/>
      <c r="O1725" s="990"/>
      <c r="P1725" s="990"/>
      <c r="Q1725" s="990"/>
      <c r="R1725" s="990"/>
      <c r="S1725" s="990"/>
      <c r="T1725" s="990"/>
      <c r="U1725" s="990"/>
      <c r="V1725" s="990"/>
      <c r="W1725" s="990"/>
      <c r="X1725" s="990"/>
    </row>
    <row r="1726" spans="1:24" s="896" customFormat="1">
      <c r="A1726" s="987">
        <f t="shared" si="27"/>
        <v>1652</v>
      </c>
      <c r="B1726" s="988">
        <v>1796</v>
      </c>
      <c r="C1726" s="899" t="s">
        <v>11052</v>
      </c>
      <c r="D1726" s="988" t="s">
        <v>2666</v>
      </c>
      <c r="E1726" s="989">
        <v>72.47</v>
      </c>
      <c r="F1726" s="990"/>
      <c r="G1726" s="990"/>
      <c r="H1726" s="990"/>
      <c r="I1726" s="990"/>
      <c r="J1726" s="990"/>
      <c r="K1726" s="990"/>
      <c r="L1726" s="990"/>
      <c r="M1726" s="990"/>
      <c r="N1726" s="990"/>
      <c r="O1726" s="990"/>
      <c r="P1726" s="990"/>
      <c r="Q1726" s="990"/>
      <c r="R1726" s="990"/>
      <c r="S1726" s="990"/>
      <c r="T1726" s="990"/>
      <c r="U1726" s="990"/>
      <c r="V1726" s="990"/>
      <c r="W1726" s="990"/>
      <c r="X1726" s="990"/>
    </row>
    <row r="1727" spans="1:24" s="896" customFormat="1">
      <c r="A1727" s="987">
        <f t="shared" si="27"/>
        <v>1653</v>
      </c>
      <c r="B1727" s="988">
        <v>1794</v>
      </c>
      <c r="C1727" s="899" t="s">
        <v>11053</v>
      </c>
      <c r="D1727" s="988" t="s">
        <v>2666</v>
      </c>
      <c r="E1727" s="989">
        <v>17.3</v>
      </c>
      <c r="F1727" s="990"/>
      <c r="G1727" s="990"/>
      <c r="H1727" s="990"/>
      <c r="I1727" s="990"/>
      <c r="J1727" s="990"/>
      <c r="K1727" s="990"/>
      <c r="L1727" s="990"/>
      <c r="M1727" s="990"/>
      <c r="N1727" s="990"/>
      <c r="O1727" s="990"/>
      <c r="P1727" s="990"/>
      <c r="Q1727" s="990"/>
      <c r="R1727" s="990"/>
      <c r="S1727" s="990"/>
      <c r="T1727" s="990"/>
      <c r="U1727" s="990"/>
      <c r="V1727" s="990"/>
      <c r="W1727" s="990"/>
      <c r="X1727" s="990"/>
    </row>
    <row r="1728" spans="1:24" s="896" customFormat="1">
      <c r="A1728" s="987">
        <f t="shared" si="27"/>
        <v>1654</v>
      </c>
      <c r="B1728" s="988">
        <v>1816</v>
      </c>
      <c r="C1728" s="899" t="s">
        <v>11054</v>
      </c>
      <c r="D1728" s="988" t="s">
        <v>2666</v>
      </c>
      <c r="E1728" s="989">
        <v>39.01</v>
      </c>
      <c r="F1728" s="990"/>
      <c r="G1728" s="990"/>
      <c r="H1728" s="990"/>
      <c r="I1728" s="990"/>
      <c r="J1728" s="990"/>
      <c r="K1728" s="990"/>
      <c r="L1728" s="990"/>
      <c r="M1728" s="990"/>
      <c r="N1728" s="990"/>
      <c r="O1728" s="990"/>
      <c r="P1728" s="990"/>
      <c r="Q1728" s="990"/>
      <c r="R1728" s="990"/>
      <c r="S1728" s="990"/>
      <c r="T1728" s="990"/>
      <c r="U1728" s="990"/>
      <c r="V1728" s="990"/>
      <c r="W1728" s="990"/>
      <c r="X1728" s="990"/>
    </row>
    <row r="1729" spans="1:24" s="896" customFormat="1">
      <c r="A1729" s="987">
        <f t="shared" si="27"/>
        <v>1655</v>
      </c>
      <c r="B1729" s="988">
        <v>1815</v>
      </c>
      <c r="C1729" s="899" t="s">
        <v>11055</v>
      </c>
      <c r="D1729" s="988" t="s">
        <v>2666</v>
      </c>
      <c r="E1729" s="989">
        <v>299.55</v>
      </c>
      <c r="F1729" s="990"/>
      <c r="G1729" s="990"/>
      <c r="H1729" s="990"/>
      <c r="I1729" s="990"/>
      <c r="J1729" s="990"/>
      <c r="K1729" s="990"/>
      <c r="L1729" s="990"/>
      <c r="M1729" s="990"/>
      <c r="N1729" s="990"/>
      <c r="O1729" s="990"/>
      <c r="P1729" s="990"/>
      <c r="Q1729" s="990"/>
      <c r="R1729" s="990"/>
      <c r="S1729" s="990"/>
      <c r="T1729" s="990"/>
      <c r="U1729" s="990"/>
      <c r="V1729" s="990"/>
      <c r="W1729" s="990"/>
      <c r="X1729" s="990"/>
    </row>
    <row r="1730" spans="1:24" s="896" customFormat="1">
      <c r="A1730" s="987">
        <f t="shared" si="27"/>
        <v>1656</v>
      </c>
      <c r="B1730" s="988">
        <v>1798</v>
      </c>
      <c r="C1730" s="899" t="s">
        <v>11056</v>
      </c>
      <c r="D1730" s="988" t="s">
        <v>2666</v>
      </c>
      <c r="E1730" s="989">
        <v>134.04</v>
      </c>
      <c r="F1730" s="990"/>
      <c r="G1730" s="990"/>
      <c r="H1730" s="990"/>
      <c r="I1730" s="990"/>
      <c r="J1730" s="990"/>
      <c r="K1730" s="990"/>
      <c r="L1730" s="990"/>
      <c r="M1730" s="990"/>
      <c r="N1730" s="990"/>
      <c r="O1730" s="990"/>
      <c r="P1730" s="990"/>
      <c r="Q1730" s="990"/>
      <c r="R1730" s="990"/>
      <c r="S1730" s="990"/>
      <c r="T1730" s="990"/>
      <c r="U1730" s="990"/>
      <c r="V1730" s="990"/>
      <c r="W1730" s="990"/>
      <c r="X1730" s="990"/>
    </row>
    <row r="1731" spans="1:24" s="896" customFormat="1">
      <c r="A1731" s="987">
        <f t="shared" si="27"/>
        <v>1657</v>
      </c>
      <c r="B1731" s="988">
        <v>1795</v>
      </c>
      <c r="C1731" s="899" t="s">
        <v>11057</v>
      </c>
      <c r="D1731" s="988" t="s">
        <v>2666</v>
      </c>
      <c r="E1731" s="989">
        <v>23.96</v>
      </c>
      <c r="F1731" s="990"/>
      <c r="G1731" s="990"/>
      <c r="H1731" s="990"/>
      <c r="I1731" s="990"/>
      <c r="J1731" s="990"/>
      <c r="K1731" s="990"/>
      <c r="L1731" s="990"/>
      <c r="M1731" s="990"/>
      <c r="N1731" s="990"/>
      <c r="O1731" s="990"/>
      <c r="P1731" s="990"/>
      <c r="Q1731" s="990"/>
      <c r="R1731" s="990"/>
      <c r="S1731" s="990"/>
      <c r="T1731" s="990"/>
      <c r="U1731" s="990"/>
      <c r="V1731" s="990"/>
      <c r="W1731" s="990"/>
      <c r="X1731" s="990"/>
    </row>
    <row r="1732" spans="1:24" s="896" customFormat="1">
      <c r="A1732" s="987">
        <f t="shared" si="27"/>
        <v>1658</v>
      </c>
      <c r="B1732" s="988">
        <v>1799</v>
      </c>
      <c r="C1732" s="899" t="s">
        <v>11058</v>
      </c>
      <c r="D1732" s="988" t="s">
        <v>2666</v>
      </c>
      <c r="E1732" s="989">
        <v>390.13</v>
      </c>
      <c r="F1732" s="990"/>
      <c r="G1732" s="990"/>
      <c r="H1732" s="990"/>
      <c r="I1732" s="990"/>
      <c r="J1732" s="990"/>
      <c r="K1732" s="990"/>
      <c r="L1732" s="990"/>
      <c r="M1732" s="990"/>
      <c r="N1732" s="990"/>
      <c r="O1732" s="990"/>
      <c r="P1732" s="990"/>
      <c r="Q1732" s="990"/>
      <c r="R1732" s="990"/>
      <c r="S1732" s="990"/>
      <c r="T1732" s="990"/>
      <c r="U1732" s="990"/>
      <c r="V1732" s="990"/>
      <c r="W1732" s="990"/>
      <c r="X1732" s="990"/>
    </row>
    <row r="1733" spans="1:24" s="896" customFormat="1">
      <c r="A1733" s="987">
        <f t="shared" si="27"/>
        <v>1659</v>
      </c>
      <c r="B1733" s="988">
        <v>1800</v>
      </c>
      <c r="C1733" s="899" t="s">
        <v>11059</v>
      </c>
      <c r="D1733" s="988" t="s">
        <v>2666</v>
      </c>
      <c r="E1733" s="989">
        <v>744.83</v>
      </c>
      <c r="F1733" s="990"/>
      <c r="G1733" s="990"/>
      <c r="H1733" s="990"/>
      <c r="I1733" s="990"/>
      <c r="J1733" s="990"/>
      <c r="K1733" s="990"/>
      <c r="L1733" s="990"/>
      <c r="M1733" s="990"/>
      <c r="N1733" s="990"/>
      <c r="O1733" s="990"/>
      <c r="P1733" s="990"/>
      <c r="Q1733" s="990"/>
      <c r="R1733" s="990"/>
      <c r="S1733" s="990"/>
      <c r="T1733" s="990"/>
      <c r="U1733" s="990"/>
      <c r="V1733" s="990"/>
      <c r="W1733" s="990"/>
      <c r="X1733" s="990"/>
    </row>
    <row r="1734" spans="1:24" s="896" customFormat="1">
      <c r="A1734" s="987">
        <f t="shared" si="27"/>
        <v>1660</v>
      </c>
      <c r="B1734" s="988">
        <v>1802</v>
      </c>
      <c r="C1734" s="899" t="s">
        <v>11060</v>
      </c>
      <c r="D1734" s="988" t="s">
        <v>2666</v>
      </c>
      <c r="E1734" s="989">
        <v>1863.11</v>
      </c>
      <c r="F1734" s="990"/>
      <c r="G1734" s="990"/>
      <c r="H1734" s="990"/>
      <c r="I1734" s="990"/>
      <c r="J1734" s="990"/>
      <c r="K1734" s="990"/>
      <c r="L1734" s="990"/>
      <c r="M1734" s="990"/>
      <c r="N1734" s="990"/>
      <c r="O1734" s="990"/>
      <c r="P1734" s="990"/>
      <c r="Q1734" s="990"/>
      <c r="R1734" s="990"/>
      <c r="S1734" s="990"/>
      <c r="T1734" s="990"/>
      <c r="U1734" s="990"/>
      <c r="V1734" s="990"/>
      <c r="W1734" s="990"/>
      <c r="X1734" s="990"/>
    </row>
    <row r="1735" spans="1:24" s="896" customFormat="1" ht="25.5">
      <c r="A1735" s="987">
        <f t="shared" si="27"/>
        <v>1661</v>
      </c>
      <c r="B1735" s="988">
        <v>40385</v>
      </c>
      <c r="C1735" s="899" t="s">
        <v>11061</v>
      </c>
      <c r="D1735" s="988" t="s">
        <v>2666</v>
      </c>
      <c r="E1735" s="989">
        <v>95.63</v>
      </c>
      <c r="F1735" s="990"/>
      <c r="G1735" s="990"/>
      <c r="H1735" s="990"/>
      <c r="I1735" s="990"/>
      <c r="J1735" s="990"/>
      <c r="K1735" s="990"/>
      <c r="L1735" s="990"/>
      <c r="M1735" s="990"/>
      <c r="N1735" s="990"/>
      <c r="O1735" s="990"/>
      <c r="P1735" s="990"/>
      <c r="Q1735" s="990"/>
      <c r="R1735" s="990"/>
      <c r="S1735" s="990"/>
      <c r="T1735" s="990"/>
      <c r="U1735" s="990"/>
      <c r="V1735" s="990"/>
      <c r="W1735" s="990"/>
      <c r="X1735" s="990"/>
    </row>
    <row r="1736" spans="1:24" s="896" customFormat="1" ht="25.5">
      <c r="A1736" s="987">
        <f t="shared" si="27"/>
        <v>1662</v>
      </c>
      <c r="B1736" s="988">
        <v>40383</v>
      </c>
      <c r="C1736" s="899" t="s">
        <v>11062</v>
      </c>
      <c r="D1736" s="988" t="s">
        <v>2666</v>
      </c>
      <c r="E1736" s="989">
        <v>65.47</v>
      </c>
      <c r="F1736" s="990"/>
      <c r="G1736" s="990"/>
      <c r="H1736" s="990"/>
      <c r="I1736" s="990"/>
      <c r="J1736" s="990"/>
      <c r="K1736" s="990"/>
      <c r="L1736" s="990"/>
      <c r="M1736" s="990"/>
      <c r="N1736" s="990"/>
      <c r="O1736" s="990"/>
      <c r="P1736" s="990"/>
      <c r="Q1736" s="990"/>
      <c r="R1736" s="990"/>
      <c r="S1736" s="990"/>
      <c r="T1736" s="990"/>
      <c r="U1736" s="990"/>
      <c r="V1736" s="990"/>
      <c r="W1736" s="990"/>
      <c r="X1736" s="990"/>
    </row>
    <row r="1737" spans="1:24" s="896" customFormat="1">
      <c r="A1737" s="987">
        <f t="shared" si="27"/>
        <v>1663</v>
      </c>
      <c r="B1737" s="988">
        <v>40378</v>
      </c>
      <c r="C1737" s="899" t="s">
        <v>11063</v>
      </c>
      <c r="D1737" s="988" t="s">
        <v>2666</v>
      </c>
      <c r="E1737" s="989">
        <v>22.63</v>
      </c>
      <c r="F1737" s="990"/>
      <c r="G1737" s="990"/>
      <c r="H1737" s="990"/>
      <c r="I1737" s="990"/>
      <c r="J1737" s="990"/>
      <c r="K1737" s="990"/>
      <c r="L1737" s="990"/>
      <c r="M1737" s="990"/>
      <c r="N1737" s="990"/>
      <c r="O1737" s="990"/>
      <c r="P1737" s="990"/>
      <c r="Q1737" s="990"/>
      <c r="R1737" s="990"/>
      <c r="S1737" s="990"/>
      <c r="T1737" s="990"/>
      <c r="U1737" s="990"/>
      <c r="V1737" s="990"/>
      <c r="W1737" s="990"/>
      <c r="X1737" s="990"/>
    </row>
    <row r="1738" spans="1:24" s="896" customFormat="1">
      <c r="A1738" s="987">
        <f t="shared" si="27"/>
        <v>1664</v>
      </c>
      <c r="B1738" s="988">
        <v>40382</v>
      </c>
      <c r="C1738" s="899" t="s">
        <v>11064</v>
      </c>
      <c r="D1738" s="988" t="s">
        <v>2666</v>
      </c>
      <c r="E1738" s="989">
        <v>42.83</v>
      </c>
      <c r="F1738" s="990"/>
      <c r="G1738" s="990"/>
      <c r="H1738" s="990"/>
      <c r="I1738" s="990"/>
      <c r="J1738" s="990"/>
      <c r="K1738" s="990"/>
      <c r="L1738" s="990"/>
      <c r="M1738" s="990"/>
      <c r="N1738" s="990"/>
      <c r="O1738" s="990"/>
      <c r="P1738" s="990"/>
      <c r="Q1738" s="990"/>
      <c r="R1738" s="990"/>
      <c r="S1738" s="990"/>
      <c r="T1738" s="990"/>
      <c r="U1738" s="990"/>
      <c r="V1738" s="990"/>
      <c r="W1738" s="990"/>
      <c r="X1738" s="990"/>
    </row>
    <row r="1739" spans="1:24" s="896" customFormat="1" ht="25.5">
      <c r="A1739" s="987">
        <f t="shared" si="27"/>
        <v>1665</v>
      </c>
      <c r="B1739" s="988">
        <v>40422</v>
      </c>
      <c r="C1739" s="899" t="s">
        <v>11065</v>
      </c>
      <c r="D1739" s="988" t="s">
        <v>2666</v>
      </c>
      <c r="E1739" s="989">
        <v>291.79000000000002</v>
      </c>
      <c r="F1739" s="990"/>
      <c r="G1739" s="990"/>
      <c r="H1739" s="990"/>
      <c r="I1739" s="990"/>
      <c r="J1739" s="990"/>
      <c r="K1739" s="990"/>
      <c r="L1739" s="990"/>
      <c r="M1739" s="990"/>
      <c r="N1739" s="990"/>
      <c r="O1739" s="990"/>
      <c r="P1739" s="990"/>
      <c r="Q1739" s="990"/>
      <c r="R1739" s="990"/>
      <c r="S1739" s="990"/>
      <c r="T1739" s="990"/>
      <c r="U1739" s="990"/>
      <c r="V1739" s="990"/>
      <c r="W1739" s="990"/>
      <c r="X1739" s="990"/>
    </row>
    <row r="1740" spans="1:24" s="896" customFormat="1">
      <c r="A1740" s="987">
        <f t="shared" ref="A1740:A1803" si="28">A1739+1</f>
        <v>1666</v>
      </c>
      <c r="B1740" s="988">
        <v>40387</v>
      </c>
      <c r="C1740" s="899" t="s">
        <v>11066</v>
      </c>
      <c r="D1740" s="988" t="s">
        <v>2666</v>
      </c>
      <c r="E1740" s="989">
        <v>148.57</v>
      </c>
      <c r="F1740" s="990"/>
      <c r="G1740" s="990"/>
      <c r="H1740" s="990"/>
      <c r="I1740" s="990"/>
      <c r="J1740" s="990"/>
      <c r="K1740" s="990"/>
      <c r="L1740" s="990"/>
      <c r="M1740" s="990"/>
      <c r="N1740" s="990"/>
      <c r="O1740" s="990"/>
      <c r="P1740" s="990"/>
      <c r="Q1740" s="990"/>
      <c r="R1740" s="990"/>
      <c r="S1740" s="990"/>
      <c r="T1740" s="990"/>
      <c r="U1740" s="990"/>
      <c r="V1740" s="990"/>
      <c r="W1740" s="990"/>
      <c r="X1740" s="990"/>
    </row>
    <row r="1741" spans="1:24" s="896" customFormat="1">
      <c r="A1741" s="987">
        <f t="shared" si="28"/>
        <v>1667</v>
      </c>
      <c r="B1741" s="988">
        <v>40380</v>
      </c>
      <c r="C1741" s="899" t="s">
        <v>11067</v>
      </c>
      <c r="D1741" s="988" t="s">
        <v>2666</v>
      </c>
      <c r="E1741" s="989">
        <v>30.18</v>
      </c>
      <c r="F1741" s="990"/>
      <c r="G1741" s="990"/>
      <c r="H1741" s="990"/>
      <c r="I1741" s="990"/>
      <c r="J1741" s="990"/>
      <c r="K1741" s="990"/>
      <c r="L1741" s="990"/>
      <c r="M1741" s="990"/>
      <c r="N1741" s="990"/>
      <c r="O1741" s="990"/>
      <c r="P1741" s="990"/>
      <c r="Q1741" s="990"/>
      <c r="R1741" s="990"/>
      <c r="S1741" s="990"/>
      <c r="T1741" s="990"/>
      <c r="U1741" s="990"/>
      <c r="V1741" s="990"/>
      <c r="W1741" s="990"/>
      <c r="X1741" s="990"/>
    </row>
    <row r="1742" spans="1:24" s="896" customFormat="1">
      <c r="A1742" s="987">
        <f t="shared" si="28"/>
        <v>1668</v>
      </c>
      <c r="B1742" s="988">
        <v>40390</v>
      </c>
      <c r="C1742" s="899" t="s">
        <v>11068</v>
      </c>
      <c r="D1742" s="988" t="s">
        <v>2666</v>
      </c>
      <c r="E1742" s="989">
        <v>614.54</v>
      </c>
      <c r="F1742" s="990"/>
      <c r="G1742" s="990"/>
      <c r="H1742" s="990"/>
      <c r="I1742" s="990"/>
      <c r="J1742" s="990"/>
      <c r="K1742" s="990"/>
      <c r="L1742" s="990"/>
      <c r="M1742" s="990"/>
      <c r="N1742" s="990"/>
      <c r="O1742" s="990"/>
      <c r="P1742" s="990"/>
      <c r="Q1742" s="990"/>
      <c r="R1742" s="990"/>
      <c r="S1742" s="990"/>
      <c r="T1742" s="990"/>
      <c r="U1742" s="990"/>
      <c r="V1742" s="990"/>
      <c r="W1742" s="990"/>
      <c r="X1742" s="990"/>
    </row>
    <row r="1743" spans="1:24" s="896" customFormat="1">
      <c r="A1743" s="987">
        <f t="shared" si="28"/>
        <v>1669</v>
      </c>
      <c r="B1743" s="988">
        <v>40413</v>
      </c>
      <c r="C1743" s="899" t="s">
        <v>11069</v>
      </c>
      <c r="D1743" s="988" t="s">
        <v>2666</v>
      </c>
      <c r="E1743" s="989">
        <v>25.57</v>
      </c>
      <c r="F1743" s="990"/>
      <c r="G1743" s="990"/>
      <c r="H1743" s="990"/>
      <c r="I1743" s="990"/>
      <c r="J1743" s="990"/>
      <c r="K1743" s="990"/>
      <c r="L1743" s="990"/>
      <c r="M1743" s="990"/>
      <c r="N1743" s="990"/>
      <c r="O1743" s="990"/>
      <c r="P1743" s="990"/>
      <c r="Q1743" s="990"/>
      <c r="R1743" s="990"/>
      <c r="S1743" s="990"/>
      <c r="T1743" s="990"/>
      <c r="U1743" s="990"/>
      <c r="V1743" s="990"/>
      <c r="W1743" s="990"/>
      <c r="X1743" s="990"/>
    </row>
    <row r="1744" spans="1:24" s="896" customFormat="1">
      <c r="A1744" s="987">
        <f t="shared" si="28"/>
        <v>1670</v>
      </c>
      <c r="B1744" s="988">
        <v>40415</v>
      </c>
      <c r="C1744" s="899" t="s">
        <v>11070</v>
      </c>
      <c r="D1744" s="988" t="s">
        <v>2666</v>
      </c>
      <c r="E1744" s="989">
        <v>36.44</v>
      </c>
      <c r="F1744" s="990"/>
      <c r="G1744" s="990"/>
      <c r="H1744" s="990"/>
      <c r="I1744" s="990"/>
      <c r="J1744" s="990"/>
      <c r="K1744" s="990"/>
      <c r="L1744" s="990"/>
      <c r="M1744" s="990"/>
      <c r="N1744" s="990"/>
      <c r="O1744" s="990"/>
      <c r="P1744" s="990"/>
      <c r="Q1744" s="990"/>
      <c r="R1744" s="990"/>
      <c r="S1744" s="990"/>
      <c r="T1744" s="990"/>
      <c r="U1744" s="990"/>
      <c r="V1744" s="990"/>
      <c r="W1744" s="990"/>
      <c r="X1744" s="990"/>
    </row>
    <row r="1745" spans="1:24" s="896" customFormat="1">
      <c r="A1745" s="987">
        <f t="shared" si="28"/>
        <v>1671</v>
      </c>
      <c r="B1745" s="988">
        <v>40417</v>
      </c>
      <c r="C1745" s="899" t="s">
        <v>11071</v>
      </c>
      <c r="D1745" s="988" t="s">
        <v>2666</v>
      </c>
      <c r="E1745" s="989">
        <v>42.99</v>
      </c>
      <c r="F1745" s="990"/>
      <c r="G1745" s="990"/>
      <c r="H1745" s="990"/>
      <c r="I1745" s="990"/>
      <c r="J1745" s="990"/>
      <c r="K1745" s="990"/>
      <c r="L1745" s="990"/>
      <c r="M1745" s="990"/>
      <c r="N1745" s="990"/>
      <c r="O1745" s="990"/>
      <c r="P1745" s="990"/>
      <c r="Q1745" s="990"/>
      <c r="R1745" s="990"/>
      <c r="S1745" s="990"/>
      <c r="T1745" s="990"/>
      <c r="U1745" s="990"/>
      <c r="V1745" s="990"/>
      <c r="W1745" s="990"/>
      <c r="X1745" s="990"/>
    </row>
    <row r="1746" spans="1:24" s="896" customFormat="1">
      <c r="A1746" s="987">
        <f t="shared" si="28"/>
        <v>1672</v>
      </c>
      <c r="B1746" s="988">
        <v>39271</v>
      </c>
      <c r="C1746" s="899" t="s">
        <v>11072</v>
      </c>
      <c r="D1746" s="988" t="s">
        <v>2666</v>
      </c>
      <c r="E1746" s="989">
        <v>3.05</v>
      </c>
      <c r="F1746" s="990"/>
      <c r="G1746" s="990"/>
      <c r="H1746" s="990"/>
      <c r="I1746" s="990"/>
      <c r="J1746" s="990"/>
      <c r="K1746" s="990"/>
      <c r="L1746" s="990"/>
      <c r="M1746" s="990"/>
      <c r="N1746" s="990"/>
      <c r="O1746" s="990"/>
      <c r="P1746" s="990"/>
      <c r="Q1746" s="990"/>
      <c r="R1746" s="990"/>
      <c r="S1746" s="990"/>
      <c r="T1746" s="990"/>
      <c r="U1746" s="990"/>
      <c r="V1746" s="990"/>
      <c r="W1746" s="990"/>
      <c r="X1746" s="990"/>
    </row>
    <row r="1747" spans="1:24" s="896" customFormat="1">
      <c r="A1747" s="987">
        <f t="shared" si="28"/>
        <v>1673</v>
      </c>
      <c r="B1747" s="988">
        <v>39273</v>
      </c>
      <c r="C1747" s="899" t="s">
        <v>11073</v>
      </c>
      <c r="D1747" s="988" t="s">
        <v>2666</v>
      </c>
      <c r="E1747" s="989">
        <v>5.18</v>
      </c>
      <c r="F1747" s="990"/>
      <c r="G1747" s="990"/>
      <c r="H1747" s="990"/>
      <c r="I1747" s="990"/>
      <c r="J1747" s="990"/>
      <c r="K1747" s="990"/>
      <c r="L1747" s="990"/>
      <c r="M1747" s="990"/>
      <c r="N1747" s="990"/>
      <c r="O1747" s="990"/>
      <c r="P1747" s="990"/>
      <c r="Q1747" s="990"/>
      <c r="R1747" s="990"/>
      <c r="S1747" s="990"/>
      <c r="T1747" s="990"/>
      <c r="U1747" s="990"/>
      <c r="V1747" s="990"/>
      <c r="W1747" s="990"/>
      <c r="X1747" s="990"/>
    </row>
    <row r="1748" spans="1:24" s="896" customFormat="1">
      <c r="A1748" s="987">
        <f t="shared" si="28"/>
        <v>1674</v>
      </c>
      <c r="B1748" s="988">
        <v>39272</v>
      </c>
      <c r="C1748" s="899" t="s">
        <v>11074</v>
      </c>
      <c r="D1748" s="988" t="s">
        <v>2666</v>
      </c>
      <c r="E1748" s="989">
        <v>3.75</v>
      </c>
      <c r="F1748" s="990"/>
      <c r="G1748" s="990"/>
      <c r="H1748" s="990"/>
      <c r="I1748" s="990"/>
      <c r="J1748" s="990"/>
      <c r="K1748" s="990"/>
      <c r="L1748" s="990"/>
      <c r="M1748" s="990"/>
      <c r="N1748" s="990"/>
      <c r="O1748" s="990"/>
      <c r="P1748" s="990"/>
      <c r="Q1748" s="990"/>
      <c r="R1748" s="990"/>
      <c r="S1748" s="990"/>
      <c r="T1748" s="990"/>
      <c r="U1748" s="990"/>
      <c r="V1748" s="990"/>
      <c r="W1748" s="990"/>
      <c r="X1748" s="990"/>
    </row>
    <row r="1749" spans="1:24" s="896" customFormat="1">
      <c r="A1749" s="987">
        <f t="shared" si="28"/>
        <v>1675</v>
      </c>
      <c r="B1749" s="988">
        <v>1875</v>
      </c>
      <c r="C1749" s="899" t="s">
        <v>11075</v>
      </c>
      <c r="D1749" s="988" t="s">
        <v>2666</v>
      </c>
      <c r="E1749" s="989">
        <v>8.2799999999999994</v>
      </c>
      <c r="F1749" s="990"/>
      <c r="G1749" s="990"/>
      <c r="H1749" s="990"/>
      <c r="I1749" s="990"/>
      <c r="J1749" s="990"/>
      <c r="K1749" s="990"/>
      <c r="L1749" s="990"/>
      <c r="M1749" s="990"/>
      <c r="N1749" s="990"/>
      <c r="O1749" s="990"/>
      <c r="P1749" s="990"/>
      <c r="Q1749" s="990"/>
      <c r="R1749" s="990"/>
      <c r="S1749" s="990"/>
      <c r="T1749" s="990"/>
      <c r="U1749" s="990"/>
      <c r="V1749" s="990"/>
      <c r="W1749" s="990"/>
      <c r="X1749" s="990"/>
    </row>
    <row r="1750" spans="1:24" s="896" customFormat="1">
      <c r="A1750" s="987">
        <f t="shared" si="28"/>
        <v>1676</v>
      </c>
      <c r="B1750" s="988">
        <v>1874</v>
      </c>
      <c r="C1750" s="899" t="s">
        <v>11076</v>
      </c>
      <c r="D1750" s="988" t="s">
        <v>2666</v>
      </c>
      <c r="E1750" s="989">
        <v>6.84</v>
      </c>
      <c r="F1750" s="990"/>
      <c r="G1750" s="990"/>
      <c r="H1750" s="990"/>
      <c r="I1750" s="990"/>
      <c r="J1750" s="990"/>
      <c r="K1750" s="990"/>
      <c r="L1750" s="990"/>
      <c r="M1750" s="990"/>
      <c r="N1750" s="990"/>
      <c r="O1750" s="990"/>
      <c r="P1750" s="990"/>
      <c r="Q1750" s="990"/>
      <c r="R1750" s="990"/>
      <c r="S1750" s="990"/>
      <c r="T1750" s="990"/>
      <c r="U1750" s="990"/>
      <c r="V1750" s="990"/>
      <c r="W1750" s="990"/>
      <c r="X1750" s="990"/>
    </row>
    <row r="1751" spans="1:24" s="896" customFormat="1">
      <c r="A1751" s="987">
        <f t="shared" si="28"/>
        <v>1677</v>
      </c>
      <c r="B1751" s="988">
        <v>1870</v>
      </c>
      <c r="C1751" s="899" t="s">
        <v>11077</v>
      </c>
      <c r="D1751" s="988" t="s">
        <v>2666</v>
      </c>
      <c r="E1751" s="989">
        <v>3.95</v>
      </c>
      <c r="F1751" s="990"/>
      <c r="G1751" s="990"/>
      <c r="H1751" s="990"/>
      <c r="I1751" s="990"/>
      <c r="J1751" s="990"/>
      <c r="K1751" s="990"/>
      <c r="L1751" s="990"/>
      <c r="M1751" s="990"/>
      <c r="N1751" s="990"/>
      <c r="O1751" s="990"/>
      <c r="P1751" s="990"/>
      <c r="Q1751" s="990"/>
      <c r="R1751" s="990"/>
      <c r="S1751" s="990"/>
      <c r="T1751" s="990"/>
      <c r="U1751" s="990"/>
      <c r="V1751" s="990"/>
      <c r="W1751" s="990"/>
      <c r="X1751" s="990"/>
    </row>
    <row r="1752" spans="1:24" s="896" customFormat="1">
      <c r="A1752" s="987">
        <f t="shared" si="28"/>
        <v>1678</v>
      </c>
      <c r="B1752" s="988">
        <v>1884</v>
      </c>
      <c r="C1752" s="899" t="s">
        <v>11078</v>
      </c>
      <c r="D1752" s="988" t="s">
        <v>2666</v>
      </c>
      <c r="E1752" s="989">
        <v>6.06</v>
      </c>
      <c r="F1752" s="990"/>
      <c r="G1752" s="990"/>
      <c r="H1752" s="990"/>
      <c r="I1752" s="990"/>
      <c r="J1752" s="990"/>
      <c r="K1752" s="990"/>
      <c r="L1752" s="990"/>
      <c r="M1752" s="990"/>
      <c r="N1752" s="990"/>
      <c r="O1752" s="990"/>
      <c r="P1752" s="990"/>
      <c r="Q1752" s="990"/>
      <c r="R1752" s="990"/>
      <c r="S1752" s="990"/>
      <c r="T1752" s="990"/>
      <c r="U1752" s="990"/>
      <c r="V1752" s="990"/>
      <c r="W1752" s="990"/>
      <c r="X1752" s="990"/>
    </row>
    <row r="1753" spans="1:24" s="896" customFormat="1">
      <c r="A1753" s="987">
        <f t="shared" si="28"/>
        <v>1679</v>
      </c>
      <c r="B1753" s="988">
        <v>1887</v>
      </c>
      <c r="C1753" s="899" t="s">
        <v>11079</v>
      </c>
      <c r="D1753" s="988" t="s">
        <v>2666</v>
      </c>
      <c r="E1753" s="989">
        <v>34.340000000000003</v>
      </c>
      <c r="F1753" s="990"/>
      <c r="G1753" s="990"/>
      <c r="H1753" s="990"/>
      <c r="I1753" s="990"/>
      <c r="J1753" s="990"/>
      <c r="K1753" s="990"/>
      <c r="L1753" s="990"/>
      <c r="M1753" s="990"/>
      <c r="N1753" s="990"/>
      <c r="O1753" s="990"/>
      <c r="P1753" s="990"/>
      <c r="Q1753" s="990"/>
      <c r="R1753" s="990"/>
      <c r="S1753" s="990"/>
      <c r="T1753" s="990"/>
      <c r="U1753" s="990"/>
      <c r="V1753" s="990"/>
      <c r="W1753" s="990"/>
      <c r="X1753" s="990"/>
    </row>
    <row r="1754" spans="1:24" s="896" customFormat="1">
      <c r="A1754" s="987">
        <f t="shared" si="28"/>
        <v>1680</v>
      </c>
      <c r="B1754" s="988">
        <v>1876</v>
      </c>
      <c r="C1754" s="899" t="s">
        <v>11080</v>
      </c>
      <c r="D1754" s="988" t="s">
        <v>2666</v>
      </c>
      <c r="E1754" s="989">
        <v>13.46</v>
      </c>
      <c r="F1754" s="990"/>
      <c r="G1754" s="990"/>
      <c r="H1754" s="990"/>
      <c r="I1754" s="990"/>
      <c r="J1754" s="990"/>
      <c r="K1754" s="990"/>
      <c r="L1754" s="990"/>
      <c r="M1754" s="990"/>
      <c r="N1754" s="990"/>
      <c r="O1754" s="990"/>
      <c r="P1754" s="990"/>
      <c r="Q1754" s="990"/>
      <c r="R1754" s="990"/>
      <c r="S1754" s="990"/>
      <c r="T1754" s="990"/>
      <c r="U1754" s="990"/>
      <c r="V1754" s="990"/>
      <c r="W1754" s="990"/>
      <c r="X1754" s="990"/>
    </row>
    <row r="1755" spans="1:24" s="896" customFormat="1">
      <c r="A1755" s="987">
        <f t="shared" si="28"/>
        <v>1681</v>
      </c>
      <c r="B1755" s="988">
        <v>1879</v>
      </c>
      <c r="C1755" s="899" t="s">
        <v>11081</v>
      </c>
      <c r="D1755" s="988" t="s">
        <v>2666</v>
      </c>
      <c r="E1755" s="989">
        <v>4</v>
      </c>
      <c r="F1755" s="990"/>
      <c r="G1755" s="990"/>
      <c r="H1755" s="990"/>
      <c r="I1755" s="990"/>
      <c r="J1755" s="990"/>
      <c r="K1755" s="990"/>
      <c r="L1755" s="990"/>
      <c r="M1755" s="990"/>
      <c r="N1755" s="990"/>
      <c r="O1755" s="990"/>
      <c r="P1755" s="990"/>
      <c r="Q1755" s="990"/>
      <c r="R1755" s="990"/>
      <c r="S1755" s="990"/>
      <c r="T1755" s="990"/>
      <c r="U1755" s="990"/>
      <c r="V1755" s="990"/>
      <c r="W1755" s="990"/>
      <c r="X1755" s="990"/>
    </row>
    <row r="1756" spans="1:24" s="896" customFormat="1">
      <c r="A1756" s="987">
        <f t="shared" si="28"/>
        <v>1682</v>
      </c>
      <c r="B1756" s="988">
        <v>1877</v>
      </c>
      <c r="C1756" s="899" t="s">
        <v>11082</v>
      </c>
      <c r="D1756" s="988" t="s">
        <v>2666</v>
      </c>
      <c r="E1756" s="989">
        <v>34.39</v>
      </c>
      <c r="F1756" s="990"/>
      <c r="G1756" s="990"/>
      <c r="H1756" s="990"/>
      <c r="I1756" s="990"/>
      <c r="J1756" s="990"/>
      <c r="K1756" s="990"/>
      <c r="L1756" s="990"/>
      <c r="M1756" s="990"/>
      <c r="N1756" s="990"/>
      <c r="O1756" s="990"/>
      <c r="P1756" s="990"/>
      <c r="Q1756" s="990"/>
      <c r="R1756" s="990"/>
      <c r="S1756" s="990"/>
      <c r="T1756" s="990"/>
      <c r="U1756" s="990"/>
      <c r="V1756" s="990"/>
      <c r="W1756" s="990"/>
      <c r="X1756" s="990"/>
    </row>
    <row r="1757" spans="1:24" s="896" customFormat="1">
      <c r="A1757" s="987">
        <f t="shared" si="28"/>
        <v>1683</v>
      </c>
      <c r="B1757" s="988">
        <v>1878</v>
      </c>
      <c r="C1757" s="899" t="s">
        <v>11083</v>
      </c>
      <c r="D1757" s="988" t="s">
        <v>2666</v>
      </c>
      <c r="E1757" s="989">
        <v>69.09</v>
      </c>
      <c r="F1757" s="990"/>
      <c r="G1757" s="990"/>
      <c r="H1757" s="990"/>
      <c r="I1757" s="990"/>
      <c r="J1757" s="990"/>
      <c r="K1757" s="990"/>
      <c r="L1757" s="990"/>
      <c r="M1757" s="990"/>
      <c r="N1757" s="990"/>
      <c r="O1757" s="990"/>
      <c r="P1757" s="990"/>
      <c r="Q1757" s="990"/>
      <c r="R1757" s="990"/>
      <c r="S1757" s="990"/>
      <c r="T1757" s="990"/>
      <c r="U1757" s="990"/>
      <c r="V1757" s="990"/>
      <c r="W1757" s="990"/>
      <c r="X1757" s="990"/>
    </row>
    <row r="1758" spans="1:24" s="896" customFormat="1" ht="25.5">
      <c r="A1758" s="987">
        <f t="shared" si="28"/>
        <v>1684</v>
      </c>
      <c r="B1758" s="988">
        <v>2621</v>
      </c>
      <c r="C1758" s="899" t="s">
        <v>11084</v>
      </c>
      <c r="D1758" s="988" t="s">
        <v>2666</v>
      </c>
      <c r="E1758" s="989">
        <v>212.17</v>
      </c>
      <c r="F1758" s="990"/>
      <c r="G1758" s="990"/>
      <c r="H1758" s="990"/>
      <c r="I1758" s="990"/>
      <c r="J1758" s="990"/>
      <c r="K1758" s="990"/>
      <c r="L1758" s="990"/>
      <c r="M1758" s="990"/>
      <c r="N1758" s="990"/>
      <c r="O1758" s="990"/>
      <c r="P1758" s="990"/>
      <c r="Q1758" s="990"/>
      <c r="R1758" s="990"/>
      <c r="S1758" s="990"/>
      <c r="T1758" s="990"/>
      <c r="U1758" s="990"/>
      <c r="V1758" s="990"/>
      <c r="W1758" s="990"/>
      <c r="X1758" s="990"/>
    </row>
    <row r="1759" spans="1:24" s="896" customFormat="1" ht="25.5">
      <c r="A1759" s="987">
        <f t="shared" si="28"/>
        <v>1685</v>
      </c>
      <c r="B1759" s="988">
        <v>2616</v>
      </c>
      <c r="C1759" s="899" t="s">
        <v>11085</v>
      </c>
      <c r="D1759" s="988" t="s">
        <v>2666</v>
      </c>
      <c r="E1759" s="989">
        <v>6</v>
      </c>
      <c r="F1759" s="990"/>
      <c r="G1759" s="990"/>
      <c r="H1759" s="990"/>
      <c r="I1759" s="990"/>
      <c r="J1759" s="990"/>
      <c r="K1759" s="990"/>
      <c r="L1759" s="990"/>
      <c r="M1759" s="990"/>
      <c r="N1759" s="990"/>
      <c r="O1759" s="990"/>
      <c r="P1759" s="990"/>
      <c r="Q1759" s="990"/>
      <c r="R1759" s="990"/>
      <c r="S1759" s="990"/>
      <c r="T1759" s="990"/>
      <c r="U1759" s="990"/>
      <c r="V1759" s="990"/>
      <c r="W1759" s="990"/>
      <c r="X1759" s="990"/>
    </row>
    <row r="1760" spans="1:24" s="896" customFormat="1" ht="25.5">
      <c r="A1760" s="987">
        <f t="shared" si="28"/>
        <v>1686</v>
      </c>
      <c r="B1760" s="988">
        <v>2633</v>
      </c>
      <c r="C1760" s="899" t="s">
        <v>11086</v>
      </c>
      <c r="D1760" s="988" t="s">
        <v>2666</v>
      </c>
      <c r="E1760" s="989">
        <v>6.79</v>
      </c>
      <c r="F1760" s="990"/>
      <c r="G1760" s="990"/>
      <c r="H1760" s="990"/>
      <c r="I1760" s="990"/>
      <c r="J1760" s="990"/>
      <c r="K1760" s="990"/>
      <c r="L1760" s="990"/>
      <c r="M1760" s="990"/>
      <c r="N1760" s="990"/>
      <c r="O1760" s="990"/>
      <c r="P1760" s="990"/>
      <c r="Q1760" s="990"/>
      <c r="R1760" s="990"/>
      <c r="S1760" s="990"/>
      <c r="T1760" s="990"/>
      <c r="U1760" s="990"/>
      <c r="V1760" s="990"/>
      <c r="W1760" s="990"/>
      <c r="X1760" s="990"/>
    </row>
    <row r="1761" spans="1:24" s="896" customFormat="1" ht="25.5">
      <c r="A1761" s="987">
        <f t="shared" si="28"/>
        <v>1687</v>
      </c>
      <c r="B1761" s="988">
        <v>2617</v>
      </c>
      <c r="C1761" s="899" t="s">
        <v>11087</v>
      </c>
      <c r="D1761" s="988" t="s">
        <v>2666</v>
      </c>
      <c r="E1761" s="989">
        <v>9.23</v>
      </c>
      <c r="F1761" s="990"/>
      <c r="G1761" s="990"/>
      <c r="H1761" s="990"/>
      <c r="I1761" s="990"/>
      <c r="J1761" s="990"/>
      <c r="K1761" s="990"/>
      <c r="L1761" s="990"/>
      <c r="M1761" s="990"/>
      <c r="N1761" s="990"/>
      <c r="O1761" s="990"/>
      <c r="P1761" s="990"/>
      <c r="Q1761" s="990"/>
      <c r="R1761" s="990"/>
      <c r="S1761" s="990"/>
      <c r="T1761" s="990"/>
      <c r="U1761" s="990"/>
      <c r="V1761" s="990"/>
      <c r="W1761" s="990"/>
      <c r="X1761" s="990"/>
    </row>
    <row r="1762" spans="1:24" s="896" customFormat="1" ht="25.5">
      <c r="A1762" s="987">
        <f t="shared" si="28"/>
        <v>1688</v>
      </c>
      <c r="B1762" s="988">
        <v>2618</v>
      </c>
      <c r="C1762" s="899" t="s">
        <v>11088</v>
      </c>
      <c r="D1762" s="988" t="s">
        <v>2666</v>
      </c>
      <c r="E1762" s="989">
        <v>21.02</v>
      </c>
      <c r="F1762" s="990"/>
      <c r="G1762" s="990"/>
      <c r="H1762" s="990"/>
      <c r="I1762" s="990"/>
      <c r="J1762" s="990"/>
      <c r="K1762" s="990"/>
      <c r="L1762" s="990"/>
      <c r="M1762" s="990"/>
      <c r="N1762" s="990"/>
      <c r="O1762" s="990"/>
      <c r="P1762" s="990"/>
      <c r="Q1762" s="990"/>
      <c r="R1762" s="990"/>
      <c r="S1762" s="990"/>
      <c r="T1762" s="990"/>
      <c r="U1762" s="990"/>
      <c r="V1762" s="990"/>
      <c r="W1762" s="990"/>
      <c r="X1762" s="990"/>
    </row>
    <row r="1763" spans="1:24" s="896" customFormat="1" ht="25.5">
      <c r="A1763" s="987">
        <f t="shared" si="28"/>
        <v>1689</v>
      </c>
      <c r="B1763" s="988">
        <v>2632</v>
      </c>
      <c r="C1763" s="899" t="s">
        <v>11089</v>
      </c>
      <c r="D1763" s="988" t="s">
        <v>2666</v>
      </c>
      <c r="E1763" s="989">
        <v>25.63</v>
      </c>
      <c r="F1763" s="990"/>
      <c r="G1763" s="990"/>
      <c r="H1763" s="990"/>
      <c r="I1763" s="990"/>
      <c r="J1763" s="990"/>
      <c r="K1763" s="990"/>
      <c r="L1763" s="990"/>
      <c r="M1763" s="990"/>
      <c r="N1763" s="990"/>
      <c r="O1763" s="990"/>
      <c r="P1763" s="990"/>
      <c r="Q1763" s="990"/>
      <c r="R1763" s="990"/>
      <c r="S1763" s="990"/>
      <c r="T1763" s="990"/>
      <c r="U1763" s="990"/>
      <c r="V1763" s="990"/>
      <c r="W1763" s="990"/>
      <c r="X1763" s="990"/>
    </row>
    <row r="1764" spans="1:24" s="896" customFormat="1" ht="25.5">
      <c r="A1764" s="987">
        <f t="shared" si="28"/>
        <v>1690</v>
      </c>
      <c r="B1764" s="988">
        <v>2631</v>
      </c>
      <c r="C1764" s="899" t="s">
        <v>11090</v>
      </c>
      <c r="D1764" s="988" t="s">
        <v>2666</v>
      </c>
      <c r="E1764" s="989">
        <v>37.630000000000003</v>
      </c>
      <c r="F1764" s="990"/>
      <c r="G1764" s="990"/>
      <c r="H1764" s="990"/>
      <c r="I1764" s="990"/>
      <c r="J1764" s="990"/>
      <c r="K1764" s="990"/>
      <c r="L1764" s="990"/>
      <c r="M1764" s="990"/>
      <c r="N1764" s="990"/>
      <c r="O1764" s="990"/>
      <c r="P1764" s="990"/>
      <c r="Q1764" s="990"/>
      <c r="R1764" s="990"/>
      <c r="S1764" s="990"/>
      <c r="T1764" s="990"/>
      <c r="U1764" s="990"/>
      <c r="V1764" s="990"/>
      <c r="W1764" s="990"/>
      <c r="X1764" s="990"/>
    </row>
    <row r="1765" spans="1:24" s="896" customFormat="1" ht="25.5">
      <c r="A1765" s="987">
        <f t="shared" si="28"/>
        <v>1691</v>
      </c>
      <c r="B1765" s="988">
        <v>2619</v>
      </c>
      <c r="C1765" s="899" t="s">
        <v>11091</v>
      </c>
      <c r="D1765" s="988" t="s">
        <v>2666</v>
      </c>
      <c r="E1765" s="989">
        <v>95.29</v>
      </c>
      <c r="F1765" s="990"/>
      <c r="G1765" s="990"/>
      <c r="H1765" s="990"/>
      <c r="I1765" s="990"/>
      <c r="J1765" s="990"/>
      <c r="K1765" s="990"/>
      <c r="L1765" s="990"/>
      <c r="M1765" s="990"/>
      <c r="N1765" s="990"/>
      <c r="O1765" s="990"/>
      <c r="P1765" s="990"/>
      <c r="Q1765" s="990"/>
      <c r="R1765" s="990"/>
      <c r="S1765" s="990"/>
      <c r="T1765" s="990"/>
      <c r="U1765" s="990"/>
      <c r="V1765" s="990"/>
      <c r="W1765" s="990"/>
      <c r="X1765" s="990"/>
    </row>
    <row r="1766" spans="1:24" s="896" customFormat="1" ht="25.5">
      <c r="A1766" s="987">
        <f t="shared" si="28"/>
        <v>1692</v>
      </c>
      <c r="B1766" s="988">
        <v>2620</v>
      </c>
      <c r="C1766" s="899" t="s">
        <v>11092</v>
      </c>
      <c r="D1766" s="988" t="s">
        <v>2666</v>
      </c>
      <c r="E1766" s="989">
        <v>125.1</v>
      </c>
      <c r="F1766" s="990"/>
      <c r="G1766" s="990"/>
      <c r="H1766" s="990"/>
      <c r="I1766" s="990"/>
      <c r="J1766" s="990"/>
      <c r="K1766" s="990"/>
      <c r="L1766" s="990"/>
      <c r="M1766" s="990"/>
      <c r="N1766" s="990"/>
      <c r="O1766" s="990"/>
      <c r="P1766" s="990"/>
      <c r="Q1766" s="990"/>
      <c r="R1766" s="990"/>
      <c r="S1766" s="990"/>
      <c r="T1766" s="990"/>
      <c r="U1766" s="990"/>
      <c r="V1766" s="990"/>
      <c r="W1766" s="990"/>
      <c r="X1766" s="990"/>
    </row>
    <row r="1767" spans="1:24" s="896" customFormat="1">
      <c r="A1767" s="987">
        <f t="shared" si="28"/>
        <v>1693</v>
      </c>
      <c r="B1767" s="988">
        <v>44472</v>
      </c>
      <c r="C1767" s="899" t="s">
        <v>11093</v>
      </c>
      <c r="D1767" s="988" t="s">
        <v>2666</v>
      </c>
      <c r="E1767" s="989">
        <v>63.58</v>
      </c>
      <c r="F1767" s="990"/>
      <c r="G1767" s="990"/>
      <c r="H1767" s="990"/>
      <c r="I1767" s="990"/>
      <c r="J1767" s="990"/>
      <c r="K1767" s="990"/>
      <c r="L1767" s="990"/>
      <c r="M1767" s="990"/>
      <c r="N1767" s="990"/>
      <c r="O1767" s="990"/>
      <c r="P1767" s="990"/>
      <c r="Q1767" s="990"/>
      <c r="R1767" s="990"/>
      <c r="S1767" s="990"/>
      <c r="T1767" s="990"/>
      <c r="U1767" s="990"/>
      <c r="V1767" s="990"/>
      <c r="W1767" s="990"/>
      <c r="X1767" s="990"/>
    </row>
    <row r="1768" spans="1:24" s="896" customFormat="1" ht="25.5">
      <c r="A1768" s="987">
        <f t="shared" si="28"/>
        <v>1694</v>
      </c>
      <c r="B1768" s="988">
        <v>38369</v>
      </c>
      <c r="C1768" s="899" t="s">
        <v>11094</v>
      </c>
      <c r="D1768" s="988" t="s">
        <v>2666</v>
      </c>
      <c r="E1768" s="989">
        <v>17</v>
      </c>
      <c r="F1768" s="990"/>
      <c r="G1768" s="990"/>
      <c r="H1768" s="990"/>
      <c r="I1768" s="990"/>
      <c r="J1768" s="990"/>
      <c r="K1768" s="990"/>
      <c r="L1768" s="990"/>
      <c r="M1768" s="990"/>
      <c r="N1768" s="990"/>
      <c r="O1768" s="990"/>
      <c r="P1768" s="990"/>
      <c r="Q1768" s="990"/>
      <c r="R1768" s="990"/>
      <c r="S1768" s="990"/>
      <c r="T1768" s="990"/>
      <c r="U1768" s="990"/>
      <c r="V1768" s="990"/>
      <c r="W1768" s="990"/>
      <c r="X1768" s="990"/>
    </row>
    <row r="1769" spans="1:24" s="896" customFormat="1">
      <c r="A1769" s="987">
        <f t="shared" si="28"/>
        <v>1695</v>
      </c>
      <c r="B1769" s="988">
        <v>38370</v>
      </c>
      <c r="C1769" s="899" t="s">
        <v>11095</v>
      </c>
      <c r="D1769" s="988" t="s">
        <v>2666</v>
      </c>
      <c r="E1769" s="989">
        <v>17</v>
      </c>
      <c r="F1769" s="990"/>
      <c r="G1769" s="990"/>
      <c r="H1769" s="990"/>
      <c r="I1769" s="990"/>
      <c r="J1769" s="990"/>
      <c r="K1769" s="990"/>
      <c r="L1769" s="990"/>
      <c r="M1769" s="990"/>
      <c r="N1769" s="990"/>
      <c r="O1769" s="990"/>
      <c r="P1769" s="990"/>
      <c r="Q1769" s="990"/>
      <c r="R1769" s="990"/>
      <c r="S1769" s="990"/>
      <c r="T1769" s="990"/>
      <c r="U1769" s="990"/>
      <c r="V1769" s="990"/>
      <c r="W1769" s="990"/>
      <c r="X1769" s="990"/>
    </row>
    <row r="1770" spans="1:24" s="896" customFormat="1">
      <c r="A1770" s="987">
        <f t="shared" si="28"/>
        <v>1696</v>
      </c>
      <c r="B1770" s="988">
        <v>38372</v>
      </c>
      <c r="C1770" s="899" t="s">
        <v>11096</v>
      </c>
      <c r="D1770" s="988" t="s">
        <v>2666</v>
      </c>
      <c r="E1770" s="989">
        <v>17.8</v>
      </c>
      <c r="F1770" s="990"/>
      <c r="G1770" s="990"/>
      <c r="H1770" s="990"/>
      <c r="I1770" s="990"/>
      <c r="J1770" s="990"/>
      <c r="K1770" s="990"/>
      <c r="L1770" s="990"/>
      <c r="M1770" s="990"/>
      <c r="N1770" s="990"/>
      <c r="O1770" s="990"/>
      <c r="P1770" s="990"/>
      <c r="Q1770" s="990"/>
      <c r="R1770" s="990"/>
      <c r="S1770" s="990"/>
      <c r="T1770" s="990"/>
      <c r="U1770" s="990"/>
      <c r="V1770" s="990"/>
      <c r="W1770" s="990"/>
      <c r="X1770" s="990"/>
    </row>
    <row r="1771" spans="1:24" s="896" customFormat="1">
      <c r="A1771" s="987">
        <f t="shared" si="28"/>
        <v>1697</v>
      </c>
      <c r="B1771" s="988">
        <v>2357</v>
      </c>
      <c r="C1771" s="899" t="s">
        <v>11097</v>
      </c>
      <c r="D1771" s="988" t="s">
        <v>2665</v>
      </c>
      <c r="E1771" s="989">
        <v>12.19</v>
      </c>
      <c r="F1771" s="990"/>
      <c r="G1771" s="990"/>
      <c r="H1771" s="990"/>
      <c r="I1771" s="990"/>
      <c r="J1771" s="990"/>
      <c r="K1771" s="990"/>
      <c r="L1771" s="990"/>
      <c r="M1771" s="990"/>
      <c r="N1771" s="990"/>
      <c r="O1771" s="990"/>
      <c r="P1771" s="990"/>
      <c r="Q1771" s="990"/>
      <c r="R1771" s="990"/>
      <c r="S1771" s="990"/>
      <c r="T1771" s="990"/>
      <c r="U1771" s="990"/>
      <c r="V1771" s="990"/>
      <c r="W1771" s="990"/>
      <c r="X1771" s="990"/>
    </row>
    <row r="1772" spans="1:24" s="896" customFormat="1">
      <c r="A1772" s="987">
        <f t="shared" si="28"/>
        <v>1698</v>
      </c>
      <c r="B1772" s="988">
        <v>40806</v>
      </c>
      <c r="C1772" s="899" t="s">
        <v>11098</v>
      </c>
      <c r="D1772" s="988" t="s">
        <v>2672</v>
      </c>
      <c r="E1772" s="989">
        <v>2145.2800000000002</v>
      </c>
      <c r="F1772" s="990"/>
      <c r="G1772" s="990"/>
      <c r="H1772" s="990"/>
      <c r="I1772" s="990"/>
      <c r="J1772" s="990"/>
      <c r="K1772" s="990"/>
      <c r="L1772" s="990"/>
      <c r="M1772" s="990"/>
      <c r="N1772" s="990"/>
      <c r="O1772" s="990"/>
      <c r="P1772" s="990"/>
      <c r="Q1772" s="990"/>
      <c r="R1772" s="990"/>
      <c r="S1772" s="990"/>
      <c r="T1772" s="990"/>
      <c r="U1772" s="990"/>
      <c r="V1772" s="990"/>
      <c r="W1772" s="990"/>
      <c r="X1772" s="990"/>
    </row>
    <row r="1773" spans="1:24" s="896" customFormat="1">
      <c r="A1773" s="987">
        <f t="shared" si="28"/>
        <v>1699</v>
      </c>
      <c r="B1773" s="988">
        <v>2355</v>
      </c>
      <c r="C1773" s="899" t="s">
        <v>11099</v>
      </c>
      <c r="D1773" s="988" t="s">
        <v>2665</v>
      </c>
      <c r="E1773" s="989">
        <v>37.04</v>
      </c>
      <c r="F1773" s="990"/>
      <c r="G1773" s="990"/>
      <c r="H1773" s="990"/>
      <c r="I1773" s="990"/>
      <c r="J1773" s="990"/>
      <c r="K1773" s="990"/>
      <c r="L1773" s="990"/>
      <c r="M1773" s="990"/>
      <c r="N1773" s="990"/>
      <c r="O1773" s="990"/>
      <c r="P1773" s="990"/>
      <c r="Q1773" s="990"/>
      <c r="R1773" s="990"/>
      <c r="S1773" s="990"/>
      <c r="T1773" s="990"/>
      <c r="U1773" s="990"/>
      <c r="V1773" s="990"/>
      <c r="W1773" s="990"/>
      <c r="X1773" s="990"/>
    </row>
    <row r="1774" spans="1:24" s="896" customFormat="1">
      <c r="A1774" s="987">
        <f t="shared" si="28"/>
        <v>1700</v>
      </c>
      <c r="B1774" s="988">
        <v>40805</v>
      </c>
      <c r="C1774" s="899" t="s">
        <v>11100</v>
      </c>
      <c r="D1774" s="988" t="s">
        <v>2672</v>
      </c>
      <c r="E1774" s="989">
        <v>6511.97</v>
      </c>
      <c r="F1774" s="990"/>
      <c r="G1774" s="990"/>
      <c r="H1774" s="990"/>
      <c r="I1774" s="990"/>
      <c r="J1774" s="990"/>
      <c r="K1774" s="990"/>
      <c r="L1774" s="990"/>
      <c r="M1774" s="990"/>
      <c r="N1774" s="990"/>
      <c r="O1774" s="990"/>
      <c r="P1774" s="990"/>
      <c r="Q1774" s="990"/>
      <c r="R1774" s="990"/>
      <c r="S1774" s="990"/>
      <c r="T1774" s="990"/>
      <c r="U1774" s="990"/>
      <c r="V1774" s="990"/>
      <c r="W1774" s="990"/>
      <c r="X1774" s="990"/>
    </row>
    <row r="1775" spans="1:24" s="896" customFormat="1">
      <c r="A1775" s="987">
        <f t="shared" si="28"/>
        <v>1701</v>
      </c>
      <c r="B1775" s="988">
        <v>2358</v>
      </c>
      <c r="C1775" s="899" t="s">
        <v>11101</v>
      </c>
      <c r="D1775" s="988" t="s">
        <v>2665</v>
      </c>
      <c r="E1775" s="989">
        <v>19.61</v>
      </c>
      <c r="F1775" s="990"/>
      <c r="G1775" s="990"/>
      <c r="H1775" s="990"/>
      <c r="I1775" s="990"/>
      <c r="J1775" s="990"/>
      <c r="K1775" s="990"/>
      <c r="L1775" s="990"/>
      <c r="M1775" s="990"/>
      <c r="N1775" s="990"/>
      <c r="O1775" s="990"/>
      <c r="P1775" s="990"/>
      <c r="Q1775" s="990"/>
      <c r="R1775" s="990"/>
      <c r="S1775" s="990"/>
      <c r="T1775" s="990"/>
      <c r="U1775" s="990"/>
      <c r="V1775" s="990"/>
      <c r="W1775" s="990"/>
      <c r="X1775" s="990"/>
    </row>
    <row r="1776" spans="1:24" s="896" customFormat="1">
      <c r="A1776" s="987">
        <f t="shared" si="28"/>
        <v>1702</v>
      </c>
      <c r="B1776" s="988">
        <v>40807</v>
      </c>
      <c r="C1776" s="899" t="s">
        <v>11102</v>
      </c>
      <c r="D1776" s="988" t="s">
        <v>2672</v>
      </c>
      <c r="E1776" s="989">
        <v>3449.5</v>
      </c>
      <c r="F1776" s="990"/>
      <c r="G1776" s="990"/>
      <c r="H1776" s="990"/>
      <c r="I1776" s="990"/>
      <c r="J1776" s="990"/>
      <c r="K1776" s="990"/>
      <c r="L1776" s="990"/>
      <c r="M1776" s="990"/>
      <c r="N1776" s="990"/>
      <c r="O1776" s="990"/>
      <c r="P1776" s="990"/>
      <c r="Q1776" s="990"/>
      <c r="R1776" s="990"/>
      <c r="S1776" s="990"/>
      <c r="T1776" s="990"/>
      <c r="U1776" s="990"/>
      <c r="V1776" s="990"/>
      <c r="W1776" s="990"/>
      <c r="X1776" s="990"/>
    </row>
    <row r="1777" spans="1:24" s="896" customFormat="1">
      <c r="A1777" s="987">
        <f t="shared" si="28"/>
        <v>1703</v>
      </c>
      <c r="B1777" s="988">
        <v>2359</v>
      </c>
      <c r="C1777" s="899" t="s">
        <v>11103</v>
      </c>
      <c r="D1777" s="988" t="s">
        <v>2665</v>
      </c>
      <c r="E1777" s="989">
        <v>16.559999999999999</v>
      </c>
      <c r="F1777" s="990"/>
      <c r="G1777" s="990"/>
      <c r="H1777" s="990"/>
      <c r="I1777" s="990"/>
      <c r="J1777" s="990"/>
      <c r="K1777" s="990"/>
      <c r="L1777" s="990"/>
      <c r="M1777" s="990"/>
      <c r="N1777" s="990"/>
      <c r="O1777" s="990"/>
      <c r="P1777" s="990"/>
      <c r="Q1777" s="990"/>
      <c r="R1777" s="990"/>
      <c r="S1777" s="990"/>
      <c r="T1777" s="990"/>
      <c r="U1777" s="990"/>
      <c r="V1777" s="990"/>
      <c r="W1777" s="990"/>
      <c r="X1777" s="990"/>
    </row>
    <row r="1778" spans="1:24" s="896" customFormat="1">
      <c r="A1778" s="987">
        <f t="shared" si="28"/>
        <v>1704</v>
      </c>
      <c r="B1778" s="988">
        <v>40808</v>
      </c>
      <c r="C1778" s="899" t="s">
        <v>11104</v>
      </c>
      <c r="D1778" s="988" t="s">
        <v>2672</v>
      </c>
      <c r="E1778" s="989">
        <v>2913.01</v>
      </c>
      <c r="F1778" s="990"/>
      <c r="G1778" s="990"/>
      <c r="H1778" s="990"/>
      <c r="I1778" s="990"/>
      <c r="J1778" s="990"/>
      <c r="K1778" s="990"/>
      <c r="L1778" s="990"/>
      <c r="M1778" s="990"/>
      <c r="N1778" s="990"/>
      <c r="O1778" s="990"/>
      <c r="P1778" s="990"/>
      <c r="Q1778" s="990"/>
      <c r="R1778" s="990"/>
      <c r="S1778" s="990"/>
      <c r="T1778" s="990"/>
      <c r="U1778" s="990"/>
      <c r="V1778" s="990"/>
      <c r="W1778" s="990"/>
      <c r="X1778" s="990"/>
    </row>
    <row r="1779" spans="1:24" s="896" customFormat="1">
      <c r="A1779" s="987">
        <f t="shared" si="28"/>
        <v>1705</v>
      </c>
      <c r="B1779" s="988">
        <v>44330</v>
      </c>
      <c r="C1779" s="899" t="s">
        <v>11105</v>
      </c>
      <c r="D1779" s="988" t="s">
        <v>2671</v>
      </c>
      <c r="E1779" s="989">
        <v>9.1</v>
      </c>
      <c r="F1779" s="990"/>
      <c r="G1779" s="990"/>
      <c r="H1779" s="990"/>
      <c r="I1779" s="990"/>
      <c r="J1779" s="990"/>
      <c r="K1779" s="990"/>
      <c r="L1779" s="990"/>
      <c r="M1779" s="990"/>
      <c r="N1779" s="990"/>
      <c r="O1779" s="990"/>
      <c r="P1779" s="990"/>
      <c r="Q1779" s="990"/>
      <c r="R1779" s="990"/>
      <c r="S1779" s="990"/>
      <c r="T1779" s="990"/>
      <c r="U1779" s="990"/>
      <c r="V1779" s="990"/>
      <c r="W1779" s="990"/>
      <c r="X1779" s="990"/>
    </row>
    <row r="1780" spans="1:24" s="896" customFormat="1">
      <c r="A1780" s="987">
        <f t="shared" si="28"/>
        <v>1706</v>
      </c>
      <c r="B1780" s="988">
        <v>43144</v>
      </c>
      <c r="C1780" s="899" t="s">
        <v>11106</v>
      </c>
      <c r="D1780" s="988" t="s">
        <v>2670</v>
      </c>
      <c r="E1780" s="989">
        <v>35.69</v>
      </c>
      <c r="F1780" s="990"/>
      <c r="G1780" s="990"/>
      <c r="H1780" s="990"/>
      <c r="I1780" s="990"/>
      <c r="J1780" s="990"/>
      <c r="K1780" s="990"/>
      <c r="L1780" s="990"/>
      <c r="M1780" s="990"/>
      <c r="N1780" s="990"/>
      <c r="O1780" s="990"/>
      <c r="P1780" s="990"/>
      <c r="Q1780" s="990"/>
      <c r="R1780" s="990"/>
      <c r="S1780" s="990"/>
      <c r="T1780" s="990"/>
      <c r="U1780" s="990"/>
      <c r="V1780" s="990"/>
      <c r="W1780" s="990"/>
      <c r="X1780" s="990"/>
    </row>
    <row r="1781" spans="1:24" s="896" customFormat="1">
      <c r="A1781" s="987">
        <f t="shared" si="28"/>
        <v>1707</v>
      </c>
      <c r="B1781" s="988">
        <v>39397</v>
      </c>
      <c r="C1781" s="899" t="s">
        <v>11107</v>
      </c>
      <c r="D1781" s="988" t="s">
        <v>2671</v>
      </c>
      <c r="E1781" s="989">
        <v>16.27</v>
      </c>
      <c r="F1781" s="990"/>
      <c r="G1781" s="990"/>
      <c r="H1781" s="990"/>
      <c r="I1781" s="990"/>
      <c r="J1781" s="990"/>
      <c r="K1781" s="990"/>
      <c r="L1781" s="990"/>
      <c r="M1781" s="990"/>
      <c r="N1781" s="990"/>
      <c r="O1781" s="990"/>
      <c r="P1781" s="990"/>
      <c r="Q1781" s="990"/>
      <c r="R1781" s="990"/>
      <c r="S1781" s="990"/>
      <c r="T1781" s="990"/>
      <c r="U1781" s="990"/>
      <c r="V1781" s="990"/>
      <c r="W1781" s="990"/>
      <c r="X1781" s="990"/>
    </row>
    <row r="1782" spans="1:24" s="896" customFormat="1" ht="25.5">
      <c r="A1782" s="987">
        <f t="shared" si="28"/>
        <v>1708</v>
      </c>
      <c r="B1782" s="988">
        <v>2692</v>
      </c>
      <c r="C1782" s="899" t="s">
        <v>11108</v>
      </c>
      <c r="D1782" s="988" t="s">
        <v>2671</v>
      </c>
      <c r="E1782" s="989">
        <v>6.56</v>
      </c>
      <c r="F1782" s="990"/>
      <c r="G1782" s="990"/>
      <c r="H1782" s="990"/>
      <c r="I1782" s="990"/>
      <c r="J1782" s="990"/>
      <c r="K1782" s="990"/>
      <c r="L1782" s="990"/>
      <c r="M1782" s="990"/>
      <c r="N1782" s="990"/>
      <c r="O1782" s="990"/>
      <c r="P1782" s="990"/>
      <c r="Q1782" s="990"/>
      <c r="R1782" s="990"/>
      <c r="S1782" s="990"/>
      <c r="T1782" s="990"/>
      <c r="U1782" s="990"/>
      <c r="V1782" s="990"/>
      <c r="W1782" s="990"/>
      <c r="X1782" s="990"/>
    </row>
    <row r="1783" spans="1:24" s="896" customFormat="1">
      <c r="A1783" s="987">
        <f t="shared" si="28"/>
        <v>1709</v>
      </c>
      <c r="B1783" s="988">
        <v>44329</v>
      </c>
      <c r="C1783" s="899" t="s">
        <v>11109</v>
      </c>
      <c r="D1783" s="988" t="s">
        <v>2671</v>
      </c>
      <c r="E1783" s="989">
        <v>11.92</v>
      </c>
      <c r="F1783" s="990"/>
      <c r="G1783" s="990"/>
      <c r="H1783" s="990"/>
      <c r="I1783" s="990"/>
      <c r="J1783" s="990"/>
      <c r="K1783" s="990"/>
      <c r="L1783" s="990"/>
      <c r="M1783" s="990"/>
      <c r="N1783" s="990"/>
      <c r="O1783" s="990"/>
      <c r="P1783" s="990"/>
      <c r="Q1783" s="990"/>
      <c r="R1783" s="990"/>
      <c r="S1783" s="990"/>
      <c r="T1783" s="990"/>
      <c r="U1783" s="990"/>
      <c r="V1783" s="990"/>
      <c r="W1783" s="990"/>
      <c r="X1783" s="990"/>
    </row>
    <row r="1784" spans="1:24" s="896" customFormat="1">
      <c r="A1784" s="987">
        <f t="shared" si="28"/>
        <v>1710</v>
      </c>
      <c r="B1784" s="988">
        <v>5318</v>
      </c>
      <c r="C1784" s="899" t="s">
        <v>11110</v>
      </c>
      <c r="D1784" s="988" t="s">
        <v>2671</v>
      </c>
      <c r="E1784" s="989">
        <v>19.28</v>
      </c>
      <c r="F1784" s="990"/>
      <c r="G1784" s="990"/>
      <c r="H1784" s="990"/>
      <c r="I1784" s="990"/>
      <c r="J1784" s="990"/>
      <c r="K1784" s="990"/>
      <c r="L1784" s="990"/>
      <c r="M1784" s="990"/>
      <c r="N1784" s="990"/>
      <c r="O1784" s="990"/>
      <c r="P1784" s="990"/>
      <c r="Q1784" s="990"/>
      <c r="R1784" s="990"/>
      <c r="S1784" s="990"/>
      <c r="T1784" s="990"/>
      <c r="U1784" s="990"/>
      <c r="V1784" s="990"/>
      <c r="W1784" s="990"/>
      <c r="X1784" s="990"/>
    </row>
    <row r="1785" spans="1:24" s="896" customFormat="1">
      <c r="A1785" s="987">
        <f t="shared" si="28"/>
        <v>1711</v>
      </c>
      <c r="B1785" s="988">
        <v>5330</v>
      </c>
      <c r="C1785" s="899" t="s">
        <v>11111</v>
      </c>
      <c r="D1785" s="988" t="s">
        <v>2671</v>
      </c>
      <c r="E1785" s="989">
        <v>43.94</v>
      </c>
      <c r="F1785" s="990"/>
      <c r="G1785" s="990"/>
      <c r="H1785" s="990"/>
      <c r="I1785" s="990"/>
      <c r="J1785" s="990"/>
      <c r="K1785" s="990"/>
      <c r="L1785" s="990"/>
      <c r="M1785" s="990"/>
      <c r="N1785" s="990"/>
      <c r="O1785" s="990"/>
      <c r="P1785" s="990"/>
      <c r="Q1785" s="990"/>
      <c r="R1785" s="990"/>
      <c r="S1785" s="990"/>
      <c r="T1785" s="990"/>
      <c r="U1785" s="990"/>
      <c r="V1785" s="990"/>
      <c r="W1785" s="990"/>
      <c r="X1785" s="990"/>
    </row>
    <row r="1786" spans="1:24" s="896" customFormat="1">
      <c r="A1786" s="987">
        <f t="shared" si="28"/>
        <v>1712</v>
      </c>
      <c r="B1786" s="988">
        <v>44532</v>
      </c>
      <c r="C1786" s="899" t="s">
        <v>11112</v>
      </c>
      <c r="D1786" s="988" t="s">
        <v>2666</v>
      </c>
      <c r="E1786" s="989">
        <v>27.89</v>
      </c>
      <c r="F1786" s="990"/>
      <c r="G1786" s="990"/>
      <c r="H1786" s="990"/>
      <c r="I1786" s="990"/>
      <c r="J1786" s="990"/>
      <c r="K1786" s="990"/>
      <c r="L1786" s="990"/>
      <c r="M1786" s="990"/>
      <c r="N1786" s="990"/>
      <c r="O1786" s="990"/>
      <c r="P1786" s="990"/>
      <c r="Q1786" s="990"/>
      <c r="R1786" s="990"/>
      <c r="S1786" s="990"/>
      <c r="T1786" s="990"/>
      <c r="U1786" s="990"/>
      <c r="V1786" s="990"/>
      <c r="W1786" s="990"/>
      <c r="X1786" s="990"/>
    </row>
    <row r="1787" spans="1:24" s="896" customFormat="1" ht="25.5">
      <c r="A1787" s="987">
        <f t="shared" si="28"/>
        <v>1713</v>
      </c>
      <c r="B1787" s="988">
        <v>44531</v>
      </c>
      <c r="C1787" s="899" t="s">
        <v>11113</v>
      </c>
      <c r="D1787" s="988" t="s">
        <v>2666</v>
      </c>
      <c r="E1787" s="989">
        <v>88.65</v>
      </c>
      <c r="F1787" s="990"/>
      <c r="G1787" s="990"/>
      <c r="H1787" s="990"/>
      <c r="I1787" s="990"/>
      <c r="J1787" s="990"/>
      <c r="K1787" s="990"/>
      <c r="L1787" s="990"/>
      <c r="M1787" s="990"/>
      <c r="N1787" s="990"/>
      <c r="O1787" s="990"/>
      <c r="P1787" s="990"/>
      <c r="Q1787" s="990"/>
      <c r="R1787" s="990"/>
      <c r="S1787" s="990"/>
      <c r="T1787" s="990"/>
      <c r="U1787" s="990"/>
      <c r="V1787" s="990"/>
      <c r="W1787" s="990"/>
      <c r="X1787" s="990"/>
    </row>
    <row r="1788" spans="1:24" s="896" customFormat="1" ht="25.5">
      <c r="A1788" s="987">
        <f t="shared" si="28"/>
        <v>1714</v>
      </c>
      <c r="B1788" s="988">
        <v>38140</v>
      </c>
      <c r="C1788" s="899" t="s">
        <v>11114</v>
      </c>
      <c r="D1788" s="988" t="s">
        <v>2666</v>
      </c>
      <c r="E1788" s="989">
        <v>21.5</v>
      </c>
      <c r="F1788" s="990"/>
      <c r="G1788" s="990"/>
      <c r="H1788" s="990"/>
      <c r="I1788" s="990"/>
      <c r="J1788" s="990"/>
      <c r="K1788" s="990"/>
      <c r="L1788" s="990"/>
      <c r="M1788" s="990"/>
      <c r="N1788" s="990"/>
      <c r="O1788" s="990"/>
      <c r="P1788" s="990"/>
      <c r="Q1788" s="990"/>
      <c r="R1788" s="990"/>
      <c r="S1788" s="990"/>
      <c r="T1788" s="990"/>
      <c r="U1788" s="990"/>
      <c r="V1788" s="990"/>
      <c r="W1788" s="990"/>
      <c r="X1788" s="990"/>
    </row>
    <row r="1789" spans="1:24" s="896" customFormat="1" ht="25.5">
      <c r="A1789" s="987">
        <f t="shared" si="28"/>
        <v>1715</v>
      </c>
      <c r="B1789" s="988">
        <v>13887</v>
      </c>
      <c r="C1789" s="899" t="s">
        <v>11115</v>
      </c>
      <c r="D1789" s="988" t="s">
        <v>2666</v>
      </c>
      <c r="E1789" s="989">
        <v>509.02</v>
      </c>
      <c r="F1789" s="990"/>
      <c r="G1789" s="990"/>
      <c r="H1789" s="990"/>
      <c r="I1789" s="990"/>
      <c r="J1789" s="990"/>
      <c r="K1789" s="990"/>
      <c r="L1789" s="990"/>
      <c r="M1789" s="990"/>
      <c r="N1789" s="990"/>
      <c r="O1789" s="990"/>
      <c r="P1789" s="990"/>
      <c r="Q1789" s="990"/>
      <c r="R1789" s="990"/>
      <c r="S1789" s="990"/>
      <c r="T1789" s="990"/>
      <c r="U1789" s="990"/>
      <c r="V1789" s="990"/>
      <c r="W1789" s="990"/>
      <c r="X1789" s="990"/>
    </row>
    <row r="1790" spans="1:24" s="896" customFormat="1">
      <c r="A1790" s="987">
        <f t="shared" si="28"/>
        <v>1716</v>
      </c>
      <c r="B1790" s="988">
        <v>44495</v>
      </c>
      <c r="C1790" s="899" t="s">
        <v>11116</v>
      </c>
      <c r="D1790" s="988" t="s">
        <v>2666</v>
      </c>
      <c r="E1790" s="989">
        <v>22.66</v>
      </c>
      <c r="F1790" s="990"/>
      <c r="G1790" s="990"/>
      <c r="H1790" s="990"/>
      <c r="I1790" s="990"/>
      <c r="J1790" s="990"/>
      <c r="K1790" s="990"/>
      <c r="L1790" s="990"/>
      <c r="M1790" s="990"/>
      <c r="N1790" s="990"/>
      <c r="O1790" s="990"/>
      <c r="P1790" s="990"/>
      <c r="Q1790" s="990"/>
      <c r="R1790" s="990"/>
      <c r="S1790" s="990"/>
      <c r="T1790" s="990"/>
      <c r="U1790" s="990"/>
      <c r="V1790" s="990"/>
      <c r="W1790" s="990"/>
      <c r="X1790" s="990"/>
    </row>
    <row r="1791" spans="1:24" s="896" customFormat="1" ht="25.5">
      <c r="A1791" s="987">
        <f t="shared" si="28"/>
        <v>1717</v>
      </c>
      <c r="B1791" s="988">
        <v>44533</v>
      </c>
      <c r="C1791" s="899" t="s">
        <v>11117</v>
      </c>
      <c r="D1791" s="988" t="s">
        <v>2666</v>
      </c>
      <c r="E1791" s="989">
        <v>21.4</v>
      </c>
      <c r="F1791" s="990"/>
      <c r="G1791" s="990"/>
      <c r="H1791" s="990"/>
      <c r="I1791" s="990"/>
      <c r="J1791" s="990"/>
      <c r="K1791" s="990"/>
      <c r="L1791" s="990"/>
      <c r="M1791" s="990"/>
      <c r="N1791" s="990"/>
      <c r="O1791" s="990"/>
      <c r="P1791" s="990"/>
      <c r="Q1791" s="990"/>
      <c r="R1791" s="990"/>
      <c r="S1791" s="990"/>
      <c r="T1791" s="990"/>
      <c r="U1791" s="990"/>
      <c r="V1791" s="990"/>
      <c r="W1791" s="990"/>
      <c r="X1791" s="990"/>
    </row>
    <row r="1792" spans="1:24" s="896" customFormat="1">
      <c r="A1792" s="987">
        <f t="shared" si="28"/>
        <v>1718</v>
      </c>
      <c r="B1792" s="988">
        <v>44534</v>
      </c>
      <c r="C1792" s="899" t="s">
        <v>11118</v>
      </c>
      <c r="D1792" s="988" t="s">
        <v>2666</v>
      </c>
      <c r="E1792" s="989">
        <v>5.57</v>
      </c>
      <c r="F1792" s="990"/>
      <c r="G1792" s="990"/>
      <c r="H1792" s="990"/>
      <c r="I1792" s="990"/>
      <c r="J1792" s="990"/>
      <c r="K1792" s="990"/>
      <c r="L1792" s="990"/>
      <c r="M1792" s="990"/>
      <c r="N1792" s="990"/>
      <c r="O1792" s="990"/>
      <c r="P1792" s="990"/>
      <c r="Q1792" s="990"/>
      <c r="R1792" s="990"/>
      <c r="S1792" s="990"/>
      <c r="T1792" s="990"/>
      <c r="U1792" s="990"/>
      <c r="V1792" s="990"/>
      <c r="W1792" s="990"/>
      <c r="X1792" s="990"/>
    </row>
    <row r="1793" spans="1:24" s="896" customFormat="1">
      <c r="A1793" s="987">
        <f t="shared" si="28"/>
        <v>1719</v>
      </c>
      <c r="B1793" s="988">
        <v>34544</v>
      </c>
      <c r="C1793" s="899" t="s">
        <v>11119</v>
      </c>
      <c r="D1793" s="988" t="s">
        <v>2666</v>
      </c>
      <c r="E1793" s="989">
        <v>1804.5</v>
      </c>
      <c r="F1793" s="990"/>
      <c r="G1793" s="990"/>
      <c r="H1793" s="990"/>
      <c r="I1793" s="990"/>
      <c r="J1793" s="990"/>
      <c r="K1793" s="990"/>
      <c r="L1793" s="990"/>
      <c r="M1793" s="990"/>
      <c r="N1793" s="990"/>
      <c r="O1793" s="990"/>
      <c r="P1793" s="990"/>
      <c r="Q1793" s="990"/>
      <c r="R1793" s="990"/>
      <c r="S1793" s="990"/>
      <c r="T1793" s="990"/>
      <c r="U1793" s="990"/>
      <c r="V1793" s="990"/>
      <c r="W1793" s="990"/>
      <c r="X1793" s="990"/>
    </row>
    <row r="1794" spans="1:24" s="896" customFormat="1" ht="25.5">
      <c r="A1794" s="987">
        <f t="shared" si="28"/>
        <v>1720</v>
      </c>
      <c r="B1794" s="988">
        <v>34729</v>
      </c>
      <c r="C1794" s="899" t="s">
        <v>11120</v>
      </c>
      <c r="D1794" s="988" t="s">
        <v>2666</v>
      </c>
      <c r="E1794" s="989">
        <v>1419.52</v>
      </c>
      <c r="F1794" s="990"/>
      <c r="G1794" s="990"/>
      <c r="H1794" s="990"/>
      <c r="I1794" s="990"/>
      <c r="J1794" s="990"/>
      <c r="K1794" s="990"/>
      <c r="L1794" s="990"/>
      <c r="M1794" s="990"/>
      <c r="N1794" s="990"/>
      <c r="O1794" s="990"/>
      <c r="P1794" s="990"/>
      <c r="Q1794" s="990"/>
      <c r="R1794" s="990"/>
      <c r="S1794" s="990"/>
      <c r="T1794" s="990"/>
      <c r="U1794" s="990"/>
      <c r="V1794" s="990"/>
      <c r="W1794" s="990"/>
      <c r="X1794" s="990"/>
    </row>
    <row r="1795" spans="1:24" s="896" customFormat="1" ht="25.5">
      <c r="A1795" s="987">
        <f t="shared" si="28"/>
        <v>1721</v>
      </c>
      <c r="B1795" s="988">
        <v>34734</v>
      </c>
      <c r="C1795" s="899" t="s">
        <v>11121</v>
      </c>
      <c r="D1795" s="988" t="s">
        <v>2666</v>
      </c>
      <c r="E1795" s="989">
        <v>2197.86</v>
      </c>
      <c r="F1795" s="990"/>
      <c r="G1795" s="990"/>
      <c r="H1795" s="990"/>
      <c r="I1795" s="990"/>
      <c r="J1795" s="990"/>
      <c r="K1795" s="990"/>
      <c r="L1795" s="990"/>
      <c r="M1795" s="990"/>
      <c r="N1795" s="990"/>
      <c r="O1795" s="990"/>
      <c r="P1795" s="990"/>
      <c r="Q1795" s="990"/>
      <c r="R1795" s="990"/>
      <c r="S1795" s="990"/>
      <c r="T1795" s="990"/>
      <c r="U1795" s="990"/>
      <c r="V1795" s="990"/>
      <c r="W1795" s="990"/>
      <c r="X1795" s="990"/>
    </row>
    <row r="1796" spans="1:24" s="896" customFormat="1" ht="25.5">
      <c r="A1796" s="987">
        <f t="shared" si="28"/>
        <v>1722</v>
      </c>
      <c r="B1796" s="988">
        <v>34738</v>
      </c>
      <c r="C1796" s="899" t="s">
        <v>11122</v>
      </c>
      <c r="D1796" s="988" t="s">
        <v>2666</v>
      </c>
      <c r="E1796" s="989">
        <v>5134.8999999999996</v>
      </c>
      <c r="F1796" s="990"/>
      <c r="G1796" s="990"/>
      <c r="H1796" s="990"/>
      <c r="I1796" s="990"/>
      <c r="J1796" s="990"/>
      <c r="K1796" s="990"/>
      <c r="L1796" s="990"/>
      <c r="M1796" s="990"/>
      <c r="N1796" s="990"/>
      <c r="O1796" s="990"/>
      <c r="P1796" s="990"/>
      <c r="Q1796" s="990"/>
      <c r="R1796" s="990"/>
      <c r="S1796" s="990"/>
      <c r="T1796" s="990"/>
      <c r="U1796" s="990"/>
      <c r="V1796" s="990"/>
      <c r="W1796" s="990"/>
      <c r="X1796" s="990"/>
    </row>
    <row r="1797" spans="1:24" s="896" customFormat="1">
      <c r="A1797" s="987">
        <f t="shared" si="28"/>
        <v>1723</v>
      </c>
      <c r="B1797" s="988">
        <v>2391</v>
      </c>
      <c r="C1797" s="899" t="s">
        <v>11123</v>
      </c>
      <c r="D1797" s="988" t="s">
        <v>2666</v>
      </c>
      <c r="E1797" s="989">
        <v>417.63</v>
      </c>
      <c r="F1797" s="990"/>
      <c r="G1797" s="990"/>
      <c r="H1797" s="990"/>
      <c r="I1797" s="990"/>
      <c r="J1797" s="990"/>
      <c r="K1797" s="990"/>
      <c r="L1797" s="990"/>
      <c r="M1797" s="990"/>
      <c r="N1797" s="990"/>
      <c r="O1797" s="990"/>
      <c r="P1797" s="990"/>
      <c r="Q1797" s="990"/>
      <c r="R1797" s="990"/>
      <c r="S1797" s="990"/>
      <c r="T1797" s="990"/>
      <c r="U1797" s="990"/>
      <c r="V1797" s="990"/>
      <c r="W1797" s="990"/>
      <c r="X1797" s="990"/>
    </row>
    <row r="1798" spans="1:24" s="896" customFormat="1">
      <c r="A1798" s="987">
        <f t="shared" si="28"/>
        <v>1724</v>
      </c>
      <c r="B1798" s="988">
        <v>2374</v>
      </c>
      <c r="C1798" s="899" t="s">
        <v>11124</v>
      </c>
      <c r="D1798" s="988" t="s">
        <v>2666</v>
      </c>
      <c r="E1798" s="989">
        <v>473.8</v>
      </c>
      <c r="F1798" s="990"/>
      <c r="G1798" s="990"/>
      <c r="H1798" s="990"/>
      <c r="I1798" s="990"/>
      <c r="J1798" s="990"/>
      <c r="K1798" s="990"/>
      <c r="L1798" s="990"/>
      <c r="M1798" s="990"/>
      <c r="N1798" s="990"/>
      <c r="O1798" s="990"/>
      <c r="P1798" s="990"/>
      <c r="Q1798" s="990"/>
      <c r="R1798" s="990"/>
      <c r="S1798" s="990"/>
      <c r="T1798" s="990"/>
      <c r="U1798" s="990"/>
      <c r="V1798" s="990"/>
      <c r="W1798" s="990"/>
      <c r="X1798" s="990"/>
    </row>
    <row r="1799" spans="1:24" s="896" customFormat="1">
      <c r="A1799" s="987">
        <f t="shared" si="28"/>
        <v>1725</v>
      </c>
      <c r="B1799" s="988">
        <v>2377</v>
      </c>
      <c r="C1799" s="899" t="s">
        <v>11125</v>
      </c>
      <c r="D1799" s="988" t="s">
        <v>2666</v>
      </c>
      <c r="E1799" s="989">
        <v>664.92</v>
      </c>
      <c r="F1799" s="990"/>
      <c r="G1799" s="990"/>
      <c r="H1799" s="990"/>
      <c r="I1799" s="990"/>
      <c r="J1799" s="990"/>
      <c r="K1799" s="990"/>
      <c r="L1799" s="990"/>
      <c r="M1799" s="990"/>
      <c r="N1799" s="990"/>
      <c r="O1799" s="990"/>
      <c r="P1799" s="990"/>
      <c r="Q1799" s="990"/>
      <c r="R1799" s="990"/>
      <c r="S1799" s="990"/>
      <c r="T1799" s="990"/>
      <c r="U1799" s="990"/>
      <c r="V1799" s="990"/>
      <c r="W1799" s="990"/>
      <c r="X1799" s="990"/>
    </row>
    <row r="1800" spans="1:24" s="896" customFormat="1">
      <c r="A1800" s="987">
        <f t="shared" si="28"/>
        <v>1726</v>
      </c>
      <c r="B1800" s="988">
        <v>2393</v>
      </c>
      <c r="C1800" s="899" t="s">
        <v>11126</v>
      </c>
      <c r="D1800" s="988" t="s">
        <v>2666</v>
      </c>
      <c r="E1800" s="989">
        <v>1113.5</v>
      </c>
      <c r="F1800" s="990"/>
      <c r="G1800" s="990"/>
      <c r="H1800" s="990"/>
      <c r="I1800" s="990"/>
      <c r="J1800" s="990"/>
      <c r="K1800" s="990"/>
      <c r="L1800" s="990"/>
      <c r="M1800" s="990"/>
      <c r="N1800" s="990"/>
      <c r="O1800" s="990"/>
      <c r="P1800" s="990"/>
      <c r="Q1800" s="990"/>
      <c r="R1800" s="990"/>
      <c r="S1800" s="990"/>
      <c r="T1800" s="990"/>
      <c r="U1800" s="990"/>
      <c r="V1800" s="990"/>
      <c r="W1800" s="990"/>
      <c r="X1800" s="990"/>
    </row>
    <row r="1801" spans="1:24" s="896" customFormat="1">
      <c r="A1801" s="987">
        <f t="shared" si="28"/>
        <v>1727</v>
      </c>
      <c r="B1801" s="988">
        <v>34705</v>
      </c>
      <c r="C1801" s="899" t="s">
        <v>11127</v>
      </c>
      <c r="D1801" s="988" t="s">
        <v>2666</v>
      </c>
      <c r="E1801" s="989">
        <v>973.92</v>
      </c>
      <c r="F1801" s="990"/>
      <c r="G1801" s="990"/>
      <c r="H1801" s="990"/>
      <c r="I1801" s="990"/>
      <c r="J1801" s="990"/>
      <c r="K1801" s="990"/>
      <c r="L1801" s="990"/>
      <c r="M1801" s="990"/>
      <c r="N1801" s="990"/>
      <c r="O1801" s="990"/>
      <c r="P1801" s="990"/>
      <c r="Q1801" s="990"/>
      <c r="R1801" s="990"/>
      <c r="S1801" s="990"/>
      <c r="T1801" s="990"/>
      <c r="U1801" s="990"/>
      <c r="V1801" s="990"/>
      <c r="W1801" s="990"/>
      <c r="X1801" s="990"/>
    </row>
    <row r="1802" spans="1:24" s="896" customFormat="1">
      <c r="A1802" s="987">
        <f t="shared" si="28"/>
        <v>1728</v>
      </c>
      <c r="B1802" s="988">
        <v>34707</v>
      </c>
      <c r="C1802" s="899" t="s">
        <v>11128</v>
      </c>
      <c r="D1802" s="988" t="s">
        <v>2666</v>
      </c>
      <c r="E1802" s="989">
        <v>1804.69</v>
      </c>
      <c r="F1802" s="990"/>
      <c r="G1802" s="990"/>
      <c r="H1802" s="990"/>
      <c r="I1802" s="990"/>
      <c r="J1802" s="990"/>
      <c r="K1802" s="990"/>
      <c r="L1802" s="990"/>
      <c r="M1802" s="990"/>
      <c r="N1802" s="990"/>
      <c r="O1802" s="990"/>
      <c r="P1802" s="990"/>
      <c r="Q1802" s="990"/>
      <c r="R1802" s="990"/>
      <c r="S1802" s="990"/>
      <c r="T1802" s="990"/>
      <c r="U1802" s="990"/>
      <c r="V1802" s="990"/>
      <c r="W1802" s="990"/>
      <c r="X1802" s="990"/>
    </row>
    <row r="1803" spans="1:24" s="896" customFormat="1">
      <c r="A1803" s="987">
        <f t="shared" si="28"/>
        <v>1729</v>
      </c>
      <c r="B1803" s="988">
        <v>2378</v>
      </c>
      <c r="C1803" s="899" t="s">
        <v>11129</v>
      </c>
      <c r="D1803" s="988" t="s">
        <v>2666</v>
      </c>
      <c r="E1803" s="989">
        <v>1529.54</v>
      </c>
      <c r="F1803" s="990"/>
      <c r="G1803" s="990"/>
      <c r="H1803" s="990"/>
      <c r="I1803" s="990"/>
      <c r="J1803" s="990"/>
      <c r="K1803" s="990"/>
      <c r="L1803" s="990"/>
      <c r="M1803" s="990"/>
      <c r="N1803" s="990"/>
      <c r="O1803" s="990"/>
      <c r="P1803" s="990"/>
      <c r="Q1803" s="990"/>
      <c r="R1803" s="990"/>
      <c r="S1803" s="990"/>
      <c r="T1803" s="990"/>
      <c r="U1803" s="990"/>
      <c r="V1803" s="990"/>
      <c r="W1803" s="990"/>
      <c r="X1803" s="990"/>
    </row>
    <row r="1804" spans="1:24" s="896" customFormat="1">
      <c r="A1804" s="987">
        <f t="shared" ref="A1804:A1867" si="29">A1803+1</f>
        <v>1730</v>
      </c>
      <c r="B1804" s="988">
        <v>2379</v>
      </c>
      <c r="C1804" s="899" t="s">
        <v>11130</v>
      </c>
      <c r="D1804" s="988" t="s">
        <v>2666</v>
      </c>
      <c r="E1804" s="989">
        <v>1529.54</v>
      </c>
      <c r="F1804" s="990"/>
      <c r="G1804" s="990"/>
      <c r="H1804" s="990"/>
      <c r="I1804" s="990"/>
      <c r="J1804" s="990"/>
      <c r="K1804" s="990"/>
      <c r="L1804" s="990"/>
      <c r="M1804" s="990"/>
      <c r="N1804" s="990"/>
      <c r="O1804" s="990"/>
      <c r="P1804" s="990"/>
      <c r="Q1804" s="990"/>
      <c r="R1804" s="990"/>
      <c r="S1804" s="990"/>
      <c r="T1804" s="990"/>
      <c r="U1804" s="990"/>
      <c r="V1804" s="990"/>
      <c r="W1804" s="990"/>
      <c r="X1804" s="990"/>
    </row>
    <row r="1805" spans="1:24" s="896" customFormat="1">
      <c r="A1805" s="987">
        <f t="shared" si="29"/>
        <v>1731</v>
      </c>
      <c r="B1805" s="988">
        <v>2376</v>
      </c>
      <c r="C1805" s="899" t="s">
        <v>11131</v>
      </c>
      <c r="D1805" s="988" t="s">
        <v>2666</v>
      </c>
      <c r="E1805" s="989">
        <v>2519.15</v>
      </c>
      <c r="F1805" s="990"/>
      <c r="G1805" s="990"/>
      <c r="H1805" s="990"/>
      <c r="I1805" s="990"/>
      <c r="J1805" s="990"/>
      <c r="K1805" s="990"/>
      <c r="L1805" s="990"/>
      <c r="M1805" s="990"/>
      <c r="N1805" s="990"/>
      <c r="O1805" s="990"/>
      <c r="P1805" s="990"/>
      <c r="Q1805" s="990"/>
      <c r="R1805" s="990"/>
      <c r="S1805" s="990"/>
      <c r="T1805" s="990"/>
      <c r="U1805" s="990"/>
      <c r="V1805" s="990"/>
      <c r="W1805" s="990"/>
      <c r="X1805" s="990"/>
    </row>
    <row r="1806" spans="1:24" s="896" customFormat="1">
      <c r="A1806" s="987">
        <f t="shared" si="29"/>
        <v>1732</v>
      </c>
      <c r="B1806" s="988">
        <v>2394</v>
      </c>
      <c r="C1806" s="899" t="s">
        <v>11132</v>
      </c>
      <c r="D1806" s="988" t="s">
        <v>2666</v>
      </c>
      <c r="E1806" s="989">
        <v>5385.48</v>
      </c>
      <c r="F1806" s="990"/>
      <c r="G1806" s="990"/>
      <c r="H1806" s="990"/>
      <c r="I1806" s="990"/>
      <c r="J1806" s="990"/>
      <c r="K1806" s="990"/>
      <c r="L1806" s="990"/>
      <c r="M1806" s="990"/>
      <c r="N1806" s="990"/>
      <c r="O1806" s="990"/>
      <c r="P1806" s="990"/>
      <c r="Q1806" s="990"/>
      <c r="R1806" s="990"/>
      <c r="S1806" s="990"/>
      <c r="T1806" s="990"/>
      <c r="U1806" s="990"/>
      <c r="V1806" s="990"/>
      <c r="W1806" s="990"/>
      <c r="X1806" s="990"/>
    </row>
    <row r="1807" spans="1:24" s="896" customFormat="1">
      <c r="A1807" s="987">
        <f t="shared" si="29"/>
        <v>1733</v>
      </c>
      <c r="B1807" s="988">
        <v>34686</v>
      </c>
      <c r="C1807" s="899" t="s">
        <v>11133</v>
      </c>
      <c r="D1807" s="988" t="s">
        <v>2666</v>
      </c>
      <c r="E1807" s="989">
        <v>16.16</v>
      </c>
      <c r="F1807" s="990"/>
      <c r="G1807" s="990"/>
      <c r="H1807" s="990"/>
      <c r="I1807" s="990"/>
      <c r="J1807" s="990"/>
      <c r="K1807" s="990"/>
      <c r="L1807" s="990"/>
      <c r="M1807" s="990"/>
      <c r="N1807" s="990"/>
      <c r="O1807" s="990"/>
      <c r="P1807" s="990"/>
      <c r="Q1807" s="990"/>
      <c r="R1807" s="990"/>
      <c r="S1807" s="990"/>
      <c r="T1807" s="990"/>
      <c r="U1807" s="990"/>
      <c r="V1807" s="990"/>
      <c r="W1807" s="990"/>
      <c r="X1807" s="990"/>
    </row>
    <row r="1808" spans="1:24" s="896" customFormat="1">
      <c r="A1808" s="987">
        <f t="shared" si="29"/>
        <v>1734</v>
      </c>
      <c r="B1808" s="988">
        <v>34616</v>
      </c>
      <c r="C1808" s="899" t="s">
        <v>11134</v>
      </c>
      <c r="D1808" s="988" t="s">
        <v>2666</v>
      </c>
      <c r="E1808" s="989">
        <v>62.49</v>
      </c>
      <c r="F1808" s="990"/>
      <c r="G1808" s="990"/>
      <c r="H1808" s="990"/>
      <c r="I1808" s="990"/>
      <c r="J1808" s="990"/>
      <c r="K1808" s="990"/>
      <c r="L1808" s="990"/>
      <c r="M1808" s="990"/>
      <c r="N1808" s="990"/>
      <c r="O1808" s="990"/>
      <c r="P1808" s="990"/>
      <c r="Q1808" s="990"/>
      <c r="R1808" s="990"/>
      <c r="S1808" s="990"/>
      <c r="T1808" s="990"/>
      <c r="U1808" s="990"/>
      <c r="V1808" s="990"/>
      <c r="W1808" s="990"/>
      <c r="X1808" s="990"/>
    </row>
    <row r="1809" spans="1:24" s="896" customFormat="1">
      <c r="A1809" s="987">
        <f t="shared" si="29"/>
        <v>1735</v>
      </c>
      <c r="B1809" s="988">
        <v>34623</v>
      </c>
      <c r="C1809" s="899" t="s">
        <v>11135</v>
      </c>
      <c r="D1809" s="988" t="s">
        <v>2666</v>
      </c>
      <c r="E1809" s="989">
        <v>61.53</v>
      </c>
      <c r="F1809" s="990"/>
      <c r="G1809" s="990"/>
      <c r="H1809" s="990"/>
      <c r="I1809" s="990"/>
      <c r="J1809" s="990"/>
      <c r="K1809" s="990"/>
      <c r="L1809" s="990"/>
      <c r="M1809" s="990"/>
      <c r="N1809" s="990"/>
      <c r="O1809" s="990"/>
      <c r="P1809" s="990"/>
      <c r="Q1809" s="990"/>
      <c r="R1809" s="990"/>
      <c r="S1809" s="990"/>
      <c r="T1809" s="990"/>
      <c r="U1809" s="990"/>
      <c r="V1809" s="990"/>
      <c r="W1809" s="990"/>
      <c r="X1809" s="990"/>
    </row>
    <row r="1810" spans="1:24" s="896" customFormat="1">
      <c r="A1810" s="987">
        <f t="shared" si="29"/>
        <v>1736</v>
      </c>
      <c r="B1810" s="988">
        <v>34628</v>
      </c>
      <c r="C1810" s="899" t="s">
        <v>11136</v>
      </c>
      <c r="D1810" s="988" t="s">
        <v>2666</v>
      </c>
      <c r="E1810" s="989">
        <v>88.14</v>
      </c>
      <c r="F1810" s="990"/>
      <c r="G1810" s="990"/>
      <c r="H1810" s="990"/>
      <c r="I1810" s="990"/>
      <c r="J1810" s="990"/>
      <c r="K1810" s="990"/>
      <c r="L1810" s="990"/>
      <c r="M1810" s="990"/>
      <c r="N1810" s="990"/>
      <c r="O1810" s="990"/>
      <c r="P1810" s="990"/>
      <c r="Q1810" s="990"/>
      <c r="R1810" s="990"/>
      <c r="S1810" s="990"/>
      <c r="T1810" s="990"/>
      <c r="U1810" s="990"/>
      <c r="V1810" s="990"/>
      <c r="W1810" s="990"/>
      <c r="X1810" s="990"/>
    </row>
    <row r="1811" spans="1:24" s="896" customFormat="1">
      <c r="A1811" s="987">
        <f t="shared" si="29"/>
        <v>1737</v>
      </c>
      <c r="B1811" s="988">
        <v>34653</v>
      </c>
      <c r="C1811" s="899" t="s">
        <v>11137</v>
      </c>
      <c r="D1811" s="988" t="s">
        <v>2666</v>
      </c>
      <c r="E1811" s="989">
        <v>10.9</v>
      </c>
      <c r="F1811" s="990"/>
      <c r="G1811" s="990"/>
      <c r="H1811" s="990"/>
      <c r="I1811" s="990"/>
      <c r="J1811" s="990"/>
      <c r="K1811" s="990"/>
      <c r="L1811" s="990"/>
      <c r="M1811" s="990"/>
      <c r="N1811" s="990"/>
      <c r="O1811" s="990"/>
      <c r="P1811" s="990"/>
      <c r="Q1811" s="990"/>
      <c r="R1811" s="990"/>
      <c r="S1811" s="990"/>
      <c r="T1811" s="990"/>
      <c r="U1811" s="990"/>
      <c r="V1811" s="990"/>
      <c r="W1811" s="990"/>
      <c r="X1811" s="990"/>
    </row>
    <row r="1812" spans="1:24" s="896" customFormat="1">
      <c r="A1812" s="987">
        <f t="shared" si="29"/>
        <v>1738</v>
      </c>
      <c r="B1812" s="988">
        <v>34688</v>
      </c>
      <c r="C1812" s="899" t="s">
        <v>11138</v>
      </c>
      <c r="D1812" s="988" t="s">
        <v>2666</v>
      </c>
      <c r="E1812" s="989">
        <v>19.760000000000002</v>
      </c>
      <c r="F1812" s="990"/>
      <c r="G1812" s="990"/>
      <c r="H1812" s="990"/>
      <c r="I1812" s="990"/>
      <c r="J1812" s="990"/>
      <c r="K1812" s="990"/>
      <c r="L1812" s="990"/>
      <c r="M1812" s="990"/>
      <c r="N1812" s="990"/>
      <c r="O1812" s="990"/>
      <c r="P1812" s="990"/>
      <c r="Q1812" s="990"/>
      <c r="R1812" s="990"/>
      <c r="S1812" s="990"/>
      <c r="T1812" s="990"/>
      <c r="U1812" s="990"/>
      <c r="V1812" s="990"/>
      <c r="W1812" s="990"/>
      <c r="X1812" s="990"/>
    </row>
    <row r="1813" spans="1:24" s="896" customFormat="1">
      <c r="A1813" s="987">
        <f t="shared" si="29"/>
        <v>1739</v>
      </c>
      <c r="B1813" s="988">
        <v>34709</v>
      </c>
      <c r="C1813" s="899" t="s">
        <v>11139</v>
      </c>
      <c r="D1813" s="988" t="s">
        <v>2666</v>
      </c>
      <c r="E1813" s="989">
        <v>76.56</v>
      </c>
      <c r="F1813" s="990"/>
      <c r="G1813" s="990"/>
      <c r="H1813" s="990"/>
      <c r="I1813" s="990"/>
      <c r="J1813" s="990"/>
      <c r="K1813" s="990"/>
      <c r="L1813" s="990"/>
      <c r="M1813" s="990"/>
      <c r="N1813" s="990"/>
      <c r="O1813" s="990"/>
      <c r="P1813" s="990"/>
      <c r="Q1813" s="990"/>
      <c r="R1813" s="990"/>
      <c r="S1813" s="990"/>
      <c r="T1813" s="990"/>
      <c r="U1813" s="990"/>
      <c r="V1813" s="990"/>
      <c r="W1813" s="990"/>
      <c r="X1813" s="990"/>
    </row>
    <row r="1814" spans="1:24" s="896" customFormat="1">
      <c r="A1814" s="987">
        <f t="shared" si="29"/>
        <v>1740</v>
      </c>
      <c r="B1814" s="988">
        <v>34714</v>
      </c>
      <c r="C1814" s="899" t="s">
        <v>11140</v>
      </c>
      <c r="D1814" s="988" t="s">
        <v>2666</v>
      </c>
      <c r="E1814" s="989">
        <v>91.45</v>
      </c>
      <c r="F1814" s="990"/>
      <c r="G1814" s="990"/>
      <c r="H1814" s="990"/>
      <c r="I1814" s="990"/>
      <c r="J1814" s="990"/>
      <c r="K1814" s="990"/>
      <c r="L1814" s="990"/>
      <c r="M1814" s="990"/>
      <c r="N1814" s="990"/>
      <c r="O1814" s="990"/>
      <c r="P1814" s="990"/>
      <c r="Q1814" s="990"/>
      <c r="R1814" s="990"/>
      <c r="S1814" s="990"/>
      <c r="T1814" s="990"/>
      <c r="U1814" s="990"/>
      <c r="V1814" s="990"/>
      <c r="W1814" s="990"/>
      <c r="X1814" s="990"/>
    </row>
    <row r="1815" spans="1:24" s="896" customFormat="1">
      <c r="A1815" s="987">
        <f t="shared" si="29"/>
        <v>1741</v>
      </c>
      <c r="B1815" s="988">
        <v>2388</v>
      </c>
      <c r="C1815" s="899" t="s">
        <v>11141</v>
      </c>
      <c r="D1815" s="988" t="s">
        <v>2666</v>
      </c>
      <c r="E1815" s="989">
        <v>75.989999999999995</v>
      </c>
      <c r="F1815" s="990"/>
      <c r="G1815" s="990"/>
      <c r="H1815" s="990"/>
      <c r="I1815" s="990"/>
      <c r="J1815" s="990"/>
      <c r="K1815" s="990"/>
      <c r="L1815" s="990"/>
      <c r="M1815" s="990"/>
      <c r="N1815" s="990"/>
      <c r="O1815" s="990"/>
      <c r="P1815" s="990"/>
      <c r="Q1815" s="990"/>
      <c r="R1815" s="990"/>
      <c r="S1815" s="990"/>
      <c r="T1815" s="990"/>
      <c r="U1815" s="990"/>
      <c r="V1815" s="990"/>
      <c r="W1815" s="990"/>
      <c r="X1815" s="990"/>
    </row>
    <row r="1816" spans="1:24" s="896" customFormat="1">
      <c r="A1816" s="987">
        <f t="shared" si="29"/>
        <v>1742</v>
      </c>
      <c r="B1816" s="988">
        <v>34606</v>
      </c>
      <c r="C1816" s="899" t="s">
        <v>11142</v>
      </c>
      <c r="D1816" s="988" t="s">
        <v>2666</v>
      </c>
      <c r="E1816" s="989">
        <v>116.56</v>
      </c>
      <c r="F1816" s="990"/>
      <c r="G1816" s="990"/>
      <c r="H1816" s="990"/>
      <c r="I1816" s="990"/>
      <c r="J1816" s="990"/>
      <c r="K1816" s="990"/>
      <c r="L1816" s="990"/>
      <c r="M1816" s="990"/>
      <c r="N1816" s="990"/>
      <c r="O1816" s="990"/>
      <c r="P1816" s="990"/>
      <c r="Q1816" s="990"/>
      <c r="R1816" s="990"/>
      <c r="S1816" s="990"/>
      <c r="T1816" s="990"/>
      <c r="U1816" s="990"/>
      <c r="V1816" s="990"/>
      <c r="W1816" s="990"/>
      <c r="X1816" s="990"/>
    </row>
    <row r="1817" spans="1:24" s="896" customFormat="1">
      <c r="A1817" s="987">
        <f t="shared" si="29"/>
        <v>1743</v>
      </c>
      <c r="B1817" s="988">
        <v>34689</v>
      </c>
      <c r="C1817" s="899" t="s">
        <v>11143</v>
      </c>
      <c r="D1817" s="988" t="s">
        <v>2666</v>
      </c>
      <c r="E1817" s="989">
        <v>37.11</v>
      </c>
      <c r="F1817" s="990"/>
      <c r="G1817" s="990"/>
      <c r="H1817" s="990"/>
      <c r="I1817" s="990"/>
      <c r="J1817" s="990"/>
      <c r="K1817" s="990"/>
      <c r="L1817" s="990"/>
      <c r="M1817" s="990"/>
      <c r="N1817" s="990"/>
      <c r="O1817" s="990"/>
      <c r="P1817" s="990"/>
      <c r="Q1817" s="990"/>
      <c r="R1817" s="990"/>
      <c r="S1817" s="990"/>
      <c r="T1817" s="990"/>
      <c r="U1817" s="990"/>
      <c r="V1817" s="990"/>
      <c r="W1817" s="990"/>
      <c r="X1817" s="990"/>
    </row>
    <row r="1818" spans="1:24" s="896" customFormat="1">
      <c r="A1818" s="987">
        <f t="shared" si="29"/>
        <v>1744</v>
      </c>
      <c r="B1818" s="988">
        <v>2370</v>
      </c>
      <c r="C1818" s="899" t="s">
        <v>11144</v>
      </c>
      <c r="D1818" s="988" t="s">
        <v>2666</v>
      </c>
      <c r="E1818" s="989">
        <v>14.12</v>
      </c>
      <c r="F1818" s="990"/>
      <c r="G1818" s="990"/>
      <c r="H1818" s="990"/>
      <c r="I1818" s="990"/>
      <c r="J1818" s="990"/>
      <c r="K1818" s="990"/>
      <c r="L1818" s="990"/>
      <c r="M1818" s="990"/>
      <c r="N1818" s="990"/>
      <c r="O1818" s="990"/>
      <c r="P1818" s="990"/>
      <c r="Q1818" s="990"/>
      <c r="R1818" s="990"/>
      <c r="S1818" s="990"/>
      <c r="T1818" s="990"/>
      <c r="U1818" s="990"/>
      <c r="V1818" s="990"/>
      <c r="W1818" s="990"/>
      <c r="X1818" s="990"/>
    </row>
    <row r="1819" spans="1:24" s="896" customFormat="1">
      <c r="A1819" s="987">
        <f t="shared" si="29"/>
        <v>1745</v>
      </c>
      <c r="B1819" s="988">
        <v>2386</v>
      </c>
      <c r="C1819" s="899" t="s">
        <v>11145</v>
      </c>
      <c r="D1819" s="988" t="s">
        <v>2666</v>
      </c>
      <c r="E1819" s="989">
        <v>23.69</v>
      </c>
      <c r="F1819" s="990"/>
      <c r="G1819" s="990"/>
      <c r="H1819" s="990"/>
      <c r="I1819" s="990"/>
      <c r="J1819" s="990"/>
      <c r="K1819" s="990"/>
      <c r="L1819" s="990"/>
      <c r="M1819" s="990"/>
      <c r="N1819" s="990"/>
      <c r="O1819" s="990"/>
      <c r="P1819" s="990"/>
      <c r="Q1819" s="990"/>
      <c r="R1819" s="990"/>
      <c r="S1819" s="990"/>
      <c r="T1819" s="990"/>
      <c r="U1819" s="990"/>
      <c r="V1819" s="990"/>
      <c r="W1819" s="990"/>
      <c r="X1819" s="990"/>
    </row>
    <row r="1820" spans="1:24" s="896" customFormat="1">
      <c r="A1820" s="987">
        <f t="shared" si="29"/>
        <v>1746</v>
      </c>
      <c r="B1820" s="988">
        <v>2392</v>
      </c>
      <c r="C1820" s="899" t="s">
        <v>11146</v>
      </c>
      <c r="D1820" s="988" t="s">
        <v>2666</v>
      </c>
      <c r="E1820" s="989">
        <v>94.78</v>
      </c>
      <c r="F1820" s="990"/>
      <c r="G1820" s="990"/>
      <c r="H1820" s="990"/>
      <c r="I1820" s="990"/>
      <c r="J1820" s="990"/>
      <c r="K1820" s="990"/>
      <c r="L1820" s="990"/>
      <c r="M1820" s="990"/>
      <c r="N1820" s="990"/>
      <c r="O1820" s="990"/>
      <c r="P1820" s="990"/>
      <c r="Q1820" s="990"/>
      <c r="R1820" s="990"/>
      <c r="S1820" s="990"/>
      <c r="T1820" s="990"/>
      <c r="U1820" s="990"/>
      <c r="V1820" s="990"/>
      <c r="W1820" s="990"/>
      <c r="X1820" s="990"/>
    </row>
    <row r="1821" spans="1:24" s="896" customFormat="1">
      <c r="A1821" s="987">
        <f t="shared" si="29"/>
        <v>1747</v>
      </c>
      <c r="B1821" s="988">
        <v>2373</v>
      </c>
      <c r="C1821" s="899" t="s">
        <v>11147</v>
      </c>
      <c r="D1821" s="988" t="s">
        <v>2666</v>
      </c>
      <c r="E1821" s="989">
        <v>133.54</v>
      </c>
      <c r="F1821" s="990"/>
      <c r="G1821" s="990"/>
      <c r="H1821" s="990"/>
      <c r="I1821" s="990"/>
      <c r="J1821" s="990"/>
      <c r="K1821" s="990"/>
      <c r="L1821" s="990"/>
      <c r="M1821" s="990"/>
      <c r="N1821" s="990"/>
      <c r="O1821" s="990"/>
      <c r="P1821" s="990"/>
      <c r="Q1821" s="990"/>
      <c r="R1821" s="990"/>
      <c r="S1821" s="990"/>
      <c r="T1821" s="990"/>
      <c r="U1821" s="990"/>
      <c r="V1821" s="990"/>
      <c r="W1821" s="990"/>
      <c r="X1821" s="990"/>
    </row>
    <row r="1822" spans="1:24" s="896" customFormat="1" ht="25.5">
      <c r="A1822" s="987">
        <f t="shared" si="29"/>
        <v>1748</v>
      </c>
      <c r="B1822" s="988">
        <v>39465</v>
      </c>
      <c r="C1822" s="899" t="s">
        <v>11148</v>
      </c>
      <c r="D1822" s="988" t="s">
        <v>2666</v>
      </c>
      <c r="E1822" s="989">
        <v>81.58</v>
      </c>
      <c r="F1822" s="990"/>
      <c r="G1822" s="990"/>
      <c r="H1822" s="990"/>
      <c r="I1822" s="990"/>
      <c r="J1822" s="990"/>
      <c r="K1822" s="990"/>
      <c r="L1822" s="990"/>
      <c r="M1822" s="990"/>
      <c r="N1822" s="990"/>
      <c r="O1822" s="990"/>
      <c r="P1822" s="990"/>
      <c r="Q1822" s="990"/>
      <c r="R1822" s="990"/>
      <c r="S1822" s="990"/>
      <c r="T1822" s="990"/>
      <c r="U1822" s="990"/>
      <c r="V1822" s="990"/>
      <c r="W1822" s="990"/>
      <c r="X1822" s="990"/>
    </row>
    <row r="1823" spans="1:24" s="896" customFormat="1" ht="25.5">
      <c r="A1823" s="987">
        <f t="shared" si="29"/>
        <v>1749</v>
      </c>
      <c r="B1823" s="988">
        <v>39466</v>
      </c>
      <c r="C1823" s="899" t="s">
        <v>11149</v>
      </c>
      <c r="D1823" s="988" t="s">
        <v>2666</v>
      </c>
      <c r="E1823" s="989">
        <v>91.78</v>
      </c>
      <c r="F1823" s="990"/>
      <c r="G1823" s="990"/>
      <c r="H1823" s="990"/>
      <c r="I1823" s="990"/>
      <c r="J1823" s="990"/>
      <c r="K1823" s="990"/>
      <c r="L1823" s="990"/>
      <c r="M1823" s="990"/>
      <c r="N1823" s="990"/>
      <c r="O1823" s="990"/>
      <c r="P1823" s="990"/>
      <c r="Q1823" s="990"/>
      <c r="R1823" s="990"/>
      <c r="S1823" s="990"/>
      <c r="T1823" s="990"/>
      <c r="U1823" s="990"/>
      <c r="V1823" s="990"/>
      <c r="W1823" s="990"/>
      <c r="X1823" s="990"/>
    </row>
    <row r="1824" spans="1:24" s="896" customFormat="1" ht="25.5">
      <c r="A1824" s="987">
        <f t="shared" si="29"/>
        <v>1750</v>
      </c>
      <c r="B1824" s="988">
        <v>39467</v>
      </c>
      <c r="C1824" s="899" t="s">
        <v>11150</v>
      </c>
      <c r="D1824" s="988" t="s">
        <v>2666</v>
      </c>
      <c r="E1824" s="989">
        <v>117.39</v>
      </c>
      <c r="F1824" s="990"/>
      <c r="G1824" s="990"/>
      <c r="H1824" s="990"/>
      <c r="I1824" s="990"/>
      <c r="J1824" s="990"/>
      <c r="K1824" s="990"/>
      <c r="L1824" s="990"/>
      <c r="M1824" s="990"/>
      <c r="N1824" s="990"/>
      <c r="O1824" s="990"/>
      <c r="P1824" s="990"/>
      <c r="Q1824" s="990"/>
      <c r="R1824" s="990"/>
      <c r="S1824" s="990"/>
      <c r="T1824" s="990"/>
      <c r="U1824" s="990"/>
      <c r="V1824" s="990"/>
      <c r="W1824" s="990"/>
      <c r="X1824" s="990"/>
    </row>
    <row r="1825" spans="1:24" s="896" customFormat="1" ht="25.5">
      <c r="A1825" s="987">
        <f t="shared" si="29"/>
        <v>1751</v>
      </c>
      <c r="B1825" s="988">
        <v>39468</v>
      </c>
      <c r="C1825" s="899" t="s">
        <v>11151</v>
      </c>
      <c r="D1825" s="988" t="s">
        <v>2666</v>
      </c>
      <c r="E1825" s="989">
        <v>208.67</v>
      </c>
      <c r="F1825" s="990"/>
      <c r="G1825" s="990"/>
      <c r="H1825" s="990"/>
      <c r="I1825" s="990"/>
      <c r="J1825" s="990"/>
      <c r="K1825" s="990"/>
      <c r="L1825" s="990"/>
      <c r="M1825" s="990"/>
      <c r="N1825" s="990"/>
      <c r="O1825" s="990"/>
      <c r="P1825" s="990"/>
      <c r="Q1825" s="990"/>
      <c r="R1825" s="990"/>
      <c r="S1825" s="990"/>
      <c r="T1825" s="990"/>
      <c r="U1825" s="990"/>
      <c r="V1825" s="990"/>
      <c r="W1825" s="990"/>
      <c r="X1825" s="990"/>
    </row>
    <row r="1826" spans="1:24" s="896" customFormat="1" ht="25.5">
      <c r="A1826" s="987">
        <f t="shared" si="29"/>
        <v>1752</v>
      </c>
      <c r="B1826" s="988">
        <v>39469</v>
      </c>
      <c r="C1826" s="899" t="s">
        <v>11152</v>
      </c>
      <c r="D1826" s="988" t="s">
        <v>2666</v>
      </c>
      <c r="E1826" s="989">
        <v>85</v>
      </c>
      <c r="F1826" s="990"/>
      <c r="G1826" s="990"/>
      <c r="H1826" s="990"/>
      <c r="I1826" s="990"/>
      <c r="J1826" s="990"/>
      <c r="K1826" s="990"/>
      <c r="L1826" s="990"/>
      <c r="M1826" s="990"/>
      <c r="N1826" s="990"/>
      <c r="O1826" s="990"/>
      <c r="P1826" s="990"/>
      <c r="Q1826" s="990"/>
      <c r="R1826" s="990"/>
      <c r="S1826" s="990"/>
      <c r="T1826" s="990"/>
      <c r="U1826" s="990"/>
      <c r="V1826" s="990"/>
      <c r="W1826" s="990"/>
      <c r="X1826" s="990"/>
    </row>
    <row r="1827" spans="1:24" s="896" customFormat="1" ht="25.5">
      <c r="A1827" s="987">
        <f t="shared" si="29"/>
        <v>1753</v>
      </c>
      <c r="B1827" s="988">
        <v>39470</v>
      </c>
      <c r="C1827" s="899" t="s">
        <v>11153</v>
      </c>
      <c r="D1827" s="988" t="s">
        <v>2666</v>
      </c>
      <c r="E1827" s="989">
        <v>104.44</v>
      </c>
      <c r="F1827" s="990"/>
      <c r="G1827" s="990"/>
      <c r="H1827" s="990"/>
      <c r="I1827" s="990"/>
      <c r="J1827" s="990"/>
      <c r="K1827" s="990"/>
      <c r="L1827" s="990"/>
      <c r="M1827" s="990"/>
      <c r="N1827" s="990"/>
      <c r="O1827" s="990"/>
      <c r="P1827" s="990"/>
      <c r="Q1827" s="990"/>
      <c r="R1827" s="990"/>
      <c r="S1827" s="990"/>
      <c r="T1827" s="990"/>
      <c r="U1827" s="990"/>
      <c r="V1827" s="990"/>
      <c r="W1827" s="990"/>
      <c r="X1827" s="990"/>
    </row>
    <row r="1828" spans="1:24" s="896" customFormat="1" ht="25.5">
      <c r="A1828" s="987">
        <f t="shared" si="29"/>
        <v>1754</v>
      </c>
      <c r="B1828" s="988">
        <v>39471</v>
      </c>
      <c r="C1828" s="899" t="s">
        <v>11154</v>
      </c>
      <c r="D1828" s="988" t="s">
        <v>2666</v>
      </c>
      <c r="E1828" s="989">
        <v>125.51</v>
      </c>
      <c r="F1828" s="990"/>
      <c r="G1828" s="990"/>
      <c r="H1828" s="990"/>
      <c r="I1828" s="990"/>
      <c r="J1828" s="990"/>
      <c r="K1828" s="990"/>
      <c r="L1828" s="990"/>
      <c r="M1828" s="990"/>
      <c r="N1828" s="990"/>
      <c r="O1828" s="990"/>
      <c r="P1828" s="990"/>
      <c r="Q1828" s="990"/>
      <c r="R1828" s="990"/>
      <c r="S1828" s="990"/>
      <c r="T1828" s="990"/>
      <c r="U1828" s="990"/>
      <c r="V1828" s="990"/>
      <c r="W1828" s="990"/>
      <c r="X1828" s="990"/>
    </row>
    <row r="1829" spans="1:24" s="896" customFormat="1" ht="25.5">
      <c r="A1829" s="987">
        <f t="shared" si="29"/>
        <v>1755</v>
      </c>
      <c r="B1829" s="988">
        <v>39472</v>
      </c>
      <c r="C1829" s="899" t="s">
        <v>11155</v>
      </c>
      <c r="D1829" s="988" t="s">
        <v>2666</v>
      </c>
      <c r="E1829" s="989">
        <v>218.07</v>
      </c>
      <c r="F1829" s="990"/>
      <c r="G1829" s="990"/>
      <c r="H1829" s="990"/>
      <c r="I1829" s="990"/>
      <c r="J1829" s="990"/>
      <c r="K1829" s="990"/>
      <c r="L1829" s="990"/>
      <c r="M1829" s="990"/>
      <c r="N1829" s="990"/>
      <c r="O1829" s="990"/>
      <c r="P1829" s="990"/>
      <c r="Q1829" s="990"/>
      <c r="R1829" s="990"/>
      <c r="S1829" s="990"/>
      <c r="T1829" s="990"/>
      <c r="U1829" s="990"/>
      <c r="V1829" s="990"/>
      <c r="W1829" s="990"/>
      <c r="X1829" s="990"/>
    </row>
    <row r="1830" spans="1:24" s="896" customFormat="1" ht="25.5">
      <c r="A1830" s="987">
        <f t="shared" si="29"/>
        <v>1756</v>
      </c>
      <c r="B1830" s="988">
        <v>39473</v>
      </c>
      <c r="C1830" s="899" t="s">
        <v>11156</v>
      </c>
      <c r="D1830" s="988" t="s">
        <v>2666</v>
      </c>
      <c r="E1830" s="989">
        <v>140.87</v>
      </c>
      <c r="F1830" s="990"/>
      <c r="G1830" s="990"/>
      <c r="H1830" s="990"/>
      <c r="I1830" s="990"/>
      <c r="J1830" s="990"/>
      <c r="K1830" s="990"/>
      <c r="L1830" s="990"/>
      <c r="M1830" s="990"/>
      <c r="N1830" s="990"/>
      <c r="O1830" s="990"/>
      <c r="P1830" s="990"/>
      <c r="Q1830" s="990"/>
      <c r="R1830" s="990"/>
      <c r="S1830" s="990"/>
      <c r="T1830" s="990"/>
      <c r="U1830" s="990"/>
      <c r="V1830" s="990"/>
      <c r="W1830" s="990"/>
      <c r="X1830" s="990"/>
    </row>
    <row r="1831" spans="1:24" s="896" customFormat="1" ht="25.5">
      <c r="A1831" s="987">
        <f t="shared" si="29"/>
        <v>1757</v>
      </c>
      <c r="B1831" s="988">
        <v>39474</v>
      </c>
      <c r="C1831" s="899" t="s">
        <v>11157</v>
      </c>
      <c r="D1831" s="988" t="s">
        <v>2666</v>
      </c>
      <c r="E1831" s="989">
        <v>150.18</v>
      </c>
      <c r="F1831" s="990"/>
      <c r="G1831" s="990"/>
      <c r="H1831" s="990"/>
      <c r="I1831" s="990"/>
      <c r="J1831" s="990"/>
      <c r="K1831" s="990"/>
      <c r="L1831" s="990"/>
      <c r="M1831" s="990"/>
      <c r="N1831" s="990"/>
      <c r="O1831" s="990"/>
      <c r="P1831" s="990"/>
      <c r="Q1831" s="990"/>
      <c r="R1831" s="990"/>
      <c r="S1831" s="990"/>
      <c r="T1831" s="990"/>
      <c r="U1831" s="990"/>
      <c r="V1831" s="990"/>
      <c r="W1831" s="990"/>
      <c r="X1831" s="990"/>
    </row>
    <row r="1832" spans="1:24" s="896" customFormat="1" ht="25.5">
      <c r="A1832" s="987">
        <f t="shared" si="29"/>
        <v>1758</v>
      </c>
      <c r="B1832" s="988">
        <v>39475</v>
      </c>
      <c r="C1832" s="899" t="s">
        <v>11158</v>
      </c>
      <c r="D1832" s="988" t="s">
        <v>2666</v>
      </c>
      <c r="E1832" s="989">
        <v>170.39</v>
      </c>
      <c r="F1832" s="990"/>
      <c r="G1832" s="990"/>
      <c r="H1832" s="990"/>
      <c r="I1832" s="990"/>
      <c r="J1832" s="990"/>
      <c r="K1832" s="990"/>
      <c r="L1832" s="990"/>
      <c r="M1832" s="990"/>
      <c r="N1832" s="990"/>
      <c r="O1832" s="990"/>
      <c r="P1832" s="990"/>
      <c r="Q1832" s="990"/>
      <c r="R1832" s="990"/>
      <c r="S1832" s="990"/>
      <c r="T1832" s="990"/>
      <c r="U1832" s="990"/>
      <c r="V1832" s="990"/>
      <c r="W1832" s="990"/>
      <c r="X1832" s="990"/>
    </row>
    <row r="1833" spans="1:24" s="896" customFormat="1" ht="25.5">
      <c r="A1833" s="987">
        <f t="shared" si="29"/>
        <v>1759</v>
      </c>
      <c r="B1833" s="988">
        <v>39476</v>
      </c>
      <c r="C1833" s="899" t="s">
        <v>11159</v>
      </c>
      <c r="D1833" s="988" t="s">
        <v>2666</v>
      </c>
      <c r="E1833" s="989">
        <v>320.75</v>
      </c>
      <c r="F1833" s="990"/>
      <c r="G1833" s="990"/>
      <c r="H1833" s="990"/>
      <c r="I1833" s="990"/>
      <c r="J1833" s="990"/>
      <c r="K1833" s="990"/>
      <c r="L1833" s="990"/>
      <c r="M1833" s="990"/>
      <c r="N1833" s="990"/>
      <c r="O1833" s="990"/>
      <c r="P1833" s="990"/>
      <c r="Q1833" s="990"/>
      <c r="R1833" s="990"/>
      <c r="S1833" s="990"/>
      <c r="T1833" s="990"/>
      <c r="U1833" s="990"/>
      <c r="V1833" s="990"/>
      <c r="W1833" s="990"/>
      <c r="X1833" s="990"/>
    </row>
    <row r="1834" spans="1:24" s="896" customFormat="1" ht="25.5">
      <c r="A1834" s="987">
        <f t="shared" si="29"/>
        <v>1760</v>
      </c>
      <c r="B1834" s="988">
        <v>39477</v>
      </c>
      <c r="C1834" s="899" t="s">
        <v>11160</v>
      </c>
      <c r="D1834" s="988" t="s">
        <v>2666</v>
      </c>
      <c r="E1834" s="989">
        <v>157.16</v>
      </c>
      <c r="F1834" s="990"/>
      <c r="G1834" s="990"/>
      <c r="H1834" s="990"/>
      <c r="I1834" s="990"/>
      <c r="J1834" s="990"/>
      <c r="K1834" s="990"/>
      <c r="L1834" s="990"/>
      <c r="M1834" s="990"/>
      <c r="N1834" s="990"/>
      <c r="O1834" s="990"/>
      <c r="P1834" s="990"/>
      <c r="Q1834" s="990"/>
      <c r="R1834" s="990"/>
      <c r="S1834" s="990"/>
      <c r="T1834" s="990"/>
      <c r="U1834" s="990"/>
      <c r="V1834" s="990"/>
      <c r="W1834" s="990"/>
      <c r="X1834" s="990"/>
    </row>
    <row r="1835" spans="1:24" s="896" customFormat="1" ht="25.5">
      <c r="A1835" s="987">
        <f t="shared" si="29"/>
        <v>1761</v>
      </c>
      <c r="B1835" s="988">
        <v>39478</v>
      </c>
      <c r="C1835" s="899" t="s">
        <v>11161</v>
      </c>
      <c r="D1835" s="988" t="s">
        <v>2666</v>
      </c>
      <c r="E1835" s="989">
        <v>162.02000000000001</v>
      </c>
      <c r="F1835" s="990"/>
      <c r="G1835" s="990"/>
      <c r="H1835" s="990"/>
      <c r="I1835" s="990"/>
      <c r="J1835" s="990"/>
      <c r="K1835" s="990"/>
      <c r="L1835" s="990"/>
      <c r="M1835" s="990"/>
      <c r="N1835" s="990"/>
      <c r="O1835" s="990"/>
      <c r="P1835" s="990"/>
      <c r="Q1835" s="990"/>
      <c r="R1835" s="990"/>
      <c r="S1835" s="990"/>
      <c r="T1835" s="990"/>
      <c r="U1835" s="990"/>
      <c r="V1835" s="990"/>
      <c r="W1835" s="990"/>
      <c r="X1835" s="990"/>
    </row>
    <row r="1836" spans="1:24" s="896" customFormat="1" ht="25.5">
      <c r="A1836" s="987">
        <f t="shared" si="29"/>
        <v>1762</v>
      </c>
      <c r="B1836" s="988">
        <v>39479</v>
      </c>
      <c r="C1836" s="899" t="s">
        <v>11162</v>
      </c>
      <c r="D1836" s="988" t="s">
        <v>2666</v>
      </c>
      <c r="E1836" s="989">
        <v>190.9</v>
      </c>
      <c r="F1836" s="990"/>
      <c r="G1836" s="990"/>
      <c r="H1836" s="990"/>
      <c r="I1836" s="990"/>
      <c r="J1836" s="990"/>
      <c r="K1836" s="990"/>
      <c r="L1836" s="990"/>
      <c r="M1836" s="990"/>
      <c r="N1836" s="990"/>
      <c r="O1836" s="990"/>
      <c r="P1836" s="990"/>
      <c r="Q1836" s="990"/>
      <c r="R1836" s="990"/>
      <c r="S1836" s="990"/>
      <c r="T1836" s="990"/>
      <c r="U1836" s="990"/>
      <c r="V1836" s="990"/>
      <c r="W1836" s="990"/>
      <c r="X1836" s="990"/>
    </row>
    <row r="1837" spans="1:24" s="896" customFormat="1" ht="25.5">
      <c r="A1837" s="987">
        <f t="shared" si="29"/>
        <v>1763</v>
      </c>
      <c r="B1837" s="988">
        <v>39480</v>
      </c>
      <c r="C1837" s="899" t="s">
        <v>11163</v>
      </c>
      <c r="D1837" s="988" t="s">
        <v>2666</v>
      </c>
      <c r="E1837" s="989">
        <v>393.91</v>
      </c>
      <c r="F1837" s="990"/>
      <c r="G1837" s="990"/>
      <c r="H1837" s="990"/>
      <c r="I1837" s="990"/>
      <c r="J1837" s="990"/>
      <c r="K1837" s="990"/>
      <c r="L1837" s="990"/>
      <c r="M1837" s="990"/>
      <c r="N1837" s="990"/>
      <c r="O1837" s="990"/>
      <c r="P1837" s="990"/>
      <c r="Q1837" s="990"/>
      <c r="R1837" s="990"/>
      <c r="S1837" s="990"/>
      <c r="T1837" s="990"/>
      <c r="U1837" s="990"/>
      <c r="V1837" s="990"/>
      <c r="W1837" s="990"/>
      <c r="X1837" s="990"/>
    </row>
    <row r="1838" spans="1:24" s="896" customFormat="1">
      <c r="A1838" s="987">
        <f t="shared" si="29"/>
        <v>1764</v>
      </c>
      <c r="B1838" s="988">
        <v>39459</v>
      </c>
      <c r="C1838" s="899" t="s">
        <v>11164</v>
      </c>
      <c r="D1838" s="988" t="s">
        <v>2666</v>
      </c>
      <c r="E1838" s="989">
        <v>334.33</v>
      </c>
      <c r="F1838" s="990"/>
      <c r="G1838" s="990"/>
      <c r="H1838" s="990"/>
      <c r="I1838" s="990"/>
      <c r="J1838" s="990"/>
      <c r="K1838" s="990"/>
      <c r="L1838" s="990"/>
      <c r="M1838" s="990"/>
      <c r="N1838" s="990"/>
      <c r="O1838" s="990"/>
      <c r="P1838" s="990"/>
      <c r="Q1838" s="990"/>
      <c r="R1838" s="990"/>
      <c r="S1838" s="990"/>
      <c r="T1838" s="990"/>
      <c r="U1838" s="990"/>
      <c r="V1838" s="990"/>
      <c r="W1838" s="990"/>
      <c r="X1838" s="990"/>
    </row>
    <row r="1839" spans="1:24" s="896" customFormat="1">
      <c r="A1839" s="987">
        <f t="shared" si="29"/>
        <v>1765</v>
      </c>
      <c r="B1839" s="988">
        <v>39445</v>
      </c>
      <c r="C1839" s="899" t="s">
        <v>11165</v>
      </c>
      <c r="D1839" s="988" t="s">
        <v>2666</v>
      </c>
      <c r="E1839" s="989">
        <v>167.87</v>
      </c>
      <c r="F1839" s="990"/>
      <c r="G1839" s="990"/>
      <c r="H1839" s="990"/>
      <c r="I1839" s="990"/>
      <c r="J1839" s="990"/>
      <c r="K1839" s="990"/>
      <c r="L1839" s="990"/>
      <c r="M1839" s="990"/>
      <c r="N1839" s="990"/>
      <c r="O1839" s="990"/>
      <c r="P1839" s="990"/>
      <c r="Q1839" s="990"/>
      <c r="R1839" s="990"/>
      <c r="S1839" s="990"/>
      <c r="T1839" s="990"/>
      <c r="U1839" s="990"/>
      <c r="V1839" s="990"/>
      <c r="W1839" s="990"/>
      <c r="X1839" s="990"/>
    </row>
    <row r="1840" spans="1:24" s="896" customFormat="1">
      <c r="A1840" s="987">
        <f t="shared" si="29"/>
        <v>1766</v>
      </c>
      <c r="B1840" s="988">
        <v>39446</v>
      </c>
      <c r="C1840" s="899" t="s">
        <v>11166</v>
      </c>
      <c r="D1840" s="988" t="s">
        <v>2666</v>
      </c>
      <c r="E1840" s="989">
        <v>170.85</v>
      </c>
      <c r="F1840" s="990"/>
      <c r="G1840" s="990"/>
      <c r="H1840" s="990"/>
      <c r="I1840" s="990"/>
      <c r="J1840" s="990"/>
      <c r="K1840" s="990"/>
      <c r="L1840" s="990"/>
      <c r="M1840" s="990"/>
      <c r="N1840" s="990"/>
      <c r="O1840" s="990"/>
      <c r="P1840" s="990"/>
      <c r="Q1840" s="990"/>
      <c r="R1840" s="990"/>
      <c r="S1840" s="990"/>
      <c r="T1840" s="990"/>
      <c r="U1840" s="990"/>
      <c r="V1840" s="990"/>
      <c r="W1840" s="990"/>
      <c r="X1840" s="990"/>
    </row>
    <row r="1841" spans="1:24" s="896" customFormat="1">
      <c r="A1841" s="987">
        <f t="shared" si="29"/>
        <v>1767</v>
      </c>
      <c r="B1841" s="988">
        <v>39447</v>
      </c>
      <c r="C1841" s="899" t="s">
        <v>11167</v>
      </c>
      <c r="D1841" s="988" t="s">
        <v>2666</v>
      </c>
      <c r="E1841" s="989">
        <v>182.71</v>
      </c>
      <c r="F1841" s="990"/>
      <c r="G1841" s="990"/>
      <c r="H1841" s="990"/>
      <c r="I1841" s="990"/>
      <c r="J1841" s="990"/>
      <c r="K1841" s="990"/>
      <c r="L1841" s="990"/>
      <c r="M1841" s="990"/>
      <c r="N1841" s="990"/>
      <c r="O1841" s="990"/>
      <c r="P1841" s="990"/>
      <c r="Q1841" s="990"/>
      <c r="R1841" s="990"/>
      <c r="S1841" s="990"/>
      <c r="T1841" s="990"/>
      <c r="U1841" s="990"/>
      <c r="V1841" s="990"/>
      <c r="W1841" s="990"/>
      <c r="X1841" s="990"/>
    </row>
    <row r="1842" spans="1:24" s="896" customFormat="1">
      <c r="A1842" s="987">
        <f t="shared" si="29"/>
        <v>1768</v>
      </c>
      <c r="B1842" s="988">
        <v>39448</v>
      </c>
      <c r="C1842" s="899" t="s">
        <v>11168</v>
      </c>
      <c r="D1842" s="988" t="s">
        <v>2666</v>
      </c>
      <c r="E1842" s="989">
        <v>311.55</v>
      </c>
      <c r="F1842" s="990"/>
      <c r="G1842" s="990"/>
      <c r="H1842" s="990"/>
      <c r="I1842" s="990"/>
      <c r="J1842" s="990"/>
      <c r="K1842" s="990"/>
      <c r="L1842" s="990"/>
      <c r="M1842" s="990"/>
      <c r="N1842" s="990"/>
      <c r="O1842" s="990"/>
      <c r="P1842" s="990"/>
      <c r="Q1842" s="990"/>
      <c r="R1842" s="990"/>
      <c r="S1842" s="990"/>
      <c r="T1842" s="990"/>
      <c r="U1842" s="990"/>
      <c r="V1842" s="990"/>
      <c r="W1842" s="990"/>
      <c r="X1842" s="990"/>
    </row>
    <row r="1843" spans="1:24" s="896" customFormat="1">
      <c r="A1843" s="987">
        <f t="shared" si="29"/>
        <v>1769</v>
      </c>
      <c r="B1843" s="988">
        <v>39450</v>
      </c>
      <c r="C1843" s="899" t="s">
        <v>11169</v>
      </c>
      <c r="D1843" s="988" t="s">
        <v>2666</v>
      </c>
      <c r="E1843" s="989">
        <v>190.08</v>
      </c>
      <c r="F1843" s="990"/>
      <c r="G1843" s="990"/>
      <c r="H1843" s="990"/>
      <c r="I1843" s="990"/>
      <c r="J1843" s="990"/>
      <c r="K1843" s="990"/>
      <c r="L1843" s="990"/>
      <c r="M1843" s="990"/>
      <c r="N1843" s="990"/>
      <c r="O1843" s="990"/>
      <c r="P1843" s="990"/>
      <c r="Q1843" s="990"/>
      <c r="R1843" s="990"/>
      <c r="S1843" s="990"/>
      <c r="T1843" s="990"/>
      <c r="U1843" s="990"/>
      <c r="V1843" s="990"/>
      <c r="W1843" s="990"/>
      <c r="X1843" s="990"/>
    </row>
    <row r="1844" spans="1:24" s="896" customFormat="1">
      <c r="A1844" s="987">
        <f t="shared" si="29"/>
        <v>1770</v>
      </c>
      <c r="B1844" s="988">
        <v>39451</v>
      </c>
      <c r="C1844" s="899" t="s">
        <v>11170</v>
      </c>
      <c r="D1844" s="988" t="s">
        <v>2666</v>
      </c>
      <c r="E1844" s="989">
        <v>207.32</v>
      </c>
      <c r="F1844" s="990"/>
      <c r="G1844" s="990"/>
      <c r="H1844" s="990"/>
      <c r="I1844" s="990"/>
      <c r="J1844" s="990"/>
      <c r="K1844" s="990"/>
      <c r="L1844" s="990"/>
      <c r="M1844" s="990"/>
      <c r="N1844" s="990"/>
      <c r="O1844" s="990"/>
      <c r="P1844" s="990"/>
      <c r="Q1844" s="990"/>
      <c r="R1844" s="990"/>
      <c r="S1844" s="990"/>
      <c r="T1844" s="990"/>
      <c r="U1844" s="990"/>
      <c r="V1844" s="990"/>
      <c r="W1844" s="990"/>
      <c r="X1844" s="990"/>
    </row>
    <row r="1845" spans="1:24" s="896" customFormat="1">
      <c r="A1845" s="987">
        <f t="shared" si="29"/>
        <v>1771</v>
      </c>
      <c r="B1845" s="988">
        <v>39452</v>
      </c>
      <c r="C1845" s="899" t="s">
        <v>11171</v>
      </c>
      <c r="D1845" s="988" t="s">
        <v>2666</v>
      </c>
      <c r="E1845" s="989">
        <v>208.56</v>
      </c>
      <c r="F1845" s="990"/>
      <c r="G1845" s="990"/>
      <c r="H1845" s="990"/>
      <c r="I1845" s="990"/>
      <c r="J1845" s="990"/>
      <c r="K1845" s="990"/>
      <c r="L1845" s="990"/>
      <c r="M1845" s="990"/>
      <c r="N1845" s="990"/>
      <c r="O1845" s="990"/>
      <c r="P1845" s="990"/>
      <c r="Q1845" s="990"/>
      <c r="R1845" s="990"/>
      <c r="S1845" s="990"/>
      <c r="T1845" s="990"/>
      <c r="U1845" s="990"/>
      <c r="V1845" s="990"/>
      <c r="W1845" s="990"/>
      <c r="X1845" s="990"/>
    </row>
    <row r="1846" spans="1:24" s="896" customFormat="1">
      <c r="A1846" s="987">
        <f t="shared" si="29"/>
        <v>1772</v>
      </c>
      <c r="B1846" s="988">
        <v>39523</v>
      </c>
      <c r="C1846" s="899" t="s">
        <v>11172</v>
      </c>
      <c r="D1846" s="988" t="s">
        <v>2666</v>
      </c>
      <c r="E1846" s="989">
        <v>349.03</v>
      </c>
      <c r="F1846" s="990"/>
      <c r="G1846" s="990"/>
      <c r="H1846" s="990"/>
      <c r="I1846" s="990"/>
      <c r="J1846" s="990"/>
      <c r="K1846" s="990"/>
      <c r="L1846" s="990"/>
      <c r="M1846" s="990"/>
      <c r="N1846" s="990"/>
      <c r="O1846" s="990"/>
      <c r="P1846" s="990"/>
      <c r="Q1846" s="990"/>
      <c r="R1846" s="990"/>
      <c r="S1846" s="990"/>
      <c r="T1846" s="990"/>
      <c r="U1846" s="990"/>
      <c r="V1846" s="990"/>
      <c r="W1846" s="990"/>
      <c r="X1846" s="990"/>
    </row>
    <row r="1847" spans="1:24" s="896" customFormat="1">
      <c r="A1847" s="987">
        <f t="shared" si="29"/>
        <v>1773</v>
      </c>
      <c r="B1847" s="988">
        <v>39449</v>
      </c>
      <c r="C1847" s="899" t="s">
        <v>11173</v>
      </c>
      <c r="D1847" s="988" t="s">
        <v>2666</v>
      </c>
      <c r="E1847" s="989">
        <v>386.52</v>
      </c>
      <c r="F1847" s="990"/>
      <c r="G1847" s="990"/>
      <c r="H1847" s="990"/>
      <c r="I1847" s="990"/>
      <c r="J1847" s="990"/>
      <c r="K1847" s="990"/>
      <c r="L1847" s="990"/>
      <c r="M1847" s="990"/>
      <c r="N1847" s="990"/>
      <c r="O1847" s="990"/>
      <c r="P1847" s="990"/>
      <c r="Q1847" s="990"/>
      <c r="R1847" s="990"/>
      <c r="S1847" s="990"/>
      <c r="T1847" s="990"/>
      <c r="U1847" s="990"/>
      <c r="V1847" s="990"/>
      <c r="W1847" s="990"/>
      <c r="X1847" s="990"/>
    </row>
    <row r="1848" spans="1:24" s="896" customFormat="1">
      <c r="A1848" s="987">
        <f t="shared" si="29"/>
        <v>1774</v>
      </c>
      <c r="B1848" s="988">
        <v>39455</v>
      </c>
      <c r="C1848" s="899" t="s">
        <v>11174</v>
      </c>
      <c r="D1848" s="988" t="s">
        <v>2666</v>
      </c>
      <c r="E1848" s="989">
        <v>191.26</v>
      </c>
      <c r="F1848" s="990"/>
      <c r="G1848" s="990"/>
      <c r="H1848" s="990"/>
      <c r="I1848" s="990"/>
      <c r="J1848" s="990"/>
      <c r="K1848" s="990"/>
      <c r="L1848" s="990"/>
      <c r="M1848" s="990"/>
      <c r="N1848" s="990"/>
      <c r="O1848" s="990"/>
      <c r="P1848" s="990"/>
      <c r="Q1848" s="990"/>
      <c r="R1848" s="990"/>
      <c r="S1848" s="990"/>
      <c r="T1848" s="990"/>
      <c r="U1848" s="990"/>
      <c r="V1848" s="990"/>
      <c r="W1848" s="990"/>
      <c r="X1848" s="990"/>
    </row>
    <row r="1849" spans="1:24" s="896" customFormat="1">
      <c r="A1849" s="987">
        <f t="shared" si="29"/>
        <v>1775</v>
      </c>
      <c r="B1849" s="988">
        <v>39456</v>
      </c>
      <c r="C1849" s="899" t="s">
        <v>11175</v>
      </c>
      <c r="D1849" s="988" t="s">
        <v>2666</v>
      </c>
      <c r="E1849" s="989">
        <v>191.4</v>
      </c>
      <c r="F1849" s="990"/>
      <c r="G1849" s="990"/>
      <c r="H1849" s="990"/>
      <c r="I1849" s="990"/>
      <c r="J1849" s="990"/>
      <c r="K1849" s="990"/>
      <c r="L1849" s="990"/>
      <c r="M1849" s="990"/>
      <c r="N1849" s="990"/>
      <c r="O1849" s="990"/>
      <c r="P1849" s="990"/>
      <c r="Q1849" s="990"/>
      <c r="R1849" s="990"/>
      <c r="S1849" s="990"/>
      <c r="T1849" s="990"/>
      <c r="U1849" s="990"/>
      <c r="V1849" s="990"/>
      <c r="W1849" s="990"/>
      <c r="X1849" s="990"/>
    </row>
    <row r="1850" spans="1:24" s="896" customFormat="1">
      <c r="A1850" s="987">
        <f t="shared" si="29"/>
        <v>1776</v>
      </c>
      <c r="B1850" s="988">
        <v>39457</v>
      </c>
      <c r="C1850" s="899" t="s">
        <v>11176</v>
      </c>
      <c r="D1850" s="988" t="s">
        <v>2666</v>
      </c>
      <c r="E1850" s="989">
        <v>208.66</v>
      </c>
      <c r="F1850" s="990"/>
      <c r="G1850" s="990"/>
      <c r="H1850" s="990"/>
      <c r="I1850" s="990"/>
      <c r="J1850" s="990"/>
      <c r="K1850" s="990"/>
      <c r="L1850" s="990"/>
      <c r="M1850" s="990"/>
      <c r="N1850" s="990"/>
      <c r="O1850" s="990"/>
      <c r="P1850" s="990"/>
      <c r="Q1850" s="990"/>
      <c r="R1850" s="990"/>
      <c r="S1850" s="990"/>
      <c r="T1850" s="990"/>
      <c r="U1850" s="990"/>
      <c r="V1850" s="990"/>
      <c r="W1850" s="990"/>
      <c r="X1850" s="990"/>
    </row>
    <row r="1851" spans="1:24" s="896" customFormat="1">
      <c r="A1851" s="987">
        <f t="shared" si="29"/>
        <v>1777</v>
      </c>
      <c r="B1851" s="988">
        <v>39458</v>
      </c>
      <c r="C1851" s="899" t="s">
        <v>11177</v>
      </c>
      <c r="D1851" s="988" t="s">
        <v>2666</v>
      </c>
      <c r="E1851" s="989">
        <v>389.37</v>
      </c>
      <c r="F1851" s="990"/>
      <c r="G1851" s="990"/>
      <c r="H1851" s="990"/>
      <c r="I1851" s="990"/>
      <c r="J1851" s="990"/>
      <c r="K1851" s="990"/>
      <c r="L1851" s="990"/>
      <c r="M1851" s="990"/>
      <c r="N1851" s="990"/>
      <c r="O1851" s="990"/>
      <c r="P1851" s="990"/>
      <c r="Q1851" s="990"/>
      <c r="R1851" s="990"/>
      <c r="S1851" s="990"/>
      <c r="T1851" s="990"/>
      <c r="U1851" s="990"/>
      <c r="V1851" s="990"/>
      <c r="W1851" s="990"/>
      <c r="X1851" s="990"/>
    </row>
    <row r="1852" spans="1:24" s="896" customFormat="1">
      <c r="A1852" s="987">
        <f t="shared" si="29"/>
        <v>1778</v>
      </c>
      <c r="B1852" s="988">
        <v>39464</v>
      </c>
      <c r="C1852" s="899" t="s">
        <v>11178</v>
      </c>
      <c r="D1852" s="988" t="s">
        <v>2666</v>
      </c>
      <c r="E1852" s="989">
        <v>626.14</v>
      </c>
      <c r="F1852" s="990"/>
      <c r="G1852" s="990"/>
      <c r="H1852" s="990"/>
      <c r="I1852" s="990"/>
      <c r="J1852" s="990"/>
      <c r="K1852" s="990"/>
      <c r="L1852" s="990"/>
      <c r="M1852" s="990"/>
      <c r="N1852" s="990"/>
      <c r="O1852" s="990"/>
      <c r="P1852" s="990"/>
      <c r="Q1852" s="990"/>
      <c r="R1852" s="990"/>
      <c r="S1852" s="990"/>
      <c r="T1852" s="990"/>
      <c r="U1852" s="990"/>
      <c r="V1852" s="990"/>
      <c r="W1852" s="990"/>
      <c r="X1852" s="990"/>
    </row>
    <row r="1853" spans="1:24" s="896" customFormat="1">
      <c r="A1853" s="987">
        <f t="shared" si="29"/>
        <v>1779</v>
      </c>
      <c r="B1853" s="988">
        <v>39460</v>
      </c>
      <c r="C1853" s="899" t="s">
        <v>11179</v>
      </c>
      <c r="D1853" s="988" t="s">
        <v>2666</v>
      </c>
      <c r="E1853" s="989">
        <v>237.48</v>
      </c>
      <c r="F1853" s="990"/>
      <c r="G1853" s="990"/>
      <c r="H1853" s="990"/>
      <c r="I1853" s="990"/>
      <c r="J1853" s="990"/>
      <c r="K1853" s="990"/>
      <c r="L1853" s="990"/>
      <c r="M1853" s="990"/>
      <c r="N1853" s="990"/>
      <c r="O1853" s="990"/>
      <c r="P1853" s="990"/>
      <c r="Q1853" s="990"/>
      <c r="R1853" s="990"/>
      <c r="S1853" s="990"/>
      <c r="T1853" s="990"/>
      <c r="U1853" s="990"/>
      <c r="V1853" s="990"/>
      <c r="W1853" s="990"/>
      <c r="X1853" s="990"/>
    </row>
    <row r="1854" spans="1:24" s="896" customFormat="1">
      <c r="A1854" s="987">
        <f t="shared" si="29"/>
        <v>1780</v>
      </c>
      <c r="B1854" s="988">
        <v>39461</v>
      </c>
      <c r="C1854" s="899" t="s">
        <v>11180</v>
      </c>
      <c r="D1854" s="988" t="s">
        <v>2666</v>
      </c>
      <c r="E1854" s="989">
        <v>278.27</v>
      </c>
      <c r="F1854" s="990"/>
      <c r="G1854" s="990"/>
      <c r="H1854" s="990"/>
      <c r="I1854" s="990"/>
      <c r="J1854" s="990"/>
      <c r="K1854" s="990"/>
      <c r="L1854" s="990"/>
      <c r="M1854" s="990"/>
      <c r="N1854" s="990"/>
      <c r="O1854" s="990"/>
      <c r="P1854" s="990"/>
      <c r="Q1854" s="990"/>
      <c r="R1854" s="990"/>
      <c r="S1854" s="990"/>
      <c r="T1854" s="990"/>
      <c r="U1854" s="990"/>
      <c r="V1854" s="990"/>
      <c r="W1854" s="990"/>
      <c r="X1854" s="990"/>
    </row>
    <row r="1855" spans="1:24" s="896" customFormat="1">
      <c r="A1855" s="987">
        <f t="shared" si="29"/>
        <v>1781</v>
      </c>
      <c r="B1855" s="988">
        <v>39462</v>
      </c>
      <c r="C1855" s="899" t="s">
        <v>11181</v>
      </c>
      <c r="D1855" s="988" t="s">
        <v>2666</v>
      </c>
      <c r="E1855" s="989">
        <v>268.18</v>
      </c>
      <c r="F1855" s="990"/>
      <c r="G1855" s="990"/>
      <c r="H1855" s="990"/>
      <c r="I1855" s="990"/>
      <c r="J1855" s="990"/>
      <c r="K1855" s="990"/>
      <c r="L1855" s="990"/>
      <c r="M1855" s="990"/>
      <c r="N1855" s="990"/>
      <c r="O1855" s="990"/>
      <c r="P1855" s="990"/>
      <c r="Q1855" s="990"/>
      <c r="R1855" s="990"/>
      <c r="S1855" s="990"/>
      <c r="T1855" s="990"/>
      <c r="U1855" s="990"/>
      <c r="V1855" s="990"/>
      <c r="W1855" s="990"/>
      <c r="X1855" s="990"/>
    </row>
    <row r="1856" spans="1:24" s="896" customFormat="1">
      <c r="A1856" s="987">
        <f t="shared" si="29"/>
        <v>1782</v>
      </c>
      <c r="B1856" s="988">
        <v>39463</v>
      </c>
      <c r="C1856" s="899" t="s">
        <v>11182</v>
      </c>
      <c r="D1856" s="988" t="s">
        <v>2666</v>
      </c>
      <c r="E1856" s="989">
        <v>621.28</v>
      </c>
      <c r="F1856" s="990"/>
      <c r="G1856" s="990"/>
      <c r="H1856" s="990"/>
      <c r="I1856" s="990"/>
      <c r="J1856" s="990"/>
      <c r="K1856" s="990"/>
      <c r="L1856" s="990"/>
      <c r="M1856" s="990"/>
      <c r="N1856" s="990"/>
      <c r="O1856" s="990"/>
      <c r="P1856" s="990"/>
      <c r="Q1856" s="990"/>
      <c r="R1856" s="990"/>
      <c r="S1856" s="990"/>
      <c r="T1856" s="990"/>
      <c r="U1856" s="990"/>
      <c r="V1856" s="990"/>
      <c r="W1856" s="990"/>
      <c r="X1856" s="990"/>
    </row>
    <row r="1857" spans="1:24" s="896" customFormat="1">
      <c r="A1857" s="987">
        <f t="shared" si="29"/>
        <v>1783</v>
      </c>
      <c r="B1857" s="988">
        <v>26039</v>
      </c>
      <c r="C1857" s="899" t="s">
        <v>11183</v>
      </c>
      <c r="D1857" s="988" t="s">
        <v>2666</v>
      </c>
      <c r="E1857" s="989">
        <v>414856.6</v>
      </c>
      <c r="F1857" s="990"/>
      <c r="G1857" s="990"/>
      <c r="H1857" s="990"/>
      <c r="I1857" s="990"/>
      <c r="J1857" s="990"/>
      <c r="K1857" s="990"/>
      <c r="L1857" s="990"/>
      <c r="M1857" s="990"/>
      <c r="N1857" s="990"/>
      <c r="O1857" s="990"/>
      <c r="P1857" s="990"/>
      <c r="Q1857" s="990"/>
      <c r="R1857" s="990"/>
      <c r="S1857" s="990"/>
      <c r="T1857" s="990"/>
      <c r="U1857" s="990"/>
      <c r="V1857" s="990"/>
      <c r="W1857" s="990"/>
      <c r="X1857" s="990"/>
    </row>
    <row r="1858" spans="1:24" s="896" customFormat="1" ht="25.5">
      <c r="A1858" s="987">
        <f t="shared" si="29"/>
        <v>1784</v>
      </c>
      <c r="B1858" s="988">
        <v>2401</v>
      </c>
      <c r="C1858" s="899" t="s">
        <v>11184</v>
      </c>
      <c r="D1858" s="988" t="s">
        <v>2666</v>
      </c>
      <c r="E1858" s="989">
        <v>95421.61</v>
      </c>
      <c r="F1858" s="990"/>
      <c r="G1858" s="990"/>
      <c r="H1858" s="990"/>
      <c r="I1858" s="990"/>
      <c r="J1858" s="990"/>
      <c r="K1858" s="990"/>
      <c r="L1858" s="990"/>
      <c r="M1858" s="990"/>
      <c r="N1858" s="990"/>
      <c r="O1858" s="990"/>
      <c r="P1858" s="990"/>
      <c r="Q1858" s="990"/>
      <c r="R1858" s="990"/>
      <c r="S1858" s="990"/>
      <c r="T1858" s="990"/>
      <c r="U1858" s="990"/>
      <c r="V1858" s="990"/>
      <c r="W1858" s="990"/>
      <c r="X1858" s="990"/>
    </row>
    <row r="1859" spans="1:24" s="896" customFormat="1" ht="25.5">
      <c r="A1859" s="987">
        <f t="shared" si="29"/>
        <v>1785</v>
      </c>
      <c r="B1859" s="988">
        <v>38870</v>
      </c>
      <c r="C1859" s="899" t="s">
        <v>11185</v>
      </c>
      <c r="D1859" s="988" t="s">
        <v>2666</v>
      </c>
      <c r="E1859" s="989">
        <v>37.72</v>
      </c>
      <c r="F1859" s="990"/>
      <c r="G1859" s="990"/>
      <c r="H1859" s="990"/>
      <c r="I1859" s="990"/>
      <c r="J1859" s="990"/>
      <c r="K1859" s="990"/>
      <c r="L1859" s="990"/>
      <c r="M1859" s="990"/>
      <c r="N1859" s="990"/>
      <c r="O1859" s="990"/>
      <c r="P1859" s="990"/>
      <c r="Q1859" s="990"/>
      <c r="R1859" s="990"/>
      <c r="S1859" s="990"/>
      <c r="T1859" s="990"/>
      <c r="U1859" s="990"/>
      <c r="V1859" s="990"/>
      <c r="W1859" s="990"/>
      <c r="X1859" s="990"/>
    </row>
    <row r="1860" spans="1:24" s="896" customFormat="1" ht="25.5">
      <c r="A1860" s="987">
        <f t="shared" si="29"/>
        <v>1786</v>
      </c>
      <c r="B1860" s="988">
        <v>38869</v>
      </c>
      <c r="C1860" s="899" t="s">
        <v>11186</v>
      </c>
      <c r="D1860" s="988" t="s">
        <v>2666</v>
      </c>
      <c r="E1860" s="989">
        <v>33.270000000000003</v>
      </c>
      <c r="F1860" s="990"/>
      <c r="G1860" s="990"/>
      <c r="H1860" s="990"/>
      <c r="I1860" s="990"/>
      <c r="J1860" s="990"/>
      <c r="K1860" s="990"/>
      <c r="L1860" s="990"/>
      <c r="M1860" s="990"/>
      <c r="N1860" s="990"/>
      <c r="O1860" s="990"/>
      <c r="P1860" s="990"/>
      <c r="Q1860" s="990"/>
      <c r="R1860" s="990"/>
      <c r="S1860" s="990"/>
      <c r="T1860" s="990"/>
      <c r="U1860" s="990"/>
      <c r="V1860" s="990"/>
      <c r="W1860" s="990"/>
      <c r="X1860" s="990"/>
    </row>
    <row r="1861" spans="1:24" s="896" customFormat="1" ht="25.5">
      <c r="A1861" s="987">
        <f t="shared" si="29"/>
        <v>1787</v>
      </c>
      <c r="B1861" s="988">
        <v>38872</v>
      </c>
      <c r="C1861" s="899" t="s">
        <v>11187</v>
      </c>
      <c r="D1861" s="988" t="s">
        <v>2666</v>
      </c>
      <c r="E1861" s="989">
        <v>51.52</v>
      </c>
      <c r="F1861" s="990"/>
      <c r="G1861" s="990"/>
      <c r="H1861" s="990"/>
      <c r="I1861" s="990"/>
      <c r="J1861" s="990"/>
      <c r="K1861" s="990"/>
      <c r="L1861" s="990"/>
      <c r="M1861" s="990"/>
      <c r="N1861" s="990"/>
      <c r="O1861" s="990"/>
      <c r="P1861" s="990"/>
      <c r="Q1861" s="990"/>
      <c r="R1861" s="990"/>
      <c r="S1861" s="990"/>
      <c r="T1861" s="990"/>
      <c r="U1861" s="990"/>
      <c r="V1861" s="990"/>
      <c r="W1861" s="990"/>
      <c r="X1861" s="990"/>
    </row>
    <row r="1862" spans="1:24" s="896" customFormat="1" ht="25.5">
      <c r="A1862" s="987">
        <f t="shared" si="29"/>
        <v>1788</v>
      </c>
      <c r="B1862" s="988">
        <v>38871</v>
      </c>
      <c r="C1862" s="899" t="s">
        <v>11188</v>
      </c>
      <c r="D1862" s="988" t="s">
        <v>2666</v>
      </c>
      <c r="E1862" s="989">
        <v>41.44</v>
      </c>
      <c r="F1862" s="990"/>
      <c r="G1862" s="990"/>
      <c r="H1862" s="990"/>
      <c r="I1862" s="990"/>
      <c r="J1862" s="990"/>
      <c r="K1862" s="990"/>
      <c r="L1862" s="990"/>
      <c r="M1862" s="990"/>
      <c r="N1862" s="990"/>
      <c r="O1862" s="990"/>
      <c r="P1862" s="990"/>
      <c r="Q1862" s="990"/>
      <c r="R1862" s="990"/>
      <c r="S1862" s="990"/>
      <c r="T1862" s="990"/>
      <c r="U1862" s="990"/>
      <c r="V1862" s="990"/>
      <c r="W1862" s="990"/>
      <c r="X1862" s="990"/>
    </row>
    <row r="1863" spans="1:24" s="896" customFormat="1" ht="25.5">
      <c r="A1863" s="987">
        <f t="shared" si="29"/>
        <v>1789</v>
      </c>
      <c r="B1863" s="988">
        <v>39283</v>
      </c>
      <c r="C1863" s="899" t="s">
        <v>11189</v>
      </c>
      <c r="D1863" s="988" t="s">
        <v>2666</v>
      </c>
      <c r="E1863" s="989">
        <v>129.08000000000001</v>
      </c>
      <c r="F1863" s="990"/>
      <c r="G1863" s="990"/>
      <c r="H1863" s="990"/>
      <c r="I1863" s="990"/>
      <c r="J1863" s="990"/>
      <c r="K1863" s="990"/>
      <c r="L1863" s="990"/>
      <c r="M1863" s="990"/>
      <c r="N1863" s="990"/>
      <c r="O1863" s="990"/>
      <c r="P1863" s="990"/>
      <c r="Q1863" s="990"/>
      <c r="R1863" s="990"/>
      <c r="S1863" s="990"/>
      <c r="T1863" s="990"/>
      <c r="U1863" s="990"/>
      <c r="V1863" s="990"/>
      <c r="W1863" s="990"/>
      <c r="X1863" s="990"/>
    </row>
    <row r="1864" spans="1:24" s="896" customFormat="1" ht="25.5">
      <c r="A1864" s="987">
        <f t="shared" si="29"/>
        <v>1790</v>
      </c>
      <c r="B1864" s="988">
        <v>39284</v>
      </c>
      <c r="C1864" s="899" t="s">
        <v>11190</v>
      </c>
      <c r="D1864" s="988" t="s">
        <v>2666</v>
      </c>
      <c r="E1864" s="989">
        <v>139.88</v>
      </c>
      <c r="F1864" s="990"/>
      <c r="G1864" s="990"/>
      <c r="H1864" s="990"/>
      <c r="I1864" s="990"/>
      <c r="J1864" s="990"/>
      <c r="K1864" s="990"/>
      <c r="L1864" s="990"/>
      <c r="M1864" s="990"/>
      <c r="N1864" s="990"/>
      <c r="O1864" s="990"/>
      <c r="P1864" s="990"/>
      <c r="Q1864" s="990"/>
      <c r="R1864" s="990"/>
      <c r="S1864" s="990"/>
      <c r="T1864" s="990"/>
      <c r="U1864" s="990"/>
      <c r="V1864" s="990"/>
      <c r="W1864" s="990"/>
      <c r="X1864" s="990"/>
    </row>
    <row r="1865" spans="1:24" s="896" customFormat="1" ht="25.5">
      <c r="A1865" s="987">
        <f t="shared" si="29"/>
        <v>1791</v>
      </c>
      <c r="B1865" s="988">
        <v>39285</v>
      </c>
      <c r="C1865" s="899" t="s">
        <v>11191</v>
      </c>
      <c r="D1865" s="988" t="s">
        <v>2666</v>
      </c>
      <c r="E1865" s="989">
        <v>141.9</v>
      </c>
      <c r="F1865" s="990"/>
      <c r="G1865" s="990"/>
      <c r="H1865" s="990"/>
      <c r="I1865" s="990"/>
      <c r="J1865" s="990"/>
      <c r="K1865" s="990"/>
      <c r="L1865" s="990"/>
      <c r="M1865" s="990"/>
      <c r="N1865" s="990"/>
      <c r="O1865" s="990"/>
      <c r="P1865" s="990"/>
      <c r="Q1865" s="990"/>
      <c r="R1865" s="990"/>
      <c r="S1865" s="990"/>
      <c r="T1865" s="990"/>
      <c r="U1865" s="990"/>
      <c r="V1865" s="990"/>
      <c r="W1865" s="990"/>
      <c r="X1865" s="990"/>
    </row>
    <row r="1866" spans="1:24" s="896" customFormat="1" ht="25.5">
      <c r="A1866" s="987">
        <f t="shared" si="29"/>
        <v>1792</v>
      </c>
      <c r="B1866" s="988">
        <v>39286</v>
      </c>
      <c r="C1866" s="899" t="s">
        <v>11192</v>
      </c>
      <c r="D1866" s="988" t="s">
        <v>2666</v>
      </c>
      <c r="E1866" s="989">
        <v>138.81</v>
      </c>
      <c r="F1866" s="990"/>
      <c r="G1866" s="990"/>
      <c r="H1866" s="990"/>
      <c r="I1866" s="990"/>
      <c r="J1866" s="990"/>
      <c r="K1866" s="990"/>
      <c r="L1866" s="990"/>
      <c r="M1866" s="990"/>
      <c r="N1866" s="990"/>
      <c r="O1866" s="990"/>
      <c r="P1866" s="990"/>
      <c r="Q1866" s="990"/>
      <c r="R1866" s="990"/>
      <c r="S1866" s="990"/>
      <c r="T1866" s="990"/>
      <c r="U1866" s="990"/>
      <c r="V1866" s="990"/>
      <c r="W1866" s="990"/>
      <c r="X1866" s="990"/>
    </row>
    <row r="1867" spans="1:24" s="896" customFormat="1" ht="25.5">
      <c r="A1867" s="987">
        <f t="shared" si="29"/>
        <v>1793</v>
      </c>
      <c r="B1867" s="988">
        <v>39287</v>
      </c>
      <c r="C1867" s="899" t="s">
        <v>11193</v>
      </c>
      <c r="D1867" s="988" t="s">
        <v>2666</v>
      </c>
      <c r="E1867" s="989">
        <v>162.99</v>
      </c>
      <c r="F1867" s="990"/>
      <c r="G1867" s="990"/>
      <c r="H1867" s="990"/>
      <c r="I1867" s="990"/>
      <c r="J1867" s="990"/>
      <c r="K1867" s="990"/>
      <c r="L1867" s="990"/>
      <c r="M1867" s="990"/>
      <c r="N1867" s="990"/>
      <c r="O1867" s="990"/>
      <c r="P1867" s="990"/>
      <c r="Q1867" s="990"/>
      <c r="R1867" s="990"/>
      <c r="S1867" s="990"/>
      <c r="T1867" s="990"/>
      <c r="U1867" s="990"/>
      <c r="V1867" s="990"/>
      <c r="W1867" s="990"/>
      <c r="X1867" s="990"/>
    </row>
    <row r="1868" spans="1:24" s="896" customFormat="1" ht="25.5">
      <c r="A1868" s="987">
        <f t="shared" ref="A1868:A1931" si="30">A1867+1</f>
        <v>1794</v>
      </c>
      <c r="B1868" s="988">
        <v>39288</v>
      </c>
      <c r="C1868" s="899" t="s">
        <v>11194</v>
      </c>
      <c r="D1868" s="988" t="s">
        <v>2666</v>
      </c>
      <c r="E1868" s="989">
        <v>173.94</v>
      </c>
      <c r="F1868" s="990"/>
      <c r="G1868" s="990"/>
      <c r="H1868" s="990"/>
      <c r="I1868" s="990"/>
      <c r="J1868" s="990"/>
      <c r="K1868" s="990"/>
      <c r="L1868" s="990"/>
      <c r="M1868" s="990"/>
      <c r="N1868" s="990"/>
      <c r="O1868" s="990"/>
      <c r="P1868" s="990"/>
      <c r="Q1868" s="990"/>
      <c r="R1868" s="990"/>
      <c r="S1868" s="990"/>
      <c r="T1868" s="990"/>
      <c r="U1868" s="990"/>
      <c r="V1868" s="990"/>
      <c r="W1868" s="990"/>
      <c r="X1868" s="990"/>
    </row>
    <row r="1869" spans="1:24" s="896" customFormat="1" ht="25.5">
      <c r="A1869" s="987">
        <f t="shared" si="30"/>
        <v>1795</v>
      </c>
      <c r="B1869" s="988">
        <v>44476</v>
      </c>
      <c r="C1869" s="899" t="s">
        <v>11195</v>
      </c>
      <c r="D1869" s="988" t="s">
        <v>2667</v>
      </c>
      <c r="E1869" s="989">
        <v>777.92</v>
      </c>
      <c r="F1869" s="990"/>
      <c r="G1869" s="990"/>
      <c r="H1869" s="990"/>
      <c r="I1869" s="990"/>
      <c r="J1869" s="990"/>
      <c r="K1869" s="990"/>
      <c r="L1869" s="990"/>
      <c r="M1869" s="990"/>
      <c r="N1869" s="990"/>
      <c r="O1869" s="990"/>
      <c r="P1869" s="990"/>
      <c r="Q1869" s="990"/>
      <c r="R1869" s="990"/>
      <c r="S1869" s="990"/>
      <c r="T1869" s="990"/>
      <c r="U1869" s="990"/>
      <c r="V1869" s="990"/>
      <c r="W1869" s="990"/>
      <c r="X1869" s="990"/>
    </row>
    <row r="1870" spans="1:24" s="896" customFormat="1">
      <c r="A1870" s="987">
        <f t="shared" si="30"/>
        <v>1796</v>
      </c>
      <c r="B1870" s="988">
        <v>10629</v>
      </c>
      <c r="C1870" s="899" t="s">
        <v>11196</v>
      </c>
      <c r="D1870" s="988" t="s">
        <v>2667</v>
      </c>
      <c r="E1870" s="989">
        <v>882.56</v>
      </c>
      <c r="F1870" s="990"/>
      <c r="G1870" s="990"/>
      <c r="H1870" s="990"/>
      <c r="I1870" s="990"/>
      <c r="J1870" s="990"/>
      <c r="K1870" s="990"/>
      <c r="L1870" s="990"/>
      <c r="M1870" s="990"/>
      <c r="N1870" s="990"/>
      <c r="O1870" s="990"/>
      <c r="P1870" s="990"/>
      <c r="Q1870" s="990"/>
      <c r="R1870" s="990"/>
      <c r="S1870" s="990"/>
      <c r="T1870" s="990"/>
      <c r="U1870" s="990"/>
      <c r="V1870" s="990"/>
      <c r="W1870" s="990"/>
      <c r="X1870" s="990"/>
    </row>
    <row r="1871" spans="1:24" s="896" customFormat="1">
      <c r="A1871" s="987">
        <f t="shared" si="30"/>
        <v>1797</v>
      </c>
      <c r="B1871" s="988">
        <v>10698</v>
      </c>
      <c r="C1871" s="899" t="s">
        <v>11197</v>
      </c>
      <c r="D1871" s="988" t="s">
        <v>2667</v>
      </c>
      <c r="E1871" s="989">
        <v>178.86</v>
      </c>
      <c r="F1871" s="990"/>
      <c r="G1871" s="990"/>
      <c r="H1871" s="990"/>
      <c r="I1871" s="990"/>
      <c r="J1871" s="990"/>
      <c r="K1871" s="990"/>
      <c r="L1871" s="990"/>
      <c r="M1871" s="990"/>
      <c r="N1871" s="990"/>
      <c r="O1871" s="990"/>
      <c r="P1871" s="990"/>
      <c r="Q1871" s="990"/>
      <c r="R1871" s="990"/>
      <c r="S1871" s="990"/>
      <c r="T1871" s="990"/>
      <c r="U1871" s="990"/>
      <c r="V1871" s="990"/>
      <c r="W1871" s="990"/>
      <c r="X1871" s="990"/>
    </row>
    <row r="1872" spans="1:24" s="896" customFormat="1" ht="25.5">
      <c r="A1872" s="987">
        <f t="shared" si="30"/>
        <v>1798</v>
      </c>
      <c r="B1872" s="988">
        <v>40521</v>
      </c>
      <c r="C1872" s="899" t="s">
        <v>11198</v>
      </c>
      <c r="D1872" s="988" t="s">
        <v>2666</v>
      </c>
      <c r="E1872" s="989">
        <v>89913.81</v>
      </c>
      <c r="F1872" s="990"/>
      <c r="G1872" s="990"/>
      <c r="H1872" s="990"/>
      <c r="I1872" s="990"/>
      <c r="J1872" s="990"/>
      <c r="K1872" s="990"/>
      <c r="L1872" s="990"/>
      <c r="M1872" s="990"/>
      <c r="N1872" s="990"/>
      <c r="O1872" s="990"/>
      <c r="P1872" s="990"/>
      <c r="Q1872" s="990"/>
      <c r="R1872" s="990"/>
      <c r="S1872" s="990"/>
      <c r="T1872" s="990"/>
      <c r="U1872" s="990"/>
      <c r="V1872" s="990"/>
      <c r="W1872" s="990"/>
      <c r="X1872" s="990"/>
    </row>
    <row r="1873" spans="1:24" s="896" customFormat="1" ht="25.5">
      <c r="A1873" s="987">
        <f t="shared" si="30"/>
        <v>1799</v>
      </c>
      <c r="B1873" s="988">
        <v>2432</v>
      </c>
      <c r="C1873" s="899" t="s">
        <v>11199</v>
      </c>
      <c r="D1873" s="988" t="s">
        <v>2666</v>
      </c>
      <c r="E1873" s="989">
        <v>23.65</v>
      </c>
      <c r="F1873" s="990"/>
      <c r="G1873" s="990"/>
      <c r="H1873" s="990"/>
      <c r="I1873" s="990"/>
      <c r="J1873" s="990"/>
      <c r="K1873" s="990"/>
      <c r="L1873" s="990"/>
      <c r="M1873" s="990"/>
      <c r="N1873" s="990"/>
      <c r="O1873" s="990"/>
      <c r="P1873" s="990"/>
      <c r="Q1873" s="990"/>
      <c r="R1873" s="990"/>
      <c r="S1873" s="990"/>
      <c r="T1873" s="990"/>
      <c r="U1873" s="990"/>
      <c r="V1873" s="990"/>
      <c r="W1873" s="990"/>
      <c r="X1873" s="990"/>
    </row>
    <row r="1874" spans="1:24" s="896" customFormat="1" ht="25.5">
      <c r="A1874" s="987">
        <f t="shared" si="30"/>
        <v>1800</v>
      </c>
      <c r="B1874" s="988">
        <v>2433</v>
      </c>
      <c r="C1874" s="899" t="s">
        <v>11200</v>
      </c>
      <c r="D1874" s="988" t="s">
        <v>2666</v>
      </c>
      <c r="E1874" s="989">
        <v>8.01</v>
      </c>
      <c r="F1874" s="990"/>
      <c r="G1874" s="990"/>
      <c r="H1874" s="990"/>
      <c r="I1874" s="990"/>
      <c r="J1874" s="990"/>
      <c r="K1874" s="990"/>
      <c r="L1874" s="990"/>
      <c r="M1874" s="990"/>
      <c r="N1874" s="990"/>
      <c r="O1874" s="990"/>
      <c r="P1874" s="990"/>
      <c r="Q1874" s="990"/>
      <c r="R1874" s="990"/>
      <c r="S1874" s="990"/>
      <c r="T1874" s="990"/>
      <c r="U1874" s="990"/>
      <c r="V1874" s="990"/>
      <c r="W1874" s="990"/>
      <c r="X1874" s="990"/>
    </row>
    <row r="1875" spans="1:24" s="896" customFormat="1" ht="25.5">
      <c r="A1875" s="987">
        <f t="shared" si="30"/>
        <v>1801</v>
      </c>
      <c r="B1875" s="988">
        <v>2418</v>
      </c>
      <c r="C1875" s="899" t="s">
        <v>11201</v>
      </c>
      <c r="D1875" s="988" t="s">
        <v>2666</v>
      </c>
      <c r="E1875" s="989">
        <v>10.97</v>
      </c>
      <c r="F1875" s="990"/>
      <c r="G1875" s="990"/>
      <c r="H1875" s="990"/>
      <c r="I1875" s="990"/>
      <c r="J1875" s="990"/>
      <c r="K1875" s="990"/>
      <c r="L1875" s="990"/>
      <c r="M1875" s="990"/>
      <c r="N1875" s="990"/>
      <c r="O1875" s="990"/>
      <c r="P1875" s="990"/>
      <c r="Q1875" s="990"/>
      <c r="R1875" s="990"/>
      <c r="S1875" s="990"/>
      <c r="T1875" s="990"/>
      <c r="U1875" s="990"/>
      <c r="V1875" s="990"/>
      <c r="W1875" s="990"/>
      <c r="X1875" s="990"/>
    </row>
    <row r="1876" spans="1:24" s="896" customFormat="1" ht="25.5">
      <c r="A1876" s="987">
        <f t="shared" si="30"/>
        <v>1802</v>
      </c>
      <c r="B1876" s="988">
        <v>2420</v>
      </c>
      <c r="C1876" s="899" t="s">
        <v>11202</v>
      </c>
      <c r="D1876" s="988" t="s">
        <v>2666</v>
      </c>
      <c r="E1876" s="989">
        <v>13.76</v>
      </c>
      <c r="F1876" s="990"/>
      <c r="G1876" s="990"/>
      <c r="H1876" s="990"/>
      <c r="I1876" s="990"/>
      <c r="J1876" s="990"/>
      <c r="K1876" s="990"/>
      <c r="L1876" s="990"/>
      <c r="M1876" s="990"/>
      <c r="N1876" s="990"/>
      <c r="O1876" s="990"/>
      <c r="P1876" s="990"/>
      <c r="Q1876" s="990"/>
      <c r="R1876" s="990"/>
      <c r="S1876" s="990"/>
      <c r="T1876" s="990"/>
      <c r="U1876" s="990"/>
      <c r="V1876" s="990"/>
      <c r="W1876" s="990"/>
      <c r="X1876" s="990"/>
    </row>
    <row r="1877" spans="1:24" s="896" customFormat="1" ht="25.5">
      <c r="A1877" s="987">
        <f t="shared" si="30"/>
        <v>1803</v>
      </c>
      <c r="B1877" s="988">
        <v>11447</v>
      </c>
      <c r="C1877" s="899" t="s">
        <v>11203</v>
      </c>
      <c r="D1877" s="988" t="s">
        <v>2666</v>
      </c>
      <c r="E1877" s="989">
        <v>27.19</v>
      </c>
      <c r="F1877" s="990"/>
      <c r="G1877" s="990"/>
      <c r="H1877" s="990"/>
      <c r="I1877" s="990"/>
      <c r="J1877" s="990"/>
      <c r="K1877" s="990"/>
      <c r="L1877" s="990"/>
      <c r="M1877" s="990"/>
      <c r="N1877" s="990"/>
      <c r="O1877" s="990"/>
      <c r="P1877" s="990"/>
      <c r="Q1877" s="990"/>
      <c r="R1877" s="990"/>
      <c r="S1877" s="990"/>
      <c r="T1877" s="990"/>
      <c r="U1877" s="990"/>
      <c r="V1877" s="990"/>
      <c r="W1877" s="990"/>
      <c r="X1877" s="990"/>
    </row>
    <row r="1878" spans="1:24" s="896" customFormat="1" ht="25.5">
      <c r="A1878" s="987">
        <f t="shared" si="30"/>
        <v>1804</v>
      </c>
      <c r="B1878" s="988">
        <v>11451</v>
      </c>
      <c r="C1878" s="899" t="s">
        <v>11204</v>
      </c>
      <c r="D1878" s="988" t="s">
        <v>2666</v>
      </c>
      <c r="E1878" s="989">
        <v>72.89</v>
      </c>
      <c r="F1878" s="990"/>
      <c r="G1878" s="990"/>
      <c r="H1878" s="990"/>
      <c r="I1878" s="990"/>
      <c r="J1878" s="990"/>
      <c r="K1878" s="990"/>
      <c r="L1878" s="990"/>
      <c r="M1878" s="990"/>
      <c r="N1878" s="990"/>
      <c r="O1878" s="990"/>
      <c r="P1878" s="990"/>
      <c r="Q1878" s="990"/>
      <c r="R1878" s="990"/>
      <c r="S1878" s="990"/>
      <c r="T1878" s="990"/>
      <c r="U1878" s="990"/>
      <c r="V1878" s="990"/>
      <c r="W1878" s="990"/>
      <c r="X1878" s="990"/>
    </row>
    <row r="1879" spans="1:24" s="896" customFormat="1">
      <c r="A1879" s="987">
        <f t="shared" si="30"/>
        <v>1805</v>
      </c>
      <c r="B1879" s="988">
        <v>11116</v>
      </c>
      <c r="C1879" s="899" t="s">
        <v>11205</v>
      </c>
      <c r="D1879" s="988" t="s">
        <v>2666</v>
      </c>
      <c r="E1879" s="989">
        <v>837.49</v>
      </c>
      <c r="F1879" s="990"/>
      <c r="G1879" s="990"/>
      <c r="H1879" s="990"/>
      <c r="I1879" s="990"/>
      <c r="J1879" s="990"/>
      <c r="K1879" s="990"/>
      <c r="L1879" s="990"/>
      <c r="M1879" s="990"/>
      <c r="N1879" s="990"/>
      <c r="O1879" s="990"/>
      <c r="P1879" s="990"/>
      <c r="Q1879" s="990"/>
      <c r="R1879" s="990"/>
      <c r="S1879" s="990"/>
      <c r="T1879" s="990"/>
      <c r="U1879" s="990"/>
      <c r="V1879" s="990"/>
      <c r="W1879" s="990"/>
      <c r="X1879" s="990"/>
    </row>
    <row r="1880" spans="1:24" s="896" customFormat="1">
      <c r="A1880" s="987">
        <f t="shared" si="30"/>
        <v>1806</v>
      </c>
      <c r="B1880" s="988">
        <v>38411</v>
      </c>
      <c r="C1880" s="899" t="s">
        <v>11206</v>
      </c>
      <c r="D1880" s="988" t="s">
        <v>2666</v>
      </c>
      <c r="E1880" s="989">
        <v>1585.31</v>
      </c>
      <c r="F1880" s="990"/>
      <c r="G1880" s="990"/>
      <c r="H1880" s="990"/>
      <c r="I1880" s="990"/>
      <c r="J1880" s="990"/>
      <c r="K1880" s="990"/>
      <c r="L1880" s="990"/>
      <c r="M1880" s="990"/>
      <c r="N1880" s="990"/>
      <c r="O1880" s="990"/>
      <c r="P1880" s="990"/>
      <c r="Q1880" s="990"/>
      <c r="R1880" s="990"/>
      <c r="S1880" s="990"/>
      <c r="T1880" s="990"/>
      <c r="U1880" s="990"/>
      <c r="V1880" s="990"/>
      <c r="W1880" s="990"/>
      <c r="X1880" s="990"/>
    </row>
    <row r="1881" spans="1:24" s="896" customFormat="1" ht="25.5">
      <c r="A1881" s="987">
        <f t="shared" si="30"/>
        <v>1807</v>
      </c>
      <c r="B1881" s="988">
        <v>38189</v>
      </c>
      <c r="C1881" s="899" t="s">
        <v>11207</v>
      </c>
      <c r="D1881" s="988" t="s">
        <v>2666</v>
      </c>
      <c r="E1881" s="989">
        <v>129.84</v>
      </c>
      <c r="F1881" s="990"/>
      <c r="G1881" s="990"/>
      <c r="H1881" s="990"/>
      <c r="I1881" s="990"/>
      <c r="J1881" s="990"/>
      <c r="K1881" s="990"/>
      <c r="L1881" s="990"/>
      <c r="M1881" s="990"/>
      <c r="N1881" s="990"/>
      <c r="O1881" s="990"/>
      <c r="P1881" s="990"/>
      <c r="Q1881" s="990"/>
      <c r="R1881" s="990"/>
      <c r="S1881" s="990"/>
      <c r="T1881" s="990"/>
      <c r="U1881" s="990"/>
      <c r="V1881" s="990"/>
      <c r="W1881" s="990"/>
      <c r="X1881" s="990"/>
    </row>
    <row r="1882" spans="1:24" s="896" customFormat="1" ht="25.5">
      <c r="A1882" s="987">
        <f t="shared" si="30"/>
        <v>1808</v>
      </c>
      <c r="B1882" s="988">
        <v>38190</v>
      </c>
      <c r="C1882" s="899" t="s">
        <v>11208</v>
      </c>
      <c r="D1882" s="988" t="s">
        <v>2666</v>
      </c>
      <c r="E1882" s="989">
        <v>273.55</v>
      </c>
      <c r="F1882" s="990"/>
      <c r="G1882" s="990"/>
      <c r="H1882" s="990"/>
      <c r="I1882" s="990"/>
      <c r="J1882" s="990"/>
      <c r="K1882" s="990"/>
      <c r="L1882" s="990"/>
      <c r="M1882" s="990"/>
      <c r="N1882" s="990"/>
      <c r="O1882" s="990"/>
      <c r="P1882" s="990"/>
      <c r="Q1882" s="990"/>
      <c r="R1882" s="990"/>
      <c r="S1882" s="990"/>
      <c r="T1882" s="990"/>
      <c r="U1882" s="990"/>
      <c r="V1882" s="990"/>
      <c r="W1882" s="990"/>
      <c r="X1882" s="990"/>
    </row>
    <row r="1883" spans="1:24" s="896" customFormat="1" ht="25.5">
      <c r="A1883" s="987">
        <f t="shared" si="30"/>
        <v>1809</v>
      </c>
      <c r="B1883" s="988">
        <v>7608</v>
      </c>
      <c r="C1883" s="899" t="s">
        <v>11209</v>
      </c>
      <c r="D1883" s="988" t="s">
        <v>2666</v>
      </c>
      <c r="E1883" s="989">
        <v>10.91</v>
      </c>
      <c r="F1883" s="990"/>
      <c r="G1883" s="990"/>
      <c r="H1883" s="990"/>
      <c r="I1883" s="990"/>
      <c r="J1883" s="990"/>
      <c r="K1883" s="990"/>
      <c r="L1883" s="990"/>
      <c r="M1883" s="990"/>
      <c r="N1883" s="990"/>
      <c r="O1883" s="990"/>
      <c r="P1883" s="990"/>
      <c r="Q1883" s="990"/>
      <c r="R1883" s="990"/>
      <c r="S1883" s="990"/>
      <c r="T1883" s="990"/>
      <c r="U1883" s="990"/>
      <c r="V1883" s="990"/>
      <c r="W1883" s="990"/>
      <c r="X1883" s="990"/>
    </row>
    <row r="1884" spans="1:24" s="896" customFormat="1">
      <c r="A1884" s="987">
        <f t="shared" si="30"/>
        <v>1810</v>
      </c>
      <c r="B1884" s="988">
        <v>1370</v>
      </c>
      <c r="C1884" s="899" t="s">
        <v>11210</v>
      </c>
      <c r="D1884" s="988" t="s">
        <v>2666</v>
      </c>
      <c r="E1884" s="989">
        <v>103.15</v>
      </c>
      <c r="F1884" s="990"/>
      <c r="G1884" s="990"/>
      <c r="H1884" s="990"/>
      <c r="I1884" s="990"/>
      <c r="J1884" s="990"/>
      <c r="K1884" s="990"/>
      <c r="L1884" s="990"/>
      <c r="M1884" s="990"/>
      <c r="N1884" s="990"/>
      <c r="O1884" s="990"/>
      <c r="P1884" s="990"/>
      <c r="Q1884" s="990"/>
      <c r="R1884" s="990"/>
      <c r="S1884" s="990"/>
      <c r="T1884" s="990"/>
      <c r="U1884" s="990"/>
      <c r="V1884" s="990"/>
      <c r="W1884" s="990"/>
      <c r="X1884" s="990"/>
    </row>
    <row r="1885" spans="1:24" s="896" customFormat="1" ht="25.5">
      <c r="A1885" s="987">
        <f t="shared" si="30"/>
        <v>1811</v>
      </c>
      <c r="B1885" s="988">
        <v>36516</v>
      </c>
      <c r="C1885" s="899" t="s">
        <v>11211</v>
      </c>
      <c r="D1885" s="988" t="s">
        <v>2666</v>
      </c>
      <c r="E1885" s="989">
        <v>138609.79</v>
      </c>
      <c r="F1885" s="990"/>
      <c r="G1885" s="990"/>
      <c r="H1885" s="990"/>
      <c r="I1885" s="990"/>
      <c r="J1885" s="990"/>
      <c r="K1885" s="990"/>
      <c r="L1885" s="990"/>
      <c r="M1885" s="990"/>
      <c r="N1885" s="990"/>
      <c r="O1885" s="990"/>
      <c r="P1885" s="990"/>
      <c r="Q1885" s="990"/>
      <c r="R1885" s="990"/>
      <c r="S1885" s="990"/>
      <c r="T1885" s="990"/>
      <c r="U1885" s="990"/>
      <c r="V1885" s="990"/>
      <c r="W1885" s="990"/>
      <c r="X1885" s="990"/>
    </row>
    <row r="1886" spans="1:24" s="896" customFormat="1">
      <c r="A1886" s="987">
        <f t="shared" si="30"/>
        <v>1812</v>
      </c>
      <c r="B1886" s="988">
        <v>34777</v>
      </c>
      <c r="C1886" s="899" t="s">
        <v>11212</v>
      </c>
      <c r="D1886" s="988" t="s">
        <v>2666</v>
      </c>
      <c r="E1886" s="989">
        <v>2.98</v>
      </c>
      <c r="F1886" s="990"/>
      <c r="G1886" s="990"/>
      <c r="H1886" s="990"/>
      <c r="I1886" s="990"/>
      <c r="J1886" s="990"/>
      <c r="K1886" s="990"/>
      <c r="L1886" s="990"/>
      <c r="M1886" s="990"/>
      <c r="N1886" s="990"/>
      <c r="O1886" s="990"/>
      <c r="P1886" s="990"/>
      <c r="Q1886" s="990"/>
      <c r="R1886" s="990"/>
      <c r="S1886" s="990"/>
      <c r="T1886" s="990"/>
      <c r="U1886" s="990"/>
      <c r="V1886" s="990"/>
      <c r="W1886" s="990"/>
      <c r="X1886" s="990"/>
    </row>
    <row r="1887" spans="1:24" s="896" customFormat="1" ht="25.5">
      <c r="A1887" s="987">
        <f t="shared" si="30"/>
        <v>1813</v>
      </c>
      <c r="B1887" s="988">
        <v>7272</v>
      </c>
      <c r="C1887" s="899" t="s">
        <v>11213</v>
      </c>
      <c r="D1887" s="988" t="s">
        <v>2666</v>
      </c>
      <c r="E1887" s="989">
        <v>2.52</v>
      </c>
      <c r="F1887" s="990"/>
      <c r="G1887" s="990"/>
      <c r="H1887" s="990"/>
      <c r="I1887" s="990"/>
      <c r="J1887" s="990"/>
      <c r="K1887" s="990"/>
      <c r="L1887" s="990"/>
      <c r="M1887" s="990"/>
      <c r="N1887" s="990"/>
      <c r="O1887" s="990"/>
      <c r="P1887" s="990"/>
      <c r="Q1887" s="990"/>
      <c r="R1887" s="990"/>
      <c r="S1887" s="990"/>
      <c r="T1887" s="990"/>
      <c r="U1887" s="990"/>
      <c r="V1887" s="990"/>
      <c r="W1887" s="990"/>
      <c r="X1887" s="990"/>
    </row>
    <row r="1888" spans="1:24" s="896" customFormat="1">
      <c r="A1888" s="987">
        <f t="shared" si="30"/>
        <v>1814</v>
      </c>
      <c r="B1888" s="988">
        <v>10605</v>
      </c>
      <c r="C1888" s="899" t="s">
        <v>11214</v>
      </c>
      <c r="D1888" s="988" t="s">
        <v>2666</v>
      </c>
      <c r="E1888" s="989">
        <v>4.09</v>
      </c>
      <c r="F1888" s="990"/>
      <c r="G1888" s="990"/>
      <c r="H1888" s="990"/>
      <c r="I1888" s="990"/>
      <c r="J1888" s="990"/>
      <c r="K1888" s="990"/>
      <c r="L1888" s="990"/>
      <c r="M1888" s="990"/>
      <c r="N1888" s="990"/>
      <c r="O1888" s="990"/>
      <c r="P1888" s="990"/>
      <c r="Q1888" s="990"/>
      <c r="R1888" s="990"/>
      <c r="S1888" s="990"/>
      <c r="T1888" s="990"/>
      <c r="U1888" s="990"/>
      <c r="V1888" s="990"/>
      <c r="W1888" s="990"/>
      <c r="X1888" s="990"/>
    </row>
    <row r="1889" spans="1:24" s="896" customFormat="1">
      <c r="A1889" s="987">
        <f t="shared" si="30"/>
        <v>1815</v>
      </c>
      <c r="B1889" s="988">
        <v>10604</v>
      </c>
      <c r="C1889" s="899" t="s">
        <v>11215</v>
      </c>
      <c r="D1889" s="988" t="s">
        <v>2666</v>
      </c>
      <c r="E1889" s="989">
        <v>9.5500000000000007</v>
      </c>
      <c r="F1889" s="990"/>
      <c r="G1889" s="990"/>
      <c r="H1889" s="990"/>
      <c r="I1889" s="990"/>
      <c r="J1889" s="990"/>
      <c r="K1889" s="990"/>
      <c r="L1889" s="990"/>
      <c r="M1889" s="990"/>
      <c r="N1889" s="990"/>
      <c r="O1889" s="990"/>
      <c r="P1889" s="990"/>
      <c r="Q1889" s="990"/>
      <c r="R1889" s="990"/>
      <c r="S1889" s="990"/>
      <c r="T1889" s="990"/>
      <c r="U1889" s="990"/>
      <c r="V1889" s="990"/>
      <c r="W1889" s="990"/>
      <c r="X1889" s="990"/>
    </row>
    <row r="1890" spans="1:24" s="896" customFormat="1">
      <c r="A1890" s="987">
        <f t="shared" si="30"/>
        <v>1816</v>
      </c>
      <c r="B1890" s="988">
        <v>672</v>
      </c>
      <c r="C1890" s="899" t="s">
        <v>11216</v>
      </c>
      <c r="D1890" s="988" t="s">
        <v>2666</v>
      </c>
      <c r="E1890" s="989">
        <v>13.13</v>
      </c>
      <c r="F1890" s="990"/>
      <c r="G1890" s="990"/>
      <c r="H1890" s="990"/>
      <c r="I1890" s="990"/>
      <c r="J1890" s="990"/>
      <c r="K1890" s="990"/>
      <c r="L1890" s="990"/>
      <c r="M1890" s="990"/>
      <c r="N1890" s="990"/>
      <c r="O1890" s="990"/>
      <c r="P1890" s="990"/>
      <c r="Q1890" s="990"/>
      <c r="R1890" s="990"/>
      <c r="S1890" s="990"/>
      <c r="T1890" s="990"/>
      <c r="U1890" s="990"/>
      <c r="V1890" s="990"/>
      <c r="W1890" s="990"/>
      <c r="X1890" s="990"/>
    </row>
    <row r="1891" spans="1:24" s="896" customFormat="1">
      <c r="A1891" s="987">
        <f t="shared" si="30"/>
        <v>1817</v>
      </c>
      <c r="B1891" s="988">
        <v>668</v>
      </c>
      <c r="C1891" s="899" t="s">
        <v>11217</v>
      </c>
      <c r="D1891" s="988" t="s">
        <v>2666</v>
      </c>
      <c r="E1891" s="989">
        <v>15.85</v>
      </c>
      <c r="F1891" s="990"/>
      <c r="G1891" s="990"/>
      <c r="H1891" s="990"/>
      <c r="I1891" s="990"/>
      <c r="J1891" s="990"/>
      <c r="K1891" s="990"/>
      <c r="L1891" s="990"/>
      <c r="M1891" s="990"/>
      <c r="N1891" s="990"/>
      <c r="O1891" s="990"/>
      <c r="P1891" s="990"/>
      <c r="Q1891" s="990"/>
      <c r="R1891" s="990"/>
      <c r="S1891" s="990"/>
      <c r="T1891" s="990"/>
      <c r="U1891" s="990"/>
      <c r="V1891" s="990"/>
      <c r="W1891" s="990"/>
      <c r="X1891" s="990"/>
    </row>
    <row r="1892" spans="1:24" s="896" customFormat="1">
      <c r="A1892" s="987">
        <f t="shared" si="30"/>
        <v>1818</v>
      </c>
      <c r="B1892" s="988">
        <v>10578</v>
      </c>
      <c r="C1892" s="899" t="s">
        <v>11218</v>
      </c>
      <c r="D1892" s="988" t="s">
        <v>2666</v>
      </c>
      <c r="E1892" s="989">
        <v>18.46</v>
      </c>
      <c r="F1892" s="990"/>
      <c r="G1892" s="990"/>
      <c r="H1892" s="990"/>
      <c r="I1892" s="990"/>
      <c r="J1892" s="990"/>
      <c r="K1892" s="990"/>
      <c r="L1892" s="990"/>
      <c r="M1892" s="990"/>
      <c r="N1892" s="990"/>
      <c r="O1892" s="990"/>
      <c r="P1892" s="990"/>
      <c r="Q1892" s="990"/>
      <c r="R1892" s="990"/>
      <c r="S1892" s="990"/>
      <c r="T1892" s="990"/>
      <c r="U1892" s="990"/>
      <c r="V1892" s="990"/>
      <c r="W1892" s="990"/>
      <c r="X1892" s="990"/>
    </row>
    <row r="1893" spans="1:24" s="896" customFormat="1">
      <c r="A1893" s="987">
        <f t="shared" si="30"/>
        <v>1819</v>
      </c>
      <c r="B1893" s="988">
        <v>666</v>
      </c>
      <c r="C1893" s="899" t="s">
        <v>11219</v>
      </c>
      <c r="D1893" s="988" t="s">
        <v>2666</v>
      </c>
      <c r="E1893" s="989">
        <v>20.53</v>
      </c>
      <c r="F1893" s="990"/>
      <c r="G1893" s="990"/>
      <c r="H1893" s="990"/>
      <c r="I1893" s="990"/>
      <c r="J1893" s="990"/>
      <c r="K1893" s="990"/>
      <c r="L1893" s="990"/>
      <c r="M1893" s="990"/>
      <c r="N1893" s="990"/>
      <c r="O1893" s="990"/>
      <c r="P1893" s="990"/>
      <c r="Q1893" s="990"/>
      <c r="R1893" s="990"/>
      <c r="S1893" s="990"/>
      <c r="T1893" s="990"/>
      <c r="U1893" s="990"/>
      <c r="V1893" s="990"/>
      <c r="W1893" s="990"/>
      <c r="X1893" s="990"/>
    </row>
    <row r="1894" spans="1:24" s="896" customFormat="1">
      <c r="A1894" s="987">
        <f t="shared" si="30"/>
        <v>1820</v>
      </c>
      <c r="B1894" s="988">
        <v>665</v>
      </c>
      <c r="C1894" s="899" t="s">
        <v>11220</v>
      </c>
      <c r="D1894" s="988" t="s">
        <v>2666</v>
      </c>
      <c r="E1894" s="989">
        <v>27.45</v>
      </c>
      <c r="F1894" s="990"/>
      <c r="G1894" s="990"/>
      <c r="H1894" s="990"/>
      <c r="I1894" s="990"/>
      <c r="J1894" s="990"/>
      <c r="K1894" s="990"/>
      <c r="L1894" s="990"/>
      <c r="M1894" s="990"/>
      <c r="N1894" s="990"/>
      <c r="O1894" s="990"/>
      <c r="P1894" s="990"/>
      <c r="Q1894" s="990"/>
      <c r="R1894" s="990"/>
      <c r="S1894" s="990"/>
      <c r="T1894" s="990"/>
      <c r="U1894" s="990"/>
      <c r="V1894" s="990"/>
      <c r="W1894" s="990"/>
      <c r="X1894" s="990"/>
    </row>
    <row r="1895" spans="1:24" s="896" customFormat="1">
      <c r="A1895" s="987">
        <f t="shared" si="30"/>
        <v>1821</v>
      </c>
      <c r="B1895" s="988">
        <v>10577</v>
      </c>
      <c r="C1895" s="899" t="s">
        <v>11221</v>
      </c>
      <c r="D1895" s="988" t="s">
        <v>2666</v>
      </c>
      <c r="E1895" s="989">
        <v>24.35</v>
      </c>
      <c r="F1895" s="990"/>
      <c r="G1895" s="990"/>
      <c r="H1895" s="990"/>
      <c r="I1895" s="990"/>
      <c r="J1895" s="990"/>
      <c r="K1895" s="990"/>
      <c r="L1895" s="990"/>
      <c r="M1895" s="990"/>
      <c r="N1895" s="990"/>
      <c r="O1895" s="990"/>
      <c r="P1895" s="990"/>
      <c r="Q1895" s="990"/>
      <c r="R1895" s="990"/>
      <c r="S1895" s="990"/>
      <c r="T1895" s="990"/>
      <c r="U1895" s="990"/>
      <c r="V1895" s="990"/>
      <c r="W1895" s="990"/>
      <c r="X1895" s="990"/>
    </row>
    <row r="1896" spans="1:24" s="896" customFormat="1">
      <c r="A1896" s="987">
        <f t="shared" si="30"/>
        <v>1822</v>
      </c>
      <c r="B1896" s="988">
        <v>10583</v>
      </c>
      <c r="C1896" s="899" t="s">
        <v>11222</v>
      </c>
      <c r="D1896" s="988" t="s">
        <v>2666</v>
      </c>
      <c r="E1896" s="989">
        <v>12.65</v>
      </c>
      <c r="F1896" s="990"/>
      <c r="G1896" s="990"/>
      <c r="H1896" s="990"/>
      <c r="I1896" s="990"/>
      <c r="J1896" s="990"/>
      <c r="K1896" s="990"/>
      <c r="L1896" s="990"/>
      <c r="M1896" s="990"/>
      <c r="N1896" s="990"/>
      <c r="O1896" s="990"/>
      <c r="P1896" s="990"/>
      <c r="Q1896" s="990"/>
      <c r="R1896" s="990"/>
      <c r="S1896" s="990"/>
      <c r="T1896" s="990"/>
      <c r="U1896" s="990"/>
      <c r="V1896" s="990"/>
      <c r="W1896" s="990"/>
      <c r="X1896" s="990"/>
    </row>
    <row r="1897" spans="1:24" s="896" customFormat="1">
      <c r="A1897" s="987">
        <f t="shared" si="30"/>
        <v>1823</v>
      </c>
      <c r="B1897" s="988">
        <v>10579</v>
      </c>
      <c r="C1897" s="899" t="s">
        <v>11223</v>
      </c>
      <c r="D1897" s="988" t="s">
        <v>2666</v>
      </c>
      <c r="E1897" s="989">
        <v>22.05</v>
      </c>
      <c r="F1897" s="990"/>
      <c r="G1897" s="990"/>
      <c r="H1897" s="990"/>
      <c r="I1897" s="990"/>
      <c r="J1897" s="990"/>
      <c r="K1897" s="990"/>
      <c r="L1897" s="990"/>
      <c r="M1897" s="990"/>
      <c r="N1897" s="990"/>
      <c r="O1897" s="990"/>
      <c r="P1897" s="990"/>
      <c r="Q1897" s="990"/>
      <c r="R1897" s="990"/>
      <c r="S1897" s="990"/>
      <c r="T1897" s="990"/>
      <c r="U1897" s="990"/>
      <c r="V1897" s="990"/>
      <c r="W1897" s="990"/>
      <c r="X1897" s="990"/>
    </row>
    <row r="1898" spans="1:24" s="896" customFormat="1">
      <c r="A1898" s="987">
        <f t="shared" si="30"/>
        <v>1824</v>
      </c>
      <c r="B1898" s="988">
        <v>10582</v>
      </c>
      <c r="C1898" s="899" t="s">
        <v>11224</v>
      </c>
      <c r="D1898" s="988" t="s">
        <v>2666</v>
      </c>
      <c r="E1898" s="989">
        <v>11.14</v>
      </c>
      <c r="F1898" s="990"/>
      <c r="G1898" s="990"/>
      <c r="H1898" s="990"/>
      <c r="I1898" s="990"/>
      <c r="J1898" s="990"/>
      <c r="K1898" s="990"/>
      <c r="L1898" s="990"/>
      <c r="M1898" s="990"/>
      <c r="N1898" s="990"/>
      <c r="O1898" s="990"/>
      <c r="P1898" s="990"/>
      <c r="Q1898" s="990"/>
      <c r="R1898" s="990"/>
      <c r="S1898" s="990"/>
      <c r="T1898" s="990"/>
      <c r="U1898" s="990"/>
      <c r="V1898" s="990"/>
      <c r="W1898" s="990"/>
      <c r="X1898" s="990"/>
    </row>
    <row r="1899" spans="1:24" s="896" customFormat="1">
      <c r="A1899" s="987">
        <f t="shared" si="30"/>
        <v>1825</v>
      </c>
      <c r="B1899" s="988">
        <v>2436</v>
      </c>
      <c r="C1899" s="899" t="s">
        <v>11225</v>
      </c>
      <c r="D1899" s="988" t="s">
        <v>2665</v>
      </c>
      <c r="E1899" s="989">
        <v>23.94</v>
      </c>
      <c r="F1899" s="990"/>
      <c r="G1899" s="990"/>
      <c r="H1899" s="990"/>
      <c r="I1899" s="990"/>
      <c r="J1899" s="990"/>
      <c r="K1899" s="990"/>
      <c r="L1899" s="990"/>
      <c r="M1899" s="990"/>
      <c r="N1899" s="990"/>
      <c r="O1899" s="990"/>
      <c r="P1899" s="990"/>
      <c r="Q1899" s="990"/>
      <c r="R1899" s="990"/>
      <c r="S1899" s="990"/>
      <c r="T1899" s="990"/>
      <c r="U1899" s="990"/>
      <c r="V1899" s="990"/>
      <c r="W1899" s="990"/>
      <c r="X1899" s="990"/>
    </row>
    <row r="1900" spans="1:24" s="896" customFormat="1">
      <c r="A1900" s="987">
        <f t="shared" si="30"/>
        <v>1826</v>
      </c>
      <c r="B1900" s="988">
        <v>40918</v>
      </c>
      <c r="C1900" s="899" t="s">
        <v>11226</v>
      </c>
      <c r="D1900" s="988" t="s">
        <v>2672</v>
      </c>
      <c r="E1900" s="989">
        <v>4207.42</v>
      </c>
      <c r="F1900" s="990"/>
      <c r="G1900" s="990"/>
      <c r="H1900" s="990"/>
      <c r="I1900" s="990"/>
      <c r="J1900" s="990"/>
      <c r="K1900" s="990"/>
      <c r="L1900" s="990"/>
      <c r="M1900" s="990"/>
      <c r="N1900" s="990"/>
      <c r="O1900" s="990"/>
      <c r="P1900" s="990"/>
      <c r="Q1900" s="990"/>
      <c r="R1900" s="990"/>
      <c r="S1900" s="990"/>
      <c r="T1900" s="990"/>
      <c r="U1900" s="990"/>
      <c r="V1900" s="990"/>
      <c r="W1900" s="990"/>
      <c r="X1900" s="990"/>
    </row>
    <row r="1901" spans="1:24" s="896" customFormat="1">
      <c r="A1901" s="987">
        <f t="shared" si="30"/>
        <v>1827</v>
      </c>
      <c r="B1901" s="988">
        <v>2439</v>
      </c>
      <c r="C1901" s="899" t="s">
        <v>11227</v>
      </c>
      <c r="D1901" s="988" t="s">
        <v>2665</v>
      </c>
      <c r="E1901" s="989">
        <v>26.26</v>
      </c>
      <c r="F1901" s="990"/>
      <c r="G1901" s="990"/>
      <c r="H1901" s="990"/>
      <c r="I1901" s="990"/>
      <c r="J1901" s="990"/>
      <c r="K1901" s="990"/>
      <c r="L1901" s="990"/>
      <c r="M1901" s="990"/>
      <c r="N1901" s="990"/>
      <c r="O1901" s="990"/>
      <c r="P1901" s="990"/>
      <c r="Q1901" s="990"/>
      <c r="R1901" s="990"/>
      <c r="S1901" s="990"/>
      <c r="T1901" s="990"/>
      <c r="U1901" s="990"/>
      <c r="V1901" s="990"/>
      <c r="W1901" s="990"/>
      <c r="X1901" s="990"/>
    </row>
    <row r="1902" spans="1:24" s="896" customFormat="1">
      <c r="A1902" s="987">
        <f t="shared" si="30"/>
        <v>1828</v>
      </c>
      <c r="B1902" s="988">
        <v>40923</v>
      </c>
      <c r="C1902" s="899" t="s">
        <v>11228</v>
      </c>
      <c r="D1902" s="988" t="s">
        <v>2672</v>
      </c>
      <c r="E1902" s="989">
        <v>4616.26</v>
      </c>
      <c r="F1902" s="990"/>
      <c r="G1902" s="990"/>
      <c r="H1902" s="990"/>
      <c r="I1902" s="990"/>
      <c r="J1902" s="990"/>
      <c r="K1902" s="990"/>
      <c r="L1902" s="990"/>
      <c r="M1902" s="990"/>
      <c r="N1902" s="990"/>
      <c r="O1902" s="990"/>
      <c r="P1902" s="990"/>
      <c r="Q1902" s="990"/>
      <c r="R1902" s="990"/>
      <c r="S1902" s="990"/>
      <c r="T1902" s="990"/>
      <c r="U1902" s="990"/>
      <c r="V1902" s="990"/>
      <c r="W1902" s="990"/>
      <c r="X1902" s="990"/>
    </row>
    <row r="1903" spans="1:24" s="896" customFormat="1">
      <c r="A1903" s="987">
        <f t="shared" si="30"/>
        <v>1829</v>
      </c>
      <c r="B1903" s="988">
        <v>10998</v>
      </c>
      <c r="C1903" s="899" t="s">
        <v>11229</v>
      </c>
      <c r="D1903" s="988" t="s">
        <v>2670</v>
      </c>
      <c r="E1903" s="989">
        <v>49.1</v>
      </c>
      <c r="F1903" s="990"/>
      <c r="G1903" s="990"/>
      <c r="H1903" s="990"/>
      <c r="I1903" s="990"/>
      <c r="J1903" s="990"/>
      <c r="K1903" s="990"/>
      <c r="L1903" s="990"/>
      <c r="M1903" s="990"/>
      <c r="N1903" s="990"/>
      <c r="O1903" s="990"/>
      <c r="P1903" s="990"/>
      <c r="Q1903" s="990"/>
      <c r="R1903" s="990"/>
      <c r="S1903" s="990"/>
      <c r="T1903" s="990"/>
      <c r="U1903" s="990"/>
      <c r="V1903" s="990"/>
      <c r="W1903" s="990"/>
      <c r="X1903" s="990"/>
    </row>
    <row r="1904" spans="1:24" s="896" customFormat="1">
      <c r="A1904" s="987">
        <f t="shared" si="30"/>
        <v>1830</v>
      </c>
      <c r="B1904" s="988">
        <v>11002</v>
      </c>
      <c r="C1904" s="899" t="s">
        <v>11230</v>
      </c>
      <c r="D1904" s="988" t="s">
        <v>2670</v>
      </c>
      <c r="E1904" s="989">
        <v>44.98</v>
      </c>
      <c r="F1904" s="990"/>
      <c r="G1904" s="990"/>
      <c r="H1904" s="990"/>
      <c r="I1904" s="990"/>
      <c r="J1904" s="990"/>
      <c r="K1904" s="990"/>
      <c r="L1904" s="990"/>
      <c r="M1904" s="990"/>
      <c r="N1904" s="990"/>
      <c r="O1904" s="990"/>
      <c r="P1904" s="990"/>
      <c r="Q1904" s="990"/>
      <c r="R1904" s="990"/>
      <c r="S1904" s="990"/>
      <c r="T1904" s="990"/>
      <c r="U1904" s="990"/>
      <c r="V1904" s="990"/>
      <c r="W1904" s="990"/>
      <c r="X1904" s="990"/>
    </row>
    <row r="1905" spans="1:24" s="896" customFormat="1">
      <c r="A1905" s="987">
        <f t="shared" si="30"/>
        <v>1831</v>
      </c>
      <c r="B1905" s="988">
        <v>10999</v>
      </c>
      <c r="C1905" s="899" t="s">
        <v>11231</v>
      </c>
      <c r="D1905" s="988" t="s">
        <v>2670</v>
      </c>
      <c r="E1905" s="989">
        <v>43.22</v>
      </c>
      <c r="F1905" s="990"/>
      <c r="G1905" s="990"/>
      <c r="H1905" s="990"/>
      <c r="I1905" s="990"/>
      <c r="J1905" s="990"/>
      <c r="K1905" s="990"/>
      <c r="L1905" s="990"/>
      <c r="M1905" s="990"/>
      <c r="N1905" s="990"/>
      <c r="O1905" s="990"/>
      <c r="P1905" s="990"/>
      <c r="Q1905" s="990"/>
      <c r="R1905" s="990"/>
      <c r="S1905" s="990"/>
      <c r="T1905" s="990"/>
      <c r="U1905" s="990"/>
      <c r="V1905" s="990"/>
      <c r="W1905" s="990"/>
      <c r="X1905" s="990"/>
    </row>
    <row r="1906" spans="1:24" s="896" customFormat="1">
      <c r="A1906" s="987">
        <f t="shared" si="30"/>
        <v>1832</v>
      </c>
      <c r="B1906" s="988">
        <v>10997</v>
      </c>
      <c r="C1906" s="899" t="s">
        <v>11232</v>
      </c>
      <c r="D1906" s="988" t="s">
        <v>2670</v>
      </c>
      <c r="E1906" s="989">
        <v>46.84</v>
      </c>
      <c r="F1906" s="990"/>
      <c r="G1906" s="990"/>
      <c r="H1906" s="990"/>
      <c r="I1906" s="990"/>
      <c r="J1906" s="990"/>
      <c r="K1906" s="990"/>
      <c r="L1906" s="990"/>
      <c r="M1906" s="990"/>
      <c r="N1906" s="990"/>
      <c r="O1906" s="990"/>
      <c r="P1906" s="990"/>
      <c r="Q1906" s="990"/>
      <c r="R1906" s="990"/>
      <c r="S1906" s="990"/>
      <c r="T1906" s="990"/>
      <c r="U1906" s="990"/>
      <c r="V1906" s="990"/>
      <c r="W1906" s="990"/>
      <c r="X1906" s="990"/>
    </row>
    <row r="1907" spans="1:24" s="896" customFormat="1">
      <c r="A1907" s="987">
        <f t="shared" si="30"/>
        <v>1833</v>
      </c>
      <c r="B1907" s="988">
        <v>2685</v>
      </c>
      <c r="C1907" s="899" t="s">
        <v>11233</v>
      </c>
      <c r="D1907" s="988" t="s">
        <v>2669</v>
      </c>
      <c r="E1907" s="989">
        <v>9.2200000000000006</v>
      </c>
      <c r="F1907" s="990"/>
      <c r="G1907" s="990"/>
      <c r="H1907" s="990"/>
      <c r="I1907" s="990"/>
      <c r="J1907" s="990"/>
      <c r="K1907" s="990"/>
      <c r="L1907" s="990"/>
      <c r="M1907" s="990"/>
      <c r="N1907" s="990"/>
      <c r="O1907" s="990"/>
      <c r="P1907" s="990"/>
      <c r="Q1907" s="990"/>
      <c r="R1907" s="990"/>
      <c r="S1907" s="990"/>
      <c r="T1907" s="990"/>
      <c r="U1907" s="990"/>
      <c r="V1907" s="990"/>
      <c r="W1907" s="990"/>
      <c r="X1907" s="990"/>
    </row>
    <row r="1908" spans="1:24" s="896" customFormat="1">
      <c r="A1908" s="987">
        <f t="shared" si="30"/>
        <v>1834</v>
      </c>
      <c r="B1908" s="988">
        <v>2680</v>
      </c>
      <c r="C1908" s="899" t="s">
        <v>11234</v>
      </c>
      <c r="D1908" s="988" t="s">
        <v>2669</v>
      </c>
      <c r="E1908" s="989">
        <v>13.5</v>
      </c>
      <c r="F1908" s="990"/>
      <c r="G1908" s="990"/>
      <c r="H1908" s="990"/>
      <c r="I1908" s="990"/>
      <c r="J1908" s="990"/>
      <c r="K1908" s="990"/>
      <c r="L1908" s="990"/>
      <c r="M1908" s="990"/>
      <c r="N1908" s="990"/>
      <c r="O1908" s="990"/>
      <c r="P1908" s="990"/>
      <c r="Q1908" s="990"/>
      <c r="R1908" s="990"/>
      <c r="S1908" s="990"/>
      <c r="T1908" s="990"/>
      <c r="U1908" s="990"/>
      <c r="V1908" s="990"/>
      <c r="W1908" s="990"/>
      <c r="X1908" s="990"/>
    </row>
    <row r="1909" spans="1:24" s="896" customFormat="1">
      <c r="A1909" s="987">
        <f t="shared" si="30"/>
        <v>1835</v>
      </c>
      <c r="B1909" s="988">
        <v>2684</v>
      </c>
      <c r="C1909" s="899" t="s">
        <v>11235</v>
      </c>
      <c r="D1909" s="988" t="s">
        <v>2669</v>
      </c>
      <c r="E1909" s="989">
        <v>12.28</v>
      </c>
      <c r="F1909" s="990"/>
      <c r="G1909" s="990"/>
      <c r="H1909" s="990"/>
      <c r="I1909" s="990"/>
      <c r="J1909" s="990"/>
      <c r="K1909" s="990"/>
      <c r="L1909" s="990"/>
      <c r="M1909" s="990"/>
      <c r="N1909" s="990"/>
      <c r="O1909" s="990"/>
      <c r="P1909" s="990"/>
      <c r="Q1909" s="990"/>
      <c r="R1909" s="990"/>
      <c r="S1909" s="990"/>
      <c r="T1909" s="990"/>
      <c r="U1909" s="990"/>
      <c r="V1909" s="990"/>
      <c r="W1909" s="990"/>
      <c r="X1909" s="990"/>
    </row>
    <row r="1910" spans="1:24" s="896" customFormat="1">
      <c r="A1910" s="987">
        <f t="shared" si="30"/>
        <v>1836</v>
      </c>
      <c r="B1910" s="988">
        <v>2673</v>
      </c>
      <c r="C1910" s="899" t="s">
        <v>11236</v>
      </c>
      <c r="D1910" s="988" t="s">
        <v>2669</v>
      </c>
      <c r="E1910" s="989">
        <v>4.74</v>
      </c>
      <c r="F1910" s="990"/>
      <c r="G1910" s="990"/>
      <c r="H1910" s="990"/>
      <c r="I1910" s="990"/>
      <c r="J1910" s="990"/>
      <c r="K1910" s="990"/>
      <c r="L1910" s="990"/>
      <c r="M1910" s="990"/>
      <c r="N1910" s="990"/>
      <c r="O1910" s="990"/>
      <c r="P1910" s="990"/>
      <c r="Q1910" s="990"/>
      <c r="R1910" s="990"/>
      <c r="S1910" s="990"/>
      <c r="T1910" s="990"/>
      <c r="U1910" s="990"/>
      <c r="V1910" s="990"/>
      <c r="W1910" s="990"/>
      <c r="X1910" s="990"/>
    </row>
    <row r="1911" spans="1:24" s="896" customFormat="1">
      <c r="A1911" s="987">
        <f t="shared" si="30"/>
        <v>1837</v>
      </c>
      <c r="B1911" s="988">
        <v>2681</v>
      </c>
      <c r="C1911" s="899" t="s">
        <v>11237</v>
      </c>
      <c r="D1911" s="988" t="s">
        <v>2669</v>
      </c>
      <c r="E1911" s="989">
        <v>22.06</v>
      </c>
      <c r="F1911" s="990"/>
      <c r="G1911" s="990"/>
      <c r="H1911" s="990"/>
      <c r="I1911" s="990"/>
      <c r="J1911" s="990"/>
      <c r="K1911" s="990"/>
      <c r="L1911" s="990"/>
      <c r="M1911" s="990"/>
      <c r="N1911" s="990"/>
      <c r="O1911" s="990"/>
      <c r="P1911" s="990"/>
      <c r="Q1911" s="990"/>
      <c r="R1911" s="990"/>
      <c r="S1911" s="990"/>
      <c r="T1911" s="990"/>
      <c r="U1911" s="990"/>
      <c r="V1911" s="990"/>
      <c r="W1911" s="990"/>
      <c r="X1911" s="990"/>
    </row>
    <row r="1912" spans="1:24" s="896" customFormat="1">
      <c r="A1912" s="987">
        <f t="shared" si="30"/>
        <v>1838</v>
      </c>
      <c r="B1912" s="988">
        <v>2682</v>
      </c>
      <c r="C1912" s="899" t="s">
        <v>11238</v>
      </c>
      <c r="D1912" s="988" t="s">
        <v>2669</v>
      </c>
      <c r="E1912" s="989">
        <v>32.18</v>
      </c>
      <c r="F1912" s="990"/>
      <c r="G1912" s="990"/>
      <c r="H1912" s="990"/>
      <c r="I1912" s="990"/>
      <c r="J1912" s="990"/>
      <c r="K1912" s="990"/>
      <c r="L1912" s="990"/>
      <c r="M1912" s="990"/>
      <c r="N1912" s="990"/>
      <c r="O1912" s="990"/>
      <c r="P1912" s="990"/>
      <c r="Q1912" s="990"/>
      <c r="R1912" s="990"/>
      <c r="S1912" s="990"/>
      <c r="T1912" s="990"/>
      <c r="U1912" s="990"/>
      <c r="V1912" s="990"/>
      <c r="W1912" s="990"/>
      <c r="X1912" s="990"/>
    </row>
    <row r="1913" spans="1:24" s="896" customFormat="1">
      <c r="A1913" s="987">
        <f t="shared" si="30"/>
        <v>1839</v>
      </c>
      <c r="B1913" s="988">
        <v>2686</v>
      </c>
      <c r="C1913" s="899" t="s">
        <v>11239</v>
      </c>
      <c r="D1913" s="988" t="s">
        <v>2669</v>
      </c>
      <c r="E1913" s="989">
        <v>40.35</v>
      </c>
      <c r="F1913" s="990"/>
      <c r="G1913" s="990"/>
      <c r="H1913" s="990"/>
      <c r="I1913" s="990"/>
      <c r="J1913" s="990"/>
      <c r="K1913" s="990"/>
      <c r="L1913" s="990"/>
      <c r="M1913" s="990"/>
      <c r="N1913" s="990"/>
      <c r="O1913" s="990"/>
      <c r="P1913" s="990"/>
      <c r="Q1913" s="990"/>
      <c r="R1913" s="990"/>
      <c r="S1913" s="990"/>
      <c r="T1913" s="990"/>
      <c r="U1913" s="990"/>
      <c r="V1913" s="990"/>
      <c r="W1913" s="990"/>
      <c r="X1913" s="990"/>
    </row>
    <row r="1914" spans="1:24" s="896" customFormat="1">
      <c r="A1914" s="987">
        <f t="shared" si="30"/>
        <v>1840</v>
      </c>
      <c r="B1914" s="988">
        <v>2674</v>
      </c>
      <c r="C1914" s="899" t="s">
        <v>11240</v>
      </c>
      <c r="D1914" s="988" t="s">
        <v>2669</v>
      </c>
      <c r="E1914" s="989">
        <v>5.9</v>
      </c>
      <c r="F1914" s="990"/>
      <c r="G1914" s="990"/>
      <c r="H1914" s="990"/>
      <c r="I1914" s="990"/>
      <c r="J1914" s="990"/>
      <c r="K1914" s="990"/>
      <c r="L1914" s="990"/>
      <c r="M1914" s="990"/>
      <c r="N1914" s="990"/>
      <c r="O1914" s="990"/>
      <c r="P1914" s="990"/>
      <c r="Q1914" s="990"/>
      <c r="R1914" s="990"/>
      <c r="S1914" s="990"/>
      <c r="T1914" s="990"/>
      <c r="U1914" s="990"/>
      <c r="V1914" s="990"/>
      <c r="W1914" s="990"/>
      <c r="X1914" s="990"/>
    </row>
    <row r="1915" spans="1:24" s="896" customFormat="1">
      <c r="A1915" s="987">
        <f t="shared" si="30"/>
        <v>1841</v>
      </c>
      <c r="B1915" s="988">
        <v>2683</v>
      </c>
      <c r="C1915" s="899" t="s">
        <v>11241</v>
      </c>
      <c r="D1915" s="988" t="s">
        <v>2669</v>
      </c>
      <c r="E1915" s="989">
        <v>63.59</v>
      </c>
      <c r="F1915" s="990"/>
      <c r="G1915" s="990"/>
      <c r="H1915" s="990"/>
      <c r="I1915" s="990"/>
      <c r="J1915" s="990"/>
      <c r="K1915" s="990"/>
      <c r="L1915" s="990"/>
      <c r="M1915" s="990"/>
      <c r="N1915" s="990"/>
      <c r="O1915" s="990"/>
      <c r="P1915" s="990"/>
      <c r="Q1915" s="990"/>
      <c r="R1915" s="990"/>
      <c r="S1915" s="990"/>
      <c r="T1915" s="990"/>
      <c r="U1915" s="990"/>
      <c r="V1915" s="990"/>
      <c r="W1915" s="990"/>
      <c r="X1915" s="990"/>
    </row>
    <row r="1916" spans="1:24" s="896" customFormat="1">
      <c r="A1916" s="987">
        <f t="shared" si="30"/>
        <v>1842</v>
      </c>
      <c r="B1916" s="988">
        <v>2676</v>
      </c>
      <c r="C1916" s="899" t="s">
        <v>11242</v>
      </c>
      <c r="D1916" s="988" t="s">
        <v>2669</v>
      </c>
      <c r="E1916" s="989">
        <v>2.75</v>
      </c>
      <c r="F1916" s="990"/>
      <c r="G1916" s="990"/>
      <c r="H1916" s="990"/>
      <c r="I1916" s="990"/>
      <c r="J1916" s="990"/>
      <c r="K1916" s="990"/>
      <c r="L1916" s="990"/>
      <c r="M1916" s="990"/>
      <c r="N1916" s="990"/>
      <c r="O1916" s="990"/>
      <c r="P1916" s="990"/>
      <c r="Q1916" s="990"/>
      <c r="R1916" s="990"/>
      <c r="S1916" s="990"/>
      <c r="T1916" s="990"/>
      <c r="U1916" s="990"/>
      <c r="V1916" s="990"/>
      <c r="W1916" s="990"/>
      <c r="X1916" s="990"/>
    </row>
    <row r="1917" spans="1:24" s="896" customFormat="1">
      <c r="A1917" s="987">
        <f t="shared" si="30"/>
        <v>1843</v>
      </c>
      <c r="B1917" s="988">
        <v>2678</v>
      </c>
      <c r="C1917" s="899" t="s">
        <v>11243</v>
      </c>
      <c r="D1917" s="988" t="s">
        <v>2669</v>
      </c>
      <c r="E1917" s="989">
        <v>3.45</v>
      </c>
      <c r="F1917" s="990"/>
      <c r="G1917" s="990"/>
      <c r="H1917" s="990"/>
      <c r="I1917" s="990"/>
      <c r="J1917" s="990"/>
      <c r="K1917" s="990"/>
      <c r="L1917" s="990"/>
      <c r="M1917" s="990"/>
      <c r="N1917" s="990"/>
      <c r="O1917" s="990"/>
      <c r="P1917" s="990"/>
      <c r="Q1917" s="990"/>
      <c r="R1917" s="990"/>
      <c r="S1917" s="990"/>
      <c r="T1917" s="990"/>
      <c r="U1917" s="990"/>
      <c r="V1917" s="990"/>
      <c r="W1917" s="990"/>
      <c r="X1917" s="990"/>
    </row>
    <row r="1918" spans="1:24" s="896" customFormat="1">
      <c r="A1918" s="987">
        <f t="shared" si="30"/>
        <v>1844</v>
      </c>
      <c r="B1918" s="988">
        <v>2679</v>
      </c>
      <c r="C1918" s="899" t="s">
        <v>11244</v>
      </c>
      <c r="D1918" s="988" t="s">
        <v>2669</v>
      </c>
      <c r="E1918" s="989">
        <v>5.32</v>
      </c>
      <c r="F1918" s="990"/>
      <c r="G1918" s="990"/>
      <c r="H1918" s="990"/>
      <c r="I1918" s="990"/>
      <c r="J1918" s="990"/>
      <c r="K1918" s="990"/>
      <c r="L1918" s="990"/>
      <c r="M1918" s="990"/>
      <c r="N1918" s="990"/>
      <c r="O1918" s="990"/>
      <c r="P1918" s="990"/>
      <c r="Q1918" s="990"/>
      <c r="R1918" s="990"/>
      <c r="S1918" s="990"/>
      <c r="T1918" s="990"/>
      <c r="U1918" s="990"/>
      <c r="V1918" s="990"/>
      <c r="W1918" s="990"/>
      <c r="X1918" s="990"/>
    </row>
    <row r="1919" spans="1:24" s="896" customFormat="1">
      <c r="A1919" s="987">
        <f t="shared" si="30"/>
        <v>1845</v>
      </c>
      <c r="B1919" s="988">
        <v>12070</v>
      </c>
      <c r="C1919" s="899" t="s">
        <v>11245</v>
      </c>
      <c r="D1919" s="988" t="s">
        <v>2669</v>
      </c>
      <c r="E1919" s="989">
        <v>7.41</v>
      </c>
      <c r="F1919" s="990"/>
      <c r="G1919" s="990"/>
      <c r="H1919" s="990"/>
      <c r="I1919" s="990"/>
      <c r="J1919" s="990"/>
      <c r="K1919" s="990"/>
      <c r="L1919" s="990"/>
      <c r="M1919" s="990"/>
      <c r="N1919" s="990"/>
      <c r="O1919" s="990"/>
      <c r="P1919" s="990"/>
      <c r="Q1919" s="990"/>
      <c r="R1919" s="990"/>
      <c r="S1919" s="990"/>
      <c r="T1919" s="990"/>
      <c r="U1919" s="990"/>
      <c r="V1919" s="990"/>
      <c r="W1919" s="990"/>
      <c r="X1919" s="990"/>
    </row>
    <row r="1920" spans="1:24" s="896" customFormat="1">
      <c r="A1920" s="987">
        <f t="shared" si="30"/>
        <v>1846</v>
      </c>
      <c r="B1920" s="988">
        <v>2675</v>
      </c>
      <c r="C1920" s="899" t="s">
        <v>11246</v>
      </c>
      <c r="D1920" s="988" t="s">
        <v>2669</v>
      </c>
      <c r="E1920" s="989">
        <v>9.6300000000000008</v>
      </c>
      <c r="F1920" s="990"/>
      <c r="G1920" s="990"/>
      <c r="H1920" s="990"/>
      <c r="I1920" s="990"/>
      <c r="J1920" s="990"/>
      <c r="K1920" s="990"/>
      <c r="L1920" s="990"/>
      <c r="M1920" s="990"/>
      <c r="N1920" s="990"/>
      <c r="O1920" s="990"/>
      <c r="P1920" s="990"/>
      <c r="Q1920" s="990"/>
      <c r="R1920" s="990"/>
      <c r="S1920" s="990"/>
      <c r="T1920" s="990"/>
      <c r="U1920" s="990"/>
      <c r="V1920" s="990"/>
      <c r="W1920" s="990"/>
      <c r="X1920" s="990"/>
    </row>
    <row r="1921" spans="1:24" s="896" customFormat="1">
      <c r="A1921" s="987">
        <f t="shared" si="30"/>
        <v>1847</v>
      </c>
      <c r="B1921" s="988">
        <v>12067</v>
      </c>
      <c r="C1921" s="899" t="s">
        <v>11247</v>
      </c>
      <c r="D1921" s="988" t="s">
        <v>2669</v>
      </c>
      <c r="E1921" s="989">
        <v>13.06</v>
      </c>
      <c r="F1921" s="990"/>
      <c r="G1921" s="990"/>
      <c r="H1921" s="990"/>
      <c r="I1921" s="990"/>
      <c r="J1921" s="990"/>
      <c r="K1921" s="990"/>
      <c r="L1921" s="990"/>
      <c r="M1921" s="990"/>
      <c r="N1921" s="990"/>
      <c r="O1921" s="990"/>
      <c r="P1921" s="990"/>
      <c r="Q1921" s="990"/>
      <c r="R1921" s="990"/>
      <c r="S1921" s="990"/>
      <c r="T1921" s="990"/>
      <c r="U1921" s="990"/>
      <c r="V1921" s="990"/>
      <c r="W1921" s="990"/>
      <c r="X1921" s="990"/>
    </row>
    <row r="1922" spans="1:24" s="896" customFormat="1" ht="25.5">
      <c r="A1922" s="987">
        <f t="shared" si="30"/>
        <v>1848</v>
      </c>
      <c r="B1922" s="988">
        <v>21136</v>
      </c>
      <c r="C1922" s="899" t="s">
        <v>11248</v>
      </c>
      <c r="D1922" s="988" t="s">
        <v>2669</v>
      </c>
      <c r="E1922" s="989">
        <v>17.96</v>
      </c>
      <c r="F1922" s="990"/>
      <c r="G1922" s="990"/>
      <c r="H1922" s="990"/>
      <c r="I1922" s="990"/>
      <c r="J1922" s="990"/>
      <c r="K1922" s="990"/>
      <c r="L1922" s="990"/>
      <c r="M1922" s="990"/>
      <c r="N1922" s="990"/>
      <c r="O1922" s="990"/>
      <c r="P1922" s="990"/>
      <c r="Q1922" s="990"/>
      <c r="R1922" s="990"/>
      <c r="S1922" s="990"/>
      <c r="T1922" s="990"/>
      <c r="U1922" s="990"/>
      <c r="V1922" s="990"/>
      <c r="W1922" s="990"/>
      <c r="X1922" s="990"/>
    </row>
    <row r="1923" spans="1:24" s="896" customFormat="1" ht="25.5">
      <c r="A1923" s="987">
        <f t="shared" si="30"/>
        <v>1849</v>
      </c>
      <c r="B1923" s="988">
        <v>21128</v>
      </c>
      <c r="C1923" s="899" t="s">
        <v>11249</v>
      </c>
      <c r="D1923" s="988" t="s">
        <v>2669</v>
      </c>
      <c r="E1923" s="989">
        <v>13.9</v>
      </c>
      <c r="F1923" s="990"/>
      <c r="G1923" s="990"/>
      <c r="H1923" s="990"/>
      <c r="I1923" s="990"/>
      <c r="J1923" s="990"/>
      <c r="K1923" s="990"/>
      <c r="L1923" s="990"/>
      <c r="M1923" s="990"/>
      <c r="N1923" s="990"/>
      <c r="O1923" s="990"/>
      <c r="P1923" s="990"/>
      <c r="Q1923" s="990"/>
      <c r="R1923" s="990"/>
      <c r="S1923" s="990"/>
      <c r="T1923" s="990"/>
      <c r="U1923" s="990"/>
      <c r="V1923" s="990"/>
      <c r="W1923" s="990"/>
      <c r="X1923" s="990"/>
    </row>
    <row r="1924" spans="1:24" s="896" customFormat="1" ht="25.5">
      <c r="A1924" s="987">
        <f t="shared" si="30"/>
        <v>1850</v>
      </c>
      <c r="B1924" s="988">
        <v>21130</v>
      </c>
      <c r="C1924" s="899" t="s">
        <v>11250</v>
      </c>
      <c r="D1924" s="988" t="s">
        <v>2669</v>
      </c>
      <c r="E1924" s="989">
        <v>35.11</v>
      </c>
      <c r="F1924" s="990"/>
      <c r="G1924" s="990"/>
      <c r="H1924" s="990"/>
      <c r="I1924" s="990"/>
      <c r="J1924" s="990"/>
      <c r="K1924" s="990"/>
      <c r="L1924" s="990"/>
      <c r="M1924" s="990"/>
      <c r="N1924" s="990"/>
      <c r="O1924" s="990"/>
      <c r="P1924" s="990"/>
      <c r="Q1924" s="990"/>
      <c r="R1924" s="990"/>
      <c r="S1924" s="990"/>
      <c r="T1924" s="990"/>
      <c r="U1924" s="990"/>
      <c r="V1924" s="990"/>
      <c r="W1924" s="990"/>
      <c r="X1924" s="990"/>
    </row>
    <row r="1925" spans="1:24" s="896" customFormat="1" ht="25.5">
      <c r="A1925" s="987">
        <f t="shared" si="30"/>
        <v>1851</v>
      </c>
      <c r="B1925" s="988">
        <v>21135</v>
      </c>
      <c r="C1925" s="899" t="s">
        <v>11251</v>
      </c>
      <c r="D1925" s="988" t="s">
        <v>2669</v>
      </c>
      <c r="E1925" s="989">
        <v>34.56</v>
      </c>
      <c r="F1925" s="990"/>
      <c r="G1925" s="990"/>
      <c r="H1925" s="990"/>
      <c r="I1925" s="990"/>
      <c r="J1925" s="990"/>
      <c r="K1925" s="990"/>
      <c r="L1925" s="990"/>
      <c r="M1925" s="990"/>
      <c r="N1925" s="990"/>
      <c r="O1925" s="990"/>
      <c r="P1925" s="990"/>
      <c r="Q1925" s="990"/>
      <c r="R1925" s="990"/>
      <c r="S1925" s="990"/>
      <c r="T1925" s="990"/>
      <c r="U1925" s="990"/>
      <c r="V1925" s="990"/>
      <c r="W1925" s="990"/>
      <c r="X1925" s="990"/>
    </row>
    <row r="1926" spans="1:24" s="896" customFormat="1">
      <c r="A1926" s="987">
        <f t="shared" si="30"/>
        <v>1852</v>
      </c>
      <c r="B1926" s="988">
        <v>40401</v>
      </c>
      <c r="C1926" s="899" t="s">
        <v>11252</v>
      </c>
      <c r="D1926" s="988" t="s">
        <v>2669</v>
      </c>
      <c r="E1926" s="989">
        <v>2.36</v>
      </c>
      <c r="F1926" s="990"/>
      <c r="G1926" s="990"/>
      <c r="H1926" s="990"/>
      <c r="I1926" s="990"/>
      <c r="J1926" s="990"/>
      <c r="K1926" s="990"/>
      <c r="L1926" s="990"/>
      <c r="M1926" s="990"/>
      <c r="N1926" s="990"/>
      <c r="O1926" s="990"/>
      <c r="P1926" s="990"/>
      <c r="Q1926" s="990"/>
      <c r="R1926" s="990"/>
      <c r="S1926" s="990"/>
      <c r="T1926" s="990"/>
      <c r="U1926" s="990"/>
      <c r="V1926" s="990"/>
      <c r="W1926" s="990"/>
      <c r="X1926" s="990"/>
    </row>
    <row r="1927" spans="1:24" s="896" customFormat="1">
      <c r="A1927" s="987">
        <f t="shared" si="30"/>
        <v>1853</v>
      </c>
      <c r="B1927" s="988">
        <v>40402</v>
      </c>
      <c r="C1927" s="899" t="s">
        <v>11253</v>
      </c>
      <c r="D1927" s="988" t="s">
        <v>2669</v>
      </c>
      <c r="E1927" s="989">
        <v>3.03</v>
      </c>
      <c r="F1927" s="990"/>
      <c r="G1927" s="990"/>
      <c r="H1927" s="990"/>
      <c r="I1927" s="990"/>
      <c r="J1927" s="990"/>
      <c r="K1927" s="990"/>
      <c r="L1927" s="990"/>
      <c r="M1927" s="990"/>
      <c r="N1927" s="990"/>
      <c r="O1927" s="990"/>
      <c r="P1927" s="990"/>
      <c r="Q1927" s="990"/>
      <c r="R1927" s="990"/>
      <c r="S1927" s="990"/>
      <c r="T1927" s="990"/>
      <c r="U1927" s="990"/>
      <c r="V1927" s="990"/>
      <c r="W1927" s="990"/>
      <c r="X1927" s="990"/>
    </row>
    <row r="1928" spans="1:24" s="896" customFormat="1">
      <c r="A1928" s="987">
        <f t="shared" si="30"/>
        <v>1854</v>
      </c>
      <c r="B1928" s="988">
        <v>40400</v>
      </c>
      <c r="C1928" s="899" t="s">
        <v>11254</v>
      </c>
      <c r="D1928" s="988" t="s">
        <v>2669</v>
      </c>
      <c r="E1928" s="989">
        <v>1.6</v>
      </c>
      <c r="F1928" s="990"/>
      <c r="G1928" s="990"/>
      <c r="H1928" s="990"/>
      <c r="I1928" s="990"/>
      <c r="J1928" s="990"/>
      <c r="K1928" s="990"/>
      <c r="L1928" s="990"/>
      <c r="M1928" s="990"/>
      <c r="N1928" s="990"/>
      <c r="O1928" s="990"/>
      <c r="P1928" s="990"/>
      <c r="Q1928" s="990"/>
      <c r="R1928" s="990"/>
      <c r="S1928" s="990"/>
      <c r="T1928" s="990"/>
      <c r="U1928" s="990"/>
      <c r="V1928" s="990"/>
      <c r="W1928" s="990"/>
      <c r="X1928" s="990"/>
    </row>
    <row r="1929" spans="1:24" s="896" customFormat="1" ht="25.5">
      <c r="A1929" s="987">
        <f t="shared" si="30"/>
        <v>1855</v>
      </c>
      <c r="B1929" s="988">
        <v>2504</v>
      </c>
      <c r="C1929" s="899" t="s">
        <v>11255</v>
      </c>
      <c r="D1929" s="988" t="s">
        <v>2669</v>
      </c>
      <c r="E1929" s="989">
        <v>15.42</v>
      </c>
      <c r="F1929" s="990"/>
      <c r="G1929" s="990"/>
      <c r="H1929" s="990"/>
      <c r="I1929" s="990"/>
      <c r="J1929" s="990"/>
      <c r="K1929" s="990"/>
      <c r="L1929" s="990"/>
      <c r="M1929" s="990"/>
      <c r="N1929" s="990"/>
      <c r="O1929" s="990"/>
      <c r="P1929" s="990"/>
      <c r="Q1929" s="990"/>
      <c r="R1929" s="990"/>
      <c r="S1929" s="990"/>
      <c r="T1929" s="990"/>
      <c r="U1929" s="990"/>
      <c r="V1929" s="990"/>
      <c r="W1929" s="990"/>
      <c r="X1929" s="990"/>
    </row>
    <row r="1930" spans="1:24" s="896" customFormat="1" ht="25.5">
      <c r="A1930" s="987">
        <f t="shared" si="30"/>
        <v>1856</v>
      </c>
      <c r="B1930" s="988">
        <v>2501</v>
      </c>
      <c r="C1930" s="899" t="s">
        <v>11256</v>
      </c>
      <c r="D1930" s="988" t="s">
        <v>2669</v>
      </c>
      <c r="E1930" s="989">
        <v>20.23</v>
      </c>
      <c r="F1930" s="990"/>
      <c r="G1930" s="990"/>
      <c r="H1930" s="990"/>
      <c r="I1930" s="990"/>
      <c r="J1930" s="990"/>
      <c r="K1930" s="990"/>
      <c r="L1930" s="990"/>
      <c r="M1930" s="990"/>
      <c r="N1930" s="990"/>
      <c r="O1930" s="990"/>
      <c r="P1930" s="990"/>
      <c r="Q1930" s="990"/>
      <c r="R1930" s="990"/>
      <c r="S1930" s="990"/>
      <c r="T1930" s="990"/>
      <c r="U1930" s="990"/>
      <c r="V1930" s="990"/>
      <c r="W1930" s="990"/>
      <c r="X1930" s="990"/>
    </row>
    <row r="1931" spans="1:24" s="896" customFormat="1" ht="25.5">
      <c r="A1931" s="987">
        <f t="shared" si="30"/>
        <v>1857</v>
      </c>
      <c r="B1931" s="988">
        <v>2502</v>
      </c>
      <c r="C1931" s="899" t="s">
        <v>11257</v>
      </c>
      <c r="D1931" s="988" t="s">
        <v>2669</v>
      </c>
      <c r="E1931" s="989">
        <v>30.52</v>
      </c>
      <c r="F1931" s="990"/>
      <c r="G1931" s="990"/>
      <c r="H1931" s="990"/>
      <c r="I1931" s="990"/>
      <c r="J1931" s="990"/>
      <c r="K1931" s="990"/>
      <c r="L1931" s="990"/>
      <c r="M1931" s="990"/>
      <c r="N1931" s="990"/>
      <c r="O1931" s="990"/>
      <c r="P1931" s="990"/>
      <c r="Q1931" s="990"/>
      <c r="R1931" s="990"/>
      <c r="S1931" s="990"/>
      <c r="T1931" s="990"/>
      <c r="U1931" s="990"/>
      <c r="V1931" s="990"/>
      <c r="W1931" s="990"/>
      <c r="X1931" s="990"/>
    </row>
    <row r="1932" spans="1:24" s="896" customFormat="1" ht="25.5">
      <c r="A1932" s="987">
        <f t="shared" ref="A1932:A1995" si="31">A1931+1</f>
        <v>1858</v>
      </c>
      <c r="B1932" s="988">
        <v>2503</v>
      </c>
      <c r="C1932" s="899" t="s">
        <v>11258</v>
      </c>
      <c r="D1932" s="988" t="s">
        <v>2669</v>
      </c>
      <c r="E1932" s="989">
        <v>39.28</v>
      </c>
      <c r="F1932" s="990"/>
      <c r="G1932" s="990"/>
      <c r="H1932" s="990"/>
      <c r="I1932" s="990"/>
      <c r="J1932" s="990"/>
      <c r="K1932" s="990"/>
      <c r="L1932" s="990"/>
      <c r="M1932" s="990"/>
      <c r="N1932" s="990"/>
      <c r="O1932" s="990"/>
      <c r="P1932" s="990"/>
      <c r="Q1932" s="990"/>
      <c r="R1932" s="990"/>
      <c r="S1932" s="990"/>
      <c r="T1932" s="990"/>
      <c r="U1932" s="990"/>
      <c r="V1932" s="990"/>
      <c r="W1932" s="990"/>
      <c r="X1932" s="990"/>
    </row>
    <row r="1933" spans="1:24" s="896" customFormat="1" ht="25.5">
      <c r="A1933" s="987">
        <f t="shared" si="31"/>
        <v>1859</v>
      </c>
      <c r="B1933" s="988">
        <v>2500</v>
      </c>
      <c r="C1933" s="899" t="s">
        <v>11259</v>
      </c>
      <c r="D1933" s="988" t="s">
        <v>2669</v>
      </c>
      <c r="E1933" s="989">
        <v>52.32</v>
      </c>
      <c r="F1933" s="990"/>
      <c r="G1933" s="990"/>
      <c r="H1933" s="990"/>
      <c r="I1933" s="990"/>
      <c r="J1933" s="990"/>
      <c r="K1933" s="990"/>
      <c r="L1933" s="990"/>
      <c r="M1933" s="990"/>
      <c r="N1933" s="990"/>
      <c r="O1933" s="990"/>
      <c r="P1933" s="990"/>
      <c r="Q1933" s="990"/>
      <c r="R1933" s="990"/>
      <c r="S1933" s="990"/>
      <c r="T1933" s="990"/>
      <c r="U1933" s="990"/>
      <c r="V1933" s="990"/>
      <c r="W1933" s="990"/>
      <c r="X1933" s="990"/>
    </row>
    <row r="1934" spans="1:24" s="896" customFormat="1" ht="25.5">
      <c r="A1934" s="987">
        <f t="shared" si="31"/>
        <v>1860</v>
      </c>
      <c r="B1934" s="988">
        <v>2505</v>
      </c>
      <c r="C1934" s="899" t="s">
        <v>11260</v>
      </c>
      <c r="D1934" s="988" t="s">
        <v>2669</v>
      </c>
      <c r="E1934" s="989">
        <v>81.53</v>
      </c>
      <c r="F1934" s="990"/>
      <c r="G1934" s="990"/>
      <c r="H1934" s="990"/>
      <c r="I1934" s="990"/>
      <c r="J1934" s="990"/>
      <c r="K1934" s="990"/>
      <c r="L1934" s="990"/>
      <c r="M1934" s="990"/>
      <c r="N1934" s="990"/>
      <c r="O1934" s="990"/>
      <c r="P1934" s="990"/>
      <c r="Q1934" s="990"/>
      <c r="R1934" s="990"/>
      <c r="S1934" s="990"/>
      <c r="T1934" s="990"/>
      <c r="U1934" s="990"/>
      <c r="V1934" s="990"/>
      <c r="W1934" s="990"/>
      <c r="X1934" s="990"/>
    </row>
    <row r="1935" spans="1:24" s="896" customFormat="1">
      <c r="A1935" s="987">
        <f t="shared" si="31"/>
        <v>1861</v>
      </c>
      <c r="B1935" s="988">
        <v>12056</v>
      </c>
      <c r="C1935" s="899" t="s">
        <v>11261</v>
      </c>
      <c r="D1935" s="988" t="s">
        <v>2669</v>
      </c>
      <c r="E1935" s="989">
        <v>32.94</v>
      </c>
      <c r="F1935" s="990"/>
      <c r="G1935" s="990"/>
      <c r="H1935" s="990"/>
      <c r="I1935" s="990"/>
      <c r="J1935" s="990"/>
      <c r="K1935" s="990"/>
      <c r="L1935" s="990"/>
      <c r="M1935" s="990"/>
      <c r="N1935" s="990"/>
      <c r="O1935" s="990"/>
      <c r="P1935" s="990"/>
      <c r="Q1935" s="990"/>
      <c r="R1935" s="990"/>
      <c r="S1935" s="990"/>
      <c r="T1935" s="990"/>
      <c r="U1935" s="990"/>
      <c r="V1935" s="990"/>
      <c r="W1935" s="990"/>
      <c r="X1935" s="990"/>
    </row>
    <row r="1936" spans="1:24" s="896" customFormat="1">
      <c r="A1936" s="987">
        <f t="shared" si="31"/>
        <v>1862</v>
      </c>
      <c r="B1936" s="988">
        <v>12057</v>
      </c>
      <c r="C1936" s="899" t="s">
        <v>11262</v>
      </c>
      <c r="D1936" s="988" t="s">
        <v>2669</v>
      </c>
      <c r="E1936" s="989">
        <v>27.98</v>
      </c>
      <c r="F1936" s="990"/>
      <c r="G1936" s="990"/>
      <c r="H1936" s="990"/>
      <c r="I1936" s="990"/>
      <c r="J1936" s="990"/>
      <c r="K1936" s="990"/>
      <c r="L1936" s="990"/>
      <c r="M1936" s="990"/>
      <c r="N1936" s="990"/>
      <c r="O1936" s="990"/>
      <c r="P1936" s="990"/>
      <c r="Q1936" s="990"/>
      <c r="R1936" s="990"/>
      <c r="S1936" s="990"/>
      <c r="T1936" s="990"/>
      <c r="U1936" s="990"/>
      <c r="V1936" s="990"/>
      <c r="W1936" s="990"/>
      <c r="X1936" s="990"/>
    </row>
    <row r="1937" spans="1:24" s="896" customFormat="1">
      <c r="A1937" s="987">
        <f t="shared" si="31"/>
        <v>1863</v>
      </c>
      <c r="B1937" s="988">
        <v>12059</v>
      </c>
      <c r="C1937" s="899" t="s">
        <v>11263</v>
      </c>
      <c r="D1937" s="988" t="s">
        <v>2669</v>
      </c>
      <c r="E1937" s="989">
        <v>9.82</v>
      </c>
      <c r="F1937" s="990"/>
      <c r="G1937" s="990"/>
      <c r="H1937" s="990"/>
      <c r="I1937" s="990"/>
      <c r="J1937" s="990"/>
      <c r="K1937" s="990"/>
      <c r="L1937" s="990"/>
      <c r="M1937" s="990"/>
      <c r="N1937" s="990"/>
      <c r="O1937" s="990"/>
      <c r="P1937" s="990"/>
      <c r="Q1937" s="990"/>
      <c r="R1937" s="990"/>
      <c r="S1937" s="990"/>
      <c r="T1937" s="990"/>
      <c r="U1937" s="990"/>
      <c r="V1937" s="990"/>
      <c r="W1937" s="990"/>
      <c r="X1937" s="990"/>
    </row>
    <row r="1938" spans="1:24" s="896" customFormat="1">
      <c r="A1938" s="987">
        <f t="shared" si="31"/>
        <v>1864</v>
      </c>
      <c r="B1938" s="988">
        <v>12058</v>
      </c>
      <c r="C1938" s="899" t="s">
        <v>11264</v>
      </c>
      <c r="D1938" s="988" t="s">
        <v>2669</v>
      </c>
      <c r="E1938" s="989">
        <v>17.440000000000001</v>
      </c>
      <c r="F1938" s="990"/>
      <c r="G1938" s="990"/>
      <c r="H1938" s="990"/>
      <c r="I1938" s="990"/>
      <c r="J1938" s="990"/>
      <c r="K1938" s="990"/>
      <c r="L1938" s="990"/>
      <c r="M1938" s="990"/>
      <c r="N1938" s="990"/>
      <c r="O1938" s="990"/>
      <c r="P1938" s="990"/>
      <c r="Q1938" s="990"/>
      <c r="R1938" s="990"/>
      <c r="S1938" s="990"/>
      <c r="T1938" s="990"/>
      <c r="U1938" s="990"/>
      <c r="V1938" s="990"/>
      <c r="W1938" s="990"/>
      <c r="X1938" s="990"/>
    </row>
    <row r="1939" spans="1:24" s="896" customFormat="1">
      <c r="A1939" s="987">
        <f t="shared" si="31"/>
        <v>1865</v>
      </c>
      <c r="B1939" s="988">
        <v>12060</v>
      </c>
      <c r="C1939" s="899" t="s">
        <v>11265</v>
      </c>
      <c r="D1939" s="988" t="s">
        <v>2669</v>
      </c>
      <c r="E1939" s="989">
        <v>72.7</v>
      </c>
      <c r="F1939" s="990"/>
      <c r="G1939" s="990"/>
      <c r="H1939" s="990"/>
      <c r="I1939" s="990"/>
      <c r="J1939" s="990"/>
      <c r="K1939" s="990"/>
      <c r="L1939" s="990"/>
      <c r="M1939" s="990"/>
      <c r="N1939" s="990"/>
      <c r="O1939" s="990"/>
      <c r="P1939" s="990"/>
      <c r="Q1939" s="990"/>
      <c r="R1939" s="990"/>
      <c r="S1939" s="990"/>
      <c r="T1939" s="990"/>
      <c r="U1939" s="990"/>
      <c r="V1939" s="990"/>
      <c r="W1939" s="990"/>
      <c r="X1939" s="990"/>
    </row>
    <row r="1940" spans="1:24" s="896" customFormat="1">
      <c r="A1940" s="987">
        <f t="shared" si="31"/>
        <v>1866</v>
      </c>
      <c r="B1940" s="988">
        <v>12061</v>
      </c>
      <c r="C1940" s="899" t="s">
        <v>11266</v>
      </c>
      <c r="D1940" s="988" t="s">
        <v>2669</v>
      </c>
      <c r="E1940" s="989">
        <v>44.39</v>
      </c>
      <c r="F1940" s="990"/>
      <c r="G1940" s="990"/>
      <c r="H1940" s="990"/>
      <c r="I1940" s="990"/>
      <c r="J1940" s="990"/>
      <c r="K1940" s="990"/>
      <c r="L1940" s="990"/>
      <c r="M1940" s="990"/>
      <c r="N1940" s="990"/>
      <c r="O1940" s="990"/>
      <c r="P1940" s="990"/>
      <c r="Q1940" s="990"/>
      <c r="R1940" s="990"/>
      <c r="S1940" s="990"/>
      <c r="T1940" s="990"/>
      <c r="U1940" s="990"/>
      <c r="V1940" s="990"/>
      <c r="W1940" s="990"/>
      <c r="X1940" s="990"/>
    </row>
    <row r="1941" spans="1:24" s="896" customFormat="1">
      <c r="A1941" s="987">
        <f t="shared" si="31"/>
        <v>1867</v>
      </c>
      <c r="B1941" s="988">
        <v>12062</v>
      </c>
      <c r="C1941" s="899" t="s">
        <v>11267</v>
      </c>
      <c r="D1941" s="988" t="s">
        <v>2669</v>
      </c>
      <c r="E1941" s="989">
        <v>81.87</v>
      </c>
      <c r="F1941" s="990"/>
      <c r="G1941" s="990"/>
      <c r="H1941" s="990"/>
      <c r="I1941" s="990"/>
      <c r="J1941" s="990"/>
      <c r="K1941" s="990"/>
      <c r="L1941" s="990"/>
      <c r="M1941" s="990"/>
      <c r="N1941" s="990"/>
      <c r="O1941" s="990"/>
      <c r="P1941" s="990"/>
      <c r="Q1941" s="990"/>
      <c r="R1941" s="990"/>
      <c r="S1941" s="990"/>
      <c r="T1941" s="990"/>
      <c r="U1941" s="990"/>
      <c r="V1941" s="990"/>
      <c r="W1941" s="990"/>
      <c r="X1941" s="990"/>
    </row>
    <row r="1942" spans="1:24" s="896" customFormat="1" ht="25.5">
      <c r="A1942" s="987">
        <f t="shared" si="31"/>
        <v>1868</v>
      </c>
      <c r="B1942" s="988">
        <v>21137</v>
      </c>
      <c r="C1942" s="899" t="s">
        <v>11268</v>
      </c>
      <c r="D1942" s="988" t="s">
        <v>2669</v>
      </c>
      <c r="E1942" s="989">
        <v>14.23</v>
      </c>
      <c r="F1942" s="990"/>
      <c r="G1942" s="990"/>
      <c r="H1942" s="990"/>
      <c r="I1942" s="990"/>
      <c r="J1942" s="990"/>
      <c r="K1942" s="990"/>
      <c r="L1942" s="990"/>
      <c r="M1942" s="990"/>
      <c r="N1942" s="990"/>
      <c r="O1942" s="990"/>
      <c r="P1942" s="990"/>
      <c r="Q1942" s="990"/>
      <c r="R1942" s="990"/>
      <c r="S1942" s="990"/>
      <c r="T1942" s="990"/>
      <c r="U1942" s="990"/>
      <c r="V1942" s="990"/>
      <c r="W1942" s="990"/>
      <c r="X1942" s="990"/>
    </row>
    <row r="1943" spans="1:24" s="896" customFormat="1">
      <c r="A1943" s="987">
        <f t="shared" si="31"/>
        <v>1869</v>
      </c>
      <c r="B1943" s="988">
        <v>2687</v>
      </c>
      <c r="C1943" s="899" t="s">
        <v>11269</v>
      </c>
      <c r="D1943" s="988" t="s">
        <v>2669</v>
      </c>
      <c r="E1943" s="989">
        <v>2.41</v>
      </c>
      <c r="F1943" s="990"/>
      <c r="G1943" s="990"/>
      <c r="H1943" s="990"/>
      <c r="I1943" s="990"/>
      <c r="J1943" s="990"/>
      <c r="K1943" s="990"/>
      <c r="L1943" s="990"/>
      <c r="M1943" s="990"/>
      <c r="N1943" s="990"/>
      <c r="O1943" s="990"/>
      <c r="P1943" s="990"/>
      <c r="Q1943" s="990"/>
      <c r="R1943" s="990"/>
      <c r="S1943" s="990"/>
      <c r="T1943" s="990"/>
      <c r="U1943" s="990"/>
      <c r="V1943" s="990"/>
      <c r="W1943" s="990"/>
      <c r="X1943" s="990"/>
    </row>
    <row r="1944" spans="1:24" s="896" customFormat="1">
      <c r="A1944" s="987">
        <f t="shared" si="31"/>
        <v>1870</v>
      </c>
      <c r="B1944" s="988">
        <v>2689</v>
      </c>
      <c r="C1944" s="899" t="s">
        <v>11270</v>
      </c>
      <c r="D1944" s="988" t="s">
        <v>2669</v>
      </c>
      <c r="E1944" s="989">
        <v>2.86</v>
      </c>
      <c r="F1944" s="990"/>
      <c r="G1944" s="990"/>
      <c r="H1944" s="990"/>
      <c r="I1944" s="990"/>
      <c r="J1944" s="990"/>
      <c r="K1944" s="990"/>
      <c r="L1944" s="990"/>
      <c r="M1944" s="990"/>
      <c r="N1944" s="990"/>
      <c r="O1944" s="990"/>
      <c r="P1944" s="990"/>
      <c r="Q1944" s="990"/>
      <c r="R1944" s="990"/>
      <c r="S1944" s="990"/>
      <c r="T1944" s="990"/>
      <c r="U1944" s="990"/>
      <c r="V1944" s="990"/>
      <c r="W1944" s="990"/>
      <c r="X1944" s="990"/>
    </row>
    <row r="1945" spans="1:24" s="896" customFormat="1">
      <c r="A1945" s="987">
        <f t="shared" si="31"/>
        <v>1871</v>
      </c>
      <c r="B1945" s="988">
        <v>2688</v>
      </c>
      <c r="C1945" s="899" t="s">
        <v>11271</v>
      </c>
      <c r="D1945" s="988" t="s">
        <v>2669</v>
      </c>
      <c r="E1945" s="989">
        <v>3.1</v>
      </c>
      <c r="F1945" s="990"/>
      <c r="G1945" s="990"/>
      <c r="H1945" s="990"/>
      <c r="I1945" s="990"/>
      <c r="J1945" s="990"/>
      <c r="K1945" s="990"/>
      <c r="L1945" s="990"/>
      <c r="M1945" s="990"/>
      <c r="N1945" s="990"/>
      <c r="O1945" s="990"/>
      <c r="P1945" s="990"/>
      <c r="Q1945" s="990"/>
      <c r="R1945" s="990"/>
      <c r="S1945" s="990"/>
      <c r="T1945" s="990"/>
      <c r="U1945" s="990"/>
      <c r="V1945" s="990"/>
      <c r="W1945" s="990"/>
      <c r="X1945" s="990"/>
    </row>
    <row r="1946" spans="1:24" s="896" customFormat="1">
      <c r="A1946" s="987">
        <f t="shared" si="31"/>
        <v>1872</v>
      </c>
      <c r="B1946" s="988">
        <v>2690</v>
      </c>
      <c r="C1946" s="899" t="s">
        <v>11272</v>
      </c>
      <c r="D1946" s="988" t="s">
        <v>2669</v>
      </c>
      <c r="E1946" s="989">
        <v>5.31</v>
      </c>
      <c r="F1946" s="990"/>
      <c r="G1946" s="990"/>
      <c r="H1946" s="990"/>
      <c r="I1946" s="990"/>
      <c r="J1946" s="990"/>
      <c r="K1946" s="990"/>
      <c r="L1946" s="990"/>
      <c r="M1946" s="990"/>
      <c r="N1946" s="990"/>
      <c r="O1946" s="990"/>
      <c r="P1946" s="990"/>
      <c r="Q1946" s="990"/>
      <c r="R1946" s="990"/>
      <c r="S1946" s="990"/>
      <c r="T1946" s="990"/>
      <c r="U1946" s="990"/>
      <c r="V1946" s="990"/>
      <c r="W1946" s="990"/>
      <c r="X1946" s="990"/>
    </row>
    <row r="1947" spans="1:24" s="896" customFormat="1" ht="25.5">
      <c r="A1947" s="987">
        <f t="shared" si="31"/>
        <v>1873</v>
      </c>
      <c r="B1947" s="988">
        <v>39243</v>
      </c>
      <c r="C1947" s="899" t="s">
        <v>11273</v>
      </c>
      <c r="D1947" s="988" t="s">
        <v>2669</v>
      </c>
      <c r="E1947" s="989">
        <v>3.5</v>
      </c>
      <c r="F1947" s="990"/>
      <c r="G1947" s="990"/>
      <c r="H1947" s="990"/>
      <c r="I1947" s="990"/>
      <c r="J1947" s="990"/>
      <c r="K1947" s="990"/>
      <c r="L1947" s="990"/>
      <c r="M1947" s="990"/>
      <c r="N1947" s="990"/>
      <c r="O1947" s="990"/>
      <c r="P1947" s="990"/>
      <c r="Q1947" s="990"/>
      <c r="R1947" s="990"/>
      <c r="S1947" s="990"/>
      <c r="T1947" s="990"/>
      <c r="U1947" s="990"/>
      <c r="V1947" s="990"/>
      <c r="W1947" s="990"/>
      <c r="X1947" s="990"/>
    </row>
    <row r="1948" spans="1:24" s="896" customFormat="1" ht="25.5">
      <c r="A1948" s="987">
        <f t="shared" si="31"/>
        <v>1874</v>
      </c>
      <c r="B1948" s="988">
        <v>39244</v>
      </c>
      <c r="C1948" s="899" t="s">
        <v>11274</v>
      </c>
      <c r="D1948" s="988" t="s">
        <v>2669</v>
      </c>
      <c r="E1948" s="989">
        <v>4.7300000000000004</v>
      </c>
      <c r="F1948" s="990"/>
      <c r="G1948" s="990"/>
      <c r="H1948" s="990"/>
      <c r="I1948" s="990"/>
      <c r="J1948" s="990"/>
      <c r="K1948" s="990"/>
      <c r="L1948" s="990"/>
      <c r="M1948" s="990"/>
      <c r="N1948" s="990"/>
      <c r="O1948" s="990"/>
      <c r="P1948" s="990"/>
      <c r="Q1948" s="990"/>
      <c r="R1948" s="990"/>
      <c r="S1948" s="990"/>
      <c r="T1948" s="990"/>
      <c r="U1948" s="990"/>
      <c r="V1948" s="990"/>
      <c r="W1948" s="990"/>
      <c r="X1948" s="990"/>
    </row>
    <row r="1949" spans="1:24" s="896" customFormat="1" ht="25.5">
      <c r="A1949" s="987">
        <f t="shared" si="31"/>
        <v>1875</v>
      </c>
      <c r="B1949" s="988">
        <v>39245</v>
      </c>
      <c r="C1949" s="899" t="s">
        <v>11275</v>
      </c>
      <c r="D1949" s="988" t="s">
        <v>2669</v>
      </c>
      <c r="E1949" s="989">
        <v>9.1</v>
      </c>
      <c r="F1949" s="990"/>
      <c r="G1949" s="990"/>
      <c r="H1949" s="990"/>
      <c r="I1949" s="990"/>
      <c r="J1949" s="990"/>
      <c r="K1949" s="990"/>
      <c r="L1949" s="990"/>
      <c r="M1949" s="990"/>
      <c r="N1949" s="990"/>
      <c r="O1949" s="990"/>
      <c r="P1949" s="990"/>
      <c r="Q1949" s="990"/>
      <c r="R1949" s="990"/>
      <c r="S1949" s="990"/>
      <c r="T1949" s="990"/>
      <c r="U1949" s="990"/>
      <c r="V1949" s="990"/>
      <c r="W1949" s="990"/>
      <c r="X1949" s="990"/>
    </row>
    <row r="1950" spans="1:24" s="896" customFormat="1" ht="25.5">
      <c r="A1950" s="987">
        <f t="shared" si="31"/>
        <v>1876</v>
      </c>
      <c r="B1950" s="988">
        <v>39254</v>
      </c>
      <c r="C1950" s="899" t="s">
        <v>11276</v>
      </c>
      <c r="D1950" s="988" t="s">
        <v>2669</v>
      </c>
      <c r="E1950" s="989">
        <v>13.61</v>
      </c>
      <c r="F1950" s="990"/>
      <c r="G1950" s="990"/>
      <c r="H1950" s="990"/>
      <c r="I1950" s="990"/>
      <c r="J1950" s="990"/>
      <c r="K1950" s="990"/>
      <c r="L1950" s="990"/>
      <c r="M1950" s="990"/>
      <c r="N1950" s="990"/>
      <c r="O1950" s="990"/>
      <c r="P1950" s="990"/>
      <c r="Q1950" s="990"/>
      <c r="R1950" s="990"/>
      <c r="S1950" s="990"/>
      <c r="T1950" s="990"/>
      <c r="U1950" s="990"/>
      <c r="V1950" s="990"/>
      <c r="W1950" s="990"/>
      <c r="X1950" s="990"/>
    </row>
    <row r="1951" spans="1:24" s="896" customFormat="1" ht="25.5">
      <c r="A1951" s="987">
        <f t="shared" si="31"/>
        <v>1877</v>
      </c>
      <c r="B1951" s="988">
        <v>39255</v>
      </c>
      <c r="C1951" s="899" t="s">
        <v>11277</v>
      </c>
      <c r="D1951" s="988" t="s">
        <v>2669</v>
      </c>
      <c r="E1951" s="989">
        <v>25.19</v>
      </c>
      <c r="F1951" s="990"/>
      <c r="G1951" s="990"/>
      <c r="H1951" s="990"/>
      <c r="I1951" s="990"/>
      <c r="J1951" s="990"/>
      <c r="K1951" s="990"/>
      <c r="L1951" s="990"/>
      <c r="M1951" s="990"/>
      <c r="N1951" s="990"/>
      <c r="O1951" s="990"/>
      <c r="P1951" s="990"/>
      <c r="Q1951" s="990"/>
      <c r="R1951" s="990"/>
      <c r="S1951" s="990"/>
      <c r="T1951" s="990"/>
      <c r="U1951" s="990"/>
      <c r="V1951" s="990"/>
      <c r="W1951" s="990"/>
      <c r="X1951" s="990"/>
    </row>
    <row r="1952" spans="1:24" s="896" customFormat="1" ht="25.5">
      <c r="A1952" s="987">
        <f t="shared" si="31"/>
        <v>1878</v>
      </c>
      <c r="B1952" s="988">
        <v>39253</v>
      </c>
      <c r="C1952" s="899" t="s">
        <v>11278</v>
      </c>
      <c r="D1952" s="988" t="s">
        <v>2669</v>
      </c>
      <c r="E1952" s="989">
        <v>17.350000000000001</v>
      </c>
      <c r="F1952" s="990"/>
      <c r="G1952" s="990"/>
      <c r="H1952" s="990"/>
      <c r="I1952" s="990"/>
      <c r="J1952" s="990"/>
      <c r="K1952" s="990"/>
      <c r="L1952" s="990"/>
      <c r="M1952" s="990"/>
      <c r="N1952" s="990"/>
      <c r="O1952" s="990"/>
      <c r="P1952" s="990"/>
      <c r="Q1952" s="990"/>
      <c r="R1952" s="990"/>
      <c r="S1952" s="990"/>
      <c r="T1952" s="990"/>
      <c r="U1952" s="990"/>
      <c r="V1952" s="990"/>
      <c r="W1952" s="990"/>
      <c r="X1952" s="990"/>
    </row>
    <row r="1953" spans="1:24" s="896" customFormat="1" ht="25.5">
      <c r="A1953" s="987">
        <f t="shared" si="31"/>
        <v>1879</v>
      </c>
      <c r="B1953" s="988">
        <v>39246</v>
      </c>
      <c r="C1953" s="899" t="s">
        <v>11279</v>
      </c>
      <c r="D1953" s="988" t="s">
        <v>2669</v>
      </c>
      <c r="E1953" s="989">
        <v>4.1100000000000003</v>
      </c>
      <c r="F1953" s="990"/>
      <c r="G1953" s="990"/>
      <c r="H1953" s="990"/>
      <c r="I1953" s="990"/>
      <c r="J1953" s="990"/>
      <c r="K1953" s="990"/>
      <c r="L1953" s="990"/>
      <c r="M1953" s="990"/>
      <c r="N1953" s="990"/>
      <c r="O1953" s="990"/>
      <c r="P1953" s="990"/>
      <c r="Q1953" s="990"/>
      <c r="R1953" s="990"/>
      <c r="S1953" s="990"/>
      <c r="T1953" s="990"/>
      <c r="U1953" s="990"/>
      <c r="V1953" s="990"/>
      <c r="W1953" s="990"/>
      <c r="X1953" s="990"/>
    </row>
    <row r="1954" spans="1:24" s="896" customFormat="1" ht="25.5">
      <c r="A1954" s="987">
        <f t="shared" si="31"/>
        <v>1880</v>
      </c>
      <c r="B1954" s="988">
        <v>39247</v>
      </c>
      <c r="C1954" s="899" t="s">
        <v>11280</v>
      </c>
      <c r="D1954" s="988" t="s">
        <v>2669</v>
      </c>
      <c r="E1954" s="989">
        <v>3.58</v>
      </c>
      <c r="F1954" s="990"/>
      <c r="G1954" s="990"/>
      <c r="H1954" s="990"/>
      <c r="I1954" s="990"/>
      <c r="J1954" s="990"/>
      <c r="K1954" s="990"/>
      <c r="L1954" s="990"/>
      <c r="M1954" s="990"/>
      <c r="N1954" s="990"/>
      <c r="O1954" s="990"/>
      <c r="P1954" s="990"/>
      <c r="Q1954" s="990"/>
      <c r="R1954" s="990"/>
      <c r="S1954" s="990"/>
      <c r="T1954" s="990"/>
      <c r="U1954" s="990"/>
      <c r="V1954" s="990"/>
      <c r="W1954" s="990"/>
      <c r="X1954" s="990"/>
    </row>
    <row r="1955" spans="1:24" s="896" customFormat="1" ht="25.5">
      <c r="A1955" s="987">
        <f t="shared" si="31"/>
        <v>1881</v>
      </c>
      <c r="B1955" s="988">
        <v>2446</v>
      </c>
      <c r="C1955" s="899" t="s">
        <v>11281</v>
      </c>
      <c r="D1955" s="988" t="s">
        <v>2669</v>
      </c>
      <c r="E1955" s="989">
        <v>5.9</v>
      </c>
      <c r="F1955" s="990"/>
      <c r="G1955" s="990"/>
      <c r="H1955" s="990"/>
      <c r="I1955" s="990"/>
      <c r="J1955" s="990"/>
      <c r="K1955" s="990"/>
      <c r="L1955" s="990"/>
      <c r="M1955" s="990"/>
      <c r="N1955" s="990"/>
      <c r="O1955" s="990"/>
      <c r="P1955" s="990"/>
      <c r="Q1955" s="990"/>
      <c r="R1955" s="990"/>
      <c r="S1955" s="990"/>
      <c r="T1955" s="990"/>
      <c r="U1955" s="990"/>
      <c r="V1955" s="990"/>
      <c r="W1955" s="990"/>
      <c r="X1955" s="990"/>
    </row>
    <row r="1956" spans="1:24" s="896" customFormat="1" ht="25.5">
      <c r="A1956" s="987">
        <f t="shared" si="31"/>
        <v>1882</v>
      </c>
      <c r="B1956" s="988">
        <v>2442</v>
      </c>
      <c r="C1956" s="899" t="s">
        <v>11282</v>
      </c>
      <c r="D1956" s="988" t="s">
        <v>2669</v>
      </c>
      <c r="E1956" s="989">
        <v>8.26</v>
      </c>
      <c r="F1956" s="990"/>
      <c r="G1956" s="990"/>
      <c r="H1956" s="990"/>
      <c r="I1956" s="990"/>
      <c r="J1956" s="990"/>
      <c r="K1956" s="990"/>
      <c r="L1956" s="990"/>
      <c r="M1956" s="990"/>
      <c r="N1956" s="990"/>
      <c r="O1956" s="990"/>
      <c r="P1956" s="990"/>
      <c r="Q1956" s="990"/>
      <c r="R1956" s="990"/>
      <c r="S1956" s="990"/>
      <c r="T1956" s="990"/>
      <c r="U1956" s="990"/>
      <c r="V1956" s="990"/>
      <c r="W1956" s="990"/>
      <c r="X1956" s="990"/>
    </row>
    <row r="1957" spans="1:24" s="896" customFormat="1" ht="25.5">
      <c r="A1957" s="987">
        <f t="shared" si="31"/>
        <v>1883</v>
      </c>
      <c r="B1957" s="988">
        <v>39248</v>
      </c>
      <c r="C1957" s="899" t="s">
        <v>11283</v>
      </c>
      <c r="D1957" s="988" t="s">
        <v>2669</v>
      </c>
      <c r="E1957" s="989">
        <v>11.52</v>
      </c>
      <c r="F1957" s="990"/>
      <c r="G1957" s="990"/>
      <c r="H1957" s="990"/>
      <c r="I1957" s="990"/>
      <c r="J1957" s="990"/>
      <c r="K1957" s="990"/>
      <c r="L1957" s="990"/>
      <c r="M1957" s="990"/>
      <c r="N1957" s="990"/>
      <c r="O1957" s="990"/>
      <c r="P1957" s="990"/>
      <c r="Q1957" s="990"/>
      <c r="R1957" s="990"/>
      <c r="S1957" s="990"/>
      <c r="T1957" s="990"/>
      <c r="U1957" s="990"/>
      <c r="V1957" s="990"/>
      <c r="W1957" s="990"/>
      <c r="X1957" s="990"/>
    </row>
    <row r="1958" spans="1:24" s="896" customFormat="1">
      <c r="A1958" s="987">
        <f t="shared" si="31"/>
        <v>1884</v>
      </c>
      <c r="B1958" s="988">
        <v>2438</v>
      </c>
      <c r="C1958" s="899" t="s">
        <v>11284</v>
      </c>
      <c r="D1958" s="988" t="s">
        <v>2665</v>
      </c>
      <c r="E1958" s="989">
        <v>30.11</v>
      </c>
      <c r="F1958" s="990"/>
      <c r="G1958" s="990"/>
      <c r="H1958" s="990"/>
      <c r="I1958" s="990"/>
      <c r="J1958" s="990"/>
      <c r="K1958" s="990"/>
      <c r="L1958" s="990"/>
      <c r="M1958" s="990"/>
      <c r="N1958" s="990"/>
      <c r="O1958" s="990"/>
      <c r="P1958" s="990"/>
      <c r="Q1958" s="990"/>
      <c r="R1958" s="990"/>
      <c r="S1958" s="990"/>
      <c r="T1958" s="990"/>
      <c r="U1958" s="990"/>
      <c r="V1958" s="990"/>
      <c r="W1958" s="990"/>
      <c r="X1958" s="990"/>
    </row>
    <row r="1959" spans="1:24" s="896" customFormat="1">
      <c r="A1959" s="987">
        <f t="shared" si="31"/>
        <v>1885</v>
      </c>
      <c r="B1959" s="988">
        <v>40922</v>
      </c>
      <c r="C1959" s="899" t="s">
        <v>11285</v>
      </c>
      <c r="D1959" s="988" t="s">
        <v>2672</v>
      </c>
      <c r="E1959" s="989">
        <v>5293.68</v>
      </c>
      <c r="F1959" s="990"/>
      <c r="G1959" s="990"/>
      <c r="H1959" s="990"/>
      <c r="I1959" s="990"/>
      <c r="J1959" s="990"/>
      <c r="K1959" s="990"/>
      <c r="L1959" s="990"/>
      <c r="M1959" s="990"/>
      <c r="N1959" s="990"/>
      <c r="O1959" s="990"/>
      <c r="P1959" s="990"/>
      <c r="Q1959" s="990"/>
      <c r="R1959" s="990"/>
      <c r="S1959" s="990"/>
      <c r="T1959" s="990"/>
      <c r="U1959" s="990"/>
      <c r="V1959" s="990"/>
      <c r="W1959" s="990"/>
      <c r="X1959" s="990"/>
    </row>
    <row r="1960" spans="1:24" s="896" customFormat="1" ht="38.25">
      <c r="A1960" s="987">
        <f t="shared" si="31"/>
        <v>1886</v>
      </c>
      <c r="B1960" s="988">
        <v>36486</v>
      </c>
      <c r="C1960" s="899" t="s">
        <v>11286</v>
      </c>
      <c r="D1960" s="988" t="s">
        <v>2666</v>
      </c>
      <c r="E1960" s="989">
        <v>68658.100000000006</v>
      </c>
      <c r="F1960" s="990"/>
      <c r="G1960" s="990"/>
      <c r="H1960" s="990"/>
      <c r="I1960" s="990"/>
      <c r="J1960" s="990"/>
      <c r="K1960" s="990"/>
      <c r="L1960" s="990"/>
      <c r="M1960" s="990"/>
      <c r="N1960" s="990"/>
      <c r="O1960" s="990"/>
      <c r="P1960" s="990"/>
      <c r="Q1960" s="990"/>
      <c r="R1960" s="990"/>
      <c r="S1960" s="990"/>
      <c r="T1960" s="990"/>
      <c r="U1960" s="990"/>
      <c r="V1960" s="990"/>
      <c r="W1960" s="990"/>
      <c r="X1960" s="990"/>
    </row>
    <row r="1961" spans="1:24" s="896" customFormat="1" ht="38.25">
      <c r="A1961" s="987">
        <f t="shared" si="31"/>
        <v>1887</v>
      </c>
      <c r="B1961" s="988">
        <v>37777</v>
      </c>
      <c r="C1961" s="899" t="s">
        <v>11287</v>
      </c>
      <c r="D1961" s="988" t="s">
        <v>2666</v>
      </c>
      <c r="E1961" s="989">
        <v>323241.03000000003</v>
      </c>
      <c r="F1961" s="990"/>
      <c r="G1961" s="990"/>
      <c r="H1961" s="990"/>
      <c r="I1961" s="990"/>
      <c r="J1961" s="990"/>
      <c r="K1961" s="990"/>
      <c r="L1961" s="990"/>
      <c r="M1961" s="990"/>
      <c r="N1961" s="990"/>
      <c r="O1961" s="990"/>
      <c r="P1961" s="990"/>
      <c r="Q1961" s="990"/>
      <c r="R1961" s="990"/>
      <c r="S1961" s="990"/>
      <c r="T1961" s="990"/>
      <c r="U1961" s="990"/>
      <c r="V1961" s="990"/>
      <c r="W1961" s="990"/>
      <c r="X1961" s="990"/>
    </row>
    <row r="1962" spans="1:24" s="896" customFormat="1" ht="25.5">
      <c r="A1962" s="987">
        <f t="shared" si="31"/>
        <v>1888</v>
      </c>
      <c r="B1962" s="988">
        <v>12624</v>
      </c>
      <c r="C1962" s="899" t="s">
        <v>11288</v>
      </c>
      <c r="D1962" s="988" t="s">
        <v>2666</v>
      </c>
      <c r="E1962" s="989">
        <v>13.62</v>
      </c>
      <c r="F1962" s="990"/>
      <c r="G1962" s="990"/>
      <c r="H1962" s="990"/>
      <c r="I1962" s="990"/>
      <c r="J1962" s="990"/>
      <c r="K1962" s="990"/>
      <c r="L1962" s="990"/>
      <c r="M1962" s="990"/>
      <c r="N1962" s="990"/>
      <c r="O1962" s="990"/>
      <c r="P1962" s="990"/>
      <c r="Q1962" s="990"/>
      <c r="R1962" s="990"/>
      <c r="S1962" s="990"/>
      <c r="T1962" s="990"/>
      <c r="U1962" s="990"/>
      <c r="V1962" s="990"/>
      <c r="W1962" s="990"/>
      <c r="X1962" s="990"/>
    </row>
    <row r="1963" spans="1:24" s="896" customFormat="1">
      <c r="A1963" s="987">
        <f t="shared" si="31"/>
        <v>1889</v>
      </c>
      <c r="B1963" s="988">
        <v>517</v>
      </c>
      <c r="C1963" s="899" t="s">
        <v>11289</v>
      </c>
      <c r="D1963" s="988" t="s">
        <v>2671</v>
      </c>
      <c r="E1963" s="989">
        <v>6.81</v>
      </c>
      <c r="F1963" s="990"/>
      <c r="G1963" s="990"/>
      <c r="H1963" s="990"/>
      <c r="I1963" s="990"/>
      <c r="J1963" s="990"/>
      <c r="K1963" s="990"/>
      <c r="L1963" s="990"/>
      <c r="M1963" s="990"/>
      <c r="N1963" s="990"/>
      <c r="O1963" s="990"/>
      <c r="P1963" s="990"/>
      <c r="Q1963" s="990"/>
      <c r="R1963" s="990"/>
      <c r="S1963" s="990"/>
      <c r="T1963" s="990"/>
      <c r="U1963" s="990"/>
      <c r="V1963" s="990"/>
      <c r="W1963" s="990"/>
      <c r="X1963" s="990"/>
    </row>
    <row r="1964" spans="1:24" s="896" customFormat="1" ht="25.5">
      <c r="A1964" s="987">
        <f t="shared" si="31"/>
        <v>1890</v>
      </c>
      <c r="B1964" s="988">
        <v>41904</v>
      </c>
      <c r="C1964" s="899" t="s">
        <v>11290</v>
      </c>
      <c r="D1964" s="988" t="s">
        <v>2676</v>
      </c>
      <c r="E1964" s="989">
        <v>3706.47</v>
      </c>
      <c r="F1964" s="990"/>
      <c r="G1964" s="990"/>
      <c r="H1964" s="990"/>
      <c r="I1964" s="990"/>
      <c r="J1964" s="990"/>
      <c r="K1964" s="990"/>
      <c r="L1964" s="990"/>
      <c r="M1964" s="990"/>
      <c r="N1964" s="990"/>
      <c r="O1964" s="990"/>
      <c r="P1964" s="990"/>
      <c r="Q1964" s="990"/>
      <c r="R1964" s="990"/>
      <c r="S1964" s="990"/>
      <c r="T1964" s="990"/>
      <c r="U1964" s="990"/>
      <c r="V1964" s="990"/>
      <c r="W1964" s="990"/>
      <c r="X1964" s="990"/>
    </row>
    <row r="1965" spans="1:24" s="896" customFormat="1" ht="25.5">
      <c r="A1965" s="987">
        <f t="shared" si="31"/>
        <v>1891</v>
      </c>
      <c r="B1965" s="988">
        <v>41903</v>
      </c>
      <c r="C1965" s="899" t="s">
        <v>11291</v>
      </c>
      <c r="D1965" s="988" t="s">
        <v>2670</v>
      </c>
      <c r="E1965" s="989">
        <v>3.93</v>
      </c>
      <c r="F1965" s="990"/>
      <c r="G1965" s="990"/>
      <c r="H1965" s="990"/>
      <c r="I1965" s="990"/>
      <c r="J1965" s="990"/>
      <c r="K1965" s="990"/>
      <c r="L1965" s="990"/>
      <c r="M1965" s="990"/>
      <c r="N1965" s="990"/>
      <c r="O1965" s="990"/>
      <c r="P1965" s="990"/>
      <c r="Q1965" s="990"/>
      <c r="R1965" s="990"/>
      <c r="S1965" s="990"/>
      <c r="T1965" s="990"/>
      <c r="U1965" s="990"/>
      <c r="V1965" s="990"/>
      <c r="W1965" s="990"/>
      <c r="X1965" s="990"/>
    </row>
    <row r="1966" spans="1:24" s="896" customFormat="1" ht="25.5">
      <c r="A1966" s="987">
        <f t="shared" si="31"/>
        <v>1892</v>
      </c>
      <c r="B1966" s="988">
        <v>37534</v>
      </c>
      <c r="C1966" s="899" t="s">
        <v>11292</v>
      </c>
      <c r="D1966" s="988" t="s">
        <v>2670</v>
      </c>
      <c r="E1966" s="989">
        <v>21.97</v>
      </c>
      <c r="F1966" s="990"/>
      <c r="G1966" s="990"/>
      <c r="H1966" s="990"/>
      <c r="I1966" s="990"/>
      <c r="J1966" s="990"/>
      <c r="K1966" s="990"/>
      <c r="L1966" s="990"/>
      <c r="M1966" s="990"/>
      <c r="N1966" s="990"/>
      <c r="O1966" s="990"/>
      <c r="P1966" s="990"/>
      <c r="Q1966" s="990"/>
      <c r="R1966" s="990"/>
      <c r="S1966" s="990"/>
      <c r="T1966" s="990"/>
      <c r="U1966" s="990"/>
      <c r="V1966" s="990"/>
      <c r="W1966" s="990"/>
      <c r="X1966" s="990"/>
    </row>
    <row r="1967" spans="1:24" s="896" customFormat="1" ht="25.5">
      <c r="A1967" s="987">
        <f t="shared" si="31"/>
        <v>1893</v>
      </c>
      <c r="B1967" s="988">
        <v>37535</v>
      </c>
      <c r="C1967" s="899" t="s">
        <v>11293</v>
      </c>
      <c r="D1967" s="988" t="s">
        <v>2670</v>
      </c>
      <c r="E1967" s="989">
        <v>21.97</v>
      </c>
      <c r="F1967" s="990"/>
      <c r="G1967" s="990"/>
      <c r="H1967" s="990"/>
      <c r="I1967" s="990"/>
      <c r="J1967" s="990"/>
      <c r="K1967" s="990"/>
      <c r="L1967" s="990"/>
      <c r="M1967" s="990"/>
      <c r="N1967" s="990"/>
      <c r="O1967" s="990"/>
      <c r="P1967" s="990"/>
      <c r="Q1967" s="990"/>
      <c r="R1967" s="990"/>
      <c r="S1967" s="990"/>
      <c r="T1967" s="990"/>
      <c r="U1967" s="990"/>
      <c r="V1967" s="990"/>
      <c r="W1967" s="990"/>
      <c r="X1967" s="990"/>
    </row>
    <row r="1968" spans="1:24" s="896" customFormat="1" ht="25.5">
      <c r="A1968" s="987">
        <f t="shared" si="31"/>
        <v>1894</v>
      </c>
      <c r="B1968" s="988">
        <v>37533</v>
      </c>
      <c r="C1968" s="899" t="s">
        <v>11294</v>
      </c>
      <c r="D1968" s="988" t="s">
        <v>2670</v>
      </c>
      <c r="E1968" s="989">
        <v>21.97</v>
      </c>
      <c r="F1968" s="990"/>
      <c r="G1968" s="990"/>
      <c r="H1968" s="990"/>
      <c r="I1968" s="990"/>
      <c r="J1968" s="990"/>
      <c r="K1968" s="990"/>
      <c r="L1968" s="990"/>
      <c r="M1968" s="990"/>
      <c r="N1968" s="990"/>
      <c r="O1968" s="990"/>
      <c r="P1968" s="990"/>
      <c r="Q1968" s="990"/>
      <c r="R1968" s="990"/>
      <c r="S1968" s="990"/>
      <c r="T1968" s="990"/>
      <c r="U1968" s="990"/>
      <c r="V1968" s="990"/>
      <c r="W1968" s="990"/>
      <c r="X1968" s="990"/>
    </row>
    <row r="1969" spans="1:24" s="896" customFormat="1" ht="25.5">
      <c r="A1969" s="987">
        <f t="shared" si="31"/>
        <v>1895</v>
      </c>
      <c r="B1969" s="988">
        <v>37537</v>
      </c>
      <c r="C1969" s="899" t="s">
        <v>11295</v>
      </c>
      <c r="D1969" s="988" t="s">
        <v>2670</v>
      </c>
      <c r="E1969" s="989">
        <v>16.63</v>
      </c>
      <c r="F1969" s="990"/>
      <c r="G1969" s="990"/>
      <c r="H1969" s="990"/>
      <c r="I1969" s="990"/>
      <c r="J1969" s="990"/>
      <c r="K1969" s="990"/>
      <c r="L1969" s="990"/>
      <c r="M1969" s="990"/>
      <c r="N1969" s="990"/>
      <c r="O1969" s="990"/>
      <c r="P1969" s="990"/>
      <c r="Q1969" s="990"/>
      <c r="R1969" s="990"/>
      <c r="S1969" s="990"/>
      <c r="T1969" s="990"/>
      <c r="U1969" s="990"/>
      <c r="V1969" s="990"/>
      <c r="W1969" s="990"/>
      <c r="X1969" s="990"/>
    </row>
    <row r="1970" spans="1:24" s="896" customFormat="1" ht="25.5">
      <c r="A1970" s="987">
        <f t="shared" si="31"/>
        <v>1896</v>
      </c>
      <c r="B1970" s="988">
        <v>37536</v>
      </c>
      <c r="C1970" s="899" t="s">
        <v>11296</v>
      </c>
      <c r="D1970" s="988" t="s">
        <v>2670</v>
      </c>
      <c r="E1970" s="989">
        <v>16.63</v>
      </c>
      <c r="F1970" s="990"/>
      <c r="G1970" s="990"/>
      <c r="H1970" s="990"/>
      <c r="I1970" s="990"/>
      <c r="J1970" s="990"/>
      <c r="K1970" s="990"/>
      <c r="L1970" s="990"/>
      <c r="M1970" s="990"/>
      <c r="N1970" s="990"/>
      <c r="O1970" s="990"/>
      <c r="P1970" s="990"/>
      <c r="Q1970" s="990"/>
      <c r="R1970" s="990"/>
      <c r="S1970" s="990"/>
      <c r="T1970" s="990"/>
      <c r="U1970" s="990"/>
      <c r="V1970" s="990"/>
      <c r="W1970" s="990"/>
      <c r="X1970" s="990"/>
    </row>
    <row r="1971" spans="1:24" s="896" customFormat="1" ht="25.5">
      <c r="A1971" s="987">
        <f t="shared" si="31"/>
        <v>1897</v>
      </c>
      <c r="B1971" s="988">
        <v>37532</v>
      </c>
      <c r="C1971" s="899" t="s">
        <v>11297</v>
      </c>
      <c r="D1971" s="988" t="s">
        <v>2670</v>
      </c>
      <c r="E1971" s="989">
        <v>16.63</v>
      </c>
      <c r="F1971" s="990"/>
      <c r="G1971" s="990"/>
      <c r="H1971" s="990"/>
      <c r="I1971" s="990"/>
      <c r="J1971" s="990"/>
      <c r="K1971" s="990"/>
      <c r="L1971" s="990"/>
      <c r="M1971" s="990"/>
      <c r="N1971" s="990"/>
      <c r="O1971" s="990"/>
      <c r="P1971" s="990"/>
      <c r="Q1971" s="990"/>
      <c r="R1971" s="990"/>
      <c r="S1971" s="990"/>
      <c r="T1971" s="990"/>
      <c r="U1971" s="990"/>
      <c r="V1971" s="990"/>
      <c r="W1971" s="990"/>
      <c r="X1971" s="990"/>
    </row>
    <row r="1972" spans="1:24" s="896" customFormat="1">
      <c r="A1972" s="987">
        <f t="shared" si="31"/>
        <v>1898</v>
      </c>
      <c r="B1972" s="988">
        <v>2696</v>
      </c>
      <c r="C1972" s="899" t="s">
        <v>11298</v>
      </c>
      <c r="D1972" s="988" t="s">
        <v>2665</v>
      </c>
      <c r="E1972" s="989">
        <v>23.94</v>
      </c>
      <c r="F1972" s="990"/>
      <c r="G1972" s="990"/>
      <c r="H1972" s="990"/>
      <c r="I1972" s="990"/>
      <c r="J1972" s="990"/>
      <c r="K1972" s="990"/>
      <c r="L1972" s="990"/>
      <c r="M1972" s="990"/>
      <c r="N1972" s="990"/>
      <c r="O1972" s="990"/>
      <c r="P1972" s="990"/>
      <c r="Q1972" s="990"/>
      <c r="R1972" s="990"/>
      <c r="S1972" s="990"/>
      <c r="T1972" s="990"/>
      <c r="U1972" s="990"/>
      <c r="V1972" s="990"/>
      <c r="W1972" s="990"/>
      <c r="X1972" s="990"/>
    </row>
    <row r="1973" spans="1:24" s="896" customFormat="1">
      <c r="A1973" s="987">
        <f t="shared" si="31"/>
        <v>1899</v>
      </c>
      <c r="B1973" s="988">
        <v>40928</v>
      </c>
      <c r="C1973" s="899" t="s">
        <v>11299</v>
      </c>
      <c r="D1973" s="988" t="s">
        <v>2672</v>
      </c>
      <c r="E1973" s="989">
        <v>4207.42</v>
      </c>
      <c r="F1973" s="990"/>
      <c r="G1973" s="990"/>
      <c r="H1973" s="990"/>
      <c r="I1973" s="990"/>
      <c r="J1973" s="990"/>
      <c r="K1973" s="990"/>
      <c r="L1973" s="990"/>
      <c r="M1973" s="990"/>
      <c r="N1973" s="990"/>
      <c r="O1973" s="990"/>
      <c r="P1973" s="990"/>
      <c r="Q1973" s="990"/>
      <c r="R1973" s="990"/>
      <c r="S1973" s="990"/>
      <c r="T1973" s="990"/>
      <c r="U1973" s="990"/>
      <c r="V1973" s="990"/>
      <c r="W1973" s="990"/>
      <c r="X1973" s="990"/>
    </row>
    <row r="1974" spans="1:24" s="896" customFormat="1">
      <c r="A1974" s="987">
        <f t="shared" si="31"/>
        <v>1900</v>
      </c>
      <c r="B1974" s="988">
        <v>4083</v>
      </c>
      <c r="C1974" s="899" t="s">
        <v>11300</v>
      </c>
      <c r="D1974" s="988" t="s">
        <v>2665</v>
      </c>
      <c r="E1974" s="989">
        <v>38.76</v>
      </c>
      <c r="F1974" s="990"/>
      <c r="G1974" s="990"/>
      <c r="H1974" s="990"/>
      <c r="I1974" s="990"/>
      <c r="J1974" s="990"/>
      <c r="K1974" s="990"/>
      <c r="L1974" s="990"/>
      <c r="M1974" s="990"/>
      <c r="N1974" s="990"/>
      <c r="O1974" s="990"/>
      <c r="P1974" s="990"/>
      <c r="Q1974" s="990"/>
      <c r="R1974" s="990"/>
      <c r="S1974" s="990"/>
      <c r="T1974" s="990"/>
      <c r="U1974" s="990"/>
      <c r="V1974" s="990"/>
      <c r="W1974" s="990"/>
      <c r="X1974" s="990"/>
    </row>
    <row r="1975" spans="1:24" s="896" customFormat="1">
      <c r="A1975" s="987">
        <f t="shared" si="31"/>
        <v>1901</v>
      </c>
      <c r="B1975" s="988">
        <v>40818</v>
      </c>
      <c r="C1975" s="899" t="s">
        <v>11301</v>
      </c>
      <c r="D1975" s="988" t="s">
        <v>2672</v>
      </c>
      <c r="E1975" s="989">
        <v>6812.02</v>
      </c>
      <c r="F1975" s="990"/>
      <c r="G1975" s="990"/>
      <c r="H1975" s="990"/>
      <c r="I1975" s="990"/>
      <c r="J1975" s="990"/>
      <c r="K1975" s="990"/>
      <c r="L1975" s="990"/>
      <c r="M1975" s="990"/>
      <c r="N1975" s="990"/>
      <c r="O1975" s="990"/>
      <c r="P1975" s="990"/>
      <c r="Q1975" s="990"/>
      <c r="R1975" s="990"/>
      <c r="S1975" s="990"/>
      <c r="T1975" s="990"/>
      <c r="U1975" s="990"/>
      <c r="V1975" s="990"/>
      <c r="W1975" s="990"/>
      <c r="X1975" s="990"/>
    </row>
    <row r="1976" spans="1:24" s="896" customFormat="1">
      <c r="A1976" s="987">
        <f t="shared" si="31"/>
        <v>1902</v>
      </c>
      <c r="B1976" s="988">
        <v>43146</v>
      </c>
      <c r="C1976" s="899" t="s">
        <v>11302</v>
      </c>
      <c r="D1976" s="988" t="s">
        <v>2670</v>
      </c>
      <c r="E1976" s="989">
        <v>8.4</v>
      </c>
      <c r="F1976" s="990"/>
      <c r="G1976" s="990"/>
      <c r="H1976" s="990"/>
      <c r="I1976" s="990"/>
      <c r="J1976" s="990"/>
      <c r="K1976" s="990"/>
      <c r="L1976" s="990"/>
      <c r="M1976" s="990"/>
      <c r="N1976" s="990"/>
      <c r="O1976" s="990"/>
      <c r="P1976" s="990"/>
      <c r="Q1976" s="990"/>
      <c r="R1976" s="990"/>
      <c r="S1976" s="990"/>
      <c r="T1976" s="990"/>
      <c r="U1976" s="990"/>
      <c r="V1976" s="990"/>
      <c r="W1976" s="990"/>
      <c r="X1976" s="990"/>
    </row>
    <row r="1977" spans="1:24" s="896" customFormat="1">
      <c r="A1977" s="987">
        <f t="shared" si="31"/>
        <v>1903</v>
      </c>
      <c r="B1977" s="988">
        <v>2705</v>
      </c>
      <c r="C1977" s="899" t="s">
        <v>11303</v>
      </c>
      <c r="D1977" s="988" t="s">
        <v>6996</v>
      </c>
      <c r="E1977" s="989">
        <v>0.84</v>
      </c>
      <c r="F1977" s="990"/>
      <c r="G1977" s="990"/>
      <c r="H1977" s="990"/>
      <c r="I1977" s="990"/>
      <c r="J1977" s="990"/>
      <c r="K1977" s="990"/>
      <c r="L1977" s="990"/>
      <c r="M1977" s="990"/>
      <c r="N1977" s="990"/>
      <c r="O1977" s="990"/>
      <c r="P1977" s="990"/>
      <c r="Q1977" s="990"/>
      <c r="R1977" s="990"/>
      <c r="S1977" s="990"/>
      <c r="T1977" s="990"/>
      <c r="U1977" s="990"/>
      <c r="V1977" s="990"/>
      <c r="W1977" s="990"/>
      <c r="X1977" s="990"/>
    </row>
    <row r="1978" spans="1:24" s="896" customFormat="1" ht="25.5">
      <c r="A1978" s="987">
        <f t="shared" si="31"/>
        <v>1904</v>
      </c>
      <c r="B1978" s="988">
        <v>14250</v>
      </c>
      <c r="C1978" s="899" t="s">
        <v>11304</v>
      </c>
      <c r="D1978" s="988" t="s">
        <v>6996</v>
      </c>
      <c r="E1978" s="989">
        <v>0.86</v>
      </c>
      <c r="F1978" s="990"/>
      <c r="G1978" s="990"/>
      <c r="H1978" s="990"/>
      <c r="I1978" s="990"/>
      <c r="J1978" s="990"/>
      <c r="K1978" s="990"/>
      <c r="L1978" s="990"/>
      <c r="M1978" s="990"/>
      <c r="N1978" s="990"/>
      <c r="O1978" s="990"/>
      <c r="P1978" s="990"/>
      <c r="Q1978" s="990"/>
      <c r="R1978" s="990"/>
      <c r="S1978" s="990"/>
      <c r="T1978" s="990"/>
      <c r="U1978" s="990"/>
      <c r="V1978" s="990"/>
      <c r="W1978" s="990"/>
      <c r="X1978" s="990"/>
    </row>
    <row r="1979" spans="1:24" s="896" customFormat="1">
      <c r="A1979" s="987">
        <f t="shared" si="31"/>
        <v>1905</v>
      </c>
      <c r="B1979" s="988">
        <v>11683</v>
      </c>
      <c r="C1979" s="899" t="s">
        <v>11305</v>
      </c>
      <c r="D1979" s="988" t="s">
        <v>2666</v>
      </c>
      <c r="E1979" s="989">
        <v>83.61</v>
      </c>
      <c r="F1979" s="990"/>
      <c r="G1979" s="990"/>
      <c r="H1979" s="990"/>
      <c r="I1979" s="990"/>
      <c r="J1979" s="990"/>
      <c r="K1979" s="990"/>
      <c r="L1979" s="990"/>
      <c r="M1979" s="990"/>
      <c r="N1979" s="990"/>
      <c r="O1979" s="990"/>
      <c r="P1979" s="990"/>
      <c r="Q1979" s="990"/>
      <c r="R1979" s="990"/>
      <c r="S1979" s="990"/>
      <c r="T1979" s="990"/>
      <c r="U1979" s="990"/>
      <c r="V1979" s="990"/>
      <c r="W1979" s="990"/>
      <c r="X1979" s="990"/>
    </row>
    <row r="1980" spans="1:24" s="896" customFormat="1">
      <c r="A1980" s="987">
        <f t="shared" si="31"/>
        <v>1906</v>
      </c>
      <c r="B1980" s="988">
        <v>11684</v>
      </c>
      <c r="C1980" s="899" t="s">
        <v>11306</v>
      </c>
      <c r="D1980" s="988" t="s">
        <v>2666</v>
      </c>
      <c r="E1980" s="989">
        <v>91.52</v>
      </c>
      <c r="F1980" s="990"/>
      <c r="G1980" s="990"/>
      <c r="H1980" s="990"/>
      <c r="I1980" s="990"/>
      <c r="J1980" s="990"/>
      <c r="K1980" s="990"/>
      <c r="L1980" s="990"/>
      <c r="M1980" s="990"/>
      <c r="N1980" s="990"/>
      <c r="O1980" s="990"/>
      <c r="P1980" s="990"/>
      <c r="Q1980" s="990"/>
      <c r="R1980" s="990"/>
      <c r="S1980" s="990"/>
      <c r="T1980" s="990"/>
      <c r="U1980" s="990"/>
      <c r="V1980" s="990"/>
      <c r="W1980" s="990"/>
      <c r="X1980" s="990"/>
    </row>
    <row r="1981" spans="1:24" s="896" customFormat="1">
      <c r="A1981" s="987">
        <f t="shared" si="31"/>
        <v>1907</v>
      </c>
      <c r="B1981" s="988">
        <v>6141</v>
      </c>
      <c r="C1981" s="899" t="s">
        <v>11307</v>
      </c>
      <c r="D1981" s="988" t="s">
        <v>2666</v>
      </c>
      <c r="E1981" s="989">
        <v>3.83</v>
      </c>
      <c r="F1981" s="990"/>
      <c r="G1981" s="990"/>
      <c r="H1981" s="990"/>
      <c r="I1981" s="990"/>
      <c r="J1981" s="990"/>
      <c r="K1981" s="990"/>
      <c r="L1981" s="990"/>
      <c r="M1981" s="990"/>
      <c r="N1981" s="990"/>
      <c r="O1981" s="990"/>
      <c r="P1981" s="990"/>
      <c r="Q1981" s="990"/>
      <c r="R1981" s="990"/>
      <c r="S1981" s="990"/>
      <c r="T1981" s="990"/>
      <c r="U1981" s="990"/>
      <c r="V1981" s="990"/>
      <c r="W1981" s="990"/>
      <c r="X1981" s="990"/>
    </row>
    <row r="1982" spans="1:24" s="896" customFormat="1">
      <c r="A1982" s="987">
        <f t="shared" si="31"/>
        <v>1908</v>
      </c>
      <c r="B1982" s="988">
        <v>11681</v>
      </c>
      <c r="C1982" s="899" t="s">
        <v>11308</v>
      </c>
      <c r="D1982" s="988" t="s">
        <v>2666</v>
      </c>
      <c r="E1982" s="989">
        <v>5.53</v>
      </c>
      <c r="F1982" s="990"/>
      <c r="G1982" s="990"/>
      <c r="H1982" s="990"/>
      <c r="I1982" s="990"/>
      <c r="J1982" s="990"/>
      <c r="K1982" s="990"/>
      <c r="L1982" s="990"/>
      <c r="M1982" s="990"/>
      <c r="N1982" s="990"/>
      <c r="O1982" s="990"/>
      <c r="P1982" s="990"/>
      <c r="Q1982" s="990"/>
      <c r="R1982" s="990"/>
      <c r="S1982" s="990"/>
      <c r="T1982" s="990"/>
      <c r="U1982" s="990"/>
      <c r="V1982" s="990"/>
      <c r="W1982" s="990"/>
      <c r="X1982" s="990"/>
    </row>
    <row r="1983" spans="1:24" s="896" customFormat="1">
      <c r="A1983" s="987">
        <f t="shared" si="31"/>
        <v>1909</v>
      </c>
      <c r="B1983" s="988">
        <v>2706</v>
      </c>
      <c r="C1983" s="899" t="s">
        <v>11309</v>
      </c>
      <c r="D1983" s="988" t="s">
        <v>2665</v>
      </c>
      <c r="E1983" s="989">
        <v>100.71</v>
      </c>
      <c r="F1983" s="990"/>
      <c r="G1983" s="990"/>
      <c r="H1983" s="990"/>
      <c r="I1983" s="990"/>
      <c r="J1983" s="990"/>
      <c r="K1983" s="990"/>
      <c r="L1983" s="990"/>
      <c r="M1983" s="990"/>
      <c r="N1983" s="990"/>
      <c r="O1983" s="990"/>
      <c r="P1983" s="990"/>
      <c r="Q1983" s="990"/>
      <c r="R1983" s="990"/>
      <c r="S1983" s="990"/>
      <c r="T1983" s="990"/>
      <c r="U1983" s="990"/>
      <c r="V1983" s="990"/>
      <c r="W1983" s="990"/>
      <c r="X1983" s="990"/>
    </row>
    <row r="1984" spans="1:24" s="896" customFormat="1">
      <c r="A1984" s="987">
        <f t="shared" si="31"/>
        <v>1910</v>
      </c>
      <c r="B1984" s="988">
        <v>40811</v>
      </c>
      <c r="C1984" s="899" t="s">
        <v>11310</v>
      </c>
      <c r="D1984" s="988" t="s">
        <v>2672</v>
      </c>
      <c r="E1984" s="989">
        <v>17699.169999999998</v>
      </c>
      <c r="F1984" s="990"/>
      <c r="G1984" s="990"/>
      <c r="H1984" s="990"/>
      <c r="I1984" s="990"/>
      <c r="J1984" s="990"/>
      <c r="K1984" s="990"/>
      <c r="L1984" s="990"/>
      <c r="M1984" s="990"/>
      <c r="N1984" s="990"/>
      <c r="O1984" s="990"/>
      <c r="P1984" s="990"/>
      <c r="Q1984" s="990"/>
      <c r="R1984" s="990"/>
      <c r="S1984" s="990"/>
      <c r="T1984" s="990"/>
      <c r="U1984" s="990"/>
      <c r="V1984" s="990"/>
      <c r="W1984" s="990"/>
      <c r="X1984" s="990"/>
    </row>
    <row r="1985" spans="1:24" s="896" customFormat="1">
      <c r="A1985" s="987">
        <f t="shared" si="31"/>
        <v>1911</v>
      </c>
      <c r="B1985" s="988">
        <v>2707</v>
      </c>
      <c r="C1985" s="899" t="s">
        <v>11311</v>
      </c>
      <c r="D1985" s="988" t="s">
        <v>2665</v>
      </c>
      <c r="E1985" s="989">
        <v>114.63</v>
      </c>
      <c r="F1985" s="990"/>
      <c r="G1985" s="990"/>
      <c r="H1985" s="990"/>
      <c r="I1985" s="990"/>
      <c r="J1985" s="990"/>
      <c r="K1985" s="990"/>
      <c r="L1985" s="990"/>
      <c r="M1985" s="990"/>
      <c r="N1985" s="990"/>
      <c r="O1985" s="990"/>
      <c r="P1985" s="990"/>
      <c r="Q1985" s="990"/>
      <c r="R1985" s="990"/>
      <c r="S1985" s="990"/>
      <c r="T1985" s="990"/>
      <c r="U1985" s="990"/>
      <c r="V1985" s="990"/>
      <c r="W1985" s="990"/>
      <c r="X1985" s="990"/>
    </row>
    <row r="1986" spans="1:24" s="896" customFormat="1">
      <c r="A1986" s="987">
        <f t="shared" si="31"/>
        <v>1912</v>
      </c>
      <c r="B1986" s="988">
        <v>40813</v>
      </c>
      <c r="C1986" s="899" t="s">
        <v>11312</v>
      </c>
      <c r="D1986" s="988" t="s">
        <v>2672</v>
      </c>
      <c r="E1986" s="989">
        <v>20145.310000000001</v>
      </c>
      <c r="F1986" s="990"/>
      <c r="G1986" s="990"/>
      <c r="H1986" s="990"/>
      <c r="I1986" s="990"/>
      <c r="J1986" s="990"/>
      <c r="K1986" s="990"/>
      <c r="L1986" s="990"/>
      <c r="M1986" s="990"/>
      <c r="N1986" s="990"/>
      <c r="O1986" s="990"/>
      <c r="P1986" s="990"/>
      <c r="Q1986" s="990"/>
      <c r="R1986" s="990"/>
      <c r="S1986" s="990"/>
      <c r="T1986" s="990"/>
      <c r="U1986" s="990"/>
      <c r="V1986" s="990"/>
      <c r="W1986" s="990"/>
      <c r="X1986" s="990"/>
    </row>
    <row r="1987" spans="1:24" s="896" customFormat="1">
      <c r="A1987" s="987">
        <f t="shared" si="31"/>
        <v>1913</v>
      </c>
      <c r="B1987" s="988">
        <v>2708</v>
      </c>
      <c r="C1987" s="899" t="s">
        <v>11313</v>
      </c>
      <c r="D1987" s="988" t="s">
        <v>2665</v>
      </c>
      <c r="E1987" s="989">
        <v>156.68</v>
      </c>
      <c r="F1987" s="990"/>
      <c r="G1987" s="990"/>
      <c r="H1987" s="990"/>
      <c r="I1987" s="990"/>
      <c r="J1987" s="990"/>
      <c r="K1987" s="990"/>
      <c r="L1987" s="990"/>
      <c r="M1987" s="990"/>
      <c r="N1987" s="990"/>
      <c r="O1987" s="990"/>
      <c r="P1987" s="990"/>
      <c r="Q1987" s="990"/>
      <c r="R1987" s="990"/>
      <c r="S1987" s="990"/>
      <c r="T1987" s="990"/>
      <c r="U1987" s="990"/>
      <c r="V1987" s="990"/>
      <c r="W1987" s="990"/>
      <c r="X1987" s="990"/>
    </row>
    <row r="1988" spans="1:24" s="896" customFormat="1">
      <c r="A1988" s="987">
        <f t="shared" si="31"/>
        <v>1914</v>
      </c>
      <c r="B1988" s="988">
        <v>40814</v>
      </c>
      <c r="C1988" s="899" t="s">
        <v>11314</v>
      </c>
      <c r="D1988" s="988" t="s">
        <v>2672</v>
      </c>
      <c r="E1988" s="989">
        <v>27538.07</v>
      </c>
      <c r="F1988" s="990"/>
      <c r="G1988" s="990"/>
      <c r="H1988" s="990"/>
      <c r="I1988" s="990"/>
      <c r="J1988" s="990"/>
      <c r="K1988" s="990"/>
      <c r="L1988" s="990"/>
      <c r="M1988" s="990"/>
      <c r="N1988" s="990"/>
      <c r="O1988" s="990"/>
      <c r="P1988" s="990"/>
      <c r="Q1988" s="990"/>
      <c r="R1988" s="990"/>
      <c r="S1988" s="990"/>
      <c r="T1988" s="990"/>
      <c r="U1988" s="990"/>
      <c r="V1988" s="990"/>
      <c r="W1988" s="990"/>
      <c r="X1988" s="990"/>
    </row>
    <row r="1989" spans="1:24" s="896" customFormat="1">
      <c r="A1989" s="987">
        <f t="shared" si="31"/>
        <v>1915</v>
      </c>
      <c r="B1989" s="988">
        <v>34779</v>
      </c>
      <c r="C1989" s="899" t="s">
        <v>11315</v>
      </c>
      <c r="D1989" s="988" t="s">
        <v>2665</v>
      </c>
      <c r="E1989" s="989">
        <v>102.17</v>
      </c>
      <c r="F1989" s="990"/>
      <c r="G1989" s="990"/>
      <c r="H1989" s="990"/>
      <c r="I1989" s="990"/>
      <c r="J1989" s="990"/>
      <c r="K1989" s="990"/>
      <c r="L1989" s="990"/>
      <c r="M1989" s="990"/>
      <c r="N1989" s="990"/>
      <c r="O1989" s="990"/>
      <c r="P1989" s="990"/>
      <c r="Q1989" s="990"/>
      <c r="R1989" s="990"/>
      <c r="S1989" s="990"/>
      <c r="T1989" s="990"/>
      <c r="U1989" s="990"/>
      <c r="V1989" s="990"/>
      <c r="W1989" s="990"/>
      <c r="X1989" s="990"/>
    </row>
    <row r="1990" spans="1:24" s="896" customFormat="1">
      <c r="A1990" s="987">
        <f t="shared" si="31"/>
        <v>1916</v>
      </c>
      <c r="B1990" s="988">
        <v>40936</v>
      </c>
      <c r="C1990" s="899" t="s">
        <v>11316</v>
      </c>
      <c r="D1990" s="988" t="s">
        <v>2672</v>
      </c>
      <c r="E1990" s="989">
        <v>17957.36</v>
      </c>
      <c r="F1990" s="990"/>
      <c r="G1990" s="990"/>
      <c r="H1990" s="990"/>
      <c r="I1990" s="990"/>
      <c r="J1990" s="990"/>
      <c r="K1990" s="990"/>
      <c r="L1990" s="990"/>
      <c r="M1990" s="990"/>
      <c r="N1990" s="990"/>
      <c r="O1990" s="990"/>
      <c r="P1990" s="990"/>
      <c r="Q1990" s="990"/>
      <c r="R1990" s="990"/>
      <c r="S1990" s="990"/>
      <c r="T1990" s="990"/>
      <c r="U1990" s="990"/>
      <c r="V1990" s="990"/>
      <c r="W1990" s="990"/>
      <c r="X1990" s="990"/>
    </row>
    <row r="1991" spans="1:24" s="896" customFormat="1">
      <c r="A1991" s="987">
        <f t="shared" si="31"/>
        <v>1917</v>
      </c>
      <c r="B1991" s="988">
        <v>34780</v>
      </c>
      <c r="C1991" s="899" t="s">
        <v>11317</v>
      </c>
      <c r="D1991" s="988" t="s">
        <v>2665</v>
      </c>
      <c r="E1991" s="989">
        <v>115.27</v>
      </c>
      <c r="F1991" s="990"/>
      <c r="G1991" s="990"/>
      <c r="H1991" s="990"/>
      <c r="I1991" s="990"/>
      <c r="J1991" s="990"/>
      <c r="K1991" s="990"/>
      <c r="L1991" s="990"/>
      <c r="M1991" s="990"/>
      <c r="N1991" s="990"/>
      <c r="O1991" s="990"/>
      <c r="P1991" s="990"/>
      <c r="Q1991" s="990"/>
      <c r="R1991" s="990"/>
      <c r="S1991" s="990"/>
      <c r="T1991" s="990"/>
      <c r="U1991" s="990"/>
      <c r="V1991" s="990"/>
      <c r="W1991" s="990"/>
      <c r="X1991" s="990"/>
    </row>
    <row r="1992" spans="1:24" s="896" customFormat="1">
      <c r="A1992" s="987">
        <f t="shared" si="31"/>
        <v>1918</v>
      </c>
      <c r="B1992" s="988">
        <v>40937</v>
      </c>
      <c r="C1992" s="899" t="s">
        <v>11318</v>
      </c>
      <c r="D1992" s="988" t="s">
        <v>2672</v>
      </c>
      <c r="E1992" s="989">
        <v>20259.46</v>
      </c>
      <c r="F1992" s="990"/>
      <c r="G1992" s="990"/>
      <c r="H1992" s="990"/>
      <c r="I1992" s="990"/>
      <c r="J1992" s="990"/>
      <c r="K1992" s="990"/>
      <c r="L1992" s="990"/>
      <c r="M1992" s="990"/>
      <c r="N1992" s="990"/>
      <c r="O1992" s="990"/>
      <c r="P1992" s="990"/>
      <c r="Q1992" s="990"/>
      <c r="R1992" s="990"/>
      <c r="S1992" s="990"/>
      <c r="T1992" s="990"/>
      <c r="U1992" s="990"/>
      <c r="V1992" s="990"/>
      <c r="W1992" s="990"/>
      <c r="X1992" s="990"/>
    </row>
    <row r="1993" spans="1:24" s="896" customFormat="1">
      <c r="A1993" s="987">
        <f t="shared" si="31"/>
        <v>1919</v>
      </c>
      <c r="B1993" s="988">
        <v>34782</v>
      </c>
      <c r="C1993" s="899" t="s">
        <v>11319</v>
      </c>
      <c r="D1993" s="988" t="s">
        <v>2665</v>
      </c>
      <c r="E1993" s="989">
        <v>157.97</v>
      </c>
      <c r="F1993" s="990"/>
      <c r="G1993" s="990"/>
      <c r="H1993" s="990"/>
      <c r="I1993" s="990"/>
      <c r="J1993" s="990"/>
      <c r="K1993" s="990"/>
      <c r="L1993" s="990"/>
      <c r="M1993" s="990"/>
      <c r="N1993" s="990"/>
      <c r="O1993" s="990"/>
      <c r="P1993" s="990"/>
      <c r="Q1993" s="990"/>
      <c r="R1993" s="990"/>
      <c r="S1993" s="990"/>
      <c r="T1993" s="990"/>
      <c r="U1993" s="990"/>
      <c r="V1993" s="990"/>
      <c r="W1993" s="990"/>
      <c r="X1993" s="990"/>
    </row>
    <row r="1994" spans="1:24" s="896" customFormat="1">
      <c r="A1994" s="987">
        <f t="shared" si="31"/>
        <v>1920</v>
      </c>
      <c r="B1994" s="988">
        <v>40938</v>
      </c>
      <c r="C1994" s="899" t="s">
        <v>11320</v>
      </c>
      <c r="D1994" s="988" t="s">
        <v>2672</v>
      </c>
      <c r="E1994" s="989">
        <v>27763.67</v>
      </c>
      <c r="F1994" s="990"/>
      <c r="G1994" s="990"/>
      <c r="H1994" s="990"/>
      <c r="I1994" s="990"/>
      <c r="J1994" s="990"/>
      <c r="K1994" s="990"/>
      <c r="L1994" s="990"/>
      <c r="M1994" s="990"/>
      <c r="N1994" s="990"/>
      <c r="O1994" s="990"/>
      <c r="P1994" s="990"/>
      <c r="Q1994" s="990"/>
      <c r="R1994" s="990"/>
      <c r="S1994" s="990"/>
      <c r="T1994" s="990"/>
      <c r="U1994" s="990"/>
      <c r="V1994" s="990"/>
      <c r="W1994" s="990"/>
      <c r="X1994" s="990"/>
    </row>
    <row r="1995" spans="1:24" s="896" customFormat="1">
      <c r="A1995" s="987">
        <f t="shared" si="31"/>
        <v>1921</v>
      </c>
      <c r="B1995" s="988">
        <v>34783</v>
      </c>
      <c r="C1995" s="899" t="s">
        <v>11321</v>
      </c>
      <c r="D1995" s="988" t="s">
        <v>2665</v>
      </c>
      <c r="E1995" s="989">
        <v>99.27</v>
      </c>
      <c r="F1995" s="990"/>
      <c r="G1995" s="990"/>
      <c r="H1995" s="990"/>
      <c r="I1995" s="990"/>
      <c r="J1995" s="990"/>
      <c r="K1995" s="990"/>
      <c r="L1995" s="990"/>
      <c r="M1995" s="990"/>
      <c r="N1995" s="990"/>
      <c r="O1995" s="990"/>
      <c r="P1995" s="990"/>
      <c r="Q1995" s="990"/>
      <c r="R1995" s="990"/>
      <c r="S1995" s="990"/>
      <c r="T1995" s="990"/>
      <c r="U1995" s="990"/>
      <c r="V1995" s="990"/>
      <c r="W1995" s="990"/>
      <c r="X1995" s="990"/>
    </row>
    <row r="1996" spans="1:24" s="896" customFormat="1">
      <c r="A1996" s="987">
        <f t="shared" ref="A1996:A2059" si="32">A1995+1</f>
        <v>1922</v>
      </c>
      <c r="B1996" s="988">
        <v>40939</v>
      </c>
      <c r="C1996" s="899" t="s">
        <v>11322</v>
      </c>
      <c r="D1996" s="988" t="s">
        <v>2672</v>
      </c>
      <c r="E1996" s="989">
        <v>17448.439999999999</v>
      </c>
      <c r="F1996" s="990"/>
      <c r="G1996" s="990"/>
      <c r="H1996" s="990"/>
      <c r="I1996" s="990"/>
      <c r="J1996" s="990"/>
      <c r="K1996" s="990"/>
      <c r="L1996" s="990"/>
      <c r="M1996" s="990"/>
      <c r="N1996" s="990"/>
      <c r="O1996" s="990"/>
      <c r="P1996" s="990"/>
      <c r="Q1996" s="990"/>
      <c r="R1996" s="990"/>
      <c r="S1996" s="990"/>
      <c r="T1996" s="990"/>
      <c r="U1996" s="990"/>
      <c r="V1996" s="990"/>
      <c r="W1996" s="990"/>
      <c r="X1996" s="990"/>
    </row>
    <row r="1997" spans="1:24" s="896" customFormat="1">
      <c r="A1997" s="987">
        <f t="shared" si="32"/>
        <v>1923</v>
      </c>
      <c r="B1997" s="988">
        <v>34785</v>
      </c>
      <c r="C1997" s="899" t="s">
        <v>11323</v>
      </c>
      <c r="D1997" s="988" t="s">
        <v>2665</v>
      </c>
      <c r="E1997" s="989">
        <v>68.81</v>
      </c>
      <c r="F1997" s="990"/>
      <c r="G1997" s="990"/>
      <c r="H1997" s="990"/>
      <c r="I1997" s="990"/>
      <c r="J1997" s="990"/>
      <c r="K1997" s="990"/>
      <c r="L1997" s="990"/>
      <c r="M1997" s="990"/>
      <c r="N1997" s="990"/>
      <c r="O1997" s="990"/>
      <c r="P1997" s="990"/>
      <c r="Q1997" s="990"/>
      <c r="R1997" s="990"/>
      <c r="S1997" s="990"/>
      <c r="T1997" s="990"/>
      <c r="U1997" s="990"/>
      <c r="V1997" s="990"/>
      <c r="W1997" s="990"/>
      <c r="X1997" s="990"/>
    </row>
    <row r="1998" spans="1:24" s="896" customFormat="1">
      <c r="A1998" s="987">
        <f t="shared" si="32"/>
        <v>1924</v>
      </c>
      <c r="B1998" s="988">
        <v>40940</v>
      </c>
      <c r="C1998" s="899" t="s">
        <v>11324</v>
      </c>
      <c r="D1998" s="988" t="s">
        <v>2672</v>
      </c>
      <c r="E1998" s="989">
        <v>12096.76</v>
      </c>
      <c r="F1998" s="990"/>
      <c r="G1998" s="990"/>
      <c r="H1998" s="990"/>
      <c r="I1998" s="990"/>
      <c r="J1998" s="990"/>
      <c r="K1998" s="990"/>
      <c r="L1998" s="990"/>
      <c r="M1998" s="990"/>
      <c r="N1998" s="990"/>
      <c r="O1998" s="990"/>
      <c r="P1998" s="990"/>
      <c r="Q1998" s="990"/>
      <c r="R1998" s="990"/>
      <c r="S1998" s="990"/>
      <c r="T1998" s="990"/>
      <c r="U1998" s="990"/>
      <c r="V1998" s="990"/>
      <c r="W1998" s="990"/>
      <c r="X1998" s="990"/>
    </row>
    <row r="1999" spans="1:24" s="896" customFormat="1">
      <c r="A1999" s="987">
        <f t="shared" si="32"/>
        <v>1925</v>
      </c>
      <c r="B1999" s="988">
        <v>38403</v>
      </c>
      <c r="C1999" s="899" t="s">
        <v>11325</v>
      </c>
      <c r="D1999" s="988" t="s">
        <v>2666</v>
      </c>
      <c r="E1999" s="989">
        <v>42.09</v>
      </c>
      <c r="F1999" s="990"/>
      <c r="G1999" s="990"/>
      <c r="H1999" s="990"/>
      <c r="I1999" s="990"/>
      <c r="J1999" s="990"/>
      <c r="K1999" s="990"/>
      <c r="L1999" s="990"/>
      <c r="M1999" s="990"/>
      <c r="N1999" s="990"/>
      <c r="O1999" s="990"/>
      <c r="P1999" s="990"/>
      <c r="Q1999" s="990"/>
      <c r="R1999" s="990"/>
      <c r="S1999" s="990"/>
      <c r="T1999" s="990"/>
      <c r="U1999" s="990"/>
      <c r="V1999" s="990"/>
      <c r="W1999" s="990"/>
      <c r="X1999" s="990"/>
    </row>
    <row r="2000" spans="1:24" s="896" customFormat="1">
      <c r="A2000" s="987">
        <f t="shared" si="32"/>
        <v>1926</v>
      </c>
      <c r="B2000" s="988">
        <v>43482</v>
      </c>
      <c r="C2000" s="899" t="s">
        <v>11326</v>
      </c>
      <c r="D2000" s="988" t="s">
        <v>2665</v>
      </c>
      <c r="E2000" s="989">
        <v>0.69</v>
      </c>
      <c r="F2000" s="990"/>
      <c r="G2000" s="990"/>
      <c r="H2000" s="990"/>
      <c r="I2000" s="990"/>
      <c r="J2000" s="990"/>
      <c r="K2000" s="990"/>
      <c r="L2000" s="990"/>
      <c r="M2000" s="990"/>
      <c r="N2000" s="990"/>
      <c r="O2000" s="990"/>
      <c r="P2000" s="990"/>
      <c r="Q2000" s="990"/>
      <c r="R2000" s="990"/>
      <c r="S2000" s="990"/>
      <c r="T2000" s="990"/>
      <c r="U2000" s="990"/>
      <c r="V2000" s="990"/>
      <c r="W2000" s="990"/>
      <c r="X2000" s="990"/>
    </row>
    <row r="2001" spans="1:24" s="896" customFormat="1" ht="25.5">
      <c r="A2001" s="987">
        <f t="shared" si="32"/>
        <v>1927</v>
      </c>
      <c r="B2001" s="988">
        <v>43494</v>
      </c>
      <c r="C2001" s="899" t="s">
        <v>11327</v>
      </c>
      <c r="D2001" s="988" t="s">
        <v>2672</v>
      </c>
      <c r="E2001" s="989">
        <v>130.43</v>
      </c>
      <c r="F2001" s="990"/>
      <c r="G2001" s="990"/>
      <c r="H2001" s="990"/>
      <c r="I2001" s="990"/>
      <c r="J2001" s="990"/>
      <c r="K2001" s="990"/>
      <c r="L2001" s="990"/>
      <c r="M2001" s="990"/>
      <c r="N2001" s="990"/>
      <c r="O2001" s="990"/>
      <c r="P2001" s="990"/>
      <c r="Q2001" s="990"/>
      <c r="R2001" s="990"/>
      <c r="S2001" s="990"/>
      <c r="T2001" s="990"/>
      <c r="U2001" s="990"/>
      <c r="V2001" s="990"/>
      <c r="W2001" s="990"/>
      <c r="X2001" s="990"/>
    </row>
    <row r="2002" spans="1:24" s="896" customFormat="1" ht="25.5">
      <c r="A2002" s="987">
        <f t="shared" si="32"/>
        <v>1928</v>
      </c>
      <c r="B2002" s="988">
        <v>43483</v>
      </c>
      <c r="C2002" s="899" t="s">
        <v>11328</v>
      </c>
      <c r="D2002" s="988" t="s">
        <v>2665</v>
      </c>
      <c r="E2002" s="989">
        <v>1.26</v>
      </c>
      <c r="F2002" s="990"/>
      <c r="G2002" s="990"/>
      <c r="H2002" s="990"/>
      <c r="I2002" s="990"/>
      <c r="J2002" s="990"/>
      <c r="K2002" s="990"/>
      <c r="L2002" s="990"/>
      <c r="M2002" s="990"/>
      <c r="N2002" s="990"/>
      <c r="O2002" s="990"/>
      <c r="P2002" s="990"/>
      <c r="Q2002" s="990"/>
      <c r="R2002" s="990"/>
      <c r="S2002" s="990"/>
      <c r="T2002" s="990"/>
      <c r="U2002" s="990"/>
      <c r="V2002" s="990"/>
      <c r="W2002" s="990"/>
      <c r="X2002" s="990"/>
    </row>
    <row r="2003" spans="1:24" s="896" customFormat="1" ht="25.5">
      <c r="A2003" s="987">
        <f t="shared" si="32"/>
        <v>1929</v>
      </c>
      <c r="B2003" s="988">
        <v>43495</v>
      </c>
      <c r="C2003" s="899" t="s">
        <v>11329</v>
      </c>
      <c r="D2003" s="988" t="s">
        <v>2672</v>
      </c>
      <c r="E2003" s="989">
        <v>238.17</v>
      </c>
      <c r="F2003" s="990"/>
      <c r="G2003" s="990"/>
      <c r="H2003" s="990"/>
      <c r="I2003" s="990"/>
      <c r="J2003" s="990"/>
      <c r="K2003" s="990"/>
      <c r="L2003" s="990"/>
      <c r="M2003" s="990"/>
      <c r="N2003" s="990"/>
      <c r="O2003" s="990"/>
      <c r="P2003" s="990"/>
      <c r="Q2003" s="990"/>
      <c r="R2003" s="990"/>
      <c r="S2003" s="990"/>
      <c r="T2003" s="990"/>
      <c r="U2003" s="990"/>
      <c r="V2003" s="990"/>
      <c r="W2003" s="990"/>
      <c r="X2003" s="990"/>
    </row>
    <row r="2004" spans="1:24" s="896" customFormat="1">
      <c r="A2004" s="987">
        <f t="shared" si="32"/>
        <v>1930</v>
      </c>
      <c r="B2004" s="988">
        <v>43484</v>
      </c>
      <c r="C2004" s="899" t="s">
        <v>11330</v>
      </c>
      <c r="D2004" s="988" t="s">
        <v>2665</v>
      </c>
      <c r="E2004" s="989">
        <v>1.07</v>
      </c>
      <c r="F2004" s="990"/>
      <c r="G2004" s="990"/>
      <c r="H2004" s="990"/>
      <c r="I2004" s="990"/>
      <c r="J2004" s="990"/>
      <c r="K2004" s="990"/>
      <c r="L2004" s="990"/>
      <c r="M2004" s="990"/>
      <c r="N2004" s="990"/>
      <c r="O2004" s="990"/>
      <c r="P2004" s="990"/>
      <c r="Q2004" s="990"/>
      <c r="R2004" s="990"/>
      <c r="S2004" s="990"/>
      <c r="T2004" s="990"/>
      <c r="U2004" s="990"/>
      <c r="V2004" s="990"/>
      <c r="W2004" s="990"/>
      <c r="X2004" s="990"/>
    </row>
    <row r="2005" spans="1:24" s="896" customFormat="1">
      <c r="A2005" s="987">
        <f t="shared" si="32"/>
        <v>1931</v>
      </c>
      <c r="B2005" s="988">
        <v>43496</v>
      </c>
      <c r="C2005" s="899" t="s">
        <v>11331</v>
      </c>
      <c r="D2005" s="988" t="s">
        <v>2672</v>
      </c>
      <c r="E2005" s="989">
        <v>201.65</v>
      </c>
      <c r="F2005" s="990"/>
      <c r="G2005" s="990"/>
      <c r="H2005" s="990"/>
      <c r="I2005" s="990"/>
      <c r="J2005" s="990"/>
      <c r="K2005" s="990"/>
      <c r="L2005" s="990"/>
      <c r="M2005" s="990"/>
      <c r="N2005" s="990"/>
      <c r="O2005" s="990"/>
      <c r="P2005" s="990"/>
      <c r="Q2005" s="990"/>
      <c r="R2005" s="990"/>
      <c r="S2005" s="990"/>
      <c r="T2005" s="990"/>
      <c r="U2005" s="990"/>
      <c r="V2005" s="990"/>
      <c r="W2005" s="990"/>
      <c r="X2005" s="990"/>
    </row>
    <row r="2006" spans="1:24" s="896" customFormat="1">
      <c r="A2006" s="987">
        <f t="shared" si="32"/>
        <v>1932</v>
      </c>
      <c r="B2006" s="988">
        <v>43485</v>
      </c>
      <c r="C2006" s="899" t="s">
        <v>11332</v>
      </c>
      <c r="D2006" s="988" t="s">
        <v>2665</v>
      </c>
      <c r="E2006" s="989">
        <v>0.94</v>
      </c>
      <c r="F2006" s="990"/>
      <c r="G2006" s="990"/>
      <c r="H2006" s="990"/>
      <c r="I2006" s="990"/>
      <c r="J2006" s="990"/>
      <c r="K2006" s="990"/>
      <c r="L2006" s="990"/>
      <c r="M2006" s="990"/>
      <c r="N2006" s="990"/>
      <c r="O2006" s="990"/>
      <c r="P2006" s="990"/>
      <c r="Q2006" s="990"/>
      <c r="R2006" s="990"/>
      <c r="S2006" s="990"/>
      <c r="T2006" s="990"/>
      <c r="U2006" s="990"/>
      <c r="V2006" s="990"/>
      <c r="W2006" s="990"/>
      <c r="X2006" s="990"/>
    </row>
    <row r="2007" spans="1:24" s="896" customFormat="1" ht="25.5">
      <c r="A2007" s="987">
        <f t="shared" si="32"/>
        <v>1933</v>
      </c>
      <c r="B2007" s="988">
        <v>43497</v>
      </c>
      <c r="C2007" s="899" t="s">
        <v>11333</v>
      </c>
      <c r="D2007" s="988" t="s">
        <v>2672</v>
      </c>
      <c r="E2007" s="989">
        <v>177.43</v>
      </c>
      <c r="F2007" s="990"/>
      <c r="G2007" s="990"/>
      <c r="H2007" s="990"/>
      <c r="I2007" s="990"/>
      <c r="J2007" s="990"/>
      <c r="K2007" s="990"/>
      <c r="L2007" s="990"/>
      <c r="M2007" s="990"/>
      <c r="N2007" s="990"/>
      <c r="O2007" s="990"/>
      <c r="P2007" s="990"/>
      <c r="Q2007" s="990"/>
      <c r="R2007" s="990"/>
      <c r="S2007" s="990"/>
      <c r="T2007" s="990"/>
      <c r="U2007" s="990"/>
      <c r="V2007" s="990"/>
      <c r="W2007" s="990"/>
      <c r="X2007" s="990"/>
    </row>
    <row r="2008" spans="1:24" s="896" customFormat="1" ht="25.5">
      <c r="A2008" s="987">
        <f t="shared" si="32"/>
        <v>1934</v>
      </c>
      <c r="B2008" s="988">
        <v>43487</v>
      </c>
      <c r="C2008" s="899" t="s">
        <v>11334</v>
      </c>
      <c r="D2008" s="988" t="s">
        <v>2665</v>
      </c>
      <c r="E2008" s="989">
        <v>1.08</v>
      </c>
      <c r="F2008" s="990"/>
      <c r="G2008" s="990"/>
      <c r="H2008" s="990"/>
      <c r="I2008" s="990"/>
      <c r="J2008" s="990"/>
      <c r="K2008" s="990"/>
      <c r="L2008" s="990"/>
      <c r="M2008" s="990"/>
      <c r="N2008" s="990"/>
      <c r="O2008" s="990"/>
      <c r="P2008" s="990"/>
      <c r="Q2008" s="990"/>
      <c r="R2008" s="990"/>
      <c r="S2008" s="990"/>
      <c r="T2008" s="990"/>
      <c r="U2008" s="990"/>
      <c r="V2008" s="990"/>
      <c r="W2008" s="990"/>
      <c r="X2008" s="990"/>
    </row>
    <row r="2009" spans="1:24" s="896" customFormat="1" ht="25.5">
      <c r="A2009" s="987">
        <f t="shared" si="32"/>
        <v>1935</v>
      </c>
      <c r="B2009" s="988">
        <v>43499</v>
      </c>
      <c r="C2009" s="899" t="s">
        <v>11335</v>
      </c>
      <c r="D2009" s="988" t="s">
        <v>2672</v>
      </c>
      <c r="E2009" s="989">
        <v>202.94</v>
      </c>
      <c r="F2009" s="990"/>
      <c r="G2009" s="990"/>
      <c r="H2009" s="990"/>
      <c r="I2009" s="990"/>
      <c r="J2009" s="990"/>
      <c r="K2009" s="990"/>
      <c r="L2009" s="990"/>
      <c r="M2009" s="990"/>
      <c r="N2009" s="990"/>
      <c r="O2009" s="990"/>
      <c r="P2009" s="990"/>
      <c r="Q2009" s="990"/>
      <c r="R2009" s="990"/>
      <c r="S2009" s="990"/>
      <c r="T2009" s="990"/>
      <c r="U2009" s="990"/>
      <c r="V2009" s="990"/>
      <c r="W2009" s="990"/>
      <c r="X2009" s="990"/>
    </row>
    <row r="2010" spans="1:24" s="896" customFormat="1" ht="25.5">
      <c r="A2010" s="987">
        <f t="shared" si="32"/>
        <v>1936</v>
      </c>
      <c r="B2010" s="988">
        <v>43486</v>
      </c>
      <c r="C2010" s="899" t="s">
        <v>11336</v>
      </c>
      <c r="D2010" s="988" t="s">
        <v>2665</v>
      </c>
      <c r="E2010" s="989">
        <v>0.66</v>
      </c>
      <c r="F2010" s="990"/>
      <c r="G2010" s="990"/>
      <c r="H2010" s="990"/>
      <c r="I2010" s="990"/>
      <c r="J2010" s="990"/>
      <c r="K2010" s="990"/>
      <c r="L2010" s="990"/>
      <c r="M2010" s="990"/>
      <c r="N2010" s="990"/>
      <c r="O2010" s="990"/>
      <c r="P2010" s="990"/>
      <c r="Q2010" s="990"/>
      <c r="R2010" s="990"/>
      <c r="S2010" s="990"/>
      <c r="T2010" s="990"/>
      <c r="U2010" s="990"/>
      <c r="V2010" s="990"/>
      <c r="W2010" s="990"/>
      <c r="X2010" s="990"/>
    </row>
    <row r="2011" spans="1:24" s="896" customFormat="1" ht="25.5">
      <c r="A2011" s="987">
        <f t="shared" si="32"/>
        <v>1937</v>
      </c>
      <c r="B2011" s="988">
        <v>43498</v>
      </c>
      <c r="C2011" s="899" t="s">
        <v>11337</v>
      </c>
      <c r="D2011" s="988" t="s">
        <v>2672</v>
      </c>
      <c r="E2011" s="989">
        <v>123.54</v>
      </c>
      <c r="F2011" s="990"/>
      <c r="G2011" s="990"/>
      <c r="H2011" s="990"/>
      <c r="I2011" s="990"/>
      <c r="J2011" s="990"/>
      <c r="K2011" s="990"/>
      <c r="L2011" s="990"/>
      <c r="M2011" s="990"/>
      <c r="N2011" s="990"/>
      <c r="O2011" s="990"/>
      <c r="P2011" s="990"/>
      <c r="Q2011" s="990"/>
      <c r="R2011" s="990"/>
      <c r="S2011" s="990"/>
      <c r="T2011" s="990"/>
      <c r="U2011" s="990"/>
      <c r="V2011" s="990"/>
      <c r="W2011" s="990"/>
      <c r="X2011" s="990"/>
    </row>
    <row r="2012" spans="1:24" s="896" customFormat="1" ht="25.5">
      <c r="A2012" s="987">
        <f t="shared" si="32"/>
        <v>1938</v>
      </c>
      <c r="B2012" s="988">
        <v>43488</v>
      </c>
      <c r="C2012" s="899" t="s">
        <v>11338</v>
      </c>
      <c r="D2012" s="988" t="s">
        <v>2665</v>
      </c>
      <c r="E2012" s="989">
        <v>0.76</v>
      </c>
      <c r="F2012" s="990"/>
      <c r="G2012" s="990"/>
      <c r="H2012" s="990"/>
      <c r="I2012" s="990"/>
      <c r="J2012" s="990"/>
      <c r="K2012" s="990"/>
      <c r="L2012" s="990"/>
      <c r="M2012" s="990"/>
      <c r="N2012" s="990"/>
      <c r="O2012" s="990"/>
      <c r="P2012" s="990"/>
      <c r="Q2012" s="990"/>
      <c r="R2012" s="990"/>
      <c r="S2012" s="990"/>
      <c r="T2012" s="990"/>
      <c r="U2012" s="990"/>
      <c r="V2012" s="990"/>
      <c r="W2012" s="990"/>
      <c r="X2012" s="990"/>
    </row>
    <row r="2013" spans="1:24" s="896" customFormat="1" ht="25.5">
      <c r="A2013" s="987">
        <f t="shared" si="32"/>
        <v>1939</v>
      </c>
      <c r="B2013" s="988">
        <v>43500</v>
      </c>
      <c r="C2013" s="899" t="s">
        <v>11339</v>
      </c>
      <c r="D2013" s="988" t="s">
        <v>2672</v>
      </c>
      <c r="E2013" s="989">
        <v>143.59</v>
      </c>
      <c r="F2013" s="990"/>
      <c r="G2013" s="990"/>
      <c r="H2013" s="990"/>
      <c r="I2013" s="990"/>
      <c r="J2013" s="990"/>
      <c r="K2013" s="990"/>
      <c r="L2013" s="990"/>
      <c r="M2013" s="990"/>
      <c r="N2013" s="990"/>
      <c r="O2013" s="990"/>
      <c r="P2013" s="990"/>
      <c r="Q2013" s="990"/>
      <c r="R2013" s="990"/>
      <c r="S2013" s="990"/>
      <c r="T2013" s="990"/>
      <c r="U2013" s="990"/>
      <c r="V2013" s="990"/>
      <c r="W2013" s="990"/>
      <c r="X2013" s="990"/>
    </row>
    <row r="2014" spans="1:24" s="896" customFormat="1">
      <c r="A2014" s="987">
        <f t="shared" si="32"/>
        <v>1940</v>
      </c>
      <c r="B2014" s="988">
        <v>43489</v>
      </c>
      <c r="C2014" s="899" t="s">
        <v>11340</v>
      </c>
      <c r="D2014" s="988" t="s">
        <v>2665</v>
      </c>
      <c r="E2014" s="989">
        <v>1.0900000000000001</v>
      </c>
      <c r="F2014" s="990"/>
      <c r="G2014" s="990"/>
      <c r="H2014" s="990"/>
      <c r="I2014" s="990"/>
      <c r="J2014" s="990"/>
      <c r="K2014" s="990"/>
      <c r="L2014" s="990"/>
      <c r="M2014" s="990"/>
      <c r="N2014" s="990"/>
      <c r="O2014" s="990"/>
      <c r="P2014" s="990"/>
      <c r="Q2014" s="990"/>
      <c r="R2014" s="990"/>
      <c r="S2014" s="990"/>
      <c r="T2014" s="990"/>
      <c r="U2014" s="990"/>
      <c r="V2014" s="990"/>
      <c r="W2014" s="990"/>
      <c r="X2014" s="990"/>
    </row>
    <row r="2015" spans="1:24" s="896" customFormat="1">
      <c r="A2015" s="987">
        <f t="shared" si="32"/>
        <v>1941</v>
      </c>
      <c r="B2015" s="988">
        <v>43501</v>
      </c>
      <c r="C2015" s="899" t="s">
        <v>11341</v>
      </c>
      <c r="D2015" s="988" t="s">
        <v>2672</v>
      </c>
      <c r="E2015" s="989">
        <v>204.95</v>
      </c>
      <c r="F2015" s="990"/>
      <c r="G2015" s="990"/>
      <c r="H2015" s="990"/>
      <c r="I2015" s="990"/>
      <c r="J2015" s="990"/>
      <c r="K2015" s="990"/>
      <c r="L2015" s="990"/>
      <c r="M2015" s="990"/>
      <c r="N2015" s="990"/>
      <c r="O2015" s="990"/>
      <c r="P2015" s="990"/>
      <c r="Q2015" s="990"/>
      <c r="R2015" s="990"/>
      <c r="S2015" s="990"/>
      <c r="T2015" s="990"/>
      <c r="U2015" s="990"/>
      <c r="V2015" s="990"/>
      <c r="W2015" s="990"/>
      <c r="X2015" s="990"/>
    </row>
    <row r="2016" spans="1:24" s="896" customFormat="1">
      <c r="A2016" s="987">
        <f t="shared" si="32"/>
        <v>1942</v>
      </c>
      <c r="B2016" s="988">
        <v>43490</v>
      </c>
      <c r="C2016" s="899" t="s">
        <v>11342</v>
      </c>
      <c r="D2016" s="988" t="s">
        <v>2665</v>
      </c>
      <c r="E2016" s="989">
        <v>1.5</v>
      </c>
      <c r="F2016" s="990"/>
      <c r="G2016" s="990"/>
      <c r="H2016" s="990"/>
      <c r="I2016" s="990"/>
      <c r="J2016" s="990"/>
      <c r="K2016" s="990"/>
      <c r="L2016" s="990"/>
      <c r="M2016" s="990"/>
      <c r="N2016" s="990"/>
      <c r="O2016" s="990"/>
      <c r="P2016" s="990"/>
      <c r="Q2016" s="990"/>
      <c r="R2016" s="990"/>
      <c r="S2016" s="990"/>
      <c r="T2016" s="990"/>
      <c r="U2016" s="990"/>
      <c r="V2016" s="990"/>
      <c r="W2016" s="990"/>
      <c r="X2016" s="990"/>
    </row>
    <row r="2017" spans="1:24" s="896" customFormat="1">
      <c r="A2017" s="987">
        <f t="shared" si="32"/>
        <v>1943</v>
      </c>
      <c r="B2017" s="988">
        <v>43502</v>
      </c>
      <c r="C2017" s="899" t="s">
        <v>11343</v>
      </c>
      <c r="D2017" s="988" t="s">
        <v>2672</v>
      </c>
      <c r="E2017" s="989">
        <v>283.14999999999998</v>
      </c>
      <c r="F2017" s="990"/>
      <c r="G2017" s="990"/>
      <c r="H2017" s="990"/>
      <c r="I2017" s="990"/>
      <c r="J2017" s="990"/>
      <c r="K2017" s="990"/>
      <c r="L2017" s="990"/>
      <c r="M2017" s="990"/>
      <c r="N2017" s="990"/>
      <c r="O2017" s="990"/>
      <c r="P2017" s="990"/>
      <c r="Q2017" s="990"/>
      <c r="R2017" s="990"/>
      <c r="S2017" s="990"/>
      <c r="T2017" s="990"/>
      <c r="U2017" s="990"/>
      <c r="V2017" s="990"/>
      <c r="W2017" s="990"/>
      <c r="X2017" s="990"/>
    </row>
    <row r="2018" spans="1:24" s="896" customFormat="1">
      <c r="A2018" s="987">
        <f t="shared" si="32"/>
        <v>1944</v>
      </c>
      <c r="B2018" s="988">
        <v>43491</v>
      </c>
      <c r="C2018" s="899" t="s">
        <v>11344</v>
      </c>
      <c r="D2018" s="988" t="s">
        <v>2665</v>
      </c>
      <c r="E2018" s="989">
        <v>1.1499999999999999</v>
      </c>
      <c r="F2018" s="990"/>
      <c r="G2018" s="990"/>
      <c r="H2018" s="990"/>
      <c r="I2018" s="990"/>
      <c r="J2018" s="990"/>
      <c r="K2018" s="990"/>
      <c r="L2018" s="990"/>
      <c r="M2018" s="990"/>
      <c r="N2018" s="990"/>
      <c r="O2018" s="990"/>
      <c r="P2018" s="990"/>
      <c r="Q2018" s="990"/>
      <c r="R2018" s="990"/>
      <c r="S2018" s="990"/>
      <c r="T2018" s="990"/>
      <c r="U2018" s="990"/>
      <c r="V2018" s="990"/>
      <c r="W2018" s="990"/>
      <c r="X2018" s="990"/>
    </row>
    <row r="2019" spans="1:24" s="896" customFormat="1">
      <c r="A2019" s="987">
        <f t="shared" si="32"/>
        <v>1945</v>
      </c>
      <c r="B2019" s="988">
        <v>43503</v>
      </c>
      <c r="C2019" s="899" t="s">
        <v>11345</v>
      </c>
      <c r="D2019" s="988" t="s">
        <v>2672</v>
      </c>
      <c r="E2019" s="989">
        <v>216.6</v>
      </c>
      <c r="F2019" s="990"/>
      <c r="G2019" s="990"/>
      <c r="H2019" s="990"/>
      <c r="I2019" s="990"/>
      <c r="J2019" s="990"/>
      <c r="K2019" s="990"/>
      <c r="L2019" s="990"/>
      <c r="M2019" s="990"/>
      <c r="N2019" s="990"/>
      <c r="O2019" s="990"/>
      <c r="P2019" s="990"/>
      <c r="Q2019" s="990"/>
      <c r="R2019" s="990"/>
      <c r="S2019" s="990"/>
      <c r="T2019" s="990"/>
      <c r="U2019" s="990"/>
      <c r="V2019" s="990"/>
      <c r="W2019" s="990"/>
      <c r="X2019" s="990"/>
    </row>
    <row r="2020" spans="1:24" s="896" customFormat="1">
      <c r="A2020" s="987">
        <f t="shared" si="32"/>
        <v>1946</v>
      </c>
      <c r="B2020" s="988">
        <v>43492</v>
      </c>
      <c r="C2020" s="899" t="s">
        <v>11346</v>
      </c>
      <c r="D2020" s="988" t="s">
        <v>2665</v>
      </c>
      <c r="E2020" s="989">
        <v>1.58</v>
      </c>
      <c r="F2020" s="990"/>
      <c r="G2020" s="990"/>
      <c r="H2020" s="990"/>
      <c r="I2020" s="990"/>
      <c r="J2020" s="990"/>
      <c r="K2020" s="990"/>
      <c r="L2020" s="990"/>
      <c r="M2020" s="990"/>
      <c r="N2020" s="990"/>
      <c r="O2020" s="990"/>
      <c r="P2020" s="990"/>
      <c r="Q2020" s="990"/>
      <c r="R2020" s="990"/>
      <c r="S2020" s="990"/>
      <c r="T2020" s="990"/>
      <c r="U2020" s="990"/>
      <c r="V2020" s="990"/>
      <c r="W2020" s="990"/>
      <c r="X2020" s="990"/>
    </row>
    <row r="2021" spans="1:24" s="896" customFormat="1">
      <c r="A2021" s="987">
        <f t="shared" si="32"/>
        <v>1947</v>
      </c>
      <c r="B2021" s="988">
        <v>43504</v>
      </c>
      <c r="C2021" s="899" t="s">
        <v>11347</v>
      </c>
      <c r="D2021" s="988" t="s">
        <v>2672</v>
      </c>
      <c r="E2021" s="989">
        <v>297.7</v>
      </c>
      <c r="F2021" s="990"/>
      <c r="G2021" s="990"/>
      <c r="H2021" s="990"/>
      <c r="I2021" s="990"/>
      <c r="J2021" s="990"/>
      <c r="K2021" s="990"/>
      <c r="L2021" s="990"/>
      <c r="M2021" s="990"/>
      <c r="N2021" s="990"/>
      <c r="O2021" s="990"/>
      <c r="P2021" s="990"/>
      <c r="Q2021" s="990"/>
      <c r="R2021" s="990"/>
      <c r="S2021" s="990"/>
      <c r="T2021" s="990"/>
      <c r="U2021" s="990"/>
      <c r="V2021" s="990"/>
      <c r="W2021" s="990"/>
      <c r="X2021" s="990"/>
    </row>
    <row r="2022" spans="1:24" s="896" customFormat="1">
      <c r="A2022" s="987">
        <f t="shared" si="32"/>
        <v>1948</v>
      </c>
      <c r="B2022" s="988">
        <v>43493</v>
      </c>
      <c r="C2022" s="899" t="s">
        <v>11348</v>
      </c>
      <c r="D2022" s="988" t="s">
        <v>2665</v>
      </c>
      <c r="E2022" s="989">
        <v>0.62</v>
      </c>
      <c r="F2022" s="990"/>
      <c r="G2022" s="990"/>
      <c r="H2022" s="990"/>
      <c r="I2022" s="990"/>
      <c r="J2022" s="990"/>
      <c r="K2022" s="990"/>
      <c r="L2022" s="990"/>
      <c r="M2022" s="990"/>
      <c r="N2022" s="990"/>
      <c r="O2022" s="990"/>
      <c r="P2022" s="990"/>
      <c r="Q2022" s="990"/>
      <c r="R2022" s="990"/>
      <c r="S2022" s="990"/>
      <c r="T2022" s="990"/>
      <c r="U2022" s="990"/>
      <c r="V2022" s="990"/>
      <c r="W2022" s="990"/>
      <c r="X2022" s="990"/>
    </row>
    <row r="2023" spans="1:24" s="896" customFormat="1" ht="25.5">
      <c r="A2023" s="987">
        <f t="shared" si="32"/>
        <v>1949</v>
      </c>
      <c r="B2023" s="988">
        <v>43505</v>
      </c>
      <c r="C2023" s="899" t="s">
        <v>11349</v>
      </c>
      <c r="D2023" s="988" t="s">
        <v>2672</v>
      </c>
      <c r="E2023" s="989">
        <v>117.12</v>
      </c>
      <c r="F2023" s="990"/>
      <c r="G2023" s="990"/>
      <c r="H2023" s="990"/>
      <c r="I2023" s="990"/>
      <c r="J2023" s="990"/>
      <c r="K2023" s="990"/>
      <c r="L2023" s="990"/>
      <c r="M2023" s="990"/>
      <c r="N2023" s="990"/>
      <c r="O2023" s="990"/>
      <c r="P2023" s="990"/>
      <c r="Q2023" s="990"/>
      <c r="R2023" s="990"/>
      <c r="S2023" s="990"/>
      <c r="T2023" s="990"/>
      <c r="U2023" s="990"/>
      <c r="V2023" s="990"/>
      <c r="W2023" s="990"/>
      <c r="X2023" s="990"/>
    </row>
    <row r="2024" spans="1:24" s="896" customFormat="1" ht="38.25">
      <c r="A2024" s="987">
        <f t="shared" si="32"/>
        <v>1950</v>
      </c>
      <c r="B2024" s="988">
        <v>37774</v>
      </c>
      <c r="C2024" s="899" t="s">
        <v>11350</v>
      </c>
      <c r="D2024" s="988" t="s">
        <v>2666</v>
      </c>
      <c r="E2024" s="989">
        <v>469340.86</v>
      </c>
      <c r="F2024" s="990"/>
      <c r="G2024" s="990"/>
      <c r="H2024" s="990"/>
      <c r="I2024" s="990"/>
      <c r="J2024" s="990"/>
      <c r="K2024" s="990"/>
      <c r="L2024" s="990"/>
      <c r="M2024" s="990"/>
      <c r="N2024" s="990"/>
      <c r="O2024" s="990"/>
      <c r="P2024" s="990"/>
      <c r="Q2024" s="990"/>
      <c r="R2024" s="990"/>
      <c r="S2024" s="990"/>
      <c r="T2024" s="990"/>
      <c r="U2024" s="990"/>
      <c r="V2024" s="990"/>
      <c r="W2024" s="990"/>
      <c r="X2024" s="990"/>
    </row>
    <row r="2025" spans="1:24" s="896" customFormat="1" ht="38.25">
      <c r="A2025" s="987">
        <f t="shared" si="32"/>
        <v>1951</v>
      </c>
      <c r="B2025" s="988">
        <v>38630</v>
      </c>
      <c r="C2025" s="899" t="s">
        <v>11351</v>
      </c>
      <c r="D2025" s="988" t="s">
        <v>2666</v>
      </c>
      <c r="E2025" s="989">
        <v>2026406.25</v>
      </c>
      <c r="F2025" s="990"/>
      <c r="G2025" s="990"/>
      <c r="H2025" s="990"/>
      <c r="I2025" s="990"/>
      <c r="J2025" s="990"/>
      <c r="K2025" s="990"/>
      <c r="L2025" s="990"/>
      <c r="M2025" s="990"/>
      <c r="N2025" s="990"/>
      <c r="O2025" s="990"/>
      <c r="P2025" s="990"/>
      <c r="Q2025" s="990"/>
      <c r="R2025" s="990"/>
      <c r="S2025" s="990"/>
      <c r="T2025" s="990"/>
      <c r="U2025" s="990"/>
      <c r="V2025" s="990"/>
      <c r="W2025" s="990"/>
      <c r="X2025" s="990"/>
    </row>
    <row r="2026" spans="1:24" s="896" customFormat="1" ht="51">
      <c r="A2026" s="987">
        <f t="shared" si="32"/>
        <v>1952</v>
      </c>
      <c r="B2026" s="988">
        <v>38629</v>
      </c>
      <c r="C2026" s="899" t="s">
        <v>11352</v>
      </c>
      <c r="D2026" s="988" t="s">
        <v>2666</v>
      </c>
      <c r="E2026" s="989">
        <v>3016406.25</v>
      </c>
      <c r="F2026" s="990"/>
      <c r="G2026" s="990"/>
      <c r="H2026" s="990"/>
      <c r="I2026" s="990"/>
      <c r="J2026" s="990"/>
      <c r="K2026" s="990"/>
      <c r="L2026" s="990"/>
      <c r="M2026" s="990"/>
      <c r="N2026" s="990"/>
      <c r="O2026" s="990"/>
      <c r="P2026" s="990"/>
      <c r="Q2026" s="990"/>
      <c r="R2026" s="990"/>
      <c r="S2026" s="990"/>
      <c r="T2026" s="990"/>
      <c r="U2026" s="990"/>
      <c r="V2026" s="990"/>
      <c r="W2026" s="990"/>
      <c r="X2026" s="990"/>
    </row>
    <row r="2027" spans="1:24" s="896" customFormat="1">
      <c r="A2027" s="987">
        <f t="shared" si="32"/>
        <v>1953</v>
      </c>
      <c r="B2027" s="988">
        <v>38476</v>
      </c>
      <c r="C2027" s="899" t="s">
        <v>11353</v>
      </c>
      <c r="D2027" s="988" t="s">
        <v>2666</v>
      </c>
      <c r="E2027" s="989">
        <v>316.33</v>
      </c>
      <c r="F2027" s="990"/>
      <c r="G2027" s="990"/>
      <c r="H2027" s="990"/>
      <c r="I2027" s="990"/>
      <c r="J2027" s="990"/>
      <c r="K2027" s="990"/>
      <c r="L2027" s="990"/>
      <c r="M2027" s="990"/>
      <c r="N2027" s="990"/>
      <c r="O2027" s="990"/>
      <c r="P2027" s="990"/>
      <c r="Q2027" s="990"/>
      <c r="R2027" s="990"/>
      <c r="S2027" s="990"/>
      <c r="T2027" s="990"/>
      <c r="U2027" s="990"/>
      <c r="V2027" s="990"/>
      <c r="W2027" s="990"/>
      <c r="X2027" s="990"/>
    </row>
    <row r="2028" spans="1:24" s="896" customFormat="1">
      <c r="A2028" s="987">
        <f t="shared" si="32"/>
        <v>1954</v>
      </c>
      <c r="B2028" s="988">
        <v>38477</v>
      </c>
      <c r="C2028" s="899" t="s">
        <v>11354</v>
      </c>
      <c r="D2028" s="988" t="s">
        <v>2666</v>
      </c>
      <c r="E2028" s="989">
        <v>895.84</v>
      </c>
      <c r="F2028" s="990"/>
      <c r="G2028" s="990"/>
      <c r="H2028" s="990"/>
      <c r="I2028" s="990"/>
      <c r="J2028" s="990"/>
      <c r="K2028" s="990"/>
      <c r="L2028" s="990"/>
      <c r="M2028" s="990"/>
      <c r="N2028" s="990"/>
      <c r="O2028" s="990"/>
      <c r="P2028" s="990"/>
      <c r="Q2028" s="990"/>
      <c r="R2028" s="990"/>
      <c r="S2028" s="990"/>
      <c r="T2028" s="990"/>
      <c r="U2028" s="990"/>
      <c r="V2028" s="990"/>
      <c r="W2028" s="990"/>
      <c r="X2028" s="990"/>
    </row>
    <row r="2029" spans="1:24" s="896" customFormat="1" ht="25.5">
      <c r="A2029" s="987">
        <f t="shared" si="32"/>
        <v>1955</v>
      </c>
      <c r="B2029" s="988">
        <v>40635</v>
      </c>
      <c r="C2029" s="899" t="s">
        <v>11355</v>
      </c>
      <c r="D2029" s="988" t="s">
        <v>2666</v>
      </c>
      <c r="E2029" s="989">
        <v>1084590.25</v>
      </c>
      <c r="F2029" s="990"/>
      <c r="G2029" s="990"/>
      <c r="H2029" s="990"/>
      <c r="I2029" s="990"/>
      <c r="J2029" s="990"/>
      <c r="K2029" s="990"/>
      <c r="L2029" s="990"/>
      <c r="M2029" s="990"/>
      <c r="N2029" s="990"/>
      <c r="O2029" s="990"/>
      <c r="P2029" s="990"/>
      <c r="Q2029" s="990"/>
      <c r="R2029" s="990"/>
      <c r="S2029" s="990"/>
      <c r="T2029" s="990"/>
      <c r="U2029" s="990"/>
      <c r="V2029" s="990"/>
      <c r="W2029" s="990"/>
      <c r="X2029" s="990"/>
    </row>
    <row r="2030" spans="1:24" s="896" customFormat="1" ht="25.5">
      <c r="A2030" s="987">
        <f t="shared" si="32"/>
        <v>1956</v>
      </c>
      <c r="B2030" s="988">
        <v>36483</v>
      </c>
      <c r="C2030" s="899" t="s">
        <v>11356</v>
      </c>
      <c r="D2030" s="988" t="s">
        <v>2666</v>
      </c>
      <c r="E2030" s="989">
        <v>982812.5</v>
      </c>
      <c r="F2030" s="990"/>
      <c r="G2030" s="990"/>
      <c r="H2030" s="990"/>
      <c r="I2030" s="990"/>
      <c r="J2030" s="990"/>
      <c r="K2030" s="990"/>
      <c r="L2030" s="990"/>
      <c r="M2030" s="990"/>
      <c r="N2030" s="990"/>
      <c r="O2030" s="990"/>
      <c r="P2030" s="990"/>
      <c r="Q2030" s="990"/>
      <c r="R2030" s="990"/>
      <c r="S2030" s="990"/>
      <c r="T2030" s="990"/>
      <c r="U2030" s="990"/>
      <c r="V2030" s="990"/>
      <c r="W2030" s="990"/>
      <c r="X2030" s="990"/>
    </row>
    <row r="2031" spans="1:24" s="896" customFormat="1" ht="25.5">
      <c r="A2031" s="987">
        <f t="shared" si="32"/>
        <v>1957</v>
      </c>
      <c r="B2031" s="988">
        <v>14525</v>
      </c>
      <c r="C2031" s="899" t="s">
        <v>11357</v>
      </c>
      <c r="D2031" s="988" t="s">
        <v>2666</v>
      </c>
      <c r="E2031" s="989">
        <v>1029062.5</v>
      </c>
      <c r="F2031" s="990"/>
      <c r="G2031" s="990"/>
      <c r="H2031" s="990"/>
      <c r="I2031" s="990"/>
      <c r="J2031" s="990"/>
      <c r="K2031" s="990"/>
      <c r="L2031" s="990"/>
      <c r="M2031" s="990"/>
      <c r="N2031" s="990"/>
      <c r="O2031" s="990"/>
      <c r="P2031" s="990"/>
      <c r="Q2031" s="990"/>
      <c r="R2031" s="990"/>
      <c r="S2031" s="990"/>
      <c r="T2031" s="990"/>
      <c r="U2031" s="990"/>
      <c r="V2031" s="990"/>
      <c r="W2031" s="990"/>
      <c r="X2031" s="990"/>
    </row>
    <row r="2032" spans="1:24" s="896" customFormat="1" ht="25.5">
      <c r="A2032" s="987">
        <f t="shared" si="32"/>
        <v>1958</v>
      </c>
      <c r="B2032" s="988">
        <v>36482</v>
      </c>
      <c r="C2032" s="899" t="s">
        <v>11358</v>
      </c>
      <c r="D2032" s="988" t="s">
        <v>2666</v>
      </c>
      <c r="E2032" s="989">
        <v>882564.42</v>
      </c>
      <c r="F2032" s="990"/>
      <c r="G2032" s="990"/>
      <c r="H2032" s="990"/>
      <c r="I2032" s="990"/>
      <c r="J2032" s="990"/>
      <c r="K2032" s="990"/>
      <c r="L2032" s="990"/>
      <c r="M2032" s="990"/>
      <c r="N2032" s="990"/>
      <c r="O2032" s="990"/>
      <c r="P2032" s="990"/>
      <c r="Q2032" s="990"/>
      <c r="R2032" s="990"/>
      <c r="S2032" s="990"/>
      <c r="T2032" s="990"/>
      <c r="U2032" s="990"/>
      <c r="V2032" s="990"/>
      <c r="W2032" s="990"/>
      <c r="X2032" s="990"/>
    </row>
    <row r="2033" spans="1:24" s="896" customFormat="1" ht="25.5">
      <c r="A2033" s="987">
        <f t="shared" si="32"/>
        <v>1959</v>
      </c>
      <c r="B2033" s="988">
        <v>36408</v>
      </c>
      <c r="C2033" s="899" t="s">
        <v>11359</v>
      </c>
      <c r="D2033" s="988" t="s">
        <v>2666</v>
      </c>
      <c r="E2033" s="989">
        <v>1054500</v>
      </c>
      <c r="F2033" s="990"/>
      <c r="G2033" s="990"/>
      <c r="H2033" s="990"/>
      <c r="I2033" s="990"/>
      <c r="J2033" s="990"/>
      <c r="K2033" s="990"/>
      <c r="L2033" s="990"/>
      <c r="M2033" s="990"/>
      <c r="N2033" s="990"/>
      <c r="O2033" s="990"/>
      <c r="P2033" s="990"/>
      <c r="Q2033" s="990"/>
      <c r="R2033" s="990"/>
      <c r="S2033" s="990"/>
      <c r="T2033" s="990"/>
      <c r="U2033" s="990"/>
      <c r="V2033" s="990"/>
      <c r="W2033" s="990"/>
      <c r="X2033" s="990"/>
    </row>
    <row r="2034" spans="1:24" s="896" customFormat="1" ht="25.5">
      <c r="A2034" s="987">
        <f t="shared" si="32"/>
        <v>1960</v>
      </c>
      <c r="B2034" s="988">
        <v>2723</v>
      </c>
      <c r="C2034" s="899" t="s">
        <v>11360</v>
      </c>
      <c r="D2034" s="988" t="s">
        <v>2666</v>
      </c>
      <c r="E2034" s="989">
        <v>809375</v>
      </c>
      <c r="F2034" s="990"/>
      <c r="G2034" s="990"/>
      <c r="H2034" s="990"/>
      <c r="I2034" s="990"/>
      <c r="J2034" s="990"/>
      <c r="K2034" s="990"/>
      <c r="L2034" s="990"/>
      <c r="M2034" s="990"/>
      <c r="N2034" s="990"/>
      <c r="O2034" s="990"/>
      <c r="P2034" s="990"/>
      <c r="Q2034" s="990"/>
      <c r="R2034" s="990"/>
      <c r="S2034" s="990"/>
      <c r="T2034" s="990"/>
      <c r="U2034" s="990"/>
      <c r="V2034" s="990"/>
      <c r="W2034" s="990"/>
      <c r="X2034" s="990"/>
    </row>
    <row r="2035" spans="1:24" s="896" customFormat="1" ht="25.5">
      <c r="A2035" s="987">
        <f t="shared" si="32"/>
        <v>1961</v>
      </c>
      <c r="B2035" s="988">
        <v>36481</v>
      </c>
      <c r="C2035" s="899" t="s">
        <v>11361</v>
      </c>
      <c r="D2035" s="988" t="s">
        <v>2666</v>
      </c>
      <c r="E2035" s="989">
        <v>965468.75</v>
      </c>
      <c r="F2035" s="990"/>
      <c r="G2035" s="990"/>
      <c r="H2035" s="990"/>
      <c r="I2035" s="990"/>
      <c r="J2035" s="990"/>
      <c r="K2035" s="990"/>
      <c r="L2035" s="990"/>
      <c r="M2035" s="990"/>
      <c r="N2035" s="990"/>
      <c r="O2035" s="990"/>
      <c r="P2035" s="990"/>
      <c r="Q2035" s="990"/>
      <c r="R2035" s="990"/>
      <c r="S2035" s="990"/>
      <c r="T2035" s="990"/>
      <c r="U2035" s="990"/>
      <c r="V2035" s="990"/>
      <c r="W2035" s="990"/>
      <c r="X2035" s="990"/>
    </row>
    <row r="2036" spans="1:24" s="896" customFormat="1" ht="25.5">
      <c r="A2036" s="987">
        <f t="shared" si="32"/>
        <v>1962</v>
      </c>
      <c r="B2036" s="988">
        <v>10685</v>
      </c>
      <c r="C2036" s="899" t="s">
        <v>11362</v>
      </c>
      <c r="D2036" s="988" t="s">
        <v>2666</v>
      </c>
      <c r="E2036" s="989">
        <v>925000</v>
      </c>
      <c r="F2036" s="990"/>
      <c r="G2036" s="990"/>
      <c r="H2036" s="990"/>
      <c r="I2036" s="990"/>
      <c r="J2036" s="990"/>
      <c r="K2036" s="990"/>
      <c r="L2036" s="990"/>
      <c r="M2036" s="990"/>
      <c r="N2036" s="990"/>
      <c r="O2036" s="990"/>
      <c r="P2036" s="990"/>
      <c r="Q2036" s="990"/>
      <c r="R2036" s="990"/>
      <c r="S2036" s="990"/>
      <c r="T2036" s="990"/>
      <c r="U2036" s="990"/>
      <c r="V2036" s="990"/>
      <c r="W2036" s="990"/>
      <c r="X2036" s="990"/>
    </row>
    <row r="2037" spans="1:24" s="896" customFormat="1" ht="38.25">
      <c r="A2037" s="987">
        <f t="shared" si="32"/>
        <v>1963</v>
      </c>
      <c r="B2037" s="988">
        <v>40636</v>
      </c>
      <c r="C2037" s="899" t="s">
        <v>11363</v>
      </c>
      <c r="D2037" s="988" t="s">
        <v>2666</v>
      </c>
      <c r="E2037" s="989">
        <v>1044121.5</v>
      </c>
      <c r="F2037" s="990"/>
      <c r="G2037" s="990"/>
      <c r="H2037" s="990"/>
      <c r="I2037" s="990"/>
      <c r="J2037" s="990"/>
      <c r="K2037" s="990"/>
      <c r="L2037" s="990"/>
      <c r="M2037" s="990"/>
      <c r="N2037" s="990"/>
      <c r="O2037" s="990"/>
      <c r="P2037" s="990"/>
      <c r="Q2037" s="990"/>
      <c r="R2037" s="990"/>
      <c r="S2037" s="990"/>
      <c r="T2037" s="990"/>
      <c r="U2037" s="990"/>
      <c r="V2037" s="990"/>
      <c r="W2037" s="990"/>
      <c r="X2037" s="990"/>
    </row>
    <row r="2038" spans="1:24" s="896" customFormat="1">
      <c r="A2038" s="987">
        <f t="shared" si="32"/>
        <v>1964</v>
      </c>
      <c r="B2038" s="988">
        <v>4111</v>
      </c>
      <c r="C2038" s="899" t="s">
        <v>11364</v>
      </c>
      <c r="D2038" s="988" t="s">
        <v>2666</v>
      </c>
      <c r="E2038" s="989">
        <v>46</v>
      </c>
      <c r="F2038" s="990"/>
      <c r="G2038" s="990"/>
      <c r="H2038" s="990"/>
      <c r="I2038" s="990"/>
      <c r="J2038" s="990"/>
      <c r="K2038" s="990"/>
      <c r="L2038" s="990"/>
      <c r="M2038" s="990"/>
      <c r="N2038" s="990"/>
      <c r="O2038" s="990"/>
      <c r="P2038" s="990"/>
      <c r="Q2038" s="990"/>
      <c r="R2038" s="990"/>
      <c r="S2038" s="990"/>
      <c r="T2038" s="990"/>
      <c r="U2038" s="990"/>
      <c r="V2038" s="990"/>
      <c r="W2038" s="990"/>
      <c r="X2038" s="990"/>
    </row>
    <row r="2039" spans="1:24" s="896" customFormat="1" ht="25.5">
      <c r="A2039" s="987">
        <f t="shared" si="32"/>
        <v>1965</v>
      </c>
      <c r="B2039" s="988">
        <v>44538</v>
      </c>
      <c r="C2039" s="899" t="s">
        <v>11365</v>
      </c>
      <c r="D2039" s="988" t="s">
        <v>2666</v>
      </c>
      <c r="E2039" s="989">
        <v>51.51</v>
      </c>
      <c r="F2039" s="990"/>
      <c r="G2039" s="990"/>
      <c r="H2039" s="990"/>
      <c r="I2039" s="990"/>
      <c r="J2039" s="990"/>
      <c r="K2039" s="990"/>
      <c r="L2039" s="990"/>
      <c r="M2039" s="990"/>
      <c r="N2039" s="990"/>
      <c r="O2039" s="990"/>
      <c r="P2039" s="990"/>
      <c r="Q2039" s="990"/>
      <c r="R2039" s="990"/>
      <c r="S2039" s="990"/>
      <c r="T2039" s="990"/>
      <c r="U2039" s="990"/>
      <c r="V2039" s="990"/>
      <c r="W2039" s="990"/>
      <c r="X2039" s="990"/>
    </row>
    <row r="2040" spans="1:24" s="896" customFormat="1">
      <c r="A2040" s="987">
        <f t="shared" si="32"/>
        <v>1966</v>
      </c>
      <c r="B2040" s="988">
        <v>12</v>
      </c>
      <c r="C2040" s="899" t="s">
        <v>11366</v>
      </c>
      <c r="D2040" s="988" t="s">
        <v>2666</v>
      </c>
      <c r="E2040" s="989">
        <v>12.5</v>
      </c>
      <c r="F2040" s="990"/>
      <c r="G2040" s="990"/>
      <c r="H2040" s="990"/>
      <c r="I2040" s="990"/>
      <c r="J2040" s="990"/>
      <c r="K2040" s="990"/>
      <c r="L2040" s="990"/>
      <c r="M2040" s="990"/>
      <c r="N2040" s="990"/>
      <c r="O2040" s="990"/>
      <c r="P2040" s="990"/>
      <c r="Q2040" s="990"/>
      <c r="R2040" s="990"/>
      <c r="S2040" s="990"/>
      <c r="T2040" s="990"/>
      <c r="U2040" s="990"/>
      <c r="V2040" s="990"/>
      <c r="W2040" s="990"/>
      <c r="X2040" s="990"/>
    </row>
    <row r="2041" spans="1:24" s="896" customFormat="1" ht="25.5">
      <c r="A2041" s="987">
        <f t="shared" si="32"/>
        <v>1967</v>
      </c>
      <c r="B2041" s="988">
        <v>37554</v>
      </c>
      <c r="C2041" s="899" t="s">
        <v>11367</v>
      </c>
      <c r="D2041" s="988" t="s">
        <v>2666</v>
      </c>
      <c r="E2041" s="989">
        <v>267.75</v>
      </c>
      <c r="F2041" s="990"/>
      <c r="G2041" s="990"/>
      <c r="H2041" s="990"/>
      <c r="I2041" s="990"/>
      <c r="J2041" s="990"/>
      <c r="K2041" s="990"/>
      <c r="L2041" s="990"/>
      <c r="M2041" s="990"/>
      <c r="N2041" s="990"/>
      <c r="O2041" s="990"/>
      <c r="P2041" s="990"/>
      <c r="Q2041" s="990"/>
      <c r="R2041" s="990"/>
      <c r="S2041" s="990"/>
      <c r="T2041" s="990"/>
      <c r="U2041" s="990"/>
      <c r="V2041" s="990"/>
      <c r="W2041" s="990"/>
      <c r="X2041" s="990"/>
    </row>
    <row r="2042" spans="1:24" s="896" customFormat="1" ht="25.5">
      <c r="A2042" s="987">
        <f t="shared" si="32"/>
        <v>1968</v>
      </c>
      <c r="B2042" s="988">
        <v>37555</v>
      </c>
      <c r="C2042" s="899" t="s">
        <v>11368</v>
      </c>
      <c r="D2042" s="988" t="s">
        <v>2666</v>
      </c>
      <c r="E2042" s="989">
        <v>325.70999999999998</v>
      </c>
      <c r="F2042" s="990"/>
      <c r="G2042" s="990"/>
      <c r="H2042" s="990"/>
      <c r="I2042" s="990"/>
      <c r="J2042" s="990"/>
      <c r="K2042" s="990"/>
      <c r="L2042" s="990"/>
      <c r="M2042" s="990"/>
      <c r="N2042" s="990"/>
      <c r="O2042" s="990"/>
      <c r="P2042" s="990"/>
      <c r="Q2042" s="990"/>
      <c r="R2042" s="990"/>
      <c r="S2042" s="990"/>
      <c r="T2042" s="990"/>
      <c r="U2042" s="990"/>
      <c r="V2042" s="990"/>
      <c r="W2042" s="990"/>
      <c r="X2042" s="990"/>
    </row>
    <row r="2043" spans="1:24" s="896" customFormat="1" ht="25.5">
      <c r="A2043" s="987">
        <f t="shared" si="32"/>
        <v>1969</v>
      </c>
      <c r="B2043" s="988">
        <v>10902</v>
      </c>
      <c r="C2043" s="899" t="s">
        <v>11369</v>
      </c>
      <c r="D2043" s="988" t="s">
        <v>2666</v>
      </c>
      <c r="E2043" s="989">
        <v>81.73</v>
      </c>
      <c r="F2043" s="990"/>
      <c r="G2043" s="990"/>
      <c r="H2043" s="990"/>
      <c r="I2043" s="990"/>
      <c r="J2043" s="990"/>
      <c r="K2043" s="990"/>
      <c r="L2043" s="990"/>
      <c r="M2043" s="990"/>
      <c r="N2043" s="990"/>
      <c r="O2043" s="990"/>
      <c r="P2043" s="990"/>
      <c r="Q2043" s="990"/>
      <c r="R2043" s="990"/>
      <c r="S2043" s="990"/>
      <c r="T2043" s="990"/>
      <c r="U2043" s="990"/>
      <c r="V2043" s="990"/>
      <c r="W2043" s="990"/>
      <c r="X2043" s="990"/>
    </row>
    <row r="2044" spans="1:24" s="896" customFormat="1" ht="25.5">
      <c r="A2044" s="987">
        <f t="shared" si="32"/>
        <v>1970</v>
      </c>
      <c r="B2044" s="988">
        <v>20965</v>
      </c>
      <c r="C2044" s="899" t="s">
        <v>11370</v>
      </c>
      <c r="D2044" s="988" t="s">
        <v>2666</v>
      </c>
      <c r="E2044" s="989">
        <v>82.49</v>
      </c>
      <c r="F2044" s="990"/>
      <c r="G2044" s="990"/>
      <c r="H2044" s="990"/>
      <c r="I2044" s="990"/>
      <c r="J2044" s="990"/>
      <c r="K2044" s="990"/>
      <c r="L2044" s="990"/>
      <c r="M2044" s="990"/>
      <c r="N2044" s="990"/>
      <c r="O2044" s="990"/>
      <c r="P2044" s="990"/>
      <c r="Q2044" s="990"/>
      <c r="R2044" s="990"/>
      <c r="S2044" s="990"/>
      <c r="T2044" s="990"/>
      <c r="U2044" s="990"/>
      <c r="V2044" s="990"/>
      <c r="W2044" s="990"/>
      <c r="X2044" s="990"/>
    </row>
    <row r="2045" spans="1:24" s="896" customFormat="1" ht="25.5">
      <c r="A2045" s="987">
        <f t="shared" si="32"/>
        <v>1971</v>
      </c>
      <c r="B2045" s="988">
        <v>20966</v>
      </c>
      <c r="C2045" s="899" t="s">
        <v>11371</v>
      </c>
      <c r="D2045" s="988" t="s">
        <v>2666</v>
      </c>
      <c r="E2045" s="989">
        <v>88.82</v>
      </c>
      <c r="F2045" s="990"/>
      <c r="G2045" s="990"/>
      <c r="H2045" s="990"/>
      <c r="I2045" s="990"/>
      <c r="J2045" s="990"/>
      <c r="K2045" s="990"/>
      <c r="L2045" s="990"/>
      <c r="M2045" s="990"/>
      <c r="N2045" s="990"/>
      <c r="O2045" s="990"/>
      <c r="P2045" s="990"/>
      <c r="Q2045" s="990"/>
      <c r="R2045" s="990"/>
      <c r="S2045" s="990"/>
      <c r="T2045" s="990"/>
      <c r="U2045" s="990"/>
      <c r="V2045" s="990"/>
      <c r="W2045" s="990"/>
      <c r="X2045" s="990"/>
    </row>
    <row r="2046" spans="1:24" s="896" customFormat="1" ht="25.5">
      <c r="A2046" s="987">
        <f t="shared" si="32"/>
        <v>1972</v>
      </c>
      <c r="B2046" s="988">
        <v>10903</v>
      </c>
      <c r="C2046" s="899" t="s">
        <v>11372</v>
      </c>
      <c r="D2046" s="988" t="s">
        <v>2666</v>
      </c>
      <c r="E2046" s="989">
        <v>134.62</v>
      </c>
      <c r="F2046" s="990"/>
      <c r="G2046" s="990"/>
      <c r="H2046" s="990"/>
      <c r="I2046" s="990"/>
      <c r="J2046" s="990"/>
      <c r="K2046" s="990"/>
      <c r="L2046" s="990"/>
      <c r="M2046" s="990"/>
      <c r="N2046" s="990"/>
      <c r="O2046" s="990"/>
      <c r="P2046" s="990"/>
      <c r="Q2046" s="990"/>
      <c r="R2046" s="990"/>
      <c r="S2046" s="990"/>
      <c r="T2046" s="990"/>
      <c r="U2046" s="990"/>
      <c r="V2046" s="990"/>
      <c r="W2046" s="990"/>
      <c r="X2046" s="990"/>
    </row>
    <row r="2047" spans="1:24" s="896" customFormat="1" ht="25.5">
      <c r="A2047" s="987">
        <f t="shared" si="32"/>
        <v>1973</v>
      </c>
      <c r="B2047" s="988">
        <v>20967</v>
      </c>
      <c r="C2047" s="899" t="s">
        <v>11373</v>
      </c>
      <c r="D2047" s="988" t="s">
        <v>2666</v>
      </c>
      <c r="E2047" s="989">
        <v>134.62</v>
      </c>
      <c r="F2047" s="990"/>
      <c r="G2047" s="990"/>
      <c r="H2047" s="990"/>
      <c r="I2047" s="990"/>
      <c r="J2047" s="990"/>
      <c r="K2047" s="990"/>
      <c r="L2047" s="990"/>
      <c r="M2047" s="990"/>
      <c r="N2047" s="990"/>
      <c r="O2047" s="990"/>
      <c r="P2047" s="990"/>
      <c r="Q2047" s="990"/>
      <c r="R2047" s="990"/>
      <c r="S2047" s="990"/>
      <c r="T2047" s="990"/>
      <c r="U2047" s="990"/>
      <c r="V2047" s="990"/>
      <c r="W2047" s="990"/>
      <c r="X2047" s="990"/>
    </row>
    <row r="2048" spans="1:24" s="896" customFormat="1" ht="25.5">
      <c r="A2048" s="987">
        <f t="shared" si="32"/>
        <v>1974</v>
      </c>
      <c r="B2048" s="988">
        <v>20968</v>
      </c>
      <c r="C2048" s="899" t="s">
        <v>11374</v>
      </c>
      <c r="D2048" s="988" t="s">
        <v>2666</v>
      </c>
      <c r="E2048" s="989">
        <v>147.65</v>
      </c>
      <c r="F2048" s="990"/>
      <c r="G2048" s="990"/>
      <c r="H2048" s="990"/>
      <c r="I2048" s="990"/>
      <c r="J2048" s="990"/>
      <c r="K2048" s="990"/>
      <c r="L2048" s="990"/>
      <c r="M2048" s="990"/>
      <c r="N2048" s="990"/>
      <c r="O2048" s="990"/>
      <c r="P2048" s="990"/>
      <c r="Q2048" s="990"/>
      <c r="R2048" s="990"/>
      <c r="S2048" s="990"/>
      <c r="T2048" s="990"/>
      <c r="U2048" s="990"/>
      <c r="V2048" s="990"/>
      <c r="W2048" s="990"/>
      <c r="X2048" s="990"/>
    </row>
    <row r="2049" spans="1:24" s="896" customFormat="1" ht="25.5">
      <c r="A2049" s="987">
        <f t="shared" si="32"/>
        <v>1975</v>
      </c>
      <c r="B2049" s="988">
        <v>11359</v>
      </c>
      <c r="C2049" s="899" t="s">
        <v>11375</v>
      </c>
      <c r="D2049" s="988" t="s">
        <v>2666</v>
      </c>
      <c r="E2049" s="989">
        <v>744.9</v>
      </c>
      <c r="F2049" s="990"/>
      <c r="G2049" s="990"/>
      <c r="H2049" s="990"/>
      <c r="I2049" s="990"/>
      <c r="J2049" s="990"/>
      <c r="K2049" s="990"/>
      <c r="L2049" s="990"/>
      <c r="M2049" s="990"/>
      <c r="N2049" s="990"/>
      <c r="O2049" s="990"/>
      <c r="P2049" s="990"/>
      <c r="Q2049" s="990"/>
      <c r="R2049" s="990"/>
      <c r="S2049" s="990"/>
      <c r="T2049" s="990"/>
      <c r="U2049" s="990"/>
      <c r="V2049" s="990"/>
      <c r="W2049" s="990"/>
      <c r="X2049" s="990"/>
    </row>
    <row r="2050" spans="1:24" s="896" customFormat="1" ht="25.5">
      <c r="A2050" s="987">
        <f t="shared" si="32"/>
        <v>1976</v>
      </c>
      <c r="B2050" s="988">
        <v>39017</v>
      </c>
      <c r="C2050" s="899" t="s">
        <v>11376</v>
      </c>
      <c r="D2050" s="988" t="s">
        <v>2666</v>
      </c>
      <c r="E2050" s="989">
        <v>0.19</v>
      </c>
      <c r="F2050" s="990"/>
      <c r="G2050" s="990"/>
      <c r="H2050" s="990"/>
      <c r="I2050" s="990"/>
      <c r="J2050" s="990"/>
      <c r="K2050" s="990"/>
      <c r="L2050" s="990"/>
      <c r="M2050" s="990"/>
      <c r="N2050" s="990"/>
      <c r="O2050" s="990"/>
      <c r="P2050" s="990"/>
      <c r="Q2050" s="990"/>
      <c r="R2050" s="990"/>
      <c r="S2050" s="990"/>
      <c r="T2050" s="990"/>
      <c r="U2050" s="990"/>
      <c r="V2050" s="990"/>
      <c r="W2050" s="990"/>
      <c r="X2050" s="990"/>
    </row>
    <row r="2051" spans="1:24" s="896" customFormat="1" ht="25.5">
      <c r="A2051" s="987">
        <f t="shared" si="32"/>
        <v>1977</v>
      </c>
      <c r="B2051" s="988">
        <v>39315</v>
      </c>
      <c r="C2051" s="899" t="s">
        <v>11377</v>
      </c>
      <c r="D2051" s="988" t="s">
        <v>2666</v>
      </c>
      <c r="E2051" s="989">
        <v>0.31</v>
      </c>
      <c r="F2051" s="990"/>
      <c r="G2051" s="990"/>
      <c r="H2051" s="990"/>
      <c r="I2051" s="990"/>
      <c r="J2051" s="990"/>
      <c r="K2051" s="990"/>
      <c r="L2051" s="990"/>
      <c r="M2051" s="990"/>
      <c r="N2051" s="990"/>
      <c r="O2051" s="990"/>
      <c r="P2051" s="990"/>
      <c r="Q2051" s="990"/>
      <c r="R2051" s="990"/>
      <c r="S2051" s="990"/>
      <c r="T2051" s="990"/>
      <c r="U2051" s="990"/>
      <c r="V2051" s="990"/>
      <c r="W2051" s="990"/>
      <c r="X2051" s="990"/>
    </row>
    <row r="2052" spans="1:24" s="896" customFormat="1" ht="25.5">
      <c r="A2052" s="987">
        <f t="shared" si="32"/>
        <v>1978</v>
      </c>
      <c r="B2052" s="988">
        <v>39016</v>
      </c>
      <c r="C2052" s="899" t="s">
        <v>11378</v>
      </c>
      <c r="D2052" s="988" t="s">
        <v>2666</v>
      </c>
      <c r="E2052" s="989">
        <v>0.31</v>
      </c>
      <c r="F2052" s="990"/>
      <c r="G2052" s="990"/>
      <c r="H2052" s="990"/>
      <c r="I2052" s="990"/>
      <c r="J2052" s="990"/>
      <c r="K2052" s="990"/>
      <c r="L2052" s="990"/>
      <c r="M2052" s="990"/>
      <c r="N2052" s="990"/>
      <c r="O2052" s="990"/>
      <c r="P2052" s="990"/>
      <c r="Q2052" s="990"/>
      <c r="R2052" s="990"/>
      <c r="S2052" s="990"/>
      <c r="T2052" s="990"/>
      <c r="U2052" s="990"/>
      <c r="V2052" s="990"/>
      <c r="W2052" s="990"/>
      <c r="X2052" s="990"/>
    </row>
    <row r="2053" spans="1:24" s="896" customFormat="1" ht="25.5">
      <c r="A2053" s="987">
        <f t="shared" si="32"/>
        <v>1979</v>
      </c>
      <c r="B2053" s="988">
        <v>40432</v>
      </c>
      <c r="C2053" s="899" t="s">
        <v>11379</v>
      </c>
      <c r="D2053" s="988" t="s">
        <v>2666</v>
      </c>
      <c r="E2053" s="989">
        <v>2.42</v>
      </c>
      <c r="F2053" s="990"/>
      <c r="G2053" s="990"/>
      <c r="H2053" s="990"/>
      <c r="I2053" s="990"/>
      <c r="J2053" s="990"/>
      <c r="K2053" s="990"/>
      <c r="L2053" s="990"/>
      <c r="M2053" s="990"/>
      <c r="N2053" s="990"/>
      <c r="O2053" s="990"/>
      <c r="P2053" s="990"/>
      <c r="Q2053" s="990"/>
      <c r="R2053" s="990"/>
      <c r="S2053" s="990"/>
      <c r="T2053" s="990"/>
      <c r="U2053" s="990"/>
      <c r="V2053" s="990"/>
      <c r="W2053" s="990"/>
      <c r="X2053" s="990"/>
    </row>
    <row r="2054" spans="1:24" s="896" customFormat="1" ht="25.5">
      <c r="A2054" s="987">
        <f t="shared" si="32"/>
        <v>1980</v>
      </c>
      <c r="B2054" s="988">
        <v>39481</v>
      </c>
      <c r="C2054" s="899" t="s">
        <v>11380</v>
      </c>
      <c r="D2054" s="988" t="s">
        <v>2666</v>
      </c>
      <c r="E2054" s="989">
        <v>1.52</v>
      </c>
      <c r="F2054" s="990"/>
      <c r="G2054" s="990"/>
      <c r="H2054" s="990"/>
      <c r="I2054" s="990"/>
      <c r="J2054" s="990"/>
      <c r="K2054" s="990"/>
      <c r="L2054" s="990"/>
      <c r="M2054" s="990"/>
      <c r="N2054" s="990"/>
      <c r="O2054" s="990"/>
      <c r="P2054" s="990"/>
      <c r="Q2054" s="990"/>
      <c r="R2054" s="990"/>
      <c r="S2054" s="990"/>
      <c r="T2054" s="990"/>
      <c r="U2054" s="990"/>
      <c r="V2054" s="990"/>
      <c r="W2054" s="990"/>
      <c r="X2054" s="990"/>
    </row>
    <row r="2055" spans="1:24" s="896" customFormat="1" ht="38.25">
      <c r="A2055" s="987">
        <f t="shared" si="32"/>
        <v>1981</v>
      </c>
      <c r="B2055" s="988">
        <v>44919</v>
      </c>
      <c r="C2055" s="899" t="s">
        <v>11381</v>
      </c>
      <c r="D2055" s="988" t="s">
        <v>2666</v>
      </c>
      <c r="E2055" s="989">
        <v>2.42</v>
      </c>
      <c r="F2055" s="990"/>
      <c r="G2055" s="990"/>
      <c r="H2055" s="990"/>
      <c r="I2055" s="990"/>
      <c r="J2055" s="990"/>
      <c r="K2055" s="990"/>
      <c r="L2055" s="990"/>
      <c r="M2055" s="990"/>
      <c r="N2055" s="990"/>
      <c r="O2055" s="990"/>
      <c r="P2055" s="990"/>
      <c r="Q2055" s="990"/>
      <c r="R2055" s="990"/>
      <c r="S2055" s="990"/>
      <c r="T2055" s="990"/>
      <c r="U2055" s="990"/>
      <c r="V2055" s="990"/>
      <c r="W2055" s="990"/>
      <c r="X2055" s="990"/>
    </row>
    <row r="2056" spans="1:24" s="896" customFormat="1">
      <c r="A2056" s="987">
        <f t="shared" si="32"/>
        <v>1982</v>
      </c>
      <c r="B2056" s="988">
        <v>40433</v>
      </c>
      <c r="C2056" s="899" t="s">
        <v>11382</v>
      </c>
      <c r="D2056" s="988" t="s">
        <v>2666</v>
      </c>
      <c r="E2056" s="989">
        <v>1.34</v>
      </c>
      <c r="F2056" s="990"/>
      <c r="G2056" s="990"/>
      <c r="H2056" s="990"/>
      <c r="I2056" s="990"/>
      <c r="J2056" s="990"/>
      <c r="K2056" s="990"/>
      <c r="L2056" s="990"/>
      <c r="M2056" s="990"/>
      <c r="N2056" s="990"/>
      <c r="O2056" s="990"/>
      <c r="P2056" s="990"/>
      <c r="Q2056" s="990"/>
      <c r="R2056" s="990"/>
      <c r="S2056" s="990"/>
      <c r="T2056" s="990"/>
      <c r="U2056" s="990"/>
      <c r="V2056" s="990"/>
      <c r="W2056" s="990"/>
      <c r="X2056" s="990"/>
    </row>
    <row r="2057" spans="1:24" s="896" customFormat="1" ht="25.5">
      <c r="A2057" s="987">
        <f t="shared" si="32"/>
        <v>1983</v>
      </c>
      <c r="B2057" s="988">
        <v>20219</v>
      </c>
      <c r="C2057" s="899" t="s">
        <v>11383</v>
      </c>
      <c r="D2057" s="988" t="s">
        <v>2666</v>
      </c>
      <c r="E2057" s="989">
        <v>123000</v>
      </c>
      <c r="F2057" s="990"/>
      <c r="G2057" s="990"/>
      <c r="H2057" s="990"/>
      <c r="I2057" s="990"/>
      <c r="J2057" s="990"/>
      <c r="K2057" s="990"/>
      <c r="L2057" s="990"/>
      <c r="M2057" s="990"/>
      <c r="N2057" s="990"/>
      <c r="O2057" s="990"/>
      <c r="P2057" s="990"/>
      <c r="Q2057" s="990"/>
      <c r="R2057" s="990"/>
      <c r="S2057" s="990"/>
      <c r="T2057" s="990"/>
      <c r="U2057" s="990"/>
      <c r="V2057" s="990"/>
      <c r="W2057" s="990"/>
      <c r="X2057" s="990"/>
    </row>
    <row r="2058" spans="1:24" s="896" customFormat="1" ht="38.25">
      <c r="A2058" s="987">
        <f t="shared" si="32"/>
        <v>1984</v>
      </c>
      <c r="B2058" s="988">
        <v>36484</v>
      </c>
      <c r="C2058" s="899" t="s">
        <v>11384</v>
      </c>
      <c r="D2058" s="988" t="s">
        <v>2666</v>
      </c>
      <c r="E2058" s="989">
        <v>261106.6</v>
      </c>
      <c r="F2058" s="990"/>
      <c r="G2058" s="990"/>
      <c r="H2058" s="990"/>
      <c r="I2058" s="990"/>
      <c r="J2058" s="990"/>
      <c r="K2058" s="990"/>
      <c r="L2058" s="990"/>
      <c r="M2058" s="990"/>
      <c r="N2058" s="990"/>
      <c r="O2058" s="990"/>
      <c r="P2058" s="990"/>
      <c r="Q2058" s="990"/>
      <c r="R2058" s="990"/>
      <c r="S2058" s="990"/>
      <c r="T2058" s="990"/>
      <c r="U2058" s="990"/>
      <c r="V2058" s="990"/>
      <c r="W2058" s="990"/>
      <c r="X2058" s="990"/>
    </row>
    <row r="2059" spans="1:24" s="896" customFormat="1">
      <c r="A2059" s="987">
        <f t="shared" si="32"/>
        <v>1985</v>
      </c>
      <c r="B2059" s="988">
        <v>38367</v>
      </c>
      <c r="C2059" s="899" t="s">
        <v>11385</v>
      </c>
      <c r="D2059" s="988" t="s">
        <v>2666</v>
      </c>
      <c r="E2059" s="989">
        <v>16.989999999999998</v>
      </c>
      <c r="F2059" s="990"/>
      <c r="G2059" s="990"/>
      <c r="H2059" s="990"/>
      <c r="I2059" s="990"/>
      <c r="J2059" s="990"/>
      <c r="K2059" s="990"/>
      <c r="L2059" s="990"/>
      <c r="M2059" s="990"/>
      <c r="N2059" s="990"/>
      <c r="O2059" s="990"/>
      <c r="P2059" s="990"/>
      <c r="Q2059" s="990"/>
      <c r="R2059" s="990"/>
      <c r="S2059" s="990"/>
      <c r="T2059" s="990"/>
      <c r="U2059" s="990"/>
      <c r="V2059" s="990"/>
      <c r="W2059" s="990"/>
      <c r="X2059" s="990"/>
    </row>
    <row r="2060" spans="1:24" s="896" customFormat="1">
      <c r="A2060" s="987">
        <f t="shared" ref="A2060:A2123" si="33">A2059+1</f>
        <v>1986</v>
      </c>
      <c r="B2060" s="988">
        <v>38368</v>
      </c>
      <c r="C2060" s="899" t="s">
        <v>11386</v>
      </c>
      <c r="D2060" s="988" t="s">
        <v>2666</v>
      </c>
      <c r="E2060" s="989">
        <v>6.92</v>
      </c>
      <c r="F2060" s="990"/>
      <c r="G2060" s="990"/>
      <c r="H2060" s="990"/>
      <c r="I2060" s="990"/>
      <c r="J2060" s="990"/>
      <c r="K2060" s="990"/>
      <c r="L2060" s="990"/>
      <c r="M2060" s="990"/>
      <c r="N2060" s="990"/>
      <c r="O2060" s="990"/>
      <c r="P2060" s="990"/>
      <c r="Q2060" s="990"/>
      <c r="R2060" s="990"/>
      <c r="S2060" s="990"/>
      <c r="T2060" s="990"/>
      <c r="U2060" s="990"/>
      <c r="V2060" s="990"/>
      <c r="W2060" s="990"/>
      <c r="X2060" s="990"/>
    </row>
    <row r="2061" spans="1:24" s="896" customFormat="1">
      <c r="A2061" s="987">
        <f t="shared" si="33"/>
        <v>1987</v>
      </c>
      <c r="B2061" s="988">
        <v>38091</v>
      </c>
      <c r="C2061" s="899" t="s">
        <v>11387</v>
      </c>
      <c r="D2061" s="988" t="s">
        <v>2666</v>
      </c>
      <c r="E2061" s="989">
        <v>3.02</v>
      </c>
      <c r="F2061" s="990"/>
      <c r="G2061" s="990"/>
      <c r="H2061" s="990"/>
      <c r="I2061" s="990"/>
      <c r="J2061" s="990"/>
      <c r="K2061" s="990"/>
      <c r="L2061" s="990"/>
      <c r="M2061" s="990"/>
      <c r="N2061" s="990"/>
      <c r="O2061" s="990"/>
      <c r="P2061" s="990"/>
      <c r="Q2061" s="990"/>
      <c r="R2061" s="990"/>
      <c r="S2061" s="990"/>
      <c r="T2061" s="990"/>
      <c r="U2061" s="990"/>
      <c r="V2061" s="990"/>
      <c r="W2061" s="990"/>
      <c r="X2061" s="990"/>
    </row>
    <row r="2062" spans="1:24" s="896" customFormat="1">
      <c r="A2062" s="987">
        <f t="shared" si="33"/>
        <v>1988</v>
      </c>
      <c r="B2062" s="988">
        <v>38095</v>
      </c>
      <c r="C2062" s="899" t="s">
        <v>11388</v>
      </c>
      <c r="D2062" s="988" t="s">
        <v>2666</v>
      </c>
      <c r="E2062" s="989">
        <v>6.39</v>
      </c>
      <c r="F2062" s="990"/>
      <c r="G2062" s="990"/>
      <c r="H2062" s="990"/>
      <c r="I2062" s="990"/>
      <c r="J2062" s="990"/>
      <c r="K2062" s="990"/>
      <c r="L2062" s="990"/>
      <c r="M2062" s="990"/>
      <c r="N2062" s="990"/>
      <c r="O2062" s="990"/>
      <c r="P2062" s="990"/>
      <c r="Q2062" s="990"/>
      <c r="R2062" s="990"/>
      <c r="S2062" s="990"/>
      <c r="T2062" s="990"/>
      <c r="U2062" s="990"/>
      <c r="V2062" s="990"/>
      <c r="W2062" s="990"/>
      <c r="X2062" s="990"/>
    </row>
    <row r="2063" spans="1:24" s="896" customFormat="1">
      <c r="A2063" s="987">
        <f t="shared" si="33"/>
        <v>1989</v>
      </c>
      <c r="B2063" s="988">
        <v>38092</v>
      </c>
      <c r="C2063" s="899" t="s">
        <v>11389</v>
      </c>
      <c r="D2063" s="988" t="s">
        <v>2666</v>
      </c>
      <c r="E2063" s="989">
        <v>2.86</v>
      </c>
      <c r="F2063" s="990"/>
      <c r="G2063" s="990"/>
      <c r="H2063" s="990"/>
      <c r="I2063" s="990"/>
      <c r="J2063" s="990"/>
      <c r="K2063" s="990"/>
      <c r="L2063" s="990"/>
      <c r="M2063" s="990"/>
      <c r="N2063" s="990"/>
      <c r="O2063" s="990"/>
      <c r="P2063" s="990"/>
      <c r="Q2063" s="990"/>
      <c r="R2063" s="990"/>
      <c r="S2063" s="990"/>
      <c r="T2063" s="990"/>
      <c r="U2063" s="990"/>
      <c r="V2063" s="990"/>
      <c r="W2063" s="990"/>
      <c r="X2063" s="990"/>
    </row>
    <row r="2064" spans="1:24" s="896" customFormat="1">
      <c r="A2064" s="987">
        <f t="shared" si="33"/>
        <v>1990</v>
      </c>
      <c r="B2064" s="988">
        <v>38093</v>
      </c>
      <c r="C2064" s="899" t="s">
        <v>11390</v>
      </c>
      <c r="D2064" s="988" t="s">
        <v>2666</v>
      </c>
      <c r="E2064" s="989">
        <v>2.96</v>
      </c>
      <c r="F2064" s="990"/>
      <c r="G2064" s="990"/>
      <c r="H2064" s="990"/>
      <c r="I2064" s="990"/>
      <c r="J2064" s="990"/>
      <c r="K2064" s="990"/>
      <c r="L2064" s="990"/>
      <c r="M2064" s="990"/>
      <c r="N2064" s="990"/>
      <c r="O2064" s="990"/>
      <c r="P2064" s="990"/>
      <c r="Q2064" s="990"/>
      <c r="R2064" s="990"/>
      <c r="S2064" s="990"/>
      <c r="T2064" s="990"/>
      <c r="U2064" s="990"/>
      <c r="V2064" s="990"/>
      <c r="W2064" s="990"/>
      <c r="X2064" s="990"/>
    </row>
    <row r="2065" spans="1:24" s="896" customFormat="1">
      <c r="A2065" s="987">
        <f t="shared" si="33"/>
        <v>1991</v>
      </c>
      <c r="B2065" s="988">
        <v>38096</v>
      </c>
      <c r="C2065" s="899" t="s">
        <v>11391</v>
      </c>
      <c r="D2065" s="988" t="s">
        <v>2666</v>
      </c>
      <c r="E2065" s="989">
        <v>6.87</v>
      </c>
      <c r="F2065" s="990"/>
      <c r="G2065" s="990"/>
      <c r="H2065" s="990"/>
      <c r="I2065" s="990"/>
      <c r="J2065" s="990"/>
      <c r="K2065" s="990"/>
      <c r="L2065" s="990"/>
      <c r="M2065" s="990"/>
      <c r="N2065" s="990"/>
      <c r="O2065" s="990"/>
      <c r="P2065" s="990"/>
      <c r="Q2065" s="990"/>
      <c r="R2065" s="990"/>
      <c r="S2065" s="990"/>
      <c r="T2065" s="990"/>
      <c r="U2065" s="990"/>
      <c r="V2065" s="990"/>
      <c r="W2065" s="990"/>
      <c r="X2065" s="990"/>
    </row>
    <row r="2066" spans="1:24" s="896" customFormat="1">
      <c r="A2066" s="987">
        <f t="shared" si="33"/>
        <v>1992</v>
      </c>
      <c r="B2066" s="988">
        <v>38094</v>
      </c>
      <c r="C2066" s="899" t="s">
        <v>11392</v>
      </c>
      <c r="D2066" s="988" t="s">
        <v>2666</v>
      </c>
      <c r="E2066" s="989">
        <v>3.63</v>
      </c>
      <c r="F2066" s="990"/>
      <c r="G2066" s="990"/>
      <c r="H2066" s="990"/>
      <c r="I2066" s="990"/>
      <c r="J2066" s="990"/>
      <c r="K2066" s="990"/>
      <c r="L2066" s="990"/>
      <c r="M2066" s="990"/>
      <c r="N2066" s="990"/>
      <c r="O2066" s="990"/>
      <c r="P2066" s="990"/>
      <c r="Q2066" s="990"/>
      <c r="R2066" s="990"/>
      <c r="S2066" s="990"/>
      <c r="T2066" s="990"/>
      <c r="U2066" s="990"/>
      <c r="V2066" s="990"/>
      <c r="W2066" s="990"/>
      <c r="X2066" s="990"/>
    </row>
    <row r="2067" spans="1:24" s="896" customFormat="1">
      <c r="A2067" s="987">
        <f t="shared" si="33"/>
        <v>1993</v>
      </c>
      <c r="B2067" s="988">
        <v>38097</v>
      </c>
      <c r="C2067" s="899" t="s">
        <v>11393</v>
      </c>
      <c r="D2067" s="988" t="s">
        <v>2666</v>
      </c>
      <c r="E2067" s="989">
        <v>7.37</v>
      </c>
      <c r="F2067" s="990"/>
      <c r="G2067" s="990"/>
      <c r="H2067" s="990"/>
      <c r="I2067" s="990"/>
      <c r="J2067" s="990"/>
      <c r="K2067" s="990"/>
      <c r="L2067" s="990"/>
      <c r="M2067" s="990"/>
      <c r="N2067" s="990"/>
      <c r="O2067" s="990"/>
      <c r="P2067" s="990"/>
      <c r="Q2067" s="990"/>
      <c r="R2067" s="990"/>
      <c r="S2067" s="990"/>
      <c r="T2067" s="990"/>
      <c r="U2067" s="990"/>
      <c r="V2067" s="990"/>
      <c r="W2067" s="990"/>
      <c r="X2067" s="990"/>
    </row>
    <row r="2068" spans="1:24" s="896" customFormat="1">
      <c r="A2068" s="987">
        <f t="shared" si="33"/>
        <v>1994</v>
      </c>
      <c r="B2068" s="988">
        <v>38098</v>
      </c>
      <c r="C2068" s="899" t="s">
        <v>11394</v>
      </c>
      <c r="D2068" s="988" t="s">
        <v>2666</v>
      </c>
      <c r="E2068" s="989">
        <v>7.37</v>
      </c>
      <c r="F2068" s="990"/>
      <c r="G2068" s="990"/>
      <c r="H2068" s="990"/>
      <c r="I2068" s="990"/>
      <c r="J2068" s="990"/>
      <c r="K2068" s="990"/>
      <c r="L2068" s="990"/>
      <c r="M2068" s="990"/>
      <c r="N2068" s="990"/>
      <c r="O2068" s="990"/>
      <c r="P2068" s="990"/>
      <c r="Q2068" s="990"/>
      <c r="R2068" s="990"/>
      <c r="S2068" s="990"/>
      <c r="T2068" s="990"/>
      <c r="U2068" s="990"/>
      <c r="V2068" s="990"/>
      <c r="W2068" s="990"/>
      <c r="X2068" s="990"/>
    </row>
    <row r="2069" spans="1:24" s="896" customFormat="1">
      <c r="A2069" s="987">
        <f t="shared" si="33"/>
        <v>1995</v>
      </c>
      <c r="B2069" s="988">
        <v>11186</v>
      </c>
      <c r="C2069" s="899" t="s">
        <v>11395</v>
      </c>
      <c r="D2069" s="988" t="s">
        <v>2667</v>
      </c>
      <c r="E2069" s="989">
        <v>515.99</v>
      </c>
      <c r="F2069" s="990"/>
      <c r="G2069" s="990"/>
      <c r="H2069" s="990"/>
      <c r="I2069" s="990"/>
      <c r="J2069" s="990"/>
      <c r="K2069" s="990"/>
      <c r="L2069" s="990"/>
      <c r="M2069" s="990"/>
      <c r="N2069" s="990"/>
      <c r="O2069" s="990"/>
      <c r="P2069" s="990"/>
      <c r="Q2069" s="990"/>
      <c r="R2069" s="990"/>
      <c r="S2069" s="990"/>
      <c r="T2069" s="990"/>
      <c r="U2069" s="990"/>
      <c r="V2069" s="990"/>
      <c r="W2069" s="990"/>
      <c r="X2069" s="990"/>
    </row>
    <row r="2070" spans="1:24" s="896" customFormat="1" ht="25.5">
      <c r="A2070" s="987">
        <f t="shared" si="33"/>
        <v>1996</v>
      </c>
      <c r="B2070" s="988">
        <v>11558</v>
      </c>
      <c r="C2070" s="899" t="s">
        <v>11396</v>
      </c>
      <c r="D2070" s="988" t="s">
        <v>2673</v>
      </c>
      <c r="E2070" s="989">
        <v>14.34</v>
      </c>
      <c r="F2070" s="990"/>
      <c r="G2070" s="990"/>
      <c r="H2070" s="990"/>
      <c r="I2070" s="990"/>
      <c r="J2070" s="990"/>
      <c r="K2070" s="990"/>
      <c r="L2070" s="990"/>
      <c r="M2070" s="990"/>
      <c r="N2070" s="990"/>
      <c r="O2070" s="990"/>
      <c r="P2070" s="990"/>
      <c r="Q2070" s="990"/>
      <c r="R2070" s="990"/>
      <c r="S2070" s="990"/>
      <c r="T2070" s="990"/>
      <c r="U2070" s="990"/>
      <c r="V2070" s="990"/>
      <c r="W2070" s="990"/>
      <c r="X2070" s="990"/>
    </row>
    <row r="2071" spans="1:24" s="896" customFormat="1" ht="25.5">
      <c r="A2071" s="987">
        <f t="shared" si="33"/>
        <v>1997</v>
      </c>
      <c r="B2071" s="988">
        <v>11557</v>
      </c>
      <c r="C2071" s="899" t="s">
        <v>11397</v>
      </c>
      <c r="D2071" s="988" t="s">
        <v>2673</v>
      </c>
      <c r="E2071" s="989">
        <v>36.29</v>
      </c>
      <c r="F2071" s="990"/>
      <c r="G2071" s="990"/>
      <c r="H2071" s="990"/>
      <c r="I2071" s="990"/>
      <c r="J2071" s="990"/>
      <c r="K2071" s="990"/>
      <c r="L2071" s="990"/>
      <c r="M2071" s="990"/>
      <c r="N2071" s="990"/>
      <c r="O2071" s="990"/>
      <c r="P2071" s="990"/>
      <c r="Q2071" s="990"/>
      <c r="R2071" s="990"/>
      <c r="S2071" s="990"/>
      <c r="T2071" s="990"/>
      <c r="U2071" s="990"/>
      <c r="V2071" s="990"/>
      <c r="W2071" s="990"/>
      <c r="X2071" s="990"/>
    </row>
    <row r="2072" spans="1:24" s="896" customFormat="1">
      <c r="A2072" s="987">
        <f t="shared" si="33"/>
        <v>1998</v>
      </c>
      <c r="B2072" s="988">
        <v>2759</v>
      </c>
      <c r="C2072" s="899" t="s">
        <v>11398</v>
      </c>
      <c r="D2072" s="988" t="s">
        <v>2666</v>
      </c>
      <c r="E2072" s="989">
        <v>10.43</v>
      </c>
      <c r="F2072" s="990"/>
      <c r="G2072" s="990"/>
      <c r="H2072" s="990"/>
      <c r="I2072" s="990"/>
      <c r="J2072" s="990"/>
      <c r="K2072" s="990"/>
      <c r="L2072" s="990"/>
      <c r="M2072" s="990"/>
      <c r="N2072" s="990"/>
      <c r="O2072" s="990"/>
      <c r="P2072" s="990"/>
      <c r="Q2072" s="990"/>
      <c r="R2072" s="990"/>
      <c r="S2072" s="990"/>
      <c r="T2072" s="990"/>
      <c r="U2072" s="990"/>
      <c r="V2072" s="990"/>
      <c r="W2072" s="990"/>
      <c r="X2072" s="990"/>
    </row>
    <row r="2073" spans="1:24" s="896" customFormat="1">
      <c r="A2073" s="987">
        <f t="shared" si="33"/>
        <v>1999</v>
      </c>
      <c r="B2073" s="988">
        <v>38124</v>
      </c>
      <c r="C2073" s="899" t="s">
        <v>11399</v>
      </c>
      <c r="D2073" s="988" t="s">
        <v>2666</v>
      </c>
      <c r="E2073" s="989">
        <v>29.2</v>
      </c>
      <c r="F2073" s="990"/>
      <c r="G2073" s="990"/>
      <c r="H2073" s="990"/>
      <c r="I2073" s="990"/>
      <c r="J2073" s="990"/>
      <c r="K2073" s="990"/>
      <c r="L2073" s="990"/>
      <c r="M2073" s="990"/>
      <c r="N2073" s="990"/>
      <c r="O2073" s="990"/>
      <c r="P2073" s="990"/>
      <c r="Q2073" s="990"/>
      <c r="R2073" s="990"/>
      <c r="S2073" s="990"/>
      <c r="T2073" s="990"/>
      <c r="U2073" s="990"/>
      <c r="V2073" s="990"/>
      <c r="W2073" s="990"/>
      <c r="X2073" s="990"/>
    </row>
    <row r="2074" spans="1:24" s="896" customFormat="1">
      <c r="A2074" s="987">
        <f t="shared" si="33"/>
        <v>2000</v>
      </c>
      <c r="B2074" s="988">
        <v>38380</v>
      </c>
      <c r="C2074" s="899" t="s">
        <v>11400</v>
      </c>
      <c r="D2074" s="988" t="s">
        <v>2666</v>
      </c>
      <c r="E2074" s="989">
        <v>27</v>
      </c>
      <c r="F2074" s="990"/>
      <c r="G2074" s="990"/>
      <c r="H2074" s="990"/>
      <c r="I2074" s="990"/>
      <c r="J2074" s="990"/>
      <c r="K2074" s="990"/>
      <c r="L2074" s="990"/>
      <c r="M2074" s="990"/>
      <c r="N2074" s="990"/>
      <c r="O2074" s="990"/>
      <c r="P2074" s="990"/>
      <c r="Q2074" s="990"/>
      <c r="R2074" s="990"/>
      <c r="S2074" s="990"/>
      <c r="T2074" s="990"/>
      <c r="U2074" s="990"/>
      <c r="V2074" s="990"/>
      <c r="W2074" s="990"/>
      <c r="X2074" s="990"/>
    </row>
    <row r="2075" spans="1:24" s="896" customFormat="1" ht="25.5">
      <c r="A2075" s="987">
        <f t="shared" si="33"/>
        <v>2001</v>
      </c>
      <c r="B2075" s="988">
        <v>20059</v>
      </c>
      <c r="C2075" s="899" t="s">
        <v>11401</v>
      </c>
      <c r="D2075" s="988" t="s">
        <v>2666</v>
      </c>
      <c r="E2075" s="989">
        <v>19.32</v>
      </c>
      <c r="F2075" s="990"/>
      <c r="G2075" s="990"/>
      <c r="H2075" s="990"/>
      <c r="I2075" s="990"/>
      <c r="J2075" s="990"/>
      <c r="K2075" s="990"/>
      <c r="L2075" s="990"/>
      <c r="M2075" s="990"/>
      <c r="N2075" s="990"/>
      <c r="O2075" s="990"/>
      <c r="P2075" s="990"/>
      <c r="Q2075" s="990"/>
      <c r="R2075" s="990"/>
      <c r="S2075" s="990"/>
      <c r="T2075" s="990"/>
      <c r="U2075" s="990"/>
      <c r="V2075" s="990"/>
      <c r="W2075" s="990"/>
      <c r="X2075" s="990"/>
    </row>
    <row r="2076" spans="1:24" s="896" customFormat="1" ht="38.25">
      <c r="A2076" s="987">
        <f t="shared" si="33"/>
        <v>2002</v>
      </c>
      <c r="B2076" s="988">
        <v>42429</v>
      </c>
      <c r="C2076" s="899" t="s">
        <v>11402</v>
      </c>
      <c r="D2076" s="988" t="s">
        <v>2666</v>
      </c>
      <c r="E2076" s="989">
        <v>5972.04</v>
      </c>
      <c r="F2076" s="990"/>
      <c r="G2076" s="990"/>
      <c r="H2076" s="990"/>
      <c r="I2076" s="990"/>
      <c r="J2076" s="990"/>
      <c r="K2076" s="990"/>
      <c r="L2076" s="990"/>
      <c r="M2076" s="990"/>
      <c r="N2076" s="990"/>
      <c r="O2076" s="990"/>
      <c r="P2076" s="990"/>
      <c r="Q2076" s="990"/>
      <c r="R2076" s="990"/>
      <c r="S2076" s="990"/>
      <c r="T2076" s="990"/>
      <c r="U2076" s="990"/>
      <c r="V2076" s="990"/>
      <c r="W2076" s="990"/>
      <c r="X2076" s="990"/>
    </row>
    <row r="2077" spans="1:24" s="896" customFormat="1">
      <c r="A2077" s="987">
        <f t="shared" si="33"/>
        <v>2003</v>
      </c>
      <c r="B2077" s="988">
        <v>39616</v>
      </c>
      <c r="C2077" s="899" t="s">
        <v>11403</v>
      </c>
      <c r="D2077" s="988" t="s">
        <v>2666</v>
      </c>
      <c r="E2077" s="989">
        <v>531.5</v>
      </c>
      <c r="F2077" s="990"/>
      <c r="G2077" s="990"/>
      <c r="H2077" s="990"/>
      <c r="I2077" s="990"/>
      <c r="J2077" s="990"/>
      <c r="K2077" s="990"/>
      <c r="L2077" s="990"/>
      <c r="M2077" s="990"/>
      <c r="N2077" s="990"/>
      <c r="O2077" s="990"/>
      <c r="P2077" s="990"/>
      <c r="Q2077" s="990"/>
      <c r="R2077" s="990"/>
      <c r="S2077" s="990"/>
      <c r="T2077" s="990"/>
      <c r="U2077" s="990"/>
      <c r="V2077" s="990"/>
      <c r="W2077" s="990"/>
      <c r="X2077" s="990"/>
    </row>
    <row r="2078" spans="1:24" s="896" customFormat="1">
      <c r="A2078" s="987">
        <f t="shared" si="33"/>
        <v>2004</v>
      </c>
      <c r="B2078" s="988">
        <v>39618</v>
      </c>
      <c r="C2078" s="899" t="s">
        <v>11404</v>
      </c>
      <c r="D2078" s="988" t="s">
        <v>2666</v>
      </c>
      <c r="E2078" s="989">
        <v>964.05</v>
      </c>
      <c r="F2078" s="990"/>
      <c r="G2078" s="990"/>
      <c r="H2078" s="990"/>
      <c r="I2078" s="990"/>
      <c r="J2078" s="990"/>
      <c r="K2078" s="990"/>
      <c r="L2078" s="990"/>
      <c r="M2078" s="990"/>
      <c r="N2078" s="990"/>
      <c r="O2078" s="990"/>
      <c r="P2078" s="990"/>
      <c r="Q2078" s="990"/>
      <c r="R2078" s="990"/>
      <c r="S2078" s="990"/>
      <c r="T2078" s="990"/>
      <c r="U2078" s="990"/>
      <c r="V2078" s="990"/>
      <c r="W2078" s="990"/>
      <c r="X2078" s="990"/>
    </row>
    <row r="2079" spans="1:24" s="896" customFormat="1">
      <c r="A2079" s="987">
        <f t="shared" si="33"/>
        <v>2005</v>
      </c>
      <c r="B2079" s="988">
        <v>39619</v>
      </c>
      <c r="C2079" s="899" t="s">
        <v>11405</v>
      </c>
      <c r="D2079" s="988" t="s">
        <v>2666</v>
      </c>
      <c r="E2079" s="989">
        <v>1320.36</v>
      </c>
      <c r="F2079" s="990"/>
      <c r="G2079" s="990"/>
      <c r="H2079" s="990"/>
      <c r="I2079" s="990"/>
      <c r="J2079" s="990"/>
      <c r="K2079" s="990"/>
      <c r="L2079" s="990"/>
      <c r="M2079" s="990"/>
      <c r="N2079" s="990"/>
      <c r="O2079" s="990"/>
      <c r="P2079" s="990"/>
      <c r="Q2079" s="990"/>
      <c r="R2079" s="990"/>
      <c r="S2079" s="990"/>
      <c r="T2079" s="990"/>
      <c r="U2079" s="990"/>
      <c r="V2079" s="990"/>
      <c r="W2079" s="990"/>
      <c r="X2079" s="990"/>
    </row>
    <row r="2080" spans="1:24" s="896" customFormat="1">
      <c r="A2080" s="987">
        <f t="shared" si="33"/>
        <v>2006</v>
      </c>
      <c r="B2080" s="988">
        <v>39613</v>
      </c>
      <c r="C2080" s="899" t="s">
        <v>11406</v>
      </c>
      <c r="D2080" s="988" t="s">
        <v>2666</v>
      </c>
      <c r="E2080" s="989">
        <v>211.12</v>
      </c>
      <c r="F2080" s="990"/>
      <c r="G2080" s="990"/>
      <c r="H2080" s="990"/>
      <c r="I2080" s="990"/>
      <c r="J2080" s="990"/>
      <c r="K2080" s="990"/>
      <c r="L2080" s="990"/>
      <c r="M2080" s="990"/>
      <c r="N2080" s="990"/>
      <c r="O2080" s="990"/>
      <c r="P2080" s="990"/>
      <c r="Q2080" s="990"/>
      <c r="R2080" s="990"/>
      <c r="S2080" s="990"/>
      <c r="T2080" s="990"/>
      <c r="U2080" s="990"/>
      <c r="V2080" s="990"/>
      <c r="W2080" s="990"/>
      <c r="X2080" s="990"/>
    </row>
    <row r="2081" spans="1:24" s="896" customFormat="1">
      <c r="A2081" s="987">
        <f t="shared" si="33"/>
        <v>2007</v>
      </c>
      <c r="B2081" s="988">
        <v>39614</v>
      </c>
      <c r="C2081" s="899" t="s">
        <v>11407</v>
      </c>
      <c r="D2081" s="988" t="s">
        <v>2666</v>
      </c>
      <c r="E2081" s="989">
        <v>308.01</v>
      </c>
      <c r="F2081" s="990"/>
      <c r="G2081" s="990"/>
      <c r="H2081" s="990"/>
      <c r="I2081" s="990"/>
      <c r="J2081" s="990"/>
      <c r="K2081" s="990"/>
      <c r="L2081" s="990"/>
      <c r="M2081" s="990"/>
      <c r="N2081" s="990"/>
      <c r="O2081" s="990"/>
      <c r="P2081" s="990"/>
      <c r="Q2081" s="990"/>
      <c r="R2081" s="990"/>
      <c r="S2081" s="990"/>
      <c r="T2081" s="990"/>
      <c r="U2081" s="990"/>
      <c r="V2081" s="990"/>
      <c r="W2081" s="990"/>
      <c r="X2081" s="990"/>
    </row>
    <row r="2082" spans="1:24" s="896" customFormat="1" ht="38.25">
      <c r="A2082" s="987">
        <f t="shared" si="33"/>
        <v>2008</v>
      </c>
      <c r="B2082" s="988">
        <v>38538</v>
      </c>
      <c r="C2082" s="899" t="s">
        <v>11408</v>
      </c>
      <c r="D2082" s="988" t="s">
        <v>2669</v>
      </c>
      <c r="E2082" s="989">
        <v>71.8</v>
      </c>
      <c r="F2082" s="990"/>
      <c r="G2082" s="990"/>
      <c r="H2082" s="990"/>
      <c r="I2082" s="990"/>
      <c r="J2082" s="990"/>
      <c r="K2082" s="990"/>
      <c r="L2082" s="990"/>
      <c r="M2082" s="990"/>
      <c r="N2082" s="990"/>
      <c r="O2082" s="990"/>
      <c r="P2082" s="990"/>
      <c r="Q2082" s="990"/>
      <c r="R2082" s="990"/>
      <c r="S2082" s="990"/>
      <c r="T2082" s="990"/>
      <c r="U2082" s="990"/>
      <c r="V2082" s="990"/>
      <c r="W2082" s="990"/>
      <c r="X2082" s="990"/>
    </row>
    <row r="2083" spans="1:24" s="896" customFormat="1" ht="38.25">
      <c r="A2083" s="987">
        <f t="shared" si="33"/>
        <v>2009</v>
      </c>
      <c r="B2083" s="988">
        <v>38539</v>
      </c>
      <c r="C2083" s="899" t="s">
        <v>11409</v>
      </c>
      <c r="D2083" s="988" t="s">
        <v>2669</v>
      </c>
      <c r="E2083" s="989">
        <v>97.63</v>
      </c>
      <c r="F2083" s="990"/>
      <c r="G2083" s="990"/>
      <c r="H2083" s="990"/>
      <c r="I2083" s="990"/>
      <c r="J2083" s="990"/>
      <c r="K2083" s="990"/>
      <c r="L2083" s="990"/>
      <c r="M2083" s="990"/>
      <c r="N2083" s="990"/>
      <c r="O2083" s="990"/>
      <c r="P2083" s="990"/>
      <c r="Q2083" s="990"/>
      <c r="R2083" s="990"/>
      <c r="S2083" s="990"/>
      <c r="T2083" s="990"/>
      <c r="U2083" s="990"/>
      <c r="V2083" s="990"/>
      <c r="W2083" s="990"/>
      <c r="X2083" s="990"/>
    </row>
    <row r="2084" spans="1:24" s="896" customFormat="1" ht="25.5">
      <c r="A2084" s="987">
        <f t="shared" si="33"/>
        <v>2010</v>
      </c>
      <c r="B2084" s="988">
        <v>38540</v>
      </c>
      <c r="C2084" s="899" t="s">
        <v>11410</v>
      </c>
      <c r="D2084" s="988" t="s">
        <v>2669</v>
      </c>
      <c r="E2084" s="989">
        <v>250.22</v>
      </c>
      <c r="F2084" s="990"/>
      <c r="G2084" s="990"/>
      <c r="H2084" s="990"/>
      <c r="I2084" s="990"/>
      <c r="J2084" s="990"/>
      <c r="K2084" s="990"/>
      <c r="L2084" s="990"/>
      <c r="M2084" s="990"/>
      <c r="N2084" s="990"/>
      <c r="O2084" s="990"/>
      <c r="P2084" s="990"/>
      <c r="Q2084" s="990"/>
      <c r="R2084" s="990"/>
      <c r="S2084" s="990"/>
      <c r="T2084" s="990"/>
      <c r="U2084" s="990"/>
      <c r="V2084" s="990"/>
      <c r="W2084" s="990"/>
      <c r="X2084" s="990"/>
    </row>
    <row r="2085" spans="1:24" s="896" customFormat="1">
      <c r="A2085" s="987">
        <f t="shared" si="33"/>
        <v>2011</v>
      </c>
      <c r="B2085" s="988">
        <v>38384</v>
      </c>
      <c r="C2085" s="899" t="s">
        <v>11411</v>
      </c>
      <c r="D2085" s="988" t="s">
        <v>2666</v>
      </c>
      <c r="E2085" s="989">
        <v>17.940000000000001</v>
      </c>
      <c r="F2085" s="990"/>
      <c r="G2085" s="990"/>
      <c r="H2085" s="990"/>
      <c r="I2085" s="990"/>
      <c r="J2085" s="990"/>
      <c r="K2085" s="990"/>
      <c r="L2085" s="990"/>
      <c r="M2085" s="990"/>
      <c r="N2085" s="990"/>
      <c r="O2085" s="990"/>
      <c r="P2085" s="990"/>
      <c r="Q2085" s="990"/>
      <c r="R2085" s="990"/>
      <c r="S2085" s="990"/>
      <c r="T2085" s="990"/>
      <c r="U2085" s="990"/>
      <c r="V2085" s="990"/>
      <c r="W2085" s="990"/>
      <c r="X2085" s="990"/>
    </row>
    <row r="2086" spans="1:24" s="896" customFormat="1">
      <c r="A2086" s="987">
        <f t="shared" si="33"/>
        <v>2012</v>
      </c>
      <c r="B2086" s="988">
        <v>13</v>
      </c>
      <c r="C2086" s="899" t="s">
        <v>11412</v>
      </c>
      <c r="D2086" s="988" t="s">
        <v>2670</v>
      </c>
      <c r="E2086" s="989">
        <v>19.239999999999998</v>
      </c>
      <c r="F2086" s="990"/>
      <c r="G2086" s="990"/>
      <c r="H2086" s="990"/>
      <c r="I2086" s="990"/>
      <c r="J2086" s="990"/>
      <c r="K2086" s="990"/>
      <c r="L2086" s="990"/>
      <c r="M2086" s="990"/>
      <c r="N2086" s="990"/>
      <c r="O2086" s="990"/>
      <c r="P2086" s="990"/>
      <c r="Q2086" s="990"/>
      <c r="R2086" s="990"/>
      <c r="S2086" s="990"/>
      <c r="T2086" s="990"/>
      <c r="U2086" s="990"/>
      <c r="V2086" s="990"/>
      <c r="W2086" s="990"/>
      <c r="X2086" s="990"/>
    </row>
    <row r="2087" spans="1:24" s="896" customFormat="1">
      <c r="A2087" s="987">
        <f t="shared" si="33"/>
        <v>2013</v>
      </c>
      <c r="B2087" s="988">
        <v>2762</v>
      </c>
      <c r="C2087" s="899" t="s">
        <v>11413</v>
      </c>
      <c r="D2087" s="988" t="s">
        <v>2669</v>
      </c>
      <c r="E2087" s="989">
        <v>13.03</v>
      </c>
      <c r="F2087" s="990"/>
      <c r="G2087" s="990"/>
      <c r="H2087" s="990"/>
      <c r="I2087" s="990"/>
      <c r="J2087" s="990"/>
      <c r="K2087" s="990"/>
      <c r="L2087" s="990"/>
      <c r="M2087" s="990"/>
      <c r="N2087" s="990"/>
      <c r="O2087" s="990"/>
      <c r="P2087" s="990"/>
      <c r="Q2087" s="990"/>
      <c r="R2087" s="990"/>
      <c r="S2087" s="990"/>
      <c r="T2087" s="990"/>
      <c r="U2087" s="990"/>
      <c r="V2087" s="990"/>
      <c r="W2087" s="990"/>
      <c r="X2087" s="990"/>
    </row>
    <row r="2088" spans="1:24" s="896" customFormat="1" ht="25.5">
      <c r="A2088" s="987">
        <f t="shared" si="33"/>
        <v>2014</v>
      </c>
      <c r="B2088" s="988">
        <v>21142</v>
      </c>
      <c r="C2088" s="899" t="s">
        <v>11414</v>
      </c>
      <c r="D2088" s="988" t="s">
        <v>2666</v>
      </c>
      <c r="E2088" s="989">
        <v>25.45</v>
      </c>
      <c r="F2088" s="990"/>
      <c r="G2088" s="990"/>
      <c r="H2088" s="990"/>
      <c r="I2088" s="990"/>
      <c r="J2088" s="990"/>
      <c r="K2088" s="990"/>
      <c r="L2088" s="990"/>
      <c r="M2088" s="990"/>
      <c r="N2088" s="990"/>
      <c r="O2088" s="990"/>
      <c r="P2088" s="990"/>
      <c r="Q2088" s="990"/>
      <c r="R2088" s="990"/>
      <c r="S2088" s="990"/>
      <c r="T2088" s="990"/>
      <c r="U2088" s="990"/>
      <c r="V2088" s="990"/>
      <c r="W2088" s="990"/>
      <c r="X2088" s="990"/>
    </row>
    <row r="2089" spans="1:24" s="896" customFormat="1">
      <c r="A2089" s="987">
        <f t="shared" si="33"/>
        <v>2015</v>
      </c>
      <c r="B2089" s="988">
        <v>4223</v>
      </c>
      <c r="C2089" s="899" t="s">
        <v>11415</v>
      </c>
      <c r="D2089" s="988" t="s">
        <v>2671</v>
      </c>
      <c r="E2089" s="989">
        <v>4.6900000000000004</v>
      </c>
      <c r="F2089" s="990"/>
      <c r="G2089" s="990"/>
      <c r="H2089" s="990"/>
      <c r="I2089" s="990"/>
      <c r="J2089" s="990"/>
      <c r="K2089" s="990"/>
      <c r="L2089" s="990"/>
      <c r="M2089" s="990"/>
      <c r="N2089" s="990"/>
      <c r="O2089" s="990"/>
      <c r="P2089" s="990"/>
      <c r="Q2089" s="990"/>
      <c r="R2089" s="990"/>
      <c r="S2089" s="990"/>
      <c r="T2089" s="990"/>
      <c r="U2089" s="990"/>
      <c r="V2089" s="990"/>
      <c r="W2089" s="990"/>
      <c r="X2089" s="990"/>
    </row>
    <row r="2090" spans="1:24" s="896" customFormat="1">
      <c r="A2090" s="987">
        <f t="shared" si="33"/>
        <v>2016</v>
      </c>
      <c r="B2090" s="988">
        <v>37372</v>
      </c>
      <c r="C2090" s="899" t="s">
        <v>11416</v>
      </c>
      <c r="D2090" s="988" t="s">
        <v>2665</v>
      </c>
      <c r="E2090" s="989">
        <v>0.81</v>
      </c>
      <c r="F2090" s="990"/>
      <c r="G2090" s="990"/>
      <c r="H2090" s="990"/>
      <c r="I2090" s="990"/>
      <c r="J2090" s="990"/>
      <c r="K2090" s="990"/>
      <c r="L2090" s="990"/>
      <c r="M2090" s="990"/>
      <c r="N2090" s="990"/>
      <c r="O2090" s="990"/>
      <c r="P2090" s="990"/>
      <c r="Q2090" s="990"/>
      <c r="R2090" s="990"/>
      <c r="S2090" s="990"/>
      <c r="T2090" s="990"/>
      <c r="U2090" s="990"/>
      <c r="V2090" s="990"/>
      <c r="W2090" s="990"/>
      <c r="X2090" s="990"/>
    </row>
    <row r="2091" spans="1:24" s="896" customFormat="1">
      <c r="A2091" s="987">
        <f t="shared" si="33"/>
        <v>2017</v>
      </c>
      <c r="B2091" s="988">
        <v>40863</v>
      </c>
      <c r="C2091" s="899" t="s">
        <v>11417</v>
      </c>
      <c r="D2091" s="988" t="s">
        <v>2672</v>
      </c>
      <c r="E2091" s="989">
        <v>152.35</v>
      </c>
      <c r="F2091" s="990"/>
      <c r="G2091" s="990"/>
      <c r="H2091" s="990"/>
      <c r="I2091" s="990"/>
      <c r="J2091" s="990"/>
      <c r="K2091" s="990"/>
      <c r="L2091" s="990"/>
      <c r="M2091" s="990"/>
      <c r="N2091" s="990"/>
      <c r="O2091" s="990"/>
      <c r="P2091" s="990"/>
      <c r="Q2091" s="990"/>
      <c r="R2091" s="990"/>
      <c r="S2091" s="990"/>
      <c r="T2091" s="990"/>
      <c r="U2091" s="990"/>
      <c r="V2091" s="990"/>
      <c r="W2091" s="990"/>
      <c r="X2091" s="990"/>
    </row>
    <row r="2092" spans="1:24" s="896" customFormat="1">
      <c r="A2092" s="987">
        <f t="shared" si="33"/>
        <v>2018</v>
      </c>
      <c r="B2092" s="988">
        <v>38475</v>
      </c>
      <c r="C2092" s="899" t="s">
        <v>11418</v>
      </c>
      <c r="D2092" s="988" t="s">
        <v>2666</v>
      </c>
      <c r="E2092" s="989">
        <v>36.19</v>
      </c>
      <c r="F2092" s="990"/>
      <c r="G2092" s="990"/>
      <c r="H2092" s="990"/>
      <c r="I2092" s="990"/>
      <c r="J2092" s="990"/>
      <c r="K2092" s="990"/>
      <c r="L2092" s="990"/>
      <c r="M2092" s="990"/>
      <c r="N2092" s="990"/>
      <c r="O2092" s="990"/>
      <c r="P2092" s="990"/>
      <c r="Q2092" s="990"/>
      <c r="R2092" s="990"/>
      <c r="S2092" s="990"/>
      <c r="T2092" s="990"/>
      <c r="U2092" s="990"/>
      <c r="V2092" s="990"/>
      <c r="W2092" s="990"/>
      <c r="X2092" s="990"/>
    </row>
    <row r="2093" spans="1:24" s="896" customFormat="1">
      <c r="A2093" s="987">
        <f t="shared" si="33"/>
        <v>2019</v>
      </c>
      <c r="B2093" s="988">
        <v>38474</v>
      </c>
      <c r="C2093" s="899" t="s">
        <v>11419</v>
      </c>
      <c r="D2093" s="988" t="s">
        <v>2666</v>
      </c>
      <c r="E2093" s="989">
        <v>44.74</v>
      </c>
      <c r="F2093" s="990"/>
      <c r="G2093" s="990"/>
      <c r="H2093" s="990"/>
      <c r="I2093" s="990"/>
      <c r="J2093" s="990"/>
      <c r="K2093" s="990"/>
      <c r="L2093" s="990"/>
      <c r="M2093" s="990"/>
      <c r="N2093" s="990"/>
      <c r="O2093" s="990"/>
      <c r="P2093" s="990"/>
      <c r="Q2093" s="990"/>
      <c r="R2093" s="990"/>
      <c r="S2093" s="990"/>
      <c r="T2093" s="990"/>
      <c r="U2093" s="990"/>
      <c r="V2093" s="990"/>
      <c r="W2093" s="990"/>
      <c r="X2093" s="990"/>
    </row>
    <row r="2094" spans="1:24" s="896" customFormat="1">
      <c r="A2094" s="987">
        <f t="shared" si="33"/>
        <v>2020</v>
      </c>
      <c r="B2094" s="988">
        <v>10886</v>
      </c>
      <c r="C2094" s="899" t="s">
        <v>11420</v>
      </c>
      <c r="D2094" s="988" t="s">
        <v>2666</v>
      </c>
      <c r="E2094" s="989">
        <v>168</v>
      </c>
      <c r="F2094" s="990"/>
      <c r="G2094" s="990"/>
      <c r="H2094" s="990"/>
      <c r="I2094" s="990"/>
      <c r="J2094" s="990"/>
      <c r="K2094" s="990"/>
      <c r="L2094" s="990"/>
      <c r="M2094" s="990"/>
      <c r="N2094" s="990"/>
      <c r="O2094" s="990"/>
      <c r="P2094" s="990"/>
      <c r="Q2094" s="990"/>
      <c r="R2094" s="990"/>
      <c r="S2094" s="990"/>
      <c r="T2094" s="990"/>
      <c r="U2094" s="990"/>
      <c r="V2094" s="990"/>
      <c r="W2094" s="990"/>
      <c r="X2094" s="990"/>
    </row>
    <row r="2095" spans="1:24" s="896" customFormat="1">
      <c r="A2095" s="987">
        <f t="shared" si="33"/>
        <v>2021</v>
      </c>
      <c r="B2095" s="988">
        <v>10888</v>
      </c>
      <c r="C2095" s="899" t="s">
        <v>11421</v>
      </c>
      <c r="D2095" s="988" t="s">
        <v>2666</v>
      </c>
      <c r="E2095" s="989">
        <v>531.69000000000005</v>
      </c>
      <c r="F2095" s="990"/>
      <c r="G2095" s="990"/>
      <c r="H2095" s="990"/>
      <c r="I2095" s="990"/>
      <c r="J2095" s="990"/>
      <c r="K2095" s="990"/>
      <c r="L2095" s="990"/>
      <c r="M2095" s="990"/>
      <c r="N2095" s="990"/>
      <c r="O2095" s="990"/>
      <c r="P2095" s="990"/>
      <c r="Q2095" s="990"/>
      <c r="R2095" s="990"/>
      <c r="S2095" s="990"/>
      <c r="T2095" s="990"/>
      <c r="U2095" s="990"/>
      <c r="V2095" s="990"/>
      <c r="W2095" s="990"/>
      <c r="X2095" s="990"/>
    </row>
    <row r="2096" spans="1:24" s="896" customFormat="1">
      <c r="A2096" s="987">
        <f t="shared" si="33"/>
        <v>2022</v>
      </c>
      <c r="B2096" s="988">
        <v>10889</v>
      </c>
      <c r="C2096" s="899" t="s">
        <v>11422</v>
      </c>
      <c r="D2096" s="988" t="s">
        <v>2666</v>
      </c>
      <c r="E2096" s="989">
        <v>576</v>
      </c>
      <c r="F2096" s="990"/>
      <c r="G2096" s="990"/>
      <c r="H2096" s="990"/>
      <c r="I2096" s="990"/>
      <c r="J2096" s="990"/>
      <c r="K2096" s="990"/>
      <c r="L2096" s="990"/>
      <c r="M2096" s="990"/>
      <c r="N2096" s="990"/>
      <c r="O2096" s="990"/>
      <c r="P2096" s="990"/>
      <c r="Q2096" s="990"/>
      <c r="R2096" s="990"/>
      <c r="S2096" s="990"/>
      <c r="T2096" s="990"/>
      <c r="U2096" s="990"/>
      <c r="V2096" s="990"/>
      <c r="W2096" s="990"/>
      <c r="X2096" s="990"/>
    </row>
    <row r="2097" spans="1:24" s="896" customFormat="1" ht="25.5">
      <c r="A2097" s="987">
        <f t="shared" si="33"/>
        <v>2023</v>
      </c>
      <c r="B2097" s="988">
        <v>10890</v>
      </c>
      <c r="C2097" s="899" t="s">
        <v>11423</v>
      </c>
      <c r="D2097" s="988" t="s">
        <v>2666</v>
      </c>
      <c r="E2097" s="989">
        <v>265.83999999999997</v>
      </c>
      <c r="F2097" s="990"/>
      <c r="G2097" s="990"/>
      <c r="H2097" s="990"/>
      <c r="I2097" s="990"/>
      <c r="J2097" s="990"/>
      <c r="K2097" s="990"/>
      <c r="L2097" s="990"/>
      <c r="M2097" s="990"/>
      <c r="N2097" s="990"/>
      <c r="O2097" s="990"/>
      <c r="P2097" s="990"/>
      <c r="Q2097" s="990"/>
      <c r="R2097" s="990"/>
      <c r="S2097" s="990"/>
      <c r="T2097" s="990"/>
      <c r="U2097" s="990"/>
      <c r="V2097" s="990"/>
      <c r="W2097" s="990"/>
      <c r="X2097" s="990"/>
    </row>
    <row r="2098" spans="1:24" s="896" customFormat="1" ht="25.5">
      <c r="A2098" s="987">
        <f t="shared" si="33"/>
        <v>2024</v>
      </c>
      <c r="B2098" s="988">
        <v>10891</v>
      </c>
      <c r="C2098" s="899" t="s">
        <v>11424</v>
      </c>
      <c r="D2098" s="988" t="s">
        <v>2666</v>
      </c>
      <c r="E2098" s="989">
        <v>162.46</v>
      </c>
      <c r="F2098" s="990"/>
      <c r="G2098" s="990"/>
      <c r="H2098" s="990"/>
      <c r="I2098" s="990"/>
      <c r="J2098" s="990"/>
      <c r="K2098" s="990"/>
      <c r="L2098" s="990"/>
      <c r="M2098" s="990"/>
      <c r="N2098" s="990"/>
      <c r="O2098" s="990"/>
      <c r="P2098" s="990"/>
      <c r="Q2098" s="990"/>
      <c r="R2098" s="990"/>
      <c r="S2098" s="990"/>
      <c r="T2098" s="990"/>
      <c r="U2098" s="990"/>
      <c r="V2098" s="990"/>
      <c r="W2098" s="990"/>
      <c r="X2098" s="990"/>
    </row>
    <row r="2099" spans="1:24" s="896" customFormat="1" ht="25.5">
      <c r="A2099" s="987">
        <f t="shared" si="33"/>
        <v>2025</v>
      </c>
      <c r="B2099" s="988">
        <v>10892</v>
      </c>
      <c r="C2099" s="899" t="s">
        <v>11425</v>
      </c>
      <c r="D2099" s="988" t="s">
        <v>2666</v>
      </c>
      <c r="E2099" s="989">
        <v>192</v>
      </c>
      <c r="F2099" s="990"/>
      <c r="G2099" s="990"/>
      <c r="H2099" s="990"/>
      <c r="I2099" s="990"/>
      <c r="J2099" s="990"/>
      <c r="K2099" s="990"/>
      <c r="L2099" s="990"/>
      <c r="M2099" s="990"/>
      <c r="N2099" s="990"/>
      <c r="O2099" s="990"/>
      <c r="P2099" s="990"/>
      <c r="Q2099" s="990"/>
      <c r="R2099" s="990"/>
      <c r="S2099" s="990"/>
      <c r="T2099" s="990"/>
      <c r="U2099" s="990"/>
      <c r="V2099" s="990"/>
      <c r="W2099" s="990"/>
      <c r="X2099" s="990"/>
    </row>
    <row r="2100" spans="1:24" s="896" customFormat="1" ht="25.5">
      <c r="A2100" s="987">
        <f t="shared" si="33"/>
        <v>2026</v>
      </c>
      <c r="B2100" s="988">
        <v>20977</v>
      </c>
      <c r="C2100" s="899" t="s">
        <v>11426</v>
      </c>
      <c r="D2100" s="988" t="s">
        <v>2666</v>
      </c>
      <c r="E2100" s="989">
        <v>228.92</v>
      </c>
      <c r="F2100" s="990"/>
      <c r="G2100" s="990"/>
      <c r="H2100" s="990"/>
      <c r="I2100" s="990"/>
      <c r="J2100" s="990"/>
      <c r="K2100" s="990"/>
      <c r="L2100" s="990"/>
      <c r="M2100" s="990"/>
      <c r="N2100" s="990"/>
      <c r="O2100" s="990"/>
      <c r="P2100" s="990"/>
      <c r="Q2100" s="990"/>
      <c r="R2100" s="990"/>
      <c r="S2100" s="990"/>
      <c r="T2100" s="990"/>
      <c r="U2100" s="990"/>
      <c r="V2100" s="990"/>
      <c r="W2100" s="990"/>
      <c r="X2100" s="990"/>
    </row>
    <row r="2101" spans="1:24" s="896" customFormat="1">
      <c r="A2101" s="987">
        <f t="shared" si="33"/>
        <v>2027</v>
      </c>
      <c r="B2101" s="988">
        <v>3073</v>
      </c>
      <c r="C2101" s="899" t="s">
        <v>11427</v>
      </c>
      <c r="D2101" s="988" t="s">
        <v>2666</v>
      </c>
      <c r="E2101" s="989">
        <v>244</v>
      </c>
      <c r="F2101" s="990"/>
      <c r="G2101" s="990"/>
      <c r="H2101" s="990"/>
      <c r="I2101" s="990"/>
      <c r="J2101" s="990"/>
      <c r="K2101" s="990"/>
      <c r="L2101" s="990"/>
      <c r="M2101" s="990"/>
      <c r="N2101" s="990"/>
      <c r="O2101" s="990"/>
      <c r="P2101" s="990"/>
      <c r="Q2101" s="990"/>
      <c r="R2101" s="990"/>
      <c r="S2101" s="990"/>
      <c r="T2101" s="990"/>
      <c r="U2101" s="990"/>
      <c r="V2101" s="990"/>
      <c r="W2101" s="990"/>
      <c r="X2101" s="990"/>
    </row>
    <row r="2102" spans="1:24" s="896" customFormat="1">
      <c r="A2102" s="987">
        <f t="shared" si="33"/>
        <v>2028</v>
      </c>
      <c r="B2102" s="988">
        <v>3068</v>
      </c>
      <c r="C2102" s="899" t="s">
        <v>11428</v>
      </c>
      <c r="D2102" s="988" t="s">
        <v>2666</v>
      </c>
      <c r="E2102" s="989">
        <v>48.78</v>
      </c>
      <c r="F2102" s="990"/>
      <c r="G2102" s="990"/>
      <c r="H2102" s="990"/>
      <c r="I2102" s="990"/>
      <c r="J2102" s="990"/>
      <c r="K2102" s="990"/>
      <c r="L2102" s="990"/>
      <c r="M2102" s="990"/>
      <c r="N2102" s="990"/>
      <c r="O2102" s="990"/>
      <c r="P2102" s="990"/>
      <c r="Q2102" s="990"/>
      <c r="R2102" s="990"/>
      <c r="S2102" s="990"/>
      <c r="T2102" s="990"/>
      <c r="U2102" s="990"/>
      <c r="V2102" s="990"/>
      <c r="W2102" s="990"/>
      <c r="X2102" s="990"/>
    </row>
    <row r="2103" spans="1:24" s="896" customFormat="1">
      <c r="A2103" s="987">
        <f t="shared" si="33"/>
        <v>2029</v>
      </c>
      <c r="B2103" s="988">
        <v>3074</v>
      </c>
      <c r="C2103" s="899" t="s">
        <v>11429</v>
      </c>
      <c r="D2103" s="988" t="s">
        <v>2666</v>
      </c>
      <c r="E2103" s="989">
        <v>154.04</v>
      </c>
      <c r="F2103" s="990"/>
      <c r="G2103" s="990"/>
      <c r="H2103" s="990"/>
      <c r="I2103" s="990"/>
      <c r="J2103" s="990"/>
      <c r="K2103" s="990"/>
      <c r="L2103" s="990"/>
      <c r="M2103" s="990"/>
      <c r="N2103" s="990"/>
      <c r="O2103" s="990"/>
      <c r="P2103" s="990"/>
      <c r="Q2103" s="990"/>
      <c r="R2103" s="990"/>
      <c r="S2103" s="990"/>
      <c r="T2103" s="990"/>
      <c r="U2103" s="990"/>
      <c r="V2103" s="990"/>
      <c r="W2103" s="990"/>
      <c r="X2103" s="990"/>
    </row>
    <row r="2104" spans="1:24" s="896" customFormat="1">
      <c r="A2104" s="987">
        <f t="shared" si="33"/>
        <v>2030</v>
      </c>
      <c r="B2104" s="988">
        <v>3076</v>
      </c>
      <c r="C2104" s="899" t="s">
        <v>11430</v>
      </c>
      <c r="D2104" s="988" t="s">
        <v>2666</v>
      </c>
      <c r="E2104" s="989">
        <v>200.6</v>
      </c>
      <c r="F2104" s="990"/>
      <c r="G2104" s="990"/>
      <c r="H2104" s="990"/>
      <c r="I2104" s="990"/>
      <c r="J2104" s="990"/>
      <c r="K2104" s="990"/>
      <c r="L2104" s="990"/>
      <c r="M2104" s="990"/>
      <c r="N2104" s="990"/>
      <c r="O2104" s="990"/>
      <c r="P2104" s="990"/>
      <c r="Q2104" s="990"/>
      <c r="R2104" s="990"/>
      <c r="S2104" s="990"/>
      <c r="T2104" s="990"/>
      <c r="U2104" s="990"/>
      <c r="V2104" s="990"/>
      <c r="W2104" s="990"/>
      <c r="X2104" s="990"/>
    </row>
    <row r="2105" spans="1:24" s="896" customFormat="1">
      <c r="A2105" s="987">
        <f t="shared" si="33"/>
        <v>2031</v>
      </c>
      <c r="B2105" s="988">
        <v>3072</v>
      </c>
      <c r="C2105" s="899" t="s">
        <v>11431</v>
      </c>
      <c r="D2105" s="988" t="s">
        <v>2666</v>
      </c>
      <c r="E2105" s="989">
        <v>50.53</v>
      </c>
      <c r="F2105" s="990"/>
      <c r="G2105" s="990"/>
      <c r="H2105" s="990"/>
      <c r="I2105" s="990"/>
      <c r="J2105" s="990"/>
      <c r="K2105" s="990"/>
      <c r="L2105" s="990"/>
      <c r="M2105" s="990"/>
      <c r="N2105" s="990"/>
      <c r="O2105" s="990"/>
      <c r="P2105" s="990"/>
      <c r="Q2105" s="990"/>
      <c r="R2105" s="990"/>
      <c r="S2105" s="990"/>
      <c r="T2105" s="990"/>
      <c r="U2105" s="990"/>
      <c r="V2105" s="990"/>
      <c r="W2105" s="990"/>
      <c r="X2105" s="990"/>
    </row>
    <row r="2106" spans="1:24" s="896" customFormat="1">
      <c r="A2106" s="987">
        <f t="shared" si="33"/>
        <v>2032</v>
      </c>
      <c r="B2106" s="988">
        <v>3075</v>
      </c>
      <c r="C2106" s="899" t="s">
        <v>11432</v>
      </c>
      <c r="D2106" s="988" t="s">
        <v>2666</v>
      </c>
      <c r="E2106" s="989">
        <v>126.76</v>
      </c>
      <c r="F2106" s="990"/>
      <c r="G2106" s="990"/>
      <c r="H2106" s="990"/>
      <c r="I2106" s="990"/>
      <c r="J2106" s="990"/>
      <c r="K2106" s="990"/>
      <c r="L2106" s="990"/>
      <c r="M2106" s="990"/>
      <c r="N2106" s="990"/>
      <c r="O2106" s="990"/>
      <c r="P2106" s="990"/>
      <c r="Q2106" s="990"/>
      <c r="R2106" s="990"/>
      <c r="S2106" s="990"/>
      <c r="T2106" s="990"/>
      <c r="U2106" s="990"/>
      <c r="V2106" s="990"/>
      <c r="W2106" s="990"/>
      <c r="X2106" s="990"/>
    </row>
    <row r="2107" spans="1:24" s="896" customFormat="1" ht="25.5">
      <c r="A2107" s="987">
        <f t="shared" si="33"/>
        <v>2033</v>
      </c>
      <c r="B2107" s="988">
        <v>10780</v>
      </c>
      <c r="C2107" s="899" t="s">
        <v>11433</v>
      </c>
      <c r="D2107" s="988" t="s">
        <v>2666</v>
      </c>
      <c r="E2107" s="989">
        <v>10.71</v>
      </c>
      <c r="F2107" s="990"/>
      <c r="G2107" s="990"/>
      <c r="H2107" s="990"/>
      <c r="I2107" s="990"/>
      <c r="J2107" s="990"/>
      <c r="K2107" s="990"/>
      <c r="L2107" s="990"/>
      <c r="M2107" s="990"/>
      <c r="N2107" s="990"/>
      <c r="O2107" s="990"/>
      <c r="P2107" s="990"/>
      <c r="Q2107" s="990"/>
      <c r="R2107" s="990"/>
      <c r="S2107" s="990"/>
      <c r="T2107" s="990"/>
      <c r="U2107" s="990"/>
      <c r="V2107" s="990"/>
      <c r="W2107" s="990"/>
      <c r="X2107" s="990"/>
    </row>
    <row r="2108" spans="1:24" s="896" customFormat="1" ht="25.5">
      <c r="A2108" s="987">
        <f t="shared" si="33"/>
        <v>2034</v>
      </c>
      <c r="B2108" s="988">
        <v>10781</v>
      </c>
      <c r="C2108" s="899" t="s">
        <v>11434</v>
      </c>
      <c r="D2108" s="988" t="s">
        <v>2666</v>
      </c>
      <c r="E2108" s="989">
        <v>17.190000000000001</v>
      </c>
      <c r="F2108" s="990"/>
      <c r="G2108" s="990"/>
      <c r="H2108" s="990"/>
      <c r="I2108" s="990"/>
      <c r="J2108" s="990"/>
      <c r="K2108" s="990"/>
      <c r="L2108" s="990"/>
      <c r="M2108" s="990"/>
      <c r="N2108" s="990"/>
      <c r="O2108" s="990"/>
      <c r="P2108" s="990"/>
      <c r="Q2108" s="990"/>
      <c r="R2108" s="990"/>
      <c r="S2108" s="990"/>
      <c r="T2108" s="990"/>
      <c r="U2108" s="990"/>
      <c r="V2108" s="990"/>
      <c r="W2108" s="990"/>
      <c r="X2108" s="990"/>
    </row>
    <row r="2109" spans="1:24" s="896" customFormat="1" ht="25.5">
      <c r="A2109" s="987">
        <f t="shared" si="33"/>
        <v>2035</v>
      </c>
      <c r="B2109" s="988">
        <v>20106</v>
      </c>
      <c r="C2109" s="899" t="s">
        <v>11435</v>
      </c>
      <c r="D2109" s="988" t="s">
        <v>2666</v>
      </c>
      <c r="E2109" s="989">
        <v>5.66</v>
      </c>
      <c r="F2109" s="990"/>
      <c r="G2109" s="990"/>
      <c r="H2109" s="990"/>
      <c r="I2109" s="990"/>
      <c r="J2109" s="990"/>
      <c r="K2109" s="990"/>
      <c r="L2109" s="990"/>
      <c r="M2109" s="990"/>
      <c r="N2109" s="990"/>
      <c r="O2109" s="990"/>
      <c r="P2109" s="990"/>
      <c r="Q2109" s="990"/>
      <c r="R2109" s="990"/>
      <c r="S2109" s="990"/>
      <c r="T2109" s="990"/>
      <c r="U2109" s="990"/>
      <c r="V2109" s="990"/>
      <c r="W2109" s="990"/>
      <c r="X2109" s="990"/>
    </row>
    <row r="2110" spans="1:24" s="896" customFormat="1" ht="25.5">
      <c r="A2110" s="987">
        <f t="shared" si="33"/>
        <v>2036</v>
      </c>
      <c r="B2110" s="988">
        <v>20107</v>
      </c>
      <c r="C2110" s="899" t="s">
        <v>11436</v>
      </c>
      <c r="D2110" s="988" t="s">
        <v>2666</v>
      </c>
      <c r="E2110" s="989">
        <v>6.49</v>
      </c>
      <c r="F2110" s="990"/>
      <c r="G2110" s="990"/>
      <c r="H2110" s="990"/>
      <c r="I2110" s="990"/>
      <c r="J2110" s="990"/>
      <c r="K2110" s="990"/>
      <c r="L2110" s="990"/>
      <c r="M2110" s="990"/>
      <c r="N2110" s="990"/>
      <c r="O2110" s="990"/>
      <c r="P2110" s="990"/>
      <c r="Q2110" s="990"/>
      <c r="R2110" s="990"/>
      <c r="S2110" s="990"/>
      <c r="T2110" s="990"/>
      <c r="U2110" s="990"/>
      <c r="V2110" s="990"/>
      <c r="W2110" s="990"/>
      <c r="X2110" s="990"/>
    </row>
    <row r="2111" spans="1:24" s="896" customFormat="1" ht="25.5">
      <c r="A2111" s="987">
        <f t="shared" si="33"/>
        <v>2037</v>
      </c>
      <c r="B2111" s="988">
        <v>20108</v>
      </c>
      <c r="C2111" s="899" t="s">
        <v>11437</v>
      </c>
      <c r="D2111" s="988" t="s">
        <v>2666</v>
      </c>
      <c r="E2111" s="989">
        <v>8.57</v>
      </c>
      <c r="F2111" s="990"/>
      <c r="G2111" s="990"/>
      <c r="H2111" s="990"/>
      <c r="I2111" s="990"/>
      <c r="J2111" s="990"/>
      <c r="K2111" s="990"/>
      <c r="L2111" s="990"/>
      <c r="M2111" s="990"/>
      <c r="N2111" s="990"/>
      <c r="O2111" s="990"/>
      <c r="P2111" s="990"/>
      <c r="Q2111" s="990"/>
      <c r="R2111" s="990"/>
      <c r="S2111" s="990"/>
      <c r="T2111" s="990"/>
      <c r="U2111" s="990"/>
      <c r="V2111" s="990"/>
      <c r="W2111" s="990"/>
      <c r="X2111" s="990"/>
    </row>
    <row r="2112" spans="1:24" s="896" customFormat="1" ht="25.5">
      <c r="A2112" s="987">
        <f t="shared" si="33"/>
        <v>2038</v>
      </c>
      <c r="B2112" s="988">
        <v>20109</v>
      </c>
      <c r="C2112" s="899" t="s">
        <v>11438</v>
      </c>
      <c r="D2112" s="988" t="s">
        <v>2666</v>
      </c>
      <c r="E2112" s="989">
        <v>10.71</v>
      </c>
      <c r="F2112" s="990"/>
      <c r="G2112" s="990"/>
      <c r="H2112" s="990"/>
      <c r="I2112" s="990"/>
      <c r="J2112" s="990"/>
      <c r="K2112" s="990"/>
      <c r="L2112" s="990"/>
      <c r="M2112" s="990"/>
      <c r="N2112" s="990"/>
      <c r="O2112" s="990"/>
      <c r="P2112" s="990"/>
      <c r="Q2112" s="990"/>
      <c r="R2112" s="990"/>
      <c r="S2112" s="990"/>
      <c r="T2112" s="990"/>
      <c r="U2112" s="990"/>
      <c r="V2112" s="990"/>
      <c r="W2112" s="990"/>
      <c r="X2112" s="990"/>
    </row>
    <row r="2113" spans="1:24" s="896" customFormat="1" ht="25.5">
      <c r="A2113" s="987">
        <f t="shared" si="33"/>
        <v>2039</v>
      </c>
      <c r="B2113" s="988">
        <v>43612</v>
      </c>
      <c r="C2113" s="899" t="s">
        <v>11439</v>
      </c>
      <c r="D2113" s="988" t="s">
        <v>2677</v>
      </c>
      <c r="E2113" s="989">
        <v>105.98</v>
      </c>
      <c r="F2113" s="990"/>
      <c r="G2113" s="990"/>
      <c r="H2113" s="990"/>
      <c r="I2113" s="990"/>
      <c r="J2113" s="990"/>
      <c r="K2113" s="990"/>
      <c r="L2113" s="990"/>
      <c r="M2113" s="990"/>
      <c r="N2113" s="990"/>
      <c r="O2113" s="990"/>
      <c r="P2113" s="990"/>
      <c r="Q2113" s="990"/>
      <c r="R2113" s="990"/>
      <c r="S2113" s="990"/>
      <c r="T2113" s="990"/>
      <c r="U2113" s="990"/>
      <c r="V2113" s="990"/>
      <c r="W2113" s="990"/>
      <c r="X2113" s="990"/>
    </row>
    <row r="2114" spans="1:24" s="896" customFormat="1" ht="25.5">
      <c r="A2114" s="987">
        <f t="shared" si="33"/>
        <v>2040</v>
      </c>
      <c r="B2114" s="988">
        <v>43613</v>
      </c>
      <c r="C2114" s="899" t="s">
        <v>11440</v>
      </c>
      <c r="D2114" s="988" t="s">
        <v>2677</v>
      </c>
      <c r="E2114" s="989">
        <v>87.74</v>
      </c>
      <c r="F2114" s="990"/>
      <c r="G2114" s="990"/>
      <c r="H2114" s="990"/>
      <c r="I2114" s="990"/>
      <c r="J2114" s="990"/>
      <c r="K2114" s="990"/>
      <c r="L2114" s="990"/>
      <c r="M2114" s="990"/>
      <c r="N2114" s="990"/>
      <c r="O2114" s="990"/>
      <c r="P2114" s="990"/>
      <c r="Q2114" s="990"/>
      <c r="R2114" s="990"/>
      <c r="S2114" s="990"/>
      <c r="T2114" s="990"/>
      <c r="U2114" s="990"/>
      <c r="V2114" s="990"/>
      <c r="W2114" s="990"/>
      <c r="X2114" s="990"/>
    </row>
    <row r="2115" spans="1:24" s="896" customFormat="1" ht="25.5">
      <c r="A2115" s="987">
        <f t="shared" si="33"/>
        <v>2041</v>
      </c>
      <c r="B2115" s="988">
        <v>11480</v>
      </c>
      <c r="C2115" s="899" t="s">
        <v>11441</v>
      </c>
      <c r="D2115" s="988" t="s">
        <v>2677</v>
      </c>
      <c r="E2115" s="989">
        <v>134.65</v>
      </c>
      <c r="F2115" s="990"/>
      <c r="G2115" s="990"/>
      <c r="H2115" s="990"/>
      <c r="I2115" s="990"/>
      <c r="J2115" s="990"/>
      <c r="K2115" s="990"/>
      <c r="L2115" s="990"/>
      <c r="M2115" s="990"/>
      <c r="N2115" s="990"/>
      <c r="O2115" s="990"/>
      <c r="P2115" s="990"/>
      <c r="Q2115" s="990"/>
      <c r="R2115" s="990"/>
      <c r="S2115" s="990"/>
      <c r="T2115" s="990"/>
      <c r="U2115" s="990"/>
      <c r="V2115" s="990"/>
      <c r="W2115" s="990"/>
      <c r="X2115" s="990"/>
    </row>
    <row r="2116" spans="1:24" s="896" customFormat="1" ht="38.25">
      <c r="A2116" s="987">
        <f t="shared" si="33"/>
        <v>2042</v>
      </c>
      <c r="B2116" s="988">
        <v>11469</v>
      </c>
      <c r="C2116" s="899" t="s">
        <v>11442</v>
      </c>
      <c r="D2116" s="988" t="s">
        <v>2666</v>
      </c>
      <c r="E2116" s="989">
        <v>14.37</v>
      </c>
      <c r="F2116" s="990"/>
      <c r="G2116" s="990"/>
      <c r="H2116" s="990"/>
      <c r="I2116" s="990"/>
      <c r="J2116" s="990"/>
      <c r="K2116" s="990"/>
      <c r="L2116" s="990"/>
      <c r="M2116" s="990"/>
      <c r="N2116" s="990"/>
      <c r="O2116" s="990"/>
      <c r="P2116" s="990"/>
      <c r="Q2116" s="990"/>
      <c r="R2116" s="990"/>
      <c r="S2116" s="990"/>
      <c r="T2116" s="990"/>
      <c r="U2116" s="990"/>
      <c r="V2116" s="990"/>
      <c r="W2116" s="990"/>
      <c r="X2116" s="990"/>
    </row>
    <row r="2117" spans="1:24" s="896" customFormat="1" ht="25.5">
      <c r="A2117" s="987">
        <f t="shared" si="33"/>
        <v>2043</v>
      </c>
      <c r="B2117" s="988">
        <v>11468</v>
      </c>
      <c r="C2117" s="899" t="s">
        <v>11443</v>
      </c>
      <c r="D2117" s="988" t="s">
        <v>2666</v>
      </c>
      <c r="E2117" s="989">
        <v>14.38</v>
      </c>
      <c r="F2117" s="990"/>
      <c r="G2117" s="990"/>
      <c r="H2117" s="990"/>
      <c r="I2117" s="990"/>
      <c r="J2117" s="990"/>
      <c r="K2117" s="990"/>
      <c r="L2117" s="990"/>
      <c r="M2117" s="990"/>
      <c r="N2117" s="990"/>
      <c r="O2117" s="990"/>
      <c r="P2117" s="990"/>
      <c r="Q2117" s="990"/>
      <c r="R2117" s="990"/>
      <c r="S2117" s="990"/>
      <c r="T2117" s="990"/>
      <c r="U2117" s="990"/>
      <c r="V2117" s="990"/>
      <c r="W2117" s="990"/>
      <c r="X2117" s="990"/>
    </row>
    <row r="2118" spans="1:24" s="896" customFormat="1" ht="25.5">
      <c r="A2118" s="987">
        <f t="shared" si="33"/>
        <v>2044</v>
      </c>
      <c r="B2118" s="988">
        <v>11484</v>
      </c>
      <c r="C2118" s="899" t="s">
        <v>11444</v>
      </c>
      <c r="D2118" s="988" t="s">
        <v>2666</v>
      </c>
      <c r="E2118" s="989">
        <v>63.17</v>
      </c>
      <c r="F2118" s="990"/>
      <c r="G2118" s="990"/>
      <c r="H2118" s="990"/>
      <c r="I2118" s="990"/>
      <c r="J2118" s="990"/>
      <c r="K2118" s="990"/>
      <c r="L2118" s="990"/>
      <c r="M2118" s="990"/>
      <c r="N2118" s="990"/>
      <c r="O2118" s="990"/>
      <c r="P2118" s="990"/>
      <c r="Q2118" s="990"/>
      <c r="R2118" s="990"/>
      <c r="S2118" s="990"/>
      <c r="T2118" s="990"/>
      <c r="U2118" s="990"/>
      <c r="V2118" s="990"/>
      <c r="W2118" s="990"/>
      <c r="X2118" s="990"/>
    </row>
    <row r="2119" spans="1:24" s="896" customFormat="1" ht="25.5">
      <c r="A2119" s="987">
        <f t="shared" si="33"/>
        <v>2045</v>
      </c>
      <c r="B2119" s="988">
        <v>38155</v>
      </c>
      <c r="C2119" s="899" t="s">
        <v>11445</v>
      </c>
      <c r="D2119" s="988" t="s">
        <v>2666</v>
      </c>
      <c r="E2119" s="989">
        <v>98.08</v>
      </c>
      <c r="F2119" s="990"/>
      <c r="G2119" s="990"/>
      <c r="H2119" s="990"/>
      <c r="I2119" s="990"/>
      <c r="J2119" s="990"/>
      <c r="K2119" s="990"/>
      <c r="L2119" s="990"/>
      <c r="M2119" s="990"/>
      <c r="N2119" s="990"/>
      <c r="O2119" s="990"/>
      <c r="P2119" s="990"/>
      <c r="Q2119" s="990"/>
      <c r="R2119" s="990"/>
      <c r="S2119" s="990"/>
      <c r="T2119" s="990"/>
      <c r="U2119" s="990"/>
      <c r="V2119" s="990"/>
      <c r="W2119" s="990"/>
      <c r="X2119" s="990"/>
    </row>
    <row r="2120" spans="1:24" s="896" customFormat="1" ht="25.5">
      <c r="A2120" s="987">
        <f t="shared" si="33"/>
        <v>2046</v>
      </c>
      <c r="B2120" s="988">
        <v>11467</v>
      </c>
      <c r="C2120" s="899" t="s">
        <v>11446</v>
      </c>
      <c r="D2120" s="988" t="s">
        <v>2666</v>
      </c>
      <c r="E2120" s="989">
        <v>22.41</v>
      </c>
      <c r="F2120" s="990"/>
      <c r="G2120" s="990"/>
      <c r="H2120" s="990"/>
      <c r="I2120" s="990"/>
      <c r="J2120" s="990"/>
      <c r="K2120" s="990"/>
      <c r="L2120" s="990"/>
      <c r="M2120" s="990"/>
      <c r="N2120" s="990"/>
      <c r="O2120" s="990"/>
      <c r="P2120" s="990"/>
      <c r="Q2120" s="990"/>
      <c r="R2120" s="990"/>
      <c r="S2120" s="990"/>
      <c r="T2120" s="990"/>
      <c r="U2120" s="990"/>
      <c r="V2120" s="990"/>
      <c r="W2120" s="990"/>
      <c r="X2120" s="990"/>
    </row>
    <row r="2121" spans="1:24" s="896" customFormat="1" ht="38.25">
      <c r="A2121" s="987">
        <f t="shared" si="33"/>
        <v>2047</v>
      </c>
      <c r="B2121" s="988">
        <v>38153</v>
      </c>
      <c r="C2121" s="899" t="s">
        <v>11447</v>
      </c>
      <c r="D2121" s="988" t="s">
        <v>2677</v>
      </c>
      <c r="E2121" s="989">
        <v>57.24</v>
      </c>
      <c r="F2121" s="990"/>
      <c r="G2121" s="990"/>
      <c r="H2121" s="990"/>
      <c r="I2121" s="990"/>
      <c r="J2121" s="990"/>
      <c r="K2121" s="990"/>
      <c r="L2121" s="990"/>
      <c r="M2121" s="990"/>
      <c r="N2121" s="990"/>
      <c r="O2121" s="990"/>
      <c r="P2121" s="990"/>
      <c r="Q2121" s="990"/>
      <c r="R2121" s="990"/>
      <c r="S2121" s="990"/>
      <c r="T2121" s="990"/>
      <c r="U2121" s="990"/>
      <c r="V2121" s="990"/>
      <c r="W2121" s="990"/>
      <c r="X2121" s="990"/>
    </row>
    <row r="2122" spans="1:24" s="896" customFormat="1" ht="51">
      <c r="A2122" s="987">
        <f t="shared" si="33"/>
        <v>2048</v>
      </c>
      <c r="B2122" s="988">
        <v>43607</v>
      </c>
      <c r="C2122" s="899" t="s">
        <v>11448</v>
      </c>
      <c r="D2122" s="988" t="s">
        <v>2677</v>
      </c>
      <c r="E2122" s="989">
        <v>108.27</v>
      </c>
      <c r="F2122" s="990"/>
      <c r="G2122" s="990"/>
      <c r="H2122" s="990"/>
      <c r="I2122" s="990"/>
      <c r="J2122" s="990"/>
      <c r="K2122" s="990"/>
      <c r="L2122" s="990"/>
      <c r="M2122" s="990"/>
      <c r="N2122" s="990"/>
      <c r="O2122" s="990"/>
      <c r="P2122" s="990"/>
      <c r="Q2122" s="990"/>
      <c r="R2122" s="990"/>
      <c r="S2122" s="990"/>
      <c r="T2122" s="990"/>
      <c r="U2122" s="990"/>
      <c r="V2122" s="990"/>
      <c r="W2122" s="990"/>
      <c r="X2122" s="990"/>
    </row>
    <row r="2123" spans="1:24" s="896" customFormat="1" ht="38.25">
      <c r="A2123" s="987">
        <f t="shared" si="33"/>
        <v>2049</v>
      </c>
      <c r="B2123" s="988">
        <v>3080</v>
      </c>
      <c r="C2123" s="899" t="s">
        <v>11449</v>
      </c>
      <c r="D2123" s="988" t="s">
        <v>2677</v>
      </c>
      <c r="E2123" s="989">
        <v>72.8</v>
      </c>
      <c r="F2123" s="990"/>
      <c r="G2123" s="990"/>
      <c r="H2123" s="990"/>
      <c r="I2123" s="990"/>
      <c r="J2123" s="990"/>
      <c r="K2123" s="990"/>
      <c r="L2123" s="990"/>
      <c r="M2123" s="990"/>
      <c r="N2123" s="990"/>
      <c r="O2123" s="990"/>
      <c r="P2123" s="990"/>
      <c r="Q2123" s="990"/>
      <c r="R2123" s="990"/>
      <c r="S2123" s="990"/>
      <c r="T2123" s="990"/>
      <c r="U2123" s="990"/>
      <c r="V2123" s="990"/>
      <c r="W2123" s="990"/>
      <c r="X2123" s="990"/>
    </row>
    <row r="2124" spans="1:24" s="896" customFormat="1" ht="38.25">
      <c r="A2124" s="987">
        <f t="shared" ref="A2124:A2187" si="34">A2123+1</f>
        <v>2050</v>
      </c>
      <c r="B2124" s="988">
        <v>3081</v>
      </c>
      <c r="C2124" s="899" t="s">
        <v>11450</v>
      </c>
      <c r="D2124" s="988" t="s">
        <v>2677</v>
      </c>
      <c r="E2124" s="989">
        <v>144.03</v>
      </c>
      <c r="F2124" s="990"/>
      <c r="G2124" s="990"/>
      <c r="H2124" s="990"/>
      <c r="I2124" s="990"/>
      <c r="J2124" s="990"/>
      <c r="K2124" s="990"/>
      <c r="L2124" s="990"/>
      <c r="M2124" s="990"/>
      <c r="N2124" s="990"/>
      <c r="O2124" s="990"/>
      <c r="P2124" s="990"/>
      <c r="Q2124" s="990"/>
      <c r="R2124" s="990"/>
      <c r="S2124" s="990"/>
      <c r="T2124" s="990"/>
      <c r="U2124" s="990"/>
      <c r="V2124" s="990"/>
      <c r="W2124" s="990"/>
      <c r="X2124" s="990"/>
    </row>
    <row r="2125" spans="1:24" s="896" customFormat="1" ht="38.25">
      <c r="A2125" s="987">
        <f t="shared" si="34"/>
        <v>2051</v>
      </c>
      <c r="B2125" s="988">
        <v>3090</v>
      </c>
      <c r="C2125" s="899" t="s">
        <v>11451</v>
      </c>
      <c r="D2125" s="988" t="s">
        <v>2677</v>
      </c>
      <c r="E2125" s="989">
        <v>64.98</v>
      </c>
      <c r="F2125" s="990"/>
      <c r="G2125" s="990"/>
      <c r="H2125" s="990"/>
      <c r="I2125" s="990"/>
      <c r="J2125" s="990"/>
      <c r="K2125" s="990"/>
      <c r="L2125" s="990"/>
      <c r="M2125" s="990"/>
      <c r="N2125" s="990"/>
      <c r="O2125" s="990"/>
      <c r="P2125" s="990"/>
      <c r="Q2125" s="990"/>
      <c r="R2125" s="990"/>
      <c r="S2125" s="990"/>
      <c r="T2125" s="990"/>
      <c r="U2125" s="990"/>
      <c r="V2125" s="990"/>
      <c r="W2125" s="990"/>
      <c r="X2125" s="990"/>
    </row>
    <row r="2126" spans="1:24" s="896" customFormat="1" ht="38.25">
      <c r="A2126" s="987">
        <f t="shared" si="34"/>
        <v>2052</v>
      </c>
      <c r="B2126" s="988">
        <v>43611</v>
      </c>
      <c r="C2126" s="899" t="s">
        <v>11452</v>
      </c>
      <c r="D2126" s="988" t="s">
        <v>2677</v>
      </c>
      <c r="E2126" s="989">
        <v>107.82</v>
      </c>
      <c r="F2126" s="990"/>
      <c r="G2126" s="990"/>
      <c r="H2126" s="990"/>
      <c r="I2126" s="990"/>
      <c r="J2126" s="990"/>
      <c r="K2126" s="990"/>
      <c r="L2126" s="990"/>
      <c r="M2126" s="990"/>
      <c r="N2126" s="990"/>
      <c r="O2126" s="990"/>
      <c r="P2126" s="990"/>
      <c r="Q2126" s="990"/>
      <c r="R2126" s="990"/>
      <c r="S2126" s="990"/>
      <c r="T2126" s="990"/>
      <c r="U2126" s="990"/>
      <c r="V2126" s="990"/>
      <c r="W2126" s="990"/>
      <c r="X2126" s="990"/>
    </row>
    <row r="2127" spans="1:24" s="896" customFormat="1" ht="38.25">
      <c r="A2127" s="987">
        <f t="shared" si="34"/>
        <v>2053</v>
      </c>
      <c r="B2127" s="988">
        <v>3103</v>
      </c>
      <c r="C2127" s="899" t="s">
        <v>11453</v>
      </c>
      <c r="D2127" s="988" t="s">
        <v>2666</v>
      </c>
      <c r="E2127" s="989">
        <v>53.87</v>
      </c>
      <c r="F2127" s="990"/>
      <c r="G2127" s="990"/>
      <c r="H2127" s="990"/>
      <c r="I2127" s="990"/>
      <c r="J2127" s="990"/>
      <c r="K2127" s="990"/>
      <c r="L2127" s="990"/>
      <c r="M2127" s="990"/>
      <c r="N2127" s="990"/>
      <c r="O2127" s="990"/>
      <c r="P2127" s="990"/>
      <c r="Q2127" s="990"/>
      <c r="R2127" s="990"/>
      <c r="S2127" s="990"/>
      <c r="T2127" s="990"/>
      <c r="U2127" s="990"/>
      <c r="V2127" s="990"/>
      <c r="W2127" s="990"/>
      <c r="X2127" s="990"/>
    </row>
    <row r="2128" spans="1:24" s="896" customFormat="1" ht="38.25">
      <c r="A2128" s="987">
        <f t="shared" si="34"/>
        <v>2054</v>
      </c>
      <c r="B2128" s="988">
        <v>3097</v>
      </c>
      <c r="C2128" s="899" t="s">
        <v>11454</v>
      </c>
      <c r="D2128" s="988" t="s">
        <v>2677</v>
      </c>
      <c r="E2128" s="989">
        <v>81.510000000000005</v>
      </c>
      <c r="F2128" s="990"/>
      <c r="G2128" s="990"/>
      <c r="H2128" s="990"/>
      <c r="I2128" s="990"/>
      <c r="J2128" s="990"/>
      <c r="K2128" s="990"/>
      <c r="L2128" s="990"/>
      <c r="M2128" s="990"/>
      <c r="N2128" s="990"/>
      <c r="O2128" s="990"/>
      <c r="P2128" s="990"/>
      <c r="Q2128" s="990"/>
      <c r="R2128" s="990"/>
      <c r="S2128" s="990"/>
      <c r="T2128" s="990"/>
      <c r="U2128" s="990"/>
      <c r="V2128" s="990"/>
      <c r="W2128" s="990"/>
      <c r="X2128" s="990"/>
    </row>
    <row r="2129" spans="1:24" s="896" customFormat="1" ht="38.25">
      <c r="A2129" s="987">
        <f t="shared" si="34"/>
        <v>2055</v>
      </c>
      <c r="B2129" s="988">
        <v>3099</v>
      </c>
      <c r="C2129" s="899" t="s">
        <v>11455</v>
      </c>
      <c r="D2129" s="988" t="s">
        <v>2677</v>
      </c>
      <c r="E2129" s="989">
        <v>130.51</v>
      </c>
      <c r="F2129" s="990"/>
      <c r="G2129" s="990"/>
      <c r="H2129" s="990"/>
      <c r="I2129" s="990"/>
      <c r="J2129" s="990"/>
      <c r="K2129" s="990"/>
      <c r="L2129" s="990"/>
      <c r="M2129" s="990"/>
      <c r="N2129" s="990"/>
      <c r="O2129" s="990"/>
      <c r="P2129" s="990"/>
      <c r="Q2129" s="990"/>
      <c r="R2129" s="990"/>
      <c r="S2129" s="990"/>
      <c r="T2129" s="990"/>
      <c r="U2129" s="990"/>
      <c r="V2129" s="990"/>
      <c r="W2129" s="990"/>
      <c r="X2129" s="990"/>
    </row>
    <row r="2130" spans="1:24" s="896" customFormat="1" ht="38.25">
      <c r="A2130" s="987">
        <f t="shared" si="34"/>
        <v>2056</v>
      </c>
      <c r="B2130" s="988">
        <v>38151</v>
      </c>
      <c r="C2130" s="899" t="s">
        <v>11456</v>
      </c>
      <c r="D2130" s="988" t="s">
        <v>2677</v>
      </c>
      <c r="E2130" s="989">
        <v>94.62</v>
      </c>
      <c r="F2130" s="990"/>
      <c r="G2130" s="990"/>
      <c r="H2130" s="990"/>
      <c r="I2130" s="990"/>
      <c r="J2130" s="990"/>
      <c r="K2130" s="990"/>
      <c r="L2130" s="990"/>
      <c r="M2130" s="990"/>
      <c r="N2130" s="990"/>
      <c r="O2130" s="990"/>
      <c r="P2130" s="990"/>
      <c r="Q2130" s="990"/>
      <c r="R2130" s="990"/>
      <c r="S2130" s="990"/>
      <c r="T2130" s="990"/>
      <c r="U2130" s="990"/>
      <c r="V2130" s="990"/>
      <c r="W2130" s="990"/>
      <c r="X2130" s="990"/>
    </row>
    <row r="2131" spans="1:24" s="896" customFormat="1" ht="38.25">
      <c r="A2131" s="987">
        <f t="shared" si="34"/>
        <v>2057</v>
      </c>
      <c r="B2131" s="988">
        <v>38152</v>
      </c>
      <c r="C2131" s="899" t="s">
        <v>11457</v>
      </c>
      <c r="D2131" s="988" t="s">
        <v>2677</v>
      </c>
      <c r="E2131" s="989">
        <v>152.63</v>
      </c>
      <c r="F2131" s="990"/>
      <c r="G2131" s="990"/>
      <c r="H2131" s="990"/>
      <c r="I2131" s="990"/>
      <c r="J2131" s="990"/>
      <c r="K2131" s="990"/>
      <c r="L2131" s="990"/>
      <c r="M2131" s="990"/>
      <c r="N2131" s="990"/>
      <c r="O2131" s="990"/>
      <c r="P2131" s="990"/>
      <c r="Q2131" s="990"/>
      <c r="R2131" s="990"/>
      <c r="S2131" s="990"/>
      <c r="T2131" s="990"/>
      <c r="U2131" s="990"/>
      <c r="V2131" s="990"/>
      <c r="W2131" s="990"/>
      <c r="X2131" s="990"/>
    </row>
    <row r="2132" spans="1:24" s="896" customFormat="1" ht="51">
      <c r="A2132" s="987">
        <f t="shared" si="34"/>
        <v>2058</v>
      </c>
      <c r="B2132" s="988">
        <v>43610</v>
      </c>
      <c r="C2132" s="899" t="s">
        <v>11458</v>
      </c>
      <c r="D2132" s="988" t="s">
        <v>2677</v>
      </c>
      <c r="E2132" s="989">
        <v>80.87</v>
      </c>
      <c r="F2132" s="990"/>
      <c r="G2132" s="990"/>
      <c r="H2132" s="990"/>
      <c r="I2132" s="990"/>
      <c r="J2132" s="990"/>
      <c r="K2132" s="990"/>
      <c r="L2132" s="990"/>
      <c r="M2132" s="990"/>
      <c r="N2132" s="990"/>
      <c r="O2132" s="990"/>
      <c r="P2132" s="990"/>
      <c r="Q2132" s="990"/>
      <c r="R2132" s="990"/>
      <c r="S2132" s="990"/>
      <c r="T2132" s="990"/>
      <c r="U2132" s="990"/>
      <c r="V2132" s="990"/>
      <c r="W2132" s="990"/>
      <c r="X2132" s="990"/>
    </row>
    <row r="2133" spans="1:24" s="896" customFormat="1" ht="38.25">
      <c r="A2133" s="987">
        <f t="shared" si="34"/>
        <v>2059</v>
      </c>
      <c r="B2133" s="988">
        <v>3093</v>
      </c>
      <c r="C2133" s="899" t="s">
        <v>11459</v>
      </c>
      <c r="D2133" s="988" t="s">
        <v>2677</v>
      </c>
      <c r="E2133" s="989">
        <v>130.51</v>
      </c>
      <c r="F2133" s="990"/>
      <c r="G2133" s="990"/>
      <c r="H2133" s="990"/>
      <c r="I2133" s="990"/>
      <c r="J2133" s="990"/>
      <c r="K2133" s="990"/>
      <c r="L2133" s="990"/>
      <c r="M2133" s="990"/>
      <c r="N2133" s="990"/>
      <c r="O2133" s="990"/>
      <c r="P2133" s="990"/>
      <c r="Q2133" s="990"/>
      <c r="R2133" s="990"/>
      <c r="S2133" s="990"/>
      <c r="T2133" s="990"/>
      <c r="U2133" s="990"/>
      <c r="V2133" s="990"/>
      <c r="W2133" s="990"/>
      <c r="X2133" s="990"/>
    </row>
    <row r="2134" spans="1:24" s="896" customFormat="1" ht="25.5">
      <c r="A2134" s="987">
        <f t="shared" si="34"/>
        <v>2060</v>
      </c>
      <c r="B2134" s="988">
        <v>38165</v>
      </c>
      <c r="C2134" s="899" t="s">
        <v>11460</v>
      </c>
      <c r="D2134" s="988" t="s">
        <v>2677</v>
      </c>
      <c r="E2134" s="989">
        <v>68.97</v>
      </c>
      <c r="F2134" s="990"/>
      <c r="G2134" s="990"/>
      <c r="H2134" s="990"/>
      <c r="I2134" s="990"/>
      <c r="J2134" s="990"/>
      <c r="K2134" s="990"/>
      <c r="L2134" s="990"/>
      <c r="M2134" s="990"/>
      <c r="N2134" s="990"/>
      <c r="O2134" s="990"/>
      <c r="P2134" s="990"/>
      <c r="Q2134" s="990"/>
      <c r="R2134" s="990"/>
      <c r="S2134" s="990"/>
      <c r="T2134" s="990"/>
      <c r="U2134" s="990"/>
      <c r="V2134" s="990"/>
      <c r="W2134" s="990"/>
      <c r="X2134" s="990"/>
    </row>
    <row r="2135" spans="1:24" s="896" customFormat="1" ht="25.5">
      <c r="A2135" s="987">
        <f t="shared" si="34"/>
        <v>2061</v>
      </c>
      <c r="B2135" s="988">
        <v>38177</v>
      </c>
      <c r="C2135" s="899" t="s">
        <v>11461</v>
      </c>
      <c r="D2135" s="988" t="s">
        <v>2666</v>
      </c>
      <c r="E2135" s="989">
        <v>20.49</v>
      </c>
      <c r="F2135" s="990"/>
      <c r="G2135" s="990"/>
      <c r="H2135" s="990"/>
      <c r="I2135" s="990"/>
      <c r="J2135" s="990"/>
      <c r="K2135" s="990"/>
      <c r="L2135" s="990"/>
      <c r="M2135" s="990"/>
      <c r="N2135" s="990"/>
      <c r="O2135" s="990"/>
      <c r="P2135" s="990"/>
      <c r="Q2135" s="990"/>
      <c r="R2135" s="990"/>
      <c r="S2135" s="990"/>
      <c r="T2135" s="990"/>
      <c r="U2135" s="990"/>
      <c r="V2135" s="990"/>
      <c r="W2135" s="990"/>
      <c r="X2135" s="990"/>
    </row>
    <row r="2136" spans="1:24" s="896" customFormat="1" ht="25.5">
      <c r="A2136" s="987">
        <f t="shared" si="34"/>
        <v>2062</v>
      </c>
      <c r="B2136" s="988">
        <v>11458</v>
      </c>
      <c r="C2136" s="899" t="s">
        <v>11462</v>
      </c>
      <c r="D2136" s="988" t="s">
        <v>2666</v>
      </c>
      <c r="E2136" s="989">
        <v>24.47</v>
      </c>
      <c r="F2136" s="990"/>
      <c r="G2136" s="990"/>
      <c r="H2136" s="990"/>
      <c r="I2136" s="990"/>
      <c r="J2136" s="990"/>
      <c r="K2136" s="990"/>
      <c r="L2136" s="990"/>
      <c r="M2136" s="990"/>
      <c r="N2136" s="990"/>
      <c r="O2136" s="990"/>
      <c r="P2136" s="990"/>
      <c r="Q2136" s="990"/>
      <c r="R2136" s="990"/>
      <c r="S2136" s="990"/>
      <c r="T2136" s="990"/>
      <c r="U2136" s="990"/>
      <c r="V2136" s="990"/>
      <c r="W2136" s="990"/>
      <c r="X2136" s="990"/>
    </row>
    <row r="2137" spans="1:24" s="896" customFormat="1" ht="38.25">
      <c r="A2137" s="987">
        <f t="shared" si="34"/>
        <v>2063</v>
      </c>
      <c r="B2137" s="988">
        <v>3108</v>
      </c>
      <c r="C2137" s="899" t="s">
        <v>11463</v>
      </c>
      <c r="D2137" s="988" t="s">
        <v>2666</v>
      </c>
      <c r="E2137" s="989">
        <v>104.01</v>
      </c>
      <c r="F2137" s="990"/>
      <c r="G2137" s="990"/>
      <c r="H2137" s="990"/>
      <c r="I2137" s="990"/>
      <c r="J2137" s="990"/>
      <c r="K2137" s="990"/>
      <c r="L2137" s="990"/>
      <c r="M2137" s="990"/>
      <c r="N2137" s="990"/>
      <c r="O2137" s="990"/>
      <c r="P2137" s="990"/>
      <c r="Q2137" s="990"/>
      <c r="R2137" s="990"/>
      <c r="S2137" s="990"/>
      <c r="T2137" s="990"/>
      <c r="U2137" s="990"/>
      <c r="V2137" s="990"/>
      <c r="W2137" s="990"/>
      <c r="X2137" s="990"/>
    </row>
    <row r="2138" spans="1:24" s="896" customFormat="1" ht="38.25">
      <c r="A2138" s="987">
        <f t="shared" si="34"/>
        <v>2064</v>
      </c>
      <c r="B2138" s="988">
        <v>3105</v>
      </c>
      <c r="C2138" s="899" t="s">
        <v>11464</v>
      </c>
      <c r="D2138" s="988" t="s">
        <v>2666</v>
      </c>
      <c r="E2138" s="989">
        <v>136.04</v>
      </c>
      <c r="F2138" s="990"/>
      <c r="G2138" s="990"/>
      <c r="H2138" s="990"/>
      <c r="I2138" s="990"/>
      <c r="J2138" s="990"/>
      <c r="K2138" s="990"/>
      <c r="L2138" s="990"/>
      <c r="M2138" s="990"/>
      <c r="N2138" s="990"/>
      <c r="O2138" s="990"/>
      <c r="P2138" s="990"/>
      <c r="Q2138" s="990"/>
      <c r="R2138" s="990"/>
      <c r="S2138" s="990"/>
      <c r="T2138" s="990"/>
      <c r="U2138" s="990"/>
      <c r="V2138" s="990"/>
      <c r="W2138" s="990"/>
      <c r="X2138" s="990"/>
    </row>
    <row r="2139" spans="1:24" s="896" customFormat="1" ht="38.25">
      <c r="A2139" s="987">
        <f t="shared" si="34"/>
        <v>2065</v>
      </c>
      <c r="B2139" s="988">
        <v>38178</v>
      </c>
      <c r="C2139" s="899" t="s">
        <v>11465</v>
      </c>
      <c r="D2139" s="988" t="s">
        <v>2666</v>
      </c>
      <c r="E2139" s="989">
        <v>22.55</v>
      </c>
      <c r="F2139" s="990"/>
      <c r="G2139" s="990"/>
      <c r="H2139" s="990"/>
      <c r="I2139" s="990"/>
      <c r="J2139" s="990"/>
      <c r="K2139" s="990"/>
      <c r="L2139" s="990"/>
      <c r="M2139" s="990"/>
      <c r="N2139" s="990"/>
      <c r="O2139" s="990"/>
      <c r="P2139" s="990"/>
      <c r="Q2139" s="990"/>
      <c r="R2139" s="990"/>
      <c r="S2139" s="990"/>
      <c r="T2139" s="990"/>
      <c r="U2139" s="990"/>
      <c r="V2139" s="990"/>
      <c r="W2139" s="990"/>
      <c r="X2139" s="990"/>
    </row>
    <row r="2140" spans="1:24" s="896" customFormat="1" ht="38.25">
      <c r="A2140" s="987">
        <f t="shared" si="34"/>
        <v>2066</v>
      </c>
      <c r="B2140" s="988">
        <v>43575</v>
      </c>
      <c r="C2140" s="899" t="s">
        <v>11466</v>
      </c>
      <c r="D2140" s="988" t="s">
        <v>2666</v>
      </c>
      <c r="E2140" s="989">
        <v>48.86</v>
      </c>
      <c r="F2140" s="990"/>
      <c r="G2140" s="990"/>
      <c r="H2140" s="990"/>
      <c r="I2140" s="990"/>
      <c r="J2140" s="990"/>
      <c r="K2140" s="990"/>
      <c r="L2140" s="990"/>
      <c r="M2140" s="990"/>
      <c r="N2140" s="990"/>
      <c r="O2140" s="990"/>
      <c r="P2140" s="990"/>
      <c r="Q2140" s="990"/>
      <c r="R2140" s="990"/>
      <c r="S2140" s="990"/>
      <c r="T2140" s="990"/>
      <c r="U2140" s="990"/>
      <c r="V2140" s="990"/>
      <c r="W2140" s="990"/>
      <c r="X2140" s="990"/>
    </row>
    <row r="2141" spans="1:24" s="896" customFormat="1" ht="38.25">
      <c r="A2141" s="987">
        <f t="shared" si="34"/>
        <v>2067</v>
      </c>
      <c r="B2141" s="988">
        <v>43577</v>
      </c>
      <c r="C2141" s="899" t="s">
        <v>11467</v>
      </c>
      <c r="D2141" s="988" t="s">
        <v>2666</v>
      </c>
      <c r="E2141" s="989">
        <v>84.94</v>
      </c>
      <c r="F2141" s="990"/>
      <c r="G2141" s="990"/>
      <c r="H2141" s="990"/>
      <c r="I2141" s="990"/>
      <c r="J2141" s="990"/>
      <c r="K2141" s="990"/>
      <c r="L2141" s="990"/>
      <c r="M2141" s="990"/>
      <c r="N2141" s="990"/>
      <c r="O2141" s="990"/>
      <c r="P2141" s="990"/>
      <c r="Q2141" s="990"/>
      <c r="R2141" s="990"/>
      <c r="S2141" s="990"/>
      <c r="T2141" s="990"/>
      <c r="U2141" s="990"/>
      <c r="V2141" s="990"/>
      <c r="W2141" s="990"/>
      <c r="X2141" s="990"/>
    </row>
    <row r="2142" spans="1:24" s="896" customFormat="1" ht="25.5">
      <c r="A2142" s="987">
        <f t="shared" si="34"/>
        <v>2068</v>
      </c>
      <c r="B2142" s="988">
        <v>43458</v>
      </c>
      <c r="C2142" s="899" t="s">
        <v>11468</v>
      </c>
      <c r="D2142" s="988" t="s">
        <v>2665</v>
      </c>
      <c r="E2142" s="989">
        <v>0.05</v>
      </c>
      <c r="F2142" s="990"/>
      <c r="G2142" s="990"/>
      <c r="H2142" s="990"/>
      <c r="I2142" s="990"/>
      <c r="J2142" s="990"/>
      <c r="K2142" s="990"/>
      <c r="L2142" s="990"/>
      <c r="M2142" s="990"/>
      <c r="N2142" s="990"/>
      <c r="O2142" s="990"/>
      <c r="P2142" s="990"/>
      <c r="Q2142" s="990"/>
      <c r="R2142" s="990"/>
      <c r="S2142" s="990"/>
      <c r="T2142" s="990"/>
      <c r="U2142" s="990"/>
      <c r="V2142" s="990"/>
      <c r="W2142" s="990"/>
      <c r="X2142" s="990"/>
    </row>
    <row r="2143" spans="1:24" s="896" customFormat="1" ht="25.5">
      <c r="A2143" s="987">
        <f t="shared" si="34"/>
        <v>2069</v>
      </c>
      <c r="B2143" s="988">
        <v>43470</v>
      </c>
      <c r="C2143" s="899" t="s">
        <v>11469</v>
      </c>
      <c r="D2143" s="988" t="s">
        <v>2672</v>
      </c>
      <c r="E2143" s="989">
        <v>9.2100000000000009</v>
      </c>
      <c r="F2143" s="990"/>
      <c r="G2143" s="990"/>
      <c r="H2143" s="990"/>
      <c r="I2143" s="990"/>
      <c r="J2143" s="990"/>
      <c r="K2143" s="990"/>
      <c r="L2143" s="990"/>
      <c r="M2143" s="990"/>
      <c r="N2143" s="990"/>
      <c r="O2143" s="990"/>
      <c r="P2143" s="990"/>
      <c r="Q2143" s="990"/>
      <c r="R2143" s="990"/>
      <c r="S2143" s="990"/>
      <c r="T2143" s="990"/>
      <c r="U2143" s="990"/>
      <c r="V2143" s="990"/>
      <c r="W2143" s="990"/>
      <c r="X2143" s="990"/>
    </row>
    <row r="2144" spans="1:24" s="896" customFormat="1" ht="25.5">
      <c r="A2144" s="987">
        <f t="shared" si="34"/>
        <v>2070</v>
      </c>
      <c r="B2144" s="988">
        <v>43459</v>
      </c>
      <c r="C2144" s="899" t="s">
        <v>11470</v>
      </c>
      <c r="D2144" s="988" t="s">
        <v>2665</v>
      </c>
      <c r="E2144" s="989">
        <v>0.45</v>
      </c>
      <c r="F2144" s="990"/>
      <c r="G2144" s="990"/>
      <c r="H2144" s="990"/>
      <c r="I2144" s="990"/>
      <c r="J2144" s="990"/>
      <c r="K2144" s="990"/>
      <c r="L2144" s="990"/>
      <c r="M2144" s="990"/>
      <c r="N2144" s="990"/>
      <c r="O2144" s="990"/>
      <c r="P2144" s="990"/>
      <c r="Q2144" s="990"/>
      <c r="R2144" s="990"/>
      <c r="S2144" s="990"/>
      <c r="T2144" s="990"/>
      <c r="U2144" s="990"/>
      <c r="V2144" s="990"/>
      <c r="W2144" s="990"/>
      <c r="X2144" s="990"/>
    </row>
    <row r="2145" spans="1:24" s="896" customFormat="1" ht="25.5">
      <c r="A2145" s="987">
        <f t="shared" si="34"/>
        <v>2071</v>
      </c>
      <c r="B2145" s="988">
        <v>43471</v>
      </c>
      <c r="C2145" s="899" t="s">
        <v>11471</v>
      </c>
      <c r="D2145" s="988" t="s">
        <v>2672</v>
      </c>
      <c r="E2145" s="989">
        <v>84.46</v>
      </c>
      <c r="F2145" s="990"/>
      <c r="G2145" s="990"/>
      <c r="H2145" s="990"/>
      <c r="I2145" s="990"/>
      <c r="J2145" s="990"/>
      <c r="K2145" s="990"/>
      <c r="L2145" s="990"/>
      <c r="M2145" s="990"/>
      <c r="N2145" s="990"/>
      <c r="O2145" s="990"/>
      <c r="P2145" s="990"/>
      <c r="Q2145" s="990"/>
      <c r="R2145" s="990"/>
      <c r="S2145" s="990"/>
      <c r="T2145" s="990"/>
      <c r="U2145" s="990"/>
      <c r="V2145" s="990"/>
      <c r="W2145" s="990"/>
      <c r="X2145" s="990"/>
    </row>
    <row r="2146" spans="1:24" s="896" customFormat="1" ht="25.5">
      <c r="A2146" s="987">
        <f t="shared" si="34"/>
        <v>2072</v>
      </c>
      <c r="B2146" s="988">
        <v>43460</v>
      </c>
      <c r="C2146" s="899" t="s">
        <v>11472</v>
      </c>
      <c r="D2146" s="988" t="s">
        <v>2665</v>
      </c>
      <c r="E2146" s="989">
        <v>0.78</v>
      </c>
      <c r="F2146" s="990"/>
      <c r="G2146" s="990"/>
      <c r="H2146" s="990"/>
      <c r="I2146" s="990"/>
      <c r="J2146" s="990"/>
      <c r="K2146" s="990"/>
      <c r="L2146" s="990"/>
      <c r="M2146" s="990"/>
      <c r="N2146" s="990"/>
      <c r="O2146" s="990"/>
      <c r="P2146" s="990"/>
      <c r="Q2146" s="990"/>
      <c r="R2146" s="990"/>
      <c r="S2146" s="990"/>
      <c r="T2146" s="990"/>
      <c r="U2146" s="990"/>
      <c r="V2146" s="990"/>
      <c r="W2146" s="990"/>
      <c r="X2146" s="990"/>
    </row>
    <row r="2147" spans="1:24" s="896" customFormat="1" ht="25.5">
      <c r="A2147" s="987">
        <f t="shared" si="34"/>
        <v>2073</v>
      </c>
      <c r="B2147" s="988">
        <v>43472</v>
      </c>
      <c r="C2147" s="899" t="s">
        <v>11473</v>
      </c>
      <c r="D2147" s="988" t="s">
        <v>2672</v>
      </c>
      <c r="E2147" s="989">
        <v>147.22999999999999</v>
      </c>
      <c r="F2147" s="990"/>
      <c r="G2147" s="990"/>
      <c r="H2147" s="990"/>
      <c r="I2147" s="990"/>
      <c r="J2147" s="990"/>
      <c r="K2147" s="990"/>
      <c r="L2147" s="990"/>
      <c r="M2147" s="990"/>
      <c r="N2147" s="990"/>
      <c r="O2147" s="990"/>
      <c r="P2147" s="990"/>
      <c r="Q2147" s="990"/>
      <c r="R2147" s="990"/>
      <c r="S2147" s="990"/>
      <c r="T2147" s="990"/>
      <c r="U2147" s="990"/>
      <c r="V2147" s="990"/>
      <c r="W2147" s="990"/>
      <c r="X2147" s="990"/>
    </row>
    <row r="2148" spans="1:24" s="896" customFormat="1" ht="25.5">
      <c r="A2148" s="987">
        <f t="shared" si="34"/>
        <v>2074</v>
      </c>
      <c r="B2148" s="988">
        <v>43461</v>
      </c>
      <c r="C2148" s="899" t="s">
        <v>11474</v>
      </c>
      <c r="D2148" s="988" t="s">
        <v>2665</v>
      </c>
      <c r="E2148" s="989">
        <v>0.32</v>
      </c>
      <c r="F2148" s="990"/>
      <c r="G2148" s="990"/>
      <c r="H2148" s="990"/>
      <c r="I2148" s="990"/>
      <c r="J2148" s="990"/>
      <c r="K2148" s="990"/>
      <c r="L2148" s="990"/>
      <c r="M2148" s="990"/>
      <c r="N2148" s="990"/>
      <c r="O2148" s="990"/>
      <c r="P2148" s="990"/>
      <c r="Q2148" s="990"/>
      <c r="R2148" s="990"/>
      <c r="S2148" s="990"/>
      <c r="T2148" s="990"/>
      <c r="U2148" s="990"/>
      <c r="V2148" s="990"/>
      <c r="W2148" s="990"/>
      <c r="X2148" s="990"/>
    </row>
    <row r="2149" spans="1:24" s="896" customFormat="1" ht="25.5">
      <c r="A2149" s="987">
        <f t="shared" si="34"/>
        <v>2075</v>
      </c>
      <c r="B2149" s="988">
        <v>43473</v>
      </c>
      <c r="C2149" s="899" t="s">
        <v>11475</v>
      </c>
      <c r="D2149" s="988" t="s">
        <v>2672</v>
      </c>
      <c r="E2149" s="989">
        <v>60.93</v>
      </c>
      <c r="F2149" s="990"/>
      <c r="G2149" s="990"/>
      <c r="H2149" s="990"/>
      <c r="I2149" s="990"/>
      <c r="J2149" s="990"/>
      <c r="K2149" s="990"/>
      <c r="L2149" s="990"/>
      <c r="M2149" s="990"/>
      <c r="N2149" s="990"/>
      <c r="O2149" s="990"/>
      <c r="P2149" s="990"/>
      <c r="Q2149" s="990"/>
      <c r="R2149" s="990"/>
      <c r="S2149" s="990"/>
      <c r="T2149" s="990"/>
      <c r="U2149" s="990"/>
      <c r="V2149" s="990"/>
      <c r="W2149" s="990"/>
      <c r="X2149" s="990"/>
    </row>
    <row r="2150" spans="1:24" s="896" customFormat="1" ht="25.5">
      <c r="A2150" s="987">
        <f t="shared" si="34"/>
        <v>2076</v>
      </c>
      <c r="B2150" s="988">
        <v>43463</v>
      </c>
      <c r="C2150" s="899" t="s">
        <v>11476</v>
      </c>
      <c r="D2150" s="988" t="s">
        <v>2665</v>
      </c>
      <c r="E2150" s="989">
        <v>0.1</v>
      </c>
      <c r="F2150" s="990"/>
      <c r="G2150" s="990"/>
      <c r="H2150" s="990"/>
      <c r="I2150" s="990"/>
      <c r="J2150" s="990"/>
      <c r="K2150" s="990"/>
      <c r="L2150" s="990"/>
      <c r="M2150" s="990"/>
      <c r="N2150" s="990"/>
      <c r="O2150" s="990"/>
      <c r="P2150" s="990"/>
      <c r="Q2150" s="990"/>
      <c r="R2150" s="990"/>
      <c r="S2150" s="990"/>
      <c r="T2150" s="990"/>
      <c r="U2150" s="990"/>
      <c r="V2150" s="990"/>
      <c r="W2150" s="990"/>
      <c r="X2150" s="990"/>
    </row>
    <row r="2151" spans="1:24" s="896" customFormat="1" ht="25.5">
      <c r="A2151" s="987">
        <f t="shared" si="34"/>
        <v>2077</v>
      </c>
      <c r="B2151" s="988">
        <v>43475</v>
      </c>
      <c r="C2151" s="899" t="s">
        <v>11477</v>
      </c>
      <c r="D2151" s="988" t="s">
        <v>2672</v>
      </c>
      <c r="E2151" s="989">
        <v>18.579999999999998</v>
      </c>
      <c r="F2151" s="990"/>
      <c r="G2151" s="990"/>
      <c r="H2151" s="990"/>
      <c r="I2151" s="990"/>
      <c r="J2151" s="990"/>
      <c r="K2151" s="990"/>
      <c r="L2151" s="990"/>
      <c r="M2151" s="990"/>
      <c r="N2151" s="990"/>
      <c r="O2151" s="990"/>
      <c r="P2151" s="990"/>
      <c r="Q2151" s="990"/>
      <c r="R2151" s="990"/>
      <c r="S2151" s="990"/>
      <c r="T2151" s="990"/>
      <c r="U2151" s="990"/>
      <c r="V2151" s="990"/>
      <c r="W2151" s="990"/>
      <c r="X2151" s="990"/>
    </row>
    <row r="2152" spans="1:24" s="896" customFormat="1" ht="25.5">
      <c r="A2152" s="987">
        <f t="shared" si="34"/>
        <v>2078</v>
      </c>
      <c r="B2152" s="988">
        <v>43462</v>
      </c>
      <c r="C2152" s="899" t="s">
        <v>11478</v>
      </c>
      <c r="D2152" s="988" t="s">
        <v>2665</v>
      </c>
      <c r="E2152" s="989">
        <v>0.01</v>
      </c>
      <c r="F2152" s="990"/>
      <c r="G2152" s="990"/>
      <c r="H2152" s="990"/>
      <c r="I2152" s="990"/>
      <c r="J2152" s="990"/>
      <c r="K2152" s="990"/>
      <c r="L2152" s="990"/>
      <c r="M2152" s="990"/>
      <c r="N2152" s="990"/>
      <c r="O2152" s="990"/>
      <c r="P2152" s="990"/>
      <c r="Q2152" s="990"/>
      <c r="R2152" s="990"/>
      <c r="S2152" s="990"/>
      <c r="T2152" s="990"/>
      <c r="U2152" s="990"/>
      <c r="V2152" s="990"/>
      <c r="W2152" s="990"/>
      <c r="X2152" s="990"/>
    </row>
    <row r="2153" spans="1:24" s="896" customFormat="1" ht="25.5">
      <c r="A2153" s="987">
        <f t="shared" si="34"/>
        <v>2079</v>
      </c>
      <c r="B2153" s="988">
        <v>43474</v>
      </c>
      <c r="C2153" s="899" t="s">
        <v>11479</v>
      </c>
      <c r="D2153" s="988" t="s">
        <v>2672</v>
      </c>
      <c r="E2153" s="989">
        <v>1.9</v>
      </c>
      <c r="F2153" s="990"/>
      <c r="G2153" s="990"/>
      <c r="H2153" s="990"/>
      <c r="I2153" s="990"/>
      <c r="J2153" s="990"/>
      <c r="K2153" s="990"/>
      <c r="L2153" s="990"/>
      <c r="M2153" s="990"/>
      <c r="N2153" s="990"/>
      <c r="O2153" s="990"/>
      <c r="P2153" s="990"/>
      <c r="Q2153" s="990"/>
      <c r="R2153" s="990"/>
      <c r="S2153" s="990"/>
      <c r="T2153" s="990"/>
      <c r="U2153" s="990"/>
      <c r="V2153" s="990"/>
      <c r="W2153" s="990"/>
      <c r="X2153" s="990"/>
    </row>
    <row r="2154" spans="1:24" s="896" customFormat="1" ht="25.5">
      <c r="A2154" s="987">
        <f t="shared" si="34"/>
        <v>2080</v>
      </c>
      <c r="B2154" s="988">
        <v>43464</v>
      </c>
      <c r="C2154" s="899" t="s">
        <v>11480</v>
      </c>
      <c r="D2154" s="988" t="s">
        <v>2665</v>
      </c>
      <c r="E2154" s="989">
        <v>0.01</v>
      </c>
      <c r="F2154" s="990"/>
      <c r="G2154" s="990"/>
      <c r="H2154" s="990"/>
      <c r="I2154" s="990"/>
      <c r="J2154" s="990"/>
      <c r="K2154" s="990"/>
      <c r="L2154" s="990"/>
      <c r="M2154" s="990"/>
      <c r="N2154" s="990"/>
      <c r="O2154" s="990"/>
      <c r="P2154" s="990"/>
      <c r="Q2154" s="990"/>
      <c r="R2154" s="990"/>
      <c r="S2154" s="990"/>
      <c r="T2154" s="990"/>
      <c r="U2154" s="990"/>
      <c r="V2154" s="990"/>
      <c r="W2154" s="990"/>
      <c r="X2154" s="990"/>
    </row>
    <row r="2155" spans="1:24" s="896" customFormat="1" ht="25.5">
      <c r="A2155" s="987">
        <f t="shared" si="34"/>
        <v>2081</v>
      </c>
      <c r="B2155" s="988">
        <v>43476</v>
      </c>
      <c r="C2155" s="899" t="s">
        <v>11481</v>
      </c>
      <c r="D2155" s="988" t="s">
        <v>2672</v>
      </c>
      <c r="E2155" s="989">
        <v>0.01</v>
      </c>
      <c r="F2155" s="990"/>
      <c r="G2155" s="990"/>
      <c r="H2155" s="990"/>
      <c r="I2155" s="990"/>
      <c r="J2155" s="990"/>
      <c r="K2155" s="990"/>
      <c r="L2155" s="990"/>
      <c r="M2155" s="990"/>
      <c r="N2155" s="990"/>
      <c r="O2155" s="990"/>
      <c r="P2155" s="990"/>
      <c r="Q2155" s="990"/>
      <c r="R2155" s="990"/>
      <c r="S2155" s="990"/>
      <c r="T2155" s="990"/>
      <c r="U2155" s="990"/>
      <c r="V2155" s="990"/>
      <c r="W2155" s="990"/>
      <c r="X2155" s="990"/>
    </row>
    <row r="2156" spans="1:24" s="896" customFormat="1" ht="25.5">
      <c r="A2156" s="987">
        <f t="shared" si="34"/>
        <v>2082</v>
      </c>
      <c r="B2156" s="988">
        <v>43465</v>
      </c>
      <c r="C2156" s="899" t="s">
        <v>11482</v>
      </c>
      <c r="D2156" s="988" t="s">
        <v>2665</v>
      </c>
      <c r="E2156" s="989">
        <v>0.74</v>
      </c>
      <c r="F2156" s="990"/>
      <c r="G2156" s="990"/>
      <c r="H2156" s="990"/>
      <c r="I2156" s="990"/>
      <c r="J2156" s="990"/>
      <c r="K2156" s="990"/>
      <c r="L2156" s="990"/>
      <c r="M2156" s="990"/>
      <c r="N2156" s="990"/>
      <c r="O2156" s="990"/>
      <c r="P2156" s="990"/>
      <c r="Q2156" s="990"/>
      <c r="R2156" s="990"/>
      <c r="S2156" s="990"/>
      <c r="T2156" s="990"/>
      <c r="U2156" s="990"/>
      <c r="V2156" s="990"/>
      <c r="W2156" s="990"/>
      <c r="X2156" s="990"/>
    </row>
    <row r="2157" spans="1:24" s="896" customFormat="1" ht="25.5">
      <c r="A2157" s="987">
        <f t="shared" si="34"/>
        <v>2083</v>
      </c>
      <c r="B2157" s="988">
        <v>43477</v>
      </c>
      <c r="C2157" s="899" t="s">
        <v>11483</v>
      </c>
      <c r="D2157" s="988" t="s">
        <v>2672</v>
      </c>
      <c r="E2157" s="989">
        <v>139.44</v>
      </c>
      <c r="F2157" s="990"/>
      <c r="G2157" s="990"/>
      <c r="H2157" s="990"/>
      <c r="I2157" s="990"/>
      <c r="J2157" s="990"/>
      <c r="K2157" s="990"/>
      <c r="L2157" s="990"/>
      <c r="M2157" s="990"/>
      <c r="N2157" s="990"/>
      <c r="O2157" s="990"/>
      <c r="P2157" s="990"/>
      <c r="Q2157" s="990"/>
      <c r="R2157" s="990"/>
      <c r="S2157" s="990"/>
      <c r="T2157" s="990"/>
      <c r="U2157" s="990"/>
      <c r="V2157" s="990"/>
      <c r="W2157" s="990"/>
      <c r="X2157" s="990"/>
    </row>
    <row r="2158" spans="1:24" s="896" customFormat="1" ht="25.5">
      <c r="A2158" s="987">
        <f t="shared" si="34"/>
        <v>2084</v>
      </c>
      <c r="B2158" s="988">
        <v>43466</v>
      </c>
      <c r="C2158" s="899" t="s">
        <v>11484</v>
      </c>
      <c r="D2158" s="988" t="s">
        <v>2665</v>
      </c>
      <c r="E2158" s="989">
        <v>1.48</v>
      </c>
      <c r="F2158" s="990"/>
      <c r="G2158" s="990"/>
      <c r="H2158" s="990"/>
      <c r="I2158" s="990"/>
      <c r="J2158" s="990"/>
      <c r="K2158" s="990"/>
      <c r="L2158" s="990"/>
      <c r="M2158" s="990"/>
      <c r="N2158" s="990"/>
      <c r="O2158" s="990"/>
      <c r="P2158" s="990"/>
      <c r="Q2158" s="990"/>
      <c r="R2158" s="990"/>
      <c r="S2158" s="990"/>
      <c r="T2158" s="990"/>
      <c r="U2158" s="990"/>
      <c r="V2158" s="990"/>
      <c r="W2158" s="990"/>
      <c r="X2158" s="990"/>
    </row>
    <row r="2159" spans="1:24" s="896" customFormat="1" ht="25.5">
      <c r="A2159" s="987">
        <f t="shared" si="34"/>
        <v>2085</v>
      </c>
      <c r="B2159" s="988">
        <v>43478</v>
      </c>
      <c r="C2159" s="899" t="s">
        <v>11485</v>
      </c>
      <c r="D2159" s="988" t="s">
        <v>2672</v>
      </c>
      <c r="E2159" s="989">
        <v>279.08999999999997</v>
      </c>
      <c r="F2159" s="990"/>
      <c r="G2159" s="990"/>
      <c r="H2159" s="990"/>
      <c r="I2159" s="990"/>
      <c r="J2159" s="990"/>
      <c r="K2159" s="990"/>
      <c r="L2159" s="990"/>
      <c r="M2159" s="990"/>
      <c r="N2159" s="990"/>
      <c r="O2159" s="990"/>
      <c r="P2159" s="990"/>
      <c r="Q2159" s="990"/>
      <c r="R2159" s="990"/>
      <c r="S2159" s="990"/>
      <c r="T2159" s="990"/>
      <c r="U2159" s="990"/>
      <c r="V2159" s="990"/>
      <c r="W2159" s="990"/>
      <c r="X2159" s="990"/>
    </row>
    <row r="2160" spans="1:24" s="896" customFormat="1" ht="25.5">
      <c r="A2160" s="987">
        <f t="shared" si="34"/>
        <v>2086</v>
      </c>
      <c r="B2160" s="988">
        <v>43467</v>
      </c>
      <c r="C2160" s="899" t="s">
        <v>11486</v>
      </c>
      <c r="D2160" s="988" t="s">
        <v>2665</v>
      </c>
      <c r="E2160" s="989">
        <v>0.56000000000000005</v>
      </c>
      <c r="F2160" s="990"/>
      <c r="G2160" s="990"/>
      <c r="H2160" s="990"/>
      <c r="I2160" s="990"/>
      <c r="J2160" s="990"/>
      <c r="K2160" s="990"/>
      <c r="L2160" s="990"/>
      <c r="M2160" s="990"/>
      <c r="N2160" s="990"/>
      <c r="O2160" s="990"/>
      <c r="P2160" s="990"/>
      <c r="Q2160" s="990"/>
      <c r="R2160" s="990"/>
      <c r="S2160" s="990"/>
      <c r="T2160" s="990"/>
      <c r="U2160" s="990"/>
      <c r="V2160" s="990"/>
      <c r="W2160" s="990"/>
      <c r="X2160" s="990"/>
    </row>
    <row r="2161" spans="1:24" s="896" customFormat="1" ht="25.5">
      <c r="A2161" s="987">
        <f t="shared" si="34"/>
        <v>2087</v>
      </c>
      <c r="B2161" s="988">
        <v>43479</v>
      </c>
      <c r="C2161" s="899" t="s">
        <v>11487</v>
      </c>
      <c r="D2161" s="988" t="s">
        <v>2672</v>
      </c>
      <c r="E2161" s="989">
        <v>106.33</v>
      </c>
      <c r="F2161" s="990"/>
      <c r="G2161" s="990"/>
      <c r="H2161" s="990"/>
      <c r="I2161" s="990"/>
      <c r="J2161" s="990"/>
      <c r="K2161" s="990"/>
      <c r="L2161" s="990"/>
      <c r="M2161" s="990"/>
      <c r="N2161" s="990"/>
      <c r="O2161" s="990"/>
      <c r="P2161" s="990"/>
      <c r="Q2161" s="990"/>
      <c r="R2161" s="990"/>
      <c r="S2161" s="990"/>
      <c r="T2161" s="990"/>
      <c r="U2161" s="990"/>
      <c r="V2161" s="990"/>
      <c r="W2161" s="990"/>
      <c r="X2161" s="990"/>
    </row>
    <row r="2162" spans="1:24" s="896" customFormat="1" ht="25.5">
      <c r="A2162" s="987">
        <f t="shared" si="34"/>
        <v>2088</v>
      </c>
      <c r="B2162" s="988">
        <v>43468</v>
      </c>
      <c r="C2162" s="899" t="s">
        <v>11488</v>
      </c>
      <c r="D2162" s="988" t="s">
        <v>2665</v>
      </c>
      <c r="E2162" s="989">
        <v>1.07</v>
      </c>
      <c r="F2162" s="990"/>
      <c r="G2162" s="990"/>
      <c r="H2162" s="990"/>
      <c r="I2162" s="990"/>
      <c r="J2162" s="990"/>
      <c r="K2162" s="990"/>
      <c r="L2162" s="990"/>
      <c r="M2162" s="990"/>
      <c r="N2162" s="990"/>
      <c r="O2162" s="990"/>
      <c r="P2162" s="990"/>
      <c r="Q2162" s="990"/>
      <c r="R2162" s="990"/>
      <c r="S2162" s="990"/>
      <c r="T2162" s="990"/>
      <c r="U2162" s="990"/>
      <c r="V2162" s="990"/>
      <c r="W2162" s="990"/>
      <c r="X2162" s="990"/>
    </row>
    <row r="2163" spans="1:24" s="896" customFormat="1" ht="25.5">
      <c r="A2163" s="987">
        <f t="shared" si="34"/>
        <v>2089</v>
      </c>
      <c r="B2163" s="988">
        <v>43480</v>
      </c>
      <c r="C2163" s="899" t="s">
        <v>11489</v>
      </c>
      <c r="D2163" s="988" t="s">
        <v>2672</v>
      </c>
      <c r="E2163" s="989">
        <v>201.56</v>
      </c>
      <c r="F2163" s="990"/>
      <c r="G2163" s="990"/>
      <c r="H2163" s="990"/>
      <c r="I2163" s="990"/>
      <c r="J2163" s="990"/>
      <c r="K2163" s="990"/>
      <c r="L2163" s="990"/>
      <c r="M2163" s="990"/>
      <c r="N2163" s="990"/>
      <c r="O2163" s="990"/>
      <c r="P2163" s="990"/>
      <c r="Q2163" s="990"/>
      <c r="R2163" s="990"/>
      <c r="S2163" s="990"/>
      <c r="T2163" s="990"/>
      <c r="U2163" s="990"/>
      <c r="V2163" s="990"/>
      <c r="W2163" s="990"/>
      <c r="X2163" s="990"/>
    </row>
    <row r="2164" spans="1:24" s="896" customFormat="1" ht="25.5">
      <c r="A2164" s="987">
        <f t="shared" si="34"/>
        <v>2090</v>
      </c>
      <c r="B2164" s="988">
        <v>43469</v>
      </c>
      <c r="C2164" s="899" t="s">
        <v>11490</v>
      </c>
      <c r="D2164" s="988" t="s">
        <v>2665</v>
      </c>
      <c r="E2164" s="989">
        <v>7.0000000000000007E-2</v>
      </c>
      <c r="F2164" s="990"/>
      <c r="G2164" s="990"/>
      <c r="H2164" s="990"/>
      <c r="I2164" s="990"/>
      <c r="J2164" s="990"/>
      <c r="K2164" s="990"/>
      <c r="L2164" s="990"/>
      <c r="M2164" s="990"/>
      <c r="N2164" s="990"/>
      <c r="O2164" s="990"/>
      <c r="P2164" s="990"/>
      <c r="Q2164" s="990"/>
      <c r="R2164" s="990"/>
      <c r="S2164" s="990"/>
      <c r="T2164" s="990"/>
      <c r="U2164" s="990"/>
      <c r="V2164" s="990"/>
      <c r="W2164" s="990"/>
      <c r="X2164" s="990"/>
    </row>
    <row r="2165" spans="1:24" s="896" customFormat="1" ht="25.5">
      <c r="A2165" s="987">
        <f t="shared" si="34"/>
        <v>2091</v>
      </c>
      <c r="B2165" s="988">
        <v>43481</v>
      </c>
      <c r="C2165" s="899" t="s">
        <v>11491</v>
      </c>
      <c r="D2165" s="988" t="s">
        <v>2672</v>
      </c>
      <c r="E2165" s="989">
        <v>13.21</v>
      </c>
      <c r="F2165" s="990"/>
      <c r="G2165" s="990"/>
      <c r="H2165" s="990"/>
      <c r="I2165" s="990"/>
      <c r="J2165" s="990"/>
      <c r="K2165" s="990"/>
      <c r="L2165" s="990"/>
      <c r="M2165" s="990"/>
      <c r="N2165" s="990"/>
      <c r="O2165" s="990"/>
      <c r="P2165" s="990"/>
      <c r="Q2165" s="990"/>
      <c r="R2165" s="990"/>
      <c r="S2165" s="990"/>
      <c r="T2165" s="990"/>
      <c r="U2165" s="990"/>
      <c r="V2165" s="990"/>
      <c r="W2165" s="990"/>
      <c r="X2165" s="990"/>
    </row>
    <row r="2166" spans="1:24" s="896" customFormat="1" ht="38.25">
      <c r="A2166" s="987">
        <f t="shared" si="34"/>
        <v>2092</v>
      </c>
      <c r="B2166" s="988">
        <v>3119</v>
      </c>
      <c r="C2166" s="899" t="s">
        <v>11492</v>
      </c>
      <c r="D2166" s="988" t="s">
        <v>2666</v>
      </c>
      <c r="E2166" s="989">
        <v>2.65</v>
      </c>
      <c r="F2166" s="990"/>
      <c r="G2166" s="990"/>
      <c r="H2166" s="990"/>
      <c r="I2166" s="990"/>
      <c r="J2166" s="990"/>
      <c r="K2166" s="990"/>
      <c r="L2166" s="990"/>
      <c r="M2166" s="990"/>
      <c r="N2166" s="990"/>
      <c r="O2166" s="990"/>
      <c r="P2166" s="990"/>
      <c r="Q2166" s="990"/>
      <c r="R2166" s="990"/>
      <c r="S2166" s="990"/>
      <c r="T2166" s="990"/>
      <c r="U2166" s="990"/>
      <c r="V2166" s="990"/>
      <c r="W2166" s="990"/>
      <c r="X2166" s="990"/>
    </row>
    <row r="2167" spans="1:24" s="896" customFormat="1" ht="25.5">
      <c r="A2167" s="987">
        <f t="shared" si="34"/>
        <v>2093</v>
      </c>
      <c r="B2167" s="988">
        <v>3122</v>
      </c>
      <c r="C2167" s="899" t="s">
        <v>11493</v>
      </c>
      <c r="D2167" s="988" t="s">
        <v>2666</v>
      </c>
      <c r="E2167" s="989">
        <v>5.39</v>
      </c>
      <c r="F2167" s="990"/>
      <c r="G2167" s="990"/>
      <c r="H2167" s="990"/>
      <c r="I2167" s="990"/>
      <c r="J2167" s="990"/>
      <c r="K2167" s="990"/>
      <c r="L2167" s="990"/>
      <c r="M2167" s="990"/>
      <c r="N2167" s="990"/>
      <c r="O2167" s="990"/>
      <c r="P2167" s="990"/>
      <c r="Q2167" s="990"/>
      <c r="R2167" s="990"/>
      <c r="S2167" s="990"/>
      <c r="T2167" s="990"/>
      <c r="U2167" s="990"/>
      <c r="V2167" s="990"/>
      <c r="W2167" s="990"/>
      <c r="X2167" s="990"/>
    </row>
    <row r="2168" spans="1:24" s="896" customFormat="1" ht="25.5">
      <c r="A2168" s="987">
        <f t="shared" si="34"/>
        <v>2094</v>
      </c>
      <c r="B2168" s="988">
        <v>3121</v>
      </c>
      <c r="C2168" s="899" t="s">
        <v>11494</v>
      </c>
      <c r="D2168" s="988" t="s">
        <v>2666</v>
      </c>
      <c r="E2168" s="989">
        <v>6.11</v>
      </c>
      <c r="F2168" s="990"/>
      <c r="G2168" s="990"/>
      <c r="H2168" s="990"/>
      <c r="I2168" s="990"/>
      <c r="J2168" s="990"/>
      <c r="K2168" s="990"/>
      <c r="L2168" s="990"/>
      <c r="M2168" s="990"/>
      <c r="N2168" s="990"/>
      <c r="O2168" s="990"/>
      <c r="P2168" s="990"/>
      <c r="Q2168" s="990"/>
      <c r="R2168" s="990"/>
      <c r="S2168" s="990"/>
      <c r="T2168" s="990"/>
      <c r="U2168" s="990"/>
      <c r="V2168" s="990"/>
      <c r="W2168" s="990"/>
      <c r="X2168" s="990"/>
    </row>
    <row r="2169" spans="1:24" s="896" customFormat="1" ht="25.5">
      <c r="A2169" s="987">
        <f t="shared" si="34"/>
        <v>2095</v>
      </c>
      <c r="B2169" s="988">
        <v>3120</v>
      </c>
      <c r="C2169" s="899" t="s">
        <v>11495</v>
      </c>
      <c r="D2169" s="988" t="s">
        <v>2666</v>
      </c>
      <c r="E2169" s="989">
        <v>11.58</v>
      </c>
      <c r="F2169" s="990"/>
      <c r="G2169" s="990"/>
      <c r="H2169" s="990"/>
      <c r="I2169" s="990"/>
      <c r="J2169" s="990"/>
      <c r="K2169" s="990"/>
      <c r="L2169" s="990"/>
      <c r="M2169" s="990"/>
      <c r="N2169" s="990"/>
      <c r="O2169" s="990"/>
      <c r="P2169" s="990"/>
      <c r="Q2169" s="990"/>
      <c r="R2169" s="990"/>
      <c r="S2169" s="990"/>
      <c r="T2169" s="990"/>
      <c r="U2169" s="990"/>
      <c r="V2169" s="990"/>
      <c r="W2169" s="990"/>
      <c r="X2169" s="990"/>
    </row>
    <row r="2170" spans="1:24" s="896" customFormat="1" ht="25.5">
      <c r="A2170" s="987">
        <f t="shared" si="34"/>
        <v>2096</v>
      </c>
      <c r="B2170" s="988">
        <v>11455</v>
      </c>
      <c r="C2170" s="899" t="s">
        <v>11496</v>
      </c>
      <c r="D2170" s="988" t="s">
        <v>2666</v>
      </c>
      <c r="E2170" s="989">
        <v>16.75</v>
      </c>
      <c r="F2170" s="990"/>
      <c r="G2170" s="990"/>
      <c r="H2170" s="990"/>
      <c r="I2170" s="990"/>
      <c r="J2170" s="990"/>
      <c r="K2170" s="990"/>
      <c r="L2170" s="990"/>
      <c r="M2170" s="990"/>
      <c r="N2170" s="990"/>
      <c r="O2170" s="990"/>
      <c r="P2170" s="990"/>
      <c r="Q2170" s="990"/>
      <c r="R2170" s="990"/>
      <c r="S2170" s="990"/>
      <c r="T2170" s="990"/>
      <c r="U2170" s="990"/>
      <c r="V2170" s="990"/>
      <c r="W2170" s="990"/>
      <c r="X2170" s="990"/>
    </row>
    <row r="2171" spans="1:24" s="896" customFormat="1" ht="38.25">
      <c r="A2171" s="987">
        <f t="shared" si="34"/>
        <v>2097</v>
      </c>
      <c r="B2171" s="988">
        <v>11456</v>
      </c>
      <c r="C2171" s="899" t="s">
        <v>11497</v>
      </c>
      <c r="D2171" s="988" t="s">
        <v>2666</v>
      </c>
      <c r="E2171" s="989">
        <v>20.02</v>
      </c>
      <c r="F2171" s="990"/>
      <c r="G2171" s="990"/>
      <c r="H2171" s="990"/>
      <c r="I2171" s="990"/>
      <c r="J2171" s="990"/>
      <c r="K2171" s="990"/>
      <c r="L2171" s="990"/>
      <c r="M2171" s="990"/>
      <c r="N2171" s="990"/>
      <c r="O2171" s="990"/>
      <c r="P2171" s="990"/>
      <c r="Q2171" s="990"/>
      <c r="R2171" s="990"/>
      <c r="S2171" s="990"/>
      <c r="T2171" s="990"/>
      <c r="U2171" s="990"/>
      <c r="V2171" s="990"/>
      <c r="W2171" s="990"/>
      <c r="X2171" s="990"/>
    </row>
    <row r="2172" spans="1:24" s="896" customFormat="1" ht="38.25">
      <c r="A2172" s="987">
        <f t="shared" si="34"/>
        <v>2098</v>
      </c>
      <c r="B2172" s="988">
        <v>3107</v>
      </c>
      <c r="C2172" s="899" t="s">
        <v>11498</v>
      </c>
      <c r="D2172" s="988" t="s">
        <v>2666</v>
      </c>
      <c r="E2172" s="989">
        <v>8.44</v>
      </c>
      <c r="F2172" s="990"/>
      <c r="G2172" s="990"/>
      <c r="H2172" s="990"/>
      <c r="I2172" s="990"/>
      <c r="J2172" s="990"/>
      <c r="K2172" s="990"/>
      <c r="L2172" s="990"/>
      <c r="M2172" s="990"/>
      <c r="N2172" s="990"/>
      <c r="O2172" s="990"/>
      <c r="P2172" s="990"/>
      <c r="Q2172" s="990"/>
      <c r="R2172" s="990"/>
      <c r="S2172" s="990"/>
      <c r="T2172" s="990"/>
      <c r="U2172" s="990"/>
      <c r="V2172" s="990"/>
      <c r="W2172" s="990"/>
      <c r="X2172" s="990"/>
    </row>
    <row r="2173" spans="1:24" s="896" customFormat="1" ht="38.25">
      <c r="A2173" s="987">
        <f t="shared" si="34"/>
        <v>2099</v>
      </c>
      <c r="B2173" s="988">
        <v>43583</v>
      </c>
      <c r="C2173" s="899" t="s">
        <v>11499</v>
      </c>
      <c r="D2173" s="988" t="s">
        <v>2666</v>
      </c>
      <c r="E2173" s="989">
        <v>9.52</v>
      </c>
      <c r="F2173" s="990"/>
      <c r="G2173" s="990"/>
      <c r="H2173" s="990"/>
      <c r="I2173" s="990"/>
      <c r="J2173" s="990"/>
      <c r="K2173" s="990"/>
      <c r="L2173" s="990"/>
      <c r="M2173" s="990"/>
      <c r="N2173" s="990"/>
      <c r="O2173" s="990"/>
      <c r="P2173" s="990"/>
      <c r="Q2173" s="990"/>
      <c r="R2173" s="990"/>
      <c r="S2173" s="990"/>
      <c r="T2173" s="990"/>
      <c r="U2173" s="990"/>
      <c r="V2173" s="990"/>
      <c r="W2173" s="990"/>
      <c r="X2173" s="990"/>
    </row>
    <row r="2174" spans="1:24" s="896" customFormat="1" ht="38.25">
      <c r="A2174" s="987">
        <f t="shared" si="34"/>
        <v>2100</v>
      </c>
      <c r="B2174" s="988">
        <v>43586</v>
      </c>
      <c r="C2174" s="899" t="s">
        <v>11500</v>
      </c>
      <c r="D2174" s="988" t="s">
        <v>2666</v>
      </c>
      <c r="E2174" s="989">
        <v>9.76</v>
      </c>
      <c r="F2174" s="990"/>
      <c r="G2174" s="990"/>
      <c r="H2174" s="990"/>
      <c r="I2174" s="990"/>
      <c r="J2174" s="990"/>
      <c r="K2174" s="990"/>
      <c r="L2174" s="990"/>
      <c r="M2174" s="990"/>
      <c r="N2174" s="990"/>
      <c r="O2174" s="990"/>
      <c r="P2174" s="990"/>
      <c r="Q2174" s="990"/>
      <c r="R2174" s="990"/>
      <c r="S2174" s="990"/>
      <c r="T2174" s="990"/>
      <c r="U2174" s="990"/>
      <c r="V2174" s="990"/>
      <c r="W2174" s="990"/>
      <c r="X2174" s="990"/>
    </row>
    <row r="2175" spans="1:24" s="896" customFormat="1" ht="38.25">
      <c r="A2175" s="987">
        <f t="shared" si="34"/>
        <v>2101</v>
      </c>
      <c r="B2175" s="988">
        <v>11461</v>
      </c>
      <c r="C2175" s="899" t="s">
        <v>11501</v>
      </c>
      <c r="D2175" s="988" t="s">
        <v>2666</v>
      </c>
      <c r="E2175" s="989">
        <v>10.64</v>
      </c>
      <c r="F2175" s="990"/>
      <c r="G2175" s="990"/>
      <c r="H2175" s="990"/>
      <c r="I2175" s="990"/>
      <c r="J2175" s="990"/>
      <c r="K2175" s="990"/>
      <c r="L2175" s="990"/>
      <c r="M2175" s="990"/>
      <c r="N2175" s="990"/>
      <c r="O2175" s="990"/>
      <c r="P2175" s="990"/>
      <c r="Q2175" s="990"/>
      <c r="R2175" s="990"/>
      <c r="S2175" s="990"/>
      <c r="T2175" s="990"/>
      <c r="U2175" s="990"/>
      <c r="V2175" s="990"/>
      <c r="W2175" s="990"/>
      <c r="X2175" s="990"/>
    </row>
    <row r="2176" spans="1:24" s="896" customFormat="1" ht="38.25">
      <c r="A2176" s="987">
        <f t="shared" si="34"/>
        <v>2102</v>
      </c>
      <c r="B2176" s="988">
        <v>43587</v>
      </c>
      <c r="C2176" s="899" t="s">
        <v>11502</v>
      </c>
      <c r="D2176" s="988" t="s">
        <v>2666</v>
      </c>
      <c r="E2176" s="989">
        <v>12.27</v>
      </c>
      <c r="F2176" s="990"/>
      <c r="G2176" s="990"/>
      <c r="H2176" s="990"/>
      <c r="I2176" s="990"/>
      <c r="J2176" s="990"/>
      <c r="K2176" s="990"/>
      <c r="L2176" s="990"/>
      <c r="M2176" s="990"/>
      <c r="N2176" s="990"/>
      <c r="O2176" s="990"/>
      <c r="P2176" s="990"/>
      <c r="Q2176" s="990"/>
      <c r="R2176" s="990"/>
      <c r="S2176" s="990"/>
      <c r="T2176" s="990"/>
      <c r="U2176" s="990"/>
      <c r="V2176" s="990"/>
      <c r="W2176" s="990"/>
      <c r="X2176" s="990"/>
    </row>
    <row r="2177" spans="1:24" s="896" customFormat="1" ht="38.25">
      <c r="A2177" s="987">
        <f t="shared" si="34"/>
        <v>2103</v>
      </c>
      <c r="B2177" s="988">
        <v>3106</v>
      </c>
      <c r="C2177" s="899" t="s">
        <v>11503</v>
      </c>
      <c r="D2177" s="988" t="s">
        <v>2666</v>
      </c>
      <c r="E2177" s="989">
        <v>15.57</v>
      </c>
      <c r="F2177" s="990"/>
      <c r="G2177" s="990"/>
      <c r="H2177" s="990"/>
      <c r="I2177" s="990"/>
      <c r="J2177" s="990"/>
      <c r="K2177" s="990"/>
      <c r="L2177" s="990"/>
      <c r="M2177" s="990"/>
      <c r="N2177" s="990"/>
      <c r="O2177" s="990"/>
      <c r="P2177" s="990"/>
      <c r="Q2177" s="990"/>
      <c r="R2177" s="990"/>
      <c r="S2177" s="990"/>
      <c r="T2177" s="990"/>
      <c r="U2177" s="990"/>
      <c r="V2177" s="990"/>
      <c r="W2177" s="990"/>
      <c r="X2177" s="990"/>
    </row>
    <row r="2178" spans="1:24" s="896" customFormat="1">
      <c r="A2178" s="987">
        <f t="shared" si="34"/>
        <v>2104</v>
      </c>
      <c r="B2178" s="988">
        <v>44539</v>
      </c>
      <c r="C2178" s="899" t="s">
        <v>11504</v>
      </c>
      <c r="D2178" s="988" t="s">
        <v>2670</v>
      </c>
      <c r="E2178" s="989">
        <v>4.0999999999999996</v>
      </c>
      <c r="F2178" s="990"/>
      <c r="G2178" s="990"/>
      <c r="H2178" s="990"/>
      <c r="I2178" s="990"/>
      <c r="J2178" s="990"/>
      <c r="K2178" s="990"/>
      <c r="L2178" s="990"/>
      <c r="M2178" s="990"/>
      <c r="N2178" s="990"/>
      <c r="O2178" s="990"/>
      <c r="P2178" s="990"/>
      <c r="Q2178" s="990"/>
      <c r="R2178" s="990"/>
      <c r="S2178" s="990"/>
      <c r="T2178" s="990"/>
      <c r="U2178" s="990"/>
      <c r="V2178" s="990"/>
      <c r="W2178" s="990"/>
      <c r="X2178" s="990"/>
    </row>
    <row r="2179" spans="1:24" s="896" customFormat="1">
      <c r="A2179" s="987">
        <f t="shared" si="34"/>
        <v>2105</v>
      </c>
      <c r="B2179" s="988">
        <v>3123</v>
      </c>
      <c r="C2179" s="899" t="s">
        <v>11505</v>
      </c>
      <c r="D2179" s="988" t="s">
        <v>2670</v>
      </c>
      <c r="E2179" s="989">
        <v>3.82</v>
      </c>
      <c r="F2179" s="990"/>
      <c r="G2179" s="990"/>
      <c r="H2179" s="990"/>
      <c r="I2179" s="990"/>
      <c r="J2179" s="990"/>
      <c r="K2179" s="990"/>
      <c r="L2179" s="990"/>
      <c r="M2179" s="990"/>
      <c r="N2179" s="990"/>
      <c r="O2179" s="990"/>
      <c r="P2179" s="990"/>
      <c r="Q2179" s="990"/>
      <c r="R2179" s="990"/>
      <c r="S2179" s="990"/>
      <c r="T2179" s="990"/>
      <c r="U2179" s="990"/>
      <c r="V2179" s="990"/>
      <c r="W2179" s="990"/>
      <c r="X2179" s="990"/>
    </row>
    <row r="2180" spans="1:24" s="896" customFormat="1">
      <c r="A2180" s="987">
        <f t="shared" si="34"/>
        <v>2106</v>
      </c>
      <c r="B2180" s="988">
        <v>38125</v>
      </c>
      <c r="C2180" s="899" t="s">
        <v>11506</v>
      </c>
      <c r="D2180" s="988" t="s">
        <v>2670</v>
      </c>
      <c r="E2180" s="989">
        <v>1.79</v>
      </c>
      <c r="F2180" s="990"/>
      <c r="G2180" s="990"/>
      <c r="H2180" s="990"/>
      <c r="I2180" s="990"/>
      <c r="J2180" s="990"/>
      <c r="K2180" s="990"/>
      <c r="L2180" s="990"/>
      <c r="M2180" s="990"/>
      <c r="N2180" s="990"/>
      <c r="O2180" s="990"/>
      <c r="P2180" s="990"/>
      <c r="Q2180" s="990"/>
      <c r="R2180" s="990"/>
      <c r="S2180" s="990"/>
      <c r="T2180" s="990"/>
      <c r="U2180" s="990"/>
      <c r="V2180" s="990"/>
      <c r="W2180" s="990"/>
      <c r="X2180" s="990"/>
    </row>
    <row r="2181" spans="1:24" s="896" customFormat="1" ht="25.5">
      <c r="A2181" s="987">
        <f t="shared" si="34"/>
        <v>2107</v>
      </c>
      <c r="B2181" s="988">
        <v>39014</v>
      </c>
      <c r="C2181" s="899" t="s">
        <v>11507</v>
      </c>
      <c r="D2181" s="988" t="s">
        <v>2670</v>
      </c>
      <c r="E2181" s="989">
        <v>10.93</v>
      </c>
      <c r="F2181" s="990"/>
      <c r="G2181" s="990"/>
      <c r="H2181" s="990"/>
      <c r="I2181" s="990"/>
      <c r="J2181" s="990"/>
      <c r="K2181" s="990"/>
      <c r="L2181" s="990"/>
      <c r="M2181" s="990"/>
      <c r="N2181" s="990"/>
      <c r="O2181" s="990"/>
      <c r="P2181" s="990"/>
      <c r="Q2181" s="990"/>
      <c r="R2181" s="990"/>
      <c r="S2181" s="990"/>
      <c r="T2181" s="990"/>
      <c r="U2181" s="990"/>
      <c r="V2181" s="990"/>
      <c r="W2181" s="990"/>
      <c r="X2181" s="990"/>
    </row>
    <row r="2182" spans="1:24" s="896" customFormat="1" ht="25.5">
      <c r="A2182" s="987">
        <f t="shared" si="34"/>
        <v>2108</v>
      </c>
      <c r="B2182" s="988">
        <v>39365</v>
      </c>
      <c r="C2182" s="899" t="s">
        <v>11508</v>
      </c>
      <c r="D2182" s="988" t="s">
        <v>2666</v>
      </c>
      <c r="E2182" s="989">
        <v>1287.01</v>
      </c>
      <c r="F2182" s="990"/>
      <c r="G2182" s="990"/>
      <c r="H2182" s="990"/>
      <c r="I2182" s="990"/>
      <c r="J2182" s="990"/>
      <c r="K2182" s="990"/>
      <c r="L2182" s="990"/>
      <c r="M2182" s="990"/>
      <c r="N2182" s="990"/>
      <c r="O2182" s="990"/>
      <c r="P2182" s="990"/>
      <c r="Q2182" s="990"/>
      <c r="R2182" s="990"/>
      <c r="S2182" s="990"/>
      <c r="T2182" s="990"/>
      <c r="U2182" s="990"/>
      <c r="V2182" s="990"/>
      <c r="W2182" s="990"/>
      <c r="X2182" s="990"/>
    </row>
    <row r="2183" spans="1:24" s="896" customFormat="1" ht="25.5">
      <c r="A2183" s="987">
        <f t="shared" si="34"/>
        <v>2109</v>
      </c>
      <c r="B2183" s="988">
        <v>39366</v>
      </c>
      <c r="C2183" s="899" t="s">
        <v>11509</v>
      </c>
      <c r="D2183" s="988" t="s">
        <v>2666</v>
      </c>
      <c r="E2183" s="989">
        <v>3295.28</v>
      </c>
      <c r="F2183" s="990"/>
      <c r="G2183" s="990"/>
      <c r="H2183" s="990"/>
      <c r="I2183" s="990"/>
      <c r="J2183" s="990"/>
      <c r="K2183" s="990"/>
      <c r="L2183" s="990"/>
      <c r="M2183" s="990"/>
      <c r="N2183" s="990"/>
      <c r="O2183" s="990"/>
      <c r="P2183" s="990"/>
      <c r="Q2183" s="990"/>
      <c r="R2183" s="990"/>
      <c r="S2183" s="990"/>
      <c r="T2183" s="990"/>
      <c r="U2183" s="990"/>
      <c r="V2183" s="990"/>
      <c r="W2183" s="990"/>
      <c r="X2183" s="990"/>
    </row>
    <row r="2184" spans="1:24" s="896" customFormat="1" ht="25.5">
      <c r="A2184" s="987">
        <f t="shared" si="34"/>
        <v>2110</v>
      </c>
      <c r="B2184" s="988">
        <v>39367</v>
      </c>
      <c r="C2184" s="899" t="s">
        <v>11510</v>
      </c>
      <c r="D2184" s="988" t="s">
        <v>2666</v>
      </c>
      <c r="E2184" s="989">
        <v>4504.05</v>
      </c>
      <c r="F2184" s="990"/>
      <c r="G2184" s="990"/>
      <c r="H2184" s="990"/>
      <c r="I2184" s="990"/>
      <c r="J2184" s="990"/>
      <c r="K2184" s="990"/>
      <c r="L2184" s="990"/>
      <c r="M2184" s="990"/>
      <c r="N2184" s="990"/>
      <c r="O2184" s="990"/>
      <c r="P2184" s="990"/>
      <c r="Q2184" s="990"/>
      <c r="R2184" s="990"/>
      <c r="S2184" s="990"/>
      <c r="T2184" s="990"/>
      <c r="U2184" s="990"/>
      <c r="V2184" s="990"/>
      <c r="W2184" s="990"/>
      <c r="X2184" s="990"/>
    </row>
    <row r="2185" spans="1:24" s="896" customFormat="1" ht="25.5">
      <c r="A2185" s="987">
        <f t="shared" si="34"/>
        <v>2111</v>
      </c>
      <c r="B2185" s="988">
        <v>37394</v>
      </c>
      <c r="C2185" s="899" t="s">
        <v>11511</v>
      </c>
      <c r="D2185" s="988" t="s">
        <v>2679</v>
      </c>
      <c r="E2185" s="989">
        <v>42.47</v>
      </c>
      <c r="F2185" s="990"/>
      <c r="G2185" s="990"/>
      <c r="H2185" s="990"/>
      <c r="I2185" s="990"/>
      <c r="J2185" s="990"/>
      <c r="K2185" s="990"/>
      <c r="L2185" s="990"/>
      <c r="M2185" s="990"/>
      <c r="N2185" s="990"/>
      <c r="O2185" s="990"/>
      <c r="P2185" s="990"/>
      <c r="Q2185" s="990"/>
      <c r="R2185" s="990"/>
      <c r="S2185" s="990"/>
      <c r="T2185" s="990"/>
      <c r="U2185" s="990"/>
      <c r="V2185" s="990"/>
      <c r="W2185" s="990"/>
      <c r="X2185" s="990"/>
    </row>
    <row r="2186" spans="1:24" s="896" customFormat="1" ht="25.5">
      <c r="A2186" s="987">
        <f t="shared" si="34"/>
        <v>2112</v>
      </c>
      <c r="B2186" s="988">
        <v>14146</v>
      </c>
      <c r="C2186" s="899" t="s">
        <v>11512</v>
      </c>
      <c r="D2186" s="988" t="s">
        <v>2679</v>
      </c>
      <c r="E2186" s="989">
        <v>68.3</v>
      </c>
      <c r="F2186" s="990"/>
      <c r="G2186" s="990"/>
      <c r="H2186" s="990"/>
      <c r="I2186" s="990"/>
      <c r="J2186" s="990"/>
      <c r="K2186" s="990"/>
      <c r="L2186" s="990"/>
      <c r="M2186" s="990"/>
      <c r="N2186" s="990"/>
      <c r="O2186" s="990"/>
      <c r="P2186" s="990"/>
      <c r="Q2186" s="990"/>
      <c r="R2186" s="990"/>
      <c r="S2186" s="990"/>
      <c r="T2186" s="990"/>
      <c r="U2186" s="990"/>
      <c r="V2186" s="990"/>
      <c r="W2186" s="990"/>
      <c r="X2186" s="990"/>
    </row>
    <row r="2187" spans="1:24" s="896" customFormat="1">
      <c r="A2187" s="987">
        <f t="shared" si="34"/>
        <v>2113</v>
      </c>
      <c r="B2187" s="988">
        <v>38134</v>
      </c>
      <c r="C2187" s="899" t="s">
        <v>11513</v>
      </c>
      <c r="D2187" s="988" t="s">
        <v>2670</v>
      </c>
      <c r="E2187" s="989">
        <v>115.22</v>
      </c>
      <c r="F2187" s="990"/>
      <c r="G2187" s="990"/>
      <c r="H2187" s="990"/>
      <c r="I2187" s="990"/>
      <c r="J2187" s="990"/>
      <c r="K2187" s="990"/>
      <c r="L2187" s="990"/>
      <c r="M2187" s="990"/>
      <c r="N2187" s="990"/>
      <c r="O2187" s="990"/>
      <c r="P2187" s="990"/>
      <c r="Q2187" s="990"/>
      <c r="R2187" s="990"/>
      <c r="S2187" s="990"/>
      <c r="T2187" s="990"/>
      <c r="U2187" s="990"/>
      <c r="V2187" s="990"/>
      <c r="W2187" s="990"/>
      <c r="X2187" s="990"/>
    </row>
    <row r="2188" spans="1:24" s="896" customFormat="1">
      <c r="A2188" s="987">
        <f t="shared" ref="A2188:A2251" si="35">A2187+1</f>
        <v>2114</v>
      </c>
      <c r="B2188" s="988">
        <v>38132</v>
      </c>
      <c r="C2188" s="899" t="s">
        <v>11514</v>
      </c>
      <c r="D2188" s="988" t="s">
        <v>2670</v>
      </c>
      <c r="E2188" s="989">
        <v>117.52</v>
      </c>
      <c r="F2188" s="990"/>
      <c r="G2188" s="990"/>
      <c r="H2188" s="990"/>
      <c r="I2188" s="990"/>
      <c r="J2188" s="990"/>
      <c r="K2188" s="990"/>
      <c r="L2188" s="990"/>
      <c r="M2188" s="990"/>
      <c r="N2188" s="990"/>
      <c r="O2188" s="990"/>
      <c r="P2188" s="990"/>
      <c r="Q2188" s="990"/>
      <c r="R2188" s="990"/>
      <c r="S2188" s="990"/>
      <c r="T2188" s="990"/>
      <c r="U2188" s="990"/>
      <c r="V2188" s="990"/>
      <c r="W2188" s="990"/>
      <c r="X2188" s="990"/>
    </row>
    <row r="2189" spans="1:24" s="896" customFormat="1">
      <c r="A2189" s="987">
        <f t="shared" si="35"/>
        <v>2115</v>
      </c>
      <c r="B2189" s="988">
        <v>38133</v>
      </c>
      <c r="C2189" s="899" t="s">
        <v>11515</v>
      </c>
      <c r="D2189" s="988" t="s">
        <v>2670</v>
      </c>
      <c r="E2189" s="989">
        <v>113.67</v>
      </c>
      <c r="F2189" s="990"/>
      <c r="G2189" s="990"/>
      <c r="H2189" s="990"/>
      <c r="I2189" s="990"/>
      <c r="J2189" s="990"/>
      <c r="K2189" s="990"/>
      <c r="L2189" s="990"/>
      <c r="M2189" s="990"/>
      <c r="N2189" s="990"/>
      <c r="O2189" s="990"/>
      <c r="P2189" s="990"/>
      <c r="Q2189" s="990"/>
      <c r="R2189" s="990"/>
      <c r="S2189" s="990"/>
      <c r="T2189" s="990"/>
      <c r="U2189" s="990"/>
      <c r="V2189" s="990"/>
      <c r="W2189" s="990"/>
      <c r="X2189" s="990"/>
    </row>
    <row r="2190" spans="1:24" s="896" customFormat="1" ht="25.5">
      <c r="A2190" s="987">
        <f t="shared" si="35"/>
        <v>2116</v>
      </c>
      <c r="B2190" s="988">
        <v>938</v>
      </c>
      <c r="C2190" s="899" t="s">
        <v>11516</v>
      </c>
      <c r="D2190" s="988" t="s">
        <v>2669</v>
      </c>
      <c r="E2190" s="989">
        <v>1.36</v>
      </c>
      <c r="F2190" s="990"/>
      <c r="G2190" s="990"/>
      <c r="H2190" s="990"/>
      <c r="I2190" s="990"/>
      <c r="J2190" s="990"/>
      <c r="K2190" s="990"/>
      <c r="L2190" s="990"/>
      <c r="M2190" s="990"/>
      <c r="N2190" s="990"/>
      <c r="O2190" s="990"/>
      <c r="P2190" s="990"/>
      <c r="Q2190" s="990"/>
      <c r="R2190" s="990"/>
      <c r="S2190" s="990"/>
      <c r="T2190" s="990"/>
      <c r="U2190" s="990"/>
      <c r="V2190" s="990"/>
      <c r="W2190" s="990"/>
      <c r="X2190" s="990"/>
    </row>
    <row r="2191" spans="1:24" s="896" customFormat="1" ht="25.5">
      <c r="A2191" s="987">
        <f t="shared" si="35"/>
        <v>2117</v>
      </c>
      <c r="B2191" s="988">
        <v>937</v>
      </c>
      <c r="C2191" s="899" t="s">
        <v>11517</v>
      </c>
      <c r="D2191" s="988" t="s">
        <v>2669</v>
      </c>
      <c r="E2191" s="989">
        <v>8.42</v>
      </c>
      <c r="F2191" s="990"/>
      <c r="G2191" s="990"/>
      <c r="H2191" s="990"/>
      <c r="I2191" s="990"/>
      <c r="J2191" s="990"/>
      <c r="K2191" s="990"/>
      <c r="L2191" s="990"/>
      <c r="M2191" s="990"/>
      <c r="N2191" s="990"/>
      <c r="O2191" s="990"/>
      <c r="P2191" s="990"/>
      <c r="Q2191" s="990"/>
      <c r="R2191" s="990"/>
      <c r="S2191" s="990"/>
      <c r="T2191" s="990"/>
      <c r="U2191" s="990"/>
      <c r="V2191" s="990"/>
      <c r="W2191" s="990"/>
      <c r="X2191" s="990"/>
    </row>
    <row r="2192" spans="1:24" s="896" customFormat="1" ht="25.5">
      <c r="A2192" s="987">
        <f t="shared" si="35"/>
        <v>2118</v>
      </c>
      <c r="B2192" s="988">
        <v>939</v>
      </c>
      <c r="C2192" s="899" t="s">
        <v>11518</v>
      </c>
      <c r="D2192" s="988" t="s">
        <v>2669</v>
      </c>
      <c r="E2192" s="989">
        <v>2.1800000000000002</v>
      </c>
      <c r="F2192" s="990"/>
      <c r="G2192" s="990"/>
      <c r="H2192" s="990"/>
      <c r="I2192" s="990"/>
      <c r="J2192" s="990"/>
      <c r="K2192" s="990"/>
      <c r="L2192" s="990"/>
      <c r="M2192" s="990"/>
      <c r="N2192" s="990"/>
      <c r="O2192" s="990"/>
      <c r="P2192" s="990"/>
      <c r="Q2192" s="990"/>
      <c r="R2192" s="990"/>
      <c r="S2192" s="990"/>
      <c r="T2192" s="990"/>
      <c r="U2192" s="990"/>
      <c r="V2192" s="990"/>
      <c r="W2192" s="990"/>
      <c r="X2192" s="990"/>
    </row>
    <row r="2193" spans="1:24" s="896" customFormat="1" ht="25.5">
      <c r="A2193" s="987">
        <f t="shared" si="35"/>
        <v>2119</v>
      </c>
      <c r="B2193" s="988">
        <v>944</v>
      </c>
      <c r="C2193" s="899" t="s">
        <v>11519</v>
      </c>
      <c r="D2193" s="988" t="s">
        <v>2669</v>
      </c>
      <c r="E2193" s="989">
        <v>3.72</v>
      </c>
      <c r="F2193" s="990"/>
      <c r="G2193" s="990"/>
      <c r="H2193" s="990"/>
      <c r="I2193" s="990"/>
      <c r="J2193" s="990"/>
      <c r="K2193" s="990"/>
      <c r="L2193" s="990"/>
      <c r="M2193" s="990"/>
      <c r="N2193" s="990"/>
      <c r="O2193" s="990"/>
      <c r="P2193" s="990"/>
      <c r="Q2193" s="990"/>
      <c r="R2193" s="990"/>
      <c r="S2193" s="990"/>
      <c r="T2193" s="990"/>
      <c r="U2193" s="990"/>
      <c r="V2193" s="990"/>
      <c r="W2193" s="990"/>
      <c r="X2193" s="990"/>
    </row>
    <row r="2194" spans="1:24" s="896" customFormat="1" ht="25.5">
      <c r="A2194" s="987">
        <f t="shared" si="35"/>
        <v>2120</v>
      </c>
      <c r="B2194" s="988">
        <v>940</v>
      </c>
      <c r="C2194" s="899" t="s">
        <v>11520</v>
      </c>
      <c r="D2194" s="988" t="s">
        <v>2669</v>
      </c>
      <c r="E2194" s="989">
        <v>5.15</v>
      </c>
      <c r="F2194" s="990"/>
      <c r="G2194" s="990"/>
      <c r="H2194" s="990"/>
      <c r="I2194" s="990"/>
      <c r="J2194" s="990"/>
      <c r="K2194" s="990"/>
      <c r="L2194" s="990"/>
      <c r="M2194" s="990"/>
      <c r="N2194" s="990"/>
      <c r="O2194" s="990"/>
      <c r="P2194" s="990"/>
      <c r="Q2194" s="990"/>
      <c r="R2194" s="990"/>
      <c r="S2194" s="990"/>
      <c r="T2194" s="990"/>
      <c r="U2194" s="990"/>
      <c r="V2194" s="990"/>
      <c r="W2194" s="990"/>
      <c r="X2194" s="990"/>
    </row>
    <row r="2195" spans="1:24" s="896" customFormat="1">
      <c r="A2195" s="987">
        <f t="shared" si="35"/>
        <v>2121</v>
      </c>
      <c r="B2195" s="988">
        <v>44397</v>
      </c>
      <c r="C2195" s="899" t="s">
        <v>11521</v>
      </c>
      <c r="D2195" s="988" t="s">
        <v>2669</v>
      </c>
      <c r="E2195" s="989">
        <v>3.62</v>
      </c>
      <c r="F2195" s="990"/>
      <c r="G2195" s="990"/>
      <c r="H2195" s="990"/>
      <c r="I2195" s="990"/>
      <c r="J2195" s="990"/>
      <c r="K2195" s="990"/>
      <c r="L2195" s="990"/>
      <c r="M2195" s="990"/>
      <c r="N2195" s="990"/>
      <c r="O2195" s="990"/>
      <c r="P2195" s="990"/>
      <c r="Q2195" s="990"/>
      <c r="R2195" s="990"/>
      <c r="S2195" s="990"/>
      <c r="T2195" s="990"/>
      <c r="U2195" s="990"/>
      <c r="V2195" s="990"/>
      <c r="W2195" s="990"/>
      <c r="X2195" s="990"/>
    </row>
    <row r="2196" spans="1:24" s="896" customFormat="1">
      <c r="A2196" s="987">
        <f t="shared" si="35"/>
        <v>2122</v>
      </c>
      <c r="B2196" s="988">
        <v>406</v>
      </c>
      <c r="C2196" s="899" t="s">
        <v>11522</v>
      </c>
      <c r="D2196" s="988" t="s">
        <v>2666</v>
      </c>
      <c r="E2196" s="989">
        <v>106.84</v>
      </c>
      <c r="F2196" s="990"/>
      <c r="G2196" s="990"/>
      <c r="H2196" s="990"/>
      <c r="I2196" s="990"/>
      <c r="J2196" s="990"/>
      <c r="K2196" s="990"/>
      <c r="L2196" s="990"/>
      <c r="M2196" s="990"/>
      <c r="N2196" s="990"/>
      <c r="O2196" s="990"/>
      <c r="P2196" s="990"/>
      <c r="Q2196" s="990"/>
      <c r="R2196" s="990"/>
      <c r="S2196" s="990"/>
      <c r="T2196" s="990"/>
      <c r="U2196" s="990"/>
      <c r="V2196" s="990"/>
      <c r="W2196" s="990"/>
      <c r="X2196" s="990"/>
    </row>
    <row r="2197" spans="1:24" s="896" customFormat="1">
      <c r="A2197" s="987">
        <f t="shared" si="35"/>
        <v>2123</v>
      </c>
      <c r="B2197" s="988">
        <v>42529</v>
      </c>
      <c r="C2197" s="899" t="s">
        <v>11523</v>
      </c>
      <c r="D2197" s="988" t="s">
        <v>2669</v>
      </c>
      <c r="E2197" s="989">
        <v>1.24</v>
      </c>
      <c r="F2197" s="990"/>
      <c r="G2197" s="990"/>
      <c r="H2197" s="990"/>
      <c r="I2197" s="990"/>
      <c r="J2197" s="990"/>
      <c r="K2197" s="990"/>
      <c r="L2197" s="990"/>
      <c r="M2197" s="990"/>
      <c r="N2197" s="990"/>
      <c r="O2197" s="990"/>
      <c r="P2197" s="990"/>
      <c r="Q2197" s="990"/>
      <c r="R2197" s="990"/>
      <c r="S2197" s="990"/>
      <c r="T2197" s="990"/>
      <c r="U2197" s="990"/>
      <c r="V2197" s="990"/>
      <c r="W2197" s="990"/>
      <c r="X2197" s="990"/>
    </row>
    <row r="2198" spans="1:24" s="896" customFormat="1" ht="25.5">
      <c r="A2198" s="987">
        <f t="shared" si="35"/>
        <v>2124</v>
      </c>
      <c r="B2198" s="988">
        <v>39634</v>
      </c>
      <c r="C2198" s="899" t="s">
        <v>11524</v>
      </c>
      <c r="D2198" s="988" t="s">
        <v>2669</v>
      </c>
      <c r="E2198" s="989">
        <v>8.86</v>
      </c>
      <c r="F2198" s="990"/>
      <c r="G2198" s="990"/>
      <c r="H2198" s="990"/>
      <c r="I2198" s="990"/>
      <c r="J2198" s="990"/>
      <c r="K2198" s="990"/>
      <c r="L2198" s="990"/>
      <c r="M2198" s="990"/>
      <c r="N2198" s="990"/>
      <c r="O2198" s="990"/>
      <c r="P2198" s="990"/>
      <c r="Q2198" s="990"/>
      <c r="R2198" s="990"/>
      <c r="S2198" s="990"/>
      <c r="T2198" s="990"/>
      <c r="U2198" s="990"/>
      <c r="V2198" s="990"/>
      <c r="W2198" s="990"/>
      <c r="X2198" s="990"/>
    </row>
    <row r="2199" spans="1:24" s="896" customFormat="1">
      <c r="A2199" s="987">
        <f t="shared" si="35"/>
        <v>2125</v>
      </c>
      <c r="B2199" s="988">
        <v>39701</v>
      </c>
      <c r="C2199" s="899" t="s">
        <v>11525</v>
      </c>
      <c r="D2199" s="988" t="s">
        <v>2666</v>
      </c>
      <c r="E2199" s="989">
        <v>103.18</v>
      </c>
      <c r="F2199" s="990"/>
      <c r="G2199" s="990"/>
      <c r="H2199" s="990"/>
      <c r="I2199" s="990"/>
      <c r="J2199" s="990"/>
      <c r="K2199" s="990"/>
      <c r="L2199" s="990"/>
      <c r="M2199" s="990"/>
      <c r="N2199" s="990"/>
      <c r="O2199" s="990"/>
      <c r="P2199" s="990"/>
      <c r="Q2199" s="990"/>
      <c r="R2199" s="990"/>
      <c r="S2199" s="990"/>
      <c r="T2199" s="990"/>
      <c r="U2199" s="990"/>
      <c r="V2199" s="990"/>
      <c r="W2199" s="990"/>
      <c r="X2199" s="990"/>
    </row>
    <row r="2200" spans="1:24" s="896" customFormat="1">
      <c r="A2200" s="987">
        <f t="shared" si="35"/>
        <v>2126</v>
      </c>
      <c r="B2200" s="988">
        <v>12815</v>
      </c>
      <c r="C2200" s="899" t="s">
        <v>11526</v>
      </c>
      <c r="D2200" s="988" t="s">
        <v>2666</v>
      </c>
      <c r="E2200" s="989">
        <v>7.9</v>
      </c>
      <c r="F2200" s="990"/>
      <c r="G2200" s="990"/>
      <c r="H2200" s="990"/>
      <c r="I2200" s="990"/>
      <c r="J2200" s="990"/>
      <c r="K2200" s="990"/>
      <c r="L2200" s="990"/>
      <c r="M2200" s="990"/>
      <c r="N2200" s="990"/>
      <c r="O2200" s="990"/>
      <c r="P2200" s="990"/>
      <c r="Q2200" s="990"/>
      <c r="R2200" s="990"/>
      <c r="S2200" s="990"/>
      <c r="T2200" s="990"/>
      <c r="U2200" s="990"/>
      <c r="V2200" s="990"/>
      <c r="W2200" s="990"/>
      <c r="X2200" s="990"/>
    </row>
    <row r="2201" spans="1:24" s="896" customFormat="1">
      <c r="A2201" s="987">
        <f t="shared" si="35"/>
        <v>2127</v>
      </c>
      <c r="B2201" s="988">
        <v>407</v>
      </c>
      <c r="C2201" s="899" t="s">
        <v>11527</v>
      </c>
      <c r="D2201" s="988" t="s">
        <v>2670</v>
      </c>
      <c r="E2201" s="989">
        <v>62.83</v>
      </c>
      <c r="F2201" s="990"/>
      <c r="G2201" s="990"/>
      <c r="H2201" s="990"/>
      <c r="I2201" s="990"/>
      <c r="J2201" s="990"/>
      <c r="K2201" s="990"/>
      <c r="L2201" s="990"/>
      <c r="M2201" s="990"/>
      <c r="N2201" s="990"/>
      <c r="O2201" s="990"/>
      <c r="P2201" s="990"/>
      <c r="Q2201" s="990"/>
      <c r="R2201" s="990"/>
      <c r="S2201" s="990"/>
      <c r="T2201" s="990"/>
      <c r="U2201" s="990"/>
      <c r="V2201" s="990"/>
      <c r="W2201" s="990"/>
      <c r="X2201" s="990"/>
    </row>
    <row r="2202" spans="1:24" s="896" customFormat="1" ht="25.5">
      <c r="A2202" s="987">
        <f t="shared" si="35"/>
        <v>2128</v>
      </c>
      <c r="B2202" s="988">
        <v>39431</v>
      </c>
      <c r="C2202" s="899" t="s">
        <v>11528</v>
      </c>
      <c r="D2202" s="988" t="s">
        <v>2669</v>
      </c>
      <c r="E2202" s="989">
        <v>0.3</v>
      </c>
      <c r="F2202" s="990"/>
      <c r="G2202" s="990"/>
      <c r="H2202" s="990"/>
      <c r="I2202" s="990"/>
      <c r="J2202" s="990"/>
      <c r="K2202" s="990"/>
      <c r="L2202" s="990"/>
      <c r="M2202" s="990"/>
      <c r="N2202" s="990"/>
      <c r="O2202" s="990"/>
      <c r="P2202" s="990"/>
      <c r="Q2202" s="990"/>
      <c r="R2202" s="990"/>
      <c r="S2202" s="990"/>
      <c r="T2202" s="990"/>
      <c r="U2202" s="990"/>
      <c r="V2202" s="990"/>
      <c r="W2202" s="990"/>
      <c r="X2202" s="990"/>
    </row>
    <row r="2203" spans="1:24" s="896" customFormat="1" ht="25.5">
      <c r="A2203" s="987">
        <f t="shared" si="35"/>
        <v>2129</v>
      </c>
      <c r="B2203" s="988">
        <v>39432</v>
      </c>
      <c r="C2203" s="899" t="s">
        <v>11529</v>
      </c>
      <c r="D2203" s="988" t="s">
        <v>2669</v>
      </c>
      <c r="E2203" s="989">
        <v>2.7</v>
      </c>
      <c r="F2203" s="990"/>
      <c r="G2203" s="990"/>
      <c r="H2203" s="990"/>
      <c r="I2203" s="990"/>
      <c r="J2203" s="990"/>
      <c r="K2203" s="990"/>
      <c r="L2203" s="990"/>
      <c r="M2203" s="990"/>
      <c r="N2203" s="990"/>
      <c r="O2203" s="990"/>
      <c r="P2203" s="990"/>
      <c r="Q2203" s="990"/>
      <c r="R2203" s="990"/>
      <c r="S2203" s="990"/>
      <c r="T2203" s="990"/>
      <c r="U2203" s="990"/>
      <c r="V2203" s="990"/>
      <c r="W2203" s="990"/>
      <c r="X2203" s="990"/>
    </row>
    <row r="2204" spans="1:24" s="896" customFormat="1">
      <c r="A2204" s="987">
        <f t="shared" si="35"/>
        <v>2130</v>
      </c>
      <c r="B2204" s="988">
        <v>20111</v>
      </c>
      <c r="C2204" s="899" t="s">
        <v>11530</v>
      </c>
      <c r="D2204" s="988" t="s">
        <v>2666</v>
      </c>
      <c r="E2204" s="989">
        <v>18.45</v>
      </c>
      <c r="F2204" s="990"/>
      <c r="G2204" s="990"/>
      <c r="H2204" s="990"/>
      <c r="I2204" s="990"/>
      <c r="J2204" s="990"/>
      <c r="K2204" s="990"/>
      <c r="L2204" s="990"/>
      <c r="M2204" s="990"/>
      <c r="N2204" s="990"/>
      <c r="O2204" s="990"/>
      <c r="P2204" s="990"/>
      <c r="Q2204" s="990"/>
      <c r="R2204" s="990"/>
      <c r="S2204" s="990"/>
      <c r="T2204" s="990"/>
      <c r="U2204" s="990"/>
      <c r="V2204" s="990"/>
      <c r="W2204" s="990"/>
      <c r="X2204" s="990"/>
    </row>
    <row r="2205" spans="1:24" s="896" customFormat="1">
      <c r="A2205" s="987">
        <f t="shared" si="35"/>
        <v>2131</v>
      </c>
      <c r="B2205" s="988">
        <v>21127</v>
      </c>
      <c r="C2205" s="899" t="s">
        <v>11531</v>
      </c>
      <c r="D2205" s="988" t="s">
        <v>2666</v>
      </c>
      <c r="E2205" s="989">
        <v>6.97</v>
      </c>
      <c r="F2205" s="990"/>
      <c r="G2205" s="990"/>
      <c r="H2205" s="990"/>
      <c r="I2205" s="990"/>
      <c r="J2205" s="990"/>
      <c r="K2205" s="990"/>
      <c r="L2205" s="990"/>
      <c r="M2205" s="990"/>
      <c r="N2205" s="990"/>
      <c r="O2205" s="990"/>
      <c r="P2205" s="990"/>
      <c r="Q2205" s="990"/>
      <c r="R2205" s="990"/>
      <c r="S2205" s="990"/>
      <c r="T2205" s="990"/>
      <c r="U2205" s="990"/>
      <c r="V2205" s="990"/>
      <c r="W2205" s="990"/>
      <c r="X2205" s="990"/>
    </row>
    <row r="2206" spans="1:24" s="896" customFormat="1">
      <c r="A2206" s="987">
        <f t="shared" si="35"/>
        <v>2132</v>
      </c>
      <c r="B2206" s="988">
        <v>404</v>
      </c>
      <c r="C2206" s="899" t="s">
        <v>11532</v>
      </c>
      <c r="D2206" s="988" t="s">
        <v>2669</v>
      </c>
      <c r="E2206" s="989">
        <v>2.5099999999999998</v>
      </c>
      <c r="F2206" s="990"/>
      <c r="G2206" s="990"/>
      <c r="H2206" s="990"/>
      <c r="I2206" s="990"/>
      <c r="J2206" s="990"/>
      <c r="K2206" s="990"/>
      <c r="L2206" s="990"/>
      <c r="M2206" s="990"/>
      <c r="N2206" s="990"/>
      <c r="O2206" s="990"/>
      <c r="P2206" s="990"/>
      <c r="Q2206" s="990"/>
      <c r="R2206" s="990"/>
      <c r="S2206" s="990"/>
      <c r="T2206" s="990"/>
      <c r="U2206" s="990"/>
      <c r="V2206" s="990"/>
      <c r="W2206" s="990"/>
      <c r="X2206" s="990"/>
    </row>
    <row r="2207" spans="1:24" s="896" customFormat="1">
      <c r="A2207" s="987">
        <f t="shared" si="35"/>
        <v>2133</v>
      </c>
      <c r="B2207" s="988">
        <v>14151</v>
      </c>
      <c r="C2207" s="899" t="s">
        <v>11533</v>
      </c>
      <c r="D2207" s="988" t="s">
        <v>2666</v>
      </c>
      <c r="E2207" s="989">
        <v>49.09</v>
      </c>
      <c r="F2207" s="990"/>
      <c r="G2207" s="990"/>
      <c r="H2207" s="990"/>
      <c r="I2207" s="990"/>
      <c r="J2207" s="990"/>
      <c r="K2207" s="990"/>
      <c r="L2207" s="990"/>
      <c r="M2207" s="990"/>
      <c r="N2207" s="990"/>
      <c r="O2207" s="990"/>
      <c r="P2207" s="990"/>
      <c r="Q2207" s="990"/>
      <c r="R2207" s="990"/>
      <c r="S2207" s="990"/>
      <c r="T2207" s="990"/>
      <c r="U2207" s="990"/>
      <c r="V2207" s="990"/>
      <c r="W2207" s="990"/>
      <c r="X2207" s="990"/>
    </row>
    <row r="2208" spans="1:24" s="896" customFormat="1" ht="25.5">
      <c r="A2208" s="987">
        <f t="shared" si="35"/>
        <v>2134</v>
      </c>
      <c r="B2208" s="988">
        <v>14153</v>
      </c>
      <c r="C2208" s="899" t="s">
        <v>11534</v>
      </c>
      <c r="D2208" s="988" t="s">
        <v>2666</v>
      </c>
      <c r="E2208" s="989">
        <v>55.49</v>
      </c>
      <c r="F2208" s="990"/>
      <c r="G2208" s="990"/>
      <c r="H2208" s="990"/>
      <c r="I2208" s="990"/>
      <c r="J2208" s="990"/>
      <c r="K2208" s="990"/>
      <c r="L2208" s="990"/>
      <c r="M2208" s="990"/>
      <c r="N2208" s="990"/>
      <c r="O2208" s="990"/>
      <c r="P2208" s="990"/>
      <c r="Q2208" s="990"/>
      <c r="R2208" s="990"/>
      <c r="S2208" s="990"/>
      <c r="T2208" s="990"/>
      <c r="U2208" s="990"/>
      <c r="V2208" s="990"/>
      <c r="W2208" s="990"/>
      <c r="X2208" s="990"/>
    </row>
    <row r="2209" spans="1:24" s="896" customFormat="1">
      <c r="A2209" s="987">
        <f t="shared" si="35"/>
        <v>2135</v>
      </c>
      <c r="B2209" s="988">
        <v>14152</v>
      </c>
      <c r="C2209" s="899" t="s">
        <v>11535</v>
      </c>
      <c r="D2209" s="988" t="s">
        <v>2666</v>
      </c>
      <c r="E2209" s="989">
        <v>42.6</v>
      </c>
      <c r="F2209" s="990"/>
      <c r="G2209" s="990"/>
      <c r="H2209" s="990"/>
      <c r="I2209" s="990"/>
      <c r="J2209" s="990"/>
      <c r="K2209" s="990"/>
      <c r="L2209" s="990"/>
      <c r="M2209" s="990"/>
      <c r="N2209" s="990"/>
      <c r="O2209" s="990"/>
      <c r="P2209" s="990"/>
      <c r="Q2209" s="990"/>
      <c r="R2209" s="990"/>
      <c r="S2209" s="990"/>
      <c r="T2209" s="990"/>
      <c r="U2209" s="990"/>
      <c r="V2209" s="990"/>
      <c r="W2209" s="990"/>
      <c r="X2209" s="990"/>
    </row>
    <row r="2210" spans="1:24" s="896" customFormat="1" ht="25.5">
      <c r="A2210" s="987">
        <f t="shared" si="35"/>
        <v>2136</v>
      </c>
      <c r="B2210" s="988">
        <v>14154</v>
      </c>
      <c r="C2210" s="899" t="s">
        <v>11536</v>
      </c>
      <c r="D2210" s="988" t="s">
        <v>2666</v>
      </c>
      <c r="E2210" s="989">
        <v>149.1</v>
      </c>
      <c r="F2210" s="990"/>
      <c r="G2210" s="990"/>
      <c r="H2210" s="990"/>
      <c r="I2210" s="990"/>
      <c r="J2210" s="990"/>
      <c r="K2210" s="990"/>
      <c r="L2210" s="990"/>
      <c r="M2210" s="990"/>
      <c r="N2210" s="990"/>
      <c r="O2210" s="990"/>
      <c r="P2210" s="990"/>
      <c r="Q2210" s="990"/>
      <c r="R2210" s="990"/>
      <c r="S2210" s="990"/>
      <c r="T2210" s="990"/>
      <c r="U2210" s="990"/>
      <c r="V2210" s="990"/>
      <c r="W2210" s="990"/>
      <c r="X2210" s="990"/>
    </row>
    <row r="2211" spans="1:24" s="896" customFormat="1">
      <c r="A2211" s="987">
        <f t="shared" si="35"/>
        <v>2137</v>
      </c>
      <c r="B2211" s="988">
        <v>3146</v>
      </c>
      <c r="C2211" s="899" t="s">
        <v>11537</v>
      </c>
      <c r="D2211" s="988" t="s">
        <v>2666</v>
      </c>
      <c r="E2211" s="989">
        <v>4.55</v>
      </c>
      <c r="F2211" s="990"/>
      <c r="G2211" s="990"/>
      <c r="H2211" s="990"/>
      <c r="I2211" s="990"/>
      <c r="J2211" s="990"/>
      <c r="K2211" s="990"/>
      <c r="L2211" s="990"/>
      <c r="M2211" s="990"/>
      <c r="N2211" s="990"/>
      <c r="O2211" s="990"/>
      <c r="P2211" s="990"/>
      <c r="Q2211" s="990"/>
      <c r="R2211" s="990"/>
      <c r="S2211" s="990"/>
      <c r="T2211" s="990"/>
      <c r="U2211" s="990"/>
      <c r="V2211" s="990"/>
      <c r="W2211" s="990"/>
      <c r="X2211" s="990"/>
    </row>
    <row r="2212" spans="1:24" s="896" customFormat="1">
      <c r="A2212" s="987">
        <f t="shared" si="35"/>
        <v>2138</v>
      </c>
      <c r="B2212" s="988">
        <v>3143</v>
      </c>
      <c r="C2212" s="899" t="s">
        <v>11538</v>
      </c>
      <c r="D2212" s="988" t="s">
        <v>2666</v>
      </c>
      <c r="E2212" s="989">
        <v>10.35</v>
      </c>
      <c r="F2212" s="990"/>
      <c r="G2212" s="990"/>
      <c r="H2212" s="990"/>
      <c r="I2212" s="990"/>
      <c r="J2212" s="990"/>
      <c r="K2212" s="990"/>
      <c r="L2212" s="990"/>
      <c r="M2212" s="990"/>
      <c r="N2212" s="990"/>
      <c r="O2212" s="990"/>
      <c r="P2212" s="990"/>
      <c r="Q2212" s="990"/>
      <c r="R2212" s="990"/>
      <c r="S2212" s="990"/>
      <c r="T2212" s="990"/>
      <c r="U2212" s="990"/>
      <c r="V2212" s="990"/>
      <c r="W2212" s="990"/>
      <c r="X2212" s="990"/>
    </row>
    <row r="2213" spans="1:24" s="896" customFormat="1">
      <c r="A2213" s="987">
        <f t="shared" si="35"/>
        <v>2139</v>
      </c>
      <c r="B2213" s="988">
        <v>3148</v>
      </c>
      <c r="C2213" s="899" t="s">
        <v>11539</v>
      </c>
      <c r="D2213" s="988" t="s">
        <v>2666</v>
      </c>
      <c r="E2213" s="989">
        <v>16.78</v>
      </c>
      <c r="F2213" s="990"/>
      <c r="G2213" s="990"/>
      <c r="H2213" s="990"/>
      <c r="I2213" s="990"/>
      <c r="J2213" s="990"/>
      <c r="K2213" s="990"/>
      <c r="L2213" s="990"/>
      <c r="M2213" s="990"/>
      <c r="N2213" s="990"/>
      <c r="O2213" s="990"/>
      <c r="P2213" s="990"/>
      <c r="Q2213" s="990"/>
      <c r="R2213" s="990"/>
      <c r="S2213" s="990"/>
      <c r="T2213" s="990"/>
      <c r="U2213" s="990"/>
      <c r="V2213" s="990"/>
      <c r="W2213" s="990"/>
      <c r="X2213" s="990"/>
    </row>
    <row r="2214" spans="1:24" s="896" customFormat="1" ht="25.5">
      <c r="A2214" s="987">
        <f t="shared" si="35"/>
        <v>2140</v>
      </c>
      <c r="B2214" s="988">
        <v>4310</v>
      </c>
      <c r="C2214" s="899" t="s">
        <v>11540</v>
      </c>
      <c r="D2214" s="988" t="s">
        <v>2666</v>
      </c>
      <c r="E2214" s="989">
        <v>2.4300000000000002</v>
      </c>
      <c r="F2214" s="990"/>
      <c r="G2214" s="990"/>
      <c r="H2214" s="990"/>
      <c r="I2214" s="990"/>
      <c r="J2214" s="990"/>
      <c r="K2214" s="990"/>
      <c r="L2214" s="990"/>
      <c r="M2214" s="990"/>
      <c r="N2214" s="990"/>
      <c r="O2214" s="990"/>
      <c r="P2214" s="990"/>
      <c r="Q2214" s="990"/>
      <c r="R2214" s="990"/>
      <c r="S2214" s="990"/>
      <c r="T2214" s="990"/>
      <c r="U2214" s="990"/>
      <c r="V2214" s="990"/>
      <c r="W2214" s="990"/>
      <c r="X2214" s="990"/>
    </row>
    <row r="2215" spans="1:24" s="896" customFormat="1">
      <c r="A2215" s="987">
        <f t="shared" si="35"/>
        <v>2141</v>
      </c>
      <c r="B2215" s="988">
        <v>4311</v>
      </c>
      <c r="C2215" s="899" t="s">
        <v>11541</v>
      </c>
      <c r="D2215" s="988" t="s">
        <v>2666</v>
      </c>
      <c r="E2215" s="989">
        <v>1.71</v>
      </c>
      <c r="F2215" s="990"/>
      <c r="G2215" s="990"/>
      <c r="H2215" s="990"/>
      <c r="I2215" s="990"/>
      <c r="J2215" s="990"/>
      <c r="K2215" s="990"/>
      <c r="L2215" s="990"/>
      <c r="M2215" s="990"/>
      <c r="N2215" s="990"/>
      <c r="O2215" s="990"/>
      <c r="P2215" s="990"/>
      <c r="Q2215" s="990"/>
      <c r="R2215" s="990"/>
      <c r="S2215" s="990"/>
      <c r="T2215" s="990"/>
      <c r="U2215" s="990"/>
      <c r="V2215" s="990"/>
      <c r="W2215" s="990"/>
      <c r="X2215" s="990"/>
    </row>
    <row r="2216" spans="1:24" s="896" customFormat="1">
      <c r="A2216" s="987">
        <f t="shared" si="35"/>
        <v>2142</v>
      </c>
      <c r="B2216" s="988">
        <v>4312</v>
      </c>
      <c r="C2216" s="899" t="s">
        <v>11542</v>
      </c>
      <c r="D2216" s="988" t="s">
        <v>2666</v>
      </c>
      <c r="E2216" s="989">
        <v>2.39</v>
      </c>
      <c r="F2216" s="990"/>
      <c r="G2216" s="990"/>
      <c r="H2216" s="990"/>
      <c r="I2216" s="990"/>
      <c r="J2216" s="990"/>
      <c r="K2216" s="990"/>
      <c r="L2216" s="990"/>
      <c r="M2216" s="990"/>
      <c r="N2216" s="990"/>
      <c r="O2216" s="990"/>
      <c r="P2216" s="990"/>
      <c r="Q2216" s="990"/>
      <c r="R2216" s="990"/>
      <c r="S2216" s="990"/>
      <c r="T2216" s="990"/>
      <c r="U2216" s="990"/>
      <c r="V2216" s="990"/>
      <c r="W2216" s="990"/>
      <c r="X2216" s="990"/>
    </row>
    <row r="2217" spans="1:24" s="896" customFormat="1">
      <c r="A2217" s="987">
        <f t="shared" si="35"/>
        <v>2143</v>
      </c>
      <c r="B2217" s="988">
        <v>13261</v>
      </c>
      <c r="C2217" s="899" t="s">
        <v>11543</v>
      </c>
      <c r="D2217" s="988" t="s">
        <v>2666</v>
      </c>
      <c r="E2217" s="989">
        <v>2.96</v>
      </c>
      <c r="F2217" s="990"/>
      <c r="G2217" s="990"/>
      <c r="H2217" s="990"/>
      <c r="I2217" s="990"/>
      <c r="J2217" s="990"/>
      <c r="K2217" s="990"/>
      <c r="L2217" s="990"/>
      <c r="M2217" s="990"/>
      <c r="N2217" s="990"/>
      <c r="O2217" s="990"/>
      <c r="P2217" s="990"/>
      <c r="Q2217" s="990"/>
      <c r="R2217" s="990"/>
      <c r="S2217" s="990"/>
      <c r="T2217" s="990"/>
      <c r="U2217" s="990"/>
      <c r="V2217" s="990"/>
      <c r="W2217" s="990"/>
      <c r="X2217" s="990"/>
    </row>
    <row r="2218" spans="1:24" s="896" customFormat="1">
      <c r="A2218" s="987">
        <f t="shared" si="35"/>
        <v>2144</v>
      </c>
      <c r="B2218" s="988">
        <v>3255</v>
      </c>
      <c r="C2218" s="899" t="s">
        <v>11544</v>
      </c>
      <c r="D2218" s="988" t="s">
        <v>2666</v>
      </c>
      <c r="E2218" s="989">
        <v>9.7899999999999991</v>
      </c>
      <c r="F2218" s="990"/>
      <c r="G2218" s="990"/>
      <c r="H2218" s="990"/>
      <c r="I2218" s="990"/>
      <c r="J2218" s="990"/>
      <c r="K2218" s="990"/>
      <c r="L2218" s="990"/>
      <c r="M2218" s="990"/>
      <c r="N2218" s="990"/>
      <c r="O2218" s="990"/>
      <c r="P2218" s="990"/>
      <c r="Q2218" s="990"/>
      <c r="R2218" s="990"/>
      <c r="S2218" s="990"/>
      <c r="T2218" s="990"/>
      <c r="U2218" s="990"/>
      <c r="V2218" s="990"/>
      <c r="W2218" s="990"/>
      <c r="X2218" s="990"/>
    </row>
    <row r="2219" spans="1:24" s="896" customFormat="1">
      <c r="A2219" s="987">
        <f t="shared" si="35"/>
        <v>2145</v>
      </c>
      <c r="B2219" s="988">
        <v>3254</v>
      </c>
      <c r="C2219" s="899" t="s">
        <v>11545</v>
      </c>
      <c r="D2219" s="988" t="s">
        <v>2666</v>
      </c>
      <c r="E2219" s="989">
        <v>158.94</v>
      </c>
      <c r="F2219" s="990"/>
      <c r="G2219" s="990"/>
      <c r="H2219" s="990"/>
      <c r="I2219" s="990"/>
      <c r="J2219" s="990"/>
      <c r="K2219" s="990"/>
      <c r="L2219" s="990"/>
      <c r="M2219" s="990"/>
      <c r="N2219" s="990"/>
      <c r="O2219" s="990"/>
      <c r="P2219" s="990"/>
      <c r="Q2219" s="990"/>
      <c r="R2219" s="990"/>
      <c r="S2219" s="990"/>
      <c r="T2219" s="990"/>
      <c r="U2219" s="990"/>
      <c r="V2219" s="990"/>
      <c r="W2219" s="990"/>
      <c r="X2219" s="990"/>
    </row>
    <row r="2220" spans="1:24" s="896" customFormat="1">
      <c r="A2220" s="987">
        <f t="shared" si="35"/>
        <v>2146</v>
      </c>
      <c r="B2220" s="988">
        <v>3259</v>
      </c>
      <c r="C2220" s="899" t="s">
        <v>11546</v>
      </c>
      <c r="D2220" s="988" t="s">
        <v>2666</v>
      </c>
      <c r="E2220" s="989">
        <v>19.100000000000001</v>
      </c>
      <c r="F2220" s="990"/>
      <c r="G2220" s="990"/>
      <c r="H2220" s="990"/>
      <c r="I2220" s="990"/>
      <c r="J2220" s="990"/>
      <c r="K2220" s="990"/>
      <c r="L2220" s="990"/>
      <c r="M2220" s="990"/>
      <c r="N2220" s="990"/>
      <c r="O2220" s="990"/>
      <c r="P2220" s="990"/>
      <c r="Q2220" s="990"/>
      <c r="R2220" s="990"/>
      <c r="S2220" s="990"/>
      <c r="T2220" s="990"/>
      <c r="U2220" s="990"/>
      <c r="V2220" s="990"/>
      <c r="W2220" s="990"/>
      <c r="X2220" s="990"/>
    </row>
    <row r="2221" spans="1:24" s="896" customFormat="1">
      <c r="A2221" s="987">
        <f t="shared" si="35"/>
        <v>2147</v>
      </c>
      <c r="B2221" s="988">
        <v>3258</v>
      </c>
      <c r="C2221" s="899" t="s">
        <v>11547</v>
      </c>
      <c r="D2221" s="988" t="s">
        <v>2666</v>
      </c>
      <c r="E2221" s="989">
        <v>11.54</v>
      </c>
      <c r="F2221" s="990"/>
      <c r="G2221" s="990"/>
      <c r="H2221" s="990"/>
      <c r="I2221" s="990"/>
      <c r="J2221" s="990"/>
      <c r="K2221" s="990"/>
      <c r="L2221" s="990"/>
      <c r="M2221" s="990"/>
      <c r="N2221" s="990"/>
      <c r="O2221" s="990"/>
      <c r="P2221" s="990"/>
      <c r="Q2221" s="990"/>
      <c r="R2221" s="990"/>
      <c r="S2221" s="990"/>
      <c r="T2221" s="990"/>
      <c r="U2221" s="990"/>
      <c r="V2221" s="990"/>
      <c r="W2221" s="990"/>
      <c r="X2221" s="990"/>
    </row>
    <row r="2222" spans="1:24" s="896" customFormat="1">
      <c r="A2222" s="987">
        <f t="shared" si="35"/>
        <v>2148</v>
      </c>
      <c r="B2222" s="988">
        <v>3251</v>
      </c>
      <c r="C2222" s="899" t="s">
        <v>11548</v>
      </c>
      <c r="D2222" s="988" t="s">
        <v>2666</v>
      </c>
      <c r="E2222" s="989">
        <v>6.8</v>
      </c>
      <c r="F2222" s="990"/>
      <c r="G2222" s="990"/>
      <c r="H2222" s="990"/>
      <c r="I2222" s="990"/>
      <c r="J2222" s="990"/>
      <c r="K2222" s="990"/>
      <c r="L2222" s="990"/>
      <c r="M2222" s="990"/>
      <c r="N2222" s="990"/>
      <c r="O2222" s="990"/>
      <c r="P2222" s="990"/>
      <c r="Q2222" s="990"/>
      <c r="R2222" s="990"/>
      <c r="S2222" s="990"/>
      <c r="T2222" s="990"/>
      <c r="U2222" s="990"/>
      <c r="V2222" s="990"/>
      <c r="W2222" s="990"/>
      <c r="X2222" s="990"/>
    </row>
    <row r="2223" spans="1:24" s="896" customFormat="1">
      <c r="A2223" s="987">
        <f t="shared" si="35"/>
        <v>2149</v>
      </c>
      <c r="B2223" s="988">
        <v>3256</v>
      </c>
      <c r="C2223" s="899" t="s">
        <v>11549</v>
      </c>
      <c r="D2223" s="988" t="s">
        <v>2666</v>
      </c>
      <c r="E2223" s="989">
        <v>12.89</v>
      </c>
      <c r="F2223" s="990"/>
      <c r="G2223" s="990"/>
      <c r="H2223" s="990"/>
      <c r="I2223" s="990"/>
      <c r="J2223" s="990"/>
      <c r="K2223" s="990"/>
      <c r="L2223" s="990"/>
      <c r="M2223" s="990"/>
      <c r="N2223" s="990"/>
      <c r="O2223" s="990"/>
      <c r="P2223" s="990"/>
      <c r="Q2223" s="990"/>
      <c r="R2223" s="990"/>
      <c r="S2223" s="990"/>
      <c r="T2223" s="990"/>
      <c r="U2223" s="990"/>
      <c r="V2223" s="990"/>
      <c r="W2223" s="990"/>
      <c r="X2223" s="990"/>
    </row>
    <row r="2224" spans="1:24" s="896" customFormat="1">
      <c r="A2224" s="987">
        <f t="shared" si="35"/>
        <v>2150</v>
      </c>
      <c r="B2224" s="988">
        <v>3261</v>
      </c>
      <c r="C2224" s="899" t="s">
        <v>11550</v>
      </c>
      <c r="D2224" s="988" t="s">
        <v>2666</v>
      </c>
      <c r="E2224" s="989">
        <v>140.56</v>
      </c>
      <c r="F2224" s="990"/>
      <c r="G2224" s="990"/>
      <c r="H2224" s="990"/>
      <c r="I2224" s="990"/>
      <c r="J2224" s="990"/>
      <c r="K2224" s="990"/>
      <c r="L2224" s="990"/>
      <c r="M2224" s="990"/>
      <c r="N2224" s="990"/>
      <c r="O2224" s="990"/>
      <c r="P2224" s="990"/>
      <c r="Q2224" s="990"/>
      <c r="R2224" s="990"/>
      <c r="S2224" s="990"/>
      <c r="T2224" s="990"/>
      <c r="U2224" s="990"/>
      <c r="V2224" s="990"/>
      <c r="W2224" s="990"/>
      <c r="X2224" s="990"/>
    </row>
    <row r="2225" spans="1:24" s="896" customFormat="1">
      <c r="A2225" s="987">
        <f t="shared" si="35"/>
        <v>2151</v>
      </c>
      <c r="B2225" s="988">
        <v>3260</v>
      </c>
      <c r="C2225" s="899" t="s">
        <v>11551</v>
      </c>
      <c r="D2225" s="988" t="s">
        <v>2666</v>
      </c>
      <c r="E2225" s="989">
        <v>24.15</v>
      </c>
      <c r="F2225" s="990"/>
      <c r="G2225" s="990"/>
      <c r="H2225" s="990"/>
      <c r="I2225" s="990"/>
      <c r="J2225" s="990"/>
      <c r="K2225" s="990"/>
      <c r="L2225" s="990"/>
      <c r="M2225" s="990"/>
      <c r="N2225" s="990"/>
      <c r="O2225" s="990"/>
      <c r="P2225" s="990"/>
      <c r="Q2225" s="990"/>
      <c r="R2225" s="990"/>
      <c r="S2225" s="990"/>
      <c r="T2225" s="990"/>
      <c r="U2225" s="990"/>
      <c r="V2225" s="990"/>
      <c r="W2225" s="990"/>
      <c r="X2225" s="990"/>
    </row>
    <row r="2226" spans="1:24" s="896" customFormat="1">
      <c r="A2226" s="987">
        <f t="shared" si="35"/>
        <v>2152</v>
      </c>
      <c r="B2226" s="988">
        <v>3272</v>
      </c>
      <c r="C2226" s="899" t="s">
        <v>11552</v>
      </c>
      <c r="D2226" s="988" t="s">
        <v>2666</v>
      </c>
      <c r="E2226" s="989">
        <v>55.43</v>
      </c>
      <c r="F2226" s="990"/>
      <c r="G2226" s="990"/>
      <c r="H2226" s="990"/>
      <c r="I2226" s="990"/>
      <c r="J2226" s="990"/>
      <c r="K2226" s="990"/>
      <c r="L2226" s="990"/>
      <c r="M2226" s="990"/>
      <c r="N2226" s="990"/>
      <c r="O2226" s="990"/>
      <c r="P2226" s="990"/>
      <c r="Q2226" s="990"/>
      <c r="R2226" s="990"/>
      <c r="S2226" s="990"/>
      <c r="T2226" s="990"/>
      <c r="U2226" s="990"/>
      <c r="V2226" s="990"/>
      <c r="W2226" s="990"/>
      <c r="X2226" s="990"/>
    </row>
    <row r="2227" spans="1:24" s="896" customFormat="1">
      <c r="A2227" s="987">
        <f t="shared" si="35"/>
        <v>2153</v>
      </c>
      <c r="B2227" s="988">
        <v>3265</v>
      </c>
      <c r="C2227" s="899" t="s">
        <v>11553</v>
      </c>
      <c r="D2227" s="988" t="s">
        <v>2666</v>
      </c>
      <c r="E2227" s="989">
        <v>44.04</v>
      </c>
      <c r="F2227" s="990"/>
      <c r="G2227" s="990"/>
      <c r="H2227" s="990"/>
      <c r="I2227" s="990"/>
      <c r="J2227" s="990"/>
      <c r="K2227" s="990"/>
      <c r="L2227" s="990"/>
      <c r="M2227" s="990"/>
      <c r="N2227" s="990"/>
      <c r="O2227" s="990"/>
      <c r="P2227" s="990"/>
      <c r="Q2227" s="990"/>
      <c r="R2227" s="990"/>
      <c r="S2227" s="990"/>
      <c r="T2227" s="990"/>
      <c r="U2227" s="990"/>
      <c r="V2227" s="990"/>
      <c r="W2227" s="990"/>
      <c r="X2227" s="990"/>
    </row>
    <row r="2228" spans="1:24" s="896" customFormat="1">
      <c r="A2228" s="987">
        <f t="shared" si="35"/>
        <v>2154</v>
      </c>
      <c r="B2228" s="988">
        <v>3262</v>
      </c>
      <c r="C2228" s="899" t="s">
        <v>11554</v>
      </c>
      <c r="D2228" s="988" t="s">
        <v>2666</v>
      </c>
      <c r="E2228" s="989">
        <v>19.28</v>
      </c>
      <c r="F2228" s="990"/>
      <c r="G2228" s="990"/>
      <c r="H2228" s="990"/>
      <c r="I2228" s="990"/>
      <c r="J2228" s="990"/>
      <c r="K2228" s="990"/>
      <c r="L2228" s="990"/>
      <c r="M2228" s="990"/>
      <c r="N2228" s="990"/>
      <c r="O2228" s="990"/>
      <c r="P2228" s="990"/>
      <c r="Q2228" s="990"/>
      <c r="R2228" s="990"/>
      <c r="S2228" s="990"/>
      <c r="T2228" s="990"/>
      <c r="U2228" s="990"/>
      <c r="V2228" s="990"/>
      <c r="W2228" s="990"/>
      <c r="X2228" s="990"/>
    </row>
    <row r="2229" spans="1:24" s="896" customFormat="1">
      <c r="A2229" s="987">
        <f t="shared" si="35"/>
        <v>2155</v>
      </c>
      <c r="B2229" s="988">
        <v>3264</v>
      </c>
      <c r="C2229" s="899" t="s">
        <v>11555</v>
      </c>
      <c r="D2229" s="988" t="s">
        <v>2666</v>
      </c>
      <c r="E2229" s="989">
        <v>31.67</v>
      </c>
      <c r="F2229" s="990"/>
      <c r="G2229" s="990"/>
      <c r="H2229" s="990"/>
      <c r="I2229" s="990"/>
      <c r="J2229" s="990"/>
      <c r="K2229" s="990"/>
      <c r="L2229" s="990"/>
      <c r="M2229" s="990"/>
      <c r="N2229" s="990"/>
      <c r="O2229" s="990"/>
      <c r="P2229" s="990"/>
      <c r="Q2229" s="990"/>
      <c r="R2229" s="990"/>
      <c r="S2229" s="990"/>
      <c r="T2229" s="990"/>
      <c r="U2229" s="990"/>
      <c r="V2229" s="990"/>
      <c r="W2229" s="990"/>
      <c r="X2229" s="990"/>
    </row>
    <row r="2230" spans="1:24" s="896" customFormat="1">
      <c r="A2230" s="987">
        <f t="shared" si="35"/>
        <v>2156</v>
      </c>
      <c r="B2230" s="988">
        <v>3267</v>
      </c>
      <c r="C2230" s="899" t="s">
        <v>11556</v>
      </c>
      <c r="D2230" s="988" t="s">
        <v>2666</v>
      </c>
      <c r="E2230" s="989">
        <v>103.43</v>
      </c>
      <c r="F2230" s="990"/>
      <c r="G2230" s="990"/>
      <c r="H2230" s="990"/>
      <c r="I2230" s="990"/>
      <c r="J2230" s="990"/>
      <c r="K2230" s="990"/>
      <c r="L2230" s="990"/>
      <c r="M2230" s="990"/>
      <c r="N2230" s="990"/>
      <c r="O2230" s="990"/>
      <c r="P2230" s="990"/>
      <c r="Q2230" s="990"/>
      <c r="R2230" s="990"/>
      <c r="S2230" s="990"/>
      <c r="T2230" s="990"/>
      <c r="U2230" s="990"/>
      <c r="V2230" s="990"/>
      <c r="W2230" s="990"/>
      <c r="X2230" s="990"/>
    </row>
    <row r="2231" spans="1:24" s="896" customFormat="1">
      <c r="A2231" s="987">
        <f t="shared" si="35"/>
        <v>2157</v>
      </c>
      <c r="B2231" s="988">
        <v>3266</v>
      </c>
      <c r="C2231" s="899" t="s">
        <v>11557</v>
      </c>
      <c r="D2231" s="988" t="s">
        <v>2666</v>
      </c>
      <c r="E2231" s="989">
        <v>65.8</v>
      </c>
      <c r="F2231" s="990"/>
      <c r="G2231" s="990"/>
      <c r="H2231" s="990"/>
      <c r="I2231" s="990"/>
      <c r="J2231" s="990"/>
      <c r="K2231" s="990"/>
      <c r="L2231" s="990"/>
      <c r="M2231" s="990"/>
      <c r="N2231" s="990"/>
      <c r="O2231" s="990"/>
      <c r="P2231" s="990"/>
      <c r="Q2231" s="990"/>
      <c r="R2231" s="990"/>
      <c r="S2231" s="990"/>
      <c r="T2231" s="990"/>
      <c r="U2231" s="990"/>
      <c r="V2231" s="990"/>
      <c r="W2231" s="990"/>
      <c r="X2231" s="990"/>
    </row>
    <row r="2232" spans="1:24" s="896" customFormat="1">
      <c r="A2232" s="987">
        <f t="shared" si="35"/>
        <v>2158</v>
      </c>
      <c r="B2232" s="988">
        <v>3263</v>
      </c>
      <c r="C2232" s="899" t="s">
        <v>11558</v>
      </c>
      <c r="D2232" s="988" t="s">
        <v>2666</v>
      </c>
      <c r="E2232" s="989">
        <v>26.33</v>
      </c>
      <c r="F2232" s="990"/>
      <c r="G2232" s="990"/>
      <c r="H2232" s="990"/>
      <c r="I2232" s="990"/>
      <c r="J2232" s="990"/>
      <c r="K2232" s="990"/>
      <c r="L2232" s="990"/>
      <c r="M2232" s="990"/>
      <c r="N2232" s="990"/>
      <c r="O2232" s="990"/>
      <c r="P2232" s="990"/>
      <c r="Q2232" s="990"/>
      <c r="R2232" s="990"/>
      <c r="S2232" s="990"/>
      <c r="T2232" s="990"/>
      <c r="U2232" s="990"/>
      <c r="V2232" s="990"/>
      <c r="W2232" s="990"/>
      <c r="X2232" s="990"/>
    </row>
    <row r="2233" spans="1:24" s="896" customFormat="1">
      <c r="A2233" s="987">
        <f t="shared" si="35"/>
        <v>2159</v>
      </c>
      <c r="B2233" s="988">
        <v>3268</v>
      </c>
      <c r="C2233" s="899" t="s">
        <v>11559</v>
      </c>
      <c r="D2233" s="988" t="s">
        <v>2666</v>
      </c>
      <c r="E2233" s="989">
        <v>139.84</v>
      </c>
      <c r="F2233" s="990"/>
      <c r="G2233" s="990"/>
      <c r="H2233" s="990"/>
      <c r="I2233" s="990"/>
      <c r="J2233" s="990"/>
      <c r="K2233" s="990"/>
      <c r="L2233" s="990"/>
      <c r="M2233" s="990"/>
      <c r="N2233" s="990"/>
      <c r="O2233" s="990"/>
      <c r="P2233" s="990"/>
      <c r="Q2233" s="990"/>
      <c r="R2233" s="990"/>
      <c r="S2233" s="990"/>
      <c r="T2233" s="990"/>
      <c r="U2233" s="990"/>
      <c r="V2233" s="990"/>
      <c r="W2233" s="990"/>
      <c r="X2233" s="990"/>
    </row>
    <row r="2234" spans="1:24" s="896" customFormat="1">
      <c r="A2234" s="987">
        <f t="shared" si="35"/>
        <v>2160</v>
      </c>
      <c r="B2234" s="988">
        <v>3271</v>
      </c>
      <c r="C2234" s="899" t="s">
        <v>11560</v>
      </c>
      <c r="D2234" s="988" t="s">
        <v>2666</v>
      </c>
      <c r="E2234" s="989">
        <v>206.74</v>
      </c>
      <c r="F2234" s="990"/>
      <c r="G2234" s="990"/>
      <c r="H2234" s="990"/>
      <c r="I2234" s="990"/>
      <c r="J2234" s="990"/>
      <c r="K2234" s="990"/>
      <c r="L2234" s="990"/>
      <c r="M2234" s="990"/>
      <c r="N2234" s="990"/>
      <c r="O2234" s="990"/>
      <c r="P2234" s="990"/>
      <c r="Q2234" s="990"/>
      <c r="R2234" s="990"/>
      <c r="S2234" s="990"/>
      <c r="T2234" s="990"/>
      <c r="U2234" s="990"/>
      <c r="V2234" s="990"/>
      <c r="W2234" s="990"/>
      <c r="X2234" s="990"/>
    </row>
    <row r="2235" spans="1:24" s="896" customFormat="1">
      <c r="A2235" s="987">
        <f t="shared" si="35"/>
        <v>2161</v>
      </c>
      <c r="B2235" s="988">
        <v>3270</v>
      </c>
      <c r="C2235" s="899" t="s">
        <v>11561</v>
      </c>
      <c r="D2235" s="988" t="s">
        <v>2666</v>
      </c>
      <c r="E2235" s="989">
        <v>347.34</v>
      </c>
      <c r="F2235" s="990"/>
      <c r="G2235" s="990"/>
      <c r="H2235" s="990"/>
      <c r="I2235" s="990"/>
      <c r="J2235" s="990"/>
      <c r="K2235" s="990"/>
      <c r="L2235" s="990"/>
      <c r="M2235" s="990"/>
      <c r="N2235" s="990"/>
      <c r="O2235" s="990"/>
      <c r="P2235" s="990"/>
      <c r="Q2235" s="990"/>
      <c r="R2235" s="990"/>
      <c r="S2235" s="990"/>
      <c r="T2235" s="990"/>
      <c r="U2235" s="990"/>
      <c r="V2235" s="990"/>
      <c r="W2235" s="990"/>
      <c r="X2235" s="990"/>
    </row>
    <row r="2236" spans="1:24" s="896" customFormat="1" ht="25.5">
      <c r="A2236" s="987">
        <f t="shared" si="35"/>
        <v>2162</v>
      </c>
      <c r="B2236" s="988">
        <v>3275</v>
      </c>
      <c r="C2236" s="899" t="s">
        <v>11562</v>
      </c>
      <c r="D2236" s="988" t="s">
        <v>2667</v>
      </c>
      <c r="E2236" s="989">
        <v>141.46</v>
      </c>
      <c r="F2236" s="990"/>
      <c r="G2236" s="990"/>
      <c r="H2236" s="990"/>
      <c r="I2236" s="990"/>
      <c r="J2236" s="990"/>
      <c r="K2236" s="990"/>
      <c r="L2236" s="990"/>
      <c r="M2236" s="990"/>
      <c r="N2236" s="990"/>
      <c r="O2236" s="990"/>
      <c r="P2236" s="990"/>
      <c r="Q2236" s="990"/>
      <c r="R2236" s="990"/>
      <c r="S2236" s="990"/>
      <c r="T2236" s="990"/>
      <c r="U2236" s="990"/>
      <c r="V2236" s="990"/>
      <c r="W2236" s="990"/>
      <c r="X2236" s="990"/>
    </row>
    <row r="2237" spans="1:24" s="896" customFormat="1" ht="38.25">
      <c r="A2237" s="987">
        <f t="shared" si="35"/>
        <v>2163</v>
      </c>
      <c r="B2237" s="988">
        <v>39512</v>
      </c>
      <c r="C2237" s="899" t="s">
        <v>11563</v>
      </c>
      <c r="D2237" s="988" t="s">
        <v>2667</v>
      </c>
      <c r="E2237" s="989">
        <v>82.31</v>
      </c>
      <c r="F2237" s="990"/>
      <c r="G2237" s="990"/>
      <c r="H2237" s="990"/>
      <c r="I2237" s="990"/>
      <c r="J2237" s="990"/>
      <c r="K2237" s="990"/>
      <c r="L2237" s="990"/>
      <c r="M2237" s="990"/>
      <c r="N2237" s="990"/>
      <c r="O2237" s="990"/>
      <c r="P2237" s="990"/>
      <c r="Q2237" s="990"/>
      <c r="R2237" s="990"/>
      <c r="S2237" s="990"/>
      <c r="T2237" s="990"/>
      <c r="U2237" s="990"/>
      <c r="V2237" s="990"/>
      <c r="W2237" s="990"/>
      <c r="X2237" s="990"/>
    </row>
    <row r="2238" spans="1:24" s="896" customFormat="1" ht="38.25">
      <c r="A2238" s="987">
        <f t="shared" si="35"/>
        <v>2164</v>
      </c>
      <c r="B2238" s="988">
        <v>39511</v>
      </c>
      <c r="C2238" s="899" t="s">
        <v>11564</v>
      </c>
      <c r="D2238" s="988" t="s">
        <v>2667</v>
      </c>
      <c r="E2238" s="989">
        <v>89.78</v>
      </c>
      <c r="F2238" s="990"/>
      <c r="G2238" s="990"/>
      <c r="H2238" s="990"/>
      <c r="I2238" s="990"/>
      <c r="J2238" s="990"/>
      <c r="K2238" s="990"/>
      <c r="L2238" s="990"/>
      <c r="M2238" s="990"/>
      <c r="N2238" s="990"/>
      <c r="O2238" s="990"/>
      <c r="P2238" s="990"/>
      <c r="Q2238" s="990"/>
      <c r="R2238" s="990"/>
      <c r="S2238" s="990"/>
      <c r="T2238" s="990"/>
      <c r="U2238" s="990"/>
      <c r="V2238" s="990"/>
      <c r="W2238" s="990"/>
      <c r="X2238" s="990"/>
    </row>
    <row r="2239" spans="1:24" s="896" customFormat="1" ht="38.25">
      <c r="A2239" s="987">
        <f t="shared" si="35"/>
        <v>2165</v>
      </c>
      <c r="B2239" s="988">
        <v>39513</v>
      </c>
      <c r="C2239" s="899" t="s">
        <v>11565</v>
      </c>
      <c r="D2239" s="988" t="s">
        <v>2667</v>
      </c>
      <c r="E2239" s="989">
        <v>96.3</v>
      </c>
      <c r="F2239" s="990"/>
      <c r="G2239" s="990"/>
      <c r="H2239" s="990"/>
      <c r="I2239" s="990"/>
      <c r="J2239" s="990"/>
      <c r="K2239" s="990"/>
      <c r="L2239" s="990"/>
      <c r="M2239" s="990"/>
      <c r="N2239" s="990"/>
      <c r="O2239" s="990"/>
      <c r="P2239" s="990"/>
      <c r="Q2239" s="990"/>
      <c r="R2239" s="990"/>
      <c r="S2239" s="990"/>
      <c r="T2239" s="990"/>
      <c r="U2239" s="990"/>
      <c r="V2239" s="990"/>
      <c r="W2239" s="990"/>
      <c r="X2239" s="990"/>
    </row>
    <row r="2240" spans="1:24" s="896" customFormat="1" ht="25.5">
      <c r="A2240" s="987">
        <f t="shared" si="35"/>
        <v>2166</v>
      </c>
      <c r="B2240" s="988">
        <v>3286</v>
      </c>
      <c r="C2240" s="899" t="s">
        <v>11566</v>
      </c>
      <c r="D2240" s="988" t="s">
        <v>2667</v>
      </c>
      <c r="E2240" s="989">
        <v>101.24</v>
      </c>
      <c r="F2240" s="990"/>
      <c r="G2240" s="990"/>
      <c r="H2240" s="990"/>
      <c r="I2240" s="990"/>
      <c r="J2240" s="990"/>
      <c r="K2240" s="990"/>
      <c r="L2240" s="990"/>
      <c r="M2240" s="990"/>
      <c r="N2240" s="990"/>
      <c r="O2240" s="990"/>
      <c r="P2240" s="990"/>
      <c r="Q2240" s="990"/>
      <c r="R2240" s="990"/>
      <c r="S2240" s="990"/>
      <c r="T2240" s="990"/>
      <c r="U2240" s="990"/>
      <c r="V2240" s="990"/>
      <c r="W2240" s="990"/>
      <c r="X2240" s="990"/>
    </row>
    <row r="2241" spans="1:24" s="896" customFormat="1" ht="25.5">
      <c r="A2241" s="987">
        <f t="shared" si="35"/>
        <v>2167</v>
      </c>
      <c r="B2241" s="988">
        <v>3287</v>
      </c>
      <c r="C2241" s="899" t="s">
        <v>11567</v>
      </c>
      <c r="D2241" s="988" t="s">
        <v>2667</v>
      </c>
      <c r="E2241" s="989">
        <v>153</v>
      </c>
      <c r="F2241" s="990"/>
      <c r="G2241" s="990"/>
      <c r="H2241" s="990"/>
      <c r="I2241" s="990"/>
      <c r="J2241" s="990"/>
      <c r="K2241" s="990"/>
      <c r="L2241" s="990"/>
      <c r="M2241" s="990"/>
      <c r="N2241" s="990"/>
      <c r="O2241" s="990"/>
      <c r="P2241" s="990"/>
      <c r="Q2241" s="990"/>
      <c r="R2241" s="990"/>
      <c r="S2241" s="990"/>
      <c r="T2241" s="990"/>
      <c r="U2241" s="990"/>
      <c r="V2241" s="990"/>
      <c r="W2241" s="990"/>
      <c r="X2241" s="990"/>
    </row>
    <row r="2242" spans="1:24" s="896" customFormat="1" ht="25.5">
      <c r="A2242" s="987">
        <f t="shared" si="35"/>
        <v>2168</v>
      </c>
      <c r="B2242" s="988">
        <v>3283</v>
      </c>
      <c r="C2242" s="899" t="s">
        <v>11568</v>
      </c>
      <c r="D2242" s="988" t="s">
        <v>2667</v>
      </c>
      <c r="E2242" s="989">
        <v>32.14</v>
      </c>
      <c r="F2242" s="990"/>
      <c r="G2242" s="990"/>
      <c r="H2242" s="990"/>
      <c r="I2242" s="990"/>
      <c r="J2242" s="990"/>
      <c r="K2242" s="990"/>
      <c r="L2242" s="990"/>
      <c r="M2242" s="990"/>
      <c r="N2242" s="990"/>
      <c r="O2242" s="990"/>
      <c r="P2242" s="990"/>
      <c r="Q2242" s="990"/>
      <c r="R2242" s="990"/>
      <c r="S2242" s="990"/>
      <c r="T2242" s="990"/>
      <c r="U2242" s="990"/>
      <c r="V2242" s="990"/>
      <c r="W2242" s="990"/>
      <c r="X2242" s="990"/>
    </row>
    <row r="2243" spans="1:24" s="896" customFormat="1" ht="25.5">
      <c r="A2243" s="987">
        <f t="shared" si="35"/>
        <v>2169</v>
      </c>
      <c r="B2243" s="988">
        <v>11587</v>
      </c>
      <c r="C2243" s="899" t="s">
        <v>11569</v>
      </c>
      <c r="D2243" s="988" t="s">
        <v>2667</v>
      </c>
      <c r="E2243" s="989">
        <v>97</v>
      </c>
      <c r="F2243" s="990"/>
      <c r="G2243" s="990"/>
      <c r="H2243" s="990"/>
      <c r="I2243" s="990"/>
      <c r="J2243" s="990"/>
      <c r="K2243" s="990"/>
      <c r="L2243" s="990"/>
      <c r="M2243" s="990"/>
      <c r="N2243" s="990"/>
      <c r="O2243" s="990"/>
      <c r="P2243" s="990"/>
      <c r="Q2243" s="990"/>
      <c r="R2243" s="990"/>
      <c r="S2243" s="990"/>
      <c r="T2243" s="990"/>
      <c r="U2243" s="990"/>
      <c r="V2243" s="990"/>
      <c r="W2243" s="990"/>
      <c r="X2243" s="990"/>
    </row>
    <row r="2244" spans="1:24" s="896" customFormat="1" ht="25.5">
      <c r="A2244" s="987">
        <f t="shared" si="35"/>
        <v>2170</v>
      </c>
      <c r="B2244" s="988">
        <v>36225</v>
      </c>
      <c r="C2244" s="899" t="s">
        <v>11570</v>
      </c>
      <c r="D2244" s="988" t="s">
        <v>2667</v>
      </c>
      <c r="E2244" s="989">
        <v>39.4</v>
      </c>
      <c r="F2244" s="990"/>
      <c r="G2244" s="990"/>
      <c r="H2244" s="990"/>
      <c r="I2244" s="990"/>
      <c r="J2244" s="990"/>
      <c r="K2244" s="990"/>
      <c r="L2244" s="990"/>
      <c r="M2244" s="990"/>
      <c r="N2244" s="990"/>
      <c r="O2244" s="990"/>
      <c r="P2244" s="990"/>
      <c r="Q2244" s="990"/>
      <c r="R2244" s="990"/>
      <c r="S2244" s="990"/>
      <c r="T2244" s="990"/>
      <c r="U2244" s="990"/>
      <c r="V2244" s="990"/>
      <c r="W2244" s="990"/>
      <c r="X2244" s="990"/>
    </row>
    <row r="2245" spans="1:24" s="896" customFormat="1" ht="25.5">
      <c r="A2245" s="987">
        <f t="shared" si="35"/>
        <v>2171</v>
      </c>
      <c r="B2245" s="988">
        <v>36230</v>
      </c>
      <c r="C2245" s="899" t="s">
        <v>11571</v>
      </c>
      <c r="D2245" s="988" t="s">
        <v>2667</v>
      </c>
      <c r="E2245" s="989">
        <v>28.95</v>
      </c>
      <c r="F2245" s="990"/>
      <c r="G2245" s="990"/>
      <c r="H2245" s="990"/>
      <c r="I2245" s="990"/>
      <c r="J2245" s="990"/>
      <c r="K2245" s="990"/>
      <c r="L2245" s="990"/>
      <c r="M2245" s="990"/>
      <c r="N2245" s="990"/>
      <c r="O2245" s="990"/>
      <c r="P2245" s="990"/>
      <c r="Q2245" s="990"/>
      <c r="R2245" s="990"/>
      <c r="S2245" s="990"/>
      <c r="T2245" s="990"/>
      <c r="U2245" s="990"/>
      <c r="V2245" s="990"/>
      <c r="W2245" s="990"/>
      <c r="X2245" s="990"/>
    </row>
    <row r="2246" spans="1:24" s="896" customFormat="1" ht="25.5">
      <c r="A2246" s="987">
        <f t="shared" si="35"/>
        <v>2172</v>
      </c>
      <c r="B2246" s="988">
        <v>36238</v>
      </c>
      <c r="C2246" s="899" t="s">
        <v>11572</v>
      </c>
      <c r="D2246" s="988" t="s">
        <v>2667</v>
      </c>
      <c r="E2246" s="989">
        <v>28.29</v>
      </c>
      <c r="F2246" s="990"/>
      <c r="G2246" s="990"/>
      <c r="H2246" s="990"/>
      <c r="I2246" s="990"/>
      <c r="J2246" s="990"/>
      <c r="K2246" s="990"/>
      <c r="L2246" s="990"/>
      <c r="M2246" s="990"/>
      <c r="N2246" s="990"/>
      <c r="O2246" s="990"/>
      <c r="P2246" s="990"/>
      <c r="Q2246" s="990"/>
      <c r="R2246" s="990"/>
      <c r="S2246" s="990"/>
      <c r="T2246" s="990"/>
      <c r="U2246" s="990"/>
      <c r="V2246" s="990"/>
      <c r="W2246" s="990"/>
      <c r="X2246" s="990"/>
    </row>
    <row r="2247" spans="1:24" s="896" customFormat="1" ht="38.25">
      <c r="A2247" s="987">
        <f t="shared" si="35"/>
        <v>2173</v>
      </c>
      <c r="B2247" s="988">
        <v>39363</v>
      </c>
      <c r="C2247" s="899" t="s">
        <v>11573</v>
      </c>
      <c r="D2247" s="988" t="s">
        <v>2666</v>
      </c>
      <c r="E2247" s="989">
        <v>5242.49</v>
      </c>
      <c r="F2247" s="990"/>
      <c r="G2247" s="990"/>
      <c r="H2247" s="990"/>
      <c r="I2247" s="990"/>
      <c r="J2247" s="990"/>
      <c r="K2247" s="990"/>
      <c r="L2247" s="990"/>
      <c r="M2247" s="990"/>
      <c r="N2247" s="990"/>
      <c r="O2247" s="990"/>
      <c r="P2247" s="990"/>
      <c r="Q2247" s="990"/>
      <c r="R2247" s="990"/>
      <c r="S2247" s="990"/>
      <c r="T2247" s="990"/>
      <c r="U2247" s="990"/>
      <c r="V2247" s="990"/>
      <c r="W2247" s="990"/>
      <c r="X2247" s="990"/>
    </row>
    <row r="2248" spans="1:24" s="896" customFormat="1" ht="38.25">
      <c r="A2248" s="987">
        <f t="shared" si="35"/>
        <v>2174</v>
      </c>
      <c r="B2248" s="988">
        <v>39361</v>
      </c>
      <c r="C2248" s="899" t="s">
        <v>11574</v>
      </c>
      <c r="D2248" s="988" t="s">
        <v>2666</v>
      </c>
      <c r="E2248" s="989">
        <v>1348.07</v>
      </c>
      <c r="F2248" s="990"/>
      <c r="G2248" s="990"/>
      <c r="H2248" s="990"/>
      <c r="I2248" s="990"/>
      <c r="J2248" s="990"/>
      <c r="K2248" s="990"/>
      <c r="L2248" s="990"/>
      <c r="M2248" s="990"/>
      <c r="N2248" s="990"/>
      <c r="O2248" s="990"/>
      <c r="P2248" s="990"/>
      <c r="Q2248" s="990"/>
      <c r="R2248" s="990"/>
      <c r="S2248" s="990"/>
      <c r="T2248" s="990"/>
      <c r="U2248" s="990"/>
      <c r="V2248" s="990"/>
      <c r="W2248" s="990"/>
      <c r="X2248" s="990"/>
    </row>
    <row r="2249" spans="1:24" s="896" customFormat="1" ht="38.25">
      <c r="A2249" s="987">
        <f t="shared" si="35"/>
        <v>2175</v>
      </c>
      <c r="B2249" s="988">
        <v>39362</v>
      </c>
      <c r="C2249" s="899" t="s">
        <v>11575</v>
      </c>
      <c r="D2249" s="988" t="s">
        <v>2666</v>
      </c>
      <c r="E2249" s="989">
        <v>4148.3500000000004</v>
      </c>
      <c r="F2249" s="990"/>
      <c r="G2249" s="990"/>
      <c r="H2249" s="990"/>
      <c r="I2249" s="990"/>
      <c r="J2249" s="990"/>
      <c r="K2249" s="990"/>
      <c r="L2249" s="990"/>
      <c r="M2249" s="990"/>
      <c r="N2249" s="990"/>
      <c r="O2249" s="990"/>
      <c r="P2249" s="990"/>
      <c r="Q2249" s="990"/>
      <c r="R2249" s="990"/>
      <c r="S2249" s="990"/>
      <c r="T2249" s="990"/>
      <c r="U2249" s="990"/>
      <c r="V2249" s="990"/>
      <c r="W2249" s="990"/>
      <c r="X2249" s="990"/>
    </row>
    <row r="2250" spans="1:24" s="896" customFormat="1" ht="38.25">
      <c r="A2250" s="987">
        <f t="shared" si="35"/>
        <v>2176</v>
      </c>
      <c r="B2250" s="988">
        <v>39364</v>
      </c>
      <c r="C2250" s="899" t="s">
        <v>11576</v>
      </c>
      <c r="D2250" s="988" t="s">
        <v>2666</v>
      </c>
      <c r="E2250" s="989">
        <v>11982.85</v>
      </c>
      <c r="F2250" s="990"/>
      <c r="G2250" s="990"/>
      <c r="H2250" s="990"/>
      <c r="I2250" s="990"/>
      <c r="J2250" s="990"/>
      <c r="K2250" s="990"/>
      <c r="L2250" s="990"/>
      <c r="M2250" s="990"/>
      <c r="N2250" s="990"/>
      <c r="O2250" s="990"/>
      <c r="P2250" s="990"/>
      <c r="Q2250" s="990"/>
      <c r="R2250" s="990"/>
      <c r="S2250" s="990"/>
      <c r="T2250" s="990"/>
      <c r="U2250" s="990"/>
      <c r="V2250" s="990"/>
      <c r="W2250" s="990"/>
      <c r="X2250" s="990"/>
    </row>
    <row r="2251" spans="1:24" s="896" customFormat="1" ht="25.5">
      <c r="A2251" s="987">
        <f t="shared" si="35"/>
        <v>2177</v>
      </c>
      <c r="B2251" s="988">
        <v>14576</v>
      </c>
      <c r="C2251" s="899" t="s">
        <v>11577</v>
      </c>
      <c r="D2251" s="988" t="s">
        <v>2666</v>
      </c>
      <c r="E2251" s="989">
        <v>6958860.8099999996</v>
      </c>
      <c r="F2251" s="990"/>
      <c r="G2251" s="990"/>
      <c r="H2251" s="990"/>
      <c r="I2251" s="990"/>
      <c r="J2251" s="990"/>
      <c r="K2251" s="990"/>
      <c r="L2251" s="990"/>
      <c r="M2251" s="990"/>
      <c r="N2251" s="990"/>
      <c r="O2251" s="990"/>
      <c r="P2251" s="990"/>
      <c r="Q2251" s="990"/>
      <c r="R2251" s="990"/>
      <c r="S2251" s="990"/>
      <c r="T2251" s="990"/>
      <c r="U2251" s="990"/>
      <c r="V2251" s="990"/>
      <c r="W2251" s="990"/>
      <c r="X2251" s="990"/>
    </row>
    <row r="2252" spans="1:24" s="896" customFormat="1" ht="25.5">
      <c r="A2252" s="987">
        <f t="shared" ref="A2252:A2315" si="36">A2251+1</f>
        <v>2178</v>
      </c>
      <c r="B2252" s="988">
        <v>13877</v>
      </c>
      <c r="C2252" s="899" t="s">
        <v>11578</v>
      </c>
      <c r="D2252" s="988" t="s">
        <v>2666</v>
      </c>
      <c r="E2252" s="989">
        <v>2978984.52</v>
      </c>
      <c r="F2252" s="990"/>
      <c r="G2252" s="990"/>
      <c r="H2252" s="990"/>
      <c r="I2252" s="990"/>
      <c r="J2252" s="990"/>
      <c r="K2252" s="990"/>
      <c r="L2252" s="990"/>
      <c r="M2252" s="990"/>
      <c r="N2252" s="990"/>
      <c r="O2252" s="990"/>
      <c r="P2252" s="990"/>
      <c r="Q2252" s="990"/>
      <c r="R2252" s="990"/>
      <c r="S2252" s="990"/>
      <c r="T2252" s="990"/>
      <c r="U2252" s="990"/>
      <c r="V2252" s="990"/>
      <c r="W2252" s="990"/>
      <c r="X2252" s="990"/>
    </row>
    <row r="2253" spans="1:24" s="896" customFormat="1">
      <c r="A2253" s="987">
        <f t="shared" si="36"/>
        <v>2179</v>
      </c>
      <c r="B2253" s="988">
        <v>7307</v>
      </c>
      <c r="C2253" s="899" t="s">
        <v>11579</v>
      </c>
      <c r="D2253" s="988" t="s">
        <v>2671</v>
      </c>
      <c r="E2253" s="989">
        <v>37.46</v>
      </c>
      <c r="F2253" s="990"/>
      <c r="G2253" s="990"/>
      <c r="H2253" s="990"/>
      <c r="I2253" s="990"/>
      <c r="J2253" s="990"/>
      <c r="K2253" s="990"/>
      <c r="L2253" s="990"/>
      <c r="M2253" s="990"/>
      <c r="N2253" s="990"/>
      <c r="O2253" s="990"/>
      <c r="P2253" s="990"/>
      <c r="Q2253" s="990"/>
      <c r="R2253" s="990"/>
      <c r="S2253" s="990"/>
      <c r="T2253" s="990"/>
      <c r="U2253" s="990"/>
      <c r="V2253" s="990"/>
      <c r="W2253" s="990"/>
      <c r="X2253" s="990"/>
    </row>
    <row r="2254" spans="1:24" s="896" customFormat="1">
      <c r="A2254" s="987">
        <f t="shared" si="36"/>
        <v>2180</v>
      </c>
      <c r="B2254" s="988">
        <v>38122</v>
      </c>
      <c r="C2254" s="899" t="s">
        <v>11580</v>
      </c>
      <c r="D2254" s="988" t="s">
        <v>2671</v>
      </c>
      <c r="E2254" s="989">
        <v>18.899999999999999</v>
      </c>
      <c r="F2254" s="990"/>
      <c r="G2254" s="990"/>
      <c r="H2254" s="990"/>
      <c r="I2254" s="990"/>
      <c r="J2254" s="990"/>
      <c r="K2254" s="990"/>
      <c r="L2254" s="990"/>
      <c r="M2254" s="990"/>
      <c r="N2254" s="990"/>
      <c r="O2254" s="990"/>
      <c r="P2254" s="990"/>
      <c r="Q2254" s="990"/>
      <c r="R2254" s="990"/>
      <c r="S2254" s="990"/>
      <c r="T2254" s="990"/>
      <c r="U2254" s="990"/>
      <c r="V2254" s="990"/>
      <c r="W2254" s="990"/>
      <c r="X2254" s="990"/>
    </row>
    <row r="2255" spans="1:24" s="896" customFormat="1">
      <c r="A2255" s="987">
        <f t="shared" si="36"/>
        <v>2181</v>
      </c>
      <c r="B2255" s="988">
        <v>43653</v>
      </c>
      <c r="C2255" s="899" t="s">
        <v>11581</v>
      </c>
      <c r="D2255" s="988" t="s">
        <v>2671</v>
      </c>
      <c r="E2255" s="989">
        <v>48.3</v>
      </c>
      <c r="F2255" s="990"/>
      <c r="G2255" s="990"/>
      <c r="H2255" s="990"/>
      <c r="I2255" s="990"/>
      <c r="J2255" s="990"/>
      <c r="K2255" s="990"/>
      <c r="L2255" s="990"/>
      <c r="M2255" s="990"/>
      <c r="N2255" s="990"/>
      <c r="O2255" s="990"/>
      <c r="P2255" s="990"/>
      <c r="Q2255" s="990"/>
      <c r="R2255" s="990"/>
      <c r="S2255" s="990"/>
      <c r="T2255" s="990"/>
      <c r="U2255" s="990"/>
      <c r="V2255" s="990"/>
      <c r="W2255" s="990"/>
      <c r="X2255" s="990"/>
    </row>
    <row r="2256" spans="1:24" s="896" customFormat="1" ht="25.5">
      <c r="A2256" s="987">
        <f t="shared" si="36"/>
        <v>2182</v>
      </c>
      <c r="B2256" s="988">
        <v>38633</v>
      </c>
      <c r="C2256" s="899" t="s">
        <v>11582</v>
      </c>
      <c r="D2256" s="988" t="s">
        <v>2666</v>
      </c>
      <c r="E2256" s="989">
        <v>30.86</v>
      </c>
      <c r="F2256" s="990"/>
      <c r="G2256" s="990"/>
      <c r="H2256" s="990"/>
      <c r="I2256" s="990"/>
      <c r="J2256" s="990"/>
      <c r="K2256" s="990"/>
      <c r="L2256" s="990"/>
      <c r="M2256" s="990"/>
      <c r="N2256" s="990"/>
      <c r="O2256" s="990"/>
      <c r="P2256" s="990"/>
      <c r="Q2256" s="990"/>
      <c r="R2256" s="990"/>
      <c r="S2256" s="990"/>
      <c r="T2256" s="990"/>
      <c r="U2256" s="990"/>
      <c r="V2256" s="990"/>
      <c r="W2256" s="990"/>
      <c r="X2256" s="990"/>
    </row>
    <row r="2257" spans="1:24" s="896" customFormat="1" ht="25.5">
      <c r="A2257" s="987">
        <f t="shared" si="36"/>
        <v>2183</v>
      </c>
      <c r="B2257" s="988">
        <v>12344</v>
      </c>
      <c r="C2257" s="899" t="s">
        <v>11583</v>
      </c>
      <c r="D2257" s="988" t="s">
        <v>2666</v>
      </c>
      <c r="E2257" s="989">
        <v>4.49</v>
      </c>
      <c r="F2257" s="990"/>
      <c r="G2257" s="990"/>
      <c r="H2257" s="990"/>
      <c r="I2257" s="990"/>
      <c r="J2257" s="990"/>
      <c r="K2257" s="990"/>
      <c r="L2257" s="990"/>
      <c r="M2257" s="990"/>
      <c r="N2257" s="990"/>
      <c r="O2257" s="990"/>
      <c r="P2257" s="990"/>
      <c r="Q2257" s="990"/>
      <c r="R2257" s="990"/>
      <c r="S2257" s="990"/>
      <c r="T2257" s="990"/>
      <c r="U2257" s="990"/>
      <c r="V2257" s="990"/>
      <c r="W2257" s="990"/>
      <c r="X2257" s="990"/>
    </row>
    <row r="2258" spans="1:24" s="896" customFormat="1" ht="25.5">
      <c r="A2258" s="987">
        <f t="shared" si="36"/>
        <v>2184</v>
      </c>
      <c r="B2258" s="988">
        <v>12343</v>
      </c>
      <c r="C2258" s="899" t="s">
        <v>11584</v>
      </c>
      <c r="D2258" s="988" t="s">
        <v>2666</v>
      </c>
      <c r="E2258" s="989">
        <v>6.96</v>
      </c>
      <c r="F2258" s="990"/>
      <c r="G2258" s="990"/>
      <c r="H2258" s="990"/>
      <c r="I2258" s="990"/>
      <c r="J2258" s="990"/>
      <c r="K2258" s="990"/>
      <c r="L2258" s="990"/>
      <c r="M2258" s="990"/>
      <c r="N2258" s="990"/>
      <c r="O2258" s="990"/>
      <c r="P2258" s="990"/>
      <c r="Q2258" s="990"/>
      <c r="R2258" s="990"/>
      <c r="S2258" s="990"/>
      <c r="T2258" s="990"/>
      <c r="U2258" s="990"/>
      <c r="V2258" s="990"/>
      <c r="W2258" s="990"/>
      <c r="X2258" s="990"/>
    </row>
    <row r="2259" spans="1:24" s="896" customFormat="1" ht="25.5">
      <c r="A2259" s="987">
        <f t="shared" si="36"/>
        <v>2185</v>
      </c>
      <c r="B2259" s="988">
        <v>3295</v>
      </c>
      <c r="C2259" s="899" t="s">
        <v>11585</v>
      </c>
      <c r="D2259" s="988" t="s">
        <v>2666</v>
      </c>
      <c r="E2259" s="989">
        <v>24.33</v>
      </c>
      <c r="F2259" s="990"/>
      <c r="G2259" s="990"/>
      <c r="H2259" s="990"/>
      <c r="I2259" s="990"/>
      <c r="J2259" s="990"/>
      <c r="K2259" s="990"/>
      <c r="L2259" s="990"/>
      <c r="M2259" s="990"/>
      <c r="N2259" s="990"/>
      <c r="O2259" s="990"/>
      <c r="P2259" s="990"/>
      <c r="Q2259" s="990"/>
      <c r="R2259" s="990"/>
      <c r="S2259" s="990"/>
      <c r="T2259" s="990"/>
      <c r="U2259" s="990"/>
      <c r="V2259" s="990"/>
      <c r="W2259" s="990"/>
      <c r="X2259" s="990"/>
    </row>
    <row r="2260" spans="1:24" s="896" customFormat="1" ht="25.5">
      <c r="A2260" s="987">
        <f t="shared" si="36"/>
        <v>2186</v>
      </c>
      <c r="B2260" s="988">
        <v>3302</v>
      </c>
      <c r="C2260" s="899" t="s">
        <v>11586</v>
      </c>
      <c r="D2260" s="988" t="s">
        <v>2666</v>
      </c>
      <c r="E2260" s="989">
        <v>25.44</v>
      </c>
      <c r="F2260" s="990"/>
      <c r="G2260" s="990"/>
      <c r="H2260" s="990"/>
      <c r="I2260" s="990"/>
      <c r="J2260" s="990"/>
      <c r="K2260" s="990"/>
      <c r="L2260" s="990"/>
      <c r="M2260" s="990"/>
      <c r="N2260" s="990"/>
      <c r="O2260" s="990"/>
      <c r="P2260" s="990"/>
      <c r="Q2260" s="990"/>
      <c r="R2260" s="990"/>
      <c r="S2260" s="990"/>
      <c r="T2260" s="990"/>
      <c r="U2260" s="990"/>
      <c r="V2260" s="990"/>
      <c r="W2260" s="990"/>
      <c r="X2260" s="990"/>
    </row>
    <row r="2261" spans="1:24" s="896" customFormat="1" ht="25.5">
      <c r="A2261" s="987">
        <f t="shared" si="36"/>
        <v>2187</v>
      </c>
      <c r="B2261" s="988">
        <v>3297</v>
      </c>
      <c r="C2261" s="899" t="s">
        <v>11587</v>
      </c>
      <c r="D2261" s="988" t="s">
        <v>2666</v>
      </c>
      <c r="E2261" s="989">
        <v>27.15</v>
      </c>
      <c r="F2261" s="990"/>
      <c r="G2261" s="990"/>
      <c r="H2261" s="990"/>
      <c r="I2261" s="990"/>
      <c r="J2261" s="990"/>
      <c r="K2261" s="990"/>
      <c r="L2261" s="990"/>
      <c r="M2261" s="990"/>
      <c r="N2261" s="990"/>
      <c r="O2261" s="990"/>
      <c r="P2261" s="990"/>
      <c r="Q2261" s="990"/>
      <c r="R2261" s="990"/>
      <c r="S2261" s="990"/>
      <c r="T2261" s="990"/>
      <c r="U2261" s="990"/>
      <c r="V2261" s="990"/>
      <c r="W2261" s="990"/>
      <c r="X2261" s="990"/>
    </row>
    <row r="2262" spans="1:24" s="896" customFormat="1" ht="25.5">
      <c r="A2262" s="987">
        <f t="shared" si="36"/>
        <v>2188</v>
      </c>
      <c r="B2262" s="988">
        <v>3294</v>
      </c>
      <c r="C2262" s="899" t="s">
        <v>11588</v>
      </c>
      <c r="D2262" s="988" t="s">
        <v>2666</v>
      </c>
      <c r="E2262" s="989">
        <v>27.57</v>
      </c>
      <c r="F2262" s="990"/>
      <c r="G2262" s="990"/>
      <c r="H2262" s="990"/>
      <c r="I2262" s="990"/>
      <c r="J2262" s="990"/>
      <c r="K2262" s="990"/>
      <c r="L2262" s="990"/>
      <c r="M2262" s="990"/>
      <c r="N2262" s="990"/>
      <c r="O2262" s="990"/>
      <c r="P2262" s="990"/>
      <c r="Q2262" s="990"/>
      <c r="R2262" s="990"/>
      <c r="S2262" s="990"/>
      <c r="T2262" s="990"/>
      <c r="U2262" s="990"/>
      <c r="V2262" s="990"/>
      <c r="W2262" s="990"/>
      <c r="X2262" s="990"/>
    </row>
    <row r="2263" spans="1:24" s="896" customFormat="1" ht="25.5">
      <c r="A2263" s="987">
        <f t="shared" si="36"/>
        <v>2189</v>
      </c>
      <c r="B2263" s="988">
        <v>3292</v>
      </c>
      <c r="C2263" s="899" t="s">
        <v>11589</v>
      </c>
      <c r="D2263" s="988" t="s">
        <v>2666</v>
      </c>
      <c r="E2263" s="989">
        <v>25.9</v>
      </c>
      <c r="F2263" s="990"/>
      <c r="G2263" s="990"/>
      <c r="H2263" s="990"/>
      <c r="I2263" s="990"/>
      <c r="J2263" s="990"/>
      <c r="K2263" s="990"/>
      <c r="L2263" s="990"/>
      <c r="M2263" s="990"/>
      <c r="N2263" s="990"/>
      <c r="O2263" s="990"/>
      <c r="P2263" s="990"/>
      <c r="Q2263" s="990"/>
      <c r="R2263" s="990"/>
      <c r="S2263" s="990"/>
      <c r="T2263" s="990"/>
      <c r="U2263" s="990"/>
      <c r="V2263" s="990"/>
      <c r="W2263" s="990"/>
      <c r="X2263" s="990"/>
    </row>
    <row r="2264" spans="1:24" s="896" customFormat="1" ht="25.5">
      <c r="A2264" s="987">
        <f t="shared" si="36"/>
        <v>2190</v>
      </c>
      <c r="B2264" s="988">
        <v>3298</v>
      </c>
      <c r="C2264" s="899" t="s">
        <v>11590</v>
      </c>
      <c r="D2264" s="988" t="s">
        <v>2666</v>
      </c>
      <c r="E2264" s="989">
        <v>60.7</v>
      </c>
      <c r="F2264" s="990"/>
      <c r="G2264" s="990"/>
      <c r="H2264" s="990"/>
      <c r="I2264" s="990"/>
      <c r="J2264" s="990"/>
      <c r="K2264" s="990"/>
      <c r="L2264" s="990"/>
      <c r="M2264" s="990"/>
      <c r="N2264" s="990"/>
      <c r="O2264" s="990"/>
      <c r="P2264" s="990"/>
      <c r="Q2264" s="990"/>
      <c r="R2264" s="990"/>
      <c r="S2264" s="990"/>
      <c r="T2264" s="990"/>
      <c r="U2264" s="990"/>
      <c r="V2264" s="990"/>
      <c r="W2264" s="990"/>
      <c r="X2264" s="990"/>
    </row>
    <row r="2265" spans="1:24" s="896" customFormat="1" ht="25.5">
      <c r="A2265" s="987">
        <f t="shared" si="36"/>
        <v>2191</v>
      </c>
      <c r="B2265" s="988">
        <v>11596</v>
      </c>
      <c r="C2265" s="899" t="s">
        <v>11591</v>
      </c>
      <c r="D2265" s="988" t="s">
        <v>2666</v>
      </c>
      <c r="E2265" s="989">
        <v>608.23</v>
      </c>
      <c r="F2265" s="990"/>
      <c r="G2265" s="990"/>
      <c r="H2265" s="990"/>
      <c r="I2265" s="990"/>
      <c r="J2265" s="990"/>
      <c r="K2265" s="990"/>
      <c r="L2265" s="990"/>
      <c r="M2265" s="990"/>
      <c r="N2265" s="990"/>
      <c r="O2265" s="990"/>
      <c r="P2265" s="990"/>
      <c r="Q2265" s="990"/>
      <c r="R2265" s="990"/>
      <c r="S2265" s="990"/>
      <c r="T2265" s="990"/>
      <c r="U2265" s="990"/>
      <c r="V2265" s="990"/>
      <c r="W2265" s="990"/>
      <c r="X2265" s="990"/>
    </row>
    <row r="2266" spans="1:24" s="896" customFormat="1" ht="25.5">
      <c r="A2266" s="987">
        <f t="shared" si="36"/>
        <v>2192</v>
      </c>
      <c r="B2266" s="988">
        <v>34802</v>
      </c>
      <c r="C2266" s="899" t="s">
        <v>11592</v>
      </c>
      <c r="D2266" s="988" t="s">
        <v>2666</v>
      </c>
      <c r="E2266" s="989">
        <v>1670.42</v>
      </c>
      <c r="F2266" s="990"/>
      <c r="G2266" s="990"/>
      <c r="H2266" s="990"/>
      <c r="I2266" s="990"/>
      <c r="J2266" s="990"/>
      <c r="K2266" s="990"/>
      <c r="L2266" s="990"/>
      <c r="M2266" s="990"/>
      <c r="N2266" s="990"/>
      <c r="O2266" s="990"/>
      <c r="P2266" s="990"/>
      <c r="Q2266" s="990"/>
      <c r="R2266" s="990"/>
      <c r="S2266" s="990"/>
      <c r="T2266" s="990"/>
      <c r="U2266" s="990"/>
      <c r="V2266" s="990"/>
      <c r="W2266" s="990"/>
      <c r="X2266" s="990"/>
    </row>
    <row r="2267" spans="1:24" s="896" customFormat="1" ht="25.5">
      <c r="A2267" s="987">
        <f t="shared" si="36"/>
        <v>2193</v>
      </c>
      <c r="B2267" s="988">
        <v>11588</v>
      </c>
      <c r="C2267" s="899" t="s">
        <v>11593</v>
      </c>
      <c r="D2267" s="988" t="s">
        <v>2666</v>
      </c>
      <c r="E2267" s="989">
        <v>1802.11</v>
      </c>
      <c r="F2267" s="990"/>
      <c r="G2267" s="990"/>
      <c r="H2267" s="990"/>
      <c r="I2267" s="990"/>
      <c r="J2267" s="990"/>
      <c r="K2267" s="990"/>
      <c r="L2267" s="990"/>
      <c r="M2267" s="990"/>
      <c r="N2267" s="990"/>
      <c r="O2267" s="990"/>
      <c r="P2267" s="990"/>
      <c r="Q2267" s="990"/>
      <c r="R2267" s="990"/>
      <c r="S2267" s="990"/>
      <c r="T2267" s="990"/>
      <c r="U2267" s="990"/>
      <c r="V2267" s="990"/>
      <c r="W2267" s="990"/>
      <c r="X2267" s="990"/>
    </row>
    <row r="2268" spans="1:24" s="896" customFormat="1" ht="25.5">
      <c r="A2268" s="987">
        <f t="shared" si="36"/>
        <v>2194</v>
      </c>
      <c r="B2268" s="988">
        <v>34383</v>
      </c>
      <c r="C2268" s="899" t="s">
        <v>11594</v>
      </c>
      <c r="D2268" s="988" t="s">
        <v>2666</v>
      </c>
      <c r="E2268" s="989">
        <v>1982.45</v>
      </c>
      <c r="F2268" s="990"/>
      <c r="G2268" s="990"/>
      <c r="H2268" s="990"/>
      <c r="I2268" s="990"/>
      <c r="J2268" s="990"/>
      <c r="K2268" s="990"/>
      <c r="L2268" s="990"/>
      <c r="M2268" s="990"/>
      <c r="N2268" s="990"/>
      <c r="O2268" s="990"/>
      <c r="P2268" s="990"/>
      <c r="Q2268" s="990"/>
      <c r="R2268" s="990"/>
      <c r="S2268" s="990"/>
      <c r="T2268" s="990"/>
      <c r="U2268" s="990"/>
      <c r="V2268" s="990"/>
      <c r="W2268" s="990"/>
      <c r="X2268" s="990"/>
    </row>
    <row r="2269" spans="1:24" s="896" customFormat="1" ht="25.5">
      <c r="A2269" s="987">
        <f t="shared" si="36"/>
        <v>2195</v>
      </c>
      <c r="B2269" s="988">
        <v>40451</v>
      </c>
      <c r="C2269" s="899" t="s">
        <v>11595</v>
      </c>
      <c r="D2269" s="988" t="s">
        <v>2667</v>
      </c>
      <c r="E2269" s="989">
        <v>160.25</v>
      </c>
      <c r="F2269" s="990"/>
      <c r="G2269" s="990"/>
      <c r="H2269" s="990"/>
      <c r="I2269" s="990"/>
      <c r="J2269" s="990"/>
      <c r="K2269" s="990"/>
      <c r="L2269" s="990"/>
      <c r="M2269" s="990"/>
      <c r="N2269" s="990"/>
      <c r="O2269" s="990"/>
      <c r="P2269" s="990"/>
      <c r="Q2269" s="990"/>
      <c r="R2269" s="990"/>
      <c r="S2269" s="990"/>
      <c r="T2269" s="990"/>
      <c r="U2269" s="990"/>
      <c r="V2269" s="990"/>
      <c r="W2269" s="990"/>
      <c r="X2269" s="990"/>
    </row>
    <row r="2270" spans="1:24" s="896" customFormat="1" ht="25.5">
      <c r="A2270" s="987">
        <f t="shared" si="36"/>
        <v>2196</v>
      </c>
      <c r="B2270" s="988">
        <v>40453</v>
      </c>
      <c r="C2270" s="899" t="s">
        <v>11596</v>
      </c>
      <c r="D2270" s="988" t="s">
        <v>2667</v>
      </c>
      <c r="E2270" s="989">
        <v>173.39</v>
      </c>
      <c r="F2270" s="990"/>
      <c r="G2270" s="990"/>
      <c r="H2270" s="990"/>
      <c r="I2270" s="990"/>
      <c r="J2270" s="990"/>
      <c r="K2270" s="990"/>
      <c r="L2270" s="990"/>
      <c r="M2270" s="990"/>
      <c r="N2270" s="990"/>
      <c r="O2270" s="990"/>
      <c r="P2270" s="990"/>
      <c r="Q2270" s="990"/>
      <c r="R2270" s="990"/>
      <c r="S2270" s="990"/>
      <c r="T2270" s="990"/>
      <c r="U2270" s="990"/>
      <c r="V2270" s="990"/>
      <c r="W2270" s="990"/>
      <c r="X2270" s="990"/>
    </row>
    <row r="2271" spans="1:24" s="896" customFormat="1" ht="25.5">
      <c r="A2271" s="987">
        <f t="shared" si="36"/>
        <v>2197</v>
      </c>
      <c r="B2271" s="988">
        <v>40452</v>
      </c>
      <c r="C2271" s="899" t="s">
        <v>11597</v>
      </c>
      <c r="D2271" s="988" t="s">
        <v>2667</v>
      </c>
      <c r="E2271" s="989">
        <v>190.19</v>
      </c>
      <c r="F2271" s="990"/>
      <c r="G2271" s="990"/>
      <c r="H2271" s="990"/>
      <c r="I2271" s="990"/>
      <c r="J2271" s="990"/>
      <c r="K2271" s="990"/>
      <c r="L2271" s="990"/>
      <c r="M2271" s="990"/>
      <c r="N2271" s="990"/>
      <c r="O2271" s="990"/>
      <c r="P2271" s="990"/>
      <c r="Q2271" s="990"/>
      <c r="R2271" s="990"/>
      <c r="S2271" s="990"/>
      <c r="T2271" s="990"/>
      <c r="U2271" s="990"/>
      <c r="V2271" s="990"/>
      <c r="W2271" s="990"/>
      <c r="X2271" s="990"/>
    </row>
    <row r="2272" spans="1:24" s="896" customFormat="1" ht="25.5">
      <c r="A2272" s="987">
        <f t="shared" si="36"/>
        <v>2198</v>
      </c>
      <c r="B2272" s="988">
        <v>11594</v>
      </c>
      <c r="C2272" s="899" t="s">
        <v>11598</v>
      </c>
      <c r="D2272" s="988" t="s">
        <v>2666</v>
      </c>
      <c r="E2272" s="989">
        <v>574.39</v>
      </c>
      <c r="F2272" s="990"/>
      <c r="G2272" s="990"/>
      <c r="H2272" s="990"/>
      <c r="I2272" s="990"/>
      <c r="J2272" s="990"/>
      <c r="K2272" s="990"/>
      <c r="L2272" s="990"/>
      <c r="M2272" s="990"/>
      <c r="N2272" s="990"/>
      <c r="O2272" s="990"/>
      <c r="P2272" s="990"/>
      <c r="Q2272" s="990"/>
      <c r="R2272" s="990"/>
      <c r="S2272" s="990"/>
      <c r="T2272" s="990"/>
      <c r="U2272" s="990"/>
      <c r="V2272" s="990"/>
      <c r="W2272" s="990"/>
      <c r="X2272" s="990"/>
    </row>
    <row r="2273" spans="1:24" s="896" customFormat="1" ht="25.5">
      <c r="A2273" s="987">
        <f t="shared" si="36"/>
        <v>2199</v>
      </c>
      <c r="B2273" s="988">
        <v>3311</v>
      </c>
      <c r="C2273" s="899" t="s">
        <v>11599</v>
      </c>
      <c r="D2273" s="988" t="s">
        <v>2668</v>
      </c>
      <c r="E2273" s="989">
        <v>574.39</v>
      </c>
      <c r="F2273" s="990"/>
      <c r="G2273" s="990"/>
      <c r="H2273" s="990"/>
      <c r="I2273" s="990"/>
      <c r="J2273" s="990"/>
      <c r="K2273" s="990"/>
      <c r="L2273" s="990"/>
      <c r="M2273" s="990"/>
      <c r="N2273" s="990"/>
      <c r="O2273" s="990"/>
      <c r="P2273" s="990"/>
      <c r="Q2273" s="990"/>
      <c r="R2273" s="990"/>
      <c r="S2273" s="990"/>
      <c r="T2273" s="990"/>
      <c r="U2273" s="990"/>
      <c r="V2273" s="990"/>
      <c r="W2273" s="990"/>
      <c r="X2273" s="990"/>
    </row>
    <row r="2274" spans="1:24" s="896" customFormat="1" ht="25.5">
      <c r="A2274" s="987">
        <f t="shared" si="36"/>
        <v>2200</v>
      </c>
      <c r="B2274" s="988">
        <v>11599</v>
      </c>
      <c r="C2274" s="899" t="s">
        <v>11600</v>
      </c>
      <c r="D2274" s="988" t="s">
        <v>2666</v>
      </c>
      <c r="E2274" s="989">
        <v>763.86</v>
      </c>
      <c r="F2274" s="990"/>
      <c r="G2274" s="990"/>
      <c r="H2274" s="990"/>
      <c r="I2274" s="990"/>
      <c r="J2274" s="990"/>
      <c r="K2274" s="990"/>
      <c r="L2274" s="990"/>
      <c r="M2274" s="990"/>
      <c r="N2274" s="990"/>
      <c r="O2274" s="990"/>
      <c r="P2274" s="990"/>
      <c r="Q2274" s="990"/>
      <c r="R2274" s="990"/>
      <c r="S2274" s="990"/>
      <c r="T2274" s="990"/>
      <c r="U2274" s="990"/>
      <c r="V2274" s="990"/>
      <c r="W2274" s="990"/>
      <c r="X2274" s="990"/>
    </row>
    <row r="2275" spans="1:24" s="896" customFormat="1" ht="25.5">
      <c r="A2275" s="987">
        <f t="shared" si="36"/>
        <v>2201</v>
      </c>
      <c r="B2275" s="988">
        <v>11593</v>
      </c>
      <c r="C2275" s="899" t="s">
        <v>11601</v>
      </c>
      <c r="D2275" s="988" t="s">
        <v>2666</v>
      </c>
      <c r="E2275" s="989">
        <v>1070.8900000000001</v>
      </c>
      <c r="F2275" s="990"/>
      <c r="G2275" s="990"/>
      <c r="H2275" s="990"/>
      <c r="I2275" s="990"/>
      <c r="J2275" s="990"/>
      <c r="K2275" s="990"/>
      <c r="L2275" s="990"/>
      <c r="M2275" s="990"/>
      <c r="N2275" s="990"/>
      <c r="O2275" s="990"/>
      <c r="P2275" s="990"/>
      <c r="Q2275" s="990"/>
      <c r="R2275" s="990"/>
      <c r="S2275" s="990"/>
      <c r="T2275" s="990"/>
      <c r="U2275" s="990"/>
      <c r="V2275" s="990"/>
      <c r="W2275" s="990"/>
      <c r="X2275" s="990"/>
    </row>
    <row r="2276" spans="1:24" s="896" customFormat="1" ht="25.5">
      <c r="A2276" s="987">
        <f t="shared" si="36"/>
        <v>2202</v>
      </c>
      <c r="B2276" s="988">
        <v>3314</v>
      </c>
      <c r="C2276" s="899" t="s">
        <v>11602</v>
      </c>
      <c r="D2276" s="988" t="s">
        <v>2668</v>
      </c>
      <c r="E2276" s="989">
        <v>765.91</v>
      </c>
      <c r="F2276" s="990"/>
      <c r="G2276" s="990"/>
      <c r="H2276" s="990"/>
      <c r="I2276" s="990"/>
      <c r="J2276" s="990"/>
      <c r="K2276" s="990"/>
      <c r="L2276" s="990"/>
      <c r="M2276" s="990"/>
      <c r="N2276" s="990"/>
      <c r="O2276" s="990"/>
      <c r="P2276" s="990"/>
      <c r="Q2276" s="990"/>
      <c r="R2276" s="990"/>
      <c r="S2276" s="990"/>
      <c r="T2276" s="990"/>
      <c r="U2276" s="990"/>
      <c r="V2276" s="990"/>
      <c r="W2276" s="990"/>
      <c r="X2276" s="990"/>
    </row>
    <row r="2277" spans="1:24" s="896" customFormat="1" ht="25.5">
      <c r="A2277" s="987">
        <f t="shared" si="36"/>
        <v>2203</v>
      </c>
      <c r="B2277" s="988">
        <v>11597</v>
      </c>
      <c r="C2277" s="899" t="s">
        <v>11603</v>
      </c>
      <c r="D2277" s="988" t="s">
        <v>2666</v>
      </c>
      <c r="E2277" s="989">
        <v>890.65</v>
      </c>
      <c r="F2277" s="990"/>
      <c r="G2277" s="990"/>
      <c r="H2277" s="990"/>
      <c r="I2277" s="990"/>
      <c r="J2277" s="990"/>
      <c r="K2277" s="990"/>
      <c r="L2277" s="990"/>
      <c r="M2277" s="990"/>
      <c r="N2277" s="990"/>
      <c r="O2277" s="990"/>
      <c r="P2277" s="990"/>
      <c r="Q2277" s="990"/>
      <c r="R2277" s="990"/>
      <c r="S2277" s="990"/>
      <c r="T2277" s="990"/>
      <c r="U2277" s="990"/>
      <c r="V2277" s="990"/>
      <c r="W2277" s="990"/>
      <c r="X2277" s="990"/>
    </row>
    <row r="2278" spans="1:24" s="896" customFormat="1">
      <c r="A2278" s="987">
        <f t="shared" si="36"/>
        <v>2204</v>
      </c>
      <c r="B2278" s="988">
        <v>3309</v>
      </c>
      <c r="C2278" s="899" t="s">
        <v>11604</v>
      </c>
      <c r="D2278" s="988" t="s">
        <v>2668</v>
      </c>
      <c r="E2278" s="989">
        <v>608.23</v>
      </c>
      <c r="F2278" s="990"/>
      <c r="G2278" s="990"/>
      <c r="H2278" s="990"/>
      <c r="I2278" s="990"/>
      <c r="J2278" s="990"/>
      <c r="K2278" s="990"/>
      <c r="L2278" s="990"/>
      <c r="M2278" s="990"/>
      <c r="N2278" s="990"/>
      <c r="O2278" s="990"/>
      <c r="P2278" s="990"/>
      <c r="Q2278" s="990"/>
      <c r="R2278" s="990"/>
      <c r="S2278" s="990"/>
      <c r="T2278" s="990"/>
      <c r="U2278" s="990"/>
      <c r="V2278" s="990"/>
      <c r="W2278" s="990"/>
      <c r="X2278" s="990"/>
    </row>
    <row r="2279" spans="1:24" s="896" customFormat="1" ht="38.25">
      <c r="A2279" s="987">
        <f t="shared" si="36"/>
        <v>2205</v>
      </c>
      <c r="B2279" s="988">
        <v>34612</v>
      </c>
      <c r="C2279" s="899" t="s">
        <v>11605</v>
      </c>
      <c r="D2279" s="988" t="s">
        <v>2666</v>
      </c>
      <c r="E2279" s="989">
        <v>1101.58</v>
      </c>
      <c r="F2279" s="990"/>
      <c r="G2279" s="990"/>
      <c r="H2279" s="990"/>
      <c r="I2279" s="990"/>
      <c r="J2279" s="990"/>
      <c r="K2279" s="990"/>
      <c r="L2279" s="990"/>
      <c r="M2279" s="990"/>
      <c r="N2279" s="990"/>
      <c r="O2279" s="990"/>
      <c r="P2279" s="990"/>
      <c r="Q2279" s="990"/>
      <c r="R2279" s="990"/>
      <c r="S2279" s="990"/>
      <c r="T2279" s="990"/>
      <c r="U2279" s="990"/>
      <c r="V2279" s="990"/>
      <c r="W2279" s="990"/>
      <c r="X2279" s="990"/>
    </row>
    <row r="2280" spans="1:24" s="896" customFormat="1" ht="38.25">
      <c r="A2280" s="987">
        <f t="shared" si="36"/>
        <v>2206</v>
      </c>
      <c r="B2280" s="988">
        <v>34635</v>
      </c>
      <c r="C2280" s="899" t="s">
        <v>11606</v>
      </c>
      <c r="D2280" s="988" t="s">
        <v>2666</v>
      </c>
      <c r="E2280" s="989">
        <v>1416.58</v>
      </c>
      <c r="F2280" s="990"/>
      <c r="G2280" s="990"/>
      <c r="H2280" s="990"/>
      <c r="I2280" s="990"/>
      <c r="J2280" s="990"/>
      <c r="K2280" s="990"/>
      <c r="L2280" s="990"/>
      <c r="M2280" s="990"/>
      <c r="N2280" s="990"/>
      <c r="O2280" s="990"/>
      <c r="P2280" s="990"/>
      <c r="Q2280" s="990"/>
      <c r="R2280" s="990"/>
      <c r="S2280" s="990"/>
      <c r="T2280" s="990"/>
      <c r="U2280" s="990"/>
      <c r="V2280" s="990"/>
      <c r="W2280" s="990"/>
      <c r="X2280" s="990"/>
    </row>
    <row r="2281" spans="1:24" s="896" customFormat="1" ht="38.25">
      <c r="A2281" s="987">
        <f t="shared" si="36"/>
        <v>2207</v>
      </c>
      <c r="B2281" s="988">
        <v>34633</v>
      </c>
      <c r="C2281" s="899" t="s">
        <v>11607</v>
      </c>
      <c r="D2281" s="988" t="s">
        <v>2666</v>
      </c>
      <c r="E2281" s="989">
        <v>1561.45</v>
      </c>
      <c r="F2281" s="990"/>
      <c r="G2281" s="990"/>
      <c r="H2281" s="990"/>
      <c r="I2281" s="990"/>
      <c r="J2281" s="990"/>
      <c r="K2281" s="990"/>
      <c r="L2281" s="990"/>
      <c r="M2281" s="990"/>
      <c r="N2281" s="990"/>
      <c r="O2281" s="990"/>
      <c r="P2281" s="990"/>
      <c r="Q2281" s="990"/>
      <c r="R2281" s="990"/>
      <c r="S2281" s="990"/>
      <c r="T2281" s="990"/>
      <c r="U2281" s="990"/>
      <c r="V2281" s="990"/>
      <c r="W2281" s="990"/>
      <c r="X2281" s="990"/>
    </row>
    <row r="2282" spans="1:24" s="896" customFormat="1" ht="38.25">
      <c r="A2282" s="987">
        <f t="shared" si="36"/>
        <v>2208</v>
      </c>
      <c r="B2282" s="988">
        <v>40440</v>
      </c>
      <c r="C2282" s="899" t="s">
        <v>11608</v>
      </c>
      <c r="D2282" s="988" t="s">
        <v>2668</v>
      </c>
      <c r="E2282" s="989">
        <v>797.77</v>
      </c>
      <c r="F2282" s="990"/>
      <c r="G2282" s="990"/>
      <c r="H2282" s="990"/>
      <c r="I2282" s="990"/>
      <c r="J2282" s="990"/>
      <c r="K2282" s="990"/>
      <c r="L2282" s="990"/>
      <c r="M2282" s="990"/>
      <c r="N2282" s="990"/>
      <c r="O2282" s="990"/>
      <c r="P2282" s="990"/>
      <c r="Q2282" s="990"/>
      <c r="R2282" s="990"/>
      <c r="S2282" s="990"/>
      <c r="T2282" s="990"/>
      <c r="U2282" s="990"/>
      <c r="V2282" s="990"/>
      <c r="W2282" s="990"/>
      <c r="X2282" s="990"/>
    </row>
    <row r="2283" spans="1:24" s="896" customFormat="1" ht="38.25">
      <c r="A2283" s="987">
        <f t="shared" si="36"/>
        <v>2209</v>
      </c>
      <c r="B2283" s="988">
        <v>40441</v>
      </c>
      <c r="C2283" s="899" t="s">
        <v>11609</v>
      </c>
      <c r="D2283" s="988" t="s">
        <v>2668</v>
      </c>
      <c r="E2283" s="989">
        <v>509.33</v>
      </c>
      <c r="F2283" s="990"/>
      <c r="G2283" s="990"/>
      <c r="H2283" s="990"/>
      <c r="I2283" s="990"/>
      <c r="J2283" s="990"/>
      <c r="K2283" s="990"/>
      <c r="L2283" s="990"/>
      <c r="M2283" s="990"/>
      <c r="N2283" s="990"/>
      <c r="O2283" s="990"/>
      <c r="P2283" s="990"/>
      <c r="Q2283" s="990"/>
      <c r="R2283" s="990"/>
      <c r="S2283" s="990"/>
      <c r="T2283" s="990"/>
      <c r="U2283" s="990"/>
      <c r="V2283" s="990"/>
      <c r="W2283" s="990"/>
      <c r="X2283" s="990"/>
    </row>
    <row r="2284" spans="1:24" s="896" customFormat="1" ht="38.25">
      <c r="A2284" s="987">
        <f t="shared" si="36"/>
        <v>2210</v>
      </c>
      <c r="B2284" s="988">
        <v>40449</v>
      </c>
      <c r="C2284" s="899" t="s">
        <v>11610</v>
      </c>
      <c r="D2284" s="988" t="s">
        <v>2668</v>
      </c>
      <c r="E2284" s="989">
        <v>428.18</v>
      </c>
      <c r="F2284" s="990"/>
      <c r="G2284" s="990"/>
      <c r="H2284" s="990"/>
      <c r="I2284" s="990"/>
      <c r="J2284" s="990"/>
      <c r="K2284" s="990"/>
      <c r="L2284" s="990"/>
      <c r="M2284" s="990"/>
      <c r="N2284" s="990"/>
      <c r="O2284" s="990"/>
      <c r="P2284" s="990"/>
      <c r="Q2284" s="990"/>
      <c r="R2284" s="990"/>
      <c r="S2284" s="990"/>
      <c r="T2284" s="990"/>
      <c r="U2284" s="990"/>
      <c r="V2284" s="990"/>
      <c r="W2284" s="990"/>
      <c r="X2284" s="990"/>
    </row>
    <row r="2285" spans="1:24" s="896" customFormat="1" ht="25.5">
      <c r="A2285" s="987">
        <f t="shared" si="36"/>
        <v>2211</v>
      </c>
      <c r="B2285" s="988">
        <v>34800</v>
      </c>
      <c r="C2285" s="899" t="s">
        <v>11611</v>
      </c>
      <c r="D2285" s="988" t="s">
        <v>2668</v>
      </c>
      <c r="E2285" s="989">
        <v>535.44000000000005</v>
      </c>
      <c r="F2285" s="990"/>
      <c r="G2285" s="990"/>
      <c r="H2285" s="990"/>
      <c r="I2285" s="990"/>
      <c r="J2285" s="990"/>
      <c r="K2285" s="990"/>
      <c r="L2285" s="990"/>
      <c r="M2285" s="990"/>
      <c r="N2285" s="990"/>
      <c r="O2285" s="990"/>
      <c r="P2285" s="990"/>
      <c r="Q2285" s="990"/>
      <c r="R2285" s="990"/>
      <c r="S2285" s="990"/>
      <c r="T2285" s="990"/>
      <c r="U2285" s="990"/>
      <c r="V2285" s="990"/>
      <c r="W2285" s="990"/>
      <c r="X2285" s="990"/>
    </row>
    <row r="2286" spans="1:24" s="896" customFormat="1" ht="25.5">
      <c r="A2286" s="987">
        <f t="shared" si="36"/>
        <v>2212</v>
      </c>
      <c r="B2286" s="988">
        <v>11592</v>
      </c>
      <c r="C2286" s="899" t="s">
        <v>11612</v>
      </c>
      <c r="D2286" s="988" t="s">
        <v>2666</v>
      </c>
      <c r="E2286" s="989">
        <v>765.91</v>
      </c>
      <c r="F2286" s="990"/>
      <c r="G2286" s="990"/>
      <c r="H2286" s="990"/>
      <c r="I2286" s="990"/>
      <c r="J2286" s="990"/>
      <c r="K2286" s="990"/>
      <c r="L2286" s="990"/>
      <c r="M2286" s="990"/>
      <c r="N2286" s="990"/>
      <c r="O2286" s="990"/>
      <c r="P2286" s="990"/>
      <c r="Q2286" s="990"/>
      <c r="R2286" s="990"/>
      <c r="S2286" s="990"/>
      <c r="T2286" s="990"/>
      <c r="U2286" s="990"/>
      <c r="V2286" s="990"/>
      <c r="W2286" s="990"/>
      <c r="X2286" s="990"/>
    </row>
    <row r="2287" spans="1:24" s="896" customFormat="1" ht="25.5">
      <c r="A2287" s="987">
        <f t="shared" si="36"/>
        <v>2213</v>
      </c>
      <c r="B2287" s="988">
        <v>40438</v>
      </c>
      <c r="C2287" s="899" t="s">
        <v>11613</v>
      </c>
      <c r="D2287" s="988" t="s">
        <v>2668</v>
      </c>
      <c r="E2287" s="989">
        <v>356.72</v>
      </c>
      <c r="F2287" s="990"/>
      <c r="G2287" s="990"/>
      <c r="H2287" s="990"/>
      <c r="I2287" s="990"/>
      <c r="J2287" s="990"/>
      <c r="K2287" s="990"/>
      <c r="L2287" s="990"/>
      <c r="M2287" s="990"/>
      <c r="N2287" s="990"/>
      <c r="O2287" s="990"/>
      <c r="P2287" s="990"/>
      <c r="Q2287" s="990"/>
      <c r="R2287" s="990"/>
      <c r="S2287" s="990"/>
      <c r="T2287" s="990"/>
      <c r="U2287" s="990"/>
      <c r="V2287" s="990"/>
      <c r="W2287" s="990"/>
      <c r="X2287" s="990"/>
    </row>
    <row r="2288" spans="1:24" s="896" customFormat="1" ht="25.5">
      <c r="A2288" s="987">
        <f t="shared" si="36"/>
        <v>2214</v>
      </c>
      <c r="B2288" s="988">
        <v>40436</v>
      </c>
      <c r="C2288" s="899" t="s">
        <v>11614</v>
      </c>
      <c r="D2288" s="988" t="s">
        <v>2668</v>
      </c>
      <c r="E2288" s="989">
        <v>444.8</v>
      </c>
      <c r="F2288" s="990"/>
      <c r="G2288" s="990"/>
      <c r="H2288" s="990"/>
      <c r="I2288" s="990"/>
      <c r="J2288" s="990"/>
      <c r="K2288" s="990"/>
      <c r="L2288" s="990"/>
      <c r="M2288" s="990"/>
      <c r="N2288" s="990"/>
      <c r="O2288" s="990"/>
      <c r="P2288" s="990"/>
      <c r="Q2288" s="990"/>
      <c r="R2288" s="990"/>
      <c r="S2288" s="990"/>
      <c r="T2288" s="990"/>
      <c r="U2288" s="990"/>
      <c r="V2288" s="990"/>
      <c r="W2288" s="990"/>
      <c r="X2288" s="990"/>
    </row>
    <row r="2289" spans="1:24" s="896" customFormat="1" ht="25.5">
      <c r="A2289" s="987">
        <f t="shared" si="36"/>
        <v>2215</v>
      </c>
      <c r="B2289" s="988">
        <v>4315</v>
      </c>
      <c r="C2289" s="899" t="s">
        <v>11615</v>
      </c>
      <c r="D2289" s="988" t="s">
        <v>2666</v>
      </c>
      <c r="E2289" s="989">
        <v>1.76</v>
      </c>
      <c r="F2289" s="990"/>
      <c r="G2289" s="990"/>
      <c r="H2289" s="990"/>
      <c r="I2289" s="990"/>
      <c r="J2289" s="990"/>
      <c r="K2289" s="990"/>
      <c r="L2289" s="990"/>
      <c r="M2289" s="990"/>
      <c r="N2289" s="990"/>
      <c r="O2289" s="990"/>
      <c r="P2289" s="990"/>
      <c r="Q2289" s="990"/>
      <c r="R2289" s="990"/>
      <c r="S2289" s="990"/>
      <c r="T2289" s="990"/>
      <c r="U2289" s="990"/>
      <c r="V2289" s="990"/>
      <c r="W2289" s="990"/>
      <c r="X2289" s="990"/>
    </row>
    <row r="2290" spans="1:24" s="896" customFormat="1">
      <c r="A2290" s="987">
        <f t="shared" si="36"/>
        <v>2216</v>
      </c>
      <c r="B2290" s="988">
        <v>402</v>
      </c>
      <c r="C2290" s="899" t="s">
        <v>11616</v>
      </c>
      <c r="D2290" s="988" t="s">
        <v>2666</v>
      </c>
      <c r="E2290" s="989">
        <v>8.68</v>
      </c>
      <c r="F2290" s="990"/>
      <c r="G2290" s="990"/>
      <c r="H2290" s="990"/>
      <c r="I2290" s="990"/>
      <c r="J2290" s="990"/>
      <c r="K2290" s="990"/>
      <c r="L2290" s="990"/>
      <c r="M2290" s="990"/>
      <c r="N2290" s="990"/>
      <c r="O2290" s="990"/>
      <c r="P2290" s="990"/>
      <c r="Q2290" s="990"/>
      <c r="R2290" s="990"/>
      <c r="S2290" s="990"/>
      <c r="T2290" s="990"/>
      <c r="U2290" s="990"/>
      <c r="V2290" s="990"/>
      <c r="W2290" s="990"/>
      <c r="X2290" s="990"/>
    </row>
    <row r="2291" spans="1:24" s="896" customFormat="1">
      <c r="A2291" s="987">
        <f t="shared" si="36"/>
        <v>2217</v>
      </c>
      <c r="B2291" s="988">
        <v>4226</v>
      </c>
      <c r="C2291" s="899" t="s">
        <v>11617</v>
      </c>
      <c r="D2291" s="988" t="s">
        <v>2670</v>
      </c>
      <c r="E2291" s="989">
        <v>8.67</v>
      </c>
      <c r="F2291" s="990"/>
      <c r="G2291" s="990"/>
      <c r="H2291" s="990"/>
      <c r="I2291" s="990"/>
      <c r="J2291" s="990"/>
      <c r="K2291" s="990"/>
      <c r="L2291" s="990"/>
      <c r="M2291" s="990"/>
      <c r="N2291" s="990"/>
      <c r="O2291" s="990"/>
      <c r="P2291" s="990"/>
      <c r="Q2291" s="990"/>
      <c r="R2291" s="990"/>
      <c r="S2291" s="990"/>
      <c r="T2291" s="990"/>
      <c r="U2291" s="990"/>
      <c r="V2291" s="990"/>
      <c r="W2291" s="990"/>
      <c r="X2291" s="990"/>
    </row>
    <row r="2292" spans="1:24" s="896" customFormat="1">
      <c r="A2292" s="987">
        <f t="shared" si="36"/>
        <v>2218</v>
      </c>
      <c r="B2292" s="988">
        <v>4222</v>
      </c>
      <c r="C2292" s="899" t="s">
        <v>11618</v>
      </c>
      <c r="D2292" s="988" t="s">
        <v>2671</v>
      </c>
      <c r="E2292" s="989">
        <v>5.87</v>
      </c>
      <c r="F2292" s="990"/>
      <c r="G2292" s="990"/>
      <c r="H2292" s="990"/>
      <c r="I2292" s="990"/>
      <c r="J2292" s="990"/>
      <c r="K2292" s="990"/>
      <c r="L2292" s="990"/>
      <c r="M2292" s="990"/>
      <c r="N2292" s="990"/>
      <c r="O2292" s="990"/>
      <c r="P2292" s="990"/>
      <c r="Q2292" s="990"/>
      <c r="R2292" s="990"/>
      <c r="S2292" s="990"/>
      <c r="T2292" s="990"/>
      <c r="U2292" s="990"/>
      <c r="V2292" s="990"/>
      <c r="W2292" s="990"/>
      <c r="X2292" s="990"/>
    </row>
    <row r="2293" spans="1:24" s="896" customFormat="1" ht="25.5">
      <c r="A2293" s="987">
        <f t="shared" si="36"/>
        <v>2219</v>
      </c>
      <c r="B2293" s="988">
        <v>34804</v>
      </c>
      <c r="C2293" s="899" t="s">
        <v>11619</v>
      </c>
      <c r="D2293" s="988" t="s">
        <v>2667</v>
      </c>
      <c r="E2293" s="989">
        <v>64.66</v>
      </c>
      <c r="F2293" s="990"/>
      <c r="G2293" s="990"/>
      <c r="H2293" s="990"/>
      <c r="I2293" s="990"/>
      <c r="J2293" s="990"/>
      <c r="K2293" s="990"/>
      <c r="L2293" s="990"/>
      <c r="M2293" s="990"/>
      <c r="N2293" s="990"/>
      <c r="O2293" s="990"/>
      <c r="P2293" s="990"/>
      <c r="Q2293" s="990"/>
      <c r="R2293" s="990"/>
      <c r="S2293" s="990"/>
      <c r="T2293" s="990"/>
      <c r="U2293" s="990"/>
      <c r="V2293" s="990"/>
      <c r="W2293" s="990"/>
      <c r="X2293" s="990"/>
    </row>
    <row r="2294" spans="1:24" s="896" customFormat="1" ht="25.5">
      <c r="A2294" s="987">
        <f t="shared" si="36"/>
        <v>2220</v>
      </c>
      <c r="B2294" s="988">
        <v>4013</v>
      </c>
      <c r="C2294" s="899" t="s">
        <v>11620</v>
      </c>
      <c r="D2294" s="988" t="s">
        <v>2667</v>
      </c>
      <c r="E2294" s="989">
        <v>7.28</v>
      </c>
      <c r="F2294" s="990"/>
      <c r="G2294" s="990"/>
      <c r="H2294" s="990"/>
      <c r="I2294" s="990"/>
      <c r="J2294" s="990"/>
      <c r="K2294" s="990"/>
      <c r="L2294" s="990"/>
      <c r="M2294" s="990"/>
      <c r="N2294" s="990"/>
      <c r="O2294" s="990"/>
      <c r="P2294" s="990"/>
      <c r="Q2294" s="990"/>
      <c r="R2294" s="990"/>
      <c r="S2294" s="990"/>
      <c r="T2294" s="990"/>
      <c r="U2294" s="990"/>
      <c r="V2294" s="990"/>
      <c r="W2294" s="990"/>
      <c r="X2294" s="990"/>
    </row>
    <row r="2295" spans="1:24" s="896" customFormat="1" ht="25.5">
      <c r="A2295" s="987">
        <f t="shared" si="36"/>
        <v>2221</v>
      </c>
      <c r="B2295" s="988">
        <v>4011</v>
      </c>
      <c r="C2295" s="899" t="s">
        <v>11621</v>
      </c>
      <c r="D2295" s="988" t="s">
        <v>2667</v>
      </c>
      <c r="E2295" s="989">
        <v>8.1300000000000008</v>
      </c>
      <c r="F2295" s="990"/>
      <c r="G2295" s="990"/>
      <c r="H2295" s="990"/>
      <c r="I2295" s="990"/>
      <c r="J2295" s="990"/>
      <c r="K2295" s="990"/>
      <c r="L2295" s="990"/>
      <c r="M2295" s="990"/>
      <c r="N2295" s="990"/>
      <c r="O2295" s="990"/>
      <c r="P2295" s="990"/>
      <c r="Q2295" s="990"/>
      <c r="R2295" s="990"/>
      <c r="S2295" s="990"/>
      <c r="T2295" s="990"/>
      <c r="U2295" s="990"/>
      <c r="V2295" s="990"/>
      <c r="W2295" s="990"/>
      <c r="X2295" s="990"/>
    </row>
    <row r="2296" spans="1:24" s="896" customFormat="1" ht="25.5">
      <c r="A2296" s="987">
        <f t="shared" si="36"/>
        <v>2222</v>
      </c>
      <c r="B2296" s="988">
        <v>4021</v>
      </c>
      <c r="C2296" s="899" t="s">
        <v>11622</v>
      </c>
      <c r="D2296" s="988" t="s">
        <v>2667</v>
      </c>
      <c r="E2296" s="989">
        <v>10.14</v>
      </c>
      <c r="F2296" s="990"/>
      <c r="G2296" s="990"/>
      <c r="H2296" s="990"/>
      <c r="I2296" s="990"/>
      <c r="J2296" s="990"/>
      <c r="K2296" s="990"/>
      <c r="L2296" s="990"/>
      <c r="M2296" s="990"/>
      <c r="N2296" s="990"/>
      <c r="O2296" s="990"/>
      <c r="P2296" s="990"/>
      <c r="Q2296" s="990"/>
      <c r="R2296" s="990"/>
      <c r="S2296" s="990"/>
      <c r="T2296" s="990"/>
      <c r="U2296" s="990"/>
      <c r="V2296" s="990"/>
      <c r="W2296" s="990"/>
      <c r="X2296" s="990"/>
    </row>
    <row r="2297" spans="1:24" s="896" customFormat="1" ht="25.5">
      <c r="A2297" s="987">
        <f t="shared" si="36"/>
        <v>2223</v>
      </c>
      <c r="B2297" s="988">
        <v>4019</v>
      </c>
      <c r="C2297" s="899" t="s">
        <v>11623</v>
      </c>
      <c r="D2297" s="988" t="s">
        <v>2667</v>
      </c>
      <c r="E2297" s="989">
        <v>12.17</v>
      </c>
      <c r="F2297" s="990"/>
      <c r="G2297" s="990"/>
      <c r="H2297" s="990"/>
      <c r="I2297" s="990"/>
      <c r="J2297" s="990"/>
      <c r="K2297" s="990"/>
      <c r="L2297" s="990"/>
      <c r="M2297" s="990"/>
      <c r="N2297" s="990"/>
      <c r="O2297" s="990"/>
      <c r="P2297" s="990"/>
      <c r="Q2297" s="990"/>
      <c r="R2297" s="990"/>
      <c r="S2297" s="990"/>
      <c r="T2297" s="990"/>
      <c r="U2297" s="990"/>
      <c r="V2297" s="990"/>
      <c r="W2297" s="990"/>
      <c r="X2297" s="990"/>
    </row>
    <row r="2298" spans="1:24" s="896" customFormat="1" ht="25.5">
      <c r="A2298" s="987">
        <f t="shared" si="36"/>
        <v>2224</v>
      </c>
      <c r="B2298" s="988">
        <v>4012</v>
      </c>
      <c r="C2298" s="899" t="s">
        <v>11624</v>
      </c>
      <c r="D2298" s="988" t="s">
        <v>2667</v>
      </c>
      <c r="E2298" s="989">
        <v>16.309999999999999</v>
      </c>
      <c r="F2298" s="990"/>
      <c r="G2298" s="990"/>
      <c r="H2298" s="990"/>
      <c r="I2298" s="990"/>
      <c r="J2298" s="990"/>
      <c r="K2298" s="990"/>
      <c r="L2298" s="990"/>
      <c r="M2298" s="990"/>
      <c r="N2298" s="990"/>
      <c r="O2298" s="990"/>
      <c r="P2298" s="990"/>
      <c r="Q2298" s="990"/>
      <c r="R2298" s="990"/>
      <c r="S2298" s="990"/>
      <c r="T2298" s="990"/>
      <c r="U2298" s="990"/>
      <c r="V2298" s="990"/>
      <c r="W2298" s="990"/>
      <c r="X2298" s="990"/>
    </row>
    <row r="2299" spans="1:24" s="896" customFormat="1" ht="25.5">
      <c r="A2299" s="987">
        <f t="shared" si="36"/>
        <v>2225</v>
      </c>
      <c r="B2299" s="988">
        <v>4020</v>
      </c>
      <c r="C2299" s="899" t="s">
        <v>11625</v>
      </c>
      <c r="D2299" s="988" t="s">
        <v>2667</v>
      </c>
      <c r="E2299" s="989">
        <v>20.420000000000002</v>
      </c>
      <c r="F2299" s="990"/>
      <c r="G2299" s="990"/>
      <c r="H2299" s="990"/>
      <c r="I2299" s="990"/>
      <c r="J2299" s="990"/>
      <c r="K2299" s="990"/>
      <c r="L2299" s="990"/>
      <c r="M2299" s="990"/>
      <c r="N2299" s="990"/>
      <c r="O2299" s="990"/>
      <c r="P2299" s="990"/>
      <c r="Q2299" s="990"/>
      <c r="R2299" s="990"/>
      <c r="S2299" s="990"/>
      <c r="T2299" s="990"/>
      <c r="U2299" s="990"/>
      <c r="V2299" s="990"/>
      <c r="W2299" s="990"/>
      <c r="X2299" s="990"/>
    </row>
    <row r="2300" spans="1:24" s="896" customFormat="1" ht="25.5">
      <c r="A2300" s="987">
        <f t="shared" si="36"/>
        <v>2226</v>
      </c>
      <c r="B2300" s="988">
        <v>4018</v>
      </c>
      <c r="C2300" s="899" t="s">
        <v>11626</v>
      </c>
      <c r="D2300" s="988" t="s">
        <v>2667</v>
      </c>
      <c r="E2300" s="989">
        <v>24.46</v>
      </c>
      <c r="F2300" s="990"/>
      <c r="G2300" s="990"/>
      <c r="H2300" s="990"/>
      <c r="I2300" s="990"/>
      <c r="J2300" s="990"/>
      <c r="K2300" s="990"/>
      <c r="L2300" s="990"/>
      <c r="M2300" s="990"/>
      <c r="N2300" s="990"/>
      <c r="O2300" s="990"/>
      <c r="P2300" s="990"/>
      <c r="Q2300" s="990"/>
      <c r="R2300" s="990"/>
      <c r="S2300" s="990"/>
      <c r="T2300" s="990"/>
      <c r="U2300" s="990"/>
      <c r="V2300" s="990"/>
      <c r="W2300" s="990"/>
      <c r="X2300" s="990"/>
    </row>
    <row r="2301" spans="1:24" s="896" customFormat="1" ht="25.5">
      <c r="A2301" s="987">
        <f t="shared" si="36"/>
        <v>2227</v>
      </c>
      <c r="B2301" s="988">
        <v>36498</v>
      </c>
      <c r="C2301" s="899" t="s">
        <v>11627</v>
      </c>
      <c r="D2301" s="988" t="s">
        <v>2666</v>
      </c>
      <c r="E2301" s="989">
        <v>6198.41</v>
      </c>
      <c r="F2301" s="990"/>
      <c r="G2301" s="990"/>
      <c r="H2301" s="990"/>
      <c r="I2301" s="990"/>
      <c r="J2301" s="990"/>
      <c r="K2301" s="990"/>
      <c r="L2301" s="990"/>
      <c r="M2301" s="990"/>
      <c r="N2301" s="990"/>
      <c r="O2301" s="990"/>
      <c r="P2301" s="990"/>
      <c r="Q2301" s="990"/>
      <c r="R2301" s="990"/>
      <c r="S2301" s="990"/>
      <c r="T2301" s="990"/>
      <c r="U2301" s="990"/>
      <c r="V2301" s="990"/>
      <c r="W2301" s="990"/>
      <c r="X2301" s="990"/>
    </row>
    <row r="2302" spans="1:24" s="896" customFormat="1">
      <c r="A2302" s="987">
        <f t="shared" si="36"/>
        <v>2228</v>
      </c>
      <c r="B2302" s="988">
        <v>12872</v>
      </c>
      <c r="C2302" s="899" t="s">
        <v>11628</v>
      </c>
      <c r="D2302" s="988" t="s">
        <v>2665</v>
      </c>
      <c r="E2302" s="989">
        <v>22.82</v>
      </c>
      <c r="F2302" s="990"/>
      <c r="G2302" s="990"/>
      <c r="H2302" s="990"/>
      <c r="I2302" s="990"/>
      <c r="J2302" s="990"/>
      <c r="K2302" s="990"/>
      <c r="L2302" s="990"/>
      <c r="M2302" s="990"/>
      <c r="N2302" s="990"/>
      <c r="O2302" s="990"/>
      <c r="P2302" s="990"/>
      <c r="Q2302" s="990"/>
      <c r="R2302" s="990"/>
      <c r="S2302" s="990"/>
      <c r="T2302" s="990"/>
      <c r="U2302" s="990"/>
      <c r="V2302" s="990"/>
      <c r="W2302" s="990"/>
      <c r="X2302" s="990"/>
    </row>
    <row r="2303" spans="1:24" s="896" customFormat="1">
      <c r="A2303" s="987">
        <f t="shared" si="36"/>
        <v>2229</v>
      </c>
      <c r="B2303" s="988">
        <v>41075</v>
      </c>
      <c r="C2303" s="899" t="s">
        <v>11629</v>
      </c>
      <c r="D2303" s="988" t="s">
        <v>2672</v>
      </c>
      <c r="E2303" s="989">
        <v>4011.98</v>
      </c>
      <c r="F2303" s="990"/>
      <c r="G2303" s="990"/>
      <c r="H2303" s="990"/>
      <c r="I2303" s="990"/>
      <c r="J2303" s="990"/>
      <c r="K2303" s="990"/>
      <c r="L2303" s="990"/>
      <c r="M2303" s="990"/>
      <c r="N2303" s="990"/>
      <c r="O2303" s="990"/>
      <c r="P2303" s="990"/>
      <c r="Q2303" s="990"/>
      <c r="R2303" s="990"/>
      <c r="S2303" s="990"/>
      <c r="T2303" s="990"/>
      <c r="U2303" s="990"/>
      <c r="V2303" s="990"/>
      <c r="W2303" s="990"/>
      <c r="X2303" s="990"/>
    </row>
    <row r="2304" spans="1:24" s="896" customFormat="1">
      <c r="A2304" s="987">
        <f t="shared" si="36"/>
        <v>2230</v>
      </c>
      <c r="B2304" s="988">
        <v>44324</v>
      </c>
      <c r="C2304" s="899" t="s">
        <v>11630</v>
      </c>
      <c r="D2304" s="988" t="s">
        <v>2670</v>
      </c>
      <c r="E2304" s="989">
        <v>2.68</v>
      </c>
      <c r="F2304" s="990"/>
      <c r="G2304" s="990"/>
      <c r="H2304" s="990"/>
      <c r="I2304" s="990"/>
      <c r="J2304" s="990"/>
      <c r="K2304" s="990"/>
      <c r="L2304" s="990"/>
      <c r="M2304" s="990"/>
      <c r="N2304" s="990"/>
      <c r="O2304" s="990"/>
      <c r="P2304" s="990"/>
      <c r="Q2304" s="990"/>
      <c r="R2304" s="990"/>
      <c r="S2304" s="990"/>
      <c r="T2304" s="990"/>
      <c r="U2304" s="990"/>
      <c r="V2304" s="990"/>
      <c r="W2304" s="990"/>
      <c r="X2304" s="990"/>
    </row>
    <row r="2305" spans="1:24" s="896" customFormat="1">
      <c r="A2305" s="987">
        <f t="shared" si="36"/>
        <v>2231</v>
      </c>
      <c r="B2305" s="988">
        <v>3315</v>
      </c>
      <c r="C2305" s="899" t="s">
        <v>11631</v>
      </c>
      <c r="D2305" s="988" t="s">
        <v>2670</v>
      </c>
      <c r="E2305" s="989">
        <v>0.77</v>
      </c>
      <c r="F2305" s="990"/>
      <c r="G2305" s="990"/>
      <c r="H2305" s="990"/>
      <c r="I2305" s="990"/>
      <c r="J2305" s="990"/>
      <c r="K2305" s="990"/>
      <c r="L2305" s="990"/>
      <c r="M2305" s="990"/>
      <c r="N2305" s="990"/>
      <c r="O2305" s="990"/>
      <c r="P2305" s="990"/>
      <c r="Q2305" s="990"/>
      <c r="R2305" s="990"/>
      <c r="S2305" s="990"/>
      <c r="T2305" s="990"/>
      <c r="U2305" s="990"/>
      <c r="V2305" s="990"/>
      <c r="W2305" s="990"/>
      <c r="X2305" s="990"/>
    </row>
    <row r="2306" spans="1:24" s="896" customFormat="1">
      <c r="A2306" s="987">
        <f t="shared" si="36"/>
        <v>2232</v>
      </c>
      <c r="B2306" s="988">
        <v>36870</v>
      </c>
      <c r="C2306" s="899" t="s">
        <v>11632</v>
      </c>
      <c r="D2306" s="988" t="s">
        <v>2670</v>
      </c>
      <c r="E2306" s="989">
        <v>0.6</v>
      </c>
      <c r="F2306" s="990"/>
      <c r="G2306" s="990"/>
      <c r="H2306" s="990"/>
      <c r="I2306" s="990"/>
      <c r="J2306" s="990"/>
      <c r="K2306" s="990"/>
      <c r="L2306" s="990"/>
      <c r="M2306" s="990"/>
      <c r="N2306" s="990"/>
      <c r="O2306" s="990"/>
      <c r="P2306" s="990"/>
      <c r="Q2306" s="990"/>
      <c r="R2306" s="990"/>
      <c r="S2306" s="990"/>
      <c r="T2306" s="990"/>
      <c r="U2306" s="990"/>
      <c r="V2306" s="990"/>
      <c r="W2306" s="990"/>
      <c r="X2306" s="990"/>
    </row>
    <row r="2307" spans="1:24" s="896" customFormat="1" ht="25.5">
      <c r="A2307" s="987">
        <f t="shared" si="36"/>
        <v>2233</v>
      </c>
      <c r="B2307" s="988">
        <v>5092</v>
      </c>
      <c r="C2307" s="899" t="s">
        <v>11633</v>
      </c>
      <c r="D2307" s="988" t="s">
        <v>2673</v>
      </c>
      <c r="E2307" s="989">
        <v>17.55</v>
      </c>
      <c r="F2307" s="990"/>
      <c r="G2307" s="990"/>
      <c r="H2307" s="990"/>
      <c r="I2307" s="990"/>
      <c r="J2307" s="990"/>
      <c r="K2307" s="990"/>
      <c r="L2307" s="990"/>
      <c r="M2307" s="990"/>
      <c r="N2307" s="990"/>
      <c r="O2307" s="990"/>
      <c r="P2307" s="990"/>
      <c r="Q2307" s="990"/>
      <c r="R2307" s="990"/>
      <c r="S2307" s="990"/>
      <c r="T2307" s="990"/>
      <c r="U2307" s="990"/>
      <c r="V2307" s="990"/>
      <c r="W2307" s="990"/>
      <c r="X2307" s="990"/>
    </row>
    <row r="2308" spans="1:24" s="896" customFormat="1">
      <c r="A2308" s="987">
        <f t="shared" si="36"/>
        <v>2234</v>
      </c>
      <c r="B2308" s="988">
        <v>11462</v>
      </c>
      <c r="C2308" s="899" t="s">
        <v>11634</v>
      </c>
      <c r="D2308" s="988" t="s">
        <v>2673</v>
      </c>
      <c r="E2308" s="989">
        <v>17.940000000000001</v>
      </c>
      <c r="F2308" s="990"/>
      <c r="G2308" s="990"/>
      <c r="H2308" s="990"/>
      <c r="I2308" s="990"/>
      <c r="J2308" s="990"/>
      <c r="K2308" s="990"/>
      <c r="L2308" s="990"/>
      <c r="M2308" s="990"/>
      <c r="N2308" s="990"/>
      <c r="O2308" s="990"/>
      <c r="P2308" s="990"/>
      <c r="Q2308" s="990"/>
      <c r="R2308" s="990"/>
      <c r="S2308" s="990"/>
      <c r="T2308" s="990"/>
      <c r="U2308" s="990"/>
      <c r="V2308" s="990"/>
      <c r="W2308" s="990"/>
      <c r="X2308" s="990"/>
    </row>
    <row r="2309" spans="1:24" s="896" customFormat="1" ht="25.5">
      <c r="A2309" s="987">
        <f t="shared" si="36"/>
        <v>2235</v>
      </c>
      <c r="B2309" s="988">
        <v>36529</v>
      </c>
      <c r="C2309" s="899" t="s">
        <v>11635</v>
      </c>
      <c r="D2309" s="988" t="s">
        <v>2666</v>
      </c>
      <c r="E2309" s="989">
        <v>80357.14</v>
      </c>
      <c r="F2309" s="990"/>
      <c r="G2309" s="990"/>
      <c r="H2309" s="990"/>
      <c r="I2309" s="990"/>
      <c r="J2309" s="990"/>
      <c r="K2309" s="990"/>
      <c r="L2309" s="990"/>
      <c r="M2309" s="990"/>
      <c r="N2309" s="990"/>
      <c r="O2309" s="990"/>
      <c r="P2309" s="990"/>
      <c r="Q2309" s="990"/>
      <c r="R2309" s="990"/>
      <c r="S2309" s="990"/>
      <c r="T2309" s="990"/>
      <c r="U2309" s="990"/>
      <c r="V2309" s="990"/>
      <c r="W2309" s="990"/>
      <c r="X2309" s="990"/>
    </row>
    <row r="2310" spans="1:24" s="896" customFormat="1" ht="25.5">
      <c r="A2310" s="987">
        <f t="shared" si="36"/>
        <v>2236</v>
      </c>
      <c r="B2310" s="988">
        <v>3318</v>
      </c>
      <c r="C2310" s="899" t="s">
        <v>11636</v>
      </c>
      <c r="D2310" s="988" t="s">
        <v>2666</v>
      </c>
      <c r="E2310" s="989">
        <v>63000</v>
      </c>
      <c r="F2310" s="990"/>
      <c r="G2310" s="990"/>
      <c r="H2310" s="990"/>
      <c r="I2310" s="990"/>
      <c r="J2310" s="990"/>
      <c r="K2310" s="990"/>
      <c r="L2310" s="990"/>
      <c r="M2310" s="990"/>
      <c r="N2310" s="990"/>
      <c r="O2310" s="990"/>
      <c r="P2310" s="990"/>
      <c r="Q2310" s="990"/>
      <c r="R2310" s="990"/>
      <c r="S2310" s="990"/>
      <c r="T2310" s="990"/>
      <c r="U2310" s="990"/>
      <c r="V2310" s="990"/>
      <c r="W2310" s="990"/>
      <c r="X2310" s="990"/>
    </row>
    <row r="2311" spans="1:24" s="896" customFormat="1">
      <c r="A2311" s="987">
        <f t="shared" si="36"/>
        <v>2237</v>
      </c>
      <c r="B2311" s="988">
        <v>3324</v>
      </c>
      <c r="C2311" s="899" t="s">
        <v>11637</v>
      </c>
      <c r="D2311" s="988" t="s">
        <v>2667</v>
      </c>
      <c r="E2311" s="989">
        <v>6.24</v>
      </c>
      <c r="F2311" s="990"/>
      <c r="G2311" s="990"/>
      <c r="H2311" s="990"/>
      <c r="I2311" s="990"/>
      <c r="J2311" s="990"/>
      <c r="K2311" s="990"/>
      <c r="L2311" s="990"/>
      <c r="M2311" s="990"/>
      <c r="N2311" s="990"/>
      <c r="O2311" s="990"/>
      <c r="P2311" s="990"/>
      <c r="Q2311" s="990"/>
      <c r="R2311" s="990"/>
      <c r="S2311" s="990"/>
      <c r="T2311" s="990"/>
      <c r="U2311" s="990"/>
      <c r="V2311" s="990"/>
      <c r="W2311" s="990"/>
      <c r="X2311" s="990"/>
    </row>
    <row r="2312" spans="1:24" s="896" customFormat="1">
      <c r="A2312" s="987">
        <f t="shared" si="36"/>
        <v>2238</v>
      </c>
      <c r="B2312" s="988">
        <v>3322</v>
      </c>
      <c r="C2312" s="899" t="s">
        <v>11638</v>
      </c>
      <c r="D2312" s="988" t="s">
        <v>2667</v>
      </c>
      <c r="E2312" s="989">
        <v>8.75</v>
      </c>
      <c r="F2312" s="990"/>
      <c r="G2312" s="990"/>
      <c r="H2312" s="990"/>
      <c r="I2312" s="990"/>
      <c r="J2312" s="990"/>
      <c r="K2312" s="990"/>
      <c r="L2312" s="990"/>
      <c r="M2312" s="990"/>
      <c r="N2312" s="990"/>
      <c r="O2312" s="990"/>
      <c r="P2312" s="990"/>
      <c r="Q2312" s="990"/>
      <c r="R2312" s="990"/>
      <c r="S2312" s="990"/>
      <c r="T2312" s="990"/>
      <c r="U2312" s="990"/>
      <c r="V2312" s="990"/>
      <c r="W2312" s="990"/>
      <c r="X2312" s="990"/>
    </row>
    <row r="2313" spans="1:24" s="896" customFormat="1">
      <c r="A2313" s="987">
        <f t="shared" si="36"/>
        <v>2239</v>
      </c>
      <c r="B2313" s="988">
        <v>5076</v>
      </c>
      <c r="C2313" s="899" t="s">
        <v>11639</v>
      </c>
      <c r="D2313" s="988" t="s">
        <v>2670</v>
      </c>
      <c r="E2313" s="989">
        <v>21.24</v>
      </c>
      <c r="F2313" s="990"/>
      <c r="G2313" s="990"/>
      <c r="H2313" s="990"/>
      <c r="I2313" s="990"/>
      <c r="J2313" s="990"/>
      <c r="K2313" s="990"/>
      <c r="L2313" s="990"/>
      <c r="M2313" s="990"/>
      <c r="N2313" s="990"/>
      <c r="O2313" s="990"/>
      <c r="P2313" s="990"/>
      <c r="Q2313" s="990"/>
      <c r="R2313" s="990"/>
      <c r="S2313" s="990"/>
      <c r="T2313" s="990"/>
      <c r="U2313" s="990"/>
      <c r="V2313" s="990"/>
      <c r="W2313" s="990"/>
      <c r="X2313" s="990"/>
    </row>
    <row r="2314" spans="1:24" s="896" customFormat="1">
      <c r="A2314" s="987">
        <f t="shared" si="36"/>
        <v>2240</v>
      </c>
      <c r="B2314" s="988">
        <v>5077</v>
      </c>
      <c r="C2314" s="899" t="s">
        <v>11640</v>
      </c>
      <c r="D2314" s="988" t="s">
        <v>2670</v>
      </c>
      <c r="E2314" s="989">
        <v>23.47</v>
      </c>
      <c r="F2314" s="990"/>
      <c r="G2314" s="990"/>
      <c r="H2314" s="990"/>
      <c r="I2314" s="990"/>
      <c r="J2314" s="990"/>
      <c r="K2314" s="990"/>
      <c r="L2314" s="990"/>
      <c r="M2314" s="990"/>
      <c r="N2314" s="990"/>
      <c r="O2314" s="990"/>
      <c r="P2314" s="990"/>
      <c r="Q2314" s="990"/>
      <c r="R2314" s="990"/>
      <c r="S2314" s="990"/>
      <c r="T2314" s="990"/>
      <c r="U2314" s="990"/>
      <c r="V2314" s="990"/>
      <c r="W2314" s="990"/>
      <c r="X2314" s="990"/>
    </row>
    <row r="2315" spans="1:24" s="896" customFormat="1" ht="25.5">
      <c r="A2315" s="987">
        <f t="shared" si="36"/>
        <v>2241</v>
      </c>
      <c r="B2315" s="988">
        <v>11837</v>
      </c>
      <c r="C2315" s="899" t="s">
        <v>11641</v>
      </c>
      <c r="D2315" s="988" t="s">
        <v>2666</v>
      </c>
      <c r="E2315" s="989">
        <v>87.54</v>
      </c>
      <c r="F2315" s="990"/>
      <c r="G2315" s="990"/>
      <c r="H2315" s="990"/>
      <c r="I2315" s="990"/>
      <c r="J2315" s="990"/>
      <c r="K2315" s="990"/>
      <c r="L2315" s="990"/>
      <c r="M2315" s="990"/>
      <c r="N2315" s="990"/>
      <c r="O2315" s="990"/>
      <c r="P2315" s="990"/>
      <c r="Q2315" s="990"/>
      <c r="R2315" s="990"/>
      <c r="S2315" s="990"/>
      <c r="T2315" s="990"/>
      <c r="U2315" s="990"/>
      <c r="V2315" s="990"/>
      <c r="W2315" s="990"/>
      <c r="X2315" s="990"/>
    </row>
    <row r="2316" spans="1:24" s="896" customFormat="1" ht="25.5">
      <c r="A2316" s="987">
        <f t="shared" ref="A2316:A2379" si="37">A2315+1</f>
        <v>2242</v>
      </c>
      <c r="B2316" s="988">
        <v>38055</v>
      </c>
      <c r="C2316" s="899" t="s">
        <v>11642</v>
      </c>
      <c r="D2316" s="988" t="s">
        <v>2666</v>
      </c>
      <c r="E2316" s="989">
        <v>7.94</v>
      </c>
      <c r="F2316" s="990"/>
      <c r="G2316" s="990"/>
      <c r="H2316" s="990"/>
      <c r="I2316" s="990"/>
      <c r="J2316" s="990"/>
      <c r="K2316" s="990"/>
      <c r="L2316" s="990"/>
      <c r="M2316" s="990"/>
      <c r="N2316" s="990"/>
      <c r="O2316" s="990"/>
      <c r="P2316" s="990"/>
      <c r="Q2316" s="990"/>
      <c r="R2316" s="990"/>
      <c r="S2316" s="990"/>
      <c r="T2316" s="990"/>
      <c r="U2316" s="990"/>
      <c r="V2316" s="990"/>
      <c r="W2316" s="990"/>
      <c r="X2316" s="990"/>
    </row>
    <row r="2317" spans="1:24" s="896" customFormat="1" ht="25.5">
      <c r="A2317" s="987">
        <f t="shared" si="37"/>
        <v>2243</v>
      </c>
      <c r="B2317" s="988">
        <v>415</v>
      </c>
      <c r="C2317" s="899" t="s">
        <v>11643</v>
      </c>
      <c r="D2317" s="988" t="s">
        <v>2666</v>
      </c>
      <c r="E2317" s="989">
        <v>35.9</v>
      </c>
      <c r="F2317" s="990"/>
      <c r="G2317" s="990"/>
      <c r="H2317" s="990"/>
      <c r="I2317" s="990"/>
      <c r="J2317" s="990"/>
      <c r="K2317" s="990"/>
      <c r="L2317" s="990"/>
      <c r="M2317" s="990"/>
      <c r="N2317" s="990"/>
      <c r="O2317" s="990"/>
      <c r="P2317" s="990"/>
      <c r="Q2317" s="990"/>
      <c r="R2317" s="990"/>
      <c r="S2317" s="990"/>
      <c r="T2317" s="990"/>
      <c r="U2317" s="990"/>
      <c r="V2317" s="990"/>
      <c r="W2317" s="990"/>
      <c r="X2317" s="990"/>
    </row>
    <row r="2318" spans="1:24" s="896" customFormat="1" ht="25.5">
      <c r="A2318" s="987">
        <f t="shared" si="37"/>
        <v>2244</v>
      </c>
      <c r="B2318" s="988">
        <v>416</v>
      </c>
      <c r="C2318" s="899" t="s">
        <v>11644</v>
      </c>
      <c r="D2318" s="988" t="s">
        <v>2666</v>
      </c>
      <c r="E2318" s="989">
        <v>13.14</v>
      </c>
      <c r="F2318" s="990"/>
      <c r="G2318" s="990"/>
      <c r="H2318" s="990"/>
      <c r="I2318" s="990"/>
      <c r="J2318" s="990"/>
      <c r="K2318" s="990"/>
      <c r="L2318" s="990"/>
      <c r="M2318" s="990"/>
      <c r="N2318" s="990"/>
      <c r="O2318" s="990"/>
      <c r="P2318" s="990"/>
      <c r="Q2318" s="990"/>
      <c r="R2318" s="990"/>
      <c r="S2318" s="990"/>
      <c r="T2318" s="990"/>
      <c r="U2318" s="990"/>
      <c r="V2318" s="990"/>
      <c r="W2318" s="990"/>
      <c r="X2318" s="990"/>
    </row>
    <row r="2319" spans="1:24" s="896" customFormat="1" ht="25.5">
      <c r="A2319" s="987">
        <f t="shared" si="37"/>
        <v>2245</v>
      </c>
      <c r="B2319" s="988">
        <v>425</v>
      </c>
      <c r="C2319" s="899" t="s">
        <v>11645</v>
      </c>
      <c r="D2319" s="988" t="s">
        <v>2666</v>
      </c>
      <c r="E2319" s="989">
        <v>8.15</v>
      </c>
      <c r="F2319" s="990"/>
      <c r="G2319" s="990"/>
      <c r="H2319" s="990"/>
      <c r="I2319" s="990"/>
      <c r="J2319" s="990"/>
      <c r="K2319" s="990"/>
      <c r="L2319" s="990"/>
      <c r="M2319" s="990"/>
      <c r="N2319" s="990"/>
      <c r="O2319" s="990"/>
      <c r="P2319" s="990"/>
      <c r="Q2319" s="990"/>
      <c r="R2319" s="990"/>
      <c r="S2319" s="990"/>
      <c r="T2319" s="990"/>
      <c r="U2319" s="990"/>
      <c r="V2319" s="990"/>
      <c r="W2319" s="990"/>
      <c r="X2319" s="990"/>
    </row>
    <row r="2320" spans="1:24" s="896" customFormat="1" ht="25.5">
      <c r="A2320" s="987">
        <f t="shared" si="37"/>
        <v>2246</v>
      </c>
      <c r="B2320" s="988">
        <v>426</v>
      </c>
      <c r="C2320" s="899" t="s">
        <v>11646</v>
      </c>
      <c r="D2320" s="988" t="s">
        <v>2666</v>
      </c>
      <c r="E2320" s="989">
        <v>44.86</v>
      </c>
      <c r="F2320" s="990"/>
      <c r="G2320" s="990"/>
      <c r="H2320" s="990"/>
      <c r="I2320" s="990"/>
      <c r="J2320" s="990"/>
      <c r="K2320" s="990"/>
      <c r="L2320" s="990"/>
      <c r="M2320" s="990"/>
      <c r="N2320" s="990"/>
      <c r="O2320" s="990"/>
      <c r="P2320" s="990"/>
      <c r="Q2320" s="990"/>
      <c r="R2320" s="990"/>
      <c r="S2320" s="990"/>
      <c r="T2320" s="990"/>
      <c r="U2320" s="990"/>
      <c r="V2320" s="990"/>
      <c r="W2320" s="990"/>
      <c r="X2320" s="990"/>
    </row>
    <row r="2321" spans="1:24" s="896" customFormat="1" ht="25.5">
      <c r="A2321" s="987">
        <f t="shared" si="37"/>
        <v>2247</v>
      </c>
      <c r="B2321" s="988">
        <v>38056</v>
      </c>
      <c r="C2321" s="899" t="s">
        <v>11647</v>
      </c>
      <c r="D2321" s="988" t="s">
        <v>2666</v>
      </c>
      <c r="E2321" s="989">
        <v>43.81</v>
      </c>
      <c r="F2321" s="990"/>
      <c r="G2321" s="990"/>
      <c r="H2321" s="990"/>
      <c r="I2321" s="990"/>
      <c r="J2321" s="990"/>
      <c r="K2321" s="990"/>
      <c r="L2321" s="990"/>
      <c r="M2321" s="990"/>
      <c r="N2321" s="990"/>
      <c r="O2321" s="990"/>
      <c r="P2321" s="990"/>
      <c r="Q2321" s="990"/>
      <c r="R2321" s="990"/>
      <c r="S2321" s="990"/>
      <c r="T2321" s="990"/>
      <c r="U2321" s="990"/>
      <c r="V2321" s="990"/>
      <c r="W2321" s="990"/>
      <c r="X2321" s="990"/>
    </row>
    <row r="2322" spans="1:24" s="896" customFormat="1">
      <c r="A2322" s="987">
        <f t="shared" si="37"/>
        <v>2248</v>
      </c>
      <c r="B2322" s="988">
        <v>1564</v>
      </c>
      <c r="C2322" s="899" t="s">
        <v>11648</v>
      </c>
      <c r="D2322" s="988" t="s">
        <v>2666</v>
      </c>
      <c r="E2322" s="989">
        <v>16.72</v>
      </c>
      <c r="F2322" s="990"/>
      <c r="G2322" s="990"/>
      <c r="H2322" s="990"/>
      <c r="I2322" s="990"/>
      <c r="J2322" s="990"/>
      <c r="K2322" s="990"/>
      <c r="L2322" s="990"/>
      <c r="M2322" s="990"/>
      <c r="N2322" s="990"/>
      <c r="O2322" s="990"/>
      <c r="P2322" s="990"/>
      <c r="Q2322" s="990"/>
      <c r="R2322" s="990"/>
      <c r="S2322" s="990"/>
      <c r="T2322" s="990"/>
      <c r="U2322" s="990"/>
      <c r="V2322" s="990"/>
      <c r="W2322" s="990"/>
      <c r="X2322" s="990"/>
    </row>
    <row r="2323" spans="1:24" s="896" customFormat="1">
      <c r="A2323" s="987">
        <f t="shared" si="37"/>
        <v>2249</v>
      </c>
      <c r="B2323" s="988">
        <v>11032</v>
      </c>
      <c r="C2323" s="899" t="s">
        <v>11649</v>
      </c>
      <c r="D2323" s="988" t="s">
        <v>2666</v>
      </c>
      <c r="E2323" s="989">
        <v>9.94</v>
      </c>
      <c r="F2323" s="990"/>
      <c r="G2323" s="990"/>
      <c r="H2323" s="990"/>
      <c r="I2323" s="990"/>
      <c r="J2323" s="990"/>
      <c r="K2323" s="990"/>
      <c r="L2323" s="990"/>
      <c r="M2323" s="990"/>
      <c r="N2323" s="990"/>
      <c r="O2323" s="990"/>
      <c r="P2323" s="990"/>
      <c r="Q2323" s="990"/>
      <c r="R2323" s="990"/>
      <c r="S2323" s="990"/>
      <c r="T2323" s="990"/>
      <c r="U2323" s="990"/>
      <c r="V2323" s="990"/>
      <c r="W2323" s="990"/>
      <c r="X2323" s="990"/>
    </row>
    <row r="2324" spans="1:24" s="896" customFormat="1" ht="25.5">
      <c r="A2324" s="987">
        <f t="shared" si="37"/>
        <v>2250</v>
      </c>
      <c r="B2324" s="988">
        <v>36786</v>
      </c>
      <c r="C2324" s="899" t="s">
        <v>11650</v>
      </c>
      <c r="D2324" s="988" t="s">
        <v>790</v>
      </c>
      <c r="E2324" s="989">
        <v>167.91</v>
      </c>
      <c r="F2324" s="990"/>
      <c r="G2324" s="990"/>
      <c r="H2324" s="990"/>
      <c r="I2324" s="990"/>
      <c r="J2324" s="990"/>
      <c r="K2324" s="990"/>
      <c r="L2324" s="990"/>
      <c r="M2324" s="990"/>
      <c r="N2324" s="990"/>
      <c r="O2324" s="990"/>
      <c r="P2324" s="990"/>
      <c r="Q2324" s="990"/>
      <c r="R2324" s="990"/>
      <c r="S2324" s="990"/>
      <c r="T2324" s="990"/>
      <c r="U2324" s="990"/>
      <c r="V2324" s="990"/>
      <c r="W2324" s="990"/>
      <c r="X2324" s="990"/>
    </row>
    <row r="2325" spans="1:24" s="896" customFormat="1" ht="25.5">
      <c r="A2325" s="987">
        <f t="shared" si="37"/>
        <v>2251</v>
      </c>
      <c r="B2325" s="988">
        <v>36785</v>
      </c>
      <c r="C2325" s="899" t="s">
        <v>11651</v>
      </c>
      <c r="D2325" s="988" t="s">
        <v>790</v>
      </c>
      <c r="E2325" s="989">
        <v>145.9</v>
      </c>
      <c r="F2325" s="990"/>
      <c r="G2325" s="990"/>
      <c r="H2325" s="990"/>
      <c r="I2325" s="990"/>
      <c r="J2325" s="990"/>
      <c r="K2325" s="990"/>
      <c r="L2325" s="990"/>
      <c r="M2325" s="990"/>
      <c r="N2325" s="990"/>
      <c r="O2325" s="990"/>
      <c r="P2325" s="990"/>
      <c r="Q2325" s="990"/>
      <c r="R2325" s="990"/>
      <c r="S2325" s="990"/>
      <c r="T2325" s="990"/>
      <c r="U2325" s="990"/>
      <c r="V2325" s="990"/>
      <c r="W2325" s="990"/>
      <c r="X2325" s="990"/>
    </row>
    <row r="2326" spans="1:24" s="896" customFormat="1" ht="25.5">
      <c r="A2326" s="987">
        <f t="shared" si="37"/>
        <v>2252</v>
      </c>
      <c r="B2326" s="988">
        <v>36782</v>
      </c>
      <c r="C2326" s="899" t="s">
        <v>11652</v>
      </c>
      <c r="D2326" s="988" t="s">
        <v>790</v>
      </c>
      <c r="E2326" s="989">
        <v>174.16</v>
      </c>
      <c r="F2326" s="990"/>
      <c r="G2326" s="990"/>
      <c r="H2326" s="990"/>
      <c r="I2326" s="990"/>
      <c r="J2326" s="990"/>
      <c r="K2326" s="990"/>
      <c r="L2326" s="990"/>
      <c r="M2326" s="990"/>
      <c r="N2326" s="990"/>
      <c r="O2326" s="990"/>
      <c r="P2326" s="990"/>
      <c r="Q2326" s="990"/>
      <c r="R2326" s="990"/>
      <c r="S2326" s="990"/>
      <c r="T2326" s="990"/>
      <c r="U2326" s="990"/>
      <c r="V2326" s="990"/>
      <c r="W2326" s="990"/>
      <c r="X2326" s="990"/>
    </row>
    <row r="2327" spans="1:24" s="896" customFormat="1" ht="25.5">
      <c r="A2327" s="987">
        <f t="shared" si="37"/>
        <v>2253</v>
      </c>
      <c r="B2327" s="988">
        <v>44481</v>
      </c>
      <c r="C2327" s="899" t="s">
        <v>11653</v>
      </c>
      <c r="D2327" s="988" t="s">
        <v>790</v>
      </c>
      <c r="E2327" s="989">
        <v>196.18</v>
      </c>
      <c r="F2327" s="990"/>
      <c r="G2327" s="990"/>
      <c r="H2327" s="990"/>
      <c r="I2327" s="990"/>
      <c r="J2327" s="990"/>
      <c r="K2327" s="990"/>
      <c r="L2327" s="990"/>
      <c r="M2327" s="990"/>
      <c r="N2327" s="990"/>
      <c r="O2327" s="990"/>
      <c r="P2327" s="990"/>
      <c r="Q2327" s="990"/>
      <c r="R2327" s="990"/>
      <c r="S2327" s="990"/>
      <c r="T2327" s="990"/>
      <c r="U2327" s="990"/>
      <c r="V2327" s="990"/>
      <c r="W2327" s="990"/>
      <c r="X2327" s="990"/>
    </row>
    <row r="2328" spans="1:24" s="896" customFormat="1" ht="25.5">
      <c r="A2328" s="987">
        <f t="shared" si="37"/>
        <v>2254</v>
      </c>
      <c r="B2328" s="988">
        <v>4824</v>
      </c>
      <c r="C2328" s="899" t="s">
        <v>11654</v>
      </c>
      <c r="D2328" s="988" t="s">
        <v>2670</v>
      </c>
      <c r="E2328" s="989">
        <v>0.82</v>
      </c>
      <c r="F2328" s="990"/>
      <c r="G2328" s="990"/>
      <c r="H2328" s="990"/>
      <c r="I2328" s="990"/>
      <c r="J2328" s="990"/>
      <c r="K2328" s="990"/>
      <c r="L2328" s="990"/>
      <c r="M2328" s="990"/>
      <c r="N2328" s="990"/>
      <c r="O2328" s="990"/>
      <c r="P2328" s="990"/>
      <c r="Q2328" s="990"/>
      <c r="R2328" s="990"/>
      <c r="S2328" s="990"/>
      <c r="T2328" s="990"/>
      <c r="U2328" s="990"/>
      <c r="V2328" s="990"/>
      <c r="W2328" s="990"/>
      <c r="X2328" s="990"/>
    </row>
    <row r="2329" spans="1:24" s="896" customFormat="1" ht="25.5">
      <c r="A2329" s="987">
        <f t="shared" si="37"/>
        <v>2255</v>
      </c>
      <c r="B2329" s="988">
        <v>11795</v>
      </c>
      <c r="C2329" s="899" t="s">
        <v>11655</v>
      </c>
      <c r="D2329" s="988" t="s">
        <v>2667</v>
      </c>
      <c r="E2329" s="989">
        <v>701.88</v>
      </c>
      <c r="F2329" s="990"/>
      <c r="G2329" s="990"/>
      <c r="H2329" s="990"/>
      <c r="I2329" s="990"/>
      <c r="J2329" s="990"/>
      <c r="K2329" s="990"/>
      <c r="L2329" s="990"/>
      <c r="M2329" s="990"/>
      <c r="N2329" s="990"/>
      <c r="O2329" s="990"/>
      <c r="P2329" s="990"/>
      <c r="Q2329" s="990"/>
      <c r="R2329" s="990"/>
      <c r="S2329" s="990"/>
      <c r="T2329" s="990"/>
      <c r="U2329" s="990"/>
      <c r="V2329" s="990"/>
      <c r="W2329" s="990"/>
      <c r="X2329" s="990"/>
    </row>
    <row r="2330" spans="1:24" s="896" customFormat="1">
      <c r="A2330" s="987">
        <f t="shared" si="37"/>
        <v>2256</v>
      </c>
      <c r="B2330" s="988">
        <v>134</v>
      </c>
      <c r="C2330" s="899" t="s">
        <v>11656</v>
      </c>
      <c r="D2330" s="988" t="s">
        <v>2670</v>
      </c>
      <c r="E2330" s="989">
        <v>1.61</v>
      </c>
      <c r="F2330" s="990"/>
      <c r="G2330" s="990"/>
      <c r="H2330" s="990"/>
      <c r="I2330" s="990"/>
      <c r="J2330" s="990"/>
      <c r="K2330" s="990"/>
      <c r="L2330" s="990"/>
      <c r="M2330" s="990"/>
      <c r="N2330" s="990"/>
      <c r="O2330" s="990"/>
      <c r="P2330" s="990"/>
      <c r="Q2330" s="990"/>
      <c r="R2330" s="990"/>
      <c r="S2330" s="990"/>
      <c r="T2330" s="990"/>
      <c r="U2330" s="990"/>
      <c r="V2330" s="990"/>
      <c r="W2330" s="990"/>
      <c r="X2330" s="990"/>
    </row>
    <row r="2331" spans="1:24" s="896" customFormat="1">
      <c r="A2331" s="987">
        <f t="shared" si="37"/>
        <v>2257</v>
      </c>
      <c r="B2331" s="988">
        <v>4229</v>
      </c>
      <c r="C2331" s="899" t="s">
        <v>11657</v>
      </c>
      <c r="D2331" s="988" t="s">
        <v>2670</v>
      </c>
      <c r="E2331" s="989">
        <v>45.35</v>
      </c>
      <c r="F2331" s="990"/>
      <c r="G2331" s="990"/>
      <c r="H2331" s="990"/>
      <c r="I2331" s="990"/>
      <c r="J2331" s="990"/>
      <c r="K2331" s="990"/>
      <c r="L2331" s="990"/>
      <c r="M2331" s="990"/>
      <c r="N2331" s="990"/>
      <c r="O2331" s="990"/>
      <c r="P2331" s="990"/>
      <c r="Q2331" s="990"/>
      <c r="R2331" s="990"/>
      <c r="S2331" s="990"/>
      <c r="T2331" s="990"/>
      <c r="U2331" s="990"/>
      <c r="V2331" s="990"/>
      <c r="W2331" s="990"/>
      <c r="X2331" s="990"/>
    </row>
    <row r="2332" spans="1:24" s="896" customFormat="1">
      <c r="A2332" s="987">
        <f t="shared" si="37"/>
        <v>2258</v>
      </c>
      <c r="B2332" s="988">
        <v>11731</v>
      </c>
      <c r="C2332" s="899" t="s">
        <v>11658</v>
      </c>
      <c r="D2332" s="988" t="s">
        <v>2666</v>
      </c>
      <c r="E2332" s="989">
        <v>9.11</v>
      </c>
      <c r="F2332" s="990"/>
      <c r="G2332" s="990"/>
      <c r="H2332" s="990"/>
      <c r="I2332" s="990"/>
      <c r="J2332" s="990"/>
      <c r="K2332" s="990"/>
      <c r="L2332" s="990"/>
      <c r="M2332" s="990"/>
      <c r="N2332" s="990"/>
      <c r="O2332" s="990"/>
      <c r="P2332" s="990"/>
      <c r="Q2332" s="990"/>
      <c r="R2332" s="990"/>
      <c r="S2332" s="990"/>
      <c r="T2332" s="990"/>
      <c r="U2332" s="990"/>
      <c r="V2332" s="990"/>
      <c r="W2332" s="990"/>
      <c r="X2332" s="990"/>
    </row>
    <row r="2333" spans="1:24" s="896" customFormat="1">
      <c r="A2333" s="987">
        <f t="shared" si="37"/>
        <v>2259</v>
      </c>
      <c r="B2333" s="988">
        <v>11732</v>
      </c>
      <c r="C2333" s="899" t="s">
        <v>11659</v>
      </c>
      <c r="D2333" s="988" t="s">
        <v>2666</v>
      </c>
      <c r="E2333" s="989">
        <v>23.88</v>
      </c>
      <c r="F2333" s="990"/>
      <c r="G2333" s="990"/>
      <c r="H2333" s="990"/>
      <c r="I2333" s="990"/>
      <c r="J2333" s="990"/>
      <c r="K2333" s="990"/>
      <c r="L2333" s="990"/>
      <c r="M2333" s="990"/>
      <c r="N2333" s="990"/>
      <c r="O2333" s="990"/>
      <c r="P2333" s="990"/>
      <c r="Q2333" s="990"/>
      <c r="R2333" s="990"/>
      <c r="S2333" s="990"/>
      <c r="T2333" s="990"/>
      <c r="U2333" s="990"/>
      <c r="V2333" s="990"/>
      <c r="W2333" s="990"/>
      <c r="X2333" s="990"/>
    </row>
    <row r="2334" spans="1:24" s="896" customFormat="1">
      <c r="A2334" s="987">
        <f t="shared" si="37"/>
        <v>2260</v>
      </c>
      <c r="B2334" s="988">
        <v>11244</v>
      </c>
      <c r="C2334" s="899" t="s">
        <v>11660</v>
      </c>
      <c r="D2334" s="988" t="s">
        <v>2666</v>
      </c>
      <c r="E2334" s="989">
        <v>299.38</v>
      </c>
      <c r="F2334" s="990"/>
      <c r="G2334" s="990"/>
      <c r="H2334" s="990"/>
      <c r="I2334" s="990"/>
      <c r="J2334" s="990"/>
      <c r="K2334" s="990"/>
      <c r="L2334" s="990"/>
      <c r="M2334" s="990"/>
      <c r="N2334" s="990"/>
      <c r="O2334" s="990"/>
      <c r="P2334" s="990"/>
      <c r="Q2334" s="990"/>
      <c r="R2334" s="990"/>
      <c r="S2334" s="990"/>
      <c r="T2334" s="990"/>
      <c r="U2334" s="990"/>
      <c r="V2334" s="990"/>
      <c r="W2334" s="990"/>
      <c r="X2334" s="990"/>
    </row>
    <row r="2335" spans="1:24" s="896" customFormat="1" ht="25.5">
      <c r="A2335" s="987">
        <f t="shared" si="37"/>
        <v>2261</v>
      </c>
      <c r="B2335" s="988">
        <v>11245</v>
      </c>
      <c r="C2335" s="899" t="s">
        <v>11661</v>
      </c>
      <c r="D2335" s="988" t="s">
        <v>2666</v>
      </c>
      <c r="E2335" s="989">
        <v>414.09</v>
      </c>
      <c r="F2335" s="990"/>
      <c r="G2335" s="990"/>
      <c r="H2335" s="990"/>
      <c r="I2335" s="990"/>
      <c r="J2335" s="990"/>
      <c r="K2335" s="990"/>
      <c r="L2335" s="990"/>
      <c r="M2335" s="990"/>
      <c r="N2335" s="990"/>
      <c r="O2335" s="990"/>
      <c r="P2335" s="990"/>
      <c r="Q2335" s="990"/>
      <c r="R2335" s="990"/>
      <c r="S2335" s="990"/>
      <c r="T2335" s="990"/>
      <c r="U2335" s="990"/>
      <c r="V2335" s="990"/>
      <c r="W2335" s="990"/>
      <c r="X2335" s="990"/>
    </row>
    <row r="2336" spans="1:24" s="896" customFormat="1" ht="25.5">
      <c r="A2336" s="987">
        <f t="shared" si="37"/>
        <v>2262</v>
      </c>
      <c r="B2336" s="988">
        <v>11235</v>
      </c>
      <c r="C2336" s="899" t="s">
        <v>11662</v>
      </c>
      <c r="D2336" s="988" t="s">
        <v>2666</v>
      </c>
      <c r="E2336" s="989">
        <v>228.46</v>
      </c>
      <c r="F2336" s="990"/>
      <c r="G2336" s="990"/>
      <c r="H2336" s="990"/>
      <c r="I2336" s="990"/>
      <c r="J2336" s="990"/>
      <c r="K2336" s="990"/>
      <c r="L2336" s="990"/>
      <c r="M2336" s="990"/>
      <c r="N2336" s="990"/>
      <c r="O2336" s="990"/>
      <c r="P2336" s="990"/>
      <c r="Q2336" s="990"/>
      <c r="R2336" s="990"/>
      <c r="S2336" s="990"/>
      <c r="T2336" s="990"/>
      <c r="U2336" s="990"/>
      <c r="V2336" s="990"/>
      <c r="W2336" s="990"/>
      <c r="X2336" s="990"/>
    </row>
    <row r="2337" spans="1:24" s="896" customFormat="1" ht="25.5">
      <c r="A2337" s="987">
        <f t="shared" si="37"/>
        <v>2263</v>
      </c>
      <c r="B2337" s="988">
        <v>11236</v>
      </c>
      <c r="C2337" s="899" t="s">
        <v>11663</v>
      </c>
      <c r="D2337" s="988" t="s">
        <v>2666</v>
      </c>
      <c r="E2337" s="989">
        <v>290.33999999999997</v>
      </c>
      <c r="F2337" s="990"/>
      <c r="G2337" s="990"/>
      <c r="H2337" s="990"/>
      <c r="I2337" s="990"/>
      <c r="J2337" s="990"/>
      <c r="K2337" s="990"/>
      <c r="L2337" s="990"/>
      <c r="M2337" s="990"/>
      <c r="N2337" s="990"/>
      <c r="O2337" s="990"/>
      <c r="P2337" s="990"/>
      <c r="Q2337" s="990"/>
      <c r="R2337" s="990"/>
      <c r="S2337" s="990"/>
      <c r="T2337" s="990"/>
      <c r="U2337" s="990"/>
      <c r="V2337" s="990"/>
      <c r="W2337" s="990"/>
      <c r="X2337" s="990"/>
    </row>
    <row r="2338" spans="1:24" s="896" customFormat="1">
      <c r="A2338" s="987">
        <f t="shared" si="37"/>
        <v>2264</v>
      </c>
      <c r="B2338" s="988">
        <v>36494</v>
      </c>
      <c r="C2338" s="899" t="s">
        <v>11664</v>
      </c>
      <c r="D2338" s="988" t="s">
        <v>2666</v>
      </c>
      <c r="E2338" s="989">
        <v>704432.18</v>
      </c>
      <c r="F2338" s="990"/>
      <c r="G2338" s="990"/>
      <c r="H2338" s="990"/>
      <c r="I2338" s="990"/>
      <c r="J2338" s="990"/>
      <c r="K2338" s="990"/>
      <c r="L2338" s="990"/>
      <c r="M2338" s="990"/>
      <c r="N2338" s="990"/>
      <c r="O2338" s="990"/>
      <c r="P2338" s="990"/>
      <c r="Q2338" s="990"/>
      <c r="R2338" s="990"/>
      <c r="S2338" s="990"/>
      <c r="T2338" s="990"/>
      <c r="U2338" s="990"/>
      <c r="V2338" s="990"/>
      <c r="W2338" s="990"/>
      <c r="X2338" s="990"/>
    </row>
    <row r="2339" spans="1:24" s="896" customFormat="1">
      <c r="A2339" s="987">
        <f t="shared" si="37"/>
        <v>2265</v>
      </c>
      <c r="B2339" s="988">
        <v>36493</v>
      </c>
      <c r="C2339" s="899" t="s">
        <v>11665</v>
      </c>
      <c r="D2339" s="988" t="s">
        <v>2666</v>
      </c>
      <c r="E2339" s="989">
        <v>798093.05</v>
      </c>
      <c r="F2339" s="990"/>
      <c r="G2339" s="990"/>
      <c r="H2339" s="990"/>
      <c r="I2339" s="990"/>
      <c r="J2339" s="990"/>
      <c r="K2339" s="990"/>
      <c r="L2339" s="990"/>
      <c r="M2339" s="990"/>
      <c r="N2339" s="990"/>
      <c r="O2339" s="990"/>
      <c r="P2339" s="990"/>
      <c r="Q2339" s="990"/>
      <c r="R2339" s="990"/>
      <c r="S2339" s="990"/>
      <c r="T2339" s="990"/>
      <c r="U2339" s="990"/>
      <c r="V2339" s="990"/>
      <c r="W2339" s="990"/>
      <c r="X2339" s="990"/>
    </row>
    <row r="2340" spans="1:24" s="896" customFormat="1">
      <c r="A2340" s="987">
        <f t="shared" si="37"/>
        <v>2266</v>
      </c>
      <c r="B2340" s="988">
        <v>36492</v>
      </c>
      <c r="C2340" s="899" t="s">
        <v>11666</v>
      </c>
      <c r="D2340" s="988" t="s">
        <v>2666</v>
      </c>
      <c r="E2340" s="989">
        <v>1482554.21</v>
      </c>
      <c r="F2340" s="990"/>
      <c r="G2340" s="990"/>
      <c r="H2340" s="990"/>
      <c r="I2340" s="990"/>
      <c r="J2340" s="990"/>
      <c r="K2340" s="990"/>
      <c r="L2340" s="990"/>
      <c r="M2340" s="990"/>
      <c r="N2340" s="990"/>
      <c r="O2340" s="990"/>
      <c r="P2340" s="990"/>
      <c r="Q2340" s="990"/>
      <c r="R2340" s="990"/>
      <c r="S2340" s="990"/>
      <c r="T2340" s="990"/>
      <c r="U2340" s="990"/>
      <c r="V2340" s="990"/>
      <c r="W2340" s="990"/>
      <c r="X2340" s="990"/>
    </row>
    <row r="2341" spans="1:24" s="896" customFormat="1" ht="25.5">
      <c r="A2341" s="987">
        <f t="shared" si="37"/>
        <v>2267</v>
      </c>
      <c r="B2341" s="988">
        <v>13333</v>
      </c>
      <c r="C2341" s="899" t="s">
        <v>11667</v>
      </c>
      <c r="D2341" s="988" t="s">
        <v>2666</v>
      </c>
      <c r="E2341" s="989">
        <v>171648.35</v>
      </c>
      <c r="F2341" s="990"/>
      <c r="G2341" s="990"/>
      <c r="H2341" s="990"/>
      <c r="I2341" s="990"/>
      <c r="J2341" s="990"/>
      <c r="K2341" s="990"/>
      <c r="L2341" s="990"/>
      <c r="M2341" s="990"/>
      <c r="N2341" s="990"/>
      <c r="O2341" s="990"/>
      <c r="P2341" s="990"/>
      <c r="Q2341" s="990"/>
      <c r="R2341" s="990"/>
      <c r="S2341" s="990"/>
      <c r="T2341" s="990"/>
      <c r="U2341" s="990"/>
      <c r="V2341" s="990"/>
      <c r="W2341" s="990"/>
      <c r="X2341" s="990"/>
    </row>
    <row r="2342" spans="1:24" s="896" customFormat="1" ht="25.5">
      <c r="A2342" s="987">
        <f t="shared" si="37"/>
        <v>2268</v>
      </c>
      <c r="B2342" s="988">
        <v>13533</v>
      </c>
      <c r="C2342" s="899" t="s">
        <v>11668</v>
      </c>
      <c r="D2342" s="988" t="s">
        <v>2666</v>
      </c>
      <c r="E2342" s="989">
        <v>153434.54999999999</v>
      </c>
      <c r="F2342" s="990"/>
      <c r="G2342" s="990"/>
      <c r="H2342" s="990"/>
      <c r="I2342" s="990"/>
      <c r="J2342" s="990"/>
      <c r="K2342" s="990"/>
      <c r="L2342" s="990"/>
      <c r="M2342" s="990"/>
      <c r="N2342" s="990"/>
      <c r="O2342" s="990"/>
      <c r="P2342" s="990"/>
      <c r="Q2342" s="990"/>
      <c r="R2342" s="990"/>
      <c r="S2342" s="990"/>
      <c r="T2342" s="990"/>
      <c r="U2342" s="990"/>
      <c r="V2342" s="990"/>
      <c r="W2342" s="990"/>
      <c r="X2342" s="990"/>
    </row>
    <row r="2343" spans="1:24" s="896" customFormat="1" ht="25.5">
      <c r="A2343" s="987">
        <f t="shared" si="37"/>
        <v>2269</v>
      </c>
      <c r="B2343" s="988">
        <v>36499</v>
      </c>
      <c r="C2343" s="899" t="s">
        <v>11669</v>
      </c>
      <c r="D2343" s="988" t="s">
        <v>2666</v>
      </c>
      <c r="E2343" s="989">
        <v>3347.14</v>
      </c>
      <c r="F2343" s="990"/>
      <c r="G2343" s="990"/>
      <c r="H2343" s="990"/>
      <c r="I2343" s="990"/>
      <c r="J2343" s="990"/>
      <c r="K2343" s="990"/>
      <c r="L2343" s="990"/>
      <c r="M2343" s="990"/>
      <c r="N2343" s="990"/>
      <c r="O2343" s="990"/>
      <c r="P2343" s="990"/>
      <c r="Q2343" s="990"/>
      <c r="R2343" s="990"/>
      <c r="S2343" s="990"/>
      <c r="T2343" s="990"/>
      <c r="U2343" s="990"/>
      <c r="V2343" s="990"/>
      <c r="W2343" s="990"/>
      <c r="X2343" s="990"/>
    </row>
    <row r="2344" spans="1:24" s="896" customFormat="1" ht="25.5">
      <c r="A2344" s="987">
        <f t="shared" si="37"/>
        <v>2270</v>
      </c>
      <c r="B2344" s="988">
        <v>39585</v>
      </c>
      <c r="C2344" s="899" t="s">
        <v>11670</v>
      </c>
      <c r="D2344" s="988" t="s">
        <v>2666</v>
      </c>
      <c r="E2344" s="989">
        <v>110833.33</v>
      </c>
      <c r="F2344" s="990"/>
      <c r="G2344" s="990"/>
      <c r="H2344" s="990"/>
      <c r="I2344" s="990"/>
      <c r="J2344" s="990"/>
      <c r="K2344" s="990"/>
      <c r="L2344" s="990"/>
      <c r="M2344" s="990"/>
      <c r="N2344" s="990"/>
      <c r="O2344" s="990"/>
      <c r="P2344" s="990"/>
      <c r="Q2344" s="990"/>
      <c r="R2344" s="990"/>
      <c r="S2344" s="990"/>
      <c r="T2344" s="990"/>
      <c r="U2344" s="990"/>
      <c r="V2344" s="990"/>
      <c r="W2344" s="990"/>
      <c r="X2344" s="990"/>
    </row>
    <row r="2345" spans="1:24" s="896" customFormat="1" ht="25.5">
      <c r="A2345" s="987">
        <f t="shared" si="37"/>
        <v>2271</v>
      </c>
      <c r="B2345" s="988">
        <v>39586</v>
      </c>
      <c r="C2345" s="899" t="s">
        <v>11671</v>
      </c>
      <c r="D2345" s="988" t="s">
        <v>2666</v>
      </c>
      <c r="E2345" s="989">
        <v>129999.99</v>
      </c>
      <c r="F2345" s="990"/>
      <c r="G2345" s="990"/>
      <c r="H2345" s="990"/>
      <c r="I2345" s="990"/>
      <c r="J2345" s="990"/>
      <c r="K2345" s="990"/>
      <c r="L2345" s="990"/>
      <c r="M2345" s="990"/>
      <c r="N2345" s="990"/>
      <c r="O2345" s="990"/>
      <c r="P2345" s="990"/>
      <c r="Q2345" s="990"/>
      <c r="R2345" s="990"/>
      <c r="S2345" s="990"/>
      <c r="T2345" s="990"/>
      <c r="U2345" s="990"/>
      <c r="V2345" s="990"/>
      <c r="W2345" s="990"/>
      <c r="X2345" s="990"/>
    </row>
    <row r="2346" spans="1:24" s="896" customFormat="1" ht="25.5">
      <c r="A2346" s="987">
        <f t="shared" si="37"/>
        <v>2272</v>
      </c>
      <c r="B2346" s="988">
        <v>39587</v>
      </c>
      <c r="C2346" s="899" t="s">
        <v>11672</v>
      </c>
      <c r="D2346" s="988" t="s">
        <v>2666</v>
      </c>
      <c r="E2346" s="989">
        <v>158333.32999999999</v>
      </c>
      <c r="F2346" s="990"/>
      <c r="G2346" s="990"/>
      <c r="H2346" s="990"/>
      <c r="I2346" s="990"/>
      <c r="J2346" s="990"/>
      <c r="K2346" s="990"/>
      <c r="L2346" s="990"/>
      <c r="M2346" s="990"/>
      <c r="N2346" s="990"/>
      <c r="O2346" s="990"/>
      <c r="P2346" s="990"/>
      <c r="Q2346" s="990"/>
      <c r="R2346" s="990"/>
      <c r="S2346" s="990"/>
      <c r="T2346" s="990"/>
      <c r="U2346" s="990"/>
      <c r="V2346" s="990"/>
      <c r="W2346" s="990"/>
      <c r="X2346" s="990"/>
    </row>
    <row r="2347" spans="1:24" s="896" customFormat="1" ht="25.5">
      <c r="A2347" s="987">
        <f t="shared" si="37"/>
        <v>2273</v>
      </c>
      <c r="B2347" s="988">
        <v>39588</v>
      </c>
      <c r="C2347" s="899" t="s">
        <v>11673</v>
      </c>
      <c r="D2347" s="988" t="s">
        <v>2666</v>
      </c>
      <c r="E2347" s="989">
        <v>183333.33</v>
      </c>
      <c r="F2347" s="990"/>
      <c r="G2347" s="990"/>
      <c r="H2347" s="990"/>
      <c r="I2347" s="990"/>
      <c r="J2347" s="990"/>
      <c r="K2347" s="990"/>
      <c r="L2347" s="990"/>
      <c r="M2347" s="990"/>
      <c r="N2347" s="990"/>
      <c r="O2347" s="990"/>
      <c r="P2347" s="990"/>
      <c r="Q2347" s="990"/>
      <c r="R2347" s="990"/>
      <c r="S2347" s="990"/>
      <c r="T2347" s="990"/>
      <c r="U2347" s="990"/>
      <c r="V2347" s="990"/>
      <c r="W2347" s="990"/>
      <c r="X2347" s="990"/>
    </row>
    <row r="2348" spans="1:24" s="896" customFormat="1" ht="25.5">
      <c r="A2348" s="987">
        <f t="shared" si="37"/>
        <v>2274</v>
      </c>
      <c r="B2348" s="988">
        <v>39584</v>
      </c>
      <c r="C2348" s="899" t="s">
        <v>11674</v>
      </c>
      <c r="D2348" s="988" t="s">
        <v>2666</v>
      </c>
      <c r="E2348" s="989">
        <v>98700</v>
      </c>
      <c r="F2348" s="990"/>
      <c r="G2348" s="990"/>
      <c r="H2348" s="990"/>
      <c r="I2348" s="990"/>
      <c r="J2348" s="990"/>
      <c r="K2348" s="990"/>
      <c r="L2348" s="990"/>
      <c r="M2348" s="990"/>
      <c r="N2348" s="990"/>
      <c r="O2348" s="990"/>
      <c r="P2348" s="990"/>
      <c r="Q2348" s="990"/>
      <c r="R2348" s="990"/>
      <c r="S2348" s="990"/>
      <c r="T2348" s="990"/>
      <c r="U2348" s="990"/>
      <c r="V2348" s="990"/>
      <c r="W2348" s="990"/>
      <c r="X2348" s="990"/>
    </row>
    <row r="2349" spans="1:24" s="896" customFormat="1" ht="25.5">
      <c r="A2349" s="987">
        <f t="shared" si="37"/>
        <v>2275</v>
      </c>
      <c r="B2349" s="988">
        <v>39590</v>
      </c>
      <c r="C2349" s="899" t="s">
        <v>11675</v>
      </c>
      <c r="D2349" s="988" t="s">
        <v>2666</v>
      </c>
      <c r="E2349" s="989">
        <v>96333.33</v>
      </c>
      <c r="F2349" s="990"/>
      <c r="G2349" s="990"/>
      <c r="H2349" s="990"/>
      <c r="I2349" s="990"/>
      <c r="J2349" s="990"/>
      <c r="K2349" s="990"/>
      <c r="L2349" s="990"/>
      <c r="M2349" s="990"/>
      <c r="N2349" s="990"/>
      <c r="O2349" s="990"/>
      <c r="P2349" s="990"/>
      <c r="Q2349" s="990"/>
      <c r="R2349" s="990"/>
      <c r="S2349" s="990"/>
      <c r="T2349" s="990"/>
      <c r="U2349" s="990"/>
      <c r="V2349" s="990"/>
      <c r="W2349" s="990"/>
      <c r="X2349" s="990"/>
    </row>
    <row r="2350" spans="1:24" s="896" customFormat="1" ht="25.5">
      <c r="A2350" s="987">
        <f t="shared" si="37"/>
        <v>2276</v>
      </c>
      <c r="B2350" s="988">
        <v>39592</v>
      </c>
      <c r="C2350" s="899" t="s">
        <v>11676</v>
      </c>
      <c r="D2350" s="988" t="s">
        <v>2666</v>
      </c>
      <c r="E2350" s="989">
        <v>138433.32</v>
      </c>
      <c r="F2350" s="990"/>
      <c r="G2350" s="990"/>
      <c r="H2350" s="990"/>
      <c r="I2350" s="990"/>
      <c r="J2350" s="990"/>
      <c r="K2350" s="990"/>
      <c r="L2350" s="990"/>
      <c r="M2350" s="990"/>
      <c r="N2350" s="990"/>
      <c r="O2350" s="990"/>
      <c r="P2350" s="990"/>
      <c r="Q2350" s="990"/>
      <c r="R2350" s="990"/>
      <c r="S2350" s="990"/>
      <c r="T2350" s="990"/>
      <c r="U2350" s="990"/>
      <c r="V2350" s="990"/>
      <c r="W2350" s="990"/>
      <c r="X2350" s="990"/>
    </row>
    <row r="2351" spans="1:24" s="896" customFormat="1" ht="25.5">
      <c r="A2351" s="987">
        <f t="shared" si="37"/>
        <v>2277</v>
      </c>
      <c r="B2351" s="988">
        <v>39593</v>
      </c>
      <c r="C2351" s="899" t="s">
        <v>11677</v>
      </c>
      <c r="D2351" s="988" t="s">
        <v>2666</v>
      </c>
      <c r="E2351" s="989">
        <v>158333.32999999999</v>
      </c>
      <c r="F2351" s="990"/>
      <c r="G2351" s="990"/>
      <c r="H2351" s="990"/>
      <c r="I2351" s="990"/>
      <c r="J2351" s="990"/>
      <c r="K2351" s="990"/>
      <c r="L2351" s="990"/>
      <c r="M2351" s="990"/>
      <c r="N2351" s="990"/>
      <c r="O2351" s="990"/>
      <c r="P2351" s="990"/>
      <c r="Q2351" s="990"/>
      <c r="R2351" s="990"/>
      <c r="S2351" s="990"/>
      <c r="T2351" s="990"/>
      <c r="U2351" s="990"/>
      <c r="V2351" s="990"/>
      <c r="W2351" s="990"/>
      <c r="X2351" s="990"/>
    </row>
    <row r="2352" spans="1:24" s="896" customFormat="1" ht="25.5">
      <c r="A2352" s="987">
        <f t="shared" si="37"/>
        <v>2278</v>
      </c>
      <c r="B2352" s="988">
        <v>14254</v>
      </c>
      <c r="C2352" s="899" t="s">
        <v>11678</v>
      </c>
      <c r="D2352" s="988" t="s">
        <v>2666</v>
      </c>
      <c r="E2352" s="989">
        <v>90000</v>
      </c>
      <c r="F2352" s="990"/>
      <c r="G2352" s="990"/>
      <c r="H2352" s="990"/>
      <c r="I2352" s="990"/>
      <c r="J2352" s="990"/>
      <c r="K2352" s="990"/>
      <c r="L2352" s="990"/>
      <c r="M2352" s="990"/>
      <c r="N2352" s="990"/>
      <c r="O2352" s="990"/>
      <c r="P2352" s="990"/>
      <c r="Q2352" s="990"/>
      <c r="R2352" s="990"/>
      <c r="S2352" s="990"/>
      <c r="T2352" s="990"/>
      <c r="U2352" s="990"/>
      <c r="V2352" s="990"/>
      <c r="W2352" s="990"/>
      <c r="X2352" s="990"/>
    </row>
    <row r="2353" spans="1:24" s="896" customFormat="1">
      <c r="A2353" s="987">
        <f t="shared" si="37"/>
        <v>2279</v>
      </c>
      <c r="B2353" s="988">
        <v>44494</v>
      </c>
      <c r="C2353" s="899" t="s">
        <v>11679</v>
      </c>
      <c r="D2353" s="988" t="s">
        <v>2666</v>
      </c>
      <c r="E2353" s="989">
        <v>75157.179999999993</v>
      </c>
      <c r="F2353" s="990"/>
      <c r="G2353" s="990"/>
      <c r="H2353" s="990"/>
      <c r="I2353" s="990"/>
      <c r="J2353" s="990"/>
      <c r="K2353" s="990"/>
      <c r="L2353" s="990"/>
      <c r="M2353" s="990"/>
      <c r="N2353" s="990"/>
      <c r="O2353" s="990"/>
      <c r="P2353" s="990"/>
      <c r="Q2353" s="990"/>
      <c r="R2353" s="990"/>
      <c r="S2353" s="990"/>
      <c r="T2353" s="990"/>
      <c r="U2353" s="990"/>
      <c r="V2353" s="990"/>
      <c r="W2353" s="990"/>
      <c r="X2353" s="990"/>
    </row>
    <row r="2354" spans="1:24" s="896" customFormat="1">
      <c r="A2354" s="987">
        <f t="shared" si="37"/>
        <v>2280</v>
      </c>
      <c r="B2354" s="988">
        <v>25019</v>
      </c>
      <c r="C2354" s="899" t="s">
        <v>11680</v>
      </c>
      <c r="D2354" s="988" t="s">
        <v>2666</v>
      </c>
      <c r="E2354" s="989">
        <v>128827.8</v>
      </c>
      <c r="F2354" s="990"/>
      <c r="G2354" s="990"/>
      <c r="H2354" s="990"/>
      <c r="I2354" s="990"/>
      <c r="J2354" s="990"/>
      <c r="K2354" s="990"/>
      <c r="L2354" s="990"/>
      <c r="M2354" s="990"/>
      <c r="N2354" s="990"/>
      <c r="O2354" s="990"/>
      <c r="P2354" s="990"/>
      <c r="Q2354" s="990"/>
      <c r="R2354" s="990"/>
      <c r="S2354" s="990"/>
      <c r="T2354" s="990"/>
      <c r="U2354" s="990"/>
      <c r="V2354" s="990"/>
      <c r="W2354" s="990"/>
      <c r="X2354" s="990"/>
    </row>
    <row r="2355" spans="1:24" s="896" customFormat="1">
      <c r="A2355" s="987">
        <f t="shared" si="37"/>
        <v>2281</v>
      </c>
      <c r="B2355" s="988">
        <v>36501</v>
      </c>
      <c r="C2355" s="899" t="s">
        <v>11681</v>
      </c>
      <c r="D2355" s="988" t="s">
        <v>2666</v>
      </c>
      <c r="E2355" s="989">
        <v>114701.14</v>
      </c>
      <c r="F2355" s="990"/>
      <c r="G2355" s="990"/>
      <c r="H2355" s="990"/>
      <c r="I2355" s="990"/>
      <c r="J2355" s="990"/>
      <c r="K2355" s="990"/>
      <c r="L2355" s="990"/>
      <c r="M2355" s="990"/>
      <c r="N2355" s="990"/>
      <c r="O2355" s="990"/>
      <c r="P2355" s="990"/>
      <c r="Q2355" s="990"/>
      <c r="R2355" s="990"/>
      <c r="S2355" s="990"/>
      <c r="T2355" s="990"/>
      <c r="U2355" s="990"/>
      <c r="V2355" s="990"/>
      <c r="W2355" s="990"/>
      <c r="X2355" s="990"/>
    </row>
    <row r="2356" spans="1:24" s="896" customFormat="1">
      <c r="A2356" s="987">
        <f t="shared" si="37"/>
        <v>2282</v>
      </c>
      <c r="B2356" s="988">
        <v>44493</v>
      </c>
      <c r="C2356" s="899" t="s">
        <v>11682</v>
      </c>
      <c r="D2356" s="988" t="s">
        <v>2666</v>
      </c>
      <c r="E2356" s="989">
        <v>137892.75</v>
      </c>
      <c r="F2356" s="990"/>
      <c r="G2356" s="990"/>
      <c r="H2356" s="990"/>
      <c r="I2356" s="990"/>
      <c r="J2356" s="990"/>
      <c r="K2356" s="990"/>
      <c r="L2356" s="990"/>
      <c r="M2356" s="990"/>
      <c r="N2356" s="990"/>
      <c r="O2356" s="990"/>
      <c r="P2356" s="990"/>
      <c r="Q2356" s="990"/>
      <c r="R2356" s="990"/>
      <c r="S2356" s="990"/>
      <c r="T2356" s="990"/>
      <c r="U2356" s="990"/>
      <c r="V2356" s="990"/>
      <c r="W2356" s="990"/>
      <c r="X2356" s="990"/>
    </row>
    <row r="2357" spans="1:24" s="896" customFormat="1">
      <c r="A2357" s="987">
        <f t="shared" si="37"/>
        <v>2283</v>
      </c>
      <c r="B2357" s="988">
        <v>36500</v>
      </c>
      <c r="C2357" s="899" t="s">
        <v>11683</v>
      </c>
      <c r="D2357" s="988" t="s">
        <v>2666</v>
      </c>
      <c r="E2357" s="989">
        <v>81056.160000000003</v>
      </c>
      <c r="F2357" s="990"/>
      <c r="G2357" s="990"/>
      <c r="H2357" s="990"/>
      <c r="I2357" s="990"/>
      <c r="J2357" s="990"/>
      <c r="K2357" s="990"/>
      <c r="L2357" s="990"/>
      <c r="M2357" s="990"/>
      <c r="N2357" s="990"/>
      <c r="O2357" s="990"/>
      <c r="P2357" s="990"/>
      <c r="Q2357" s="990"/>
      <c r="R2357" s="990"/>
      <c r="S2357" s="990"/>
      <c r="T2357" s="990"/>
      <c r="U2357" s="990"/>
      <c r="V2357" s="990"/>
      <c r="W2357" s="990"/>
      <c r="X2357" s="990"/>
    </row>
    <row r="2358" spans="1:24" s="896" customFormat="1" ht="38.25">
      <c r="A2358" s="987">
        <f t="shared" si="37"/>
        <v>2284</v>
      </c>
      <c r="B2358" s="988">
        <v>20017</v>
      </c>
      <c r="C2358" s="899" t="s">
        <v>11684</v>
      </c>
      <c r="D2358" s="988" t="s">
        <v>2669</v>
      </c>
      <c r="E2358" s="989">
        <v>7.94</v>
      </c>
      <c r="F2358" s="990"/>
      <c r="G2358" s="990"/>
      <c r="H2358" s="990"/>
      <c r="I2358" s="990"/>
      <c r="J2358" s="990"/>
      <c r="K2358" s="990"/>
      <c r="L2358" s="990"/>
      <c r="M2358" s="990"/>
      <c r="N2358" s="990"/>
      <c r="O2358" s="990"/>
      <c r="P2358" s="990"/>
      <c r="Q2358" s="990"/>
      <c r="R2358" s="990"/>
      <c r="S2358" s="990"/>
      <c r="T2358" s="990"/>
      <c r="U2358" s="990"/>
      <c r="V2358" s="990"/>
      <c r="W2358" s="990"/>
      <c r="X2358" s="990"/>
    </row>
    <row r="2359" spans="1:24" s="896" customFormat="1" ht="25.5">
      <c r="A2359" s="987">
        <f t="shared" si="37"/>
        <v>2285</v>
      </c>
      <c r="B2359" s="988">
        <v>20007</v>
      </c>
      <c r="C2359" s="899" t="s">
        <v>11685</v>
      </c>
      <c r="D2359" s="988" t="s">
        <v>2669</v>
      </c>
      <c r="E2359" s="989">
        <v>4.74</v>
      </c>
      <c r="F2359" s="990"/>
      <c r="G2359" s="990"/>
      <c r="H2359" s="990"/>
      <c r="I2359" s="990"/>
      <c r="J2359" s="990"/>
      <c r="K2359" s="990"/>
      <c r="L2359" s="990"/>
      <c r="M2359" s="990"/>
      <c r="N2359" s="990"/>
      <c r="O2359" s="990"/>
      <c r="P2359" s="990"/>
      <c r="Q2359" s="990"/>
      <c r="R2359" s="990"/>
      <c r="S2359" s="990"/>
      <c r="T2359" s="990"/>
      <c r="U2359" s="990"/>
      <c r="V2359" s="990"/>
      <c r="W2359" s="990"/>
      <c r="X2359" s="990"/>
    </row>
    <row r="2360" spans="1:24" s="896" customFormat="1" ht="25.5">
      <c r="A2360" s="987">
        <f t="shared" si="37"/>
        <v>2286</v>
      </c>
      <c r="B2360" s="988">
        <v>39831</v>
      </c>
      <c r="C2360" s="899" t="s">
        <v>11686</v>
      </c>
      <c r="D2360" s="988" t="s">
        <v>2674</v>
      </c>
      <c r="E2360" s="989">
        <v>238.58</v>
      </c>
      <c r="F2360" s="990"/>
      <c r="G2360" s="990"/>
      <c r="H2360" s="990"/>
      <c r="I2360" s="990"/>
      <c r="J2360" s="990"/>
      <c r="K2360" s="990"/>
      <c r="L2360" s="990"/>
      <c r="M2360" s="990"/>
      <c r="N2360" s="990"/>
      <c r="O2360" s="990"/>
      <c r="P2360" s="990"/>
      <c r="Q2360" s="990"/>
      <c r="R2360" s="990"/>
      <c r="S2360" s="990"/>
      <c r="T2360" s="990"/>
      <c r="U2360" s="990"/>
      <c r="V2360" s="990"/>
      <c r="W2360" s="990"/>
      <c r="X2360" s="990"/>
    </row>
    <row r="2361" spans="1:24" s="896" customFormat="1" ht="25.5">
      <c r="A2361" s="987">
        <f t="shared" si="37"/>
        <v>2287</v>
      </c>
      <c r="B2361" s="988">
        <v>36888</v>
      </c>
      <c r="C2361" s="899" t="s">
        <v>11687</v>
      </c>
      <c r="D2361" s="988" t="s">
        <v>2669</v>
      </c>
      <c r="E2361" s="989">
        <v>27.12</v>
      </c>
      <c r="F2361" s="990"/>
      <c r="G2361" s="990"/>
      <c r="H2361" s="990"/>
      <c r="I2361" s="990"/>
      <c r="J2361" s="990"/>
      <c r="K2361" s="990"/>
      <c r="L2361" s="990"/>
      <c r="M2361" s="990"/>
      <c r="N2361" s="990"/>
      <c r="O2361" s="990"/>
      <c r="P2361" s="990"/>
      <c r="Q2361" s="990"/>
      <c r="R2361" s="990"/>
      <c r="S2361" s="990"/>
      <c r="T2361" s="990"/>
      <c r="U2361" s="990"/>
      <c r="V2361" s="990"/>
      <c r="W2361" s="990"/>
      <c r="X2361" s="990"/>
    </row>
    <row r="2362" spans="1:24" s="896" customFormat="1" ht="38.25">
      <c r="A2362" s="987">
        <f t="shared" si="37"/>
        <v>2288</v>
      </c>
      <c r="B2362" s="988">
        <v>39836</v>
      </c>
      <c r="C2362" s="899" t="s">
        <v>11688</v>
      </c>
      <c r="D2362" s="988" t="s">
        <v>2674</v>
      </c>
      <c r="E2362" s="989">
        <v>209.63</v>
      </c>
      <c r="F2362" s="990"/>
      <c r="G2362" s="990"/>
      <c r="H2362" s="990"/>
      <c r="I2362" s="990"/>
      <c r="J2362" s="990"/>
      <c r="K2362" s="990"/>
      <c r="L2362" s="990"/>
      <c r="M2362" s="990"/>
      <c r="N2362" s="990"/>
      <c r="O2362" s="990"/>
      <c r="P2362" s="990"/>
      <c r="Q2362" s="990"/>
      <c r="R2362" s="990"/>
      <c r="S2362" s="990"/>
      <c r="T2362" s="990"/>
      <c r="U2362" s="990"/>
      <c r="V2362" s="990"/>
      <c r="W2362" s="990"/>
      <c r="X2362" s="990"/>
    </row>
    <row r="2363" spans="1:24" s="896" customFormat="1" ht="25.5">
      <c r="A2363" s="987">
        <f t="shared" si="37"/>
        <v>2289</v>
      </c>
      <c r="B2363" s="988">
        <v>39830</v>
      </c>
      <c r="C2363" s="899" t="s">
        <v>11689</v>
      </c>
      <c r="D2363" s="988" t="s">
        <v>2674</v>
      </c>
      <c r="E2363" s="989">
        <v>239.08</v>
      </c>
      <c r="F2363" s="990"/>
      <c r="G2363" s="990"/>
      <c r="H2363" s="990"/>
      <c r="I2363" s="990"/>
      <c r="J2363" s="990"/>
      <c r="K2363" s="990"/>
      <c r="L2363" s="990"/>
      <c r="M2363" s="990"/>
      <c r="N2363" s="990"/>
      <c r="O2363" s="990"/>
      <c r="P2363" s="990"/>
      <c r="Q2363" s="990"/>
      <c r="R2363" s="990"/>
      <c r="S2363" s="990"/>
      <c r="T2363" s="990"/>
      <c r="U2363" s="990"/>
      <c r="V2363" s="990"/>
      <c r="W2363" s="990"/>
      <c r="X2363" s="990"/>
    </row>
    <row r="2364" spans="1:24" s="896" customFormat="1" ht="25.5">
      <c r="A2364" s="987">
        <f t="shared" si="37"/>
        <v>2290</v>
      </c>
      <c r="B2364" s="988">
        <v>40527</v>
      </c>
      <c r="C2364" s="899" t="s">
        <v>11690</v>
      </c>
      <c r="D2364" s="988" t="s">
        <v>2666</v>
      </c>
      <c r="E2364" s="989">
        <v>2441</v>
      </c>
      <c r="F2364" s="990"/>
      <c r="G2364" s="990"/>
      <c r="H2364" s="990"/>
      <c r="I2364" s="990"/>
      <c r="J2364" s="990"/>
      <c r="K2364" s="990"/>
      <c r="L2364" s="990"/>
      <c r="M2364" s="990"/>
      <c r="N2364" s="990"/>
      <c r="O2364" s="990"/>
      <c r="P2364" s="990"/>
      <c r="Q2364" s="990"/>
      <c r="R2364" s="990"/>
      <c r="S2364" s="990"/>
      <c r="T2364" s="990"/>
      <c r="U2364" s="990"/>
      <c r="V2364" s="990"/>
      <c r="W2364" s="990"/>
      <c r="X2364" s="990"/>
    </row>
    <row r="2365" spans="1:24" s="896" customFormat="1" ht="25.5">
      <c r="A2365" s="987">
        <f t="shared" si="37"/>
        <v>2291</v>
      </c>
      <c r="B2365" s="988">
        <v>36497</v>
      </c>
      <c r="C2365" s="899" t="s">
        <v>11691</v>
      </c>
      <c r="D2365" s="988" t="s">
        <v>2666</v>
      </c>
      <c r="E2365" s="989">
        <v>2786.67</v>
      </c>
      <c r="F2365" s="990"/>
      <c r="G2365" s="990"/>
      <c r="H2365" s="990"/>
      <c r="I2365" s="990"/>
      <c r="J2365" s="990"/>
      <c r="K2365" s="990"/>
      <c r="L2365" s="990"/>
      <c r="M2365" s="990"/>
      <c r="N2365" s="990"/>
      <c r="O2365" s="990"/>
      <c r="P2365" s="990"/>
      <c r="Q2365" s="990"/>
      <c r="R2365" s="990"/>
      <c r="S2365" s="990"/>
      <c r="T2365" s="990"/>
      <c r="U2365" s="990"/>
      <c r="V2365" s="990"/>
      <c r="W2365" s="990"/>
      <c r="X2365" s="990"/>
    </row>
    <row r="2366" spans="1:24" s="896" customFormat="1" ht="25.5">
      <c r="A2366" s="987">
        <f t="shared" si="37"/>
        <v>2292</v>
      </c>
      <c r="B2366" s="988">
        <v>36487</v>
      </c>
      <c r="C2366" s="899" t="s">
        <v>11692</v>
      </c>
      <c r="D2366" s="988" t="s">
        <v>2666</v>
      </c>
      <c r="E2366" s="989">
        <v>4852.01</v>
      </c>
      <c r="F2366" s="990"/>
      <c r="G2366" s="990"/>
      <c r="H2366" s="990"/>
      <c r="I2366" s="990"/>
      <c r="J2366" s="990"/>
      <c r="K2366" s="990"/>
      <c r="L2366" s="990"/>
      <c r="M2366" s="990"/>
      <c r="N2366" s="990"/>
      <c r="O2366" s="990"/>
      <c r="P2366" s="990"/>
      <c r="Q2366" s="990"/>
      <c r="R2366" s="990"/>
      <c r="S2366" s="990"/>
      <c r="T2366" s="990"/>
      <c r="U2366" s="990"/>
      <c r="V2366" s="990"/>
      <c r="W2366" s="990"/>
      <c r="X2366" s="990"/>
    </row>
    <row r="2367" spans="1:24" s="896" customFormat="1" ht="25.5">
      <c r="A2367" s="987">
        <f t="shared" si="37"/>
        <v>2293</v>
      </c>
      <c r="B2367" s="988">
        <v>44475</v>
      </c>
      <c r="C2367" s="899" t="s">
        <v>11693</v>
      </c>
      <c r="D2367" s="988" t="s">
        <v>2666</v>
      </c>
      <c r="E2367" s="989">
        <v>1231807.97</v>
      </c>
      <c r="F2367" s="990"/>
      <c r="G2367" s="990"/>
      <c r="H2367" s="990"/>
      <c r="I2367" s="990"/>
      <c r="J2367" s="990"/>
      <c r="K2367" s="990"/>
      <c r="L2367" s="990"/>
      <c r="M2367" s="990"/>
      <c r="N2367" s="990"/>
      <c r="O2367" s="990"/>
      <c r="P2367" s="990"/>
      <c r="Q2367" s="990"/>
      <c r="R2367" s="990"/>
      <c r="S2367" s="990"/>
      <c r="T2367" s="990"/>
      <c r="U2367" s="990"/>
      <c r="V2367" s="990"/>
      <c r="W2367" s="990"/>
      <c r="X2367" s="990"/>
    </row>
    <row r="2368" spans="1:24" s="896" customFormat="1" ht="25.5">
      <c r="A2368" s="987">
        <f t="shared" si="37"/>
        <v>2294</v>
      </c>
      <c r="B2368" s="988">
        <v>44474</v>
      </c>
      <c r="C2368" s="899" t="s">
        <v>11694</v>
      </c>
      <c r="D2368" s="988" t="s">
        <v>2666</v>
      </c>
      <c r="E2368" s="989">
        <v>2368861.4900000002</v>
      </c>
      <c r="F2368" s="990"/>
      <c r="G2368" s="990"/>
      <c r="H2368" s="990"/>
      <c r="I2368" s="990"/>
      <c r="J2368" s="990"/>
      <c r="K2368" s="990"/>
      <c r="L2368" s="990"/>
      <c r="M2368" s="990"/>
      <c r="N2368" s="990"/>
      <c r="O2368" s="990"/>
      <c r="P2368" s="990"/>
      <c r="Q2368" s="990"/>
      <c r="R2368" s="990"/>
      <c r="S2368" s="990"/>
      <c r="T2368" s="990"/>
      <c r="U2368" s="990"/>
      <c r="V2368" s="990"/>
      <c r="W2368" s="990"/>
      <c r="X2368" s="990"/>
    </row>
    <row r="2369" spans="1:24" s="896" customFormat="1" ht="25.5">
      <c r="A2369" s="987">
        <f t="shared" si="37"/>
        <v>2295</v>
      </c>
      <c r="B2369" s="988">
        <v>44490</v>
      </c>
      <c r="C2369" s="899" t="s">
        <v>11695</v>
      </c>
      <c r="D2369" s="988" t="s">
        <v>2666</v>
      </c>
      <c r="E2369" s="989">
        <v>4027064.52</v>
      </c>
      <c r="F2369" s="990"/>
      <c r="G2369" s="990"/>
      <c r="H2369" s="990"/>
      <c r="I2369" s="990"/>
      <c r="J2369" s="990"/>
      <c r="K2369" s="990"/>
      <c r="L2369" s="990"/>
      <c r="M2369" s="990"/>
      <c r="N2369" s="990"/>
      <c r="O2369" s="990"/>
      <c r="P2369" s="990"/>
      <c r="Q2369" s="990"/>
      <c r="R2369" s="990"/>
      <c r="S2369" s="990"/>
      <c r="T2369" s="990"/>
      <c r="U2369" s="990"/>
      <c r="V2369" s="990"/>
      <c r="W2369" s="990"/>
      <c r="X2369" s="990"/>
    </row>
    <row r="2370" spans="1:24" s="896" customFormat="1" ht="51">
      <c r="A2370" s="987">
        <f t="shared" si="37"/>
        <v>2296</v>
      </c>
      <c r="B2370" s="988">
        <v>37776</v>
      </c>
      <c r="C2370" s="899" t="s">
        <v>11696</v>
      </c>
      <c r="D2370" s="988" t="s">
        <v>2666</v>
      </c>
      <c r="E2370" s="989">
        <v>246807.58</v>
      </c>
      <c r="F2370" s="990"/>
      <c r="G2370" s="990"/>
      <c r="H2370" s="990"/>
      <c r="I2370" s="990"/>
      <c r="J2370" s="990"/>
      <c r="K2370" s="990"/>
      <c r="L2370" s="990"/>
      <c r="M2370" s="990"/>
      <c r="N2370" s="990"/>
      <c r="O2370" s="990"/>
      <c r="P2370" s="990"/>
      <c r="Q2370" s="990"/>
      <c r="R2370" s="990"/>
      <c r="S2370" s="990"/>
      <c r="T2370" s="990"/>
      <c r="U2370" s="990"/>
      <c r="V2370" s="990"/>
      <c r="W2370" s="990"/>
      <c r="X2370" s="990"/>
    </row>
    <row r="2371" spans="1:24" s="896" customFormat="1" ht="51">
      <c r="A2371" s="987">
        <f t="shared" si="37"/>
        <v>2297</v>
      </c>
      <c r="B2371" s="988">
        <v>37775</v>
      </c>
      <c r="C2371" s="899" t="s">
        <v>11697</v>
      </c>
      <c r="D2371" s="988" t="s">
        <v>2666</v>
      </c>
      <c r="E2371" s="989">
        <v>388740.62</v>
      </c>
      <c r="F2371" s="990"/>
      <c r="G2371" s="990"/>
      <c r="H2371" s="990"/>
      <c r="I2371" s="990"/>
      <c r="J2371" s="990"/>
      <c r="K2371" s="990"/>
      <c r="L2371" s="990"/>
      <c r="M2371" s="990"/>
      <c r="N2371" s="990"/>
      <c r="O2371" s="990"/>
      <c r="P2371" s="990"/>
      <c r="Q2371" s="990"/>
      <c r="R2371" s="990"/>
      <c r="S2371" s="990"/>
      <c r="T2371" s="990"/>
      <c r="U2371" s="990"/>
      <c r="V2371" s="990"/>
      <c r="W2371" s="990"/>
      <c r="X2371" s="990"/>
    </row>
    <row r="2372" spans="1:24" s="896" customFormat="1" ht="51">
      <c r="A2372" s="987">
        <f t="shared" si="37"/>
        <v>2298</v>
      </c>
      <c r="B2372" s="988">
        <v>36491</v>
      </c>
      <c r="C2372" s="899" t="s">
        <v>11698</v>
      </c>
      <c r="D2372" s="988" t="s">
        <v>2666</v>
      </c>
      <c r="E2372" s="989">
        <v>1439621.87</v>
      </c>
      <c r="F2372" s="990"/>
      <c r="G2372" s="990"/>
      <c r="H2372" s="990"/>
      <c r="I2372" s="990"/>
      <c r="J2372" s="990"/>
      <c r="K2372" s="990"/>
      <c r="L2372" s="990"/>
      <c r="M2372" s="990"/>
      <c r="N2372" s="990"/>
      <c r="O2372" s="990"/>
      <c r="P2372" s="990"/>
      <c r="Q2372" s="990"/>
      <c r="R2372" s="990"/>
      <c r="S2372" s="990"/>
      <c r="T2372" s="990"/>
      <c r="U2372" s="990"/>
      <c r="V2372" s="990"/>
      <c r="W2372" s="990"/>
      <c r="X2372" s="990"/>
    </row>
    <row r="2373" spans="1:24" s="896" customFormat="1" ht="38.25">
      <c r="A2373" s="987">
        <f t="shared" si="37"/>
        <v>2299</v>
      </c>
      <c r="B2373" s="988">
        <v>10712</v>
      </c>
      <c r="C2373" s="899" t="s">
        <v>11699</v>
      </c>
      <c r="D2373" s="988" t="s">
        <v>2666</v>
      </c>
      <c r="E2373" s="989">
        <v>97185.15</v>
      </c>
      <c r="F2373" s="990"/>
      <c r="G2373" s="990"/>
      <c r="H2373" s="990"/>
      <c r="I2373" s="990"/>
      <c r="J2373" s="990"/>
      <c r="K2373" s="990"/>
      <c r="L2373" s="990"/>
      <c r="M2373" s="990"/>
      <c r="N2373" s="990"/>
      <c r="O2373" s="990"/>
      <c r="P2373" s="990"/>
      <c r="Q2373" s="990"/>
      <c r="R2373" s="990"/>
      <c r="S2373" s="990"/>
      <c r="T2373" s="990"/>
      <c r="U2373" s="990"/>
      <c r="V2373" s="990"/>
      <c r="W2373" s="990"/>
      <c r="X2373" s="990"/>
    </row>
    <row r="2374" spans="1:24" s="896" customFormat="1" ht="51">
      <c r="A2374" s="987">
        <f t="shared" si="37"/>
        <v>2300</v>
      </c>
      <c r="B2374" s="988">
        <v>3363</v>
      </c>
      <c r="C2374" s="899" t="s">
        <v>11700</v>
      </c>
      <c r="D2374" s="988" t="s">
        <v>2666</v>
      </c>
      <c r="E2374" s="989">
        <v>136700</v>
      </c>
      <c r="F2374" s="990"/>
      <c r="G2374" s="990"/>
      <c r="H2374" s="990"/>
      <c r="I2374" s="990"/>
      <c r="J2374" s="990"/>
      <c r="K2374" s="990"/>
      <c r="L2374" s="990"/>
      <c r="M2374" s="990"/>
      <c r="N2374" s="990"/>
      <c r="O2374" s="990"/>
      <c r="P2374" s="990"/>
      <c r="Q2374" s="990"/>
      <c r="R2374" s="990"/>
      <c r="S2374" s="990"/>
      <c r="T2374" s="990"/>
      <c r="U2374" s="990"/>
      <c r="V2374" s="990"/>
      <c r="W2374" s="990"/>
      <c r="X2374" s="990"/>
    </row>
    <row r="2375" spans="1:24" s="896" customFormat="1" ht="51">
      <c r="A2375" s="987">
        <f t="shared" si="37"/>
        <v>2301</v>
      </c>
      <c r="B2375" s="988">
        <v>3365</v>
      </c>
      <c r="C2375" s="899" t="s">
        <v>11701</v>
      </c>
      <c r="D2375" s="988" t="s">
        <v>2666</v>
      </c>
      <c r="E2375" s="989">
        <v>319536.25</v>
      </c>
      <c r="F2375" s="990"/>
      <c r="G2375" s="990"/>
      <c r="H2375" s="990"/>
      <c r="I2375" s="990"/>
      <c r="J2375" s="990"/>
      <c r="K2375" s="990"/>
      <c r="L2375" s="990"/>
      <c r="M2375" s="990"/>
      <c r="N2375" s="990"/>
      <c r="O2375" s="990"/>
      <c r="P2375" s="990"/>
      <c r="Q2375" s="990"/>
      <c r="R2375" s="990"/>
      <c r="S2375" s="990"/>
      <c r="T2375" s="990"/>
      <c r="U2375" s="990"/>
      <c r="V2375" s="990"/>
      <c r="W2375" s="990"/>
      <c r="X2375" s="990"/>
    </row>
    <row r="2376" spans="1:24" s="896" customFormat="1">
      <c r="A2376" s="987">
        <f t="shared" si="37"/>
        <v>2302</v>
      </c>
      <c r="B2376" s="988">
        <v>7569</v>
      </c>
      <c r="C2376" s="899" t="s">
        <v>11702</v>
      </c>
      <c r="D2376" s="988" t="s">
        <v>2666</v>
      </c>
      <c r="E2376" s="989">
        <v>40.549999999999997</v>
      </c>
      <c r="F2376" s="990"/>
      <c r="G2376" s="990"/>
      <c r="H2376" s="990"/>
      <c r="I2376" s="990"/>
      <c r="J2376" s="990"/>
      <c r="K2376" s="990"/>
      <c r="L2376" s="990"/>
      <c r="M2376" s="990"/>
      <c r="N2376" s="990"/>
      <c r="O2376" s="990"/>
      <c r="P2376" s="990"/>
      <c r="Q2376" s="990"/>
      <c r="R2376" s="990"/>
      <c r="S2376" s="990"/>
      <c r="T2376" s="990"/>
      <c r="U2376" s="990"/>
      <c r="V2376" s="990"/>
      <c r="W2376" s="990"/>
      <c r="X2376" s="990"/>
    </row>
    <row r="2377" spans="1:24" s="896" customFormat="1">
      <c r="A2377" s="987">
        <f t="shared" si="37"/>
        <v>2303</v>
      </c>
      <c r="B2377" s="988">
        <v>34349</v>
      </c>
      <c r="C2377" s="899" t="s">
        <v>11703</v>
      </c>
      <c r="D2377" s="988" t="s">
        <v>2666</v>
      </c>
      <c r="E2377" s="989">
        <v>36.729999999999997</v>
      </c>
      <c r="F2377" s="990"/>
      <c r="G2377" s="990"/>
      <c r="H2377" s="990"/>
      <c r="I2377" s="990"/>
      <c r="J2377" s="990"/>
      <c r="K2377" s="990"/>
      <c r="L2377" s="990"/>
      <c r="M2377" s="990"/>
      <c r="N2377" s="990"/>
      <c r="O2377" s="990"/>
      <c r="P2377" s="990"/>
      <c r="Q2377" s="990"/>
      <c r="R2377" s="990"/>
      <c r="S2377" s="990"/>
      <c r="T2377" s="990"/>
      <c r="U2377" s="990"/>
      <c r="V2377" s="990"/>
      <c r="W2377" s="990"/>
      <c r="X2377" s="990"/>
    </row>
    <row r="2378" spans="1:24" s="896" customFormat="1" ht="25.5">
      <c r="A2378" s="987">
        <f t="shared" si="37"/>
        <v>2304</v>
      </c>
      <c r="B2378" s="988">
        <v>3378</v>
      </c>
      <c r="C2378" s="899" t="s">
        <v>11704</v>
      </c>
      <c r="D2378" s="988" t="s">
        <v>2666</v>
      </c>
      <c r="E2378" s="989">
        <v>127.07</v>
      </c>
      <c r="F2378" s="990"/>
      <c r="G2378" s="990"/>
      <c r="H2378" s="990"/>
      <c r="I2378" s="990"/>
      <c r="J2378" s="990"/>
      <c r="K2378" s="990"/>
      <c r="L2378" s="990"/>
      <c r="M2378" s="990"/>
      <c r="N2378" s="990"/>
      <c r="O2378" s="990"/>
      <c r="P2378" s="990"/>
      <c r="Q2378" s="990"/>
      <c r="R2378" s="990"/>
      <c r="S2378" s="990"/>
      <c r="T2378" s="990"/>
      <c r="U2378" s="990"/>
      <c r="V2378" s="990"/>
      <c r="W2378" s="990"/>
      <c r="X2378" s="990"/>
    </row>
    <row r="2379" spans="1:24" s="896" customFormat="1" ht="25.5">
      <c r="A2379" s="987">
        <f t="shared" si="37"/>
        <v>2305</v>
      </c>
      <c r="B2379" s="988">
        <v>3380</v>
      </c>
      <c r="C2379" s="899" t="s">
        <v>11705</v>
      </c>
      <c r="D2379" s="988" t="s">
        <v>2666</v>
      </c>
      <c r="E2379" s="989">
        <v>88.95</v>
      </c>
      <c r="F2379" s="990"/>
      <c r="G2379" s="990"/>
      <c r="H2379" s="990"/>
      <c r="I2379" s="990"/>
      <c r="J2379" s="990"/>
      <c r="K2379" s="990"/>
      <c r="L2379" s="990"/>
      <c r="M2379" s="990"/>
      <c r="N2379" s="990"/>
      <c r="O2379" s="990"/>
      <c r="P2379" s="990"/>
      <c r="Q2379" s="990"/>
      <c r="R2379" s="990"/>
      <c r="S2379" s="990"/>
      <c r="T2379" s="990"/>
      <c r="U2379" s="990"/>
      <c r="V2379" s="990"/>
      <c r="W2379" s="990"/>
      <c r="X2379" s="990"/>
    </row>
    <row r="2380" spans="1:24" s="896" customFormat="1" ht="25.5">
      <c r="A2380" s="987">
        <f t="shared" ref="A2380:A2443" si="38">A2379+1</f>
        <v>2306</v>
      </c>
      <c r="B2380" s="988">
        <v>3379</v>
      </c>
      <c r="C2380" s="899" t="s">
        <v>11706</v>
      </c>
      <c r="D2380" s="988" t="s">
        <v>2666</v>
      </c>
      <c r="E2380" s="989">
        <v>85.88</v>
      </c>
      <c r="F2380" s="990"/>
      <c r="G2380" s="990"/>
      <c r="H2380" s="990"/>
      <c r="I2380" s="990"/>
      <c r="J2380" s="990"/>
      <c r="K2380" s="990"/>
      <c r="L2380" s="990"/>
      <c r="M2380" s="990"/>
      <c r="N2380" s="990"/>
      <c r="O2380" s="990"/>
      <c r="P2380" s="990"/>
      <c r="Q2380" s="990"/>
      <c r="R2380" s="990"/>
      <c r="S2380" s="990"/>
      <c r="T2380" s="990"/>
      <c r="U2380" s="990"/>
      <c r="V2380" s="990"/>
      <c r="W2380" s="990"/>
      <c r="X2380" s="990"/>
    </row>
    <row r="2381" spans="1:24" s="896" customFormat="1" ht="25.5">
      <c r="A2381" s="987">
        <f t="shared" si="38"/>
        <v>2307</v>
      </c>
      <c r="B2381" s="988">
        <v>11991</v>
      </c>
      <c r="C2381" s="899" t="s">
        <v>11707</v>
      </c>
      <c r="D2381" s="988" t="s">
        <v>2666</v>
      </c>
      <c r="E2381" s="989">
        <v>99.71</v>
      </c>
      <c r="F2381" s="990"/>
      <c r="G2381" s="990"/>
      <c r="H2381" s="990"/>
      <c r="I2381" s="990"/>
      <c r="J2381" s="990"/>
      <c r="K2381" s="990"/>
      <c r="L2381" s="990"/>
      <c r="M2381" s="990"/>
      <c r="N2381" s="990"/>
      <c r="O2381" s="990"/>
      <c r="P2381" s="990"/>
      <c r="Q2381" s="990"/>
      <c r="R2381" s="990"/>
      <c r="S2381" s="990"/>
      <c r="T2381" s="990"/>
      <c r="U2381" s="990"/>
      <c r="V2381" s="990"/>
      <c r="W2381" s="990"/>
      <c r="X2381" s="990"/>
    </row>
    <row r="2382" spans="1:24" s="896" customFormat="1">
      <c r="A2382" s="987">
        <f t="shared" si="38"/>
        <v>2308</v>
      </c>
      <c r="B2382" s="988">
        <v>20062</v>
      </c>
      <c r="C2382" s="899" t="s">
        <v>11708</v>
      </c>
      <c r="D2382" s="988" t="s">
        <v>2666</v>
      </c>
      <c r="E2382" s="989">
        <v>16.91</v>
      </c>
      <c r="F2382" s="990"/>
      <c r="G2382" s="990"/>
      <c r="H2382" s="990"/>
      <c r="I2382" s="990"/>
      <c r="J2382" s="990"/>
      <c r="K2382" s="990"/>
      <c r="L2382" s="990"/>
      <c r="M2382" s="990"/>
      <c r="N2382" s="990"/>
      <c r="O2382" s="990"/>
      <c r="P2382" s="990"/>
      <c r="Q2382" s="990"/>
      <c r="R2382" s="990"/>
      <c r="S2382" s="990"/>
      <c r="T2382" s="990"/>
      <c r="U2382" s="990"/>
      <c r="V2382" s="990"/>
      <c r="W2382" s="990"/>
      <c r="X2382" s="990"/>
    </row>
    <row r="2383" spans="1:24" s="896" customFormat="1" ht="25.5">
      <c r="A2383" s="987">
        <f t="shared" si="38"/>
        <v>2309</v>
      </c>
      <c r="B2383" s="988">
        <v>11029</v>
      </c>
      <c r="C2383" s="899" t="s">
        <v>11709</v>
      </c>
      <c r="D2383" s="988" t="s">
        <v>2677</v>
      </c>
      <c r="E2383" s="989">
        <v>1.52</v>
      </c>
      <c r="F2383" s="990"/>
      <c r="G2383" s="990"/>
      <c r="H2383" s="990"/>
      <c r="I2383" s="990"/>
      <c r="J2383" s="990"/>
      <c r="K2383" s="990"/>
      <c r="L2383" s="990"/>
      <c r="M2383" s="990"/>
      <c r="N2383" s="990"/>
      <c r="O2383" s="990"/>
      <c r="P2383" s="990"/>
      <c r="Q2383" s="990"/>
      <c r="R2383" s="990"/>
      <c r="S2383" s="990"/>
      <c r="T2383" s="990"/>
      <c r="U2383" s="990"/>
      <c r="V2383" s="990"/>
      <c r="W2383" s="990"/>
      <c r="X2383" s="990"/>
    </row>
    <row r="2384" spans="1:24" s="896" customFormat="1" ht="25.5">
      <c r="A2384" s="987">
        <f t="shared" si="38"/>
        <v>2310</v>
      </c>
      <c r="B2384" s="988">
        <v>4316</v>
      </c>
      <c r="C2384" s="899" t="s">
        <v>11710</v>
      </c>
      <c r="D2384" s="988" t="s">
        <v>2666</v>
      </c>
      <c r="E2384" s="989">
        <v>1.54</v>
      </c>
      <c r="F2384" s="990"/>
      <c r="G2384" s="990"/>
      <c r="H2384" s="990"/>
      <c r="I2384" s="990"/>
      <c r="J2384" s="990"/>
      <c r="K2384" s="990"/>
      <c r="L2384" s="990"/>
      <c r="M2384" s="990"/>
      <c r="N2384" s="990"/>
      <c r="O2384" s="990"/>
      <c r="P2384" s="990"/>
      <c r="Q2384" s="990"/>
      <c r="R2384" s="990"/>
      <c r="S2384" s="990"/>
      <c r="T2384" s="990"/>
      <c r="U2384" s="990"/>
      <c r="V2384" s="990"/>
      <c r="W2384" s="990"/>
      <c r="X2384" s="990"/>
    </row>
    <row r="2385" spans="1:24" s="896" customFormat="1" ht="25.5">
      <c r="A2385" s="987">
        <f t="shared" si="38"/>
        <v>2311</v>
      </c>
      <c r="B2385" s="988">
        <v>4313</v>
      </c>
      <c r="C2385" s="899" t="s">
        <v>11711</v>
      </c>
      <c r="D2385" s="988" t="s">
        <v>2677</v>
      </c>
      <c r="E2385" s="989">
        <v>2.21</v>
      </c>
      <c r="F2385" s="990"/>
      <c r="G2385" s="990"/>
      <c r="H2385" s="990"/>
      <c r="I2385" s="990"/>
      <c r="J2385" s="990"/>
      <c r="K2385" s="990"/>
      <c r="L2385" s="990"/>
      <c r="M2385" s="990"/>
      <c r="N2385" s="990"/>
      <c r="O2385" s="990"/>
      <c r="P2385" s="990"/>
      <c r="Q2385" s="990"/>
      <c r="R2385" s="990"/>
      <c r="S2385" s="990"/>
      <c r="T2385" s="990"/>
      <c r="U2385" s="990"/>
      <c r="V2385" s="990"/>
      <c r="W2385" s="990"/>
      <c r="X2385" s="990"/>
    </row>
    <row r="2386" spans="1:24" s="896" customFormat="1" ht="25.5">
      <c r="A2386" s="987">
        <f t="shared" si="38"/>
        <v>2312</v>
      </c>
      <c r="B2386" s="988">
        <v>4317</v>
      </c>
      <c r="C2386" s="899" t="s">
        <v>11712</v>
      </c>
      <c r="D2386" s="988" t="s">
        <v>2666</v>
      </c>
      <c r="E2386" s="989">
        <v>2.5099999999999998</v>
      </c>
      <c r="F2386" s="990"/>
      <c r="G2386" s="990"/>
      <c r="H2386" s="990"/>
      <c r="I2386" s="990"/>
      <c r="J2386" s="990"/>
      <c r="K2386" s="990"/>
      <c r="L2386" s="990"/>
      <c r="M2386" s="990"/>
      <c r="N2386" s="990"/>
      <c r="O2386" s="990"/>
      <c r="P2386" s="990"/>
      <c r="Q2386" s="990"/>
      <c r="R2386" s="990"/>
      <c r="S2386" s="990"/>
      <c r="T2386" s="990"/>
      <c r="U2386" s="990"/>
      <c r="V2386" s="990"/>
      <c r="W2386" s="990"/>
      <c r="X2386" s="990"/>
    </row>
    <row r="2387" spans="1:24" s="896" customFormat="1" ht="25.5">
      <c r="A2387" s="987">
        <f t="shared" si="38"/>
        <v>2313</v>
      </c>
      <c r="B2387" s="988">
        <v>4314</v>
      </c>
      <c r="C2387" s="899" t="s">
        <v>11713</v>
      </c>
      <c r="D2387" s="988" t="s">
        <v>2677</v>
      </c>
      <c r="E2387" s="989">
        <v>2.94</v>
      </c>
      <c r="F2387" s="990"/>
      <c r="G2387" s="990"/>
      <c r="H2387" s="990"/>
      <c r="I2387" s="990"/>
      <c r="J2387" s="990"/>
      <c r="K2387" s="990"/>
      <c r="L2387" s="990"/>
      <c r="M2387" s="990"/>
      <c r="N2387" s="990"/>
      <c r="O2387" s="990"/>
      <c r="P2387" s="990"/>
      <c r="Q2387" s="990"/>
      <c r="R2387" s="990"/>
      <c r="S2387" s="990"/>
      <c r="T2387" s="990"/>
      <c r="U2387" s="990"/>
      <c r="V2387" s="990"/>
      <c r="W2387" s="990"/>
      <c r="X2387" s="990"/>
    </row>
    <row r="2388" spans="1:24" s="896" customFormat="1" ht="38.25">
      <c r="A2388" s="987">
        <f t="shared" si="38"/>
        <v>2314</v>
      </c>
      <c r="B2388" s="988">
        <v>10921</v>
      </c>
      <c r="C2388" s="899" t="s">
        <v>11714</v>
      </c>
      <c r="D2388" s="988" t="s">
        <v>2666</v>
      </c>
      <c r="E2388" s="989">
        <v>5608</v>
      </c>
      <c r="F2388" s="990"/>
      <c r="G2388" s="990"/>
      <c r="H2388" s="990"/>
      <c r="I2388" s="990"/>
      <c r="J2388" s="990"/>
      <c r="K2388" s="990"/>
      <c r="L2388" s="990"/>
      <c r="M2388" s="990"/>
      <c r="N2388" s="990"/>
      <c r="O2388" s="990"/>
      <c r="P2388" s="990"/>
      <c r="Q2388" s="990"/>
      <c r="R2388" s="990"/>
      <c r="S2388" s="990"/>
      <c r="T2388" s="990"/>
      <c r="U2388" s="990"/>
      <c r="V2388" s="990"/>
      <c r="W2388" s="990"/>
      <c r="X2388" s="990"/>
    </row>
    <row r="2389" spans="1:24" s="896" customFormat="1" ht="38.25">
      <c r="A2389" s="987">
        <f t="shared" si="38"/>
        <v>2315</v>
      </c>
      <c r="B2389" s="988">
        <v>10922</v>
      </c>
      <c r="C2389" s="899" t="s">
        <v>11715</v>
      </c>
      <c r="D2389" s="988" t="s">
        <v>2666</v>
      </c>
      <c r="E2389" s="989">
        <v>5079.58</v>
      </c>
      <c r="F2389" s="990"/>
      <c r="G2389" s="990"/>
      <c r="H2389" s="990"/>
      <c r="I2389" s="990"/>
      <c r="J2389" s="990"/>
      <c r="K2389" s="990"/>
      <c r="L2389" s="990"/>
      <c r="M2389" s="990"/>
      <c r="N2389" s="990"/>
      <c r="O2389" s="990"/>
      <c r="P2389" s="990"/>
      <c r="Q2389" s="990"/>
      <c r="R2389" s="990"/>
      <c r="S2389" s="990"/>
      <c r="T2389" s="990"/>
      <c r="U2389" s="990"/>
      <c r="V2389" s="990"/>
      <c r="W2389" s="990"/>
      <c r="X2389" s="990"/>
    </row>
    <row r="2390" spans="1:24" s="896" customFormat="1">
      <c r="A2390" s="987">
        <f t="shared" si="38"/>
        <v>2316</v>
      </c>
      <c r="B2390" s="988">
        <v>10923</v>
      </c>
      <c r="C2390" s="899" t="s">
        <v>11716</v>
      </c>
      <c r="D2390" s="988" t="s">
        <v>2666</v>
      </c>
      <c r="E2390" s="989">
        <v>3002.25</v>
      </c>
      <c r="F2390" s="990"/>
      <c r="G2390" s="990"/>
      <c r="H2390" s="990"/>
      <c r="I2390" s="990"/>
      <c r="J2390" s="990"/>
      <c r="K2390" s="990"/>
      <c r="L2390" s="990"/>
      <c r="M2390" s="990"/>
      <c r="N2390" s="990"/>
      <c r="O2390" s="990"/>
      <c r="P2390" s="990"/>
      <c r="Q2390" s="990"/>
      <c r="R2390" s="990"/>
      <c r="S2390" s="990"/>
      <c r="T2390" s="990"/>
      <c r="U2390" s="990"/>
      <c r="V2390" s="990"/>
      <c r="W2390" s="990"/>
      <c r="X2390" s="990"/>
    </row>
    <row r="2391" spans="1:24" s="896" customFormat="1">
      <c r="A2391" s="987">
        <f t="shared" si="38"/>
        <v>2317</v>
      </c>
      <c r="B2391" s="988">
        <v>10924</v>
      </c>
      <c r="C2391" s="899" t="s">
        <v>11717</v>
      </c>
      <c r="D2391" s="988" t="s">
        <v>2666</v>
      </c>
      <c r="E2391" s="989">
        <v>3161.95</v>
      </c>
      <c r="F2391" s="990"/>
      <c r="G2391" s="990"/>
      <c r="H2391" s="990"/>
      <c r="I2391" s="990"/>
      <c r="J2391" s="990"/>
      <c r="K2391" s="990"/>
      <c r="L2391" s="990"/>
      <c r="M2391" s="990"/>
      <c r="N2391" s="990"/>
      <c r="O2391" s="990"/>
      <c r="P2391" s="990"/>
      <c r="Q2391" s="990"/>
      <c r="R2391" s="990"/>
      <c r="S2391" s="990"/>
      <c r="T2391" s="990"/>
      <c r="U2391" s="990"/>
      <c r="V2391" s="990"/>
      <c r="W2391" s="990"/>
      <c r="X2391" s="990"/>
    </row>
    <row r="2392" spans="1:24" s="896" customFormat="1" ht="25.5">
      <c r="A2392" s="987">
        <f t="shared" si="38"/>
        <v>2318</v>
      </c>
      <c r="B2392" s="988">
        <v>37772</v>
      </c>
      <c r="C2392" s="899" t="s">
        <v>11718</v>
      </c>
      <c r="D2392" s="988" t="s">
        <v>2666</v>
      </c>
      <c r="E2392" s="989">
        <v>284863.40999999997</v>
      </c>
      <c r="F2392" s="990"/>
      <c r="G2392" s="990"/>
      <c r="H2392" s="990"/>
      <c r="I2392" s="990"/>
      <c r="J2392" s="990"/>
      <c r="K2392" s="990"/>
      <c r="L2392" s="990"/>
      <c r="M2392" s="990"/>
      <c r="N2392" s="990"/>
      <c r="O2392" s="990"/>
      <c r="P2392" s="990"/>
      <c r="Q2392" s="990"/>
      <c r="R2392" s="990"/>
      <c r="S2392" s="990"/>
      <c r="T2392" s="990"/>
      <c r="U2392" s="990"/>
      <c r="V2392" s="990"/>
      <c r="W2392" s="990"/>
      <c r="X2392" s="990"/>
    </row>
    <row r="2393" spans="1:24" s="896" customFormat="1" ht="38.25">
      <c r="A2393" s="987">
        <f t="shared" si="38"/>
        <v>2319</v>
      </c>
      <c r="B2393" s="988">
        <v>37771</v>
      </c>
      <c r="C2393" s="899" t="s">
        <v>11719</v>
      </c>
      <c r="D2393" s="988" t="s">
        <v>2666</v>
      </c>
      <c r="E2393" s="989">
        <v>303049.28999999998</v>
      </c>
      <c r="F2393" s="990"/>
      <c r="G2393" s="990"/>
      <c r="H2393" s="990"/>
      <c r="I2393" s="990"/>
      <c r="J2393" s="990"/>
      <c r="K2393" s="990"/>
      <c r="L2393" s="990"/>
      <c r="M2393" s="990"/>
      <c r="N2393" s="990"/>
      <c r="O2393" s="990"/>
      <c r="P2393" s="990"/>
      <c r="Q2393" s="990"/>
      <c r="R2393" s="990"/>
      <c r="S2393" s="990"/>
      <c r="T2393" s="990"/>
      <c r="U2393" s="990"/>
      <c r="V2393" s="990"/>
      <c r="W2393" s="990"/>
      <c r="X2393" s="990"/>
    </row>
    <row r="2394" spans="1:24" s="896" customFormat="1" ht="25.5">
      <c r="A2394" s="987">
        <f t="shared" si="38"/>
        <v>2320</v>
      </c>
      <c r="B2394" s="988">
        <v>12772</v>
      </c>
      <c r="C2394" s="899" t="s">
        <v>11720</v>
      </c>
      <c r="D2394" s="988" t="s">
        <v>2666</v>
      </c>
      <c r="E2394" s="989">
        <v>1001</v>
      </c>
      <c r="F2394" s="990"/>
      <c r="G2394" s="990"/>
      <c r="H2394" s="990"/>
      <c r="I2394" s="990"/>
      <c r="J2394" s="990"/>
      <c r="K2394" s="990"/>
      <c r="L2394" s="990"/>
      <c r="M2394" s="990"/>
      <c r="N2394" s="990"/>
      <c r="O2394" s="990"/>
      <c r="P2394" s="990"/>
      <c r="Q2394" s="990"/>
      <c r="R2394" s="990"/>
      <c r="S2394" s="990"/>
      <c r="T2394" s="990"/>
      <c r="U2394" s="990"/>
      <c r="V2394" s="990"/>
      <c r="W2394" s="990"/>
      <c r="X2394" s="990"/>
    </row>
    <row r="2395" spans="1:24" s="896" customFormat="1" ht="25.5">
      <c r="A2395" s="987">
        <f t="shared" si="38"/>
        <v>2321</v>
      </c>
      <c r="B2395" s="988">
        <v>12770</v>
      </c>
      <c r="C2395" s="899" t="s">
        <v>11721</v>
      </c>
      <c r="D2395" s="988" t="s">
        <v>2666</v>
      </c>
      <c r="E2395" s="989">
        <v>602.29</v>
      </c>
      <c r="F2395" s="990"/>
      <c r="G2395" s="990"/>
      <c r="H2395" s="990"/>
      <c r="I2395" s="990"/>
      <c r="J2395" s="990"/>
      <c r="K2395" s="990"/>
      <c r="L2395" s="990"/>
      <c r="M2395" s="990"/>
      <c r="N2395" s="990"/>
      <c r="O2395" s="990"/>
      <c r="P2395" s="990"/>
      <c r="Q2395" s="990"/>
      <c r="R2395" s="990"/>
      <c r="S2395" s="990"/>
      <c r="T2395" s="990"/>
      <c r="U2395" s="990"/>
      <c r="V2395" s="990"/>
      <c r="W2395" s="990"/>
      <c r="X2395" s="990"/>
    </row>
    <row r="2396" spans="1:24" s="896" customFormat="1" ht="25.5">
      <c r="A2396" s="987">
        <f t="shared" si="38"/>
        <v>2322</v>
      </c>
      <c r="B2396" s="988">
        <v>12775</v>
      </c>
      <c r="C2396" s="899" t="s">
        <v>11722</v>
      </c>
      <c r="D2396" s="988" t="s">
        <v>2666</v>
      </c>
      <c r="E2396" s="989">
        <v>441.12</v>
      </c>
      <c r="F2396" s="990"/>
      <c r="G2396" s="990"/>
      <c r="H2396" s="990"/>
      <c r="I2396" s="990"/>
      <c r="J2396" s="990"/>
      <c r="K2396" s="990"/>
      <c r="L2396" s="990"/>
      <c r="M2396" s="990"/>
      <c r="N2396" s="990"/>
      <c r="O2396" s="990"/>
      <c r="P2396" s="990"/>
      <c r="Q2396" s="990"/>
      <c r="R2396" s="990"/>
      <c r="S2396" s="990"/>
      <c r="T2396" s="990"/>
      <c r="U2396" s="990"/>
      <c r="V2396" s="990"/>
      <c r="W2396" s="990"/>
      <c r="X2396" s="990"/>
    </row>
    <row r="2397" spans="1:24" s="896" customFormat="1" ht="25.5">
      <c r="A2397" s="987">
        <f t="shared" si="38"/>
        <v>2323</v>
      </c>
      <c r="B2397" s="988">
        <v>12768</v>
      </c>
      <c r="C2397" s="899" t="s">
        <v>11723</v>
      </c>
      <c r="D2397" s="988" t="s">
        <v>2666</v>
      </c>
      <c r="E2397" s="989">
        <v>1408.19</v>
      </c>
      <c r="F2397" s="990"/>
      <c r="G2397" s="990"/>
      <c r="H2397" s="990"/>
      <c r="I2397" s="990"/>
      <c r="J2397" s="990"/>
      <c r="K2397" s="990"/>
      <c r="L2397" s="990"/>
      <c r="M2397" s="990"/>
      <c r="N2397" s="990"/>
      <c r="O2397" s="990"/>
      <c r="P2397" s="990"/>
      <c r="Q2397" s="990"/>
      <c r="R2397" s="990"/>
      <c r="S2397" s="990"/>
      <c r="T2397" s="990"/>
      <c r="U2397" s="990"/>
      <c r="V2397" s="990"/>
      <c r="W2397" s="990"/>
      <c r="X2397" s="990"/>
    </row>
    <row r="2398" spans="1:24" s="896" customFormat="1" ht="25.5">
      <c r="A2398" s="987">
        <f t="shared" si="38"/>
        <v>2324</v>
      </c>
      <c r="B2398" s="988">
        <v>12769</v>
      </c>
      <c r="C2398" s="899" t="s">
        <v>11724</v>
      </c>
      <c r="D2398" s="988" t="s">
        <v>2666</v>
      </c>
      <c r="E2398" s="989">
        <v>115.37</v>
      </c>
      <c r="F2398" s="990"/>
      <c r="G2398" s="990"/>
      <c r="H2398" s="990"/>
      <c r="I2398" s="990"/>
      <c r="J2398" s="990"/>
      <c r="K2398" s="990"/>
      <c r="L2398" s="990"/>
      <c r="M2398" s="990"/>
      <c r="N2398" s="990"/>
      <c r="O2398" s="990"/>
      <c r="P2398" s="990"/>
      <c r="Q2398" s="990"/>
      <c r="R2398" s="990"/>
      <c r="S2398" s="990"/>
      <c r="T2398" s="990"/>
      <c r="U2398" s="990"/>
      <c r="V2398" s="990"/>
      <c r="W2398" s="990"/>
      <c r="X2398" s="990"/>
    </row>
    <row r="2399" spans="1:24" s="896" customFormat="1" ht="25.5">
      <c r="A2399" s="987">
        <f t="shared" si="38"/>
        <v>2325</v>
      </c>
      <c r="B2399" s="988">
        <v>12773</v>
      </c>
      <c r="C2399" s="899" t="s">
        <v>11725</v>
      </c>
      <c r="D2399" s="988" t="s">
        <v>2666</v>
      </c>
      <c r="E2399" s="989">
        <v>123.85</v>
      </c>
      <c r="F2399" s="990"/>
      <c r="G2399" s="990"/>
      <c r="H2399" s="990"/>
      <c r="I2399" s="990"/>
      <c r="J2399" s="990"/>
      <c r="K2399" s="990"/>
      <c r="L2399" s="990"/>
      <c r="M2399" s="990"/>
      <c r="N2399" s="990"/>
      <c r="O2399" s="990"/>
      <c r="P2399" s="990"/>
      <c r="Q2399" s="990"/>
      <c r="R2399" s="990"/>
      <c r="S2399" s="990"/>
      <c r="T2399" s="990"/>
      <c r="U2399" s="990"/>
      <c r="V2399" s="990"/>
      <c r="W2399" s="990"/>
      <c r="X2399" s="990"/>
    </row>
    <row r="2400" spans="1:24" s="896" customFormat="1" ht="25.5">
      <c r="A2400" s="987">
        <f t="shared" si="38"/>
        <v>2326</v>
      </c>
      <c r="B2400" s="988">
        <v>12774</v>
      </c>
      <c r="C2400" s="899" t="s">
        <v>11726</v>
      </c>
      <c r="D2400" s="988" t="s">
        <v>2666</v>
      </c>
      <c r="E2400" s="989">
        <v>152.69</v>
      </c>
      <c r="F2400" s="990"/>
      <c r="G2400" s="990"/>
      <c r="H2400" s="990"/>
      <c r="I2400" s="990"/>
      <c r="J2400" s="990"/>
      <c r="K2400" s="990"/>
      <c r="L2400" s="990"/>
      <c r="M2400" s="990"/>
      <c r="N2400" s="990"/>
      <c r="O2400" s="990"/>
      <c r="P2400" s="990"/>
      <c r="Q2400" s="990"/>
      <c r="R2400" s="990"/>
      <c r="S2400" s="990"/>
      <c r="T2400" s="990"/>
      <c r="U2400" s="990"/>
      <c r="V2400" s="990"/>
      <c r="W2400" s="990"/>
      <c r="X2400" s="990"/>
    </row>
    <row r="2401" spans="1:24" s="896" customFormat="1" ht="25.5">
      <c r="A2401" s="987">
        <f t="shared" si="38"/>
        <v>2327</v>
      </c>
      <c r="B2401" s="988">
        <v>12776</v>
      </c>
      <c r="C2401" s="899" t="s">
        <v>11727</v>
      </c>
      <c r="D2401" s="988" t="s">
        <v>2666</v>
      </c>
      <c r="E2401" s="989">
        <v>2273.46</v>
      </c>
      <c r="F2401" s="990"/>
      <c r="G2401" s="990"/>
      <c r="H2401" s="990"/>
      <c r="I2401" s="990"/>
      <c r="J2401" s="990"/>
      <c r="K2401" s="990"/>
      <c r="L2401" s="990"/>
      <c r="M2401" s="990"/>
      <c r="N2401" s="990"/>
      <c r="O2401" s="990"/>
      <c r="P2401" s="990"/>
      <c r="Q2401" s="990"/>
      <c r="R2401" s="990"/>
      <c r="S2401" s="990"/>
      <c r="T2401" s="990"/>
      <c r="U2401" s="990"/>
      <c r="V2401" s="990"/>
      <c r="W2401" s="990"/>
      <c r="X2401" s="990"/>
    </row>
    <row r="2402" spans="1:24" s="896" customFormat="1" ht="25.5">
      <c r="A2402" s="987">
        <f t="shared" si="38"/>
        <v>2328</v>
      </c>
      <c r="B2402" s="988">
        <v>12777</v>
      </c>
      <c r="C2402" s="899" t="s">
        <v>11728</v>
      </c>
      <c r="D2402" s="988" t="s">
        <v>2666</v>
      </c>
      <c r="E2402" s="989">
        <v>2969.08</v>
      </c>
      <c r="F2402" s="990"/>
      <c r="G2402" s="990"/>
      <c r="H2402" s="990"/>
      <c r="I2402" s="990"/>
      <c r="J2402" s="990"/>
      <c r="K2402" s="990"/>
      <c r="L2402" s="990"/>
      <c r="M2402" s="990"/>
      <c r="N2402" s="990"/>
      <c r="O2402" s="990"/>
      <c r="P2402" s="990"/>
      <c r="Q2402" s="990"/>
      <c r="R2402" s="990"/>
      <c r="S2402" s="990"/>
      <c r="T2402" s="990"/>
      <c r="U2402" s="990"/>
      <c r="V2402" s="990"/>
      <c r="W2402" s="990"/>
      <c r="X2402" s="990"/>
    </row>
    <row r="2403" spans="1:24" s="896" customFormat="1" ht="25.5">
      <c r="A2403" s="987">
        <f t="shared" si="38"/>
        <v>2329</v>
      </c>
      <c r="B2403" s="988">
        <v>3391</v>
      </c>
      <c r="C2403" s="899" t="s">
        <v>11729</v>
      </c>
      <c r="D2403" s="988" t="s">
        <v>2666</v>
      </c>
      <c r="E2403" s="989">
        <v>27.95</v>
      </c>
      <c r="F2403" s="990"/>
      <c r="G2403" s="990"/>
      <c r="H2403" s="990"/>
      <c r="I2403" s="990"/>
      <c r="J2403" s="990"/>
      <c r="K2403" s="990"/>
      <c r="L2403" s="990"/>
      <c r="M2403" s="990"/>
      <c r="N2403" s="990"/>
      <c r="O2403" s="990"/>
      <c r="P2403" s="990"/>
      <c r="Q2403" s="990"/>
      <c r="R2403" s="990"/>
      <c r="S2403" s="990"/>
      <c r="T2403" s="990"/>
      <c r="U2403" s="990"/>
      <c r="V2403" s="990"/>
      <c r="W2403" s="990"/>
      <c r="X2403" s="990"/>
    </row>
    <row r="2404" spans="1:24" s="896" customFormat="1" ht="25.5">
      <c r="A2404" s="987">
        <f t="shared" si="38"/>
        <v>2330</v>
      </c>
      <c r="B2404" s="988">
        <v>3389</v>
      </c>
      <c r="C2404" s="899" t="s">
        <v>11730</v>
      </c>
      <c r="D2404" s="988" t="s">
        <v>2666</v>
      </c>
      <c r="E2404" s="989">
        <v>14.5</v>
      </c>
      <c r="F2404" s="990"/>
      <c r="G2404" s="990"/>
      <c r="H2404" s="990"/>
      <c r="I2404" s="990"/>
      <c r="J2404" s="990"/>
      <c r="K2404" s="990"/>
      <c r="L2404" s="990"/>
      <c r="M2404" s="990"/>
      <c r="N2404" s="990"/>
      <c r="O2404" s="990"/>
      <c r="P2404" s="990"/>
      <c r="Q2404" s="990"/>
      <c r="R2404" s="990"/>
      <c r="S2404" s="990"/>
      <c r="T2404" s="990"/>
      <c r="U2404" s="990"/>
      <c r="V2404" s="990"/>
      <c r="W2404" s="990"/>
      <c r="X2404" s="990"/>
    </row>
    <row r="2405" spans="1:24" s="896" customFormat="1" ht="25.5">
      <c r="A2405" s="987">
        <f t="shared" si="38"/>
        <v>2331</v>
      </c>
      <c r="B2405" s="988">
        <v>3390</v>
      </c>
      <c r="C2405" s="899" t="s">
        <v>11731</v>
      </c>
      <c r="D2405" s="988" t="s">
        <v>2666</v>
      </c>
      <c r="E2405" s="989">
        <v>16.309999999999999</v>
      </c>
      <c r="F2405" s="990"/>
      <c r="G2405" s="990"/>
      <c r="H2405" s="990"/>
      <c r="I2405" s="990"/>
      <c r="J2405" s="990"/>
      <c r="K2405" s="990"/>
      <c r="L2405" s="990"/>
      <c r="M2405" s="990"/>
      <c r="N2405" s="990"/>
      <c r="O2405" s="990"/>
      <c r="P2405" s="990"/>
      <c r="Q2405" s="990"/>
      <c r="R2405" s="990"/>
      <c r="S2405" s="990"/>
      <c r="T2405" s="990"/>
      <c r="U2405" s="990"/>
      <c r="V2405" s="990"/>
      <c r="W2405" s="990"/>
      <c r="X2405" s="990"/>
    </row>
    <row r="2406" spans="1:24" s="896" customFormat="1">
      <c r="A2406" s="987">
        <f t="shared" si="38"/>
        <v>2332</v>
      </c>
      <c r="B2406" s="988">
        <v>12873</v>
      </c>
      <c r="C2406" s="899" t="s">
        <v>11732</v>
      </c>
      <c r="D2406" s="988" t="s">
        <v>2665</v>
      </c>
      <c r="E2406" s="989">
        <v>23.94</v>
      </c>
      <c r="F2406" s="990"/>
      <c r="G2406" s="990"/>
      <c r="H2406" s="990"/>
      <c r="I2406" s="990"/>
      <c r="J2406" s="990"/>
      <c r="K2406" s="990"/>
      <c r="L2406" s="990"/>
      <c r="M2406" s="990"/>
      <c r="N2406" s="990"/>
      <c r="O2406" s="990"/>
      <c r="P2406" s="990"/>
      <c r="Q2406" s="990"/>
      <c r="R2406" s="990"/>
      <c r="S2406" s="990"/>
      <c r="T2406" s="990"/>
      <c r="U2406" s="990"/>
      <c r="V2406" s="990"/>
      <c r="W2406" s="990"/>
      <c r="X2406" s="990"/>
    </row>
    <row r="2407" spans="1:24" s="896" customFormat="1">
      <c r="A2407" s="987">
        <f t="shared" si="38"/>
        <v>2333</v>
      </c>
      <c r="B2407" s="988">
        <v>41076</v>
      </c>
      <c r="C2407" s="899" t="s">
        <v>11733</v>
      </c>
      <c r="D2407" s="988" t="s">
        <v>2672</v>
      </c>
      <c r="E2407" s="989">
        <v>4207.42</v>
      </c>
      <c r="F2407" s="990"/>
      <c r="G2407" s="990"/>
      <c r="H2407" s="990"/>
      <c r="I2407" s="990"/>
      <c r="J2407" s="990"/>
      <c r="K2407" s="990"/>
      <c r="L2407" s="990"/>
      <c r="M2407" s="990"/>
      <c r="N2407" s="990"/>
      <c r="O2407" s="990"/>
      <c r="P2407" s="990"/>
      <c r="Q2407" s="990"/>
      <c r="R2407" s="990"/>
      <c r="S2407" s="990"/>
      <c r="T2407" s="990"/>
      <c r="U2407" s="990"/>
      <c r="V2407" s="990"/>
      <c r="W2407" s="990"/>
      <c r="X2407" s="990"/>
    </row>
    <row r="2408" spans="1:24" s="896" customFormat="1">
      <c r="A2408" s="987">
        <f t="shared" si="38"/>
        <v>2334</v>
      </c>
      <c r="B2408" s="988">
        <v>140</v>
      </c>
      <c r="C2408" s="899" t="s">
        <v>11734</v>
      </c>
      <c r="D2408" s="988" t="s">
        <v>2670</v>
      </c>
      <c r="E2408" s="989">
        <v>17.95</v>
      </c>
      <c r="F2408" s="990"/>
      <c r="G2408" s="990"/>
      <c r="H2408" s="990"/>
      <c r="I2408" s="990"/>
      <c r="J2408" s="990"/>
      <c r="K2408" s="990"/>
      <c r="L2408" s="990"/>
      <c r="M2408" s="990"/>
      <c r="N2408" s="990"/>
      <c r="O2408" s="990"/>
      <c r="P2408" s="990"/>
      <c r="Q2408" s="990"/>
      <c r="R2408" s="990"/>
      <c r="S2408" s="990"/>
      <c r="T2408" s="990"/>
      <c r="U2408" s="990"/>
      <c r="V2408" s="990"/>
      <c r="W2408" s="990"/>
      <c r="X2408" s="990"/>
    </row>
    <row r="2409" spans="1:24" s="896" customFormat="1" ht="25.5">
      <c r="A2409" s="987">
        <f t="shared" si="38"/>
        <v>2335</v>
      </c>
      <c r="B2409" s="988">
        <v>151</v>
      </c>
      <c r="C2409" s="899" t="s">
        <v>11735</v>
      </c>
      <c r="D2409" s="988" t="s">
        <v>2671</v>
      </c>
      <c r="E2409" s="989">
        <v>26.5</v>
      </c>
      <c r="F2409" s="990"/>
      <c r="G2409" s="990"/>
      <c r="H2409" s="990"/>
      <c r="I2409" s="990"/>
      <c r="J2409" s="990"/>
      <c r="K2409" s="990"/>
      <c r="L2409" s="990"/>
      <c r="M2409" s="990"/>
      <c r="N2409" s="990"/>
      <c r="O2409" s="990"/>
      <c r="P2409" s="990"/>
      <c r="Q2409" s="990"/>
      <c r="R2409" s="990"/>
      <c r="S2409" s="990"/>
      <c r="T2409" s="990"/>
      <c r="U2409" s="990"/>
      <c r="V2409" s="990"/>
      <c r="W2409" s="990"/>
      <c r="X2409" s="990"/>
    </row>
    <row r="2410" spans="1:24" s="896" customFormat="1">
      <c r="A2410" s="987">
        <f t="shared" si="38"/>
        <v>2336</v>
      </c>
      <c r="B2410" s="988">
        <v>7340</v>
      </c>
      <c r="C2410" s="899" t="s">
        <v>11736</v>
      </c>
      <c r="D2410" s="988" t="s">
        <v>2671</v>
      </c>
      <c r="E2410" s="989">
        <v>28.32</v>
      </c>
      <c r="F2410" s="990"/>
      <c r="G2410" s="990"/>
      <c r="H2410" s="990"/>
      <c r="I2410" s="990"/>
      <c r="J2410" s="990"/>
      <c r="K2410" s="990"/>
      <c r="L2410" s="990"/>
      <c r="M2410" s="990"/>
      <c r="N2410" s="990"/>
      <c r="O2410" s="990"/>
      <c r="P2410" s="990"/>
      <c r="Q2410" s="990"/>
      <c r="R2410" s="990"/>
      <c r="S2410" s="990"/>
      <c r="T2410" s="990"/>
      <c r="U2410" s="990"/>
      <c r="V2410" s="990"/>
      <c r="W2410" s="990"/>
      <c r="X2410" s="990"/>
    </row>
    <row r="2411" spans="1:24" s="896" customFormat="1">
      <c r="A2411" s="987">
        <f t="shared" si="38"/>
        <v>2337</v>
      </c>
      <c r="B2411" s="988">
        <v>2701</v>
      </c>
      <c r="C2411" s="899" t="s">
        <v>11737</v>
      </c>
      <c r="D2411" s="988" t="s">
        <v>2665</v>
      </c>
      <c r="E2411" s="989">
        <v>27.57</v>
      </c>
      <c r="F2411" s="990"/>
      <c r="G2411" s="990"/>
      <c r="H2411" s="990"/>
      <c r="I2411" s="990"/>
      <c r="J2411" s="990"/>
      <c r="K2411" s="990"/>
      <c r="L2411" s="990"/>
      <c r="M2411" s="990"/>
      <c r="N2411" s="990"/>
      <c r="O2411" s="990"/>
      <c r="P2411" s="990"/>
      <c r="Q2411" s="990"/>
      <c r="R2411" s="990"/>
      <c r="S2411" s="990"/>
      <c r="T2411" s="990"/>
      <c r="U2411" s="990"/>
      <c r="V2411" s="990"/>
      <c r="W2411" s="990"/>
      <c r="X2411" s="990"/>
    </row>
    <row r="2412" spans="1:24" s="896" customFormat="1">
      <c r="A2412" s="987">
        <f t="shared" si="38"/>
        <v>2338</v>
      </c>
      <c r="B2412" s="988">
        <v>40929</v>
      </c>
      <c r="C2412" s="899" t="s">
        <v>11738</v>
      </c>
      <c r="D2412" s="988" t="s">
        <v>2672</v>
      </c>
      <c r="E2412" s="989">
        <v>4847.6499999999996</v>
      </c>
      <c r="F2412" s="990"/>
      <c r="G2412" s="990"/>
      <c r="H2412" s="990"/>
      <c r="I2412" s="990"/>
      <c r="J2412" s="990"/>
      <c r="K2412" s="990"/>
      <c r="L2412" s="990"/>
      <c r="M2412" s="990"/>
      <c r="N2412" s="990"/>
      <c r="O2412" s="990"/>
      <c r="P2412" s="990"/>
      <c r="Q2412" s="990"/>
      <c r="R2412" s="990"/>
      <c r="S2412" s="990"/>
      <c r="T2412" s="990"/>
      <c r="U2412" s="990"/>
      <c r="V2412" s="990"/>
      <c r="W2412" s="990"/>
      <c r="X2412" s="990"/>
    </row>
    <row r="2413" spans="1:24" s="896" customFormat="1">
      <c r="A2413" s="987">
        <f t="shared" si="38"/>
        <v>2339</v>
      </c>
      <c r="B2413" s="988">
        <v>38114</v>
      </c>
      <c r="C2413" s="899" t="s">
        <v>11739</v>
      </c>
      <c r="D2413" s="988" t="s">
        <v>2666</v>
      </c>
      <c r="E2413" s="989">
        <v>22.18</v>
      </c>
      <c r="F2413" s="990"/>
      <c r="G2413" s="990"/>
      <c r="H2413" s="990"/>
      <c r="I2413" s="990"/>
      <c r="J2413" s="990"/>
      <c r="K2413" s="990"/>
      <c r="L2413" s="990"/>
      <c r="M2413" s="990"/>
      <c r="N2413" s="990"/>
      <c r="O2413" s="990"/>
      <c r="P2413" s="990"/>
      <c r="Q2413" s="990"/>
      <c r="R2413" s="990"/>
      <c r="S2413" s="990"/>
      <c r="T2413" s="990"/>
      <c r="U2413" s="990"/>
      <c r="V2413" s="990"/>
      <c r="W2413" s="990"/>
      <c r="X2413" s="990"/>
    </row>
    <row r="2414" spans="1:24" s="896" customFormat="1" ht="25.5">
      <c r="A2414" s="987">
        <f t="shared" si="38"/>
        <v>2340</v>
      </c>
      <c r="B2414" s="988">
        <v>38064</v>
      </c>
      <c r="C2414" s="899" t="s">
        <v>11740</v>
      </c>
      <c r="D2414" s="988" t="s">
        <v>2666</v>
      </c>
      <c r="E2414" s="989">
        <v>24.8</v>
      </c>
      <c r="F2414" s="990"/>
      <c r="G2414" s="990"/>
      <c r="H2414" s="990"/>
      <c r="I2414" s="990"/>
      <c r="J2414" s="990"/>
      <c r="K2414" s="990"/>
      <c r="L2414" s="990"/>
      <c r="M2414" s="990"/>
      <c r="N2414" s="990"/>
      <c r="O2414" s="990"/>
      <c r="P2414" s="990"/>
      <c r="Q2414" s="990"/>
      <c r="R2414" s="990"/>
      <c r="S2414" s="990"/>
      <c r="T2414" s="990"/>
      <c r="U2414" s="990"/>
      <c r="V2414" s="990"/>
      <c r="W2414" s="990"/>
      <c r="X2414" s="990"/>
    </row>
    <row r="2415" spans="1:24" s="896" customFormat="1">
      <c r="A2415" s="987">
        <f t="shared" si="38"/>
        <v>2341</v>
      </c>
      <c r="B2415" s="988">
        <v>38115</v>
      </c>
      <c r="C2415" s="899" t="s">
        <v>11741</v>
      </c>
      <c r="D2415" s="988" t="s">
        <v>2666</v>
      </c>
      <c r="E2415" s="989">
        <v>23.69</v>
      </c>
      <c r="F2415" s="990"/>
      <c r="G2415" s="990"/>
      <c r="H2415" s="990"/>
      <c r="I2415" s="990"/>
      <c r="J2415" s="990"/>
      <c r="K2415" s="990"/>
      <c r="L2415" s="990"/>
      <c r="M2415" s="990"/>
      <c r="N2415" s="990"/>
      <c r="O2415" s="990"/>
      <c r="P2415" s="990"/>
      <c r="Q2415" s="990"/>
      <c r="R2415" s="990"/>
      <c r="S2415" s="990"/>
      <c r="T2415" s="990"/>
      <c r="U2415" s="990"/>
      <c r="V2415" s="990"/>
      <c r="W2415" s="990"/>
      <c r="X2415" s="990"/>
    </row>
    <row r="2416" spans="1:24" s="896" customFormat="1" ht="25.5">
      <c r="A2416" s="987">
        <f t="shared" si="38"/>
        <v>2342</v>
      </c>
      <c r="B2416" s="988">
        <v>38065</v>
      </c>
      <c r="C2416" s="899" t="s">
        <v>11742</v>
      </c>
      <c r="D2416" s="988" t="s">
        <v>2666</v>
      </c>
      <c r="E2416" s="989">
        <v>35.19</v>
      </c>
      <c r="F2416" s="990"/>
      <c r="G2416" s="990"/>
      <c r="H2416" s="990"/>
      <c r="I2416" s="990"/>
      <c r="J2416" s="990"/>
      <c r="K2416" s="990"/>
      <c r="L2416" s="990"/>
      <c r="M2416" s="990"/>
      <c r="N2416" s="990"/>
      <c r="O2416" s="990"/>
      <c r="P2416" s="990"/>
      <c r="Q2416" s="990"/>
      <c r="R2416" s="990"/>
      <c r="S2416" s="990"/>
      <c r="T2416" s="990"/>
      <c r="U2416" s="990"/>
      <c r="V2416" s="990"/>
      <c r="W2416" s="990"/>
      <c r="X2416" s="990"/>
    </row>
    <row r="2417" spans="1:24" s="896" customFormat="1" ht="25.5">
      <c r="A2417" s="987">
        <f t="shared" si="38"/>
        <v>2343</v>
      </c>
      <c r="B2417" s="988">
        <v>38078</v>
      </c>
      <c r="C2417" s="899" t="s">
        <v>11743</v>
      </c>
      <c r="D2417" s="988" t="s">
        <v>2666</v>
      </c>
      <c r="E2417" s="989">
        <v>20.53</v>
      </c>
      <c r="F2417" s="990"/>
      <c r="G2417" s="990"/>
      <c r="H2417" s="990"/>
      <c r="I2417" s="990"/>
      <c r="J2417" s="990"/>
      <c r="K2417" s="990"/>
      <c r="L2417" s="990"/>
      <c r="M2417" s="990"/>
      <c r="N2417" s="990"/>
      <c r="O2417" s="990"/>
      <c r="P2417" s="990"/>
      <c r="Q2417" s="990"/>
      <c r="R2417" s="990"/>
      <c r="S2417" s="990"/>
      <c r="T2417" s="990"/>
      <c r="U2417" s="990"/>
      <c r="V2417" s="990"/>
      <c r="W2417" s="990"/>
      <c r="X2417" s="990"/>
    </row>
    <row r="2418" spans="1:24" s="896" customFormat="1">
      <c r="A2418" s="987">
        <f t="shared" si="38"/>
        <v>2344</v>
      </c>
      <c r="B2418" s="988">
        <v>38113</v>
      </c>
      <c r="C2418" s="899" t="s">
        <v>11744</v>
      </c>
      <c r="D2418" s="988" t="s">
        <v>2666</v>
      </c>
      <c r="E2418" s="989">
        <v>11.15</v>
      </c>
      <c r="F2418" s="990"/>
      <c r="G2418" s="990"/>
      <c r="H2418" s="990"/>
      <c r="I2418" s="990"/>
      <c r="J2418" s="990"/>
      <c r="K2418" s="990"/>
      <c r="L2418" s="990"/>
      <c r="M2418" s="990"/>
      <c r="N2418" s="990"/>
      <c r="O2418" s="990"/>
      <c r="P2418" s="990"/>
      <c r="Q2418" s="990"/>
      <c r="R2418" s="990"/>
      <c r="S2418" s="990"/>
      <c r="T2418" s="990"/>
      <c r="U2418" s="990"/>
      <c r="V2418" s="990"/>
      <c r="W2418" s="990"/>
      <c r="X2418" s="990"/>
    </row>
    <row r="2419" spans="1:24" s="896" customFormat="1" ht="25.5">
      <c r="A2419" s="987">
        <f t="shared" si="38"/>
        <v>2345</v>
      </c>
      <c r="B2419" s="988">
        <v>38063</v>
      </c>
      <c r="C2419" s="899" t="s">
        <v>11745</v>
      </c>
      <c r="D2419" s="988" t="s">
        <v>2666</v>
      </c>
      <c r="E2419" s="989">
        <v>11.97</v>
      </c>
      <c r="F2419" s="990"/>
      <c r="G2419" s="990"/>
      <c r="H2419" s="990"/>
      <c r="I2419" s="990"/>
      <c r="J2419" s="990"/>
      <c r="K2419" s="990"/>
      <c r="L2419" s="990"/>
      <c r="M2419" s="990"/>
      <c r="N2419" s="990"/>
      <c r="O2419" s="990"/>
      <c r="P2419" s="990"/>
      <c r="Q2419" s="990"/>
      <c r="R2419" s="990"/>
      <c r="S2419" s="990"/>
      <c r="T2419" s="990"/>
      <c r="U2419" s="990"/>
      <c r="V2419" s="990"/>
      <c r="W2419" s="990"/>
      <c r="X2419" s="990"/>
    </row>
    <row r="2420" spans="1:24" s="896" customFormat="1" ht="25.5">
      <c r="A2420" s="987">
        <f t="shared" si="38"/>
        <v>2346</v>
      </c>
      <c r="B2420" s="988">
        <v>38080</v>
      </c>
      <c r="C2420" s="899" t="s">
        <v>11746</v>
      </c>
      <c r="D2420" s="988" t="s">
        <v>2666</v>
      </c>
      <c r="E2420" s="989">
        <v>35.659999999999997</v>
      </c>
      <c r="F2420" s="990"/>
      <c r="G2420" s="990"/>
      <c r="H2420" s="990"/>
      <c r="I2420" s="990"/>
      <c r="J2420" s="990"/>
      <c r="K2420" s="990"/>
      <c r="L2420" s="990"/>
      <c r="M2420" s="990"/>
      <c r="N2420" s="990"/>
      <c r="O2420" s="990"/>
      <c r="P2420" s="990"/>
      <c r="Q2420" s="990"/>
      <c r="R2420" s="990"/>
      <c r="S2420" s="990"/>
      <c r="T2420" s="990"/>
      <c r="U2420" s="990"/>
      <c r="V2420" s="990"/>
      <c r="W2420" s="990"/>
      <c r="X2420" s="990"/>
    </row>
    <row r="2421" spans="1:24" s="896" customFormat="1" ht="25.5">
      <c r="A2421" s="987">
        <f t="shared" si="38"/>
        <v>2347</v>
      </c>
      <c r="B2421" s="988">
        <v>38069</v>
      </c>
      <c r="C2421" s="899" t="s">
        <v>11747</v>
      </c>
      <c r="D2421" s="988" t="s">
        <v>2666</v>
      </c>
      <c r="E2421" s="989">
        <v>19.5</v>
      </c>
      <c r="F2421" s="990"/>
      <c r="G2421" s="990"/>
      <c r="H2421" s="990"/>
      <c r="I2421" s="990"/>
      <c r="J2421" s="990"/>
      <c r="K2421" s="990"/>
      <c r="L2421" s="990"/>
      <c r="M2421" s="990"/>
      <c r="N2421" s="990"/>
      <c r="O2421" s="990"/>
      <c r="P2421" s="990"/>
      <c r="Q2421" s="990"/>
      <c r="R2421" s="990"/>
      <c r="S2421" s="990"/>
      <c r="T2421" s="990"/>
      <c r="U2421" s="990"/>
      <c r="V2421" s="990"/>
      <c r="W2421" s="990"/>
      <c r="X2421" s="990"/>
    </row>
    <row r="2422" spans="1:24" s="896" customFormat="1" ht="25.5">
      <c r="A2422" s="987">
        <f t="shared" si="38"/>
        <v>2348</v>
      </c>
      <c r="B2422" s="988">
        <v>38077</v>
      </c>
      <c r="C2422" s="899" t="s">
        <v>11748</v>
      </c>
      <c r="D2422" s="988" t="s">
        <v>2666</v>
      </c>
      <c r="E2422" s="989">
        <v>19.059999999999999</v>
      </c>
      <c r="F2422" s="990"/>
      <c r="G2422" s="990"/>
      <c r="H2422" s="990"/>
      <c r="I2422" s="990"/>
      <c r="J2422" s="990"/>
      <c r="K2422" s="990"/>
      <c r="L2422" s="990"/>
      <c r="M2422" s="990"/>
      <c r="N2422" s="990"/>
      <c r="O2422" s="990"/>
      <c r="P2422" s="990"/>
      <c r="Q2422" s="990"/>
      <c r="R2422" s="990"/>
      <c r="S2422" s="990"/>
      <c r="T2422" s="990"/>
      <c r="U2422" s="990"/>
      <c r="V2422" s="990"/>
      <c r="W2422" s="990"/>
      <c r="X2422" s="990"/>
    </row>
    <row r="2423" spans="1:24" s="896" customFormat="1" ht="25.5">
      <c r="A2423" s="987">
        <f t="shared" si="38"/>
        <v>2349</v>
      </c>
      <c r="B2423" s="988">
        <v>38073</v>
      </c>
      <c r="C2423" s="899" t="s">
        <v>11749</v>
      </c>
      <c r="D2423" s="988" t="s">
        <v>2666</v>
      </c>
      <c r="E2423" s="989">
        <v>29.03</v>
      </c>
      <c r="F2423" s="990"/>
      <c r="G2423" s="990"/>
      <c r="H2423" s="990"/>
      <c r="I2423" s="990"/>
      <c r="J2423" s="990"/>
      <c r="K2423" s="990"/>
      <c r="L2423" s="990"/>
      <c r="M2423" s="990"/>
      <c r="N2423" s="990"/>
      <c r="O2423" s="990"/>
      <c r="P2423" s="990"/>
      <c r="Q2423" s="990"/>
      <c r="R2423" s="990"/>
      <c r="S2423" s="990"/>
      <c r="T2423" s="990"/>
      <c r="U2423" s="990"/>
      <c r="V2423" s="990"/>
      <c r="W2423" s="990"/>
      <c r="X2423" s="990"/>
    </row>
    <row r="2424" spans="1:24" s="896" customFormat="1">
      <c r="A2424" s="987">
        <f t="shared" si="38"/>
        <v>2350</v>
      </c>
      <c r="B2424" s="988">
        <v>38112</v>
      </c>
      <c r="C2424" s="899" t="s">
        <v>11750</v>
      </c>
      <c r="D2424" s="988" t="s">
        <v>2666</v>
      </c>
      <c r="E2424" s="989">
        <v>8.56</v>
      </c>
      <c r="F2424" s="990"/>
      <c r="G2424" s="990"/>
      <c r="H2424" s="990"/>
      <c r="I2424" s="990"/>
      <c r="J2424" s="990"/>
      <c r="K2424" s="990"/>
      <c r="L2424" s="990"/>
      <c r="M2424" s="990"/>
      <c r="N2424" s="990"/>
      <c r="O2424" s="990"/>
      <c r="P2424" s="990"/>
      <c r="Q2424" s="990"/>
      <c r="R2424" s="990"/>
      <c r="S2424" s="990"/>
      <c r="T2424" s="990"/>
      <c r="U2424" s="990"/>
      <c r="V2424" s="990"/>
      <c r="W2424" s="990"/>
      <c r="X2424" s="990"/>
    </row>
    <row r="2425" spans="1:24" s="896" customFormat="1" ht="25.5">
      <c r="A2425" s="987">
        <f t="shared" si="38"/>
        <v>2351</v>
      </c>
      <c r="B2425" s="988">
        <v>38062</v>
      </c>
      <c r="C2425" s="899" t="s">
        <v>11751</v>
      </c>
      <c r="D2425" s="988" t="s">
        <v>2666</v>
      </c>
      <c r="E2425" s="989">
        <v>8.7899999999999991</v>
      </c>
      <c r="F2425" s="990"/>
      <c r="G2425" s="990"/>
      <c r="H2425" s="990"/>
      <c r="I2425" s="990"/>
      <c r="J2425" s="990"/>
      <c r="K2425" s="990"/>
      <c r="L2425" s="990"/>
      <c r="M2425" s="990"/>
      <c r="N2425" s="990"/>
      <c r="O2425" s="990"/>
      <c r="P2425" s="990"/>
      <c r="Q2425" s="990"/>
      <c r="R2425" s="990"/>
      <c r="S2425" s="990"/>
      <c r="T2425" s="990"/>
      <c r="U2425" s="990"/>
      <c r="V2425" s="990"/>
      <c r="W2425" s="990"/>
      <c r="X2425" s="990"/>
    </row>
    <row r="2426" spans="1:24" s="896" customFormat="1" ht="25.5">
      <c r="A2426" s="987">
        <f t="shared" si="38"/>
        <v>2352</v>
      </c>
      <c r="B2426" s="988">
        <v>12128</v>
      </c>
      <c r="C2426" s="899" t="s">
        <v>11752</v>
      </c>
      <c r="D2426" s="988" t="s">
        <v>2666</v>
      </c>
      <c r="E2426" s="989">
        <v>11.75</v>
      </c>
      <c r="F2426" s="990"/>
      <c r="G2426" s="990"/>
      <c r="H2426" s="990"/>
      <c r="I2426" s="990"/>
      <c r="J2426" s="990"/>
      <c r="K2426" s="990"/>
      <c r="L2426" s="990"/>
      <c r="M2426" s="990"/>
      <c r="N2426" s="990"/>
      <c r="O2426" s="990"/>
      <c r="P2426" s="990"/>
      <c r="Q2426" s="990"/>
      <c r="R2426" s="990"/>
      <c r="S2426" s="990"/>
      <c r="T2426" s="990"/>
      <c r="U2426" s="990"/>
      <c r="V2426" s="990"/>
      <c r="W2426" s="990"/>
      <c r="X2426" s="990"/>
    </row>
    <row r="2427" spans="1:24" s="896" customFormat="1" ht="25.5">
      <c r="A2427" s="987">
        <f t="shared" si="38"/>
        <v>2353</v>
      </c>
      <c r="B2427" s="988">
        <v>12129</v>
      </c>
      <c r="C2427" s="899" t="s">
        <v>11753</v>
      </c>
      <c r="D2427" s="988" t="s">
        <v>2666</v>
      </c>
      <c r="E2427" s="989">
        <v>15.53</v>
      </c>
      <c r="F2427" s="990"/>
      <c r="G2427" s="990"/>
      <c r="H2427" s="990"/>
      <c r="I2427" s="990"/>
      <c r="J2427" s="990"/>
      <c r="K2427" s="990"/>
      <c r="L2427" s="990"/>
      <c r="M2427" s="990"/>
      <c r="N2427" s="990"/>
      <c r="O2427" s="990"/>
      <c r="P2427" s="990"/>
      <c r="Q2427" s="990"/>
      <c r="R2427" s="990"/>
      <c r="S2427" s="990"/>
      <c r="T2427" s="990"/>
      <c r="U2427" s="990"/>
      <c r="V2427" s="990"/>
      <c r="W2427" s="990"/>
      <c r="X2427" s="990"/>
    </row>
    <row r="2428" spans="1:24" s="896" customFormat="1" ht="25.5">
      <c r="A2428" s="987">
        <f t="shared" si="38"/>
        <v>2354</v>
      </c>
      <c r="B2428" s="988">
        <v>38081</v>
      </c>
      <c r="C2428" s="899" t="s">
        <v>11754</v>
      </c>
      <c r="D2428" s="988" t="s">
        <v>2666</v>
      </c>
      <c r="E2428" s="989">
        <v>30.25</v>
      </c>
      <c r="F2428" s="990"/>
      <c r="G2428" s="990"/>
      <c r="H2428" s="990"/>
      <c r="I2428" s="990"/>
      <c r="J2428" s="990"/>
      <c r="K2428" s="990"/>
      <c r="L2428" s="990"/>
      <c r="M2428" s="990"/>
      <c r="N2428" s="990"/>
      <c r="O2428" s="990"/>
      <c r="P2428" s="990"/>
      <c r="Q2428" s="990"/>
      <c r="R2428" s="990"/>
      <c r="S2428" s="990"/>
      <c r="T2428" s="990"/>
      <c r="U2428" s="990"/>
      <c r="V2428" s="990"/>
      <c r="W2428" s="990"/>
      <c r="X2428" s="990"/>
    </row>
    <row r="2429" spans="1:24" s="896" customFormat="1" ht="25.5">
      <c r="A2429" s="987">
        <f t="shared" si="38"/>
        <v>2355</v>
      </c>
      <c r="B2429" s="988">
        <v>38070</v>
      </c>
      <c r="C2429" s="899" t="s">
        <v>11755</v>
      </c>
      <c r="D2429" s="988" t="s">
        <v>2666</v>
      </c>
      <c r="E2429" s="989">
        <v>20.84</v>
      </c>
      <c r="F2429" s="990"/>
      <c r="G2429" s="990"/>
      <c r="H2429" s="990"/>
      <c r="I2429" s="990"/>
      <c r="J2429" s="990"/>
      <c r="K2429" s="990"/>
      <c r="L2429" s="990"/>
      <c r="M2429" s="990"/>
      <c r="N2429" s="990"/>
      <c r="O2429" s="990"/>
      <c r="P2429" s="990"/>
      <c r="Q2429" s="990"/>
      <c r="R2429" s="990"/>
      <c r="S2429" s="990"/>
      <c r="T2429" s="990"/>
      <c r="U2429" s="990"/>
      <c r="V2429" s="990"/>
      <c r="W2429" s="990"/>
      <c r="X2429" s="990"/>
    </row>
    <row r="2430" spans="1:24" s="896" customFormat="1" ht="25.5">
      <c r="A2430" s="987">
        <f t="shared" si="38"/>
        <v>2356</v>
      </c>
      <c r="B2430" s="988">
        <v>38074</v>
      </c>
      <c r="C2430" s="899" t="s">
        <v>11756</v>
      </c>
      <c r="D2430" s="988" t="s">
        <v>2666</v>
      </c>
      <c r="E2430" s="989">
        <v>31.69</v>
      </c>
      <c r="F2430" s="990"/>
      <c r="G2430" s="990"/>
      <c r="H2430" s="990"/>
      <c r="I2430" s="990"/>
      <c r="J2430" s="990"/>
      <c r="K2430" s="990"/>
      <c r="L2430" s="990"/>
      <c r="M2430" s="990"/>
      <c r="N2430" s="990"/>
      <c r="O2430" s="990"/>
      <c r="P2430" s="990"/>
      <c r="Q2430" s="990"/>
      <c r="R2430" s="990"/>
      <c r="S2430" s="990"/>
      <c r="T2430" s="990"/>
      <c r="U2430" s="990"/>
      <c r="V2430" s="990"/>
      <c r="W2430" s="990"/>
      <c r="X2430" s="990"/>
    </row>
    <row r="2431" spans="1:24" s="896" customFormat="1" ht="25.5">
      <c r="A2431" s="987">
        <f t="shared" si="38"/>
        <v>2357</v>
      </c>
      <c r="B2431" s="988">
        <v>38079</v>
      </c>
      <c r="C2431" s="899" t="s">
        <v>11757</v>
      </c>
      <c r="D2431" s="988" t="s">
        <v>2666</v>
      </c>
      <c r="E2431" s="989">
        <v>27.2</v>
      </c>
      <c r="F2431" s="990"/>
      <c r="G2431" s="990"/>
      <c r="H2431" s="990"/>
      <c r="I2431" s="990"/>
      <c r="J2431" s="990"/>
      <c r="K2431" s="990"/>
      <c r="L2431" s="990"/>
      <c r="M2431" s="990"/>
      <c r="N2431" s="990"/>
      <c r="O2431" s="990"/>
      <c r="P2431" s="990"/>
      <c r="Q2431" s="990"/>
      <c r="R2431" s="990"/>
      <c r="S2431" s="990"/>
      <c r="T2431" s="990"/>
      <c r="U2431" s="990"/>
      <c r="V2431" s="990"/>
      <c r="W2431" s="990"/>
      <c r="X2431" s="990"/>
    </row>
    <row r="2432" spans="1:24" s="896" customFormat="1" ht="25.5">
      <c r="A2432" s="987">
        <f t="shared" si="38"/>
        <v>2358</v>
      </c>
      <c r="B2432" s="988">
        <v>38072</v>
      </c>
      <c r="C2432" s="899" t="s">
        <v>11758</v>
      </c>
      <c r="D2432" s="988" t="s">
        <v>2666</v>
      </c>
      <c r="E2432" s="989">
        <v>26.14</v>
      </c>
      <c r="F2432" s="990"/>
      <c r="G2432" s="990"/>
      <c r="H2432" s="990"/>
      <c r="I2432" s="990"/>
      <c r="J2432" s="990"/>
      <c r="K2432" s="990"/>
      <c r="L2432" s="990"/>
      <c r="M2432" s="990"/>
      <c r="N2432" s="990"/>
      <c r="O2432" s="990"/>
      <c r="P2432" s="990"/>
      <c r="Q2432" s="990"/>
      <c r="R2432" s="990"/>
      <c r="S2432" s="990"/>
      <c r="T2432" s="990"/>
      <c r="U2432" s="990"/>
      <c r="V2432" s="990"/>
      <c r="W2432" s="990"/>
      <c r="X2432" s="990"/>
    </row>
    <row r="2433" spans="1:24" s="896" customFormat="1" ht="25.5">
      <c r="A2433" s="987">
        <f t="shared" si="38"/>
        <v>2359</v>
      </c>
      <c r="B2433" s="988">
        <v>38068</v>
      </c>
      <c r="C2433" s="899" t="s">
        <v>11759</v>
      </c>
      <c r="D2433" s="988" t="s">
        <v>2666</v>
      </c>
      <c r="E2433" s="989">
        <v>18.04</v>
      </c>
      <c r="F2433" s="990"/>
      <c r="G2433" s="990"/>
      <c r="H2433" s="990"/>
      <c r="I2433" s="990"/>
      <c r="J2433" s="990"/>
      <c r="K2433" s="990"/>
      <c r="L2433" s="990"/>
      <c r="M2433" s="990"/>
      <c r="N2433" s="990"/>
      <c r="O2433" s="990"/>
      <c r="P2433" s="990"/>
      <c r="Q2433" s="990"/>
      <c r="R2433" s="990"/>
      <c r="S2433" s="990"/>
      <c r="T2433" s="990"/>
      <c r="U2433" s="990"/>
      <c r="V2433" s="990"/>
      <c r="W2433" s="990"/>
      <c r="X2433" s="990"/>
    </row>
    <row r="2434" spans="1:24" s="896" customFormat="1" ht="25.5">
      <c r="A2434" s="987">
        <f t="shared" si="38"/>
        <v>2360</v>
      </c>
      <c r="B2434" s="988">
        <v>38071</v>
      </c>
      <c r="C2434" s="899" t="s">
        <v>11760</v>
      </c>
      <c r="D2434" s="988" t="s">
        <v>2666</v>
      </c>
      <c r="E2434" s="989">
        <v>21.57</v>
      </c>
      <c r="F2434" s="990"/>
      <c r="G2434" s="990"/>
      <c r="H2434" s="990"/>
      <c r="I2434" s="990"/>
      <c r="J2434" s="990"/>
      <c r="K2434" s="990"/>
      <c r="L2434" s="990"/>
      <c r="M2434" s="990"/>
      <c r="N2434" s="990"/>
      <c r="O2434" s="990"/>
      <c r="P2434" s="990"/>
      <c r="Q2434" s="990"/>
      <c r="R2434" s="990"/>
      <c r="S2434" s="990"/>
      <c r="T2434" s="990"/>
      <c r="U2434" s="990"/>
      <c r="V2434" s="990"/>
      <c r="W2434" s="990"/>
      <c r="X2434" s="990"/>
    </row>
    <row r="2435" spans="1:24" s="896" customFormat="1" ht="25.5">
      <c r="A2435" s="987">
        <f t="shared" si="38"/>
        <v>2361</v>
      </c>
      <c r="B2435" s="988">
        <v>38412</v>
      </c>
      <c r="C2435" s="899" t="s">
        <v>11761</v>
      </c>
      <c r="D2435" s="988" t="s">
        <v>2666</v>
      </c>
      <c r="E2435" s="989">
        <v>1092.96</v>
      </c>
      <c r="F2435" s="990"/>
      <c r="G2435" s="990"/>
      <c r="H2435" s="990"/>
      <c r="I2435" s="990"/>
      <c r="J2435" s="990"/>
      <c r="K2435" s="990"/>
      <c r="L2435" s="990"/>
      <c r="M2435" s="990"/>
      <c r="N2435" s="990"/>
      <c r="O2435" s="990"/>
      <c r="P2435" s="990"/>
      <c r="Q2435" s="990"/>
      <c r="R2435" s="990"/>
      <c r="S2435" s="990"/>
      <c r="T2435" s="990"/>
      <c r="U2435" s="990"/>
      <c r="V2435" s="990"/>
      <c r="W2435" s="990"/>
      <c r="X2435" s="990"/>
    </row>
    <row r="2436" spans="1:24" s="896" customFormat="1" ht="25.5">
      <c r="A2436" s="987">
        <f t="shared" si="38"/>
        <v>2362</v>
      </c>
      <c r="B2436" s="988">
        <v>3405</v>
      </c>
      <c r="C2436" s="899" t="s">
        <v>11762</v>
      </c>
      <c r="D2436" s="988" t="s">
        <v>2666</v>
      </c>
      <c r="E2436" s="989">
        <v>98.01</v>
      </c>
      <c r="F2436" s="990"/>
      <c r="G2436" s="990"/>
      <c r="H2436" s="990"/>
      <c r="I2436" s="990"/>
      <c r="J2436" s="990"/>
      <c r="K2436" s="990"/>
      <c r="L2436" s="990"/>
      <c r="M2436" s="990"/>
      <c r="N2436" s="990"/>
      <c r="O2436" s="990"/>
      <c r="P2436" s="990"/>
      <c r="Q2436" s="990"/>
      <c r="R2436" s="990"/>
      <c r="S2436" s="990"/>
      <c r="T2436" s="990"/>
      <c r="U2436" s="990"/>
      <c r="V2436" s="990"/>
      <c r="W2436" s="990"/>
      <c r="X2436" s="990"/>
    </row>
    <row r="2437" spans="1:24" s="896" customFormat="1">
      <c r="A2437" s="987">
        <f t="shared" si="38"/>
        <v>2363</v>
      </c>
      <c r="B2437" s="988">
        <v>3394</v>
      </c>
      <c r="C2437" s="899" t="s">
        <v>11763</v>
      </c>
      <c r="D2437" s="988" t="s">
        <v>2666</v>
      </c>
      <c r="E2437" s="989">
        <v>517.36</v>
      </c>
      <c r="F2437" s="990"/>
      <c r="G2437" s="990"/>
      <c r="H2437" s="990"/>
      <c r="I2437" s="990"/>
      <c r="J2437" s="990"/>
      <c r="K2437" s="990"/>
      <c r="L2437" s="990"/>
      <c r="M2437" s="990"/>
      <c r="N2437" s="990"/>
      <c r="O2437" s="990"/>
      <c r="P2437" s="990"/>
      <c r="Q2437" s="990"/>
      <c r="R2437" s="990"/>
      <c r="S2437" s="990"/>
      <c r="T2437" s="990"/>
      <c r="U2437" s="990"/>
      <c r="V2437" s="990"/>
      <c r="W2437" s="990"/>
      <c r="X2437" s="990"/>
    </row>
    <row r="2438" spans="1:24" s="896" customFormat="1">
      <c r="A2438" s="987">
        <f t="shared" si="38"/>
        <v>2364</v>
      </c>
      <c r="B2438" s="988">
        <v>3393</v>
      </c>
      <c r="C2438" s="899" t="s">
        <v>11764</v>
      </c>
      <c r="D2438" s="988" t="s">
        <v>2666</v>
      </c>
      <c r="E2438" s="989">
        <v>880.86</v>
      </c>
      <c r="F2438" s="990"/>
      <c r="G2438" s="990"/>
      <c r="H2438" s="990"/>
      <c r="I2438" s="990"/>
      <c r="J2438" s="990"/>
      <c r="K2438" s="990"/>
      <c r="L2438" s="990"/>
      <c r="M2438" s="990"/>
      <c r="N2438" s="990"/>
      <c r="O2438" s="990"/>
      <c r="P2438" s="990"/>
      <c r="Q2438" s="990"/>
      <c r="R2438" s="990"/>
      <c r="S2438" s="990"/>
      <c r="T2438" s="990"/>
      <c r="U2438" s="990"/>
      <c r="V2438" s="990"/>
      <c r="W2438" s="990"/>
      <c r="X2438" s="990"/>
    </row>
    <row r="2439" spans="1:24" s="896" customFormat="1">
      <c r="A2439" s="987">
        <f t="shared" si="38"/>
        <v>2365</v>
      </c>
      <c r="B2439" s="988">
        <v>3406</v>
      </c>
      <c r="C2439" s="899" t="s">
        <v>11765</v>
      </c>
      <c r="D2439" s="988" t="s">
        <v>2666</v>
      </c>
      <c r="E2439" s="989">
        <v>30</v>
      </c>
      <c r="F2439" s="990"/>
      <c r="G2439" s="990"/>
      <c r="H2439" s="990"/>
      <c r="I2439" s="990"/>
      <c r="J2439" s="990"/>
      <c r="K2439" s="990"/>
      <c r="L2439" s="990"/>
      <c r="M2439" s="990"/>
      <c r="N2439" s="990"/>
      <c r="O2439" s="990"/>
      <c r="P2439" s="990"/>
      <c r="Q2439" s="990"/>
      <c r="R2439" s="990"/>
      <c r="S2439" s="990"/>
      <c r="T2439" s="990"/>
      <c r="U2439" s="990"/>
      <c r="V2439" s="990"/>
      <c r="W2439" s="990"/>
      <c r="X2439" s="990"/>
    </row>
    <row r="2440" spans="1:24" s="896" customFormat="1">
      <c r="A2440" s="987">
        <f t="shared" si="38"/>
        <v>2366</v>
      </c>
      <c r="B2440" s="988">
        <v>3395</v>
      </c>
      <c r="C2440" s="899" t="s">
        <v>11766</v>
      </c>
      <c r="D2440" s="988" t="s">
        <v>2666</v>
      </c>
      <c r="E2440" s="989">
        <v>126.55</v>
      </c>
      <c r="F2440" s="990"/>
      <c r="G2440" s="990"/>
      <c r="H2440" s="990"/>
      <c r="I2440" s="990"/>
      <c r="J2440" s="990"/>
      <c r="K2440" s="990"/>
      <c r="L2440" s="990"/>
      <c r="M2440" s="990"/>
      <c r="N2440" s="990"/>
      <c r="O2440" s="990"/>
      <c r="P2440" s="990"/>
      <c r="Q2440" s="990"/>
      <c r="R2440" s="990"/>
      <c r="S2440" s="990"/>
      <c r="T2440" s="990"/>
      <c r="U2440" s="990"/>
      <c r="V2440" s="990"/>
      <c r="W2440" s="990"/>
      <c r="X2440" s="990"/>
    </row>
    <row r="2441" spans="1:24" s="896" customFormat="1" ht="25.5">
      <c r="A2441" s="987">
        <f t="shared" si="38"/>
        <v>2367</v>
      </c>
      <c r="B2441" s="988">
        <v>3398</v>
      </c>
      <c r="C2441" s="899" t="s">
        <v>11767</v>
      </c>
      <c r="D2441" s="988" t="s">
        <v>2666</v>
      </c>
      <c r="E2441" s="989">
        <v>6.01</v>
      </c>
      <c r="F2441" s="990"/>
      <c r="G2441" s="990"/>
      <c r="H2441" s="990"/>
      <c r="I2441" s="990"/>
      <c r="J2441" s="990"/>
      <c r="K2441" s="990"/>
      <c r="L2441" s="990"/>
      <c r="M2441" s="990"/>
      <c r="N2441" s="990"/>
      <c r="O2441" s="990"/>
      <c r="P2441" s="990"/>
      <c r="Q2441" s="990"/>
      <c r="R2441" s="990"/>
      <c r="S2441" s="990"/>
      <c r="T2441" s="990"/>
      <c r="U2441" s="990"/>
      <c r="V2441" s="990"/>
      <c r="W2441" s="990"/>
      <c r="X2441" s="990"/>
    </row>
    <row r="2442" spans="1:24" s="896" customFormat="1" ht="38.25">
      <c r="A2442" s="987">
        <f t="shared" si="38"/>
        <v>2368</v>
      </c>
      <c r="B2442" s="988">
        <v>40662</v>
      </c>
      <c r="C2442" s="899" t="s">
        <v>11768</v>
      </c>
      <c r="D2442" s="988" t="s">
        <v>2666</v>
      </c>
      <c r="E2442" s="989">
        <v>173.42</v>
      </c>
      <c r="F2442" s="990"/>
      <c r="G2442" s="990"/>
      <c r="H2442" s="990"/>
      <c r="I2442" s="990"/>
      <c r="J2442" s="990"/>
      <c r="K2442" s="990"/>
      <c r="L2442" s="990"/>
      <c r="M2442" s="990"/>
      <c r="N2442" s="990"/>
      <c r="O2442" s="990"/>
      <c r="P2442" s="990"/>
      <c r="Q2442" s="990"/>
      <c r="R2442" s="990"/>
      <c r="S2442" s="990"/>
      <c r="T2442" s="990"/>
      <c r="U2442" s="990"/>
      <c r="V2442" s="990"/>
      <c r="W2442" s="990"/>
      <c r="X2442" s="990"/>
    </row>
    <row r="2443" spans="1:24" s="896" customFormat="1" ht="38.25">
      <c r="A2443" s="987">
        <f t="shared" si="38"/>
        <v>2369</v>
      </c>
      <c r="B2443" s="988">
        <v>3437</v>
      </c>
      <c r="C2443" s="899" t="s">
        <v>11769</v>
      </c>
      <c r="D2443" s="988" t="s">
        <v>2667</v>
      </c>
      <c r="E2443" s="989">
        <v>481.74</v>
      </c>
      <c r="F2443" s="990"/>
      <c r="G2443" s="990"/>
      <c r="H2443" s="990"/>
      <c r="I2443" s="990"/>
      <c r="J2443" s="990"/>
      <c r="K2443" s="990"/>
      <c r="L2443" s="990"/>
      <c r="M2443" s="990"/>
      <c r="N2443" s="990"/>
      <c r="O2443" s="990"/>
      <c r="P2443" s="990"/>
      <c r="Q2443" s="990"/>
      <c r="R2443" s="990"/>
      <c r="S2443" s="990"/>
      <c r="T2443" s="990"/>
      <c r="U2443" s="990"/>
      <c r="V2443" s="990"/>
      <c r="W2443" s="990"/>
      <c r="X2443" s="990"/>
    </row>
    <row r="2444" spans="1:24" s="896" customFormat="1">
      <c r="A2444" s="987">
        <f t="shared" ref="A2444:A2507" si="39">A2443+1</f>
        <v>2370</v>
      </c>
      <c r="B2444" s="988">
        <v>11190</v>
      </c>
      <c r="C2444" s="899" t="s">
        <v>11770</v>
      </c>
      <c r="D2444" s="988" t="s">
        <v>2666</v>
      </c>
      <c r="E2444" s="989">
        <v>229</v>
      </c>
      <c r="F2444" s="990"/>
      <c r="G2444" s="990"/>
      <c r="H2444" s="990"/>
      <c r="I2444" s="990"/>
      <c r="J2444" s="990"/>
      <c r="K2444" s="990"/>
      <c r="L2444" s="990"/>
      <c r="M2444" s="990"/>
      <c r="N2444" s="990"/>
      <c r="O2444" s="990"/>
      <c r="P2444" s="990"/>
      <c r="Q2444" s="990"/>
      <c r="R2444" s="990"/>
      <c r="S2444" s="990"/>
      <c r="T2444" s="990"/>
      <c r="U2444" s="990"/>
      <c r="V2444" s="990"/>
      <c r="W2444" s="990"/>
      <c r="X2444" s="990"/>
    </row>
    <row r="2445" spans="1:24" s="896" customFormat="1" ht="38.25">
      <c r="A2445" s="987">
        <f t="shared" si="39"/>
        <v>2371</v>
      </c>
      <c r="B2445" s="988">
        <v>34377</v>
      </c>
      <c r="C2445" s="899" t="s">
        <v>11771</v>
      </c>
      <c r="D2445" s="988" t="s">
        <v>2666</v>
      </c>
      <c r="E2445" s="989">
        <v>190.98</v>
      </c>
      <c r="F2445" s="990"/>
      <c r="G2445" s="990"/>
      <c r="H2445" s="990"/>
      <c r="I2445" s="990"/>
      <c r="J2445" s="990"/>
      <c r="K2445" s="990"/>
      <c r="L2445" s="990"/>
      <c r="M2445" s="990"/>
      <c r="N2445" s="990"/>
      <c r="O2445" s="990"/>
      <c r="P2445" s="990"/>
      <c r="Q2445" s="990"/>
      <c r="R2445" s="990"/>
      <c r="S2445" s="990"/>
      <c r="T2445" s="990"/>
      <c r="U2445" s="990"/>
      <c r="V2445" s="990"/>
      <c r="W2445" s="990"/>
      <c r="X2445" s="990"/>
    </row>
    <row r="2446" spans="1:24" s="896" customFormat="1" ht="51">
      <c r="A2446" s="987">
        <f t="shared" si="39"/>
        <v>2372</v>
      </c>
      <c r="B2446" s="988">
        <v>3428</v>
      </c>
      <c r="C2446" s="899" t="s">
        <v>11772</v>
      </c>
      <c r="D2446" s="988" t="s">
        <v>2667</v>
      </c>
      <c r="E2446" s="989">
        <v>714.58</v>
      </c>
      <c r="F2446" s="990"/>
      <c r="G2446" s="990"/>
      <c r="H2446" s="990"/>
      <c r="I2446" s="990"/>
      <c r="J2446" s="990"/>
      <c r="K2446" s="990"/>
      <c r="L2446" s="990"/>
      <c r="M2446" s="990"/>
      <c r="N2446" s="990"/>
      <c r="O2446" s="990"/>
      <c r="P2446" s="990"/>
      <c r="Q2446" s="990"/>
      <c r="R2446" s="990"/>
      <c r="S2446" s="990"/>
      <c r="T2446" s="990"/>
      <c r="U2446" s="990"/>
      <c r="V2446" s="990"/>
      <c r="W2446" s="990"/>
      <c r="X2446" s="990"/>
    </row>
    <row r="2447" spans="1:24" s="896" customFormat="1" ht="51">
      <c r="A2447" s="987">
        <f t="shared" si="39"/>
        <v>2373</v>
      </c>
      <c r="B2447" s="988">
        <v>3429</v>
      </c>
      <c r="C2447" s="899" t="s">
        <v>11773</v>
      </c>
      <c r="D2447" s="988" t="s">
        <v>2667</v>
      </c>
      <c r="E2447" s="989">
        <v>408.27</v>
      </c>
      <c r="F2447" s="990"/>
      <c r="G2447" s="990"/>
      <c r="H2447" s="990"/>
      <c r="I2447" s="990"/>
      <c r="J2447" s="990"/>
      <c r="K2447" s="990"/>
      <c r="L2447" s="990"/>
      <c r="M2447" s="990"/>
      <c r="N2447" s="990"/>
      <c r="O2447" s="990"/>
      <c r="P2447" s="990"/>
      <c r="Q2447" s="990"/>
      <c r="R2447" s="990"/>
      <c r="S2447" s="990"/>
      <c r="T2447" s="990"/>
      <c r="U2447" s="990"/>
      <c r="V2447" s="990"/>
      <c r="W2447" s="990"/>
      <c r="X2447" s="990"/>
    </row>
    <row r="2448" spans="1:24" s="896" customFormat="1" ht="38.25">
      <c r="A2448" s="987">
        <f t="shared" si="39"/>
        <v>2374</v>
      </c>
      <c r="B2448" s="988">
        <v>34364</v>
      </c>
      <c r="C2448" s="899" t="s">
        <v>11774</v>
      </c>
      <c r="D2448" s="988" t="s">
        <v>2666</v>
      </c>
      <c r="E2448" s="989">
        <v>626.66</v>
      </c>
      <c r="F2448" s="990"/>
      <c r="G2448" s="990"/>
      <c r="H2448" s="990"/>
      <c r="I2448" s="990"/>
      <c r="J2448" s="990"/>
      <c r="K2448" s="990"/>
      <c r="L2448" s="990"/>
      <c r="M2448" s="990"/>
      <c r="N2448" s="990"/>
      <c r="O2448" s="990"/>
      <c r="P2448" s="990"/>
      <c r="Q2448" s="990"/>
      <c r="R2448" s="990"/>
      <c r="S2448" s="990"/>
      <c r="T2448" s="990"/>
      <c r="U2448" s="990"/>
      <c r="V2448" s="990"/>
      <c r="W2448" s="990"/>
      <c r="X2448" s="990"/>
    </row>
    <row r="2449" spans="1:24" s="896" customFormat="1" ht="25.5">
      <c r="A2449" s="987">
        <f t="shared" si="39"/>
        <v>2375</v>
      </c>
      <c r="B2449" s="988">
        <v>11199</v>
      </c>
      <c r="C2449" s="899" t="s">
        <v>11775</v>
      </c>
      <c r="D2449" s="988" t="s">
        <v>2666</v>
      </c>
      <c r="E2449" s="989">
        <v>1264.72</v>
      </c>
      <c r="F2449" s="990"/>
      <c r="G2449" s="990"/>
      <c r="H2449" s="990"/>
      <c r="I2449" s="990"/>
      <c r="J2449" s="990"/>
      <c r="K2449" s="990"/>
      <c r="L2449" s="990"/>
      <c r="M2449" s="990"/>
      <c r="N2449" s="990"/>
      <c r="O2449" s="990"/>
      <c r="P2449" s="990"/>
      <c r="Q2449" s="990"/>
      <c r="R2449" s="990"/>
      <c r="S2449" s="990"/>
      <c r="T2449" s="990"/>
      <c r="U2449" s="990"/>
      <c r="V2449" s="990"/>
      <c r="W2449" s="990"/>
      <c r="X2449" s="990"/>
    </row>
    <row r="2450" spans="1:24" s="896" customFormat="1" ht="38.25">
      <c r="A2450" s="987">
        <f t="shared" si="39"/>
        <v>2376</v>
      </c>
      <c r="B2450" s="988">
        <v>34369</v>
      </c>
      <c r="C2450" s="899" t="s">
        <v>11776</v>
      </c>
      <c r="D2450" s="988" t="s">
        <v>2666</v>
      </c>
      <c r="E2450" s="989">
        <v>664.27</v>
      </c>
      <c r="F2450" s="990"/>
      <c r="G2450" s="990"/>
      <c r="H2450" s="990"/>
      <c r="I2450" s="990"/>
      <c r="J2450" s="990"/>
      <c r="K2450" s="990"/>
      <c r="L2450" s="990"/>
      <c r="M2450" s="990"/>
      <c r="N2450" s="990"/>
      <c r="O2450" s="990"/>
      <c r="P2450" s="990"/>
      <c r="Q2450" s="990"/>
      <c r="R2450" s="990"/>
      <c r="S2450" s="990"/>
      <c r="T2450" s="990"/>
      <c r="U2450" s="990"/>
      <c r="V2450" s="990"/>
      <c r="W2450" s="990"/>
      <c r="X2450" s="990"/>
    </row>
    <row r="2451" spans="1:24" s="896" customFormat="1" ht="38.25">
      <c r="A2451" s="987">
        <f t="shared" si="39"/>
        <v>2377</v>
      </c>
      <c r="B2451" s="988">
        <v>36896</v>
      </c>
      <c r="C2451" s="899" t="s">
        <v>11777</v>
      </c>
      <c r="D2451" s="988" t="s">
        <v>2666</v>
      </c>
      <c r="E2451" s="989">
        <v>369.9</v>
      </c>
      <c r="F2451" s="990"/>
      <c r="G2451" s="990"/>
      <c r="H2451" s="990"/>
      <c r="I2451" s="990"/>
      <c r="J2451" s="990"/>
      <c r="K2451" s="990"/>
      <c r="L2451" s="990"/>
      <c r="M2451" s="990"/>
      <c r="N2451" s="990"/>
      <c r="O2451" s="990"/>
      <c r="P2451" s="990"/>
      <c r="Q2451" s="990"/>
      <c r="R2451" s="990"/>
      <c r="S2451" s="990"/>
      <c r="T2451" s="990"/>
      <c r="U2451" s="990"/>
      <c r="V2451" s="990"/>
      <c r="W2451" s="990"/>
      <c r="X2451" s="990"/>
    </row>
    <row r="2452" spans="1:24" s="896" customFormat="1" ht="38.25">
      <c r="A2452" s="987">
        <f t="shared" si="39"/>
        <v>2378</v>
      </c>
      <c r="B2452" s="988">
        <v>34367</v>
      </c>
      <c r="C2452" s="899" t="s">
        <v>11778</v>
      </c>
      <c r="D2452" s="988" t="s">
        <v>2666</v>
      </c>
      <c r="E2452" s="989">
        <v>476.74</v>
      </c>
      <c r="F2452" s="990"/>
      <c r="G2452" s="990"/>
      <c r="H2452" s="990"/>
      <c r="I2452" s="990"/>
      <c r="J2452" s="990"/>
      <c r="K2452" s="990"/>
      <c r="L2452" s="990"/>
      <c r="M2452" s="990"/>
      <c r="N2452" s="990"/>
      <c r="O2452" s="990"/>
      <c r="P2452" s="990"/>
      <c r="Q2452" s="990"/>
      <c r="R2452" s="990"/>
      <c r="S2452" s="990"/>
      <c r="T2452" s="990"/>
      <c r="U2452" s="990"/>
      <c r="V2452" s="990"/>
      <c r="W2452" s="990"/>
      <c r="X2452" s="990"/>
    </row>
    <row r="2453" spans="1:24" s="896" customFormat="1" ht="38.25">
      <c r="A2453" s="987">
        <f t="shared" si="39"/>
        <v>2379</v>
      </c>
      <c r="B2453" s="988">
        <v>36897</v>
      </c>
      <c r="C2453" s="899" t="s">
        <v>11779</v>
      </c>
      <c r="D2453" s="988" t="s">
        <v>2666</v>
      </c>
      <c r="E2453" s="989">
        <v>577.22</v>
      </c>
      <c r="F2453" s="990"/>
      <c r="G2453" s="990"/>
      <c r="H2453" s="990"/>
      <c r="I2453" s="990"/>
      <c r="J2453" s="990"/>
      <c r="K2453" s="990"/>
      <c r="L2453" s="990"/>
      <c r="M2453" s="990"/>
      <c r="N2453" s="990"/>
      <c r="O2453" s="990"/>
      <c r="P2453" s="990"/>
      <c r="Q2453" s="990"/>
      <c r="R2453" s="990"/>
      <c r="S2453" s="990"/>
      <c r="T2453" s="990"/>
      <c r="U2453" s="990"/>
      <c r="V2453" s="990"/>
      <c r="W2453" s="990"/>
      <c r="X2453" s="990"/>
    </row>
    <row r="2454" spans="1:24" s="896" customFormat="1" ht="51">
      <c r="A2454" s="987">
        <f t="shared" si="39"/>
        <v>2380</v>
      </c>
      <c r="B2454" s="988">
        <v>40659</v>
      </c>
      <c r="C2454" s="899" t="s">
        <v>11780</v>
      </c>
      <c r="D2454" s="988" t="s">
        <v>2667</v>
      </c>
      <c r="E2454" s="989">
        <v>681.59</v>
      </c>
      <c r="F2454" s="990"/>
      <c r="G2454" s="990"/>
      <c r="H2454" s="990"/>
      <c r="I2454" s="990"/>
      <c r="J2454" s="990"/>
      <c r="K2454" s="990"/>
      <c r="L2454" s="990"/>
      <c r="M2454" s="990"/>
      <c r="N2454" s="990"/>
      <c r="O2454" s="990"/>
      <c r="P2454" s="990"/>
      <c r="Q2454" s="990"/>
      <c r="R2454" s="990"/>
      <c r="S2454" s="990"/>
      <c r="T2454" s="990"/>
      <c r="U2454" s="990"/>
      <c r="V2454" s="990"/>
      <c r="W2454" s="990"/>
      <c r="X2454" s="990"/>
    </row>
    <row r="2455" spans="1:24" s="896" customFormat="1" ht="51">
      <c r="A2455" s="987">
        <f t="shared" si="39"/>
        <v>2381</v>
      </c>
      <c r="B2455" s="988">
        <v>40660</v>
      </c>
      <c r="C2455" s="899" t="s">
        <v>11781</v>
      </c>
      <c r="D2455" s="988" t="s">
        <v>2667</v>
      </c>
      <c r="E2455" s="989">
        <v>863.84</v>
      </c>
      <c r="F2455" s="990"/>
      <c r="G2455" s="990"/>
      <c r="H2455" s="990"/>
      <c r="I2455" s="990"/>
      <c r="J2455" s="990"/>
      <c r="K2455" s="990"/>
      <c r="L2455" s="990"/>
      <c r="M2455" s="990"/>
      <c r="N2455" s="990"/>
      <c r="O2455" s="990"/>
      <c r="P2455" s="990"/>
      <c r="Q2455" s="990"/>
      <c r="R2455" s="990"/>
      <c r="S2455" s="990"/>
      <c r="T2455" s="990"/>
      <c r="U2455" s="990"/>
      <c r="V2455" s="990"/>
      <c r="W2455" s="990"/>
      <c r="X2455" s="990"/>
    </row>
    <row r="2456" spans="1:24" s="896" customFormat="1" ht="51">
      <c r="A2456" s="987">
        <f t="shared" si="39"/>
        <v>2382</v>
      </c>
      <c r="B2456" s="988">
        <v>40661</v>
      </c>
      <c r="C2456" s="899" t="s">
        <v>11782</v>
      </c>
      <c r="D2456" s="988" t="s">
        <v>2667</v>
      </c>
      <c r="E2456" s="989">
        <v>531.11</v>
      </c>
      <c r="F2456" s="990"/>
      <c r="G2456" s="990"/>
      <c r="H2456" s="990"/>
      <c r="I2456" s="990"/>
      <c r="J2456" s="990"/>
      <c r="K2456" s="990"/>
      <c r="L2456" s="990"/>
      <c r="M2456" s="990"/>
      <c r="N2456" s="990"/>
      <c r="O2456" s="990"/>
      <c r="P2456" s="990"/>
      <c r="Q2456" s="990"/>
      <c r="R2456" s="990"/>
      <c r="S2456" s="990"/>
      <c r="T2456" s="990"/>
      <c r="U2456" s="990"/>
      <c r="V2456" s="990"/>
      <c r="W2456" s="990"/>
      <c r="X2456" s="990"/>
    </row>
    <row r="2457" spans="1:24" s="896" customFormat="1" ht="51">
      <c r="A2457" s="987">
        <f t="shared" si="39"/>
        <v>2383</v>
      </c>
      <c r="B2457" s="988">
        <v>3421</v>
      </c>
      <c r="C2457" s="899" t="s">
        <v>11783</v>
      </c>
      <c r="D2457" s="988" t="s">
        <v>2667</v>
      </c>
      <c r="E2457" s="989">
        <v>535.16999999999996</v>
      </c>
      <c r="F2457" s="990"/>
      <c r="G2457" s="990"/>
      <c r="H2457" s="990"/>
      <c r="I2457" s="990"/>
      <c r="J2457" s="990"/>
      <c r="K2457" s="990"/>
      <c r="L2457" s="990"/>
      <c r="M2457" s="990"/>
      <c r="N2457" s="990"/>
      <c r="O2457" s="990"/>
      <c r="P2457" s="990"/>
      <c r="Q2457" s="990"/>
      <c r="R2457" s="990"/>
      <c r="S2457" s="990"/>
      <c r="T2457" s="990"/>
      <c r="U2457" s="990"/>
      <c r="V2457" s="990"/>
      <c r="W2457" s="990"/>
      <c r="X2457" s="990"/>
    </row>
    <row r="2458" spans="1:24" s="896" customFormat="1" ht="38.25">
      <c r="A2458" s="987">
        <f t="shared" si="39"/>
        <v>2384</v>
      </c>
      <c r="B2458" s="988">
        <v>599</v>
      </c>
      <c r="C2458" s="899" t="s">
        <v>11784</v>
      </c>
      <c r="D2458" s="988" t="s">
        <v>2667</v>
      </c>
      <c r="E2458" s="989">
        <v>674.62</v>
      </c>
      <c r="F2458" s="990"/>
      <c r="G2458" s="990"/>
      <c r="H2458" s="990"/>
      <c r="I2458" s="990"/>
      <c r="J2458" s="990"/>
      <c r="K2458" s="990"/>
      <c r="L2458" s="990"/>
      <c r="M2458" s="990"/>
      <c r="N2458" s="990"/>
      <c r="O2458" s="990"/>
      <c r="P2458" s="990"/>
      <c r="Q2458" s="990"/>
      <c r="R2458" s="990"/>
      <c r="S2458" s="990"/>
      <c r="T2458" s="990"/>
      <c r="U2458" s="990"/>
      <c r="V2458" s="990"/>
      <c r="W2458" s="990"/>
      <c r="X2458" s="990"/>
    </row>
    <row r="2459" spans="1:24" s="896" customFormat="1" ht="38.25">
      <c r="A2459" s="987">
        <f t="shared" si="39"/>
        <v>2385</v>
      </c>
      <c r="B2459" s="988">
        <v>44053</v>
      </c>
      <c r="C2459" s="899" t="s">
        <v>11785</v>
      </c>
      <c r="D2459" s="988" t="s">
        <v>2666</v>
      </c>
      <c r="E2459" s="989">
        <v>1497.33</v>
      </c>
      <c r="F2459" s="990"/>
      <c r="G2459" s="990"/>
      <c r="H2459" s="990"/>
      <c r="I2459" s="990"/>
      <c r="J2459" s="990"/>
      <c r="K2459" s="990"/>
      <c r="L2459" s="990"/>
      <c r="M2459" s="990"/>
      <c r="N2459" s="990"/>
      <c r="O2459" s="990"/>
      <c r="P2459" s="990"/>
      <c r="Q2459" s="990"/>
      <c r="R2459" s="990"/>
      <c r="S2459" s="990"/>
      <c r="T2459" s="990"/>
      <c r="U2459" s="990"/>
      <c r="V2459" s="990"/>
      <c r="W2459" s="990"/>
      <c r="X2459" s="990"/>
    </row>
    <row r="2460" spans="1:24" s="896" customFormat="1" ht="38.25">
      <c r="A2460" s="987">
        <f t="shared" si="39"/>
        <v>2386</v>
      </c>
      <c r="B2460" s="988">
        <v>3423</v>
      </c>
      <c r="C2460" s="899" t="s">
        <v>11786</v>
      </c>
      <c r="D2460" s="988" t="s">
        <v>2667</v>
      </c>
      <c r="E2460" s="989">
        <v>754.72</v>
      </c>
      <c r="F2460" s="990"/>
      <c r="G2460" s="990"/>
      <c r="H2460" s="990"/>
      <c r="I2460" s="990"/>
      <c r="J2460" s="990"/>
      <c r="K2460" s="990"/>
      <c r="L2460" s="990"/>
      <c r="M2460" s="990"/>
      <c r="N2460" s="990"/>
      <c r="O2460" s="990"/>
      <c r="P2460" s="990"/>
      <c r="Q2460" s="990"/>
      <c r="R2460" s="990"/>
      <c r="S2460" s="990"/>
      <c r="T2460" s="990"/>
      <c r="U2460" s="990"/>
      <c r="V2460" s="990"/>
      <c r="W2460" s="990"/>
      <c r="X2460" s="990"/>
    </row>
    <row r="2461" spans="1:24" s="896" customFormat="1" ht="25.5">
      <c r="A2461" s="987">
        <f t="shared" si="39"/>
        <v>2387</v>
      </c>
      <c r="B2461" s="988">
        <v>34381</v>
      </c>
      <c r="C2461" s="899" t="s">
        <v>11787</v>
      </c>
      <c r="D2461" s="988" t="s">
        <v>2666</v>
      </c>
      <c r="E2461" s="989">
        <v>272.39</v>
      </c>
      <c r="F2461" s="990"/>
      <c r="G2461" s="990"/>
      <c r="H2461" s="990"/>
      <c r="I2461" s="990"/>
      <c r="J2461" s="990"/>
      <c r="K2461" s="990"/>
      <c r="L2461" s="990"/>
      <c r="M2461" s="990"/>
      <c r="N2461" s="990"/>
      <c r="O2461" s="990"/>
      <c r="P2461" s="990"/>
      <c r="Q2461" s="990"/>
      <c r="R2461" s="990"/>
      <c r="S2461" s="990"/>
      <c r="T2461" s="990"/>
      <c r="U2461" s="990"/>
      <c r="V2461" s="990"/>
      <c r="W2461" s="990"/>
      <c r="X2461" s="990"/>
    </row>
    <row r="2462" spans="1:24" s="896" customFormat="1" ht="25.5">
      <c r="A2462" s="987">
        <f t="shared" si="39"/>
        <v>2388</v>
      </c>
      <c r="B2462" s="988">
        <v>34797</v>
      </c>
      <c r="C2462" s="899" t="s">
        <v>11788</v>
      </c>
      <c r="D2462" s="988" t="s">
        <v>2666</v>
      </c>
      <c r="E2462" s="989">
        <v>498.8</v>
      </c>
      <c r="F2462" s="990"/>
      <c r="G2462" s="990"/>
      <c r="H2462" s="990"/>
      <c r="I2462" s="990"/>
      <c r="J2462" s="990"/>
      <c r="K2462" s="990"/>
      <c r="L2462" s="990"/>
      <c r="M2462" s="990"/>
      <c r="N2462" s="990"/>
      <c r="O2462" s="990"/>
      <c r="P2462" s="990"/>
      <c r="Q2462" s="990"/>
      <c r="R2462" s="990"/>
      <c r="S2462" s="990"/>
      <c r="T2462" s="990"/>
      <c r="U2462" s="990"/>
      <c r="V2462" s="990"/>
      <c r="W2462" s="990"/>
      <c r="X2462" s="990"/>
    </row>
    <row r="2463" spans="1:24" s="896" customFormat="1" ht="38.25">
      <c r="A2463" s="987">
        <f t="shared" si="39"/>
        <v>2389</v>
      </c>
      <c r="B2463" s="988">
        <v>44054</v>
      </c>
      <c r="C2463" s="899" t="s">
        <v>11789</v>
      </c>
      <c r="D2463" s="988" t="s">
        <v>2666</v>
      </c>
      <c r="E2463" s="989">
        <v>537.15</v>
      </c>
      <c r="F2463" s="990"/>
      <c r="G2463" s="990"/>
      <c r="H2463" s="990"/>
      <c r="I2463" s="990"/>
      <c r="J2463" s="990"/>
      <c r="K2463" s="990"/>
      <c r="L2463" s="990"/>
      <c r="M2463" s="990"/>
      <c r="N2463" s="990"/>
      <c r="O2463" s="990"/>
      <c r="P2463" s="990"/>
      <c r="Q2463" s="990"/>
      <c r="R2463" s="990"/>
      <c r="S2463" s="990"/>
      <c r="T2463" s="990"/>
      <c r="U2463" s="990"/>
      <c r="V2463" s="990"/>
      <c r="W2463" s="990"/>
      <c r="X2463" s="990"/>
    </row>
    <row r="2464" spans="1:24" s="896" customFormat="1" ht="38.25">
      <c r="A2464" s="987">
        <f t="shared" si="39"/>
        <v>2390</v>
      </c>
      <c r="B2464" s="988">
        <v>44399</v>
      </c>
      <c r="C2464" s="899" t="s">
        <v>11790</v>
      </c>
      <c r="D2464" s="988" t="s">
        <v>2666</v>
      </c>
      <c r="E2464" s="989">
        <v>733.92</v>
      </c>
      <c r="F2464" s="990"/>
      <c r="G2464" s="990"/>
      <c r="H2464" s="990"/>
      <c r="I2464" s="990"/>
      <c r="J2464" s="990"/>
      <c r="K2464" s="990"/>
      <c r="L2464" s="990"/>
      <c r="M2464" s="990"/>
      <c r="N2464" s="990"/>
      <c r="O2464" s="990"/>
      <c r="P2464" s="990"/>
      <c r="Q2464" s="990"/>
      <c r="R2464" s="990"/>
      <c r="S2464" s="990"/>
      <c r="T2464" s="990"/>
      <c r="U2464" s="990"/>
      <c r="V2464" s="990"/>
      <c r="W2464" s="990"/>
      <c r="X2464" s="990"/>
    </row>
    <row r="2465" spans="1:24" s="896" customFormat="1">
      <c r="A2465" s="987">
        <f t="shared" si="39"/>
        <v>2391</v>
      </c>
      <c r="B2465" s="988">
        <v>44503</v>
      </c>
      <c r="C2465" s="899" t="s">
        <v>11791</v>
      </c>
      <c r="D2465" s="988" t="s">
        <v>2665</v>
      </c>
      <c r="E2465" s="989">
        <v>18.04</v>
      </c>
      <c r="F2465" s="990"/>
      <c r="G2465" s="990"/>
      <c r="H2465" s="990"/>
      <c r="I2465" s="990"/>
      <c r="J2465" s="990"/>
      <c r="K2465" s="990"/>
      <c r="L2465" s="990"/>
      <c r="M2465" s="990"/>
      <c r="N2465" s="990"/>
      <c r="O2465" s="990"/>
      <c r="P2465" s="990"/>
      <c r="Q2465" s="990"/>
      <c r="R2465" s="990"/>
      <c r="S2465" s="990"/>
      <c r="T2465" s="990"/>
      <c r="U2465" s="990"/>
      <c r="V2465" s="990"/>
      <c r="W2465" s="990"/>
      <c r="X2465" s="990"/>
    </row>
    <row r="2466" spans="1:24" s="896" customFormat="1">
      <c r="A2466" s="987">
        <f t="shared" si="39"/>
        <v>2392</v>
      </c>
      <c r="B2466" s="988">
        <v>41077</v>
      </c>
      <c r="C2466" s="899" t="s">
        <v>11792</v>
      </c>
      <c r="D2466" s="988" t="s">
        <v>2672</v>
      </c>
      <c r="E2466" s="989">
        <v>3173.27</v>
      </c>
      <c r="F2466" s="990"/>
      <c r="G2466" s="990"/>
      <c r="H2466" s="990"/>
      <c r="I2466" s="990"/>
      <c r="J2466" s="990"/>
      <c r="K2466" s="990"/>
      <c r="L2466" s="990"/>
      <c r="M2466" s="990"/>
      <c r="N2466" s="990"/>
      <c r="O2466" s="990"/>
      <c r="P2466" s="990"/>
      <c r="Q2466" s="990"/>
      <c r="R2466" s="990"/>
      <c r="S2466" s="990"/>
      <c r="T2466" s="990"/>
      <c r="U2466" s="990"/>
      <c r="V2466" s="990"/>
      <c r="W2466" s="990"/>
      <c r="X2466" s="990"/>
    </row>
    <row r="2467" spans="1:24" s="896" customFormat="1" ht="25.5">
      <c r="A2467" s="987">
        <f t="shared" si="39"/>
        <v>2393</v>
      </c>
      <c r="B2467" s="988">
        <v>20159</v>
      </c>
      <c r="C2467" s="899" t="s">
        <v>11793</v>
      </c>
      <c r="D2467" s="988" t="s">
        <v>2666</v>
      </c>
      <c r="E2467" s="989">
        <v>73.989999999999995</v>
      </c>
      <c r="F2467" s="990"/>
      <c r="G2467" s="990"/>
      <c r="H2467" s="990"/>
      <c r="I2467" s="990"/>
      <c r="J2467" s="990"/>
      <c r="K2467" s="990"/>
      <c r="L2467" s="990"/>
      <c r="M2467" s="990"/>
      <c r="N2467" s="990"/>
      <c r="O2467" s="990"/>
      <c r="P2467" s="990"/>
      <c r="Q2467" s="990"/>
      <c r="R2467" s="990"/>
      <c r="S2467" s="990"/>
      <c r="T2467" s="990"/>
      <c r="U2467" s="990"/>
      <c r="V2467" s="990"/>
      <c r="W2467" s="990"/>
      <c r="X2467" s="990"/>
    </row>
    <row r="2468" spans="1:24" s="896" customFormat="1">
      <c r="A2468" s="987">
        <f t="shared" si="39"/>
        <v>2394</v>
      </c>
      <c r="B2468" s="988">
        <v>37963</v>
      </c>
      <c r="C2468" s="899" t="s">
        <v>11794</v>
      </c>
      <c r="D2468" s="988" t="s">
        <v>2666</v>
      </c>
      <c r="E2468" s="989">
        <v>5.74</v>
      </c>
      <c r="F2468" s="990"/>
      <c r="G2468" s="990"/>
      <c r="H2468" s="990"/>
      <c r="I2468" s="990"/>
      <c r="J2468" s="990"/>
      <c r="K2468" s="990"/>
      <c r="L2468" s="990"/>
      <c r="M2468" s="990"/>
      <c r="N2468" s="990"/>
      <c r="O2468" s="990"/>
      <c r="P2468" s="990"/>
      <c r="Q2468" s="990"/>
      <c r="R2468" s="990"/>
      <c r="S2468" s="990"/>
      <c r="T2468" s="990"/>
      <c r="U2468" s="990"/>
      <c r="V2468" s="990"/>
      <c r="W2468" s="990"/>
      <c r="X2468" s="990"/>
    </row>
    <row r="2469" spans="1:24" s="896" customFormat="1">
      <c r="A2469" s="987">
        <f t="shared" si="39"/>
        <v>2395</v>
      </c>
      <c r="B2469" s="988">
        <v>37964</v>
      </c>
      <c r="C2469" s="899" t="s">
        <v>11795</v>
      </c>
      <c r="D2469" s="988" t="s">
        <v>2666</v>
      </c>
      <c r="E2469" s="989">
        <v>9.57</v>
      </c>
      <c r="F2469" s="990"/>
      <c r="G2469" s="990"/>
      <c r="H2469" s="990"/>
      <c r="I2469" s="990"/>
      <c r="J2469" s="990"/>
      <c r="K2469" s="990"/>
      <c r="L2469" s="990"/>
      <c r="M2469" s="990"/>
      <c r="N2469" s="990"/>
      <c r="O2469" s="990"/>
      <c r="P2469" s="990"/>
      <c r="Q2469" s="990"/>
      <c r="R2469" s="990"/>
      <c r="S2469" s="990"/>
      <c r="T2469" s="990"/>
      <c r="U2469" s="990"/>
      <c r="V2469" s="990"/>
      <c r="W2469" s="990"/>
      <c r="X2469" s="990"/>
    </row>
    <row r="2470" spans="1:24" s="896" customFormat="1">
      <c r="A2470" s="987">
        <f t="shared" si="39"/>
        <v>2396</v>
      </c>
      <c r="B2470" s="988">
        <v>37965</v>
      </c>
      <c r="C2470" s="899" t="s">
        <v>11796</v>
      </c>
      <c r="D2470" s="988" t="s">
        <v>2666</v>
      </c>
      <c r="E2470" s="989">
        <v>13.88</v>
      </c>
      <c r="F2470" s="990"/>
      <c r="G2470" s="990"/>
      <c r="H2470" s="990"/>
      <c r="I2470" s="990"/>
      <c r="J2470" s="990"/>
      <c r="K2470" s="990"/>
      <c r="L2470" s="990"/>
      <c r="M2470" s="990"/>
      <c r="N2470" s="990"/>
      <c r="O2470" s="990"/>
      <c r="P2470" s="990"/>
      <c r="Q2470" s="990"/>
      <c r="R2470" s="990"/>
      <c r="S2470" s="990"/>
      <c r="T2470" s="990"/>
      <c r="U2470" s="990"/>
      <c r="V2470" s="990"/>
      <c r="W2470" s="990"/>
      <c r="X2470" s="990"/>
    </row>
    <row r="2471" spans="1:24" s="896" customFormat="1">
      <c r="A2471" s="987">
        <f t="shared" si="39"/>
        <v>2397</v>
      </c>
      <c r="B2471" s="988">
        <v>37966</v>
      </c>
      <c r="C2471" s="899" t="s">
        <v>11797</v>
      </c>
      <c r="D2471" s="988" t="s">
        <v>2666</v>
      </c>
      <c r="E2471" s="989">
        <v>25.14</v>
      </c>
      <c r="F2471" s="990"/>
      <c r="G2471" s="990"/>
      <c r="H2471" s="990"/>
      <c r="I2471" s="990"/>
      <c r="J2471" s="990"/>
      <c r="K2471" s="990"/>
      <c r="L2471" s="990"/>
      <c r="M2471" s="990"/>
      <c r="N2471" s="990"/>
      <c r="O2471" s="990"/>
      <c r="P2471" s="990"/>
      <c r="Q2471" s="990"/>
      <c r="R2471" s="990"/>
      <c r="S2471" s="990"/>
      <c r="T2471" s="990"/>
      <c r="U2471" s="990"/>
      <c r="V2471" s="990"/>
      <c r="W2471" s="990"/>
      <c r="X2471" s="990"/>
    </row>
    <row r="2472" spans="1:24" s="896" customFormat="1">
      <c r="A2472" s="987">
        <f t="shared" si="39"/>
        <v>2398</v>
      </c>
      <c r="B2472" s="988">
        <v>37967</v>
      </c>
      <c r="C2472" s="899" t="s">
        <v>11798</v>
      </c>
      <c r="D2472" s="988" t="s">
        <v>2666</v>
      </c>
      <c r="E2472" s="989">
        <v>40.31</v>
      </c>
      <c r="F2472" s="990"/>
      <c r="G2472" s="990"/>
      <c r="H2472" s="990"/>
      <c r="I2472" s="990"/>
      <c r="J2472" s="990"/>
      <c r="K2472" s="990"/>
      <c r="L2472" s="990"/>
      <c r="M2472" s="990"/>
      <c r="N2472" s="990"/>
      <c r="O2472" s="990"/>
      <c r="P2472" s="990"/>
      <c r="Q2472" s="990"/>
      <c r="R2472" s="990"/>
      <c r="S2472" s="990"/>
      <c r="T2472" s="990"/>
      <c r="U2472" s="990"/>
      <c r="V2472" s="990"/>
      <c r="W2472" s="990"/>
      <c r="X2472" s="990"/>
    </row>
    <row r="2473" spans="1:24" s="896" customFormat="1">
      <c r="A2473" s="987">
        <f t="shared" si="39"/>
        <v>2399</v>
      </c>
      <c r="B2473" s="988">
        <v>37968</v>
      </c>
      <c r="C2473" s="899" t="s">
        <v>11799</v>
      </c>
      <c r="D2473" s="988" t="s">
        <v>2666</v>
      </c>
      <c r="E2473" s="989">
        <v>88.4</v>
      </c>
      <c r="F2473" s="990"/>
      <c r="G2473" s="990"/>
      <c r="H2473" s="990"/>
      <c r="I2473" s="990"/>
      <c r="J2473" s="990"/>
      <c r="K2473" s="990"/>
      <c r="L2473" s="990"/>
      <c r="M2473" s="990"/>
      <c r="N2473" s="990"/>
      <c r="O2473" s="990"/>
      <c r="P2473" s="990"/>
      <c r="Q2473" s="990"/>
      <c r="R2473" s="990"/>
      <c r="S2473" s="990"/>
      <c r="T2473" s="990"/>
      <c r="U2473" s="990"/>
      <c r="V2473" s="990"/>
      <c r="W2473" s="990"/>
      <c r="X2473" s="990"/>
    </row>
    <row r="2474" spans="1:24" s="896" customFormat="1">
      <c r="A2474" s="987">
        <f t="shared" si="39"/>
        <v>2400</v>
      </c>
      <c r="B2474" s="988">
        <v>37969</v>
      </c>
      <c r="C2474" s="899" t="s">
        <v>11800</v>
      </c>
      <c r="D2474" s="988" t="s">
        <v>2666</v>
      </c>
      <c r="E2474" s="989">
        <v>236.15</v>
      </c>
      <c r="F2474" s="990"/>
      <c r="G2474" s="990"/>
      <c r="H2474" s="990"/>
      <c r="I2474" s="990"/>
      <c r="J2474" s="990"/>
      <c r="K2474" s="990"/>
      <c r="L2474" s="990"/>
      <c r="M2474" s="990"/>
      <c r="N2474" s="990"/>
      <c r="O2474" s="990"/>
      <c r="P2474" s="990"/>
      <c r="Q2474" s="990"/>
      <c r="R2474" s="990"/>
      <c r="S2474" s="990"/>
      <c r="T2474" s="990"/>
      <c r="U2474" s="990"/>
      <c r="V2474" s="990"/>
      <c r="W2474" s="990"/>
      <c r="X2474" s="990"/>
    </row>
    <row r="2475" spans="1:24" s="896" customFormat="1">
      <c r="A2475" s="987">
        <f t="shared" si="39"/>
        <v>2401</v>
      </c>
      <c r="B2475" s="988">
        <v>37970</v>
      </c>
      <c r="C2475" s="899" t="s">
        <v>11801</v>
      </c>
      <c r="D2475" s="988" t="s">
        <v>2666</v>
      </c>
      <c r="E2475" s="989">
        <v>275.49</v>
      </c>
      <c r="F2475" s="990"/>
      <c r="G2475" s="990"/>
      <c r="H2475" s="990"/>
      <c r="I2475" s="990"/>
      <c r="J2475" s="990"/>
      <c r="K2475" s="990"/>
      <c r="L2475" s="990"/>
      <c r="M2475" s="990"/>
      <c r="N2475" s="990"/>
      <c r="O2475" s="990"/>
      <c r="P2475" s="990"/>
      <c r="Q2475" s="990"/>
      <c r="R2475" s="990"/>
      <c r="S2475" s="990"/>
      <c r="T2475" s="990"/>
      <c r="U2475" s="990"/>
      <c r="V2475" s="990"/>
      <c r="W2475" s="990"/>
      <c r="X2475" s="990"/>
    </row>
    <row r="2476" spans="1:24" s="896" customFormat="1">
      <c r="A2476" s="987">
        <f t="shared" si="39"/>
        <v>2402</v>
      </c>
      <c r="B2476" s="988">
        <v>21118</v>
      </c>
      <c r="C2476" s="899" t="s">
        <v>11802</v>
      </c>
      <c r="D2476" s="988" t="s">
        <v>2666</v>
      </c>
      <c r="E2476" s="989">
        <v>4.34</v>
      </c>
      <c r="F2476" s="990"/>
      <c r="G2476" s="990"/>
      <c r="H2476" s="990"/>
      <c r="I2476" s="990"/>
      <c r="J2476" s="990"/>
      <c r="K2476" s="990"/>
      <c r="L2476" s="990"/>
      <c r="M2476" s="990"/>
      <c r="N2476" s="990"/>
      <c r="O2476" s="990"/>
      <c r="P2476" s="990"/>
      <c r="Q2476" s="990"/>
      <c r="R2476" s="990"/>
      <c r="S2476" s="990"/>
      <c r="T2476" s="990"/>
      <c r="U2476" s="990"/>
      <c r="V2476" s="990"/>
      <c r="W2476" s="990"/>
      <c r="X2476" s="990"/>
    </row>
    <row r="2477" spans="1:24" s="896" customFormat="1">
      <c r="A2477" s="987">
        <f t="shared" si="39"/>
        <v>2403</v>
      </c>
      <c r="B2477" s="988">
        <v>37956</v>
      </c>
      <c r="C2477" s="899" t="s">
        <v>11803</v>
      </c>
      <c r="D2477" s="988" t="s">
        <v>2666</v>
      </c>
      <c r="E2477" s="989">
        <v>6.88</v>
      </c>
      <c r="F2477" s="990"/>
      <c r="G2477" s="990"/>
      <c r="H2477" s="990"/>
      <c r="I2477" s="990"/>
      <c r="J2477" s="990"/>
      <c r="K2477" s="990"/>
      <c r="L2477" s="990"/>
      <c r="M2477" s="990"/>
      <c r="N2477" s="990"/>
      <c r="O2477" s="990"/>
      <c r="P2477" s="990"/>
      <c r="Q2477" s="990"/>
      <c r="R2477" s="990"/>
      <c r="S2477" s="990"/>
      <c r="T2477" s="990"/>
      <c r="U2477" s="990"/>
      <c r="V2477" s="990"/>
      <c r="W2477" s="990"/>
      <c r="X2477" s="990"/>
    </row>
    <row r="2478" spans="1:24" s="896" customFormat="1">
      <c r="A2478" s="987">
        <f t="shared" si="39"/>
        <v>2404</v>
      </c>
      <c r="B2478" s="988">
        <v>37957</v>
      </c>
      <c r="C2478" s="899" t="s">
        <v>11804</v>
      </c>
      <c r="D2478" s="988" t="s">
        <v>2666</v>
      </c>
      <c r="E2478" s="989">
        <v>14.5</v>
      </c>
      <c r="F2478" s="990"/>
      <c r="G2478" s="990"/>
      <c r="H2478" s="990"/>
      <c r="I2478" s="990"/>
      <c r="J2478" s="990"/>
      <c r="K2478" s="990"/>
      <c r="L2478" s="990"/>
      <c r="M2478" s="990"/>
      <c r="N2478" s="990"/>
      <c r="O2478" s="990"/>
      <c r="P2478" s="990"/>
      <c r="Q2478" s="990"/>
      <c r="R2478" s="990"/>
      <c r="S2478" s="990"/>
      <c r="T2478" s="990"/>
      <c r="U2478" s="990"/>
      <c r="V2478" s="990"/>
      <c r="W2478" s="990"/>
      <c r="X2478" s="990"/>
    </row>
    <row r="2479" spans="1:24" s="896" customFormat="1">
      <c r="A2479" s="987">
        <f t="shared" si="39"/>
        <v>2405</v>
      </c>
      <c r="B2479" s="988">
        <v>37958</v>
      </c>
      <c r="C2479" s="899" t="s">
        <v>11805</v>
      </c>
      <c r="D2479" s="988" t="s">
        <v>2666</v>
      </c>
      <c r="E2479" s="989">
        <v>25.14</v>
      </c>
      <c r="F2479" s="990"/>
      <c r="G2479" s="990"/>
      <c r="H2479" s="990"/>
      <c r="I2479" s="990"/>
      <c r="J2479" s="990"/>
      <c r="K2479" s="990"/>
      <c r="L2479" s="990"/>
      <c r="M2479" s="990"/>
      <c r="N2479" s="990"/>
      <c r="O2479" s="990"/>
      <c r="P2479" s="990"/>
      <c r="Q2479" s="990"/>
      <c r="R2479" s="990"/>
      <c r="S2479" s="990"/>
      <c r="T2479" s="990"/>
      <c r="U2479" s="990"/>
      <c r="V2479" s="990"/>
      <c r="W2479" s="990"/>
      <c r="X2479" s="990"/>
    </row>
    <row r="2480" spans="1:24" s="896" customFormat="1">
      <c r="A2480" s="987">
        <f t="shared" si="39"/>
        <v>2406</v>
      </c>
      <c r="B2480" s="988">
        <v>37959</v>
      </c>
      <c r="C2480" s="899" t="s">
        <v>11806</v>
      </c>
      <c r="D2480" s="988" t="s">
        <v>2666</v>
      </c>
      <c r="E2480" s="989">
        <v>40.31</v>
      </c>
      <c r="F2480" s="990"/>
      <c r="G2480" s="990"/>
      <c r="H2480" s="990"/>
      <c r="I2480" s="990"/>
      <c r="J2480" s="990"/>
      <c r="K2480" s="990"/>
      <c r="L2480" s="990"/>
      <c r="M2480" s="990"/>
      <c r="N2480" s="990"/>
      <c r="O2480" s="990"/>
      <c r="P2480" s="990"/>
      <c r="Q2480" s="990"/>
      <c r="R2480" s="990"/>
      <c r="S2480" s="990"/>
      <c r="T2480" s="990"/>
      <c r="U2480" s="990"/>
      <c r="V2480" s="990"/>
      <c r="W2480" s="990"/>
      <c r="X2480" s="990"/>
    </row>
    <row r="2481" spans="1:24" s="896" customFormat="1">
      <c r="A2481" s="987">
        <f t="shared" si="39"/>
        <v>2407</v>
      </c>
      <c r="B2481" s="988">
        <v>37960</v>
      </c>
      <c r="C2481" s="899" t="s">
        <v>11807</v>
      </c>
      <c r="D2481" s="988" t="s">
        <v>2666</v>
      </c>
      <c r="E2481" s="989">
        <v>86.8</v>
      </c>
      <c r="F2481" s="990"/>
      <c r="G2481" s="990"/>
      <c r="H2481" s="990"/>
      <c r="I2481" s="990"/>
      <c r="J2481" s="990"/>
      <c r="K2481" s="990"/>
      <c r="L2481" s="990"/>
      <c r="M2481" s="990"/>
      <c r="N2481" s="990"/>
      <c r="O2481" s="990"/>
      <c r="P2481" s="990"/>
      <c r="Q2481" s="990"/>
      <c r="R2481" s="990"/>
      <c r="S2481" s="990"/>
      <c r="T2481" s="990"/>
      <c r="U2481" s="990"/>
      <c r="V2481" s="990"/>
      <c r="W2481" s="990"/>
      <c r="X2481" s="990"/>
    </row>
    <row r="2482" spans="1:24" s="896" customFormat="1">
      <c r="A2482" s="987">
        <f t="shared" si="39"/>
        <v>2408</v>
      </c>
      <c r="B2482" s="988">
        <v>37961</v>
      </c>
      <c r="C2482" s="899" t="s">
        <v>11808</v>
      </c>
      <c r="D2482" s="988" t="s">
        <v>2666</v>
      </c>
      <c r="E2482" s="989">
        <v>230.29</v>
      </c>
      <c r="F2482" s="990"/>
      <c r="G2482" s="990"/>
      <c r="H2482" s="990"/>
      <c r="I2482" s="990"/>
      <c r="J2482" s="990"/>
      <c r="K2482" s="990"/>
      <c r="L2482" s="990"/>
      <c r="M2482" s="990"/>
      <c r="N2482" s="990"/>
      <c r="O2482" s="990"/>
      <c r="P2482" s="990"/>
      <c r="Q2482" s="990"/>
      <c r="R2482" s="990"/>
      <c r="S2482" s="990"/>
      <c r="T2482" s="990"/>
      <c r="U2482" s="990"/>
      <c r="V2482" s="990"/>
      <c r="W2482" s="990"/>
      <c r="X2482" s="990"/>
    </row>
    <row r="2483" spans="1:24" s="896" customFormat="1">
      <c r="A2483" s="987">
        <f t="shared" si="39"/>
        <v>2409</v>
      </c>
      <c r="B2483" s="988">
        <v>37962</v>
      </c>
      <c r="C2483" s="899" t="s">
        <v>11809</v>
      </c>
      <c r="D2483" s="988" t="s">
        <v>2666</v>
      </c>
      <c r="E2483" s="989">
        <v>267.58999999999997</v>
      </c>
      <c r="F2483" s="990"/>
      <c r="G2483" s="990"/>
      <c r="H2483" s="990"/>
      <c r="I2483" s="990"/>
      <c r="J2483" s="990"/>
      <c r="K2483" s="990"/>
      <c r="L2483" s="990"/>
      <c r="M2483" s="990"/>
      <c r="N2483" s="990"/>
      <c r="O2483" s="990"/>
      <c r="P2483" s="990"/>
      <c r="Q2483" s="990"/>
      <c r="R2483" s="990"/>
      <c r="S2483" s="990"/>
      <c r="T2483" s="990"/>
      <c r="U2483" s="990"/>
      <c r="V2483" s="990"/>
      <c r="W2483" s="990"/>
      <c r="X2483" s="990"/>
    </row>
    <row r="2484" spans="1:24" s="896" customFormat="1" ht="25.5">
      <c r="A2484" s="987">
        <f t="shared" si="39"/>
        <v>2410</v>
      </c>
      <c r="B2484" s="988">
        <v>3533</v>
      </c>
      <c r="C2484" s="899" t="s">
        <v>11810</v>
      </c>
      <c r="D2484" s="988" t="s">
        <v>2666</v>
      </c>
      <c r="E2484" s="989">
        <v>2.93</v>
      </c>
      <c r="F2484" s="990"/>
      <c r="G2484" s="990"/>
      <c r="H2484" s="990"/>
      <c r="I2484" s="990"/>
      <c r="J2484" s="990"/>
      <c r="K2484" s="990"/>
      <c r="L2484" s="990"/>
      <c r="M2484" s="990"/>
      <c r="N2484" s="990"/>
      <c r="O2484" s="990"/>
      <c r="P2484" s="990"/>
      <c r="Q2484" s="990"/>
      <c r="R2484" s="990"/>
      <c r="S2484" s="990"/>
      <c r="T2484" s="990"/>
      <c r="U2484" s="990"/>
      <c r="V2484" s="990"/>
      <c r="W2484" s="990"/>
      <c r="X2484" s="990"/>
    </row>
    <row r="2485" spans="1:24" s="896" customFormat="1" ht="25.5">
      <c r="A2485" s="987">
        <f t="shared" si="39"/>
        <v>2411</v>
      </c>
      <c r="B2485" s="988">
        <v>3538</v>
      </c>
      <c r="C2485" s="899" t="s">
        <v>11811</v>
      </c>
      <c r="D2485" s="988" t="s">
        <v>2666</v>
      </c>
      <c r="E2485" s="989">
        <v>5.0599999999999996</v>
      </c>
      <c r="F2485" s="990"/>
      <c r="G2485" s="990"/>
      <c r="H2485" s="990"/>
      <c r="I2485" s="990"/>
      <c r="J2485" s="990"/>
      <c r="K2485" s="990"/>
      <c r="L2485" s="990"/>
      <c r="M2485" s="990"/>
      <c r="N2485" s="990"/>
      <c r="O2485" s="990"/>
      <c r="P2485" s="990"/>
      <c r="Q2485" s="990"/>
      <c r="R2485" s="990"/>
      <c r="S2485" s="990"/>
      <c r="T2485" s="990"/>
      <c r="U2485" s="990"/>
      <c r="V2485" s="990"/>
      <c r="W2485" s="990"/>
      <c r="X2485" s="990"/>
    </row>
    <row r="2486" spans="1:24" s="896" customFormat="1" ht="25.5">
      <c r="A2486" s="987">
        <f t="shared" si="39"/>
        <v>2412</v>
      </c>
      <c r="B2486" s="988">
        <v>3497</v>
      </c>
      <c r="C2486" s="899" t="s">
        <v>11812</v>
      </c>
      <c r="D2486" s="988" t="s">
        <v>2666</v>
      </c>
      <c r="E2486" s="989">
        <v>18.899999999999999</v>
      </c>
      <c r="F2486" s="990"/>
      <c r="G2486" s="990"/>
      <c r="H2486" s="990"/>
      <c r="I2486" s="990"/>
      <c r="J2486" s="990"/>
      <c r="K2486" s="990"/>
      <c r="L2486" s="990"/>
      <c r="M2486" s="990"/>
      <c r="N2486" s="990"/>
      <c r="O2486" s="990"/>
      <c r="P2486" s="990"/>
      <c r="Q2486" s="990"/>
      <c r="R2486" s="990"/>
      <c r="S2486" s="990"/>
      <c r="T2486" s="990"/>
      <c r="U2486" s="990"/>
      <c r="V2486" s="990"/>
      <c r="W2486" s="990"/>
      <c r="X2486" s="990"/>
    </row>
    <row r="2487" spans="1:24" s="896" customFormat="1">
      <c r="A2487" s="987">
        <f t="shared" si="39"/>
        <v>2413</v>
      </c>
      <c r="B2487" s="988">
        <v>3498</v>
      </c>
      <c r="C2487" s="899" t="s">
        <v>11813</v>
      </c>
      <c r="D2487" s="988" t="s">
        <v>2666</v>
      </c>
      <c r="E2487" s="989">
        <v>6</v>
      </c>
      <c r="F2487" s="990"/>
      <c r="G2487" s="990"/>
      <c r="H2487" s="990"/>
      <c r="I2487" s="990"/>
      <c r="J2487" s="990"/>
      <c r="K2487" s="990"/>
      <c r="L2487" s="990"/>
      <c r="M2487" s="990"/>
      <c r="N2487" s="990"/>
      <c r="O2487" s="990"/>
      <c r="P2487" s="990"/>
      <c r="Q2487" s="990"/>
      <c r="R2487" s="990"/>
      <c r="S2487" s="990"/>
      <c r="T2487" s="990"/>
      <c r="U2487" s="990"/>
      <c r="V2487" s="990"/>
      <c r="W2487" s="990"/>
      <c r="X2487" s="990"/>
    </row>
    <row r="2488" spans="1:24" s="896" customFormat="1">
      <c r="A2488" s="987">
        <f t="shared" si="39"/>
        <v>2414</v>
      </c>
      <c r="B2488" s="988">
        <v>3496</v>
      </c>
      <c r="C2488" s="899" t="s">
        <v>11814</v>
      </c>
      <c r="D2488" s="988" t="s">
        <v>2666</v>
      </c>
      <c r="E2488" s="989">
        <v>4.8499999999999996</v>
      </c>
      <c r="F2488" s="990"/>
      <c r="G2488" s="990"/>
      <c r="H2488" s="990"/>
      <c r="I2488" s="990"/>
      <c r="J2488" s="990"/>
      <c r="K2488" s="990"/>
      <c r="L2488" s="990"/>
      <c r="M2488" s="990"/>
      <c r="N2488" s="990"/>
      <c r="O2488" s="990"/>
      <c r="P2488" s="990"/>
      <c r="Q2488" s="990"/>
      <c r="R2488" s="990"/>
      <c r="S2488" s="990"/>
      <c r="T2488" s="990"/>
      <c r="U2488" s="990"/>
      <c r="V2488" s="990"/>
      <c r="W2488" s="990"/>
      <c r="X2488" s="990"/>
    </row>
    <row r="2489" spans="1:24" s="896" customFormat="1">
      <c r="A2489" s="987">
        <f t="shared" si="39"/>
        <v>2415</v>
      </c>
      <c r="B2489" s="988">
        <v>38429</v>
      </c>
      <c r="C2489" s="899" t="s">
        <v>11815</v>
      </c>
      <c r="D2489" s="988" t="s">
        <v>2666</v>
      </c>
      <c r="E2489" s="989">
        <v>14.66</v>
      </c>
      <c r="F2489" s="990"/>
      <c r="G2489" s="990"/>
      <c r="H2489" s="990"/>
      <c r="I2489" s="990"/>
      <c r="J2489" s="990"/>
      <c r="K2489" s="990"/>
      <c r="L2489" s="990"/>
      <c r="M2489" s="990"/>
      <c r="N2489" s="990"/>
      <c r="O2489" s="990"/>
      <c r="P2489" s="990"/>
      <c r="Q2489" s="990"/>
      <c r="R2489" s="990"/>
      <c r="S2489" s="990"/>
      <c r="T2489" s="990"/>
      <c r="U2489" s="990"/>
      <c r="V2489" s="990"/>
      <c r="W2489" s="990"/>
      <c r="X2489" s="990"/>
    </row>
    <row r="2490" spans="1:24" s="896" customFormat="1">
      <c r="A2490" s="987">
        <f t="shared" si="39"/>
        <v>2416</v>
      </c>
      <c r="B2490" s="988">
        <v>38431</v>
      </c>
      <c r="C2490" s="899" t="s">
        <v>11816</v>
      </c>
      <c r="D2490" s="988" t="s">
        <v>2666</v>
      </c>
      <c r="E2490" s="989">
        <v>23.22</v>
      </c>
      <c r="F2490" s="990"/>
      <c r="G2490" s="990"/>
      <c r="H2490" s="990"/>
      <c r="I2490" s="990"/>
      <c r="J2490" s="990"/>
      <c r="K2490" s="990"/>
      <c r="L2490" s="990"/>
      <c r="M2490" s="990"/>
      <c r="N2490" s="990"/>
      <c r="O2490" s="990"/>
      <c r="P2490" s="990"/>
      <c r="Q2490" s="990"/>
      <c r="R2490" s="990"/>
      <c r="S2490" s="990"/>
      <c r="T2490" s="990"/>
      <c r="U2490" s="990"/>
      <c r="V2490" s="990"/>
      <c r="W2490" s="990"/>
      <c r="X2490" s="990"/>
    </row>
    <row r="2491" spans="1:24" s="896" customFormat="1">
      <c r="A2491" s="987">
        <f t="shared" si="39"/>
        <v>2417</v>
      </c>
      <c r="B2491" s="988">
        <v>38430</v>
      </c>
      <c r="C2491" s="899" t="s">
        <v>11817</v>
      </c>
      <c r="D2491" s="988" t="s">
        <v>2666</v>
      </c>
      <c r="E2491" s="989">
        <v>29.67</v>
      </c>
      <c r="F2491" s="990"/>
      <c r="G2491" s="990"/>
      <c r="H2491" s="990"/>
      <c r="I2491" s="990"/>
      <c r="J2491" s="990"/>
      <c r="K2491" s="990"/>
      <c r="L2491" s="990"/>
      <c r="M2491" s="990"/>
      <c r="N2491" s="990"/>
      <c r="O2491" s="990"/>
      <c r="P2491" s="990"/>
      <c r="Q2491" s="990"/>
      <c r="R2491" s="990"/>
      <c r="S2491" s="990"/>
      <c r="T2491" s="990"/>
      <c r="U2491" s="990"/>
      <c r="V2491" s="990"/>
      <c r="W2491" s="990"/>
      <c r="X2491" s="990"/>
    </row>
    <row r="2492" spans="1:24" s="896" customFormat="1">
      <c r="A2492" s="987">
        <f t="shared" si="39"/>
        <v>2418</v>
      </c>
      <c r="B2492" s="988">
        <v>36348</v>
      </c>
      <c r="C2492" s="899" t="s">
        <v>11818</v>
      </c>
      <c r="D2492" s="988" t="s">
        <v>2666</v>
      </c>
      <c r="E2492" s="989">
        <v>2.23</v>
      </c>
      <c r="F2492" s="990"/>
      <c r="G2492" s="990"/>
      <c r="H2492" s="990"/>
      <c r="I2492" s="990"/>
      <c r="J2492" s="990"/>
      <c r="K2492" s="990"/>
      <c r="L2492" s="990"/>
      <c r="M2492" s="990"/>
      <c r="N2492" s="990"/>
      <c r="O2492" s="990"/>
      <c r="P2492" s="990"/>
      <c r="Q2492" s="990"/>
      <c r="R2492" s="990"/>
      <c r="S2492" s="990"/>
      <c r="T2492" s="990"/>
      <c r="U2492" s="990"/>
      <c r="V2492" s="990"/>
      <c r="W2492" s="990"/>
      <c r="X2492" s="990"/>
    </row>
    <row r="2493" spans="1:24" s="896" customFormat="1">
      <c r="A2493" s="987">
        <f t="shared" si="39"/>
        <v>2419</v>
      </c>
      <c r="B2493" s="988">
        <v>36349</v>
      </c>
      <c r="C2493" s="899" t="s">
        <v>11819</v>
      </c>
      <c r="D2493" s="988" t="s">
        <v>2666</v>
      </c>
      <c r="E2493" s="989">
        <v>3.35</v>
      </c>
      <c r="F2493" s="990"/>
      <c r="G2493" s="990"/>
      <c r="H2493" s="990"/>
      <c r="I2493" s="990"/>
      <c r="J2493" s="990"/>
      <c r="K2493" s="990"/>
      <c r="L2493" s="990"/>
      <c r="M2493" s="990"/>
      <c r="N2493" s="990"/>
      <c r="O2493" s="990"/>
      <c r="P2493" s="990"/>
      <c r="Q2493" s="990"/>
      <c r="R2493" s="990"/>
      <c r="S2493" s="990"/>
      <c r="T2493" s="990"/>
      <c r="U2493" s="990"/>
      <c r="V2493" s="990"/>
      <c r="W2493" s="990"/>
      <c r="X2493" s="990"/>
    </row>
    <row r="2494" spans="1:24" s="896" customFormat="1">
      <c r="A2494" s="987">
        <f t="shared" si="39"/>
        <v>2420</v>
      </c>
      <c r="B2494" s="988">
        <v>38433</v>
      </c>
      <c r="C2494" s="899" t="s">
        <v>11820</v>
      </c>
      <c r="D2494" s="988" t="s">
        <v>2666</v>
      </c>
      <c r="E2494" s="989">
        <v>6.2</v>
      </c>
      <c r="F2494" s="990"/>
      <c r="G2494" s="990"/>
      <c r="H2494" s="990"/>
      <c r="I2494" s="990"/>
      <c r="J2494" s="990"/>
      <c r="K2494" s="990"/>
      <c r="L2494" s="990"/>
      <c r="M2494" s="990"/>
      <c r="N2494" s="990"/>
      <c r="O2494" s="990"/>
      <c r="P2494" s="990"/>
      <c r="Q2494" s="990"/>
      <c r="R2494" s="990"/>
      <c r="S2494" s="990"/>
      <c r="T2494" s="990"/>
      <c r="U2494" s="990"/>
      <c r="V2494" s="990"/>
      <c r="W2494" s="990"/>
      <c r="X2494" s="990"/>
    </row>
    <row r="2495" spans="1:24" s="896" customFormat="1">
      <c r="A2495" s="987">
        <f t="shared" si="39"/>
        <v>2421</v>
      </c>
      <c r="B2495" s="988">
        <v>38440</v>
      </c>
      <c r="C2495" s="899" t="s">
        <v>11821</v>
      </c>
      <c r="D2495" s="988" t="s">
        <v>2666</v>
      </c>
      <c r="E2495" s="989">
        <v>213.87</v>
      </c>
      <c r="F2495" s="990"/>
      <c r="G2495" s="990"/>
      <c r="H2495" s="990"/>
      <c r="I2495" s="990"/>
      <c r="J2495" s="990"/>
      <c r="K2495" s="990"/>
      <c r="L2495" s="990"/>
      <c r="M2495" s="990"/>
      <c r="N2495" s="990"/>
      <c r="O2495" s="990"/>
      <c r="P2495" s="990"/>
      <c r="Q2495" s="990"/>
      <c r="R2495" s="990"/>
      <c r="S2495" s="990"/>
      <c r="T2495" s="990"/>
      <c r="U2495" s="990"/>
      <c r="V2495" s="990"/>
      <c r="W2495" s="990"/>
      <c r="X2495" s="990"/>
    </row>
    <row r="2496" spans="1:24" s="896" customFormat="1">
      <c r="A2496" s="987">
        <f t="shared" si="39"/>
        <v>2422</v>
      </c>
      <c r="B2496" s="988">
        <v>36359</v>
      </c>
      <c r="C2496" s="899" t="s">
        <v>11822</v>
      </c>
      <c r="D2496" s="988" t="s">
        <v>2666</v>
      </c>
      <c r="E2496" s="989">
        <v>2.66</v>
      </c>
      <c r="F2496" s="990"/>
      <c r="G2496" s="990"/>
      <c r="H2496" s="990"/>
      <c r="I2496" s="990"/>
      <c r="J2496" s="990"/>
      <c r="K2496" s="990"/>
      <c r="L2496" s="990"/>
      <c r="M2496" s="990"/>
      <c r="N2496" s="990"/>
      <c r="O2496" s="990"/>
      <c r="P2496" s="990"/>
      <c r="Q2496" s="990"/>
      <c r="R2496" s="990"/>
      <c r="S2496" s="990"/>
      <c r="T2496" s="990"/>
      <c r="U2496" s="990"/>
      <c r="V2496" s="990"/>
      <c r="W2496" s="990"/>
      <c r="X2496" s="990"/>
    </row>
    <row r="2497" spans="1:24" s="896" customFormat="1">
      <c r="A2497" s="987">
        <f t="shared" si="39"/>
        <v>2423</v>
      </c>
      <c r="B2497" s="988">
        <v>36360</v>
      </c>
      <c r="C2497" s="899" t="s">
        <v>11823</v>
      </c>
      <c r="D2497" s="988" t="s">
        <v>2666</v>
      </c>
      <c r="E2497" s="989">
        <v>4.0999999999999996</v>
      </c>
      <c r="F2497" s="990"/>
      <c r="G2497" s="990"/>
      <c r="H2497" s="990"/>
      <c r="I2497" s="990"/>
      <c r="J2497" s="990"/>
      <c r="K2497" s="990"/>
      <c r="L2497" s="990"/>
      <c r="M2497" s="990"/>
      <c r="N2497" s="990"/>
      <c r="O2497" s="990"/>
      <c r="P2497" s="990"/>
      <c r="Q2497" s="990"/>
      <c r="R2497" s="990"/>
      <c r="S2497" s="990"/>
      <c r="T2497" s="990"/>
      <c r="U2497" s="990"/>
      <c r="V2497" s="990"/>
      <c r="W2497" s="990"/>
      <c r="X2497" s="990"/>
    </row>
    <row r="2498" spans="1:24" s="896" customFormat="1">
      <c r="A2498" s="987">
        <f t="shared" si="39"/>
        <v>2424</v>
      </c>
      <c r="B2498" s="988">
        <v>38434</v>
      </c>
      <c r="C2498" s="899" t="s">
        <v>11824</v>
      </c>
      <c r="D2498" s="988" t="s">
        <v>2666</v>
      </c>
      <c r="E2498" s="989">
        <v>6.28</v>
      </c>
      <c r="F2498" s="990"/>
      <c r="G2498" s="990"/>
      <c r="H2498" s="990"/>
      <c r="I2498" s="990"/>
      <c r="J2498" s="990"/>
      <c r="K2498" s="990"/>
      <c r="L2498" s="990"/>
      <c r="M2498" s="990"/>
      <c r="N2498" s="990"/>
      <c r="O2498" s="990"/>
      <c r="P2498" s="990"/>
      <c r="Q2498" s="990"/>
      <c r="R2498" s="990"/>
      <c r="S2498" s="990"/>
      <c r="T2498" s="990"/>
      <c r="U2498" s="990"/>
      <c r="V2498" s="990"/>
      <c r="W2498" s="990"/>
      <c r="X2498" s="990"/>
    </row>
    <row r="2499" spans="1:24" s="896" customFormat="1">
      <c r="A2499" s="987">
        <f t="shared" si="39"/>
        <v>2425</v>
      </c>
      <c r="B2499" s="988">
        <v>38435</v>
      </c>
      <c r="C2499" s="899" t="s">
        <v>11825</v>
      </c>
      <c r="D2499" s="988" t="s">
        <v>2666</v>
      </c>
      <c r="E2499" s="989">
        <v>11.93</v>
      </c>
      <c r="F2499" s="990"/>
      <c r="G2499" s="990"/>
      <c r="H2499" s="990"/>
      <c r="I2499" s="990"/>
      <c r="J2499" s="990"/>
      <c r="K2499" s="990"/>
      <c r="L2499" s="990"/>
      <c r="M2499" s="990"/>
      <c r="N2499" s="990"/>
      <c r="O2499" s="990"/>
      <c r="P2499" s="990"/>
      <c r="Q2499" s="990"/>
      <c r="R2499" s="990"/>
      <c r="S2499" s="990"/>
      <c r="T2499" s="990"/>
      <c r="U2499" s="990"/>
      <c r="V2499" s="990"/>
      <c r="W2499" s="990"/>
      <c r="X2499" s="990"/>
    </row>
    <row r="2500" spans="1:24" s="896" customFormat="1">
      <c r="A2500" s="987">
        <f t="shared" si="39"/>
        <v>2426</v>
      </c>
      <c r="B2500" s="988">
        <v>38436</v>
      </c>
      <c r="C2500" s="899" t="s">
        <v>11826</v>
      </c>
      <c r="D2500" s="988" t="s">
        <v>2666</v>
      </c>
      <c r="E2500" s="989">
        <v>24.66</v>
      </c>
      <c r="F2500" s="990"/>
      <c r="G2500" s="990"/>
      <c r="H2500" s="990"/>
      <c r="I2500" s="990"/>
      <c r="J2500" s="990"/>
      <c r="K2500" s="990"/>
      <c r="L2500" s="990"/>
      <c r="M2500" s="990"/>
      <c r="N2500" s="990"/>
      <c r="O2500" s="990"/>
      <c r="P2500" s="990"/>
      <c r="Q2500" s="990"/>
      <c r="R2500" s="990"/>
      <c r="S2500" s="990"/>
      <c r="T2500" s="990"/>
      <c r="U2500" s="990"/>
      <c r="V2500" s="990"/>
      <c r="W2500" s="990"/>
      <c r="X2500" s="990"/>
    </row>
    <row r="2501" spans="1:24" s="896" customFormat="1">
      <c r="A2501" s="987">
        <f t="shared" si="39"/>
        <v>2427</v>
      </c>
      <c r="B2501" s="988">
        <v>38437</v>
      </c>
      <c r="C2501" s="899" t="s">
        <v>11827</v>
      </c>
      <c r="D2501" s="988" t="s">
        <v>2666</v>
      </c>
      <c r="E2501" s="989">
        <v>37.03</v>
      </c>
      <c r="F2501" s="990"/>
      <c r="G2501" s="990"/>
      <c r="H2501" s="990"/>
      <c r="I2501" s="990"/>
      <c r="J2501" s="990"/>
      <c r="K2501" s="990"/>
      <c r="L2501" s="990"/>
      <c r="M2501" s="990"/>
      <c r="N2501" s="990"/>
      <c r="O2501" s="990"/>
      <c r="P2501" s="990"/>
      <c r="Q2501" s="990"/>
      <c r="R2501" s="990"/>
      <c r="S2501" s="990"/>
      <c r="T2501" s="990"/>
      <c r="U2501" s="990"/>
      <c r="V2501" s="990"/>
      <c r="W2501" s="990"/>
      <c r="X2501" s="990"/>
    </row>
    <row r="2502" spans="1:24" s="896" customFormat="1">
      <c r="A2502" s="987">
        <f t="shared" si="39"/>
        <v>2428</v>
      </c>
      <c r="B2502" s="988">
        <v>38438</v>
      </c>
      <c r="C2502" s="899" t="s">
        <v>11828</v>
      </c>
      <c r="D2502" s="988" t="s">
        <v>2666</v>
      </c>
      <c r="E2502" s="989">
        <v>93.56</v>
      </c>
      <c r="F2502" s="990"/>
      <c r="G2502" s="990"/>
      <c r="H2502" s="990"/>
      <c r="I2502" s="990"/>
      <c r="J2502" s="990"/>
      <c r="K2502" s="990"/>
      <c r="L2502" s="990"/>
      <c r="M2502" s="990"/>
      <c r="N2502" s="990"/>
      <c r="O2502" s="990"/>
      <c r="P2502" s="990"/>
      <c r="Q2502" s="990"/>
      <c r="R2502" s="990"/>
      <c r="S2502" s="990"/>
      <c r="T2502" s="990"/>
      <c r="U2502" s="990"/>
      <c r="V2502" s="990"/>
      <c r="W2502" s="990"/>
      <c r="X2502" s="990"/>
    </row>
    <row r="2503" spans="1:24" s="896" customFormat="1">
      <c r="A2503" s="987">
        <f t="shared" si="39"/>
        <v>2429</v>
      </c>
      <c r="B2503" s="988">
        <v>38439</v>
      </c>
      <c r="C2503" s="899" t="s">
        <v>11829</v>
      </c>
      <c r="D2503" s="988" t="s">
        <v>2666</v>
      </c>
      <c r="E2503" s="989">
        <v>142.6</v>
      </c>
      <c r="F2503" s="990"/>
      <c r="G2503" s="990"/>
      <c r="H2503" s="990"/>
      <c r="I2503" s="990"/>
      <c r="J2503" s="990"/>
      <c r="K2503" s="990"/>
      <c r="L2503" s="990"/>
      <c r="M2503" s="990"/>
      <c r="N2503" s="990"/>
      <c r="O2503" s="990"/>
      <c r="P2503" s="990"/>
      <c r="Q2503" s="990"/>
      <c r="R2503" s="990"/>
      <c r="S2503" s="990"/>
      <c r="T2503" s="990"/>
      <c r="U2503" s="990"/>
      <c r="V2503" s="990"/>
      <c r="W2503" s="990"/>
      <c r="X2503" s="990"/>
    </row>
    <row r="2504" spans="1:24" s="896" customFormat="1" ht="25.5">
      <c r="A2504" s="987">
        <f t="shared" si="39"/>
        <v>2430</v>
      </c>
      <c r="B2504" s="988">
        <v>10836</v>
      </c>
      <c r="C2504" s="899" t="s">
        <v>11830</v>
      </c>
      <c r="D2504" s="988" t="s">
        <v>2666</v>
      </c>
      <c r="E2504" s="989">
        <v>25.94</v>
      </c>
      <c r="F2504" s="990"/>
      <c r="G2504" s="990"/>
      <c r="H2504" s="990"/>
      <c r="I2504" s="990"/>
      <c r="J2504" s="990"/>
      <c r="K2504" s="990"/>
      <c r="L2504" s="990"/>
      <c r="M2504" s="990"/>
      <c r="N2504" s="990"/>
      <c r="O2504" s="990"/>
      <c r="P2504" s="990"/>
      <c r="Q2504" s="990"/>
      <c r="R2504" s="990"/>
      <c r="S2504" s="990"/>
      <c r="T2504" s="990"/>
      <c r="U2504" s="990"/>
      <c r="V2504" s="990"/>
      <c r="W2504" s="990"/>
      <c r="X2504" s="990"/>
    </row>
    <row r="2505" spans="1:24" s="896" customFormat="1">
      <c r="A2505" s="987">
        <f t="shared" si="39"/>
        <v>2431</v>
      </c>
      <c r="B2505" s="988">
        <v>20128</v>
      </c>
      <c r="C2505" s="899" t="s">
        <v>11831</v>
      </c>
      <c r="D2505" s="988" t="s">
        <v>2666</v>
      </c>
      <c r="E2505" s="989">
        <v>76.02</v>
      </c>
      <c r="F2505" s="990"/>
      <c r="G2505" s="990"/>
      <c r="H2505" s="990"/>
      <c r="I2505" s="990"/>
      <c r="J2505" s="990"/>
      <c r="K2505" s="990"/>
      <c r="L2505" s="990"/>
      <c r="M2505" s="990"/>
      <c r="N2505" s="990"/>
      <c r="O2505" s="990"/>
      <c r="P2505" s="990"/>
      <c r="Q2505" s="990"/>
      <c r="R2505" s="990"/>
      <c r="S2505" s="990"/>
      <c r="T2505" s="990"/>
      <c r="U2505" s="990"/>
      <c r="V2505" s="990"/>
      <c r="W2505" s="990"/>
      <c r="X2505" s="990"/>
    </row>
    <row r="2506" spans="1:24" s="896" customFormat="1">
      <c r="A2506" s="987">
        <f t="shared" si="39"/>
        <v>2432</v>
      </c>
      <c r="B2506" s="988">
        <v>20131</v>
      </c>
      <c r="C2506" s="899" t="s">
        <v>11832</v>
      </c>
      <c r="D2506" s="988" t="s">
        <v>2666</v>
      </c>
      <c r="E2506" s="989">
        <v>69.39</v>
      </c>
      <c r="F2506" s="990"/>
      <c r="G2506" s="990"/>
      <c r="H2506" s="990"/>
      <c r="I2506" s="990"/>
      <c r="J2506" s="990"/>
      <c r="K2506" s="990"/>
      <c r="L2506" s="990"/>
      <c r="M2506" s="990"/>
      <c r="N2506" s="990"/>
      <c r="O2506" s="990"/>
      <c r="P2506" s="990"/>
      <c r="Q2506" s="990"/>
      <c r="R2506" s="990"/>
      <c r="S2506" s="990"/>
      <c r="T2506" s="990"/>
      <c r="U2506" s="990"/>
      <c r="V2506" s="990"/>
      <c r="W2506" s="990"/>
      <c r="X2506" s="990"/>
    </row>
    <row r="2507" spans="1:24" s="896" customFormat="1">
      <c r="A2507" s="987">
        <f t="shared" si="39"/>
        <v>2433</v>
      </c>
      <c r="B2507" s="988">
        <v>3521</v>
      </c>
      <c r="C2507" s="899" t="s">
        <v>11833</v>
      </c>
      <c r="D2507" s="988" t="s">
        <v>2666</v>
      </c>
      <c r="E2507" s="989">
        <v>2.5499999999999998</v>
      </c>
      <c r="F2507" s="990"/>
      <c r="G2507" s="990"/>
      <c r="H2507" s="990"/>
      <c r="I2507" s="990"/>
      <c r="J2507" s="990"/>
      <c r="K2507" s="990"/>
      <c r="L2507" s="990"/>
      <c r="M2507" s="990"/>
      <c r="N2507" s="990"/>
      <c r="O2507" s="990"/>
      <c r="P2507" s="990"/>
      <c r="Q2507" s="990"/>
      <c r="R2507" s="990"/>
      <c r="S2507" s="990"/>
      <c r="T2507" s="990"/>
      <c r="U2507" s="990"/>
      <c r="V2507" s="990"/>
      <c r="W2507" s="990"/>
      <c r="X2507" s="990"/>
    </row>
    <row r="2508" spans="1:24" s="896" customFormat="1">
      <c r="A2508" s="987">
        <f t="shared" ref="A2508:A2571" si="40">A2507+1</f>
        <v>2434</v>
      </c>
      <c r="B2508" s="988">
        <v>3531</v>
      </c>
      <c r="C2508" s="899" t="s">
        <v>11834</v>
      </c>
      <c r="D2508" s="988" t="s">
        <v>2666</v>
      </c>
      <c r="E2508" s="989">
        <v>2.89</v>
      </c>
      <c r="F2508" s="990"/>
      <c r="G2508" s="990"/>
      <c r="H2508" s="990"/>
      <c r="I2508" s="990"/>
      <c r="J2508" s="990"/>
      <c r="K2508" s="990"/>
      <c r="L2508" s="990"/>
      <c r="M2508" s="990"/>
      <c r="N2508" s="990"/>
      <c r="O2508" s="990"/>
      <c r="P2508" s="990"/>
      <c r="Q2508" s="990"/>
      <c r="R2508" s="990"/>
      <c r="S2508" s="990"/>
      <c r="T2508" s="990"/>
      <c r="U2508" s="990"/>
      <c r="V2508" s="990"/>
      <c r="W2508" s="990"/>
      <c r="X2508" s="990"/>
    </row>
    <row r="2509" spans="1:24" s="896" customFormat="1">
      <c r="A2509" s="987">
        <f t="shared" si="40"/>
        <v>2435</v>
      </c>
      <c r="B2509" s="988">
        <v>3522</v>
      </c>
      <c r="C2509" s="899" t="s">
        <v>11835</v>
      </c>
      <c r="D2509" s="988" t="s">
        <v>2666</v>
      </c>
      <c r="E2509" s="989">
        <v>4.29</v>
      </c>
      <c r="F2509" s="990"/>
      <c r="G2509" s="990"/>
      <c r="H2509" s="990"/>
      <c r="I2509" s="990"/>
      <c r="J2509" s="990"/>
      <c r="K2509" s="990"/>
      <c r="L2509" s="990"/>
      <c r="M2509" s="990"/>
      <c r="N2509" s="990"/>
      <c r="O2509" s="990"/>
      <c r="P2509" s="990"/>
      <c r="Q2509" s="990"/>
      <c r="R2509" s="990"/>
      <c r="S2509" s="990"/>
      <c r="T2509" s="990"/>
      <c r="U2509" s="990"/>
      <c r="V2509" s="990"/>
      <c r="W2509" s="990"/>
      <c r="X2509" s="990"/>
    </row>
    <row r="2510" spans="1:24" s="896" customFormat="1">
      <c r="A2510" s="987">
        <f t="shared" si="40"/>
        <v>2436</v>
      </c>
      <c r="B2510" s="988">
        <v>3527</v>
      </c>
      <c r="C2510" s="899" t="s">
        <v>11836</v>
      </c>
      <c r="D2510" s="988" t="s">
        <v>2666</v>
      </c>
      <c r="E2510" s="989">
        <v>14.75</v>
      </c>
      <c r="F2510" s="990"/>
      <c r="G2510" s="990"/>
      <c r="H2510" s="990"/>
      <c r="I2510" s="990"/>
      <c r="J2510" s="990"/>
      <c r="K2510" s="990"/>
      <c r="L2510" s="990"/>
      <c r="M2510" s="990"/>
      <c r="N2510" s="990"/>
      <c r="O2510" s="990"/>
      <c r="P2510" s="990"/>
      <c r="Q2510" s="990"/>
      <c r="R2510" s="990"/>
      <c r="S2510" s="990"/>
      <c r="T2510" s="990"/>
      <c r="U2510" s="990"/>
      <c r="V2510" s="990"/>
      <c r="W2510" s="990"/>
      <c r="X2510" s="990"/>
    </row>
    <row r="2511" spans="1:24" s="896" customFormat="1" ht="25.5">
      <c r="A2511" s="987">
        <f t="shared" si="40"/>
        <v>2437</v>
      </c>
      <c r="B2511" s="988">
        <v>10835</v>
      </c>
      <c r="C2511" s="899" t="s">
        <v>11837</v>
      </c>
      <c r="D2511" s="988" t="s">
        <v>2666</v>
      </c>
      <c r="E2511" s="989">
        <v>5.43</v>
      </c>
      <c r="F2511" s="990"/>
      <c r="G2511" s="990"/>
      <c r="H2511" s="990"/>
      <c r="I2511" s="990"/>
      <c r="J2511" s="990"/>
      <c r="K2511" s="990"/>
      <c r="L2511" s="990"/>
      <c r="M2511" s="990"/>
      <c r="N2511" s="990"/>
      <c r="O2511" s="990"/>
      <c r="P2511" s="990"/>
      <c r="Q2511" s="990"/>
      <c r="R2511" s="990"/>
      <c r="S2511" s="990"/>
      <c r="T2511" s="990"/>
      <c r="U2511" s="990"/>
      <c r="V2511" s="990"/>
      <c r="W2511" s="990"/>
      <c r="X2511" s="990"/>
    </row>
    <row r="2512" spans="1:24" s="896" customFormat="1">
      <c r="A2512" s="987">
        <f t="shared" si="40"/>
        <v>2438</v>
      </c>
      <c r="B2512" s="988">
        <v>3475</v>
      </c>
      <c r="C2512" s="899" t="s">
        <v>11838</v>
      </c>
      <c r="D2512" s="988" t="s">
        <v>2666</v>
      </c>
      <c r="E2512" s="989">
        <v>4.96</v>
      </c>
      <c r="F2512" s="990"/>
      <c r="G2512" s="990"/>
      <c r="H2512" s="990"/>
      <c r="I2512" s="990"/>
      <c r="J2512" s="990"/>
      <c r="K2512" s="990"/>
      <c r="L2512" s="990"/>
      <c r="M2512" s="990"/>
      <c r="N2512" s="990"/>
      <c r="O2512" s="990"/>
      <c r="P2512" s="990"/>
      <c r="Q2512" s="990"/>
      <c r="R2512" s="990"/>
      <c r="S2512" s="990"/>
      <c r="T2512" s="990"/>
      <c r="U2512" s="990"/>
      <c r="V2512" s="990"/>
      <c r="W2512" s="990"/>
      <c r="X2512" s="990"/>
    </row>
    <row r="2513" spans="1:24" s="896" customFormat="1">
      <c r="A2513" s="987">
        <f t="shared" si="40"/>
        <v>2439</v>
      </c>
      <c r="B2513" s="988">
        <v>3485</v>
      </c>
      <c r="C2513" s="899" t="s">
        <v>11839</v>
      </c>
      <c r="D2513" s="988" t="s">
        <v>2666</v>
      </c>
      <c r="E2513" s="989">
        <v>15.84</v>
      </c>
      <c r="F2513" s="990"/>
      <c r="G2513" s="990"/>
      <c r="H2513" s="990"/>
      <c r="I2513" s="990"/>
      <c r="J2513" s="990"/>
      <c r="K2513" s="990"/>
      <c r="L2513" s="990"/>
      <c r="M2513" s="990"/>
      <c r="N2513" s="990"/>
      <c r="O2513" s="990"/>
      <c r="P2513" s="990"/>
      <c r="Q2513" s="990"/>
      <c r="R2513" s="990"/>
      <c r="S2513" s="990"/>
      <c r="T2513" s="990"/>
      <c r="U2513" s="990"/>
      <c r="V2513" s="990"/>
      <c r="W2513" s="990"/>
      <c r="X2513" s="990"/>
    </row>
    <row r="2514" spans="1:24" s="896" customFormat="1">
      <c r="A2514" s="987">
        <f t="shared" si="40"/>
        <v>2440</v>
      </c>
      <c r="B2514" s="988">
        <v>3534</v>
      </c>
      <c r="C2514" s="899" t="s">
        <v>11840</v>
      </c>
      <c r="D2514" s="988" t="s">
        <v>2666</v>
      </c>
      <c r="E2514" s="989">
        <v>6.26</v>
      </c>
      <c r="F2514" s="990"/>
      <c r="G2514" s="990"/>
      <c r="H2514" s="990"/>
      <c r="I2514" s="990"/>
      <c r="J2514" s="990"/>
      <c r="K2514" s="990"/>
      <c r="L2514" s="990"/>
      <c r="M2514" s="990"/>
      <c r="N2514" s="990"/>
      <c r="O2514" s="990"/>
      <c r="P2514" s="990"/>
      <c r="Q2514" s="990"/>
      <c r="R2514" s="990"/>
      <c r="S2514" s="990"/>
      <c r="T2514" s="990"/>
      <c r="U2514" s="990"/>
      <c r="V2514" s="990"/>
      <c r="W2514" s="990"/>
      <c r="X2514" s="990"/>
    </row>
    <row r="2515" spans="1:24" s="896" customFormat="1">
      <c r="A2515" s="987">
        <f t="shared" si="40"/>
        <v>2441</v>
      </c>
      <c r="B2515" s="988">
        <v>3543</v>
      </c>
      <c r="C2515" s="899" t="s">
        <v>11841</v>
      </c>
      <c r="D2515" s="988" t="s">
        <v>2666</v>
      </c>
      <c r="E2515" s="989">
        <v>3.15</v>
      </c>
      <c r="F2515" s="990"/>
      <c r="G2515" s="990"/>
      <c r="H2515" s="990"/>
      <c r="I2515" s="990"/>
      <c r="J2515" s="990"/>
      <c r="K2515" s="990"/>
      <c r="L2515" s="990"/>
      <c r="M2515" s="990"/>
      <c r="N2515" s="990"/>
      <c r="O2515" s="990"/>
      <c r="P2515" s="990"/>
      <c r="Q2515" s="990"/>
      <c r="R2515" s="990"/>
      <c r="S2515" s="990"/>
      <c r="T2515" s="990"/>
      <c r="U2515" s="990"/>
      <c r="V2515" s="990"/>
      <c r="W2515" s="990"/>
      <c r="X2515" s="990"/>
    </row>
    <row r="2516" spans="1:24" s="896" customFormat="1">
      <c r="A2516" s="987">
        <f t="shared" si="40"/>
        <v>2442</v>
      </c>
      <c r="B2516" s="988">
        <v>3482</v>
      </c>
      <c r="C2516" s="899" t="s">
        <v>11842</v>
      </c>
      <c r="D2516" s="988" t="s">
        <v>2666</v>
      </c>
      <c r="E2516" s="989">
        <v>7.96</v>
      </c>
      <c r="F2516" s="990"/>
      <c r="G2516" s="990"/>
      <c r="H2516" s="990"/>
      <c r="I2516" s="990"/>
      <c r="J2516" s="990"/>
      <c r="K2516" s="990"/>
      <c r="L2516" s="990"/>
      <c r="M2516" s="990"/>
      <c r="N2516" s="990"/>
      <c r="O2516" s="990"/>
      <c r="P2516" s="990"/>
      <c r="Q2516" s="990"/>
      <c r="R2516" s="990"/>
      <c r="S2516" s="990"/>
      <c r="T2516" s="990"/>
      <c r="U2516" s="990"/>
      <c r="V2516" s="990"/>
      <c r="W2516" s="990"/>
      <c r="X2516" s="990"/>
    </row>
    <row r="2517" spans="1:24" s="896" customFormat="1">
      <c r="A2517" s="987">
        <f t="shared" si="40"/>
        <v>2443</v>
      </c>
      <c r="B2517" s="988">
        <v>3505</v>
      </c>
      <c r="C2517" s="899" t="s">
        <v>11843</v>
      </c>
      <c r="D2517" s="988" t="s">
        <v>2666</v>
      </c>
      <c r="E2517" s="989">
        <v>4.51</v>
      </c>
      <c r="F2517" s="990"/>
      <c r="G2517" s="990"/>
      <c r="H2517" s="990"/>
      <c r="I2517" s="990"/>
      <c r="J2517" s="990"/>
      <c r="K2517" s="990"/>
      <c r="L2517" s="990"/>
      <c r="M2517" s="990"/>
      <c r="N2517" s="990"/>
      <c r="O2517" s="990"/>
      <c r="P2517" s="990"/>
      <c r="Q2517" s="990"/>
      <c r="R2517" s="990"/>
      <c r="S2517" s="990"/>
      <c r="T2517" s="990"/>
      <c r="U2517" s="990"/>
      <c r="V2517" s="990"/>
      <c r="W2517" s="990"/>
      <c r="X2517" s="990"/>
    </row>
    <row r="2518" spans="1:24" s="896" customFormat="1">
      <c r="A2518" s="987">
        <f t="shared" si="40"/>
        <v>2444</v>
      </c>
      <c r="B2518" s="988">
        <v>3516</v>
      </c>
      <c r="C2518" s="899" t="s">
        <v>11844</v>
      </c>
      <c r="D2518" s="988" t="s">
        <v>2666</v>
      </c>
      <c r="E2518" s="989">
        <v>1.42</v>
      </c>
      <c r="F2518" s="990"/>
      <c r="G2518" s="990"/>
      <c r="H2518" s="990"/>
      <c r="I2518" s="990"/>
      <c r="J2518" s="990"/>
      <c r="K2518" s="990"/>
      <c r="L2518" s="990"/>
      <c r="M2518" s="990"/>
      <c r="N2518" s="990"/>
      <c r="O2518" s="990"/>
      <c r="P2518" s="990"/>
      <c r="Q2518" s="990"/>
      <c r="R2518" s="990"/>
      <c r="S2518" s="990"/>
      <c r="T2518" s="990"/>
      <c r="U2518" s="990"/>
      <c r="V2518" s="990"/>
      <c r="W2518" s="990"/>
      <c r="X2518" s="990"/>
    </row>
    <row r="2519" spans="1:24" s="896" customFormat="1">
      <c r="A2519" s="987">
        <f t="shared" si="40"/>
        <v>2445</v>
      </c>
      <c r="B2519" s="988">
        <v>3517</v>
      </c>
      <c r="C2519" s="899" t="s">
        <v>11845</v>
      </c>
      <c r="D2519" s="988" t="s">
        <v>2666</v>
      </c>
      <c r="E2519" s="989">
        <v>4.95</v>
      </c>
      <c r="F2519" s="990"/>
      <c r="G2519" s="990"/>
      <c r="H2519" s="990"/>
      <c r="I2519" s="990"/>
      <c r="J2519" s="990"/>
      <c r="K2519" s="990"/>
      <c r="L2519" s="990"/>
      <c r="M2519" s="990"/>
      <c r="N2519" s="990"/>
      <c r="O2519" s="990"/>
      <c r="P2519" s="990"/>
      <c r="Q2519" s="990"/>
      <c r="R2519" s="990"/>
      <c r="S2519" s="990"/>
      <c r="T2519" s="990"/>
      <c r="U2519" s="990"/>
      <c r="V2519" s="990"/>
      <c r="W2519" s="990"/>
      <c r="X2519" s="990"/>
    </row>
    <row r="2520" spans="1:24" s="896" customFormat="1" ht="25.5">
      <c r="A2520" s="987">
        <f t="shared" si="40"/>
        <v>2446</v>
      </c>
      <c r="B2520" s="988">
        <v>3515</v>
      </c>
      <c r="C2520" s="899" t="s">
        <v>11846</v>
      </c>
      <c r="D2520" s="988" t="s">
        <v>2666</v>
      </c>
      <c r="E2520" s="989">
        <v>7.31</v>
      </c>
      <c r="F2520" s="990"/>
      <c r="G2520" s="990"/>
      <c r="H2520" s="990"/>
      <c r="I2520" s="990"/>
      <c r="J2520" s="990"/>
      <c r="K2520" s="990"/>
      <c r="L2520" s="990"/>
      <c r="M2520" s="990"/>
      <c r="N2520" s="990"/>
      <c r="O2520" s="990"/>
      <c r="P2520" s="990"/>
      <c r="Q2520" s="990"/>
      <c r="R2520" s="990"/>
      <c r="S2520" s="990"/>
      <c r="T2520" s="990"/>
      <c r="U2520" s="990"/>
      <c r="V2520" s="990"/>
      <c r="W2520" s="990"/>
      <c r="X2520" s="990"/>
    </row>
    <row r="2521" spans="1:24" s="896" customFormat="1" ht="25.5">
      <c r="A2521" s="987">
        <f t="shared" si="40"/>
        <v>2447</v>
      </c>
      <c r="B2521" s="988">
        <v>20147</v>
      </c>
      <c r="C2521" s="899" t="s">
        <v>11847</v>
      </c>
      <c r="D2521" s="988" t="s">
        <v>2666</v>
      </c>
      <c r="E2521" s="989">
        <v>7.87</v>
      </c>
      <c r="F2521" s="990"/>
      <c r="G2521" s="990"/>
      <c r="H2521" s="990"/>
      <c r="I2521" s="990"/>
      <c r="J2521" s="990"/>
      <c r="K2521" s="990"/>
      <c r="L2521" s="990"/>
      <c r="M2521" s="990"/>
      <c r="N2521" s="990"/>
      <c r="O2521" s="990"/>
      <c r="P2521" s="990"/>
      <c r="Q2521" s="990"/>
      <c r="R2521" s="990"/>
      <c r="S2521" s="990"/>
      <c r="T2521" s="990"/>
      <c r="U2521" s="990"/>
      <c r="V2521" s="990"/>
      <c r="W2521" s="990"/>
      <c r="X2521" s="990"/>
    </row>
    <row r="2522" spans="1:24" s="896" customFormat="1" ht="25.5">
      <c r="A2522" s="987">
        <f t="shared" si="40"/>
        <v>2448</v>
      </c>
      <c r="B2522" s="988">
        <v>3524</v>
      </c>
      <c r="C2522" s="899" t="s">
        <v>11848</v>
      </c>
      <c r="D2522" s="988" t="s">
        <v>2666</v>
      </c>
      <c r="E2522" s="989">
        <v>9.33</v>
      </c>
      <c r="F2522" s="990"/>
      <c r="G2522" s="990"/>
      <c r="H2522" s="990"/>
      <c r="I2522" s="990"/>
      <c r="J2522" s="990"/>
      <c r="K2522" s="990"/>
      <c r="L2522" s="990"/>
      <c r="M2522" s="990"/>
      <c r="N2522" s="990"/>
      <c r="O2522" s="990"/>
      <c r="P2522" s="990"/>
      <c r="Q2522" s="990"/>
      <c r="R2522" s="990"/>
      <c r="S2522" s="990"/>
      <c r="T2522" s="990"/>
      <c r="U2522" s="990"/>
      <c r="V2522" s="990"/>
      <c r="W2522" s="990"/>
      <c r="X2522" s="990"/>
    </row>
    <row r="2523" spans="1:24" s="896" customFormat="1" ht="25.5">
      <c r="A2523" s="987">
        <f t="shared" si="40"/>
        <v>2449</v>
      </c>
      <c r="B2523" s="988">
        <v>3532</v>
      </c>
      <c r="C2523" s="899" t="s">
        <v>11849</v>
      </c>
      <c r="D2523" s="988" t="s">
        <v>2666</v>
      </c>
      <c r="E2523" s="989">
        <v>17.07</v>
      </c>
      <c r="F2523" s="990"/>
      <c r="G2523" s="990"/>
      <c r="H2523" s="990"/>
      <c r="I2523" s="990"/>
      <c r="J2523" s="990"/>
      <c r="K2523" s="990"/>
      <c r="L2523" s="990"/>
      <c r="M2523" s="990"/>
      <c r="N2523" s="990"/>
      <c r="O2523" s="990"/>
      <c r="P2523" s="990"/>
      <c r="Q2523" s="990"/>
      <c r="R2523" s="990"/>
      <c r="S2523" s="990"/>
      <c r="T2523" s="990"/>
      <c r="U2523" s="990"/>
      <c r="V2523" s="990"/>
      <c r="W2523" s="990"/>
      <c r="X2523" s="990"/>
    </row>
    <row r="2524" spans="1:24" s="896" customFormat="1">
      <c r="A2524" s="987">
        <f t="shared" si="40"/>
        <v>2450</v>
      </c>
      <c r="B2524" s="988">
        <v>3528</v>
      </c>
      <c r="C2524" s="899" t="s">
        <v>11850</v>
      </c>
      <c r="D2524" s="988" t="s">
        <v>2666</v>
      </c>
      <c r="E2524" s="989">
        <v>11.19</v>
      </c>
      <c r="F2524" s="990"/>
      <c r="G2524" s="990"/>
      <c r="H2524" s="990"/>
      <c r="I2524" s="990"/>
      <c r="J2524" s="990"/>
      <c r="K2524" s="990"/>
      <c r="L2524" s="990"/>
      <c r="M2524" s="990"/>
      <c r="N2524" s="990"/>
      <c r="O2524" s="990"/>
      <c r="P2524" s="990"/>
      <c r="Q2524" s="990"/>
      <c r="R2524" s="990"/>
      <c r="S2524" s="990"/>
      <c r="T2524" s="990"/>
      <c r="U2524" s="990"/>
      <c r="V2524" s="990"/>
      <c r="W2524" s="990"/>
      <c r="X2524" s="990"/>
    </row>
    <row r="2525" spans="1:24" s="896" customFormat="1">
      <c r="A2525" s="987">
        <f t="shared" si="40"/>
        <v>2451</v>
      </c>
      <c r="B2525" s="988">
        <v>37952</v>
      </c>
      <c r="C2525" s="899" t="s">
        <v>11851</v>
      </c>
      <c r="D2525" s="988" t="s">
        <v>2666</v>
      </c>
      <c r="E2525" s="989">
        <v>79.7</v>
      </c>
      <c r="F2525" s="990"/>
      <c r="G2525" s="990"/>
      <c r="H2525" s="990"/>
      <c r="I2525" s="990"/>
      <c r="J2525" s="990"/>
      <c r="K2525" s="990"/>
      <c r="L2525" s="990"/>
      <c r="M2525" s="990"/>
      <c r="N2525" s="990"/>
      <c r="O2525" s="990"/>
      <c r="P2525" s="990"/>
      <c r="Q2525" s="990"/>
      <c r="R2525" s="990"/>
      <c r="S2525" s="990"/>
      <c r="T2525" s="990"/>
      <c r="U2525" s="990"/>
      <c r="V2525" s="990"/>
      <c r="W2525" s="990"/>
      <c r="X2525" s="990"/>
    </row>
    <row r="2526" spans="1:24" s="896" customFormat="1">
      <c r="A2526" s="987">
        <f t="shared" si="40"/>
        <v>2452</v>
      </c>
      <c r="B2526" s="988">
        <v>37951</v>
      </c>
      <c r="C2526" s="899" t="s">
        <v>11852</v>
      </c>
      <c r="D2526" s="988" t="s">
        <v>2666</v>
      </c>
      <c r="E2526" s="989">
        <v>2.9</v>
      </c>
      <c r="F2526" s="990"/>
      <c r="G2526" s="990"/>
      <c r="H2526" s="990"/>
      <c r="I2526" s="990"/>
      <c r="J2526" s="990"/>
      <c r="K2526" s="990"/>
      <c r="L2526" s="990"/>
      <c r="M2526" s="990"/>
      <c r="N2526" s="990"/>
      <c r="O2526" s="990"/>
      <c r="P2526" s="990"/>
      <c r="Q2526" s="990"/>
      <c r="R2526" s="990"/>
      <c r="S2526" s="990"/>
      <c r="T2526" s="990"/>
      <c r="U2526" s="990"/>
      <c r="V2526" s="990"/>
      <c r="W2526" s="990"/>
      <c r="X2526" s="990"/>
    </row>
    <row r="2527" spans="1:24" s="896" customFormat="1">
      <c r="A2527" s="987">
        <f t="shared" si="40"/>
        <v>2453</v>
      </c>
      <c r="B2527" s="988">
        <v>3518</v>
      </c>
      <c r="C2527" s="899" t="s">
        <v>11853</v>
      </c>
      <c r="D2527" s="988" t="s">
        <v>2666</v>
      </c>
      <c r="E2527" s="989">
        <v>4.24</v>
      </c>
      <c r="F2527" s="990"/>
      <c r="G2527" s="990"/>
      <c r="H2527" s="990"/>
      <c r="I2527" s="990"/>
      <c r="J2527" s="990"/>
      <c r="K2527" s="990"/>
      <c r="L2527" s="990"/>
      <c r="M2527" s="990"/>
      <c r="N2527" s="990"/>
      <c r="O2527" s="990"/>
      <c r="P2527" s="990"/>
      <c r="Q2527" s="990"/>
      <c r="R2527" s="990"/>
      <c r="S2527" s="990"/>
      <c r="T2527" s="990"/>
      <c r="U2527" s="990"/>
      <c r="V2527" s="990"/>
      <c r="W2527" s="990"/>
      <c r="X2527" s="990"/>
    </row>
    <row r="2528" spans="1:24" s="896" customFormat="1">
      <c r="A2528" s="987">
        <f t="shared" si="40"/>
        <v>2454</v>
      </c>
      <c r="B2528" s="988">
        <v>3519</v>
      </c>
      <c r="C2528" s="899" t="s">
        <v>11854</v>
      </c>
      <c r="D2528" s="988" t="s">
        <v>2666</v>
      </c>
      <c r="E2528" s="989">
        <v>10.050000000000001</v>
      </c>
      <c r="F2528" s="990"/>
      <c r="G2528" s="990"/>
      <c r="H2528" s="990"/>
      <c r="I2528" s="990"/>
      <c r="J2528" s="990"/>
      <c r="K2528" s="990"/>
      <c r="L2528" s="990"/>
      <c r="M2528" s="990"/>
      <c r="N2528" s="990"/>
      <c r="O2528" s="990"/>
      <c r="P2528" s="990"/>
      <c r="Q2528" s="990"/>
      <c r="R2528" s="990"/>
      <c r="S2528" s="990"/>
      <c r="T2528" s="990"/>
      <c r="U2528" s="990"/>
      <c r="V2528" s="990"/>
      <c r="W2528" s="990"/>
      <c r="X2528" s="990"/>
    </row>
    <row r="2529" spans="1:24" s="896" customFormat="1">
      <c r="A2529" s="987">
        <f t="shared" si="40"/>
        <v>2455</v>
      </c>
      <c r="B2529" s="988">
        <v>3520</v>
      </c>
      <c r="C2529" s="899" t="s">
        <v>11855</v>
      </c>
      <c r="D2529" s="988" t="s">
        <v>2666</v>
      </c>
      <c r="E2529" s="989">
        <v>11.26</v>
      </c>
      <c r="F2529" s="990"/>
      <c r="G2529" s="990"/>
      <c r="H2529" s="990"/>
      <c r="I2529" s="990"/>
      <c r="J2529" s="990"/>
      <c r="K2529" s="990"/>
      <c r="L2529" s="990"/>
      <c r="M2529" s="990"/>
      <c r="N2529" s="990"/>
      <c r="O2529" s="990"/>
      <c r="P2529" s="990"/>
      <c r="Q2529" s="990"/>
      <c r="R2529" s="990"/>
      <c r="S2529" s="990"/>
      <c r="T2529" s="990"/>
      <c r="U2529" s="990"/>
      <c r="V2529" s="990"/>
      <c r="W2529" s="990"/>
      <c r="X2529" s="990"/>
    </row>
    <row r="2530" spans="1:24" s="896" customFormat="1">
      <c r="A2530" s="987">
        <f t="shared" si="40"/>
        <v>2456</v>
      </c>
      <c r="B2530" s="988">
        <v>37950</v>
      </c>
      <c r="C2530" s="899" t="s">
        <v>11856</v>
      </c>
      <c r="D2530" s="988" t="s">
        <v>2666</v>
      </c>
      <c r="E2530" s="989">
        <v>69.39</v>
      </c>
      <c r="F2530" s="990"/>
      <c r="G2530" s="990"/>
      <c r="H2530" s="990"/>
      <c r="I2530" s="990"/>
      <c r="J2530" s="990"/>
      <c r="K2530" s="990"/>
      <c r="L2530" s="990"/>
      <c r="M2530" s="990"/>
      <c r="N2530" s="990"/>
      <c r="O2530" s="990"/>
      <c r="P2530" s="990"/>
      <c r="Q2530" s="990"/>
      <c r="R2530" s="990"/>
      <c r="S2530" s="990"/>
      <c r="T2530" s="990"/>
      <c r="U2530" s="990"/>
      <c r="V2530" s="990"/>
      <c r="W2530" s="990"/>
      <c r="X2530" s="990"/>
    </row>
    <row r="2531" spans="1:24" s="896" customFormat="1">
      <c r="A2531" s="987">
        <f t="shared" si="40"/>
        <v>2457</v>
      </c>
      <c r="B2531" s="988">
        <v>37949</v>
      </c>
      <c r="C2531" s="899" t="s">
        <v>11857</v>
      </c>
      <c r="D2531" s="988" t="s">
        <v>2666</v>
      </c>
      <c r="E2531" s="989">
        <v>2.54</v>
      </c>
      <c r="F2531" s="990"/>
      <c r="G2531" s="990"/>
      <c r="H2531" s="990"/>
      <c r="I2531" s="990"/>
      <c r="J2531" s="990"/>
      <c r="K2531" s="990"/>
      <c r="L2531" s="990"/>
      <c r="M2531" s="990"/>
      <c r="N2531" s="990"/>
      <c r="O2531" s="990"/>
      <c r="P2531" s="990"/>
      <c r="Q2531" s="990"/>
      <c r="R2531" s="990"/>
      <c r="S2531" s="990"/>
      <c r="T2531" s="990"/>
      <c r="U2531" s="990"/>
      <c r="V2531" s="990"/>
      <c r="W2531" s="990"/>
      <c r="X2531" s="990"/>
    </row>
    <row r="2532" spans="1:24" s="896" customFormat="1">
      <c r="A2532" s="987">
        <f t="shared" si="40"/>
        <v>2458</v>
      </c>
      <c r="B2532" s="988">
        <v>3526</v>
      </c>
      <c r="C2532" s="899" t="s">
        <v>11858</v>
      </c>
      <c r="D2532" s="988" t="s">
        <v>2666</v>
      </c>
      <c r="E2532" s="989">
        <v>3.41</v>
      </c>
      <c r="F2532" s="990"/>
      <c r="G2532" s="990"/>
      <c r="H2532" s="990"/>
      <c r="I2532" s="990"/>
      <c r="J2532" s="990"/>
      <c r="K2532" s="990"/>
      <c r="L2532" s="990"/>
      <c r="M2532" s="990"/>
      <c r="N2532" s="990"/>
      <c r="O2532" s="990"/>
      <c r="P2532" s="990"/>
      <c r="Q2532" s="990"/>
      <c r="R2532" s="990"/>
      <c r="S2532" s="990"/>
      <c r="T2532" s="990"/>
      <c r="U2532" s="990"/>
      <c r="V2532" s="990"/>
      <c r="W2532" s="990"/>
      <c r="X2532" s="990"/>
    </row>
    <row r="2533" spans="1:24" s="896" customFormat="1">
      <c r="A2533" s="987">
        <f t="shared" si="40"/>
        <v>2459</v>
      </c>
      <c r="B2533" s="988">
        <v>3509</v>
      </c>
      <c r="C2533" s="899" t="s">
        <v>11859</v>
      </c>
      <c r="D2533" s="988" t="s">
        <v>2666</v>
      </c>
      <c r="E2533" s="989">
        <v>8.86</v>
      </c>
      <c r="F2533" s="990"/>
      <c r="G2533" s="990"/>
      <c r="H2533" s="990"/>
      <c r="I2533" s="990"/>
      <c r="J2533" s="990"/>
      <c r="K2533" s="990"/>
      <c r="L2533" s="990"/>
      <c r="M2533" s="990"/>
      <c r="N2533" s="990"/>
      <c r="O2533" s="990"/>
      <c r="P2533" s="990"/>
      <c r="Q2533" s="990"/>
      <c r="R2533" s="990"/>
      <c r="S2533" s="990"/>
      <c r="T2533" s="990"/>
      <c r="U2533" s="990"/>
      <c r="V2533" s="990"/>
      <c r="W2533" s="990"/>
      <c r="X2533" s="990"/>
    </row>
    <row r="2534" spans="1:24" s="896" customFormat="1">
      <c r="A2534" s="987">
        <f t="shared" si="40"/>
        <v>2460</v>
      </c>
      <c r="B2534" s="988">
        <v>3530</v>
      </c>
      <c r="C2534" s="899" t="s">
        <v>11860</v>
      </c>
      <c r="D2534" s="988" t="s">
        <v>2666</v>
      </c>
      <c r="E2534" s="989">
        <v>293.91000000000003</v>
      </c>
      <c r="F2534" s="990"/>
      <c r="G2534" s="990"/>
      <c r="H2534" s="990"/>
      <c r="I2534" s="990"/>
      <c r="J2534" s="990"/>
      <c r="K2534" s="990"/>
      <c r="L2534" s="990"/>
      <c r="M2534" s="990"/>
      <c r="N2534" s="990"/>
      <c r="O2534" s="990"/>
      <c r="P2534" s="990"/>
      <c r="Q2534" s="990"/>
      <c r="R2534" s="990"/>
      <c r="S2534" s="990"/>
      <c r="T2534" s="990"/>
      <c r="U2534" s="990"/>
      <c r="V2534" s="990"/>
      <c r="W2534" s="990"/>
      <c r="X2534" s="990"/>
    </row>
    <row r="2535" spans="1:24" s="896" customFormat="1">
      <c r="A2535" s="987">
        <f t="shared" si="40"/>
        <v>2461</v>
      </c>
      <c r="B2535" s="988">
        <v>3542</v>
      </c>
      <c r="C2535" s="899" t="s">
        <v>11861</v>
      </c>
      <c r="D2535" s="988" t="s">
        <v>2666</v>
      </c>
      <c r="E2535" s="989">
        <v>0.68</v>
      </c>
      <c r="F2535" s="990"/>
      <c r="G2535" s="990"/>
      <c r="H2535" s="990"/>
      <c r="I2535" s="990"/>
      <c r="J2535" s="990"/>
      <c r="K2535" s="990"/>
      <c r="L2535" s="990"/>
      <c r="M2535" s="990"/>
      <c r="N2535" s="990"/>
      <c r="O2535" s="990"/>
      <c r="P2535" s="990"/>
      <c r="Q2535" s="990"/>
      <c r="R2535" s="990"/>
      <c r="S2535" s="990"/>
      <c r="T2535" s="990"/>
      <c r="U2535" s="990"/>
      <c r="V2535" s="990"/>
      <c r="W2535" s="990"/>
      <c r="X2535" s="990"/>
    </row>
    <row r="2536" spans="1:24" s="896" customFormat="1">
      <c r="A2536" s="987">
        <f t="shared" si="40"/>
        <v>2462</v>
      </c>
      <c r="B2536" s="988">
        <v>3529</v>
      </c>
      <c r="C2536" s="899" t="s">
        <v>11862</v>
      </c>
      <c r="D2536" s="988" t="s">
        <v>2666</v>
      </c>
      <c r="E2536" s="989">
        <v>0.94</v>
      </c>
      <c r="F2536" s="990"/>
      <c r="G2536" s="990"/>
      <c r="H2536" s="990"/>
      <c r="I2536" s="990"/>
      <c r="J2536" s="990"/>
      <c r="K2536" s="990"/>
      <c r="L2536" s="990"/>
      <c r="M2536" s="990"/>
      <c r="N2536" s="990"/>
      <c r="O2536" s="990"/>
      <c r="P2536" s="990"/>
      <c r="Q2536" s="990"/>
      <c r="R2536" s="990"/>
      <c r="S2536" s="990"/>
      <c r="T2536" s="990"/>
      <c r="U2536" s="990"/>
      <c r="V2536" s="990"/>
      <c r="W2536" s="990"/>
      <c r="X2536" s="990"/>
    </row>
    <row r="2537" spans="1:24" s="896" customFormat="1">
      <c r="A2537" s="987">
        <f t="shared" si="40"/>
        <v>2463</v>
      </c>
      <c r="B2537" s="988">
        <v>3536</v>
      </c>
      <c r="C2537" s="899" t="s">
        <v>11863</v>
      </c>
      <c r="D2537" s="988" t="s">
        <v>2666</v>
      </c>
      <c r="E2537" s="989">
        <v>2.81</v>
      </c>
      <c r="F2537" s="990"/>
      <c r="G2537" s="990"/>
      <c r="H2537" s="990"/>
      <c r="I2537" s="990"/>
      <c r="J2537" s="990"/>
      <c r="K2537" s="990"/>
      <c r="L2537" s="990"/>
      <c r="M2537" s="990"/>
      <c r="N2537" s="990"/>
      <c r="O2537" s="990"/>
      <c r="P2537" s="990"/>
      <c r="Q2537" s="990"/>
      <c r="R2537" s="990"/>
      <c r="S2537" s="990"/>
      <c r="T2537" s="990"/>
      <c r="U2537" s="990"/>
      <c r="V2537" s="990"/>
      <c r="W2537" s="990"/>
      <c r="X2537" s="990"/>
    </row>
    <row r="2538" spans="1:24" s="896" customFormat="1">
      <c r="A2538" s="987">
        <f t="shared" si="40"/>
        <v>2464</v>
      </c>
      <c r="B2538" s="988">
        <v>3535</v>
      </c>
      <c r="C2538" s="899" t="s">
        <v>11864</v>
      </c>
      <c r="D2538" s="988" t="s">
        <v>2666</v>
      </c>
      <c r="E2538" s="989">
        <v>6.67</v>
      </c>
      <c r="F2538" s="990"/>
      <c r="G2538" s="990"/>
      <c r="H2538" s="990"/>
      <c r="I2538" s="990"/>
      <c r="J2538" s="990"/>
      <c r="K2538" s="990"/>
      <c r="L2538" s="990"/>
      <c r="M2538" s="990"/>
      <c r="N2538" s="990"/>
      <c r="O2538" s="990"/>
      <c r="P2538" s="990"/>
      <c r="Q2538" s="990"/>
      <c r="R2538" s="990"/>
      <c r="S2538" s="990"/>
      <c r="T2538" s="990"/>
      <c r="U2538" s="990"/>
      <c r="V2538" s="990"/>
      <c r="W2538" s="990"/>
      <c r="X2538" s="990"/>
    </row>
    <row r="2539" spans="1:24" s="896" customFormat="1">
      <c r="A2539" s="987">
        <f t="shared" si="40"/>
        <v>2465</v>
      </c>
      <c r="B2539" s="988">
        <v>3540</v>
      </c>
      <c r="C2539" s="899" t="s">
        <v>11865</v>
      </c>
      <c r="D2539" s="988" t="s">
        <v>2666</v>
      </c>
      <c r="E2539" s="989">
        <v>7.22</v>
      </c>
      <c r="F2539" s="990"/>
      <c r="G2539" s="990"/>
      <c r="H2539" s="990"/>
      <c r="I2539" s="990"/>
      <c r="J2539" s="990"/>
      <c r="K2539" s="990"/>
      <c r="L2539" s="990"/>
      <c r="M2539" s="990"/>
      <c r="N2539" s="990"/>
      <c r="O2539" s="990"/>
      <c r="P2539" s="990"/>
      <c r="Q2539" s="990"/>
      <c r="R2539" s="990"/>
      <c r="S2539" s="990"/>
      <c r="T2539" s="990"/>
      <c r="U2539" s="990"/>
      <c r="V2539" s="990"/>
      <c r="W2539" s="990"/>
      <c r="X2539" s="990"/>
    </row>
    <row r="2540" spans="1:24" s="896" customFormat="1">
      <c r="A2540" s="987">
        <f t="shared" si="40"/>
        <v>2466</v>
      </c>
      <c r="B2540" s="988">
        <v>3539</v>
      </c>
      <c r="C2540" s="899" t="s">
        <v>11866</v>
      </c>
      <c r="D2540" s="988" t="s">
        <v>2666</v>
      </c>
      <c r="E2540" s="989">
        <v>31.35</v>
      </c>
      <c r="F2540" s="990"/>
      <c r="G2540" s="990"/>
      <c r="H2540" s="990"/>
      <c r="I2540" s="990"/>
      <c r="J2540" s="990"/>
      <c r="K2540" s="990"/>
      <c r="L2540" s="990"/>
      <c r="M2540" s="990"/>
      <c r="N2540" s="990"/>
      <c r="O2540" s="990"/>
      <c r="P2540" s="990"/>
      <c r="Q2540" s="990"/>
      <c r="R2540" s="990"/>
      <c r="S2540" s="990"/>
      <c r="T2540" s="990"/>
      <c r="U2540" s="990"/>
      <c r="V2540" s="990"/>
      <c r="W2540" s="990"/>
      <c r="X2540" s="990"/>
    </row>
    <row r="2541" spans="1:24" s="896" customFormat="1">
      <c r="A2541" s="987">
        <f t="shared" si="40"/>
        <v>2467</v>
      </c>
      <c r="B2541" s="988">
        <v>3513</v>
      </c>
      <c r="C2541" s="899" t="s">
        <v>11867</v>
      </c>
      <c r="D2541" s="988" t="s">
        <v>2666</v>
      </c>
      <c r="E2541" s="989">
        <v>139.33000000000001</v>
      </c>
      <c r="F2541" s="990"/>
      <c r="G2541" s="990"/>
      <c r="H2541" s="990"/>
      <c r="I2541" s="990"/>
      <c r="J2541" s="990"/>
      <c r="K2541" s="990"/>
      <c r="L2541" s="990"/>
      <c r="M2541" s="990"/>
      <c r="N2541" s="990"/>
      <c r="O2541" s="990"/>
      <c r="P2541" s="990"/>
      <c r="Q2541" s="990"/>
      <c r="R2541" s="990"/>
      <c r="S2541" s="990"/>
      <c r="T2541" s="990"/>
      <c r="U2541" s="990"/>
      <c r="V2541" s="990"/>
      <c r="W2541" s="990"/>
      <c r="X2541" s="990"/>
    </row>
    <row r="2542" spans="1:24" s="896" customFormat="1">
      <c r="A2542" s="987">
        <f t="shared" si="40"/>
        <v>2468</v>
      </c>
      <c r="B2542" s="988">
        <v>3492</v>
      </c>
      <c r="C2542" s="899" t="s">
        <v>11868</v>
      </c>
      <c r="D2542" s="988" t="s">
        <v>2666</v>
      </c>
      <c r="E2542" s="989">
        <v>26.82</v>
      </c>
      <c r="F2542" s="990"/>
      <c r="G2542" s="990"/>
      <c r="H2542" s="990"/>
      <c r="I2542" s="990"/>
      <c r="J2542" s="990"/>
      <c r="K2542" s="990"/>
      <c r="L2542" s="990"/>
      <c r="M2542" s="990"/>
      <c r="N2542" s="990"/>
      <c r="O2542" s="990"/>
      <c r="P2542" s="990"/>
      <c r="Q2542" s="990"/>
      <c r="R2542" s="990"/>
      <c r="S2542" s="990"/>
      <c r="T2542" s="990"/>
      <c r="U2542" s="990"/>
      <c r="V2542" s="990"/>
      <c r="W2542" s="990"/>
      <c r="X2542" s="990"/>
    </row>
    <row r="2543" spans="1:24" s="896" customFormat="1">
      <c r="A2543" s="987">
        <f t="shared" si="40"/>
        <v>2469</v>
      </c>
      <c r="B2543" s="988">
        <v>3491</v>
      </c>
      <c r="C2543" s="899" t="s">
        <v>11869</v>
      </c>
      <c r="D2543" s="988" t="s">
        <v>2666</v>
      </c>
      <c r="E2543" s="989">
        <v>15.29</v>
      </c>
      <c r="F2543" s="990"/>
      <c r="G2543" s="990"/>
      <c r="H2543" s="990"/>
      <c r="I2543" s="990"/>
      <c r="J2543" s="990"/>
      <c r="K2543" s="990"/>
      <c r="L2543" s="990"/>
      <c r="M2543" s="990"/>
      <c r="N2543" s="990"/>
      <c r="O2543" s="990"/>
      <c r="P2543" s="990"/>
      <c r="Q2543" s="990"/>
      <c r="R2543" s="990"/>
      <c r="S2543" s="990"/>
      <c r="T2543" s="990"/>
      <c r="U2543" s="990"/>
      <c r="V2543" s="990"/>
      <c r="W2543" s="990"/>
      <c r="X2543" s="990"/>
    </row>
    <row r="2544" spans="1:24" s="896" customFormat="1">
      <c r="A2544" s="987">
        <f t="shared" si="40"/>
        <v>2470</v>
      </c>
      <c r="B2544" s="988">
        <v>3493</v>
      </c>
      <c r="C2544" s="899" t="s">
        <v>11870</v>
      </c>
      <c r="D2544" s="988" t="s">
        <v>2666</v>
      </c>
      <c r="E2544" s="989">
        <v>36.67</v>
      </c>
      <c r="F2544" s="990"/>
      <c r="G2544" s="990"/>
      <c r="H2544" s="990"/>
      <c r="I2544" s="990"/>
      <c r="J2544" s="990"/>
      <c r="K2544" s="990"/>
      <c r="L2544" s="990"/>
      <c r="M2544" s="990"/>
      <c r="N2544" s="990"/>
      <c r="O2544" s="990"/>
      <c r="P2544" s="990"/>
      <c r="Q2544" s="990"/>
      <c r="R2544" s="990"/>
      <c r="S2544" s="990"/>
      <c r="T2544" s="990"/>
      <c r="U2544" s="990"/>
      <c r="V2544" s="990"/>
      <c r="W2544" s="990"/>
      <c r="X2544" s="990"/>
    </row>
    <row r="2545" spans="1:24" s="896" customFormat="1">
      <c r="A2545" s="987">
        <f t="shared" si="40"/>
        <v>2471</v>
      </c>
      <c r="B2545" s="988">
        <v>12628</v>
      </c>
      <c r="C2545" s="899" t="s">
        <v>11871</v>
      </c>
      <c r="D2545" s="988" t="s">
        <v>2666</v>
      </c>
      <c r="E2545" s="989">
        <v>8.57</v>
      </c>
      <c r="F2545" s="990"/>
      <c r="G2545" s="990"/>
      <c r="H2545" s="990"/>
      <c r="I2545" s="990"/>
      <c r="J2545" s="990"/>
      <c r="K2545" s="990"/>
      <c r="L2545" s="990"/>
      <c r="M2545" s="990"/>
      <c r="N2545" s="990"/>
      <c r="O2545" s="990"/>
      <c r="P2545" s="990"/>
      <c r="Q2545" s="990"/>
      <c r="R2545" s="990"/>
      <c r="S2545" s="990"/>
      <c r="T2545" s="990"/>
      <c r="U2545" s="990"/>
      <c r="V2545" s="990"/>
      <c r="W2545" s="990"/>
      <c r="X2545" s="990"/>
    </row>
    <row r="2546" spans="1:24" s="896" customFormat="1">
      <c r="A2546" s="987">
        <f t="shared" si="40"/>
        <v>2472</v>
      </c>
      <c r="B2546" s="988">
        <v>12629</v>
      </c>
      <c r="C2546" s="899" t="s">
        <v>11872</v>
      </c>
      <c r="D2546" s="988" t="s">
        <v>2666</v>
      </c>
      <c r="E2546" s="989">
        <v>9.3000000000000007</v>
      </c>
      <c r="F2546" s="990"/>
      <c r="G2546" s="990"/>
      <c r="H2546" s="990"/>
      <c r="I2546" s="990"/>
      <c r="J2546" s="990"/>
      <c r="K2546" s="990"/>
      <c r="L2546" s="990"/>
      <c r="M2546" s="990"/>
      <c r="N2546" s="990"/>
      <c r="O2546" s="990"/>
      <c r="P2546" s="990"/>
      <c r="Q2546" s="990"/>
      <c r="R2546" s="990"/>
      <c r="S2546" s="990"/>
      <c r="T2546" s="990"/>
      <c r="U2546" s="990"/>
      <c r="V2546" s="990"/>
      <c r="W2546" s="990"/>
      <c r="X2546" s="990"/>
    </row>
    <row r="2547" spans="1:24" s="896" customFormat="1">
      <c r="A2547" s="987">
        <f t="shared" si="40"/>
        <v>2473</v>
      </c>
      <c r="B2547" s="988">
        <v>3481</v>
      </c>
      <c r="C2547" s="899" t="s">
        <v>11873</v>
      </c>
      <c r="D2547" s="988" t="s">
        <v>2666</v>
      </c>
      <c r="E2547" s="989">
        <v>18.57</v>
      </c>
      <c r="F2547" s="990"/>
      <c r="G2547" s="990"/>
      <c r="H2547" s="990"/>
      <c r="I2547" s="990"/>
      <c r="J2547" s="990"/>
      <c r="K2547" s="990"/>
      <c r="L2547" s="990"/>
      <c r="M2547" s="990"/>
      <c r="N2547" s="990"/>
      <c r="O2547" s="990"/>
      <c r="P2547" s="990"/>
      <c r="Q2547" s="990"/>
      <c r="R2547" s="990"/>
      <c r="S2547" s="990"/>
      <c r="T2547" s="990"/>
      <c r="U2547" s="990"/>
      <c r="V2547" s="990"/>
      <c r="W2547" s="990"/>
      <c r="X2547" s="990"/>
    </row>
    <row r="2548" spans="1:24" s="896" customFormat="1">
      <c r="A2548" s="987">
        <f t="shared" si="40"/>
        <v>2474</v>
      </c>
      <c r="B2548" s="988">
        <v>3510</v>
      </c>
      <c r="C2548" s="899" t="s">
        <v>11874</v>
      </c>
      <c r="D2548" s="988" t="s">
        <v>2666</v>
      </c>
      <c r="E2548" s="989">
        <v>17.36</v>
      </c>
      <c r="F2548" s="990"/>
      <c r="G2548" s="990"/>
      <c r="H2548" s="990"/>
      <c r="I2548" s="990"/>
      <c r="J2548" s="990"/>
      <c r="K2548" s="990"/>
      <c r="L2548" s="990"/>
      <c r="M2548" s="990"/>
      <c r="N2548" s="990"/>
      <c r="O2548" s="990"/>
      <c r="P2548" s="990"/>
      <c r="Q2548" s="990"/>
      <c r="R2548" s="990"/>
      <c r="S2548" s="990"/>
      <c r="T2548" s="990"/>
      <c r="U2548" s="990"/>
      <c r="V2548" s="990"/>
      <c r="W2548" s="990"/>
      <c r="X2548" s="990"/>
    </row>
    <row r="2549" spans="1:24" s="896" customFormat="1">
      <c r="A2549" s="987">
        <f t="shared" si="40"/>
        <v>2475</v>
      </c>
      <c r="B2549" s="988">
        <v>3508</v>
      </c>
      <c r="C2549" s="899" t="s">
        <v>11875</v>
      </c>
      <c r="D2549" s="988" t="s">
        <v>2666</v>
      </c>
      <c r="E2549" s="989">
        <v>45.38</v>
      </c>
      <c r="F2549" s="990"/>
      <c r="G2549" s="990"/>
      <c r="H2549" s="990"/>
      <c r="I2549" s="990"/>
      <c r="J2549" s="990"/>
      <c r="K2549" s="990"/>
      <c r="L2549" s="990"/>
      <c r="M2549" s="990"/>
      <c r="N2549" s="990"/>
      <c r="O2549" s="990"/>
      <c r="P2549" s="990"/>
      <c r="Q2549" s="990"/>
      <c r="R2549" s="990"/>
      <c r="S2549" s="990"/>
      <c r="T2549" s="990"/>
      <c r="U2549" s="990"/>
      <c r="V2549" s="990"/>
      <c r="W2549" s="990"/>
      <c r="X2549" s="990"/>
    </row>
    <row r="2550" spans="1:24" s="896" customFormat="1" ht="25.5">
      <c r="A2550" s="987">
        <f t="shared" si="40"/>
        <v>2476</v>
      </c>
      <c r="B2550" s="988">
        <v>38939</v>
      </c>
      <c r="C2550" s="899" t="s">
        <v>11876</v>
      </c>
      <c r="D2550" s="988" t="s">
        <v>2666</v>
      </c>
      <c r="E2550" s="989">
        <v>13.35</v>
      </c>
      <c r="F2550" s="990"/>
      <c r="G2550" s="990"/>
      <c r="H2550" s="990"/>
      <c r="I2550" s="990"/>
      <c r="J2550" s="990"/>
      <c r="K2550" s="990"/>
      <c r="L2550" s="990"/>
      <c r="M2550" s="990"/>
      <c r="N2550" s="990"/>
      <c r="O2550" s="990"/>
      <c r="P2550" s="990"/>
      <c r="Q2550" s="990"/>
      <c r="R2550" s="990"/>
      <c r="S2550" s="990"/>
      <c r="T2550" s="990"/>
      <c r="U2550" s="990"/>
      <c r="V2550" s="990"/>
      <c r="W2550" s="990"/>
      <c r="X2550" s="990"/>
    </row>
    <row r="2551" spans="1:24" s="896" customFormat="1" ht="25.5">
      <c r="A2551" s="987">
        <f t="shared" si="40"/>
        <v>2477</v>
      </c>
      <c r="B2551" s="988">
        <v>38940</v>
      </c>
      <c r="C2551" s="899" t="s">
        <v>11877</v>
      </c>
      <c r="D2551" s="988" t="s">
        <v>2666</v>
      </c>
      <c r="E2551" s="989">
        <v>20.39</v>
      </c>
      <c r="F2551" s="990"/>
      <c r="G2551" s="990"/>
      <c r="H2551" s="990"/>
      <c r="I2551" s="990"/>
      <c r="J2551" s="990"/>
      <c r="K2551" s="990"/>
      <c r="L2551" s="990"/>
      <c r="M2551" s="990"/>
      <c r="N2551" s="990"/>
      <c r="O2551" s="990"/>
      <c r="P2551" s="990"/>
      <c r="Q2551" s="990"/>
      <c r="R2551" s="990"/>
      <c r="S2551" s="990"/>
      <c r="T2551" s="990"/>
      <c r="U2551" s="990"/>
      <c r="V2551" s="990"/>
      <c r="W2551" s="990"/>
      <c r="X2551" s="990"/>
    </row>
    <row r="2552" spans="1:24" s="896" customFormat="1" ht="25.5">
      <c r="A2552" s="987">
        <f t="shared" si="40"/>
        <v>2478</v>
      </c>
      <c r="B2552" s="988">
        <v>38941</v>
      </c>
      <c r="C2552" s="899" t="s">
        <v>11878</v>
      </c>
      <c r="D2552" s="988" t="s">
        <v>2666</v>
      </c>
      <c r="E2552" s="989">
        <v>24.08</v>
      </c>
      <c r="F2552" s="990"/>
      <c r="G2552" s="990"/>
      <c r="H2552" s="990"/>
      <c r="I2552" s="990"/>
      <c r="J2552" s="990"/>
      <c r="K2552" s="990"/>
      <c r="L2552" s="990"/>
      <c r="M2552" s="990"/>
      <c r="N2552" s="990"/>
      <c r="O2552" s="990"/>
      <c r="P2552" s="990"/>
      <c r="Q2552" s="990"/>
      <c r="R2552" s="990"/>
      <c r="S2552" s="990"/>
      <c r="T2552" s="990"/>
      <c r="U2552" s="990"/>
      <c r="V2552" s="990"/>
      <c r="W2552" s="990"/>
      <c r="X2552" s="990"/>
    </row>
    <row r="2553" spans="1:24" s="896" customFormat="1" ht="25.5">
      <c r="A2553" s="987">
        <f t="shared" si="40"/>
        <v>2479</v>
      </c>
      <c r="B2553" s="988">
        <v>38942</v>
      </c>
      <c r="C2553" s="899" t="s">
        <v>11879</v>
      </c>
      <c r="D2553" s="988" t="s">
        <v>2666</v>
      </c>
      <c r="E2553" s="989">
        <v>26.98</v>
      </c>
      <c r="F2553" s="990"/>
      <c r="G2553" s="990"/>
      <c r="H2553" s="990"/>
      <c r="I2553" s="990"/>
      <c r="J2553" s="990"/>
      <c r="K2553" s="990"/>
      <c r="L2553" s="990"/>
      <c r="M2553" s="990"/>
      <c r="N2553" s="990"/>
      <c r="O2553" s="990"/>
      <c r="P2553" s="990"/>
      <c r="Q2553" s="990"/>
      <c r="R2553" s="990"/>
      <c r="S2553" s="990"/>
      <c r="T2553" s="990"/>
      <c r="U2553" s="990"/>
      <c r="V2553" s="990"/>
      <c r="W2553" s="990"/>
      <c r="X2553" s="990"/>
    </row>
    <row r="2554" spans="1:24" s="896" customFormat="1">
      <c r="A2554" s="987">
        <f t="shared" si="40"/>
        <v>2480</v>
      </c>
      <c r="B2554" s="988">
        <v>38987</v>
      </c>
      <c r="C2554" s="899" t="s">
        <v>11880</v>
      </c>
      <c r="D2554" s="988" t="s">
        <v>2666</v>
      </c>
      <c r="E2554" s="989">
        <v>11.1</v>
      </c>
      <c r="F2554" s="990"/>
      <c r="G2554" s="990"/>
      <c r="H2554" s="990"/>
      <c r="I2554" s="990"/>
      <c r="J2554" s="990"/>
      <c r="K2554" s="990"/>
      <c r="L2554" s="990"/>
      <c r="M2554" s="990"/>
      <c r="N2554" s="990"/>
      <c r="O2554" s="990"/>
      <c r="P2554" s="990"/>
      <c r="Q2554" s="990"/>
      <c r="R2554" s="990"/>
      <c r="S2554" s="990"/>
      <c r="T2554" s="990"/>
      <c r="U2554" s="990"/>
      <c r="V2554" s="990"/>
      <c r="W2554" s="990"/>
      <c r="X2554" s="990"/>
    </row>
    <row r="2555" spans="1:24" s="896" customFormat="1">
      <c r="A2555" s="987">
        <f t="shared" si="40"/>
        <v>2481</v>
      </c>
      <c r="B2555" s="988">
        <v>38988</v>
      </c>
      <c r="C2555" s="899" t="s">
        <v>11881</v>
      </c>
      <c r="D2555" s="988" t="s">
        <v>2666</v>
      </c>
      <c r="E2555" s="989">
        <v>25.79</v>
      </c>
      <c r="F2555" s="990"/>
      <c r="G2555" s="990"/>
      <c r="H2555" s="990"/>
      <c r="I2555" s="990"/>
      <c r="J2555" s="990"/>
      <c r="K2555" s="990"/>
      <c r="L2555" s="990"/>
      <c r="M2555" s="990"/>
      <c r="N2555" s="990"/>
      <c r="O2555" s="990"/>
      <c r="P2555" s="990"/>
      <c r="Q2555" s="990"/>
      <c r="R2555" s="990"/>
      <c r="S2555" s="990"/>
      <c r="T2555" s="990"/>
      <c r="U2555" s="990"/>
      <c r="V2555" s="990"/>
      <c r="W2555" s="990"/>
      <c r="X2555" s="990"/>
    </row>
    <row r="2556" spans="1:24" s="896" customFormat="1">
      <c r="A2556" s="987">
        <f t="shared" si="40"/>
        <v>2482</v>
      </c>
      <c r="B2556" s="988">
        <v>38989</v>
      </c>
      <c r="C2556" s="899" t="s">
        <v>11882</v>
      </c>
      <c r="D2556" s="988" t="s">
        <v>2666</v>
      </c>
      <c r="E2556" s="989">
        <v>34.26</v>
      </c>
      <c r="F2556" s="990"/>
      <c r="G2556" s="990"/>
      <c r="H2556" s="990"/>
      <c r="I2556" s="990"/>
      <c r="J2556" s="990"/>
      <c r="K2556" s="990"/>
      <c r="L2556" s="990"/>
      <c r="M2556" s="990"/>
      <c r="N2556" s="990"/>
      <c r="O2556" s="990"/>
      <c r="P2556" s="990"/>
      <c r="Q2556" s="990"/>
      <c r="R2556" s="990"/>
      <c r="S2556" s="990"/>
      <c r="T2556" s="990"/>
      <c r="U2556" s="990"/>
      <c r="V2556" s="990"/>
      <c r="W2556" s="990"/>
      <c r="X2556" s="990"/>
    </row>
    <row r="2557" spans="1:24" s="896" customFormat="1">
      <c r="A2557" s="987">
        <f t="shared" si="40"/>
        <v>2483</v>
      </c>
      <c r="B2557" s="988">
        <v>38990</v>
      </c>
      <c r="C2557" s="899" t="s">
        <v>11883</v>
      </c>
      <c r="D2557" s="988" t="s">
        <v>2666</v>
      </c>
      <c r="E2557" s="989">
        <v>90.31</v>
      </c>
      <c r="F2557" s="990"/>
      <c r="G2557" s="990"/>
      <c r="H2557" s="990"/>
      <c r="I2557" s="990"/>
      <c r="J2557" s="990"/>
      <c r="K2557" s="990"/>
      <c r="L2557" s="990"/>
      <c r="M2557" s="990"/>
      <c r="N2557" s="990"/>
      <c r="O2557" s="990"/>
      <c r="P2557" s="990"/>
      <c r="Q2557" s="990"/>
      <c r="R2557" s="990"/>
      <c r="S2557" s="990"/>
      <c r="T2557" s="990"/>
      <c r="U2557" s="990"/>
      <c r="V2557" s="990"/>
      <c r="W2557" s="990"/>
      <c r="X2557" s="990"/>
    </row>
    <row r="2558" spans="1:24" s="896" customFormat="1">
      <c r="A2558" s="987">
        <f t="shared" si="40"/>
        <v>2484</v>
      </c>
      <c r="B2558" s="988">
        <v>38991</v>
      </c>
      <c r="C2558" s="899" t="s">
        <v>11884</v>
      </c>
      <c r="D2558" s="988" t="s">
        <v>2666</v>
      </c>
      <c r="E2558" s="989">
        <v>182.47</v>
      </c>
      <c r="F2558" s="990"/>
      <c r="G2558" s="990"/>
      <c r="H2558" s="990"/>
      <c r="I2558" s="990"/>
      <c r="J2558" s="990"/>
      <c r="K2558" s="990"/>
      <c r="L2558" s="990"/>
      <c r="M2558" s="990"/>
      <c r="N2558" s="990"/>
      <c r="O2558" s="990"/>
      <c r="P2558" s="990"/>
      <c r="Q2558" s="990"/>
      <c r="R2558" s="990"/>
      <c r="S2558" s="990"/>
      <c r="T2558" s="990"/>
      <c r="U2558" s="990"/>
      <c r="V2558" s="990"/>
      <c r="W2558" s="990"/>
      <c r="X2558" s="990"/>
    </row>
    <row r="2559" spans="1:24" s="896" customFormat="1" ht="25.5">
      <c r="A2559" s="987">
        <f t="shared" si="40"/>
        <v>2485</v>
      </c>
      <c r="B2559" s="988">
        <v>38913</v>
      </c>
      <c r="C2559" s="899" t="s">
        <v>11885</v>
      </c>
      <c r="D2559" s="988" t="s">
        <v>2666</v>
      </c>
      <c r="E2559" s="989">
        <v>12.39</v>
      </c>
      <c r="F2559" s="990"/>
      <c r="G2559" s="990"/>
      <c r="H2559" s="990"/>
      <c r="I2559" s="990"/>
      <c r="J2559" s="990"/>
      <c r="K2559" s="990"/>
      <c r="L2559" s="990"/>
      <c r="M2559" s="990"/>
      <c r="N2559" s="990"/>
      <c r="O2559" s="990"/>
      <c r="P2559" s="990"/>
      <c r="Q2559" s="990"/>
      <c r="R2559" s="990"/>
      <c r="S2559" s="990"/>
      <c r="T2559" s="990"/>
      <c r="U2559" s="990"/>
      <c r="V2559" s="990"/>
      <c r="W2559" s="990"/>
      <c r="X2559" s="990"/>
    </row>
    <row r="2560" spans="1:24" s="896" customFormat="1" ht="25.5">
      <c r="A2560" s="987">
        <f t="shared" si="40"/>
        <v>2486</v>
      </c>
      <c r="B2560" s="988">
        <v>38914</v>
      </c>
      <c r="C2560" s="899" t="s">
        <v>11886</v>
      </c>
      <c r="D2560" s="988" t="s">
        <v>2666</v>
      </c>
      <c r="E2560" s="989">
        <v>14.37</v>
      </c>
      <c r="F2560" s="990"/>
      <c r="G2560" s="990"/>
      <c r="H2560" s="990"/>
      <c r="I2560" s="990"/>
      <c r="J2560" s="990"/>
      <c r="K2560" s="990"/>
      <c r="L2560" s="990"/>
      <c r="M2560" s="990"/>
      <c r="N2560" s="990"/>
      <c r="O2560" s="990"/>
      <c r="P2560" s="990"/>
      <c r="Q2560" s="990"/>
      <c r="R2560" s="990"/>
      <c r="S2560" s="990"/>
      <c r="T2560" s="990"/>
      <c r="U2560" s="990"/>
      <c r="V2560" s="990"/>
      <c r="W2560" s="990"/>
      <c r="X2560" s="990"/>
    </row>
    <row r="2561" spans="1:24" s="896" customFormat="1" ht="25.5">
      <c r="A2561" s="987">
        <f t="shared" si="40"/>
        <v>2487</v>
      </c>
      <c r="B2561" s="988">
        <v>38915</v>
      </c>
      <c r="C2561" s="899" t="s">
        <v>11887</v>
      </c>
      <c r="D2561" s="988" t="s">
        <v>2666</v>
      </c>
      <c r="E2561" s="989">
        <v>24.96</v>
      </c>
      <c r="F2561" s="990"/>
      <c r="G2561" s="990"/>
      <c r="H2561" s="990"/>
      <c r="I2561" s="990"/>
      <c r="J2561" s="990"/>
      <c r="K2561" s="990"/>
      <c r="L2561" s="990"/>
      <c r="M2561" s="990"/>
      <c r="N2561" s="990"/>
      <c r="O2561" s="990"/>
      <c r="P2561" s="990"/>
      <c r="Q2561" s="990"/>
      <c r="R2561" s="990"/>
      <c r="S2561" s="990"/>
      <c r="T2561" s="990"/>
      <c r="U2561" s="990"/>
      <c r="V2561" s="990"/>
      <c r="W2561" s="990"/>
      <c r="X2561" s="990"/>
    </row>
    <row r="2562" spans="1:24" s="896" customFormat="1" ht="25.5">
      <c r="A2562" s="987">
        <f t="shared" si="40"/>
        <v>2488</v>
      </c>
      <c r="B2562" s="988">
        <v>38916</v>
      </c>
      <c r="C2562" s="899" t="s">
        <v>11888</v>
      </c>
      <c r="D2562" s="988" t="s">
        <v>2666</v>
      </c>
      <c r="E2562" s="989">
        <v>32.92</v>
      </c>
      <c r="F2562" s="990"/>
      <c r="G2562" s="990"/>
      <c r="H2562" s="990"/>
      <c r="I2562" s="990"/>
      <c r="J2562" s="990"/>
      <c r="K2562" s="990"/>
      <c r="L2562" s="990"/>
      <c r="M2562" s="990"/>
      <c r="N2562" s="990"/>
      <c r="O2562" s="990"/>
      <c r="P2562" s="990"/>
      <c r="Q2562" s="990"/>
      <c r="R2562" s="990"/>
      <c r="S2562" s="990"/>
      <c r="T2562" s="990"/>
      <c r="U2562" s="990"/>
      <c r="V2562" s="990"/>
      <c r="W2562" s="990"/>
      <c r="X2562" s="990"/>
    </row>
    <row r="2563" spans="1:24" s="896" customFormat="1">
      <c r="A2563" s="987">
        <f t="shared" si="40"/>
        <v>2489</v>
      </c>
      <c r="B2563" s="988">
        <v>39300</v>
      </c>
      <c r="C2563" s="899" t="s">
        <v>11889</v>
      </c>
      <c r="D2563" s="988" t="s">
        <v>2666</v>
      </c>
      <c r="E2563" s="989">
        <v>11.2</v>
      </c>
      <c r="F2563" s="990"/>
      <c r="G2563" s="990"/>
      <c r="H2563" s="990"/>
      <c r="I2563" s="990"/>
      <c r="J2563" s="990"/>
      <c r="K2563" s="990"/>
      <c r="L2563" s="990"/>
      <c r="M2563" s="990"/>
      <c r="N2563" s="990"/>
      <c r="O2563" s="990"/>
      <c r="P2563" s="990"/>
      <c r="Q2563" s="990"/>
      <c r="R2563" s="990"/>
      <c r="S2563" s="990"/>
      <c r="T2563" s="990"/>
      <c r="U2563" s="990"/>
      <c r="V2563" s="990"/>
      <c r="W2563" s="990"/>
      <c r="X2563" s="990"/>
    </row>
    <row r="2564" spans="1:24" s="896" customFormat="1">
      <c r="A2564" s="987">
        <f t="shared" si="40"/>
        <v>2490</v>
      </c>
      <c r="B2564" s="988">
        <v>39301</v>
      </c>
      <c r="C2564" s="899" t="s">
        <v>11890</v>
      </c>
      <c r="D2564" s="988" t="s">
        <v>2666</v>
      </c>
      <c r="E2564" s="989">
        <v>15.53</v>
      </c>
      <c r="F2564" s="990"/>
      <c r="G2564" s="990"/>
      <c r="H2564" s="990"/>
      <c r="I2564" s="990"/>
      <c r="J2564" s="990"/>
      <c r="K2564" s="990"/>
      <c r="L2564" s="990"/>
      <c r="M2564" s="990"/>
      <c r="N2564" s="990"/>
      <c r="O2564" s="990"/>
      <c r="P2564" s="990"/>
      <c r="Q2564" s="990"/>
      <c r="R2564" s="990"/>
      <c r="S2564" s="990"/>
      <c r="T2564" s="990"/>
      <c r="U2564" s="990"/>
      <c r="V2564" s="990"/>
      <c r="W2564" s="990"/>
      <c r="X2564" s="990"/>
    </row>
    <row r="2565" spans="1:24" s="896" customFormat="1">
      <c r="A2565" s="987">
        <f t="shared" si="40"/>
        <v>2491</v>
      </c>
      <c r="B2565" s="988">
        <v>39302</v>
      </c>
      <c r="C2565" s="899" t="s">
        <v>11891</v>
      </c>
      <c r="D2565" s="988" t="s">
        <v>2666</v>
      </c>
      <c r="E2565" s="989">
        <v>19.52</v>
      </c>
      <c r="F2565" s="990"/>
      <c r="G2565" s="990"/>
      <c r="H2565" s="990"/>
      <c r="I2565" s="990"/>
      <c r="J2565" s="990"/>
      <c r="K2565" s="990"/>
      <c r="L2565" s="990"/>
      <c r="M2565" s="990"/>
      <c r="N2565" s="990"/>
      <c r="O2565" s="990"/>
      <c r="P2565" s="990"/>
      <c r="Q2565" s="990"/>
      <c r="R2565" s="990"/>
      <c r="S2565" s="990"/>
      <c r="T2565" s="990"/>
      <c r="U2565" s="990"/>
      <c r="V2565" s="990"/>
      <c r="W2565" s="990"/>
      <c r="X2565" s="990"/>
    </row>
    <row r="2566" spans="1:24" s="896" customFormat="1">
      <c r="A2566" s="987">
        <f t="shared" si="40"/>
        <v>2492</v>
      </c>
      <c r="B2566" s="988">
        <v>39303</v>
      </c>
      <c r="C2566" s="899" t="s">
        <v>11892</v>
      </c>
      <c r="D2566" s="988" t="s">
        <v>2666</v>
      </c>
      <c r="E2566" s="989">
        <v>34.31</v>
      </c>
      <c r="F2566" s="990"/>
      <c r="G2566" s="990"/>
      <c r="H2566" s="990"/>
      <c r="I2566" s="990"/>
      <c r="J2566" s="990"/>
      <c r="K2566" s="990"/>
      <c r="L2566" s="990"/>
      <c r="M2566" s="990"/>
      <c r="N2566" s="990"/>
      <c r="O2566" s="990"/>
      <c r="P2566" s="990"/>
      <c r="Q2566" s="990"/>
      <c r="R2566" s="990"/>
      <c r="S2566" s="990"/>
      <c r="T2566" s="990"/>
      <c r="U2566" s="990"/>
      <c r="V2566" s="990"/>
      <c r="W2566" s="990"/>
      <c r="X2566" s="990"/>
    </row>
    <row r="2567" spans="1:24" s="896" customFormat="1" ht="25.5">
      <c r="A2567" s="987">
        <f t="shared" si="40"/>
        <v>2493</v>
      </c>
      <c r="B2567" s="988">
        <v>38923</v>
      </c>
      <c r="C2567" s="899" t="s">
        <v>11893</v>
      </c>
      <c r="D2567" s="988" t="s">
        <v>2666</v>
      </c>
      <c r="E2567" s="989">
        <v>10.93</v>
      </c>
      <c r="F2567" s="990"/>
      <c r="G2567" s="990"/>
      <c r="H2567" s="990"/>
      <c r="I2567" s="990"/>
      <c r="J2567" s="990"/>
      <c r="K2567" s="990"/>
      <c r="L2567" s="990"/>
      <c r="M2567" s="990"/>
      <c r="N2567" s="990"/>
      <c r="O2567" s="990"/>
      <c r="P2567" s="990"/>
      <c r="Q2567" s="990"/>
      <c r="R2567" s="990"/>
      <c r="S2567" s="990"/>
      <c r="T2567" s="990"/>
      <c r="U2567" s="990"/>
      <c r="V2567" s="990"/>
      <c r="W2567" s="990"/>
      <c r="X2567" s="990"/>
    </row>
    <row r="2568" spans="1:24" s="896" customFormat="1" ht="25.5">
      <c r="A2568" s="987">
        <f t="shared" si="40"/>
        <v>2494</v>
      </c>
      <c r="B2568" s="988">
        <v>38925</v>
      </c>
      <c r="C2568" s="899" t="s">
        <v>11894</v>
      </c>
      <c r="D2568" s="988" t="s">
        <v>2666</v>
      </c>
      <c r="E2568" s="989">
        <v>11.74</v>
      </c>
      <c r="F2568" s="990"/>
      <c r="G2568" s="990"/>
      <c r="H2568" s="990"/>
      <c r="I2568" s="990"/>
      <c r="J2568" s="990"/>
      <c r="K2568" s="990"/>
      <c r="L2568" s="990"/>
      <c r="M2568" s="990"/>
      <c r="N2568" s="990"/>
      <c r="O2568" s="990"/>
      <c r="P2568" s="990"/>
      <c r="Q2568" s="990"/>
      <c r="R2568" s="990"/>
      <c r="S2568" s="990"/>
      <c r="T2568" s="990"/>
      <c r="U2568" s="990"/>
      <c r="V2568" s="990"/>
      <c r="W2568" s="990"/>
      <c r="X2568" s="990"/>
    </row>
    <row r="2569" spans="1:24" s="896" customFormat="1" ht="25.5">
      <c r="A2569" s="987">
        <f t="shared" si="40"/>
        <v>2495</v>
      </c>
      <c r="B2569" s="988">
        <v>38926</v>
      </c>
      <c r="C2569" s="899" t="s">
        <v>11895</v>
      </c>
      <c r="D2569" s="988" t="s">
        <v>2666</v>
      </c>
      <c r="E2569" s="989">
        <v>16.78</v>
      </c>
      <c r="F2569" s="990"/>
      <c r="G2569" s="990"/>
      <c r="H2569" s="990"/>
      <c r="I2569" s="990"/>
      <c r="J2569" s="990"/>
      <c r="K2569" s="990"/>
      <c r="L2569" s="990"/>
      <c r="M2569" s="990"/>
      <c r="N2569" s="990"/>
      <c r="O2569" s="990"/>
      <c r="P2569" s="990"/>
      <c r="Q2569" s="990"/>
      <c r="R2569" s="990"/>
      <c r="S2569" s="990"/>
      <c r="T2569" s="990"/>
      <c r="U2569" s="990"/>
      <c r="V2569" s="990"/>
      <c r="W2569" s="990"/>
      <c r="X2569" s="990"/>
    </row>
    <row r="2570" spans="1:24" s="896" customFormat="1" ht="25.5">
      <c r="A2570" s="987">
        <f t="shared" si="40"/>
        <v>2496</v>
      </c>
      <c r="B2570" s="988">
        <v>38927</v>
      </c>
      <c r="C2570" s="899" t="s">
        <v>11896</v>
      </c>
      <c r="D2570" s="988" t="s">
        <v>2666</v>
      </c>
      <c r="E2570" s="989">
        <v>17.940000000000001</v>
      </c>
      <c r="F2570" s="990"/>
      <c r="G2570" s="990"/>
      <c r="H2570" s="990"/>
      <c r="I2570" s="990"/>
      <c r="J2570" s="990"/>
      <c r="K2570" s="990"/>
      <c r="L2570" s="990"/>
      <c r="M2570" s="990"/>
      <c r="N2570" s="990"/>
      <c r="O2570" s="990"/>
      <c r="P2570" s="990"/>
      <c r="Q2570" s="990"/>
      <c r="R2570" s="990"/>
      <c r="S2570" s="990"/>
      <c r="T2570" s="990"/>
      <c r="U2570" s="990"/>
      <c r="V2570" s="990"/>
      <c r="W2570" s="990"/>
      <c r="X2570" s="990"/>
    </row>
    <row r="2571" spans="1:24" s="896" customFormat="1" ht="25.5">
      <c r="A2571" s="987">
        <f t="shared" si="40"/>
        <v>2497</v>
      </c>
      <c r="B2571" s="988">
        <v>39304</v>
      </c>
      <c r="C2571" s="899" t="s">
        <v>11897</v>
      </c>
      <c r="D2571" s="988" t="s">
        <v>2666</v>
      </c>
      <c r="E2571" s="989">
        <v>13.82</v>
      </c>
      <c r="F2571" s="990"/>
      <c r="G2571" s="990"/>
      <c r="H2571" s="990"/>
      <c r="I2571" s="990"/>
      <c r="J2571" s="990"/>
      <c r="K2571" s="990"/>
      <c r="L2571" s="990"/>
      <c r="M2571" s="990"/>
      <c r="N2571" s="990"/>
      <c r="O2571" s="990"/>
      <c r="P2571" s="990"/>
      <c r="Q2571" s="990"/>
      <c r="R2571" s="990"/>
      <c r="S2571" s="990"/>
      <c r="T2571" s="990"/>
      <c r="U2571" s="990"/>
      <c r="V2571" s="990"/>
      <c r="W2571" s="990"/>
      <c r="X2571" s="990"/>
    </row>
    <row r="2572" spans="1:24" s="896" customFormat="1" ht="25.5">
      <c r="A2572" s="987">
        <f t="shared" ref="A2572:A2635" si="41">A2571+1</f>
        <v>2498</v>
      </c>
      <c r="B2572" s="988">
        <v>38924</v>
      </c>
      <c r="C2572" s="899" t="s">
        <v>11898</v>
      </c>
      <c r="D2572" s="988" t="s">
        <v>2666</v>
      </c>
      <c r="E2572" s="989">
        <v>19.7</v>
      </c>
      <c r="F2572" s="990"/>
      <c r="G2572" s="990"/>
      <c r="H2572" s="990"/>
      <c r="I2572" s="990"/>
      <c r="J2572" s="990"/>
      <c r="K2572" s="990"/>
      <c r="L2572" s="990"/>
      <c r="M2572" s="990"/>
      <c r="N2572" s="990"/>
      <c r="O2572" s="990"/>
      <c r="P2572" s="990"/>
      <c r="Q2572" s="990"/>
      <c r="R2572" s="990"/>
      <c r="S2572" s="990"/>
      <c r="T2572" s="990"/>
      <c r="U2572" s="990"/>
      <c r="V2572" s="990"/>
      <c r="W2572" s="990"/>
      <c r="X2572" s="990"/>
    </row>
    <row r="2573" spans="1:24" s="896" customFormat="1" ht="25.5">
      <c r="A2573" s="987">
        <f t="shared" si="41"/>
        <v>2499</v>
      </c>
      <c r="B2573" s="988">
        <v>39305</v>
      </c>
      <c r="C2573" s="899" t="s">
        <v>11899</v>
      </c>
      <c r="D2573" s="988" t="s">
        <v>2666</v>
      </c>
      <c r="E2573" s="989">
        <v>18.100000000000001</v>
      </c>
      <c r="F2573" s="990"/>
      <c r="G2573" s="990"/>
      <c r="H2573" s="990"/>
      <c r="I2573" s="990"/>
      <c r="J2573" s="990"/>
      <c r="K2573" s="990"/>
      <c r="L2573" s="990"/>
      <c r="M2573" s="990"/>
      <c r="N2573" s="990"/>
      <c r="O2573" s="990"/>
      <c r="P2573" s="990"/>
      <c r="Q2573" s="990"/>
      <c r="R2573" s="990"/>
      <c r="S2573" s="990"/>
      <c r="T2573" s="990"/>
      <c r="U2573" s="990"/>
      <c r="V2573" s="990"/>
      <c r="W2573" s="990"/>
      <c r="X2573" s="990"/>
    </row>
    <row r="2574" spans="1:24" s="896" customFormat="1" ht="25.5">
      <c r="A2574" s="987">
        <f t="shared" si="41"/>
        <v>2500</v>
      </c>
      <c r="B2574" s="988">
        <v>39306</v>
      </c>
      <c r="C2574" s="899" t="s">
        <v>11900</v>
      </c>
      <c r="D2574" s="988" t="s">
        <v>2666</v>
      </c>
      <c r="E2574" s="989">
        <v>22.64</v>
      </c>
      <c r="F2574" s="990"/>
      <c r="G2574" s="990"/>
      <c r="H2574" s="990"/>
      <c r="I2574" s="990"/>
      <c r="J2574" s="990"/>
      <c r="K2574" s="990"/>
      <c r="L2574" s="990"/>
      <c r="M2574" s="990"/>
      <c r="N2574" s="990"/>
      <c r="O2574" s="990"/>
      <c r="P2574" s="990"/>
      <c r="Q2574" s="990"/>
      <c r="R2574" s="990"/>
      <c r="S2574" s="990"/>
      <c r="T2574" s="990"/>
      <c r="U2574" s="990"/>
      <c r="V2574" s="990"/>
      <c r="W2574" s="990"/>
      <c r="X2574" s="990"/>
    </row>
    <row r="2575" spans="1:24" s="896" customFormat="1" ht="25.5">
      <c r="A2575" s="987">
        <f t="shared" si="41"/>
        <v>2501</v>
      </c>
      <c r="B2575" s="988">
        <v>38928</v>
      </c>
      <c r="C2575" s="899" t="s">
        <v>11901</v>
      </c>
      <c r="D2575" s="988" t="s">
        <v>2666</v>
      </c>
      <c r="E2575" s="989">
        <v>19.89</v>
      </c>
      <c r="F2575" s="990"/>
      <c r="G2575" s="990"/>
      <c r="H2575" s="990"/>
      <c r="I2575" s="990"/>
      <c r="J2575" s="990"/>
      <c r="K2575" s="990"/>
      <c r="L2575" s="990"/>
      <c r="M2575" s="990"/>
      <c r="N2575" s="990"/>
      <c r="O2575" s="990"/>
      <c r="P2575" s="990"/>
      <c r="Q2575" s="990"/>
      <c r="R2575" s="990"/>
      <c r="S2575" s="990"/>
      <c r="T2575" s="990"/>
      <c r="U2575" s="990"/>
      <c r="V2575" s="990"/>
      <c r="W2575" s="990"/>
      <c r="X2575" s="990"/>
    </row>
    <row r="2576" spans="1:24" s="896" customFormat="1" ht="25.5">
      <c r="A2576" s="987">
        <f t="shared" si="41"/>
        <v>2502</v>
      </c>
      <c r="B2576" s="988">
        <v>38929</v>
      </c>
      <c r="C2576" s="899" t="s">
        <v>11902</v>
      </c>
      <c r="D2576" s="988" t="s">
        <v>2666</v>
      </c>
      <c r="E2576" s="989">
        <v>35.26</v>
      </c>
      <c r="F2576" s="990"/>
      <c r="G2576" s="990"/>
      <c r="H2576" s="990"/>
      <c r="I2576" s="990"/>
      <c r="J2576" s="990"/>
      <c r="K2576" s="990"/>
      <c r="L2576" s="990"/>
      <c r="M2576" s="990"/>
      <c r="N2576" s="990"/>
      <c r="O2576" s="990"/>
      <c r="P2576" s="990"/>
      <c r="Q2576" s="990"/>
      <c r="R2576" s="990"/>
      <c r="S2576" s="990"/>
      <c r="T2576" s="990"/>
      <c r="U2576" s="990"/>
      <c r="V2576" s="990"/>
      <c r="W2576" s="990"/>
      <c r="X2576" s="990"/>
    </row>
    <row r="2577" spans="1:24" s="896" customFormat="1" ht="25.5">
      <c r="A2577" s="987">
        <f t="shared" si="41"/>
        <v>2503</v>
      </c>
      <c r="B2577" s="988">
        <v>39307</v>
      </c>
      <c r="C2577" s="899" t="s">
        <v>11903</v>
      </c>
      <c r="D2577" s="988" t="s">
        <v>2666</v>
      </c>
      <c r="E2577" s="989">
        <v>26.06</v>
      </c>
      <c r="F2577" s="990"/>
      <c r="G2577" s="990"/>
      <c r="H2577" s="990"/>
      <c r="I2577" s="990"/>
      <c r="J2577" s="990"/>
      <c r="K2577" s="990"/>
      <c r="L2577" s="990"/>
      <c r="M2577" s="990"/>
      <c r="N2577" s="990"/>
      <c r="O2577" s="990"/>
      <c r="P2577" s="990"/>
      <c r="Q2577" s="990"/>
      <c r="R2577" s="990"/>
      <c r="S2577" s="990"/>
      <c r="T2577" s="990"/>
      <c r="U2577" s="990"/>
      <c r="V2577" s="990"/>
      <c r="W2577" s="990"/>
      <c r="X2577" s="990"/>
    </row>
    <row r="2578" spans="1:24" s="896" customFormat="1" ht="25.5">
      <c r="A2578" s="987">
        <f t="shared" si="41"/>
        <v>2504</v>
      </c>
      <c r="B2578" s="988">
        <v>38930</v>
      </c>
      <c r="C2578" s="899" t="s">
        <v>11904</v>
      </c>
      <c r="D2578" s="988" t="s">
        <v>2666</v>
      </c>
      <c r="E2578" s="989">
        <v>44.3</v>
      </c>
      <c r="F2578" s="990"/>
      <c r="G2578" s="990"/>
      <c r="H2578" s="990"/>
      <c r="I2578" s="990"/>
      <c r="J2578" s="990"/>
      <c r="K2578" s="990"/>
      <c r="L2578" s="990"/>
      <c r="M2578" s="990"/>
      <c r="N2578" s="990"/>
      <c r="O2578" s="990"/>
      <c r="P2578" s="990"/>
      <c r="Q2578" s="990"/>
      <c r="R2578" s="990"/>
      <c r="S2578" s="990"/>
      <c r="T2578" s="990"/>
      <c r="U2578" s="990"/>
      <c r="V2578" s="990"/>
      <c r="W2578" s="990"/>
      <c r="X2578" s="990"/>
    </row>
    <row r="2579" spans="1:24" s="896" customFormat="1" ht="25.5">
      <c r="A2579" s="987">
        <f t="shared" si="41"/>
        <v>2505</v>
      </c>
      <c r="B2579" s="988">
        <v>38931</v>
      </c>
      <c r="C2579" s="899" t="s">
        <v>11905</v>
      </c>
      <c r="D2579" s="988" t="s">
        <v>2666</v>
      </c>
      <c r="E2579" s="989">
        <v>11.15</v>
      </c>
      <c r="F2579" s="990"/>
      <c r="G2579" s="990"/>
      <c r="H2579" s="990"/>
      <c r="I2579" s="990"/>
      <c r="J2579" s="990"/>
      <c r="K2579" s="990"/>
      <c r="L2579" s="990"/>
      <c r="M2579" s="990"/>
      <c r="N2579" s="990"/>
      <c r="O2579" s="990"/>
      <c r="P2579" s="990"/>
      <c r="Q2579" s="990"/>
      <c r="R2579" s="990"/>
      <c r="S2579" s="990"/>
      <c r="T2579" s="990"/>
      <c r="U2579" s="990"/>
      <c r="V2579" s="990"/>
      <c r="W2579" s="990"/>
      <c r="X2579" s="990"/>
    </row>
    <row r="2580" spans="1:24" s="896" customFormat="1" ht="25.5">
      <c r="A2580" s="987">
        <f t="shared" si="41"/>
        <v>2506</v>
      </c>
      <c r="B2580" s="988">
        <v>38932</v>
      </c>
      <c r="C2580" s="899" t="s">
        <v>11906</v>
      </c>
      <c r="D2580" s="988" t="s">
        <v>2666</v>
      </c>
      <c r="E2580" s="989">
        <v>11.27</v>
      </c>
      <c r="F2580" s="990"/>
      <c r="G2580" s="990"/>
      <c r="H2580" s="990"/>
      <c r="I2580" s="990"/>
      <c r="J2580" s="990"/>
      <c r="K2580" s="990"/>
      <c r="L2580" s="990"/>
      <c r="M2580" s="990"/>
      <c r="N2580" s="990"/>
      <c r="O2580" s="990"/>
      <c r="P2580" s="990"/>
      <c r="Q2580" s="990"/>
      <c r="R2580" s="990"/>
      <c r="S2580" s="990"/>
      <c r="T2580" s="990"/>
      <c r="U2580" s="990"/>
      <c r="V2580" s="990"/>
      <c r="W2580" s="990"/>
      <c r="X2580" s="990"/>
    </row>
    <row r="2581" spans="1:24" s="896" customFormat="1" ht="25.5">
      <c r="A2581" s="987">
        <f t="shared" si="41"/>
        <v>2507</v>
      </c>
      <c r="B2581" s="988">
        <v>38934</v>
      </c>
      <c r="C2581" s="899" t="s">
        <v>11907</v>
      </c>
      <c r="D2581" s="988" t="s">
        <v>2666</v>
      </c>
      <c r="E2581" s="989">
        <v>16.649999999999999</v>
      </c>
      <c r="F2581" s="990"/>
      <c r="G2581" s="990"/>
      <c r="H2581" s="990"/>
      <c r="I2581" s="990"/>
      <c r="J2581" s="990"/>
      <c r="K2581" s="990"/>
      <c r="L2581" s="990"/>
      <c r="M2581" s="990"/>
      <c r="N2581" s="990"/>
      <c r="O2581" s="990"/>
      <c r="P2581" s="990"/>
      <c r="Q2581" s="990"/>
      <c r="R2581" s="990"/>
      <c r="S2581" s="990"/>
      <c r="T2581" s="990"/>
      <c r="U2581" s="990"/>
      <c r="V2581" s="990"/>
      <c r="W2581" s="990"/>
      <c r="X2581" s="990"/>
    </row>
    <row r="2582" spans="1:24" s="896" customFormat="1" ht="25.5">
      <c r="A2582" s="987">
        <f t="shared" si="41"/>
        <v>2508</v>
      </c>
      <c r="B2582" s="988">
        <v>38935</v>
      </c>
      <c r="C2582" s="899" t="s">
        <v>11908</v>
      </c>
      <c r="D2582" s="988" t="s">
        <v>2666</v>
      </c>
      <c r="E2582" s="989">
        <v>17.82</v>
      </c>
      <c r="F2582" s="990"/>
      <c r="G2582" s="990"/>
      <c r="H2582" s="990"/>
      <c r="I2582" s="990"/>
      <c r="J2582" s="990"/>
      <c r="K2582" s="990"/>
      <c r="L2582" s="990"/>
      <c r="M2582" s="990"/>
      <c r="N2582" s="990"/>
      <c r="O2582" s="990"/>
      <c r="P2582" s="990"/>
      <c r="Q2582" s="990"/>
      <c r="R2582" s="990"/>
      <c r="S2582" s="990"/>
      <c r="T2582" s="990"/>
      <c r="U2582" s="990"/>
      <c r="V2582" s="990"/>
      <c r="W2582" s="990"/>
      <c r="X2582" s="990"/>
    </row>
    <row r="2583" spans="1:24" s="896" customFormat="1" ht="25.5">
      <c r="A2583" s="987">
        <f t="shared" si="41"/>
        <v>2509</v>
      </c>
      <c r="B2583" s="988">
        <v>38936</v>
      </c>
      <c r="C2583" s="899" t="s">
        <v>11909</v>
      </c>
      <c r="D2583" s="988" t="s">
        <v>2666</v>
      </c>
      <c r="E2583" s="989">
        <v>19.079999999999998</v>
      </c>
      <c r="F2583" s="990"/>
      <c r="G2583" s="990"/>
      <c r="H2583" s="990"/>
      <c r="I2583" s="990"/>
      <c r="J2583" s="990"/>
      <c r="K2583" s="990"/>
      <c r="L2583" s="990"/>
      <c r="M2583" s="990"/>
      <c r="N2583" s="990"/>
      <c r="O2583" s="990"/>
      <c r="P2583" s="990"/>
      <c r="Q2583" s="990"/>
      <c r="R2583" s="990"/>
      <c r="S2583" s="990"/>
      <c r="T2583" s="990"/>
      <c r="U2583" s="990"/>
      <c r="V2583" s="990"/>
      <c r="W2583" s="990"/>
      <c r="X2583" s="990"/>
    </row>
    <row r="2584" spans="1:24" s="896" customFormat="1" ht="25.5">
      <c r="A2584" s="987">
        <f t="shared" si="41"/>
        <v>2510</v>
      </c>
      <c r="B2584" s="988">
        <v>38937</v>
      </c>
      <c r="C2584" s="899" t="s">
        <v>11910</v>
      </c>
      <c r="D2584" s="988" t="s">
        <v>2666</v>
      </c>
      <c r="E2584" s="989">
        <v>23.25</v>
      </c>
      <c r="F2584" s="990"/>
      <c r="G2584" s="990"/>
      <c r="H2584" s="990"/>
      <c r="I2584" s="990"/>
      <c r="J2584" s="990"/>
      <c r="K2584" s="990"/>
      <c r="L2584" s="990"/>
      <c r="M2584" s="990"/>
      <c r="N2584" s="990"/>
      <c r="O2584" s="990"/>
      <c r="P2584" s="990"/>
      <c r="Q2584" s="990"/>
      <c r="R2584" s="990"/>
      <c r="S2584" s="990"/>
      <c r="T2584" s="990"/>
      <c r="U2584" s="990"/>
      <c r="V2584" s="990"/>
      <c r="W2584" s="990"/>
      <c r="X2584" s="990"/>
    </row>
    <row r="2585" spans="1:24" s="896" customFormat="1" ht="25.5">
      <c r="A2585" s="987">
        <f t="shared" si="41"/>
        <v>2511</v>
      </c>
      <c r="B2585" s="988">
        <v>38938</v>
      </c>
      <c r="C2585" s="899" t="s">
        <v>11911</v>
      </c>
      <c r="D2585" s="988" t="s">
        <v>2666</v>
      </c>
      <c r="E2585" s="989">
        <v>34.58</v>
      </c>
      <c r="F2585" s="990"/>
      <c r="G2585" s="990"/>
      <c r="H2585" s="990"/>
      <c r="I2585" s="990"/>
      <c r="J2585" s="990"/>
      <c r="K2585" s="990"/>
      <c r="L2585" s="990"/>
      <c r="M2585" s="990"/>
      <c r="N2585" s="990"/>
      <c r="O2585" s="990"/>
      <c r="P2585" s="990"/>
      <c r="Q2585" s="990"/>
      <c r="R2585" s="990"/>
      <c r="S2585" s="990"/>
      <c r="T2585" s="990"/>
      <c r="U2585" s="990"/>
      <c r="V2585" s="990"/>
      <c r="W2585" s="990"/>
      <c r="X2585" s="990"/>
    </row>
    <row r="2586" spans="1:24" s="896" customFormat="1">
      <c r="A2586" s="987">
        <f t="shared" si="41"/>
        <v>2512</v>
      </c>
      <c r="B2586" s="988">
        <v>3489</v>
      </c>
      <c r="C2586" s="899" t="s">
        <v>11912</v>
      </c>
      <c r="D2586" s="988" t="s">
        <v>2666</v>
      </c>
      <c r="E2586" s="989">
        <v>17.149999999999999</v>
      </c>
      <c r="F2586" s="990"/>
      <c r="G2586" s="990"/>
      <c r="H2586" s="990"/>
      <c r="I2586" s="990"/>
      <c r="J2586" s="990"/>
      <c r="K2586" s="990"/>
      <c r="L2586" s="990"/>
      <c r="M2586" s="990"/>
      <c r="N2586" s="990"/>
      <c r="O2586" s="990"/>
      <c r="P2586" s="990"/>
      <c r="Q2586" s="990"/>
      <c r="R2586" s="990"/>
      <c r="S2586" s="990"/>
      <c r="T2586" s="990"/>
      <c r="U2586" s="990"/>
      <c r="V2586" s="990"/>
      <c r="W2586" s="990"/>
      <c r="X2586" s="990"/>
    </row>
    <row r="2587" spans="1:24" s="896" customFormat="1">
      <c r="A2587" s="987">
        <f t="shared" si="41"/>
        <v>2513</v>
      </c>
      <c r="B2587" s="988">
        <v>20151</v>
      </c>
      <c r="C2587" s="899" t="s">
        <v>11913</v>
      </c>
      <c r="D2587" s="988" t="s">
        <v>2666</v>
      </c>
      <c r="E2587" s="989">
        <v>31.25</v>
      </c>
      <c r="F2587" s="990"/>
      <c r="G2587" s="990"/>
      <c r="H2587" s="990"/>
      <c r="I2587" s="990"/>
      <c r="J2587" s="990"/>
      <c r="K2587" s="990"/>
      <c r="L2587" s="990"/>
      <c r="M2587" s="990"/>
      <c r="N2587" s="990"/>
      <c r="O2587" s="990"/>
      <c r="P2587" s="990"/>
      <c r="Q2587" s="990"/>
      <c r="R2587" s="990"/>
      <c r="S2587" s="990"/>
      <c r="T2587" s="990"/>
      <c r="U2587" s="990"/>
      <c r="V2587" s="990"/>
      <c r="W2587" s="990"/>
      <c r="X2587" s="990"/>
    </row>
    <row r="2588" spans="1:24" s="896" customFormat="1">
      <c r="A2588" s="987">
        <f t="shared" si="41"/>
        <v>2514</v>
      </c>
      <c r="B2588" s="988">
        <v>20152</v>
      </c>
      <c r="C2588" s="899" t="s">
        <v>11914</v>
      </c>
      <c r="D2588" s="988" t="s">
        <v>2666</v>
      </c>
      <c r="E2588" s="989">
        <v>108.73</v>
      </c>
      <c r="F2588" s="990"/>
      <c r="G2588" s="990"/>
      <c r="H2588" s="990"/>
      <c r="I2588" s="990"/>
      <c r="J2588" s="990"/>
      <c r="K2588" s="990"/>
      <c r="L2588" s="990"/>
      <c r="M2588" s="990"/>
      <c r="N2588" s="990"/>
      <c r="O2588" s="990"/>
      <c r="P2588" s="990"/>
      <c r="Q2588" s="990"/>
      <c r="R2588" s="990"/>
      <c r="S2588" s="990"/>
      <c r="T2588" s="990"/>
      <c r="U2588" s="990"/>
      <c r="V2588" s="990"/>
      <c r="W2588" s="990"/>
      <c r="X2588" s="990"/>
    </row>
    <row r="2589" spans="1:24" s="896" customFormat="1">
      <c r="A2589" s="987">
        <f t="shared" si="41"/>
        <v>2515</v>
      </c>
      <c r="B2589" s="988">
        <v>20148</v>
      </c>
      <c r="C2589" s="899" t="s">
        <v>11915</v>
      </c>
      <c r="D2589" s="988" t="s">
        <v>2666</v>
      </c>
      <c r="E2589" s="989">
        <v>6.22</v>
      </c>
      <c r="F2589" s="990"/>
      <c r="G2589" s="990"/>
      <c r="H2589" s="990"/>
      <c r="I2589" s="990"/>
      <c r="J2589" s="990"/>
      <c r="K2589" s="990"/>
      <c r="L2589" s="990"/>
      <c r="M2589" s="990"/>
      <c r="N2589" s="990"/>
      <c r="O2589" s="990"/>
      <c r="P2589" s="990"/>
      <c r="Q2589" s="990"/>
      <c r="R2589" s="990"/>
      <c r="S2589" s="990"/>
      <c r="T2589" s="990"/>
      <c r="U2589" s="990"/>
      <c r="V2589" s="990"/>
      <c r="W2589" s="990"/>
      <c r="X2589" s="990"/>
    </row>
    <row r="2590" spans="1:24" s="896" customFormat="1">
      <c r="A2590" s="987">
        <f t="shared" si="41"/>
        <v>2516</v>
      </c>
      <c r="B2590" s="988">
        <v>20149</v>
      </c>
      <c r="C2590" s="899" t="s">
        <v>11916</v>
      </c>
      <c r="D2590" s="988" t="s">
        <v>2666</v>
      </c>
      <c r="E2590" s="989">
        <v>9.6199999999999992</v>
      </c>
      <c r="F2590" s="990"/>
      <c r="G2590" s="990"/>
      <c r="H2590" s="990"/>
      <c r="I2590" s="990"/>
      <c r="J2590" s="990"/>
      <c r="K2590" s="990"/>
      <c r="L2590" s="990"/>
      <c r="M2590" s="990"/>
      <c r="N2590" s="990"/>
      <c r="O2590" s="990"/>
      <c r="P2590" s="990"/>
      <c r="Q2590" s="990"/>
      <c r="R2590" s="990"/>
      <c r="S2590" s="990"/>
      <c r="T2590" s="990"/>
      <c r="U2590" s="990"/>
      <c r="V2590" s="990"/>
      <c r="W2590" s="990"/>
      <c r="X2590" s="990"/>
    </row>
    <row r="2591" spans="1:24" s="896" customFormat="1">
      <c r="A2591" s="987">
        <f t="shared" si="41"/>
        <v>2517</v>
      </c>
      <c r="B2591" s="988">
        <v>20150</v>
      </c>
      <c r="C2591" s="899" t="s">
        <v>11917</v>
      </c>
      <c r="D2591" s="988" t="s">
        <v>2666</v>
      </c>
      <c r="E2591" s="989">
        <v>22.43</v>
      </c>
      <c r="F2591" s="990"/>
      <c r="G2591" s="990"/>
      <c r="H2591" s="990"/>
      <c r="I2591" s="990"/>
      <c r="J2591" s="990"/>
      <c r="K2591" s="990"/>
      <c r="L2591" s="990"/>
      <c r="M2591" s="990"/>
      <c r="N2591" s="990"/>
      <c r="O2591" s="990"/>
      <c r="P2591" s="990"/>
      <c r="Q2591" s="990"/>
      <c r="R2591" s="990"/>
      <c r="S2591" s="990"/>
      <c r="T2591" s="990"/>
      <c r="U2591" s="990"/>
      <c r="V2591" s="990"/>
      <c r="W2591" s="990"/>
      <c r="X2591" s="990"/>
    </row>
    <row r="2592" spans="1:24" s="896" customFormat="1">
      <c r="A2592" s="987">
        <f t="shared" si="41"/>
        <v>2518</v>
      </c>
      <c r="B2592" s="988">
        <v>20157</v>
      </c>
      <c r="C2592" s="899" t="s">
        <v>11918</v>
      </c>
      <c r="D2592" s="988" t="s">
        <v>2666</v>
      </c>
      <c r="E2592" s="989">
        <v>42.16</v>
      </c>
      <c r="F2592" s="990"/>
      <c r="G2592" s="990"/>
      <c r="H2592" s="990"/>
      <c r="I2592" s="990"/>
      <c r="J2592" s="990"/>
      <c r="K2592" s="990"/>
      <c r="L2592" s="990"/>
      <c r="M2592" s="990"/>
      <c r="N2592" s="990"/>
      <c r="O2592" s="990"/>
      <c r="P2592" s="990"/>
      <c r="Q2592" s="990"/>
      <c r="R2592" s="990"/>
      <c r="S2592" s="990"/>
      <c r="T2592" s="990"/>
      <c r="U2592" s="990"/>
      <c r="V2592" s="990"/>
      <c r="W2592" s="990"/>
      <c r="X2592" s="990"/>
    </row>
    <row r="2593" spans="1:24" s="896" customFormat="1">
      <c r="A2593" s="987">
        <f t="shared" si="41"/>
        <v>2519</v>
      </c>
      <c r="B2593" s="988">
        <v>20158</v>
      </c>
      <c r="C2593" s="899" t="s">
        <v>11919</v>
      </c>
      <c r="D2593" s="988" t="s">
        <v>2666</v>
      </c>
      <c r="E2593" s="989">
        <v>140.07</v>
      </c>
      <c r="F2593" s="990"/>
      <c r="G2593" s="990"/>
      <c r="H2593" s="990"/>
      <c r="I2593" s="990"/>
      <c r="J2593" s="990"/>
      <c r="K2593" s="990"/>
      <c r="L2593" s="990"/>
      <c r="M2593" s="990"/>
      <c r="N2593" s="990"/>
      <c r="O2593" s="990"/>
      <c r="P2593" s="990"/>
      <c r="Q2593" s="990"/>
      <c r="R2593" s="990"/>
      <c r="S2593" s="990"/>
      <c r="T2593" s="990"/>
      <c r="U2593" s="990"/>
      <c r="V2593" s="990"/>
      <c r="W2593" s="990"/>
      <c r="X2593" s="990"/>
    </row>
    <row r="2594" spans="1:24" s="896" customFormat="1">
      <c r="A2594" s="987">
        <f t="shared" si="41"/>
        <v>2520</v>
      </c>
      <c r="B2594" s="988">
        <v>20154</v>
      </c>
      <c r="C2594" s="899" t="s">
        <v>11920</v>
      </c>
      <c r="D2594" s="988" t="s">
        <v>2666</v>
      </c>
      <c r="E2594" s="989">
        <v>7.99</v>
      </c>
      <c r="F2594" s="990"/>
      <c r="G2594" s="990"/>
      <c r="H2594" s="990"/>
      <c r="I2594" s="990"/>
      <c r="J2594" s="990"/>
      <c r="K2594" s="990"/>
      <c r="L2594" s="990"/>
      <c r="M2594" s="990"/>
      <c r="N2594" s="990"/>
      <c r="O2594" s="990"/>
      <c r="P2594" s="990"/>
      <c r="Q2594" s="990"/>
      <c r="R2594" s="990"/>
      <c r="S2594" s="990"/>
      <c r="T2594" s="990"/>
      <c r="U2594" s="990"/>
      <c r="V2594" s="990"/>
      <c r="W2594" s="990"/>
      <c r="X2594" s="990"/>
    </row>
    <row r="2595" spans="1:24" s="896" customFormat="1">
      <c r="A2595" s="987">
        <f t="shared" si="41"/>
        <v>2521</v>
      </c>
      <c r="B2595" s="988">
        <v>20155</v>
      </c>
      <c r="C2595" s="899" t="s">
        <v>11921</v>
      </c>
      <c r="D2595" s="988" t="s">
        <v>2666</v>
      </c>
      <c r="E2595" s="989">
        <v>11.96</v>
      </c>
      <c r="F2595" s="990"/>
      <c r="G2595" s="990"/>
      <c r="H2595" s="990"/>
      <c r="I2595" s="990"/>
      <c r="J2595" s="990"/>
      <c r="K2595" s="990"/>
      <c r="L2595" s="990"/>
      <c r="M2595" s="990"/>
      <c r="N2595" s="990"/>
      <c r="O2595" s="990"/>
      <c r="P2595" s="990"/>
      <c r="Q2595" s="990"/>
      <c r="R2595" s="990"/>
      <c r="S2595" s="990"/>
      <c r="T2595" s="990"/>
      <c r="U2595" s="990"/>
      <c r="V2595" s="990"/>
      <c r="W2595" s="990"/>
      <c r="X2595" s="990"/>
    </row>
    <row r="2596" spans="1:24" s="896" customFormat="1">
      <c r="A2596" s="987">
        <f t="shared" si="41"/>
        <v>2522</v>
      </c>
      <c r="B2596" s="988">
        <v>20156</v>
      </c>
      <c r="C2596" s="899" t="s">
        <v>11922</v>
      </c>
      <c r="D2596" s="988" t="s">
        <v>2666</v>
      </c>
      <c r="E2596" s="989">
        <v>26.92</v>
      </c>
      <c r="F2596" s="990"/>
      <c r="G2596" s="990"/>
      <c r="H2596" s="990"/>
      <c r="I2596" s="990"/>
      <c r="J2596" s="990"/>
      <c r="K2596" s="990"/>
      <c r="L2596" s="990"/>
      <c r="M2596" s="990"/>
      <c r="N2596" s="990"/>
      <c r="O2596" s="990"/>
      <c r="P2596" s="990"/>
      <c r="Q2596" s="990"/>
      <c r="R2596" s="990"/>
      <c r="S2596" s="990"/>
      <c r="T2596" s="990"/>
      <c r="U2596" s="990"/>
      <c r="V2596" s="990"/>
      <c r="W2596" s="990"/>
      <c r="X2596" s="990"/>
    </row>
    <row r="2597" spans="1:24" s="896" customFormat="1">
      <c r="A2597" s="987">
        <f t="shared" si="41"/>
        <v>2523</v>
      </c>
      <c r="B2597" s="988">
        <v>3512</v>
      </c>
      <c r="C2597" s="899" t="s">
        <v>11923</v>
      </c>
      <c r="D2597" s="988" t="s">
        <v>2666</v>
      </c>
      <c r="E2597" s="989">
        <v>268.79000000000002</v>
      </c>
      <c r="F2597" s="990"/>
      <c r="G2597" s="990"/>
      <c r="H2597" s="990"/>
      <c r="I2597" s="990"/>
      <c r="J2597" s="990"/>
      <c r="K2597" s="990"/>
      <c r="L2597" s="990"/>
      <c r="M2597" s="990"/>
      <c r="N2597" s="990"/>
      <c r="O2597" s="990"/>
      <c r="P2597" s="990"/>
      <c r="Q2597" s="990"/>
      <c r="R2597" s="990"/>
      <c r="S2597" s="990"/>
      <c r="T2597" s="990"/>
      <c r="U2597" s="990"/>
      <c r="V2597" s="990"/>
      <c r="W2597" s="990"/>
      <c r="X2597" s="990"/>
    </row>
    <row r="2598" spans="1:24" s="896" customFormat="1">
      <c r="A2598" s="987">
        <f t="shared" si="41"/>
        <v>2524</v>
      </c>
      <c r="B2598" s="988">
        <v>3499</v>
      </c>
      <c r="C2598" s="899" t="s">
        <v>11924</v>
      </c>
      <c r="D2598" s="988" t="s">
        <v>2666</v>
      </c>
      <c r="E2598" s="989">
        <v>1.1399999999999999</v>
      </c>
      <c r="F2598" s="990"/>
      <c r="G2598" s="990"/>
      <c r="H2598" s="990"/>
      <c r="I2598" s="990"/>
      <c r="J2598" s="990"/>
      <c r="K2598" s="990"/>
      <c r="L2598" s="990"/>
      <c r="M2598" s="990"/>
      <c r="N2598" s="990"/>
      <c r="O2598" s="990"/>
      <c r="P2598" s="990"/>
      <c r="Q2598" s="990"/>
      <c r="R2598" s="990"/>
      <c r="S2598" s="990"/>
      <c r="T2598" s="990"/>
      <c r="U2598" s="990"/>
      <c r="V2598" s="990"/>
      <c r="W2598" s="990"/>
      <c r="X2598" s="990"/>
    </row>
    <row r="2599" spans="1:24" s="896" customFormat="1">
      <c r="A2599" s="987">
        <f t="shared" si="41"/>
        <v>2525</v>
      </c>
      <c r="B2599" s="988">
        <v>3500</v>
      </c>
      <c r="C2599" s="899" t="s">
        <v>11925</v>
      </c>
      <c r="D2599" s="988" t="s">
        <v>2666</v>
      </c>
      <c r="E2599" s="989">
        <v>1.93</v>
      </c>
      <c r="F2599" s="990"/>
      <c r="G2599" s="990"/>
      <c r="H2599" s="990"/>
      <c r="I2599" s="990"/>
      <c r="J2599" s="990"/>
      <c r="K2599" s="990"/>
      <c r="L2599" s="990"/>
      <c r="M2599" s="990"/>
      <c r="N2599" s="990"/>
      <c r="O2599" s="990"/>
      <c r="P2599" s="990"/>
      <c r="Q2599" s="990"/>
      <c r="R2599" s="990"/>
      <c r="S2599" s="990"/>
      <c r="T2599" s="990"/>
      <c r="U2599" s="990"/>
      <c r="V2599" s="990"/>
      <c r="W2599" s="990"/>
      <c r="X2599" s="990"/>
    </row>
    <row r="2600" spans="1:24" s="896" customFormat="1">
      <c r="A2600" s="987">
        <f t="shared" si="41"/>
        <v>2526</v>
      </c>
      <c r="B2600" s="988">
        <v>3501</v>
      </c>
      <c r="C2600" s="899" t="s">
        <v>11926</v>
      </c>
      <c r="D2600" s="988" t="s">
        <v>2666</v>
      </c>
      <c r="E2600" s="989">
        <v>5.57</v>
      </c>
      <c r="F2600" s="990"/>
      <c r="G2600" s="990"/>
      <c r="H2600" s="990"/>
      <c r="I2600" s="990"/>
      <c r="J2600" s="990"/>
      <c r="K2600" s="990"/>
      <c r="L2600" s="990"/>
      <c r="M2600" s="990"/>
      <c r="N2600" s="990"/>
      <c r="O2600" s="990"/>
      <c r="P2600" s="990"/>
      <c r="Q2600" s="990"/>
      <c r="R2600" s="990"/>
      <c r="S2600" s="990"/>
      <c r="T2600" s="990"/>
      <c r="U2600" s="990"/>
      <c r="V2600" s="990"/>
      <c r="W2600" s="990"/>
      <c r="X2600" s="990"/>
    </row>
    <row r="2601" spans="1:24" s="896" customFormat="1">
      <c r="A2601" s="987">
        <f t="shared" si="41"/>
        <v>2527</v>
      </c>
      <c r="B2601" s="988">
        <v>3502</v>
      </c>
      <c r="C2601" s="899" t="s">
        <v>11927</v>
      </c>
      <c r="D2601" s="988" t="s">
        <v>2666</v>
      </c>
      <c r="E2601" s="989">
        <v>7.93</v>
      </c>
      <c r="F2601" s="990"/>
      <c r="G2601" s="990"/>
      <c r="H2601" s="990"/>
      <c r="I2601" s="990"/>
      <c r="J2601" s="990"/>
      <c r="K2601" s="990"/>
      <c r="L2601" s="990"/>
      <c r="M2601" s="990"/>
      <c r="N2601" s="990"/>
      <c r="O2601" s="990"/>
      <c r="P2601" s="990"/>
      <c r="Q2601" s="990"/>
      <c r="R2601" s="990"/>
      <c r="S2601" s="990"/>
      <c r="T2601" s="990"/>
      <c r="U2601" s="990"/>
      <c r="V2601" s="990"/>
      <c r="W2601" s="990"/>
      <c r="X2601" s="990"/>
    </row>
    <row r="2602" spans="1:24" s="896" customFormat="1">
      <c r="A2602" s="987">
        <f t="shared" si="41"/>
        <v>2528</v>
      </c>
      <c r="B2602" s="988">
        <v>3503</v>
      </c>
      <c r="C2602" s="899" t="s">
        <v>11928</v>
      </c>
      <c r="D2602" s="988" t="s">
        <v>2666</v>
      </c>
      <c r="E2602" s="989">
        <v>9.5</v>
      </c>
      <c r="F2602" s="990"/>
      <c r="G2602" s="990"/>
      <c r="H2602" s="990"/>
      <c r="I2602" s="990"/>
      <c r="J2602" s="990"/>
      <c r="K2602" s="990"/>
      <c r="L2602" s="990"/>
      <c r="M2602" s="990"/>
      <c r="N2602" s="990"/>
      <c r="O2602" s="990"/>
      <c r="P2602" s="990"/>
      <c r="Q2602" s="990"/>
      <c r="R2602" s="990"/>
      <c r="S2602" s="990"/>
      <c r="T2602" s="990"/>
      <c r="U2602" s="990"/>
      <c r="V2602" s="990"/>
      <c r="W2602" s="990"/>
      <c r="X2602" s="990"/>
    </row>
    <row r="2603" spans="1:24" s="896" customFormat="1">
      <c r="A2603" s="987">
        <f t="shared" si="41"/>
        <v>2529</v>
      </c>
      <c r="B2603" s="988">
        <v>3477</v>
      </c>
      <c r="C2603" s="899" t="s">
        <v>11929</v>
      </c>
      <c r="D2603" s="988" t="s">
        <v>2666</v>
      </c>
      <c r="E2603" s="989">
        <v>36.79</v>
      </c>
      <c r="F2603" s="990"/>
      <c r="G2603" s="990"/>
      <c r="H2603" s="990"/>
      <c r="I2603" s="990"/>
      <c r="J2603" s="990"/>
      <c r="K2603" s="990"/>
      <c r="L2603" s="990"/>
      <c r="M2603" s="990"/>
      <c r="N2603" s="990"/>
      <c r="O2603" s="990"/>
      <c r="P2603" s="990"/>
      <c r="Q2603" s="990"/>
      <c r="R2603" s="990"/>
      <c r="S2603" s="990"/>
      <c r="T2603" s="990"/>
      <c r="U2603" s="990"/>
      <c r="V2603" s="990"/>
      <c r="W2603" s="990"/>
      <c r="X2603" s="990"/>
    </row>
    <row r="2604" spans="1:24" s="896" customFormat="1">
      <c r="A2604" s="987">
        <f t="shared" si="41"/>
        <v>2530</v>
      </c>
      <c r="B2604" s="988">
        <v>3478</v>
      </c>
      <c r="C2604" s="899" t="s">
        <v>11930</v>
      </c>
      <c r="D2604" s="988" t="s">
        <v>2666</v>
      </c>
      <c r="E2604" s="989">
        <v>84.54</v>
      </c>
      <c r="F2604" s="990"/>
      <c r="G2604" s="990"/>
      <c r="H2604" s="990"/>
      <c r="I2604" s="990"/>
      <c r="J2604" s="990"/>
      <c r="K2604" s="990"/>
      <c r="L2604" s="990"/>
      <c r="M2604" s="990"/>
      <c r="N2604" s="990"/>
      <c r="O2604" s="990"/>
      <c r="P2604" s="990"/>
      <c r="Q2604" s="990"/>
      <c r="R2604" s="990"/>
      <c r="S2604" s="990"/>
      <c r="T2604" s="990"/>
      <c r="U2604" s="990"/>
      <c r="V2604" s="990"/>
      <c r="W2604" s="990"/>
      <c r="X2604" s="990"/>
    </row>
    <row r="2605" spans="1:24" s="896" customFormat="1">
      <c r="A2605" s="987">
        <f t="shared" si="41"/>
        <v>2531</v>
      </c>
      <c r="B2605" s="988">
        <v>3525</v>
      </c>
      <c r="C2605" s="899" t="s">
        <v>11931</v>
      </c>
      <c r="D2605" s="988" t="s">
        <v>2666</v>
      </c>
      <c r="E2605" s="989">
        <v>100.3</v>
      </c>
      <c r="F2605" s="990"/>
      <c r="G2605" s="990"/>
      <c r="H2605" s="990"/>
      <c r="I2605" s="990"/>
      <c r="J2605" s="990"/>
      <c r="K2605" s="990"/>
      <c r="L2605" s="990"/>
      <c r="M2605" s="990"/>
      <c r="N2605" s="990"/>
      <c r="O2605" s="990"/>
      <c r="P2605" s="990"/>
      <c r="Q2605" s="990"/>
      <c r="R2605" s="990"/>
      <c r="S2605" s="990"/>
      <c r="T2605" s="990"/>
      <c r="U2605" s="990"/>
      <c r="V2605" s="990"/>
      <c r="W2605" s="990"/>
      <c r="X2605" s="990"/>
    </row>
    <row r="2606" spans="1:24" s="896" customFormat="1">
      <c r="A2606" s="987">
        <f t="shared" si="41"/>
        <v>2532</v>
      </c>
      <c r="B2606" s="988">
        <v>3511</v>
      </c>
      <c r="C2606" s="899" t="s">
        <v>11932</v>
      </c>
      <c r="D2606" s="988" t="s">
        <v>2666</v>
      </c>
      <c r="E2606" s="989">
        <v>117.69</v>
      </c>
      <c r="F2606" s="990"/>
      <c r="G2606" s="990"/>
      <c r="H2606" s="990"/>
      <c r="I2606" s="990"/>
      <c r="J2606" s="990"/>
      <c r="K2606" s="990"/>
      <c r="L2606" s="990"/>
      <c r="M2606" s="990"/>
      <c r="N2606" s="990"/>
      <c r="O2606" s="990"/>
      <c r="P2606" s="990"/>
      <c r="Q2606" s="990"/>
      <c r="R2606" s="990"/>
      <c r="S2606" s="990"/>
      <c r="T2606" s="990"/>
      <c r="U2606" s="990"/>
      <c r="V2606" s="990"/>
      <c r="W2606" s="990"/>
      <c r="X2606" s="990"/>
    </row>
    <row r="2607" spans="1:24" s="896" customFormat="1" ht="25.5">
      <c r="A2607" s="987">
        <f t="shared" si="41"/>
        <v>2533</v>
      </c>
      <c r="B2607" s="988">
        <v>38917</v>
      </c>
      <c r="C2607" s="899" t="s">
        <v>11933</v>
      </c>
      <c r="D2607" s="988" t="s">
        <v>2666</v>
      </c>
      <c r="E2607" s="989">
        <v>10.67</v>
      </c>
      <c r="F2607" s="990"/>
      <c r="G2607" s="990"/>
      <c r="H2607" s="990"/>
      <c r="I2607" s="990"/>
      <c r="J2607" s="990"/>
      <c r="K2607" s="990"/>
      <c r="L2607" s="990"/>
      <c r="M2607" s="990"/>
      <c r="N2607" s="990"/>
      <c r="O2607" s="990"/>
      <c r="P2607" s="990"/>
      <c r="Q2607" s="990"/>
      <c r="R2607" s="990"/>
      <c r="S2607" s="990"/>
      <c r="T2607" s="990"/>
      <c r="U2607" s="990"/>
      <c r="V2607" s="990"/>
      <c r="W2607" s="990"/>
      <c r="X2607" s="990"/>
    </row>
    <row r="2608" spans="1:24" s="896" customFormat="1" ht="25.5">
      <c r="A2608" s="987">
        <f t="shared" si="41"/>
        <v>2534</v>
      </c>
      <c r="B2608" s="988">
        <v>38919</v>
      </c>
      <c r="C2608" s="899" t="s">
        <v>11934</v>
      </c>
      <c r="D2608" s="988" t="s">
        <v>2666</v>
      </c>
      <c r="E2608" s="989">
        <v>15.88</v>
      </c>
      <c r="F2608" s="990"/>
      <c r="G2608" s="990"/>
      <c r="H2608" s="990"/>
      <c r="I2608" s="990"/>
      <c r="J2608" s="990"/>
      <c r="K2608" s="990"/>
      <c r="L2608" s="990"/>
      <c r="M2608" s="990"/>
      <c r="N2608" s="990"/>
      <c r="O2608" s="990"/>
      <c r="P2608" s="990"/>
      <c r="Q2608" s="990"/>
      <c r="R2608" s="990"/>
      <c r="S2608" s="990"/>
      <c r="T2608" s="990"/>
      <c r="U2608" s="990"/>
      <c r="V2608" s="990"/>
      <c r="W2608" s="990"/>
      <c r="X2608" s="990"/>
    </row>
    <row r="2609" spans="1:24" s="896" customFormat="1" ht="25.5">
      <c r="A2609" s="987">
        <f t="shared" si="41"/>
        <v>2535</v>
      </c>
      <c r="B2609" s="988">
        <v>38922</v>
      </c>
      <c r="C2609" s="899" t="s">
        <v>11935</v>
      </c>
      <c r="D2609" s="988" t="s">
        <v>2666</v>
      </c>
      <c r="E2609" s="989">
        <v>20.51</v>
      </c>
      <c r="F2609" s="990"/>
      <c r="G2609" s="990"/>
      <c r="H2609" s="990"/>
      <c r="I2609" s="990"/>
      <c r="J2609" s="990"/>
      <c r="K2609" s="990"/>
      <c r="L2609" s="990"/>
      <c r="M2609" s="990"/>
      <c r="N2609" s="990"/>
      <c r="O2609" s="990"/>
      <c r="P2609" s="990"/>
      <c r="Q2609" s="990"/>
      <c r="R2609" s="990"/>
      <c r="S2609" s="990"/>
      <c r="T2609" s="990"/>
      <c r="U2609" s="990"/>
      <c r="V2609" s="990"/>
      <c r="W2609" s="990"/>
      <c r="X2609" s="990"/>
    </row>
    <row r="2610" spans="1:24" s="896" customFormat="1" ht="25.5">
      <c r="A2610" s="987">
        <f t="shared" si="41"/>
        <v>2536</v>
      </c>
      <c r="B2610" s="988">
        <v>38921</v>
      </c>
      <c r="C2610" s="899" t="s">
        <v>11936</v>
      </c>
      <c r="D2610" s="988" t="s">
        <v>2666</v>
      </c>
      <c r="E2610" s="989">
        <v>25.36</v>
      </c>
      <c r="F2610" s="990"/>
      <c r="G2610" s="990"/>
      <c r="H2610" s="990"/>
      <c r="I2610" s="990"/>
      <c r="J2610" s="990"/>
      <c r="K2610" s="990"/>
      <c r="L2610" s="990"/>
      <c r="M2610" s="990"/>
      <c r="N2610" s="990"/>
      <c r="O2610" s="990"/>
      <c r="P2610" s="990"/>
      <c r="Q2610" s="990"/>
      <c r="R2610" s="990"/>
      <c r="S2610" s="990"/>
      <c r="T2610" s="990"/>
      <c r="U2610" s="990"/>
      <c r="V2610" s="990"/>
      <c r="W2610" s="990"/>
      <c r="X2610" s="990"/>
    </row>
    <row r="2611" spans="1:24" s="896" customFormat="1" ht="25.5">
      <c r="A2611" s="987">
        <f t="shared" si="41"/>
        <v>2537</v>
      </c>
      <c r="B2611" s="988">
        <v>38918</v>
      </c>
      <c r="C2611" s="899" t="s">
        <v>11937</v>
      </c>
      <c r="D2611" s="988" t="s">
        <v>2666</v>
      </c>
      <c r="E2611" s="989">
        <v>24.1</v>
      </c>
      <c r="F2611" s="990"/>
      <c r="G2611" s="990"/>
      <c r="H2611" s="990"/>
      <c r="I2611" s="990"/>
      <c r="J2611" s="990"/>
      <c r="K2611" s="990"/>
      <c r="L2611" s="990"/>
      <c r="M2611" s="990"/>
      <c r="N2611" s="990"/>
      <c r="O2611" s="990"/>
      <c r="P2611" s="990"/>
      <c r="Q2611" s="990"/>
      <c r="R2611" s="990"/>
      <c r="S2611" s="990"/>
      <c r="T2611" s="990"/>
      <c r="U2611" s="990"/>
      <c r="V2611" s="990"/>
      <c r="W2611" s="990"/>
      <c r="X2611" s="990"/>
    </row>
    <row r="2612" spans="1:24" s="896" customFormat="1" ht="25.5">
      <c r="A2612" s="987">
        <f t="shared" si="41"/>
        <v>2538</v>
      </c>
      <c r="B2612" s="988">
        <v>38920</v>
      </c>
      <c r="C2612" s="899" t="s">
        <v>11938</v>
      </c>
      <c r="D2612" s="988" t="s">
        <v>2666</v>
      </c>
      <c r="E2612" s="989">
        <v>30.13</v>
      </c>
      <c r="F2612" s="990"/>
      <c r="G2612" s="990"/>
      <c r="H2612" s="990"/>
      <c r="I2612" s="990"/>
      <c r="J2612" s="990"/>
      <c r="K2612" s="990"/>
      <c r="L2612" s="990"/>
      <c r="M2612" s="990"/>
      <c r="N2612" s="990"/>
      <c r="O2612" s="990"/>
      <c r="P2612" s="990"/>
      <c r="Q2612" s="990"/>
      <c r="R2612" s="990"/>
      <c r="S2612" s="990"/>
      <c r="T2612" s="990"/>
      <c r="U2612" s="990"/>
      <c r="V2612" s="990"/>
      <c r="W2612" s="990"/>
      <c r="X2612" s="990"/>
    </row>
    <row r="2613" spans="1:24" s="896" customFormat="1" ht="25.5">
      <c r="A2613" s="987">
        <f t="shared" si="41"/>
        <v>2539</v>
      </c>
      <c r="B2613" s="988">
        <v>12032</v>
      </c>
      <c r="C2613" s="899" t="s">
        <v>11939</v>
      </c>
      <c r="D2613" s="988" t="s">
        <v>2674</v>
      </c>
      <c r="E2613" s="989">
        <v>54.61</v>
      </c>
      <c r="F2613" s="990"/>
      <c r="G2613" s="990"/>
      <c r="H2613" s="990"/>
      <c r="I2613" s="990"/>
      <c r="J2613" s="990"/>
      <c r="K2613" s="990"/>
      <c r="L2613" s="990"/>
      <c r="M2613" s="990"/>
      <c r="N2613" s="990"/>
      <c r="O2613" s="990"/>
      <c r="P2613" s="990"/>
      <c r="Q2613" s="990"/>
      <c r="R2613" s="990"/>
      <c r="S2613" s="990"/>
      <c r="T2613" s="990"/>
      <c r="U2613" s="990"/>
      <c r="V2613" s="990"/>
      <c r="W2613" s="990"/>
      <c r="X2613" s="990"/>
    </row>
    <row r="2614" spans="1:24" s="896" customFormat="1" ht="25.5">
      <c r="A2614" s="987">
        <f t="shared" si="41"/>
        <v>2540</v>
      </c>
      <c r="B2614" s="988">
        <v>12030</v>
      </c>
      <c r="C2614" s="899" t="s">
        <v>11940</v>
      </c>
      <c r="D2614" s="988" t="s">
        <v>2674</v>
      </c>
      <c r="E2614" s="989">
        <v>51.31</v>
      </c>
      <c r="F2614" s="990"/>
      <c r="G2614" s="990"/>
      <c r="H2614" s="990"/>
      <c r="I2614" s="990"/>
      <c r="J2614" s="990"/>
      <c r="K2614" s="990"/>
      <c r="L2614" s="990"/>
      <c r="M2614" s="990"/>
      <c r="N2614" s="990"/>
      <c r="O2614" s="990"/>
      <c r="P2614" s="990"/>
      <c r="Q2614" s="990"/>
      <c r="R2614" s="990"/>
      <c r="S2614" s="990"/>
      <c r="T2614" s="990"/>
      <c r="U2614" s="990"/>
      <c r="V2614" s="990"/>
      <c r="W2614" s="990"/>
      <c r="X2614" s="990"/>
    </row>
    <row r="2615" spans="1:24" s="896" customFormat="1" ht="25.5">
      <c r="A2615" s="987">
        <f t="shared" si="41"/>
        <v>2541</v>
      </c>
      <c r="B2615" s="988">
        <v>10908</v>
      </c>
      <c r="C2615" s="899" t="s">
        <v>11941</v>
      </c>
      <c r="D2615" s="988" t="s">
        <v>2666</v>
      </c>
      <c r="E2615" s="989">
        <v>23.61</v>
      </c>
      <c r="F2615" s="990"/>
      <c r="G2615" s="990"/>
      <c r="H2615" s="990"/>
      <c r="I2615" s="990"/>
      <c r="J2615" s="990"/>
      <c r="K2615" s="990"/>
      <c r="L2615" s="990"/>
      <c r="M2615" s="990"/>
      <c r="N2615" s="990"/>
      <c r="O2615" s="990"/>
      <c r="P2615" s="990"/>
      <c r="Q2615" s="990"/>
      <c r="R2615" s="990"/>
      <c r="S2615" s="990"/>
      <c r="T2615" s="990"/>
      <c r="U2615" s="990"/>
      <c r="V2615" s="990"/>
      <c r="W2615" s="990"/>
      <c r="X2615" s="990"/>
    </row>
    <row r="2616" spans="1:24" s="896" customFormat="1" ht="25.5">
      <c r="A2616" s="987">
        <f t="shared" si="41"/>
        <v>2542</v>
      </c>
      <c r="B2616" s="988">
        <v>10909</v>
      </c>
      <c r="C2616" s="899" t="s">
        <v>11942</v>
      </c>
      <c r="D2616" s="988" t="s">
        <v>2666</v>
      </c>
      <c r="E2616" s="989">
        <v>37.64</v>
      </c>
      <c r="F2616" s="990"/>
      <c r="G2616" s="990"/>
      <c r="H2616" s="990"/>
      <c r="I2616" s="990"/>
      <c r="J2616" s="990"/>
      <c r="K2616" s="990"/>
      <c r="L2616" s="990"/>
      <c r="M2616" s="990"/>
      <c r="N2616" s="990"/>
      <c r="O2616" s="990"/>
      <c r="P2616" s="990"/>
      <c r="Q2616" s="990"/>
      <c r="R2616" s="990"/>
      <c r="S2616" s="990"/>
      <c r="T2616" s="990"/>
      <c r="U2616" s="990"/>
      <c r="V2616" s="990"/>
      <c r="W2616" s="990"/>
      <c r="X2616" s="990"/>
    </row>
    <row r="2617" spans="1:24" s="896" customFormat="1" ht="25.5">
      <c r="A2617" s="987">
        <f t="shared" si="41"/>
        <v>2543</v>
      </c>
      <c r="B2617" s="988">
        <v>3669</v>
      </c>
      <c r="C2617" s="899" t="s">
        <v>11943</v>
      </c>
      <c r="D2617" s="988" t="s">
        <v>2666</v>
      </c>
      <c r="E2617" s="989">
        <v>16.13</v>
      </c>
      <c r="F2617" s="990"/>
      <c r="G2617" s="990"/>
      <c r="H2617" s="990"/>
      <c r="I2617" s="990"/>
      <c r="J2617" s="990"/>
      <c r="K2617" s="990"/>
      <c r="L2617" s="990"/>
      <c r="M2617" s="990"/>
      <c r="N2617" s="990"/>
      <c r="O2617" s="990"/>
      <c r="P2617" s="990"/>
      <c r="Q2617" s="990"/>
      <c r="R2617" s="990"/>
      <c r="S2617" s="990"/>
      <c r="T2617" s="990"/>
      <c r="U2617" s="990"/>
      <c r="V2617" s="990"/>
      <c r="W2617" s="990"/>
      <c r="X2617" s="990"/>
    </row>
    <row r="2618" spans="1:24" s="896" customFormat="1" ht="25.5">
      <c r="A2618" s="987">
        <f t="shared" si="41"/>
        <v>2544</v>
      </c>
      <c r="B2618" s="988">
        <v>20138</v>
      </c>
      <c r="C2618" s="899" t="s">
        <v>11944</v>
      </c>
      <c r="D2618" s="988" t="s">
        <v>2666</v>
      </c>
      <c r="E2618" s="989">
        <v>80.14</v>
      </c>
      <c r="F2618" s="990"/>
      <c r="G2618" s="990"/>
      <c r="H2618" s="990"/>
      <c r="I2618" s="990"/>
      <c r="J2618" s="990"/>
      <c r="K2618" s="990"/>
      <c r="L2618" s="990"/>
      <c r="M2618" s="990"/>
      <c r="N2618" s="990"/>
      <c r="O2618" s="990"/>
      <c r="P2618" s="990"/>
      <c r="Q2618" s="990"/>
      <c r="R2618" s="990"/>
      <c r="S2618" s="990"/>
      <c r="T2618" s="990"/>
      <c r="U2618" s="990"/>
      <c r="V2618" s="990"/>
      <c r="W2618" s="990"/>
      <c r="X2618" s="990"/>
    </row>
    <row r="2619" spans="1:24" s="896" customFormat="1" ht="25.5">
      <c r="A2619" s="987">
        <f t="shared" si="41"/>
        <v>2545</v>
      </c>
      <c r="B2619" s="988">
        <v>20139</v>
      </c>
      <c r="C2619" s="899" t="s">
        <v>11945</v>
      </c>
      <c r="D2619" s="988" t="s">
        <v>2666</v>
      </c>
      <c r="E2619" s="989">
        <v>134.63999999999999</v>
      </c>
      <c r="F2619" s="990"/>
      <c r="G2619" s="990"/>
      <c r="H2619" s="990"/>
      <c r="I2619" s="990"/>
      <c r="J2619" s="990"/>
      <c r="K2619" s="990"/>
      <c r="L2619" s="990"/>
      <c r="M2619" s="990"/>
      <c r="N2619" s="990"/>
      <c r="O2619" s="990"/>
      <c r="P2619" s="990"/>
      <c r="Q2619" s="990"/>
      <c r="R2619" s="990"/>
      <c r="S2619" s="990"/>
      <c r="T2619" s="990"/>
      <c r="U2619" s="990"/>
      <c r="V2619" s="990"/>
      <c r="W2619" s="990"/>
      <c r="X2619" s="990"/>
    </row>
    <row r="2620" spans="1:24" s="896" customFormat="1" ht="25.5">
      <c r="A2620" s="987">
        <f t="shared" si="41"/>
        <v>2546</v>
      </c>
      <c r="B2620" s="988">
        <v>3668</v>
      </c>
      <c r="C2620" s="899" t="s">
        <v>11946</v>
      </c>
      <c r="D2620" s="988" t="s">
        <v>2666</v>
      </c>
      <c r="E2620" s="989">
        <v>53.38</v>
      </c>
      <c r="F2620" s="990"/>
      <c r="G2620" s="990"/>
      <c r="H2620" s="990"/>
      <c r="I2620" s="990"/>
      <c r="J2620" s="990"/>
      <c r="K2620" s="990"/>
      <c r="L2620" s="990"/>
      <c r="M2620" s="990"/>
      <c r="N2620" s="990"/>
      <c r="O2620" s="990"/>
      <c r="P2620" s="990"/>
      <c r="Q2620" s="990"/>
      <c r="R2620" s="990"/>
      <c r="S2620" s="990"/>
      <c r="T2620" s="990"/>
      <c r="U2620" s="990"/>
      <c r="V2620" s="990"/>
      <c r="W2620" s="990"/>
      <c r="X2620" s="990"/>
    </row>
    <row r="2621" spans="1:24" s="896" customFormat="1" ht="25.5">
      <c r="A2621" s="987">
        <f t="shared" si="41"/>
        <v>2547</v>
      </c>
      <c r="B2621" s="988">
        <v>3656</v>
      </c>
      <c r="C2621" s="899" t="s">
        <v>11947</v>
      </c>
      <c r="D2621" s="988" t="s">
        <v>2666</v>
      </c>
      <c r="E2621" s="989">
        <v>26.46</v>
      </c>
      <c r="F2621" s="990"/>
      <c r="G2621" s="990"/>
      <c r="H2621" s="990"/>
      <c r="I2621" s="990"/>
      <c r="J2621" s="990"/>
      <c r="K2621" s="990"/>
      <c r="L2621" s="990"/>
      <c r="M2621" s="990"/>
      <c r="N2621" s="990"/>
      <c r="O2621" s="990"/>
      <c r="P2621" s="990"/>
      <c r="Q2621" s="990"/>
      <c r="R2621" s="990"/>
      <c r="S2621" s="990"/>
      <c r="T2621" s="990"/>
      <c r="U2621" s="990"/>
      <c r="V2621" s="990"/>
      <c r="W2621" s="990"/>
      <c r="X2621" s="990"/>
    </row>
    <row r="2622" spans="1:24" s="896" customFormat="1">
      <c r="A2622" s="987">
        <f t="shared" si="41"/>
        <v>2548</v>
      </c>
      <c r="B2622" s="988">
        <v>10911</v>
      </c>
      <c r="C2622" s="899" t="s">
        <v>11948</v>
      </c>
      <c r="D2622" s="988" t="s">
        <v>2666</v>
      </c>
      <c r="E2622" s="989">
        <v>29.36</v>
      </c>
      <c r="F2622" s="990"/>
      <c r="G2622" s="990"/>
      <c r="H2622" s="990"/>
      <c r="I2622" s="990"/>
      <c r="J2622" s="990"/>
      <c r="K2622" s="990"/>
      <c r="L2622" s="990"/>
      <c r="M2622" s="990"/>
      <c r="N2622" s="990"/>
      <c r="O2622" s="990"/>
      <c r="P2622" s="990"/>
      <c r="Q2622" s="990"/>
      <c r="R2622" s="990"/>
      <c r="S2622" s="990"/>
      <c r="T2622" s="990"/>
      <c r="U2622" s="990"/>
      <c r="V2622" s="990"/>
      <c r="W2622" s="990"/>
      <c r="X2622" s="990"/>
    </row>
    <row r="2623" spans="1:24" s="896" customFormat="1">
      <c r="A2623" s="987">
        <f t="shared" si="41"/>
        <v>2549</v>
      </c>
      <c r="B2623" s="988">
        <v>3654</v>
      </c>
      <c r="C2623" s="899" t="s">
        <v>11949</v>
      </c>
      <c r="D2623" s="988" t="s">
        <v>2666</v>
      </c>
      <c r="E2623" s="989">
        <v>5.97</v>
      </c>
      <c r="F2623" s="990"/>
      <c r="G2623" s="990"/>
      <c r="H2623" s="990"/>
      <c r="I2623" s="990"/>
      <c r="J2623" s="990"/>
      <c r="K2623" s="990"/>
      <c r="L2623" s="990"/>
      <c r="M2623" s="990"/>
      <c r="N2623" s="990"/>
      <c r="O2623" s="990"/>
      <c r="P2623" s="990"/>
      <c r="Q2623" s="990"/>
      <c r="R2623" s="990"/>
      <c r="S2623" s="990"/>
      <c r="T2623" s="990"/>
      <c r="U2623" s="990"/>
      <c r="V2623" s="990"/>
      <c r="W2623" s="990"/>
      <c r="X2623" s="990"/>
    </row>
    <row r="2624" spans="1:24" s="896" customFormat="1">
      <c r="A2624" s="987">
        <f t="shared" si="41"/>
        <v>2550</v>
      </c>
      <c r="B2624" s="988">
        <v>3664</v>
      </c>
      <c r="C2624" s="899" t="s">
        <v>11950</v>
      </c>
      <c r="D2624" s="988" t="s">
        <v>2666</v>
      </c>
      <c r="E2624" s="989">
        <v>7.41</v>
      </c>
      <c r="F2624" s="990"/>
      <c r="G2624" s="990"/>
      <c r="H2624" s="990"/>
      <c r="I2624" s="990"/>
      <c r="J2624" s="990"/>
      <c r="K2624" s="990"/>
      <c r="L2624" s="990"/>
      <c r="M2624" s="990"/>
      <c r="N2624" s="990"/>
      <c r="O2624" s="990"/>
      <c r="P2624" s="990"/>
      <c r="Q2624" s="990"/>
      <c r="R2624" s="990"/>
      <c r="S2624" s="990"/>
      <c r="T2624" s="990"/>
      <c r="U2624" s="990"/>
      <c r="V2624" s="990"/>
      <c r="W2624" s="990"/>
      <c r="X2624" s="990"/>
    </row>
    <row r="2625" spans="1:24" s="896" customFormat="1">
      <c r="A2625" s="987">
        <f t="shared" si="41"/>
        <v>2551</v>
      </c>
      <c r="B2625" s="988">
        <v>3657</v>
      </c>
      <c r="C2625" s="899" t="s">
        <v>11951</v>
      </c>
      <c r="D2625" s="988" t="s">
        <v>2666</v>
      </c>
      <c r="E2625" s="989">
        <v>7.99</v>
      </c>
      <c r="F2625" s="990"/>
      <c r="G2625" s="990"/>
      <c r="H2625" s="990"/>
      <c r="I2625" s="990"/>
      <c r="J2625" s="990"/>
      <c r="K2625" s="990"/>
      <c r="L2625" s="990"/>
      <c r="M2625" s="990"/>
      <c r="N2625" s="990"/>
      <c r="O2625" s="990"/>
      <c r="P2625" s="990"/>
      <c r="Q2625" s="990"/>
      <c r="R2625" s="990"/>
      <c r="S2625" s="990"/>
      <c r="T2625" s="990"/>
      <c r="U2625" s="990"/>
      <c r="V2625" s="990"/>
      <c r="W2625" s="990"/>
      <c r="X2625" s="990"/>
    </row>
    <row r="2626" spans="1:24" s="896" customFormat="1" ht="25.5">
      <c r="A2626" s="987">
        <f t="shared" si="41"/>
        <v>2552</v>
      </c>
      <c r="B2626" s="988">
        <v>12625</v>
      </c>
      <c r="C2626" s="899" t="s">
        <v>11952</v>
      </c>
      <c r="D2626" s="988" t="s">
        <v>2666</v>
      </c>
      <c r="E2626" s="989">
        <v>11.76</v>
      </c>
      <c r="F2626" s="990"/>
      <c r="G2626" s="990"/>
      <c r="H2626" s="990"/>
      <c r="I2626" s="990"/>
      <c r="J2626" s="990"/>
      <c r="K2626" s="990"/>
      <c r="L2626" s="990"/>
      <c r="M2626" s="990"/>
      <c r="N2626" s="990"/>
      <c r="O2626" s="990"/>
      <c r="P2626" s="990"/>
      <c r="Q2626" s="990"/>
      <c r="R2626" s="990"/>
      <c r="S2626" s="990"/>
      <c r="T2626" s="990"/>
      <c r="U2626" s="990"/>
      <c r="V2626" s="990"/>
      <c r="W2626" s="990"/>
      <c r="X2626" s="990"/>
    </row>
    <row r="2627" spans="1:24" s="896" customFormat="1">
      <c r="A2627" s="987">
        <f t="shared" si="41"/>
        <v>2553</v>
      </c>
      <c r="B2627" s="988">
        <v>20136</v>
      </c>
      <c r="C2627" s="899" t="s">
        <v>11953</v>
      </c>
      <c r="D2627" s="988" t="s">
        <v>2666</v>
      </c>
      <c r="E2627" s="989">
        <v>180.85</v>
      </c>
      <c r="F2627" s="990"/>
      <c r="G2627" s="990"/>
      <c r="H2627" s="990"/>
      <c r="I2627" s="990"/>
      <c r="J2627" s="990"/>
      <c r="K2627" s="990"/>
      <c r="L2627" s="990"/>
      <c r="M2627" s="990"/>
      <c r="N2627" s="990"/>
      <c r="O2627" s="990"/>
      <c r="P2627" s="990"/>
      <c r="Q2627" s="990"/>
      <c r="R2627" s="990"/>
      <c r="S2627" s="990"/>
      <c r="T2627" s="990"/>
      <c r="U2627" s="990"/>
      <c r="V2627" s="990"/>
      <c r="W2627" s="990"/>
      <c r="X2627" s="990"/>
    </row>
    <row r="2628" spans="1:24" s="896" customFormat="1" ht="25.5">
      <c r="A2628" s="987">
        <f t="shared" si="41"/>
        <v>2554</v>
      </c>
      <c r="B2628" s="988">
        <v>20144</v>
      </c>
      <c r="C2628" s="899" t="s">
        <v>11954</v>
      </c>
      <c r="D2628" s="988" t="s">
        <v>2666</v>
      </c>
      <c r="E2628" s="989">
        <v>79.44</v>
      </c>
      <c r="F2628" s="990"/>
      <c r="G2628" s="990"/>
      <c r="H2628" s="990"/>
      <c r="I2628" s="990"/>
      <c r="J2628" s="990"/>
      <c r="K2628" s="990"/>
      <c r="L2628" s="990"/>
      <c r="M2628" s="990"/>
      <c r="N2628" s="990"/>
      <c r="O2628" s="990"/>
      <c r="P2628" s="990"/>
      <c r="Q2628" s="990"/>
      <c r="R2628" s="990"/>
      <c r="S2628" s="990"/>
      <c r="T2628" s="990"/>
      <c r="U2628" s="990"/>
      <c r="V2628" s="990"/>
      <c r="W2628" s="990"/>
      <c r="X2628" s="990"/>
    </row>
    <row r="2629" spans="1:24" s="896" customFormat="1" ht="25.5">
      <c r="A2629" s="987">
        <f t="shared" si="41"/>
        <v>2555</v>
      </c>
      <c r="B2629" s="988">
        <v>20143</v>
      </c>
      <c r="C2629" s="899" t="s">
        <v>11955</v>
      </c>
      <c r="D2629" s="988" t="s">
        <v>2666</v>
      </c>
      <c r="E2629" s="989">
        <v>74.19</v>
      </c>
      <c r="F2629" s="990"/>
      <c r="G2629" s="990"/>
      <c r="H2629" s="990"/>
      <c r="I2629" s="990"/>
      <c r="J2629" s="990"/>
      <c r="K2629" s="990"/>
      <c r="L2629" s="990"/>
      <c r="M2629" s="990"/>
      <c r="N2629" s="990"/>
      <c r="O2629" s="990"/>
      <c r="P2629" s="990"/>
      <c r="Q2629" s="990"/>
      <c r="R2629" s="990"/>
      <c r="S2629" s="990"/>
      <c r="T2629" s="990"/>
      <c r="U2629" s="990"/>
      <c r="V2629" s="990"/>
      <c r="W2629" s="990"/>
      <c r="X2629" s="990"/>
    </row>
    <row r="2630" spans="1:24" s="896" customFormat="1" ht="25.5">
      <c r="A2630" s="987">
        <f t="shared" si="41"/>
        <v>2556</v>
      </c>
      <c r="B2630" s="988">
        <v>20145</v>
      </c>
      <c r="C2630" s="899" t="s">
        <v>11956</v>
      </c>
      <c r="D2630" s="988" t="s">
        <v>2666</v>
      </c>
      <c r="E2630" s="989">
        <v>210.54</v>
      </c>
      <c r="F2630" s="990"/>
      <c r="G2630" s="990"/>
      <c r="H2630" s="990"/>
      <c r="I2630" s="990"/>
      <c r="J2630" s="990"/>
      <c r="K2630" s="990"/>
      <c r="L2630" s="990"/>
      <c r="M2630" s="990"/>
      <c r="N2630" s="990"/>
      <c r="O2630" s="990"/>
      <c r="P2630" s="990"/>
      <c r="Q2630" s="990"/>
      <c r="R2630" s="990"/>
      <c r="S2630" s="990"/>
      <c r="T2630" s="990"/>
      <c r="U2630" s="990"/>
      <c r="V2630" s="990"/>
      <c r="W2630" s="990"/>
      <c r="X2630" s="990"/>
    </row>
    <row r="2631" spans="1:24" s="896" customFormat="1" ht="25.5">
      <c r="A2631" s="987">
        <f t="shared" si="41"/>
        <v>2557</v>
      </c>
      <c r="B2631" s="988">
        <v>20146</v>
      </c>
      <c r="C2631" s="899" t="s">
        <v>11957</v>
      </c>
      <c r="D2631" s="988" t="s">
        <v>2666</v>
      </c>
      <c r="E2631" s="989">
        <v>237.41</v>
      </c>
      <c r="F2631" s="990"/>
      <c r="G2631" s="990"/>
      <c r="H2631" s="990"/>
      <c r="I2631" s="990"/>
      <c r="J2631" s="990"/>
      <c r="K2631" s="990"/>
      <c r="L2631" s="990"/>
      <c r="M2631" s="990"/>
      <c r="N2631" s="990"/>
      <c r="O2631" s="990"/>
      <c r="P2631" s="990"/>
      <c r="Q2631" s="990"/>
      <c r="R2631" s="990"/>
      <c r="S2631" s="990"/>
      <c r="T2631" s="990"/>
      <c r="U2631" s="990"/>
      <c r="V2631" s="990"/>
      <c r="W2631" s="990"/>
      <c r="X2631" s="990"/>
    </row>
    <row r="2632" spans="1:24" s="896" customFormat="1" ht="25.5">
      <c r="A2632" s="987">
        <f t="shared" si="41"/>
        <v>2558</v>
      </c>
      <c r="B2632" s="988">
        <v>20140</v>
      </c>
      <c r="C2632" s="899" t="s">
        <v>11958</v>
      </c>
      <c r="D2632" s="988" t="s">
        <v>2666</v>
      </c>
      <c r="E2632" s="989">
        <v>9.4499999999999993</v>
      </c>
      <c r="F2632" s="990"/>
      <c r="G2632" s="990"/>
      <c r="H2632" s="990"/>
      <c r="I2632" s="990"/>
      <c r="J2632" s="990"/>
      <c r="K2632" s="990"/>
      <c r="L2632" s="990"/>
      <c r="M2632" s="990"/>
      <c r="N2632" s="990"/>
      <c r="O2632" s="990"/>
      <c r="P2632" s="990"/>
      <c r="Q2632" s="990"/>
      <c r="R2632" s="990"/>
      <c r="S2632" s="990"/>
      <c r="T2632" s="990"/>
      <c r="U2632" s="990"/>
      <c r="V2632" s="990"/>
      <c r="W2632" s="990"/>
      <c r="X2632" s="990"/>
    </row>
    <row r="2633" spans="1:24" s="896" customFormat="1" ht="25.5">
      <c r="A2633" s="987">
        <f t="shared" si="41"/>
        <v>2559</v>
      </c>
      <c r="B2633" s="988">
        <v>20141</v>
      </c>
      <c r="C2633" s="899" t="s">
        <v>11959</v>
      </c>
      <c r="D2633" s="988" t="s">
        <v>2666</v>
      </c>
      <c r="E2633" s="989">
        <v>16.59</v>
      </c>
      <c r="F2633" s="990"/>
      <c r="G2633" s="990"/>
      <c r="H2633" s="990"/>
      <c r="I2633" s="990"/>
      <c r="J2633" s="990"/>
      <c r="K2633" s="990"/>
      <c r="L2633" s="990"/>
      <c r="M2633" s="990"/>
      <c r="N2633" s="990"/>
      <c r="O2633" s="990"/>
      <c r="P2633" s="990"/>
      <c r="Q2633" s="990"/>
      <c r="R2633" s="990"/>
      <c r="S2633" s="990"/>
      <c r="T2633" s="990"/>
      <c r="U2633" s="990"/>
      <c r="V2633" s="990"/>
      <c r="W2633" s="990"/>
      <c r="X2633" s="990"/>
    </row>
    <row r="2634" spans="1:24" s="896" customFormat="1" ht="25.5">
      <c r="A2634" s="987">
        <f t="shared" si="41"/>
        <v>2560</v>
      </c>
      <c r="B2634" s="988">
        <v>20142</v>
      </c>
      <c r="C2634" s="899" t="s">
        <v>11960</v>
      </c>
      <c r="D2634" s="988" t="s">
        <v>2666</v>
      </c>
      <c r="E2634" s="989">
        <v>50.77</v>
      </c>
      <c r="F2634" s="990"/>
      <c r="G2634" s="990"/>
      <c r="H2634" s="990"/>
      <c r="I2634" s="990"/>
      <c r="J2634" s="990"/>
      <c r="K2634" s="990"/>
      <c r="L2634" s="990"/>
      <c r="M2634" s="990"/>
      <c r="N2634" s="990"/>
      <c r="O2634" s="990"/>
      <c r="P2634" s="990"/>
      <c r="Q2634" s="990"/>
      <c r="R2634" s="990"/>
      <c r="S2634" s="990"/>
      <c r="T2634" s="990"/>
      <c r="U2634" s="990"/>
      <c r="V2634" s="990"/>
      <c r="W2634" s="990"/>
      <c r="X2634" s="990"/>
    </row>
    <row r="2635" spans="1:24" s="896" customFormat="1">
      <c r="A2635" s="987">
        <f t="shared" si="41"/>
        <v>2561</v>
      </c>
      <c r="B2635" s="988">
        <v>3659</v>
      </c>
      <c r="C2635" s="899" t="s">
        <v>11961</v>
      </c>
      <c r="D2635" s="988" t="s">
        <v>2666</v>
      </c>
      <c r="E2635" s="989">
        <v>22.02</v>
      </c>
      <c r="F2635" s="990"/>
      <c r="G2635" s="990"/>
      <c r="H2635" s="990"/>
      <c r="I2635" s="990"/>
      <c r="J2635" s="990"/>
      <c r="K2635" s="990"/>
      <c r="L2635" s="990"/>
      <c r="M2635" s="990"/>
      <c r="N2635" s="990"/>
      <c r="O2635" s="990"/>
      <c r="P2635" s="990"/>
      <c r="Q2635" s="990"/>
      <c r="R2635" s="990"/>
      <c r="S2635" s="990"/>
      <c r="T2635" s="990"/>
      <c r="U2635" s="990"/>
      <c r="V2635" s="990"/>
      <c r="W2635" s="990"/>
      <c r="X2635" s="990"/>
    </row>
    <row r="2636" spans="1:24" s="896" customFormat="1">
      <c r="A2636" s="987">
        <f t="shared" ref="A2636:A2699" si="42">A2635+1</f>
        <v>2562</v>
      </c>
      <c r="B2636" s="988">
        <v>3660</v>
      </c>
      <c r="C2636" s="899" t="s">
        <v>11962</v>
      </c>
      <c r="D2636" s="988" t="s">
        <v>2666</v>
      </c>
      <c r="E2636" s="989">
        <v>31.74</v>
      </c>
      <c r="F2636" s="990"/>
      <c r="G2636" s="990"/>
      <c r="H2636" s="990"/>
      <c r="I2636" s="990"/>
      <c r="J2636" s="990"/>
      <c r="K2636" s="990"/>
      <c r="L2636" s="990"/>
      <c r="M2636" s="990"/>
      <c r="N2636" s="990"/>
      <c r="O2636" s="990"/>
      <c r="P2636" s="990"/>
      <c r="Q2636" s="990"/>
      <c r="R2636" s="990"/>
      <c r="S2636" s="990"/>
      <c r="T2636" s="990"/>
      <c r="U2636" s="990"/>
      <c r="V2636" s="990"/>
      <c r="W2636" s="990"/>
      <c r="X2636" s="990"/>
    </row>
    <row r="2637" spans="1:24" s="896" customFormat="1">
      <c r="A2637" s="987">
        <f t="shared" si="42"/>
        <v>2563</v>
      </c>
      <c r="B2637" s="988">
        <v>3662</v>
      </c>
      <c r="C2637" s="899" t="s">
        <v>11963</v>
      </c>
      <c r="D2637" s="988" t="s">
        <v>2666</v>
      </c>
      <c r="E2637" s="989">
        <v>11.99</v>
      </c>
      <c r="F2637" s="990"/>
      <c r="G2637" s="990"/>
      <c r="H2637" s="990"/>
      <c r="I2637" s="990"/>
      <c r="J2637" s="990"/>
      <c r="K2637" s="990"/>
      <c r="L2637" s="990"/>
      <c r="M2637" s="990"/>
      <c r="N2637" s="990"/>
      <c r="O2637" s="990"/>
      <c r="P2637" s="990"/>
      <c r="Q2637" s="990"/>
      <c r="R2637" s="990"/>
      <c r="S2637" s="990"/>
      <c r="T2637" s="990"/>
      <c r="U2637" s="990"/>
      <c r="V2637" s="990"/>
      <c r="W2637" s="990"/>
      <c r="X2637" s="990"/>
    </row>
    <row r="2638" spans="1:24" s="896" customFormat="1">
      <c r="A2638" s="987">
        <f t="shared" si="42"/>
        <v>2564</v>
      </c>
      <c r="B2638" s="988">
        <v>3661</v>
      </c>
      <c r="C2638" s="899" t="s">
        <v>11964</v>
      </c>
      <c r="D2638" s="988" t="s">
        <v>2666</v>
      </c>
      <c r="E2638" s="989">
        <v>17.64</v>
      </c>
      <c r="F2638" s="990"/>
      <c r="G2638" s="990"/>
      <c r="H2638" s="990"/>
      <c r="I2638" s="990"/>
      <c r="J2638" s="990"/>
      <c r="K2638" s="990"/>
      <c r="L2638" s="990"/>
      <c r="M2638" s="990"/>
      <c r="N2638" s="990"/>
      <c r="O2638" s="990"/>
      <c r="P2638" s="990"/>
      <c r="Q2638" s="990"/>
      <c r="R2638" s="990"/>
      <c r="S2638" s="990"/>
      <c r="T2638" s="990"/>
      <c r="U2638" s="990"/>
      <c r="V2638" s="990"/>
      <c r="W2638" s="990"/>
      <c r="X2638" s="990"/>
    </row>
    <row r="2639" spans="1:24" s="896" customFormat="1">
      <c r="A2639" s="987">
        <f t="shared" si="42"/>
        <v>2565</v>
      </c>
      <c r="B2639" s="988">
        <v>3658</v>
      </c>
      <c r="C2639" s="899" t="s">
        <v>11965</v>
      </c>
      <c r="D2639" s="988" t="s">
        <v>2666</v>
      </c>
      <c r="E2639" s="989">
        <v>22.46</v>
      </c>
      <c r="F2639" s="990"/>
      <c r="G2639" s="990"/>
      <c r="H2639" s="990"/>
      <c r="I2639" s="990"/>
      <c r="J2639" s="990"/>
      <c r="K2639" s="990"/>
      <c r="L2639" s="990"/>
      <c r="M2639" s="990"/>
      <c r="N2639" s="990"/>
      <c r="O2639" s="990"/>
      <c r="P2639" s="990"/>
      <c r="Q2639" s="990"/>
      <c r="R2639" s="990"/>
      <c r="S2639" s="990"/>
      <c r="T2639" s="990"/>
      <c r="U2639" s="990"/>
      <c r="V2639" s="990"/>
      <c r="W2639" s="990"/>
      <c r="X2639" s="990"/>
    </row>
    <row r="2640" spans="1:24" s="896" customFormat="1" ht="25.5">
      <c r="A2640" s="987">
        <f t="shared" si="42"/>
        <v>2566</v>
      </c>
      <c r="B2640" s="988">
        <v>3670</v>
      </c>
      <c r="C2640" s="899" t="s">
        <v>11966</v>
      </c>
      <c r="D2640" s="988" t="s">
        <v>2666</v>
      </c>
      <c r="E2640" s="989">
        <v>29.3</v>
      </c>
      <c r="F2640" s="990"/>
      <c r="G2640" s="990"/>
      <c r="H2640" s="990"/>
      <c r="I2640" s="990"/>
      <c r="J2640" s="990"/>
      <c r="K2640" s="990"/>
      <c r="L2640" s="990"/>
      <c r="M2640" s="990"/>
      <c r="N2640" s="990"/>
      <c r="O2640" s="990"/>
      <c r="P2640" s="990"/>
      <c r="Q2640" s="990"/>
      <c r="R2640" s="990"/>
      <c r="S2640" s="990"/>
      <c r="T2640" s="990"/>
      <c r="U2640" s="990"/>
      <c r="V2640" s="990"/>
      <c r="W2640" s="990"/>
      <c r="X2640" s="990"/>
    </row>
    <row r="2641" spans="1:24" s="896" customFormat="1">
      <c r="A2641" s="987">
        <f t="shared" si="42"/>
        <v>2567</v>
      </c>
      <c r="B2641" s="988">
        <v>3666</v>
      </c>
      <c r="C2641" s="899" t="s">
        <v>11967</v>
      </c>
      <c r="D2641" s="988" t="s">
        <v>2666</v>
      </c>
      <c r="E2641" s="989">
        <v>4.96</v>
      </c>
      <c r="F2641" s="990"/>
      <c r="G2641" s="990"/>
      <c r="H2641" s="990"/>
      <c r="I2641" s="990"/>
      <c r="J2641" s="990"/>
      <c r="K2641" s="990"/>
      <c r="L2641" s="990"/>
      <c r="M2641" s="990"/>
      <c r="N2641" s="990"/>
      <c r="O2641" s="990"/>
      <c r="P2641" s="990"/>
      <c r="Q2641" s="990"/>
      <c r="R2641" s="990"/>
      <c r="S2641" s="990"/>
      <c r="T2641" s="990"/>
      <c r="U2641" s="990"/>
      <c r="V2641" s="990"/>
      <c r="W2641" s="990"/>
      <c r="X2641" s="990"/>
    </row>
    <row r="2642" spans="1:24" s="896" customFormat="1">
      <c r="A2642" s="987">
        <f t="shared" si="42"/>
        <v>2568</v>
      </c>
      <c r="B2642" s="988">
        <v>14157</v>
      </c>
      <c r="C2642" s="899" t="s">
        <v>11968</v>
      </c>
      <c r="D2642" s="988" t="s">
        <v>2666</v>
      </c>
      <c r="E2642" s="989">
        <v>1.27</v>
      </c>
      <c r="F2642" s="990"/>
      <c r="G2642" s="990"/>
      <c r="H2642" s="990"/>
      <c r="I2642" s="990"/>
      <c r="J2642" s="990"/>
      <c r="K2642" s="990"/>
      <c r="L2642" s="990"/>
      <c r="M2642" s="990"/>
      <c r="N2642" s="990"/>
      <c r="O2642" s="990"/>
      <c r="P2642" s="990"/>
      <c r="Q2642" s="990"/>
      <c r="R2642" s="990"/>
      <c r="S2642" s="990"/>
      <c r="T2642" s="990"/>
      <c r="U2642" s="990"/>
      <c r="V2642" s="990"/>
      <c r="W2642" s="990"/>
      <c r="X2642" s="990"/>
    </row>
    <row r="2643" spans="1:24" s="896" customFormat="1" ht="25.5">
      <c r="A2643" s="987">
        <f t="shared" si="42"/>
        <v>2569</v>
      </c>
      <c r="B2643" s="988">
        <v>3653</v>
      </c>
      <c r="C2643" s="899" t="s">
        <v>11969</v>
      </c>
      <c r="D2643" s="988" t="s">
        <v>2666</v>
      </c>
      <c r="E2643" s="989">
        <v>98.88</v>
      </c>
      <c r="F2643" s="990"/>
      <c r="G2643" s="990"/>
      <c r="H2643" s="990"/>
      <c r="I2643" s="990"/>
      <c r="J2643" s="990"/>
      <c r="K2643" s="990"/>
      <c r="L2643" s="990"/>
      <c r="M2643" s="990"/>
      <c r="N2643" s="990"/>
      <c r="O2643" s="990"/>
      <c r="P2643" s="990"/>
      <c r="Q2643" s="990"/>
      <c r="R2643" s="990"/>
      <c r="S2643" s="990"/>
      <c r="T2643" s="990"/>
      <c r="U2643" s="990"/>
      <c r="V2643" s="990"/>
      <c r="W2643" s="990"/>
      <c r="X2643" s="990"/>
    </row>
    <row r="2644" spans="1:24" s="896" customFormat="1" ht="25.5">
      <c r="A2644" s="987">
        <f t="shared" si="42"/>
        <v>2570</v>
      </c>
      <c r="B2644" s="988">
        <v>3649</v>
      </c>
      <c r="C2644" s="899" t="s">
        <v>11970</v>
      </c>
      <c r="D2644" s="988" t="s">
        <v>2666</v>
      </c>
      <c r="E2644" s="989">
        <v>204.8</v>
      </c>
      <c r="F2644" s="990"/>
      <c r="G2644" s="990"/>
      <c r="H2644" s="990"/>
      <c r="I2644" s="990"/>
      <c r="J2644" s="990"/>
      <c r="K2644" s="990"/>
      <c r="L2644" s="990"/>
      <c r="M2644" s="990"/>
      <c r="N2644" s="990"/>
      <c r="O2644" s="990"/>
      <c r="P2644" s="990"/>
      <c r="Q2644" s="990"/>
      <c r="R2644" s="990"/>
      <c r="S2644" s="990"/>
      <c r="T2644" s="990"/>
      <c r="U2644" s="990"/>
      <c r="V2644" s="990"/>
      <c r="W2644" s="990"/>
      <c r="X2644" s="990"/>
    </row>
    <row r="2645" spans="1:24" s="896" customFormat="1" ht="25.5">
      <c r="A2645" s="987">
        <f t="shared" si="42"/>
        <v>2571</v>
      </c>
      <c r="B2645" s="988">
        <v>42696</v>
      </c>
      <c r="C2645" s="899" t="s">
        <v>11971</v>
      </c>
      <c r="D2645" s="988" t="s">
        <v>2666</v>
      </c>
      <c r="E2645" s="989">
        <v>573</v>
      </c>
      <c r="F2645" s="990"/>
      <c r="G2645" s="990"/>
      <c r="H2645" s="990"/>
      <c r="I2645" s="990"/>
      <c r="J2645" s="990"/>
      <c r="K2645" s="990"/>
      <c r="L2645" s="990"/>
      <c r="M2645" s="990"/>
      <c r="N2645" s="990"/>
      <c r="O2645" s="990"/>
      <c r="P2645" s="990"/>
      <c r="Q2645" s="990"/>
      <c r="R2645" s="990"/>
      <c r="S2645" s="990"/>
      <c r="T2645" s="990"/>
      <c r="U2645" s="990"/>
      <c r="V2645" s="990"/>
      <c r="W2645" s="990"/>
      <c r="X2645" s="990"/>
    </row>
    <row r="2646" spans="1:24" s="896" customFormat="1" ht="25.5">
      <c r="A2646" s="987">
        <f t="shared" si="42"/>
        <v>2572</v>
      </c>
      <c r="B2646" s="988">
        <v>42697</v>
      </c>
      <c r="C2646" s="899" t="s">
        <v>11972</v>
      </c>
      <c r="D2646" s="988" t="s">
        <v>2666</v>
      </c>
      <c r="E2646" s="989">
        <v>862.96</v>
      </c>
      <c r="F2646" s="990"/>
      <c r="G2646" s="990"/>
      <c r="H2646" s="990"/>
      <c r="I2646" s="990"/>
      <c r="J2646" s="990"/>
      <c r="K2646" s="990"/>
      <c r="L2646" s="990"/>
      <c r="M2646" s="990"/>
      <c r="N2646" s="990"/>
      <c r="O2646" s="990"/>
      <c r="P2646" s="990"/>
      <c r="Q2646" s="990"/>
      <c r="R2646" s="990"/>
      <c r="S2646" s="990"/>
      <c r="T2646" s="990"/>
      <c r="U2646" s="990"/>
      <c r="V2646" s="990"/>
      <c r="W2646" s="990"/>
      <c r="X2646" s="990"/>
    </row>
    <row r="2647" spans="1:24" s="896" customFormat="1" ht="25.5">
      <c r="A2647" s="987">
        <f t="shared" si="42"/>
        <v>2573</v>
      </c>
      <c r="B2647" s="988">
        <v>42698</v>
      </c>
      <c r="C2647" s="899" t="s">
        <v>11973</v>
      </c>
      <c r="D2647" s="988" t="s">
        <v>2666</v>
      </c>
      <c r="E2647" s="989">
        <v>1202.07</v>
      </c>
      <c r="F2647" s="990"/>
      <c r="G2647" s="990"/>
      <c r="H2647" s="990"/>
      <c r="I2647" s="990"/>
      <c r="J2647" s="990"/>
      <c r="K2647" s="990"/>
      <c r="L2647" s="990"/>
      <c r="M2647" s="990"/>
      <c r="N2647" s="990"/>
      <c r="O2647" s="990"/>
      <c r="P2647" s="990"/>
      <c r="Q2647" s="990"/>
      <c r="R2647" s="990"/>
      <c r="S2647" s="990"/>
      <c r="T2647" s="990"/>
      <c r="U2647" s="990"/>
      <c r="V2647" s="990"/>
      <c r="W2647" s="990"/>
      <c r="X2647" s="990"/>
    </row>
    <row r="2648" spans="1:24" s="896" customFormat="1">
      <c r="A2648" s="987">
        <f t="shared" si="42"/>
        <v>2574</v>
      </c>
      <c r="B2648" s="988">
        <v>39875</v>
      </c>
      <c r="C2648" s="899" t="s">
        <v>11974</v>
      </c>
      <c r="D2648" s="988" t="s">
        <v>2666</v>
      </c>
      <c r="E2648" s="989">
        <v>694.82</v>
      </c>
      <c r="F2648" s="990"/>
      <c r="G2648" s="990"/>
      <c r="H2648" s="990"/>
      <c r="I2648" s="990"/>
      <c r="J2648" s="990"/>
      <c r="K2648" s="990"/>
      <c r="L2648" s="990"/>
      <c r="M2648" s="990"/>
      <c r="N2648" s="990"/>
      <c r="O2648" s="990"/>
      <c r="P2648" s="990"/>
      <c r="Q2648" s="990"/>
      <c r="R2648" s="990"/>
      <c r="S2648" s="990"/>
      <c r="T2648" s="990"/>
      <c r="U2648" s="990"/>
      <c r="V2648" s="990"/>
      <c r="W2648" s="990"/>
      <c r="X2648" s="990"/>
    </row>
    <row r="2649" spans="1:24" s="896" customFormat="1">
      <c r="A2649" s="987">
        <f t="shared" si="42"/>
        <v>2575</v>
      </c>
      <c r="B2649" s="988">
        <v>39876</v>
      </c>
      <c r="C2649" s="899" t="s">
        <v>11975</v>
      </c>
      <c r="D2649" s="988" t="s">
        <v>2666</v>
      </c>
      <c r="E2649" s="989">
        <v>869.91</v>
      </c>
      <c r="F2649" s="990"/>
      <c r="G2649" s="990"/>
      <c r="H2649" s="990"/>
      <c r="I2649" s="990"/>
      <c r="J2649" s="990"/>
      <c r="K2649" s="990"/>
      <c r="L2649" s="990"/>
      <c r="M2649" s="990"/>
      <c r="N2649" s="990"/>
      <c r="O2649" s="990"/>
      <c r="P2649" s="990"/>
      <c r="Q2649" s="990"/>
      <c r="R2649" s="990"/>
      <c r="S2649" s="990"/>
      <c r="T2649" s="990"/>
      <c r="U2649" s="990"/>
      <c r="V2649" s="990"/>
      <c r="W2649" s="990"/>
      <c r="X2649" s="990"/>
    </row>
    <row r="2650" spans="1:24" s="896" customFormat="1">
      <c r="A2650" s="987">
        <f t="shared" si="42"/>
        <v>2576</v>
      </c>
      <c r="B2650" s="988">
        <v>39877</v>
      </c>
      <c r="C2650" s="899" t="s">
        <v>11976</v>
      </c>
      <c r="D2650" s="988" t="s">
        <v>2666</v>
      </c>
      <c r="E2650" s="989">
        <v>1206.54</v>
      </c>
      <c r="F2650" s="990"/>
      <c r="G2650" s="990"/>
      <c r="H2650" s="990"/>
      <c r="I2650" s="990"/>
      <c r="J2650" s="990"/>
      <c r="K2650" s="990"/>
      <c r="L2650" s="990"/>
      <c r="M2650" s="990"/>
      <c r="N2650" s="990"/>
      <c r="O2650" s="990"/>
      <c r="P2650" s="990"/>
      <c r="Q2650" s="990"/>
      <c r="R2650" s="990"/>
      <c r="S2650" s="990"/>
      <c r="T2650" s="990"/>
      <c r="U2650" s="990"/>
      <c r="V2650" s="990"/>
      <c r="W2650" s="990"/>
      <c r="X2650" s="990"/>
    </row>
    <row r="2651" spans="1:24" s="896" customFormat="1">
      <c r="A2651" s="987">
        <f t="shared" si="42"/>
        <v>2577</v>
      </c>
      <c r="B2651" s="988">
        <v>39878</v>
      </c>
      <c r="C2651" s="899" t="s">
        <v>11977</v>
      </c>
      <c r="D2651" s="988" t="s">
        <v>2666</v>
      </c>
      <c r="E2651" s="989">
        <v>1593.64</v>
      </c>
      <c r="F2651" s="990"/>
      <c r="G2651" s="990"/>
      <c r="H2651" s="990"/>
      <c r="I2651" s="990"/>
      <c r="J2651" s="990"/>
      <c r="K2651" s="990"/>
      <c r="L2651" s="990"/>
      <c r="M2651" s="990"/>
      <c r="N2651" s="990"/>
      <c r="O2651" s="990"/>
      <c r="P2651" s="990"/>
      <c r="Q2651" s="990"/>
      <c r="R2651" s="990"/>
      <c r="S2651" s="990"/>
      <c r="T2651" s="990"/>
      <c r="U2651" s="990"/>
      <c r="V2651" s="990"/>
      <c r="W2651" s="990"/>
      <c r="X2651" s="990"/>
    </row>
    <row r="2652" spans="1:24" s="896" customFormat="1">
      <c r="A2652" s="987">
        <f t="shared" si="42"/>
        <v>2578</v>
      </c>
      <c r="B2652" s="988">
        <v>39872</v>
      </c>
      <c r="C2652" s="899" t="s">
        <v>11978</v>
      </c>
      <c r="D2652" s="988" t="s">
        <v>2666</v>
      </c>
      <c r="E2652" s="989">
        <v>476.49</v>
      </c>
      <c r="F2652" s="990"/>
      <c r="G2652" s="990"/>
      <c r="H2652" s="990"/>
      <c r="I2652" s="990"/>
      <c r="J2652" s="990"/>
      <c r="K2652" s="990"/>
      <c r="L2652" s="990"/>
      <c r="M2652" s="990"/>
      <c r="N2652" s="990"/>
      <c r="O2652" s="990"/>
      <c r="P2652" s="990"/>
      <c r="Q2652" s="990"/>
      <c r="R2652" s="990"/>
      <c r="S2652" s="990"/>
      <c r="T2652" s="990"/>
      <c r="U2652" s="990"/>
      <c r="V2652" s="990"/>
      <c r="W2652" s="990"/>
      <c r="X2652" s="990"/>
    </row>
    <row r="2653" spans="1:24" s="896" customFormat="1">
      <c r="A2653" s="987">
        <f t="shared" si="42"/>
        <v>2579</v>
      </c>
      <c r="B2653" s="988">
        <v>39873</v>
      </c>
      <c r="C2653" s="899" t="s">
        <v>11979</v>
      </c>
      <c r="D2653" s="988" t="s">
        <v>2666</v>
      </c>
      <c r="E2653" s="989">
        <v>552.70000000000005</v>
      </c>
      <c r="F2653" s="990"/>
      <c r="G2653" s="990"/>
      <c r="H2653" s="990"/>
      <c r="I2653" s="990"/>
      <c r="J2653" s="990"/>
      <c r="K2653" s="990"/>
      <c r="L2653" s="990"/>
      <c r="M2653" s="990"/>
      <c r="N2653" s="990"/>
      <c r="O2653" s="990"/>
      <c r="P2653" s="990"/>
      <c r="Q2653" s="990"/>
      <c r="R2653" s="990"/>
      <c r="S2653" s="990"/>
      <c r="T2653" s="990"/>
      <c r="U2653" s="990"/>
      <c r="V2653" s="990"/>
      <c r="W2653" s="990"/>
      <c r="X2653" s="990"/>
    </row>
    <row r="2654" spans="1:24" s="896" customFormat="1">
      <c r="A2654" s="987">
        <f t="shared" si="42"/>
        <v>2580</v>
      </c>
      <c r="B2654" s="988">
        <v>39874</v>
      </c>
      <c r="C2654" s="899" t="s">
        <v>11980</v>
      </c>
      <c r="D2654" s="988" t="s">
        <v>2666</v>
      </c>
      <c r="E2654" s="989">
        <v>607.07000000000005</v>
      </c>
      <c r="F2654" s="990"/>
      <c r="G2654" s="990"/>
      <c r="H2654" s="990"/>
      <c r="I2654" s="990"/>
      <c r="J2654" s="990"/>
      <c r="K2654" s="990"/>
      <c r="L2654" s="990"/>
      <c r="M2654" s="990"/>
      <c r="N2654" s="990"/>
      <c r="O2654" s="990"/>
      <c r="P2654" s="990"/>
      <c r="Q2654" s="990"/>
      <c r="R2654" s="990"/>
      <c r="S2654" s="990"/>
      <c r="T2654" s="990"/>
      <c r="U2654" s="990"/>
      <c r="V2654" s="990"/>
      <c r="W2654" s="990"/>
      <c r="X2654" s="990"/>
    </row>
    <row r="2655" spans="1:24" s="896" customFormat="1">
      <c r="A2655" s="987">
        <f t="shared" si="42"/>
        <v>2581</v>
      </c>
      <c r="B2655" s="988">
        <v>3674</v>
      </c>
      <c r="C2655" s="899" t="s">
        <v>11981</v>
      </c>
      <c r="D2655" s="988" t="s">
        <v>2669</v>
      </c>
      <c r="E2655" s="989">
        <v>169.76</v>
      </c>
      <c r="F2655" s="990"/>
      <c r="G2655" s="990"/>
      <c r="H2655" s="990"/>
      <c r="I2655" s="990"/>
      <c r="J2655" s="990"/>
      <c r="K2655" s="990"/>
      <c r="L2655" s="990"/>
      <c r="M2655" s="990"/>
      <c r="N2655" s="990"/>
      <c r="O2655" s="990"/>
      <c r="P2655" s="990"/>
      <c r="Q2655" s="990"/>
      <c r="R2655" s="990"/>
      <c r="S2655" s="990"/>
      <c r="T2655" s="990"/>
      <c r="U2655" s="990"/>
      <c r="V2655" s="990"/>
      <c r="W2655" s="990"/>
      <c r="X2655" s="990"/>
    </row>
    <row r="2656" spans="1:24" s="896" customFormat="1">
      <c r="A2656" s="987">
        <f t="shared" si="42"/>
        <v>2582</v>
      </c>
      <c r="B2656" s="988">
        <v>3681</v>
      </c>
      <c r="C2656" s="899" t="s">
        <v>11982</v>
      </c>
      <c r="D2656" s="988" t="s">
        <v>2669</v>
      </c>
      <c r="E2656" s="989">
        <v>252.58</v>
      </c>
      <c r="F2656" s="990"/>
      <c r="G2656" s="990"/>
      <c r="H2656" s="990"/>
      <c r="I2656" s="990"/>
      <c r="J2656" s="990"/>
      <c r="K2656" s="990"/>
      <c r="L2656" s="990"/>
      <c r="M2656" s="990"/>
      <c r="N2656" s="990"/>
      <c r="O2656" s="990"/>
      <c r="P2656" s="990"/>
      <c r="Q2656" s="990"/>
      <c r="R2656" s="990"/>
      <c r="S2656" s="990"/>
      <c r="T2656" s="990"/>
      <c r="U2656" s="990"/>
      <c r="V2656" s="990"/>
      <c r="W2656" s="990"/>
      <c r="X2656" s="990"/>
    </row>
    <row r="2657" spans="1:24" s="896" customFormat="1">
      <c r="A2657" s="987">
        <f t="shared" si="42"/>
        <v>2583</v>
      </c>
      <c r="B2657" s="988">
        <v>3676</v>
      </c>
      <c r="C2657" s="899" t="s">
        <v>11983</v>
      </c>
      <c r="D2657" s="988" t="s">
        <v>2669</v>
      </c>
      <c r="E2657" s="989">
        <v>950.55</v>
      </c>
      <c r="F2657" s="990"/>
      <c r="G2657" s="990"/>
      <c r="H2657" s="990"/>
      <c r="I2657" s="990"/>
      <c r="J2657" s="990"/>
      <c r="K2657" s="990"/>
      <c r="L2657" s="990"/>
      <c r="M2657" s="990"/>
      <c r="N2657" s="990"/>
      <c r="O2657" s="990"/>
      <c r="P2657" s="990"/>
      <c r="Q2657" s="990"/>
      <c r="R2657" s="990"/>
      <c r="S2657" s="990"/>
      <c r="T2657" s="990"/>
      <c r="U2657" s="990"/>
      <c r="V2657" s="990"/>
      <c r="W2657" s="990"/>
      <c r="X2657" s="990"/>
    </row>
    <row r="2658" spans="1:24" s="896" customFormat="1">
      <c r="A2658" s="987">
        <f t="shared" si="42"/>
        <v>2584</v>
      </c>
      <c r="B2658" s="988">
        <v>3679</v>
      </c>
      <c r="C2658" s="899" t="s">
        <v>11984</v>
      </c>
      <c r="D2658" s="988" t="s">
        <v>2669</v>
      </c>
      <c r="E2658" s="989">
        <v>786.41</v>
      </c>
      <c r="F2658" s="990"/>
      <c r="G2658" s="990"/>
      <c r="H2658" s="990"/>
      <c r="I2658" s="990"/>
      <c r="J2658" s="990"/>
      <c r="K2658" s="990"/>
      <c r="L2658" s="990"/>
      <c r="M2658" s="990"/>
      <c r="N2658" s="990"/>
      <c r="O2658" s="990"/>
      <c r="P2658" s="990"/>
      <c r="Q2658" s="990"/>
      <c r="R2658" s="990"/>
      <c r="S2658" s="990"/>
      <c r="T2658" s="990"/>
      <c r="U2658" s="990"/>
      <c r="V2658" s="990"/>
      <c r="W2658" s="990"/>
      <c r="X2658" s="990"/>
    </row>
    <row r="2659" spans="1:24" s="896" customFormat="1" ht="25.5">
      <c r="A2659" s="987">
        <f t="shared" si="42"/>
        <v>2585</v>
      </c>
      <c r="B2659" s="988">
        <v>3672</v>
      </c>
      <c r="C2659" s="899" t="s">
        <v>11985</v>
      </c>
      <c r="D2659" s="988" t="s">
        <v>2669</v>
      </c>
      <c r="E2659" s="989">
        <v>2.68</v>
      </c>
      <c r="F2659" s="990"/>
      <c r="G2659" s="990"/>
      <c r="H2659" s="990"/>
      <c r="I2659" s="990"/>
      <c r="J2659" s="990"/>
      <c r="K2659" s="990"/>
      <c r="L2659" s="990"/>
      <c r="M2659" s="990"/>
      <c r="N2659" s="990"/>
      <c r="O2659" s="990"/>
      <c r="P2659" s="990"/>
      <c r="Q2659" s="990"/>
      <c r="R2659" s="990"/>
      <c r="S2659" s="990"/>
      <c r="T2659" s="990"/>
      <c r="U2659" s="990"/>
      <c r="V2659" s="990"/>
      <c r="W2659" s="990"/>
      <c r="X2659" s="990"/>
    </row>
    <row r="2660" spans="1:24" s="896" customFormat="1">
      <c r="A2660" s="987">
        <f t="shared" si="42"/>
        <v>2586</v>
      </c>
      <c r="B2660" s="988">
        <v>3671</v>
      </c>
      <c r="C2660" s="899" t="s">
        <v>11986</v>
      </c>
      <c r="D2660" s="988" t="s">
        <v>2669</v>
      </c>
      <c r="E2660" s="989">
        <v>2.5299999999999998</v>
      </c>
      <c r="F2660" s="990"/>
      <c r="G2660" s="990"/>
      <c r="H2660" s="990"/>
      <c r="I2660" s="990"/>
      <c r="J2660" s="990"/>
      <c r="K2660" s="990"/>
      <c r="L2660" s="990"/>
      <c r="M2660" s="990"/>
      <c r="N2660" s="990"/>
      <c r="O2660" s="990"/>
      <c r="P2660" s="990"/>
      <c r="Q2660" s="990"/>
      <c r="R2660" s="990"/>
      <c r="S2660" s="990"/>
      <c r="T2660" s="990"/>
      <c r="U2660" s="990"/>
      <c r="V2660" s="990"/>
      <c r="W2660" s="990"/>
      <c r="X2660" s="990"/>
    </row>
    <row r="2661" spans="1:24" s="896" customFormat="1">
      <c r="A2661" s="987">
        <f t="shared" si="42"/>
        <v>2587</v>
      </c>
      <c r="B2661" s="988">
        <v>3673</v>
      </c>
      <c r="C2661" s="899" t="s">
        <v>11987</v>
      </c>
      <c r="D2661" s="988" t="s">
        <v>2669</v>
      </c>
      <c r="E2661" s="989">
        <v>3.97</v>
      </c>
      <c r="F2661" s="990"/>
      <c r="G2661" s="990"/>
      <c r="H2661" s="990"/>
      <c r="I2661" s="990"/>
      <c r="J2661" s="990"/>
      <c r="K2661" s="990"/>
      <c r="L2661" s="990"/>
      <c r="M2661" s="990"/>
      <c r="N2661" s="990"/>
      <c r="O2661" s="990"/>
      <c r="P2661" s="990"/>
      <c r="Q2661" s="990"/>
      <c r="R2661" s="990"/>
      <c r="S2661" s="990"/>
      <c r="T2661" s="990"/>
      <c r="U2661" s="990"/>
      <c r="V2661" s="990"/>
      <c r="W2661" s="990"/>
      <c r="X2661" s="990"/>
    </row>
    <row r="2662" spans="1:24" s="896" customFormat="1" ht="25.5">
      <c r="A2662" s="987">
        <f t="shared" si="42"/>
        <v>2588</v>
      </c>
      <c r="B2662" s="988">
        <v>38394</v>
      </c>
      <c r="C2662" s="899" t="s">
        <v>11988</v>
      </c>
      <c r="D2662" s="988" t="s">
        <v>2666</v>
      </c>
      <c r="E2662" s="989">
        <v>283.14</v>
      </c>
      <c r="F2662" s="990"/>
      <c r="G2662" s="990"/>
      <c r="H2662" s="990"/>
      <c r="I2662" s="990"/>
      <c r="J2662" s="990"/>
      <c r="K2662" s="990"/>
      <c r="L2662" s="990"/>
      <c r="M2662" s="990"/>
      <c r="N2662" s="990"/>
      <c r="O2662" s="990"/>
      <c r="P2662" s="990"/>
      <c r="Q2662" s="990"/>
      <c r="R2662" s="990"/>
      <c r="S2662" s="990"/>
      <c r="T2662" s="990"/>
      <c r="U2662" s="990"/>
      <c r="V2662" s="990"/>
      <c r="W2662" s="990"/>
      <c r="X2662" s="990"/>
    </row>
    <row r="2663" spans="1:24" s="896" customFormat="1" ht="25.5">
      <c r="A2663" s="987">
        <f t="shared" si="42"/>
        <v>2589</v>
      </c>
      <c r="B2663" s="988">
        <v>3729</v>
      </c>
      <c r="C2663" s="899" t="s">
        <v>11989</v>
      </c>
      <c r="D2663" s="988" t="s">
        <v>2666</v>
      </c>
      <c r="E2663" s="989">
        <v>99.8</v>
      </c>
      <c r="F2663" s="990"/>
      <c r="G2663" s="990"/>
      <c r="H2663" s="990"/>
      <c r="I2663" s="990"/>
      <c r="J2663" s="990"/>
      <c r="K2663" s="990"/>
      <c r="L2663" s="990"/>
      <c r="M2663" s="990"/>
      <c r="N2663" s="990"/>
      <c r="O2663" s="990"/>
      <c r="P2663" s="990"/>
      <c r="Q2663" s="990"/>
      <c r="R2663" s="990"/>
      <c r="S2663" s="990"/>
      <c r="T2663" s="990"/>
      <c r="U2663" s="990"/>
      <c r="V2663" s="990"/>
      <c r="W2663" s="990"/>
      <c r="X2663" s="990"/>
    </row>
    <row r="2664" spans="1:24" s="896" customFormat="1" ht="63.75">
      <c r="A2664" s="987">
        <f t="shared" si="42"/>
        <v>2590</v>
      </c>
      <c r="B2664" s="988">
        <v>39357</v>
      </c>
      <c r="C2664" s="899" t="s">
        <v>11990</v>
      </c>
      <c r="D2664" s="988" t="s">
        <v>2666</v>
      </c>
      <c r="E2664" s="989">
        <v>96.95</v>
      </c>
      <c r="F2664" s="990"/>
      <c r="G2664" s="990"/>
      <c r="H2664" s="990"/>
      <c r="I2664" s="990"/>
      <c r="J2664" s="990"/>
      <c r="K2664" s="990"/>
      <c r="L2664" s="990"/>
      <c r="M2664" s="990"/>
      <c r="N2664" s="990"/>
      <c r="O2664" s="990"/>
      <c r="P2664" s="990"/>
      <c r="Q2664" s="990"/>
      <c r="R2664" s="990"/>
      <c r="S2664" s="990"/>
      <c r="T2664" s="990"/>
      <c r="U2664" s="990"/>
      <c r="V2664" s="990"/>
      <c r="W2664" s="990"/>
      <c r="X2664" s="990"/>
    </row>
    <row r="2665" spans="1:24" s="896" customFormat="1" ht="63.75">
      <c r="A2665" s="987">
        <f t="shared" si="42"/>
        <v>2591</v>
      </c>
      <c r="B2665" s="988">
        <v>39358</v>
      </c>
      <c r="C2665" s="899" t="s">
        <v>11991</v>
      </c>
      <c r="D2665" s="988" t="s">
        <v>2666</v>
      </c>
      <c r="E2665" s="989">
        <v>106.31</v>
      </c>
      <c r="F2665" s="990"/>
      <c r="G2665" s="990"/>
      <c r="H2665" s="990"/>
      <c r="I2665" s="990"/>
      <c r="J2665" s="990"/>
      <c r="K2665" s="990"/>
      <c r="L2665" s="990"/>
      <c r="M2665" s="990"/>
      <c r="N2665" s="990"/>
      <c r="O2665" s="990"/>
      <c r="P2665" s="990"/>
      <c r="Q2665" s="990"/>
      <c r="R2665" s="990"/>
      <c r="S2665" s="990"/>
      <c r="T2665" s="990"/>
      <c r="U2665" s="990"/>
      <c r="V2665" s="990"/>
      <c r="W2665" s="990"/>
      <c r="X2665" s="990"/>
    </row>
    <row r="2666" spans="1:24" s="896" customFormat="1" ht="63.75">
      <c r="A2666" s="987">
        <f t="shared" si="42"/>
        <v>2592</v>
      </c>
      <c r="B2666" s="988">
        <v>39356</v>
      </c>
      <c r="C2666" s="899" t="s">
        <v>11992</v>
      </c>
      <c r="D2666" s="988" t="s">
        <v>2666</v>
      </c>
      <c r="E2666" s="989">
        <v>181.38</v>
      </c>
      <c r="F2666" s="990"/>
      <c r="G2666" s="990"/>
      <c r="H2666" s="990"/>
      <c r="I2666" s="990"/>
      <c r="J2666" s="990"/>
      <c r="K2666" s="990"/>
      <c r="L2666" s="990"/>
      <c r="M2666" s="990"/>
      <c r="N2666" s="990"/>
      <c r="O2666" s="990"/>
      <c r="P2666" s="990"/>
      <c r="Q2666" s="990"/>
      <c r="R2666" s="990"/>
      <c r="S2666" s="990"/>
      <c r="T2666" s="990"/>
      <c r="U2666" s="990"/>
      <c r="V2666" s="990"/>
      <c r="W2666" s="990"/>
      <c r="X2666" s="990"/>
    </row>
    <row r="2667" spans="1:24" s="896" customFormat="1" ht="63.75">
      <c r="A2667" s="987">
        <f t="shared" si="42"/>
        <v>2593</v>
      </c>
      <c r="B2667" s="988">
        <v>39355</v>
      </c>
      <c r="C2667" s="899" t="s">
        <v>11993</v>
      </c>
      <c r="D2667" s="988" t="s">
        <v>2666</v>
      </c>
      <c r="E2667" s="989">
        <v>156.08000000000001</v>
      </c>
      <c r="F2667" s="990"/>
      <c r="G2667" s="990"/>
      <c r="H2667" s="990"/>
      <c r="I2667" s="990"/>
      <c r="J2667" s="990"/>
      <c r="K2667" s="990"/>
      <c r="L2667" s="990"/>
      <c r="M2667" s="990"/>
      <c r="N2667" s="990"/>
      <c r="O2667" s="990"/>
      <c r="P2667" s="990"/>
      <c r="Q2667" s="990"/>
      <c r="R2667" s="990"/>
      <c r="S2667" s="990"/>
      <c r="T2667" s="990"/>
      <c r="U2667" s="990"/>
      <c r="V2667" s="990"/>
      <c r="W2667" s="990"/>
      <c r="X2667" s="990"/>
    </row>
    <row r="2668" spans="1:24" s="896" customFormat="1" ht="63.75">
      <c r="A2668" s="987">
        <f t="shared" si="42"/>
        <v>2594</v>
      </c>
      <c r="B2668" s="988">
        <v>39353</v>
      </c>
      <c r="C2668" s="899" t="s">
        <v>11994</v>
      </c>
      <c r="D2668" s="988" t="s">
        <v>2666</v>
      </c>
      <c r="E2668" s="989">
        <v>214.04</v>
      </c>
      <c r="F2668" s="990"/>
      <c r="G2668" s="990"/>
      <c r="H2668" s="990"/>
      <c r="I2668" s="990"/>
      <c r="J2668" s="990"/>
      <c r="K2668" s="990"/>
      <c r="L2668" s="990"/>
      <c r="M2668" s="990"/>
      <c r="N2668" s="990"/>
      <c r="O2668" s="990"/>
      <c r="P2668" s="990"/>
      <c r="Q2668" s="990"/>
      <c r="R2668" s="990"/>
      <c r="S2668" s="990"/>
      <c r="T2668" s="990"/>
      <c r="U2668" s="990"/>
      <c r="V2668" s="990"/>
      <c r="W2668" s="990"/>
      <c r="X2668" s="990"/>
    </row>
    <row r="2669" spans="1:24" s="896" customFormat="1" ht="63.75">
      <c r="A2669" s="987">
        <f t="shared" si="42"/>
        <v>2595</v>
      </c>
      <c r="B2669" s="988">
        <v>39354</v>
      </c>
      <c r="C2669" s="899" t="s">
        <v>11995</v>
      </c>
      <c r="D2669" s="988" t="s">
        <v>2666</v>
      </c>
      <c r="E2669" s="989">
        <v>213.32</v>
      </c>
      <c r="F2669" s="990"/>
      <c r="G2669" s="990"/>
      <c r="H2669" s="990"/>
      <c r="I2669" s="990"/>
      <c r="J2669" s="990"/>
      <c r="K2669" s="990"/>
      <c r="L2669" s="990"/>
      <c r="M2669" s="990"/>
      <c r="N2669" s="990"/>
      <c r="O2669" s="990"/>
      <c r="P2669" s="990"/>
      <c r="Q2669" s="990"/>
      <c r="R2669" s="990"/>
      <c r="S2669" s="990"/>
      <c r="T2669" s="990"/>
      <c r="U2669" s="990"/>
      <c r="V2669" s="990"/>
      <c r="W2669" s="990"/>
      <c r="X2669" s="990"/>
    </row>
    <row r="2670" spans="1:24" s="896" customFormat="1">
      <c r="A2670" s="987">
        <f t="shared" si="42"/>
        <v>2596</v>
      </c>
      <c r="B2670" s="988">
        <v>39398</v>
      </c>
      <c r="C2670" s="899" t="s">
        <v>11996</v>
      </c>
      <c r="D2670" s="988" t="s">
        <v>2666</v>
      </c>
      <c r="E2670" s="989">
        <v>153.01</v>
      </c>
      <c r="F2670" s="990"/>
      <c r="G2670" s="990"/>
      <c r="H2670" s="990"/>
      <c r="I2670" s="990"/>
      <c r="J2670" s="990"/>
      <c r="K2670" s="990"/>
      <c r="L2670" s="990"/>
      <c r="M2670" s="990"/>
      <c r="N2670" s="990"/>
      <c r="O2670" s="990"/>
      <c r="P2670" s="990"/>
      <c r="Q2670" s="990"/>
      <c r="R2670" s="990"/>
      <c r="S2670" s="990"/>
      <c r="T2670" s="990"/>
      <c r="U2670" s="990"/>
      <c r="V2670" s="990"/>
      <c r="W2670" s="990"/>
      <c r="X2670" s="990"/>
    </row>
    <row r="2671" spans="1:24" s="896" customFormat="1" ht="25.5">
      <c r="A2671" s="987">
        <f t="shared" si="42"/>
        <v>2597</v>
      </c>
      <c r="B2671" s="988">
        <v>13343</v>
      </c>
      <c r="C2671" s="899" t="s">
        <v>11997</v>
      </c>
      <c r="D2671" s="988" t="s">
        <v>2666</v>
      </c>
      <c r="E2671" s="989">
        <v>39.15</v>
      </c>
      <c r="F2671" s="990"/>
      <c r="G2671" s="990"/>
      <c r="H2671" s="990"/>
      <c r="I2671" s="990"/>
      <c r="J2671" s="990"/>
      <c r="K2671" s="990"/>
      <c r="L2671" s="990"/>
      <c r="M2671" s="990"/>
      <c r="N2671" s="990"/>
      <c r="O2671" s="990"/>
      <c r="P2671" s="990"/>
      <c r="Q2671" s="990"/>
      <c r="R2671" s="990"/>
      <c r="S2671" s="990"/>
      <c r="T2671" s="990"/>
      <c r="U2671" s="990"/>
      <c r="V2671" s="990"/>
      <c r="W2671" s="990"/>
      <c r="X2671" s="990"/>
    </row>
    <row r="2672" spans="1:24" s="896" customFormat="1" ht="25.5">
      <c r="A2672" s="987">
        <f t="shared" si="42"/>
        <v>2598</v>
      </c>
      <c r="B2672" s="988">
        <v>12118</v>
      </c>
      <c r="C2672" s="899" t="s">
        <v>11998</v>
      </c>
      <c r="D2672" s="988" t="s">
        <v>2666</v>
      </c>
      <c r="E2672" s="989">
        <v>28.19</v>
      </c>
      <c r="F2672" s="990"/>
      <c r="G2672" s="990"/>
      <c r="H2672" s="990"/>
      <c r="I2672" s="990"/>
      <c r="J2672" s="990"/>
      <c r="K2672" s="990"/>
      <c r="L2672" s="990"/>
      <c r="M2672" s="990"/>
      <c r="N2672" s="990"/>
      <c r="O2672" s="990"/>
      <c r="P2672" s="990"/>
      <c r="Q2672" s="990"/>
      <c r="R2672" s="990"/>
      <c r="S2672" s="990"/>
      <c r="T2672" s="990"/>
      <c r="U2672" s="990"/>
      <c r="V2672" s="990"/>
      <c r="W2672" s="990"/>
      <c r="X2672" s="990"/>
    </row>
    <row r="2673" spans="1:24" s="896" customFormat="1" ht="51">
      <c r="A2673" s="987">
        <f t="shared" si="42"/>
        <v>2599</v>
      </c>
      <c r="B2673" s="988">
        <v>39482</v>
      </c>
      <c r="C2673" s="899" t="s">
        <v>11999</v>
      </c>
      <c r="D2673" s="988" t="s">
        <v>2666</v>
      </c>
      <c r="E2673" s="989">
        <v>599.09</v>
      </c>
      <c r="F2673" s="990"/>
      <c r="G2673" s="990"/>
      <c r="H2673" s="990"/>
      <c r="I2673" s="990"/>
      <c r="J2673" s="990"/>
      <c r="K2673" s="990"/>
      <c r="L2673" s="990"/>
      <c r="M2673" s="990"/>
      <c r="N2673" s="990"/>
      <c r="O2673" s="990"/>
      <c r="P2673" s="990"/>
      <c r="Q2673" s="990"/>
      <c r="R2673" s="990"/>
      <c r="S2673" s="990"/>
      <c r="T2673" s="990"/>
      <c r="U2673" s="990"/>
      <c r="V2673" s="990"/>
      <c r="W2673" s="990"/>
      <c r="X2673" s="990"/>
    </row>
    <row r="2674" spans="1:24" s="896" customFormat="1" ht="51">
      <c r="A2674" s="987">
        <f t="shared" si="42"/>
        <v>2600</v>
      </c>
      <c r="B2674" s="988">
        <v>39486</v>
      </c>
      <c r="C2674" s="899" t="s">
        <v>12000</v>
      </c>
      <c r="D2674" s="988" t="s">
        <v>2666</v>
      </c>
      <c r="E2674" s="989">
        <v>488.94</v>
      </c>
      <c r="F2674" s="990"/>
      <c r="G2674" s="990"/>
      <c r="H2674" s="990"/>
      <c r="I2674" s="990"/>
      <c r="J2674" s="990"/>
      <c r="K2674" s="990"/>
      <c r="L2674" s="990"/>
      <c r="M2674" s="990"/>
      <c r="N2674" s="990"/>
      <c r="O2674" s="990"/>
      <c r="P2674" s="990"/>
      <c r="Q2674" s="990"/>
      <c r="R2674" s="990"/>
      <c r="S2674" s="990"/>
      <c r="T2674" s="990"/>
      <c r="U2674" s="990"/>
      <c r="V2674" s="990"/>
      <c r="W2674" s="990"/>
      <c r="X2674" s="990"/>
    </row>
    <row r="2675" spans="1:24" s="896" customFormat="1" ht="51">
      <c r="A2675" s="987">
        <f t="shared" si="42"/>
        <v>2601</v>
      </c>
      <c r="B2675" s="988">
        <v>39484</v>
      </c>
      <c r="C2675" s="899" t="s">
        <v>12001</v>
      </c>
      <c r="D2675" s="988" t="s">
        <v>2666</v>
      </c>
      <c r="E2675" s="989">
        <v>599.09</v>
      </c>
      <c r="F2675" s="990"/>
      <c r="G2675" s="990"/>
      <c r="H2675" s="990"/>
      <c r="I2675" s="990"/>
      <c r="J2675" s="990"/>
      <c r="K2675" s="990"/>
      <c r="L2675" s="990"/>
      <c r="M2675" s="990"/>
      <c r="N2675" s="990"/>
      <c r="O2675" s="990"/>
      <c r="P2675" s="990"/>
      <c r="Q2675" s="990"/>
      <c r="R2675" s="990"/>
      <c r="S2675" s="990"/>
      <c r="T2675" s="990"/>
      <c r="U2675" s="990"/>
      <c r="V2675" s="990"/>
      <c r="W2675" s="990"/>
      <c r="X2675" s="990"/>
    </row>
    <row r="2676" spans="1:24" s="896" customFormat="1" ht="51">
      <c r="A2676" s="987">
        <f t="shared" si="42"/>
        <v>2602</v>
      </c>
      <c r="B2676" s="988">
        <v>39488</v>
      </c>
      <c r="C2676" s="899" t="s">
        <v>12002</v>
      </c>
      <c r="D2676" s="988" t="s">
        <v>2666</v>
      </c>
      <c r="E2676" s="989">
        <v>496.94</v>
      </c>
      <c r="F2676" s="990"/>
      <c r="G2676" s="990"/>
      <c r="H2676" s="990"/>
      <c r="I2676" s="990"/>
      <c r="J2676" s="990"/>
      <c r="K2676" s="990"/>
      <c r="L2676" s="990"/>
      <c r="M2676" s="990"/>
      <c r="N2676" s="990"/>
      <c r="O2676" s="990"/>
      <c r="P2676" s="990"/>
      <c r="Q2676" s="990"/>
      <c r="R2676" s="990"/>
      <c r="S2676" s="990"/>
      <c r="T2676" s="990"/>
      <c r="U2676" s="990"/>
      <c r="V2676" s="990"/>
      <c r="W2676" s="990"/>
      <c r="X2676" s="990"/>
    </row>
    <row r="2677" spans="1:24" s="896" customFormat="1" ht="51">
      <c r="A2677" s="987">
        <f t="shared" si="42"/>
        <v>2603</v>
      </c>
      <c r="B2677" s="988">
        <v>39485</v>
      </c>
      <c r="C2677" s="899" t="s">
        <v>12003</v>
      </c>
      <c r="D2677" s="988" t="s">
        <v>2666</v>
      </c>
      <c r="E2677" s="989">
        <v>599.09</v>
      </c>
      <c r="F2677" s="990"/>
      <c r="G2677" s="990"/>
      <c r="H2677" s="990"/>
      <c r="I2677" s="990"/>
      <c r="J2677" s="990"/>
      <c r="K2677" s="990"/>
      <c r="L2677" s="990"/>
      <c r="M2677" s="990"/>
      <c r="N2677" s="990"/>
      <c r="O2677" s="990"/>
      <c r="P2677" s="990"/>
      <c r="Q2677" s="990"/>
      <c r="R2677" s="990"/>
      <c r="S2677" s="990"/>
      <c r="T2677" s="990"/>
      <c r="U2677" s="990"/>
      <c r="V2677" s="990"/>
      <c r="W2677" s="990"/>
      <c r="X2677" s="990"/>
    </row>
    <row r="2678" spans="1:24" s="896" customFormat="1" ht="51">
      <c r="A2678" s="987">
        <f t="shared" si="42"/>
        <v>2604</v>
      </c>
      <c r="B2678" s="988">
        <v>39489</v>
      </c>
      <c r="C2678" s="899" t="s">
        <v>12004</v>
      </c>
      <c r="D2678" s="988" t="s">
        <v>2666</v>
      </c>
      <c r="E2678" s="989">
        <v>505.37</v>
      </c>
      <c r="F2678" s="990"/>
      <c r="G2678" s="990"/>
      <c r="H2678" s="990"/>
      <c r="I2678" s="990"/>
      <c r="J2678" s="990"/>
      <c r="K2678" s="990"/>
      <c r="L2678" s="990"/>
      <c r="M2678" s="990"/>
      <c r="N2678" s="990"/>
      <c r="O2678" s="990"/>
      <c r="P2678" s="990"/>
      <c r="Q2678" s="990"/>
      <c r="R2678" s="990"/>
      <c r="S2678" s="990"/>
      <c r="T2678" s="990"/>
      <c r="U2678" s="990"/>
      <c r="V2678" s="990"/>
      <c r="W2678" s="990"/>
      <c r="X2678" s="990"/>
    </row>
    <row r="2679" spans="1:24" s="896" customFormat="1" ht="51">
      <c r="A2679" s="987">
        <f t="shared" si="42"/>
        <v>2605</v>
      </c>
      <c r="B2679" s="988">
        <v>39490</v>
      </c>
      <c r="C2679" s="899" t="s">
        <v>12005</v>
      </c>
      <c r="D2679" s="988" t="s">
        <v>2666</v>
      </c>
      <c r="E2679" s="989">
        <v>753.06</v>
      </c>
      <c r="F2679" s="990"/>
      <c r="G2679" s="990"/>
      <c r="H2679" s="990"/>
      <c r="I2679" s="990"/>
      <c r="J2679" s="990"/>
      <c r="K2679" s="990"/>
      <c r="L2679" s="990"/>
      <c r="M2679" s="990"/>
      <c r="N2679" s="990"/>
      <c r="O2679" s="990"/>
      <c r="P2679" s="990"/>
      <c r="Q2679" s="990"/>
      <c r="R2679" s="990"/>
      <c r="S2679" s="990"/>
      <c r="T2679" s="990"/>
      <c r="U2679" s="990"/>
      <c r="V2679" s="990"/>
      <c r="W2679" s="990"/>
      <c r="X2679" s="990"/>
    </row>
    <row r="2680" spans="1:24" s="896" customFormat="1" ht="51">
      <c r="A2680" s="987">
        <f t="shared" si="42"/>
        <v>2606</v>
      </c>
      <c r="B2680" s="988">
        <v>39494</v>
      </c>
      <c r="C2680" s="899" t="s">
        <v>12006</v>
      </c>
      <c r="D2680" s="988" t="s">
        <v>2666</v>
      </c>
      <c r="E2680" s="989">
        <v>540.76</v>
      </c>
      <c r="F2680" s="990"/>
      <c r="G2680" s="990"/>
      <c r="H2680" s="990"/>
      <c r="I2680" s="990"/>
      <c r="J2680" s="990"/>
      <c r="K2680" s="990"/>
      <c r="L2680" s="990"/>
      <c r="M2680" s="990"/>
      <c r="N2680" s="990"/>
      <c r="O2680" s="990"/>
      <c r="P2680" s="990"/>
      <c r="Q2680" s="990"/>
      <c r="R2680" s="990"/>
      <c r="S2680" s="990"/>
      <c r="T2680" s="990"/>
      <c r="U2680" s="990"/>
      <c r="V2680" s="990"/>
      <c r="W2680" s="990"/>
      <c r="X2680" s="990"/>
    </row>
    <row r="2681" spans="1:24" s="896" customFormat="1" ht="51">
      <c r="A2681" s="987">
        <f t="shared" si="42"/>
        <v>2607</v>
      </c>
      <c r="B2681" s="988">
        <v>39495</v>
      </c>
      <c r="C2681" s="899" t="s">
        <v>12007</v>
      </c>
      <c r="D2681" s="988" t="s">
        <v>2666</v>
      </c>
      <c r="E2681" s="989">
        <v>609.37</v>
      </c>
      <c r="F2681" s="990"/>
      <c r="G2681" s="990"/>
      <c r="H2681" s="990"/>
      <c r="I2681" s="990"/>
      <c r="J2681" s="990"/>
      <c r="K2681" s="990"/>
      <c r="L2681" s="990"/>
      <c r="M2681" s="990"/>
      <c r="N2681" s="990"/>
      <c r="O2681" s="990"/>
      <c r="P2681" s="990"/>
      <c r="Q2681" s="990"/>
      <c r="R2681" s="990"/>
      <c r="S2681" s="990"/>
      <c r="T2681" s="990"/>
      <c r="U2681" s="990"/>
      <c r="V2681" s="990"/>
      <c r="W2681" s="990"/>
      <c r="X2681" s="990"/>
    </row>
    <row r="2682" spans="1:24" s="896" customFormat="1" ht="51">
      <c r="A2682" s="987">
        <f t="shared" si="42"/>
        <v>2608</v>
      </c>
      <c r="B2682" s="988">
        <v>39496</v>
      </c>
      <c r="C2682" s="899" t="s">
        <v>12008</v>
      </c>
      <c r="D2682" s="988" t="s">
        <v>2666</v>
      </c>
      <c r="E2682" s="989">
        <v>670.3</v>
      </c>
      <c r="F2682" s="990"/>
      <c r="G2682" s="990"/>
      <c r="H2682" s="990"/>
      <c r="I2682" s="990"/>
      <c r="J2682" s="990"/>
      <c r="K2682" s="990"/>
      <c r="L2682" s="990"/>
      <c r="M2682" s="990"/>
      <c r="N2682" s="990"/>
      <c r="O2682" s="990"/>
      <c r="P2682" s="990"/>
      <c r="Q2682" s="990"/>
      <c r="R2682" s="990"/>
      <c r="S2682" s="990"/>
      <c r="T2682" s="990"/>
      <c r="U2682" s="990"/>
      <c r="V2682" s="990"/>
      <c r="W2682" s="990"/>
      <c r="X2682" s="990"/>
    </row>
    <row r="2683" spans="1:24" s="896" customFormat="1" ht="51">
      <c r="A2683" s="987">
        <f t="shared" si="42"/>
        <v>2609</v>
      </c>
      <c r="B2683" s="988">
        <v>39492</v>
      </c>
      <c r="C2683" s="899" t="s">
        <v>12009</v>
      </c>
      <c r="D2683" s="988" t="s">
        <v>2666</v>
      </c>
      <c r="E2683" s="989">
        <v>776.03</v>
      </c>
      <c r="F2683" s="990"/>
      <c r="G2683" s="990"/>
      <c r="H2683" s="990"/>
      <c r="I2683" s="990"/>
      <c r="J2683" s="990"/>
      <c r="K2683" s="990"/>
      <c r="L2683" s="990"/>
      <c r="M2683" s="990"/>
      <c r="N2683" s="990"/>
      <c r="O2683" s="990"/>
      <c r="P2683" s="990"/>
      <c r="Q2683" s="990"/>
      <c r="R2683" s="990"/>
      <c r="S2683" s="990"/>
      <c r="T2683" s="990"/>
      <c r="U2683" s="990"/>
      <c r="V2683" s="990"/>
      <c r="W2683" s="990"/>
      <c r="X2683" s="990"/>
    </row>
    <row r="2684" spans="1:24" s="896" customFormat="1" ht="51">
      <c r="A2684" s="987">
        <f t="shared" si="42"/>
        <v>2610</v>
      </c>
      <c r="B2684" s="988">
        <v>39497</v>
      </c>
      <c r="C2684" s="899" t="s">
        <v>12010</v>
      </c>
      <c r="D2684" s="988" t="s">
        <v>2666</v>
      </c>
      <c r="E2684" s="989">
        <v>700.96</v>
      </c>
      <c r="F2684" s="990"/>
      <c r="G2684" s="990"/>
      <c r="H2684" s="990"/>
      <c r="I2684" s="990"/>
      <c r="J2684" s="990"/>
      <c r="K2684" s="990"/>
      <c r="L2684" s="990"/>
      <c r="M2684" s="990"/>
      <c r="N2684" s="990"/>
      <c r="O2684" s="990"/>
      <c r="P2684" s="990"/>
      <c r="Q2684" s="990"/>
      <c r="R2684" s="990"/>
      <c r="S2684" s="990"/>
      <c r="T2684" s="990"/>
      <c r="U2684" s="990"/>
      <c r="V2684" s="990"/>
      <c r="W2684" s="990"/>
      <c r="X2684" s="990"/>
    </row>
    <row r="2685" spans="1:24" s="896" customFormat="1" ht="51">
      <c r="A2685" s="987">
        <f t="shared" si="42"/>
        <v>2611</v>
      </c>
      <c r="B2685" s="988">
        <v>39493</v>
      </c>
      <c r="C2685" s="899" t="s">
        <v>12011</v>
      </c>
      <c r="D2685" s="988" t="s">
        <v>2666</v>
      </c>
      <c r="E2685" s="989">
        <v>832.37</v>
      </c>
      <c r="F2685" s="990"/>
      <c r="G2685" s="990"/>
      <c r="H2685" s="990"/>
      <c r="I2685" s="990"/>
      <c r="J2685" s="990"/>
      <c r="K2685" s="990"/>
      <c r="L2685" s="990"/>
      <c r="M2685" s="990"/>
      <c r="N2685" s="990"/>
      <c r="O2685" s="990"/>
      <c r="P2685" s="990"/>
      <c r="Q2685" s="990"/>
      <c r="R2685" s="990"/>
      <c r="S2685" s="990"/>
      <c r="T2685" s="990"/>
      <c r="U2685" s="990"/>
      <c r="V2685" s="990"/>
      <c r="W2685" s="990"/>
      <c r="X2685" s="990"/>
    </row>
    <row r="2686" spans="1:24" s="896" customFormat="1" ht="38.25">
      <c r="A2686" s="987">
        <f t="shared" si="42"/>
        <v>2612</v>
      </c>
      <c r="B2686" s="988">
        <v>39500</v>
      </c>
      <c r="C2686" s="899" t="s">
        <v>12012</v>
      </c>
      <c r="D2686" s="988" t="s">
        <v>2666</v>
      </c>
      <c r="E2686" s="989">
        <v>908.18</v>
      </c>
      <c r="F2686" s="990"/>
      <c r="G2686" s="990"/>
      <c r="H2686" s="990"/>
      <c r="I2686" s="990"/>
      <c r="J2686" s="990"/>
      <c r="K2686" s="990"/>
      <c r="L2686" s="990"/>
      <c r="M2686" s="990"/>
      <c r="N2686" s="990"/>
      <c r="O2686" s="990"/>
      <c r="P2686" s="990"/>
      <c r="Q2686" s="990"/>
      <c r="R2686" s="990"/>
      <c r="S2686" s="990"/>
      <c r="T2686" s="990"/>
      <c r="U2686" s="990"/>
      <c r="V2686" s="990"/>
      <c r="W2686" s="990"/>
      <c r="X2686" s="990"/>
    </row>
    <row r="2687" spans="1:24" s="896" customFormat="1" ht="51">
      <c r="A2687" s="987">
        <f t="shared" si="42"/>
        <v>2613</v>
      </c>
      <c r="B2687" s="988">
        <v>39498</v>
      </c>
      <c r="C2687" s="899" t="s">
        <v>12013</v>
      </c>
      <c r="D2687" s="988" t="s">
        <v>2666</v>
      </c>
      <c r="E2687" s="989">
        <v>1120.0899999999999</v>
      </c>
      <c r="F2687" s="990"/>
      <c r="G2687" s="990"/>
      <c r="H2687" s="990"/>
      <c r="I2687" s="990"/>
      <c r="J2687" s="990"/>
      <c r="K2687" s="990"/>
      <c r="L2687" s="990"/>
      <c r="M2687" s="990"/>
      <c r="N2687" s="990"/>
      <c r="O2687" s="990"/>
      <c r="P2687" s="990"/>
      <c r="Q2687" s="990"/>
      <c r="R2687" s="990"/>
      <c r="S2687" s="990"/>
      <c r="T2687" s="990"/>
      <c r="U2687" s="990"/>
      <c r="V2687" s="990"/>
      <c r="W2687" s="990"/>
      <c r="X2687" s="990"/>
    </row>
    <row r="2688" spans="1:24" s="896" customFormat="1" ht="51">
      <c r="A2688" s="987">
        <f t="shared" si="42"/>
        <v>2614</v>
      </c>
      <c r="B2688" s="988">
        <v>43628</v>
      </c>
      <c r="C2688" s="899" t="s">
        <v>12014</v>
      </c>
      <c r="D2688" s="988" t="s">
        <v>2666</v>
      </c>
      <c r="E2688" s="989">
        <v>882.87</v>
      </c>
      <c r="F2688" s="990"/>
      <c r="G2688" s="990"/>
      <c r="H2688" s="990"/>
      <c r="I2688" s="990"/>
      <c r="J2688" s="990"/>
      <c r="K2688" s="990"/>
      <c r="L2688" s="990"/>
      <c r="M2688" s="990"/>
      <c r="N2688" s="990"/>
      <c r="O2688" s="990"/>
      <c r="P2688" s="990"/>
      <c r="Q2688" s="990"/>
      <c r="R2688" s="990"/>
      <c r="S2688" s="990"/>
      <c r="T2688" s="990"/>
      <c r="U2688" s="990"/>
      <c r="V2688" s="990"/>
      <c r="W2688" s="990"/>
      <c r="X2688" s="990"/>
    </row>
    <row r="2689" spans="1:24" s="896" customFormat="1" ht="38.25">
      <c r="A2689" s="987">
        <f t="shared" si="42"/>
        <v>2615</v>
      </c>
      <c r="B2689" s="988">
        <v>39501</v>
      </c>
      <c r="C2689" s="899" t="s">
        <v>12015</v>
      </c>
      <c r="D2689" s="988" t="s">
        <v>2666</v>
      </c>
      <c r="E2689" s="989">
        <v>932.78</v>
      </c>
      <c r="F2689" s="990"/>
      <c r="G2689" s="990"/>
      <c r="H2689" s="990"/>
      <c r="I2689" s="990"/>
      <c r="J2689" s="990"/>
      <c r="K2689" s="990"/>
      <c r="L2689" s="990"/>
      <c r="M2689" s="990"/>
      <c r="N2689" s="990"/>
      <c r="O2689" s="990"/>
      <c r="P2689" s="990"/>
      <c r="Q2689" s="990"/>
      <c r="R2689" s="990"/>
      <c r="S2689" s="990"/>
      <c r="T2689" s="990"/>
      <c r="U2689" s="990"/>
      <c r="V2689" s="990"/>
      <c r="W2689" s="990"/>
      <c r="X2689" s="990"/>
    </row>
    <row r="2690" spans="1:24" s="896" customFormat="1" ht="51">
      <c r="A2690" s="987">
        <f t="shared" si="42"/>
        <v>2616</v>
      </c>
      <c r="B2690" s="988">
        <v>39499</v>
      </c>
      <c r="C2690" s="899" t="s">
        <v>12016</v>
      </c>
      <c r="D2690" s="988" t="s">
        <v>2666</v>
      </c>
      <c r="E2690" s="989">
        <v>1135.99</v>
      </c>
      <c r="F2690" s="990"/>
      <c r="G2690" s="990"/>
      <c r="H2690" s="990"/>
      <c r="I2690" s="990"/>
      <c r="J2690" s="990"/>
      <c r="K2690" s="990"/>
      <c r="L2690" s="990"/>
      <c r="M2690" s="990"/>
      <c r="N2690" s="990"/>
      <c r="O2690" s="990"/>
      <c r="P2690" s="990"/>
      <c r="Q2690" s="990"/>
      <c r="R2690" s="990"/>
      <c r="S2690" s="990"/>
      <c r="T2690" s="990"/>
      <c r="U2690" s="990"/>
      <c r="V2690" s="990"/>
      <c r="W2690" s="990"/>
      <c r="X2690" s="990"/>
    </row>
    <row r="2691" spans="1:24" s="896" customFormat="1" ht="51">
      <c r="A2691" s="987">
        <f t="shared" si="42"/>
        <v>2617</v>
      </c>
      <c r="B2691" s="988">
        <v>43621</v>
      </c>
      <c r="C2691" s="899" t="s">
        <v>12017</v>
      </c>
      <c r="D2691" s="988" t="s">
        <v>2666</v>
      </c>
      <c r="E2691" s="989">
        <v>938.05</v>
      </c>
      <c r="F2691" s="990"/>
      <c r="G2691" s="990"/>
      <c r="H2691" s="990"/>
      <c r="I2691" s="990"/>
      <c r="J2691" s="990"/>
      <c r="K2691" s="990"/>
      <c r="L2691" s="990"/>
      <c r="M2691" s="990"/>
      <c r="N2691" s="990"/>
      <c r="O2691" s="990"/>
      <c r="P2691" s="990"/>
      <c r="Q2691" s="990"/>
      <c r="R2691" s="990"/>
      <c r="S2691" s="990"/>
      <c r="T2691" s="990"/>
      <c r="U2691" s="990"/>
      <c r="V2691" s="990"/>
      <c r="W2691" s="990"/>
      <c r="X2691" s="990"/>
    </row>
    <row r="2692" spans="1:24" s="896" customFormat="1" ht="25.5">
      <c r="A2692" s="987">
        <f t="shared" si="42"/>
        <v>2618</v>
      </c>
      <c r="B2692" s="988">
        <v>3733</v>
      </c>
      <c r="C2692" s="899" t="s">
        <v>12018</v>
      </c>
      <c r="D2692" s="988" t="s">
        <v>2667</v>
      </c>
      <c r="E2692" s="989">
        <v>53.86</v>
      </c>
      <c r="F2692" s="990"/>
      <c r="G2692" s="990"/>
      <c r="H2692" s="990"/>
      <c r="I2692" s="990"/>
      <c r="J2692" s="990"/>
      <c r="K2692" s="990"/>
      <c r="L2692" s="990"/>
      <c r="M2692" s="990"/>
      <c r="N2692" s="990"/>
      <c r="O2692" s="990"/>
      <c r="P2692" s="990"/>
      <c r="Q2692" s="990"/>
      <c r="R2692" s="990"/>
      <c r="S2692" s="990"/>
      <c r="T2692" s="990"/>
      <c r="U2692" s="990"/>
      <c r="V2692" s="990"/>
      <c r="W2692" s="990"/>
      <c r="X2692" s="990"/>
    </row>
    <row r="2693" spans="1:24" s="896" customFormat="1">
      <c r="A2693" s="987">
        <f t="shared" si="42"/>
        <v>2619</v>
      </c>
      <c r="B2693" s="988">
        <v>3731</v>
      </c>
      <c r="C2693" s="899" t="s">
        <v>12019</v>
      </c>
      <c r="D2693" s="988" t="s">
        <v>2667</v>
      </c>
      <c r="E2693" s="989">
        <v>50</v>
      </c>
      <c r="F2693" s="990"/>
      <c r="G2693" s="990"/>
      <c r="H2693" s="990"/>
      <c r="I2693" s="990"/>
      <c r="J2693" s="990"/>
      <c r="K2693" s="990"/>
      <c r="L2693" s="990"/>
      <c r="M2693" s="990"/>
      <c r="N2693" s="990"/>
      <c r="O2693" s="990"/>
      <c r="P2693" s="990"/>
      <c r="Q2693" s="990"/>
      <c r="R2693" s="990"/>
      <c r="S2693" s="990"/>
      <c r="T2693" s="990"/>
      <c r="U2693" s="990"/>
      <c r="V2693" s="990"/>
      <c r="W2693" s="990"/>
      <c r="X2693" s="990"/>
    </row>
    <row r="2694" spans="1:24" s="896" customFormat="1">
      <c r="A2694" s="987">
        <f t="shared" si="42"/>
        <v>2620</v>
      </c>
      <c r="B2694" s="988">
        <v>38137</v>
      </c>
      <c r="C2694" s="899" t="s">
        <v>12020</v>
      </c>
      <c r="D2694" s="988" t="s">
        <v>2667</v>
      </c>
      <c r="E2694" s="989">
        <v>50.29</v>
      </c>
      <c r="F2694" s="990"/>
      <c r="G2694" s="990"/>
      <c r="H2694" s="990"/>
      <c r="I2694" s="990"/>
      <c r="J2694" s="990"/>
      <c r="K2694" s="990"/>
      <c r="L2694" s="990"/>
      <c r="M2694" s="990"/>
      <c r="N2694" s="990"/>
      <c r="O2694" s="990"/>
      <c r="P2694" s="990"/>
      <c r="Q2694" s="990"/>
      <c r="R2694" s="990"/>
      <c r="S2694" s="990"/>
      <c r="T2694" s="990"/>
      <c r="U2694" s="990"/>
      <c r="V2694" s="990"/>
      <c r="W2694" s="990"/>
      <c r="X2694" s="990"/>
    </row>
    <row r="2695" spans="1:24" s="896" customFormat="1">
      <c r="A2695" s="987">
        <f t="shared" si="42"/>
        <v>2621</v>
      </c>
      <c r="B2695" s="988">
        <v>38135</v>
      </c>
      <c r="C2695" s="899" t="s">
        <v>12021</v>
      </c>
      <c r="D2695" s="988" t="s">
        <v>2667</v>
      </c>
      <c r="E2695" s="989">
        <v>63.75</v>
      </c>
      <c r="F2695" s="990"/>
      <c r="G2695" s="990"/>
      <c r="H2695" s="990"/>
      <c r="I2695" s="990"/>
      <c r="J2695" s="990"/>
      <c r="K2695" s="990"/>
      <c r="L2695" s="990"/>
      <c r="M2695" s="990"/>
      <c r="N2695" s="990"/>
      <c r="O2695" s="990"/>
      <c r="P2695" s="990"/>
      <c r="Q2695" s="990"/>
      <c r="R2695" s="990"/>
      <c r="S2695" s="990"/>
      <c r="T2695" s="990"/>
      <c r="U2695" s="990"/>
      <c r="V2695" s="990"/>
      <c r="W2695" s="990"/>
      <c r="X2695" s="990"/>
    </row>
    <row r="2696" spans="1:24" s="896" customFormat="1">
      <c r="A2696" s="987">
        <f t="shared" si="42"/>
        <v>2622</v>
      </c>
      <c r="B2696" s="988">
        <v>38138</v>
      </c>
      <c r="C2696" s="899" t="s">
        <v>12022</v>
      </c>
      <c r="D2696" s="988" t="s">
        <v>2667</v>
      </c>
      <c r="E2696" s="989">
        <v>49.39</v>
      </c>
      <c r="F2696" s="990"/>
      <c r="G2696" s="990"/>
      <c r="H2696" s="990"/>
      <c r="I2696" s="990"/>
      <c r="J2696" s="990"/>
      <c r="K2696" s="990"/>
      <c r="L2696" s="990"/>
      <c r="M2696" s="990"/>
      <c r="N2696" s="990"/>
      <c r="O2696" s="990"/>
      <c r="P2696" s="990"/>
      <c r="Q2696" s="990"/>
      <c r="R2696" s="990"/>
      <c r="S2696" s="990"/>
      <c r="T2696" s="990"/>
      <c r="U2696" s="990"/>
      <c r="V2696" s="990"/>
      <c r="W2696" s="990"/>
      <c r="X2696" s="990"/>
    </row>
    <row r="2697" spans="1:24" s="896" customFormat="1" ht="25.5">
      <c r="A2697" s="987">
        <f t="shared" si="42"/>
        <v>2623</v>
      </c>
      <c r="B2697" s="988">
        <v>3736</v>
      </c>
      <c r="C2697" s="899" t="s">
        <v>12023</v>
      </c>
      <c r="D2697" s="988" t="s">
        <v>2667</v>
      </c>
      <c r="E2697" s="989">
        <v>49.75</v>
      </c>
      <c r="F2697" s="990"/>
      <c r="G2697" s="990"/>
      <c r="H2697" s="990"/>
      <c r="I2697" s="990"/>
      <c r="J2697" s="990"/>
      <c r="K2697" s="990"/>
      <c r="L2697" s="990"/>
      <c r="M2697" s="990"/>
      <c r="N2697" s="990"/>
      <c r="O2697" s="990"/>
      <c r="P2697" s="990"/>
      <c r="Q2697" s="990"/>
      <c r="R2697" s="990"/>
      <c r="S2697" s="990"/>
      <c r="T2697" s="990"/>
      <c r="U2697" s="990"/>
      <c r="V2697" s="990"/>
      <c r="W2697" s="990"/>
      <c r="X2697" s="990"/>
    </row>
    <row r="2698" spans="1:24" s="896" customFormat="1" ht="25.5">
      <c r="A2698" s="987">
        <f t="shared" si="42"/>
        <v>2624</v>
      </c>
      <c r="B2698" s="988">
        <v>3741</v>
      </c>
      <c r="C2698" s="899" t="s">
        <v>12024</v>
      </c>
      <c r="D2698" s="988" t="s">
        <v>2667</v>
      </c>
      <c r="E2698" s="989">
        <v>51.86</v>
      </c>
      <c r="F2698" s="990"/>
      <c r="G2698" s="990"/>
      <c r="H2698" s="990"/>
      <c r="I2698" s="990"/>
      <c r="J2698" s="990"/>
      <c r="K2698" s="990"/>
      <c r="L2698" s="990"/>
      <c r="M2698" s="990"/>
      <c r="N2698" s="990"/>
      <c r="O2698" s="990"/>
      <c r="P2698" s="990"/>
      <c r="Q2698" s="990"/>
      <c r="R2698" s="990"/>
      <c r="S2698" s="990"/>
      <c r="T2698" s="990"/>
      <c r="U2698" s="990"/>
      <c r="V2698" s="990"/>
      <c r="W2698" s="990"/>
      <c r="X2698" s="990"/>
    </row>
    <row r="2699" spans="1:24" s="896" customFormat="1" ht="25.5">
      <c r="A2699" s="987">
        <f t="shared" si="42"/>
        <v>2625</v>
      </c>
      <c r="B2699" s="988">
        <v>3745</v>
      </c>
      <c r="C2699" s="899" t="s">
        <v>12025</v>
      </c>
      <c r="D2699" s="988" t="s">
        <v>2667</v>
      </c>
      <c r="E2699" s="989">
        <v>55.92</v>
      </c>
      <c r="F2699" s="990"/>
      <c r="G2699" s="990"/>
      <c r="H2699" s="990"/>
      <c r="I2699" s="990"/>
      <c r="J2699" s="990"/>
      <c r="K2699" s="990"/>
      <c r="L2699" s="990"/>
      <c r="M2699" s="990"/>
      <c r="N2699" s="990"/>
      <c r="O2699" s="990"/>
      <c r="P2699" s="990"/>
      <c r="Q2699" s="990"/>
      <c r="R2699" s="990"/>
      <c r="S2699" s="990"/>
      <c r="T2699" s="990"/>
      <c r="U2699" s="990"/>
      <c r="V2699" s="990"/>
      <c r="W2699" s="990"/>
      <c r="X2699" s="990"/>
    </row>
    <row r="2700" spans="1:24" s="896" customFormat="1" ht="25.5">
      <c r="A2700" s="987">
        <f t="shared" ref="A2700:A2763" si="43">A2699+1</f>
        <v>2626</v>
      </c>
      <c r="B2700" s="988">
        <v>3743</v>
      </c>
      <c r="C2700" s="899" t="s">
        <v>12026</v>
      </c>
      <c r="D2700" s="988" t="s">
        <v>2667</v>
      </c>
      <c r="E2700" s="989">
        <v>51.67</v>
      </c>
      <c r="F2700" s="990"/>
      <c r="G2700" s="990"/>
      <c r="H2700" s="990"/>
      <c r="I2700" s="990"/>
      <c r="J2700" s="990"/>
      <c r="K2700" s="990"/>
      <c r="L2700" s="990"/>
      <c r="M2700" s="990"/>
      <c r="N2700" s="990"/>
      <c r="O2700" s="990"/>
      <c r="P2700" s="990"/>
      <c r="Q2700" s="990"/>
      <c r="R2700" s="990"/>
      <c r="S2700" s="990"/>
      <c r="T2700" s="990"/>
      <c r="U2700" s="990"/>
      <c r="V2700" s="990"/>
      <c r="W2700" s="990"/>
      <c r="X2700" s="990"/>
    </row>
    <row r="2701" spans="1:24" s="896" customFormat="1" ht="25.5">
      <c r="A2701" s="987">
        <f t="shared" si="43"/>
        <v>2627</v>
      </c>
      <c r="B2701" s="988">
        <v>3744</v>
      </c>
      <c r="C2701" s="899" t="s">
        <v>12027</v>
      </c>
      <c r="D2701" s="988" t="s">
        <v>2667</v>
      </c>
      <c r="E2701" s="989">
        <v>56.88</v>
      </c>
      <c r="F2701" s="990"/>
      <c r="G2701" s="990"/>
      <c r="H2701" s="990"/>
      <c r="I2701" s="990"/>
      <c r="J2701" s="990"/>
      <c r="K2701" s="990"/>
      <c r="L2701" s="990"/>
      <c r="M2701" s="990"/>
      <c r="N2701" s="990"/>
      <c r="O2701" s="990"/>
      <c r="P2701" s="990"/>
      <c r="Q2701" s="990"/>
      <c r="R2701" s="990"/>
      <c r="S2701" s="990"/>
      <c r="T2701" s="990"/>
      <c r="U2701" s="990"/>
      <c r="V2701" s="990"/>
      <c r="W2701" s="990"/>
      <c r="X2701" s="990"/>
    </row>
    <row r="2702" spans="1:24" s="896" customFormat="1" ht="25.5">
      <c r="A2702" s="987">
        <f t="shared" si="43"/>
        <v>2628</v>
      </c>
      <c r="B2702" s="988">
        <v>3739</v>
      </c>
      <c r="C2702" s="899" t="s">
        <v>12028</v>
      </c>
      <c r="D2702" s="988" t="s">
        <v>2667</v>
      </c>
      <c r="E2702" s="989">
        <v>59.77</v>
      </c>
      <c r="F2702" s="990"/>
      <c r="G2702" s="990"/>
      <c r="H2702" s="990"/>
      <c r="I2702" s="990"/>
      <c r="J2702" s="990"/>
      <c r="K2702" s="990"/>
      <c r="L2702" s="990"/>
      <c r="M2702" s="990"/>
      <c r="N2702" s="990"/>
      <c r="O2702" s="990"/>
      <c r="P2702" s="990"/>
      <c r="Q2702" s="990"/>
      <c r="R2702" s="990"/>
      <c r="S2702" s="990"/>
      <c r="T2702" s="990"/>
      <c r="U2702" s="990"/>
      <c r="V2702" s="990"/>
      <c r="W2702" s="990"/>
      <c r="X2702" s="990"/>
    </row>
    <row r="2703" spans="1:24" s="896" customFormat="1" ht="25.5">
      <c r="A2703" s="987">
        <f t="shared" si="43"/>
        <v>2629</v>
      </c>
      <c r="B2703" s="988">
        <v>3737</v>
      </c>
      <c r="C2703" s="899" t="s">
        <v>12029</v>
      </c>
      <c r="D2703" s="988" t="s">
        <v>2667</v>
      </c>
      <c r="E2703" s="989">
        <v>62.66</v>
      </c>
      <c r="F2703" s="990"/>
      <c r="G2703" s="990"/>
      <c r="H2703" s="990"/>
      <c r="I2703" s="990"/>
      <c r="J2703" s="990"/>
      <c r="K2703" s="990"/>
      <c r="L2703" s="990"/>
      <c r="M2703" s="990"/>
      <c r="N2703" s="990"/>
      <c r="O2703" s="990"/>
      <c r="P2703" s="990"/>
      <c r="Q2703" s="990"/>
      <c r="R2703" s="990"/>
      <c r="S2703" s="990"/>
      <c r="T2703" s="990"/>
      <c r="U2703" s="990"/>
      <c r="V2703" s="990"/>
      <c r="W2703" s="990"/>
      <c r="X2703" s="990"/>
    </row>
    <row r="2704" spans="1:24" s="896" customFormat="1" ht="25.5">
      <c r="A2704" s="987">
        <f t="shared" si="43"/>
        <v>2630</v>
      </c>
      <c r="B2704" s="988">
        <v>3738</v>
      </c>
      <c r="C2704" s="899" t="s">
        <v>12030</v>
      </c>
      <c r="D2704" s="988" t="s">
        <v>2667</v>
      </c>
      <c r="E2704" s="989">
        <v>72.31</v>
      </c>
      <c r="F2704" s="990"/>
      <c r="G2704" s="990"/>
      <c r="H2704" s="990"/>
      <c r="I2704" s="990"/>
      <c r="J2704" s="990"/>
      <c r="K2704" s="990"/>
      <c r="L2704" s="990"/>
      <c r="M2704" s="990"/>
      <c r="N2704" s="990"/>
      <c r="O2704" s="990"/>
      <c r="P2704" s="990"/>
      <c r="Q2704" s="990"/>
      <c r="R2704" s="990"/>
      <c r="S2704" s="990"/>
      <c r="T2704" s="990"/>
      <c r="U2704" s="990"/>
      <c r="V2704" s="990"/>
      <c r="W2704" s="990"/>
      <c r="X2704" s="990"/>
    </row>
    <row r="2705" spans="1:24" s="896" customFormat="1" ht="25.5">
      <c r="A2705" s="987">
        <f t="shared" si="43"/>
        <v>2631</v>
      </c>
      <c r="B2705" s="988">
        <v>3747</v>
      </c>
      <c r="C2705" s="899" t="s">
        <v>12031</v>
      </c>
      <c r="D2705" s="988" t="s">
        <v>2667</v>
      </c>
      <c r="E2705" s="989">
        <v>56.88</v>
      </c>
      <c r="F2705" s="990"/>
      <c r="G2705" s="990"/>
      <c r="H2705" s="990"/>
      <c r="I2705" s="990"/>
      <c r="J2705" s="990"/>
      <c r="K2705" s="990"/>
      <c r="L2705" s="990"/>
      <c r="M2705" s="990"/>
      <c r="N2705" s="990"/>
      <c r="O2705" s="990"/>
      <c r="P2705" s="990"/>
      <c r="Q2705" s="990"/>
      <c r="R2705" s="990"/>
      <c r="S2705" s="990"/>
      <c r="T2705" s="990"/>
      <c r="U2705" s="990"/>
      <c r="V2705" s="990"/>
      <c r="W2705" s="990"/>
      <c r="X2705" s="990"/>
    </row>
    <row r="2706" spans="1:24" s="896" customFormat="1" ht="25.5">
      <c r="A2706" s="987">
        <f t="shared" si="43"/>
        <v>2632</v>
      </c>
      <c r="B2706" s="988">
        <v>11649</v>
      </c>
      <c r="C2706" s="899" t="s">
        <v>12032</v>
      </c>
      <c r="D2706" s="988" t="s">
        <v>2666</v>
      </c>
      <c r="E2706" s="989">
        <v>412.65</v>
      </c>
      <c r="F2706" s="990"/>
      <c r="G2706" s="990"/>
      <c r="H2706" s="990"/>
      <c r="I2706" s="990"/>
      <c r="J2706" s="990"/>
      <c r="K2706" s="990"/>
      <c r="L2706" s="990"/>
      <c r="M2706" s="990"/>
      <c r="N2706" s="990"/>
      <c r="O2706" s="990"/>
      <c r="P2706" s="990"/>
      <c r="Q2706" s="990"/>
      <c r="R2706" s="990"/>
      <c r="S2706" s="990"/>
      <c r="T2706" s="990"/>
      <c r="U2706" s="990"/>
      <c r="V2706" s="990"/>
      <c r="W2706" s="990"/>
      <c r="X2706" s="990"/>
    </row>
    <row r="2707" spans="1:24" s="896" customFormat="1" ht="25.5">
      <c r="A2707" s="987">
        <f t="shared" si="43"/>
        <v>2633</v>
      </c>
      <c r="B2707" s="988">
        <v>11650</v>
      </c>
      <c r="C2707" s="899" t="s">
        <v>12033</v>
      </c>
      <c r="D2707" s="988" t="s">
        <v>2666</v>
      </c>
      <c r="E2707" s="989">
        <v>703.34</v>
      </c>
      <c r="F2707" s="990"/>
      <c r="G2707" s="990"/>
      <c r="H2707" s="990"/>
      <c r="I2707" s="990"/>
      <c r="J2707" s="990"/>
      <c r="K2707" s="990"/>
      <c r="L2707" s="990"/>
      <c r="M2707" s="990"/>
      <c r="N2707" s="990"/>
      <c r="O2707" s="990"/>
      <c r="P2707" s="990"/>
      <c r="Q2707" s="990"/>
      <c r="R2707" s="990"/>
      <c r="S2707" s="990"/>
      <c r="T2707" s="990"/>
      <c r="U2707" s="990"/>
      <c r="V2707" s="990"/>
      <c r="W2707" s="990"/>
      <c r="X2707" s="990"/>
    </row>
    <row r="2708" spans="1:24" s="896" customFormat="1" ht="25.5">
      <c r="A2708" s="987">
        <f t="shared" si="43"/>
        <v>2634</v>
      </c>
      <c r="B2708" s="988">
        <v>3742</v>
      </c>
      <c r="C2708" s="899" t="s">
        <v>12034</v>
      </c>
      <c r="D2708" s="988" t="s">
        <v>2667</v>
      </c>
      <c r="E2708" s="989">
        <v>75.010000000000005</v>
      </c>
      <c r="F2708" s="990"/>
      <c r="G2708" s="990"/>
      <c r="H2708" s="990"/>
      <c r="I2708" s="990"/>
      <c r="J2708" s="990"/>
      <c r="K2708" s="990"/>
      <c r="L2708" s="990"/>
      <c r="M2708" s="990"/>
      <c r="N2708" s="990"/>
      <c r="O2708" s="990"/>
      <c r="P2708" s="990"/>
      <c r="Q2708" s="990"/>
      <c r="R2708" s="990"/>
      <c r="S2708" s="990"/>
      <c r="T2708" s="990"/>
      <c r="U2708" s="990"/>
      <c r="V2708" s="990"/>
      <c r="W2708" s="990"/>
      <c r="X2708" s="990"/>
    </row>
    <row r="2709" spans="1:24" s="896" customFormat="1" ht="25.5">
      <c r="A2709" s="987">
        <f t="shared" si="43"/>
        <v>2635</v>
      </c>
      <c r="B2709" s="988">
        <v>3746</v>
      </c>
      <c r="C2709" s="899" t="s">
        <v>12035</v>
      </c>
      <c r="D2709" s="988" t="s">
        <v>2667</v>
      </c>
      <c r="E2709" s="989">
        <v>87.58</v>
      </c>
      <c r="F2709" s="990"/>
      <c r="G2709" s="990"/>
      <c r="H2709" s="990"/>
      <c r="I2709" s="990"/>
      <c r="J2709" s="990"/>
      <c r="K2709" s="990"/>
      <c r="L2709" s="990"/>
      <c r="M2709" s="990"/>
      <c r="N2709" s="990"/>
      <c r="O2709" s="990"/>
      <c r="P2709" s="990"/>
      <c r="Q2709" s="990"/>
      <c r="R2709" s="990"/>
      <c r="S2709" s="990"/>
      <c r="T2709" s="990"/>
      <c r="U2709" s="990"/>
      <c r="V2709" s="990"/>
      <c r="W2709" s="990"/>
      <c r="X2709" s="990"/>
    </row>
    <row r="2710" spans="1:24" s="896" customFormat="1" ht="25.5">
      <c r="A2710" s="987">
        <f t="shared" si="43"/>
        <v>2636</v>
      </c>
      <c r="B2710" s="988">
        <v>21106</v>
      </c>
      <c r="C2710" s="899" t="s">
        <v>12036</v>
      </c>
      <c r="D2710" s="988" t="s">
        <v>2670</v>
      </c>
      <c r="E2710" s="989">
        <v>38.68</v>
      </c>
      <c r="F2710" s="990"/>
      <c r="G2710" s="990"/>
      <c r="H2710" s="990"/>
      <c r="I2710" s="990"/>
      <c r="J2710" s="990"/>
      <c r="K2710" s="990"/>
      <c r="L2710" s="990"/>
      <c r="M2710" s="990"/>
      <c r="N2710" s="990"/>
      <c r="O2710" s="990"/>
      <c r="P2710" s="990"/>
      <c r="Q2710" s="990"/>
      <c r="R2710" s="990"/>
      <c r="S2710" s="990"/>
      <c r="T2710" s="990"/>
      <c r="U2710" s="990"/>
      <c r="V2710" s="990"/>
      <c r="W2710" s="990"/>
      <c r="X2710" s="990"/>
    </row>
    <row r="2711" spans="1:24" s="896" customFormat="1">
      <c r="A2711" s="987">
        <f t="shared" si="43"/>
        <v>2637</v>
      </c>
      <c r="B2711" s="988">
        <v>3755</v>
      </c>
      <c r="C2711" s="899" t="s">
        <v>12037</v>
      </c>
      <c r="D2711" s="988" t="s">
        <v>2666</v>
      </c>
      <c r="E2711" s="989">
        <v>27.3</v>
      </c>
      <c r="F2711" s="990"/>
      <c r="G2711" s="990"/>
      <c r="H2711" s="990"/>
      <c r="I2711" s="990"/>
      <c r="J2711" s="990"/>
      <c r="K2711" s="990"/>
      <c r="L2711" s="990"/>
      <c r="M2711" s="990"/>
      <c r="N2711" s="990"/>
      <c r="O2711" s="990"/>
      <c r="P2711" s="990"/>
      <c r="Q2711" s="990"/>
      <c r="R2711" s="990"/>
      <c r="S2711" s="990"/>
      <c r="T2711" s="990"/>
      <c r="U2711" s="990"/>
      <c r="V2711" s="990"/>
      <c r="W2711" s="990"/>
      <c r="X2711" s="990"/>
    </row>
    <row r="2712" spans="1:24" s="896" customFormat="1">
      <c r="A2712" s="987">
        <f t="shared" si="43"/>
        <v>2638</v>
      </c>
      <c r="B2712" s="988">
        <v>3750</v>
      </c>
      <c r="C2712" s="899" t="s">
        <v>12038</v>
      </c>
      <c r="D2712" s="988" t="s">
        <v>2666</v>
      </c>
      <c r="E2712" s="989">
        <v>36.71</v>
      </c>
      <c r="F2712" s="990"/>
      <c r="G2712" s="990"/>
      <c r="H2712" s="990"/>
      <c r="I2712" s="990"/>
      <c r="J2712" s="990"/>
      <c r="K2712" s="990"/>
      <c r="L2712" s="990"/>
      <c r="M2712" s="990"/>
      <c r="N2712" s="990"/>
      <c r="O2712" s="990"/>
      <c r="P2712" s="990"/>
      <c r="Q2712" s="990"/>
      <c r="R2712" s="990"/>
      <c r="S2712" s="990"/>
      <c r="T2712" s="990"/>
      <c r="U2712" s="990"/>
      <c r="V2712" s="990"/>
      <c r="W2712" s="990"/>
      <c r="X2712" s="990"/>
    </row>
    <row r="2713" spans="1:24" s="896" customFormat="1">
      <c r="A2713" s="987">
        <f t="shared" si="43"/>
        <v>2639</v>
      </c>
      <c r="B2713" s="988">
        <v>3756</v>
      </c>
      <c r="C2713" s="899" t="s">
        <v>12039</v>
      </c>
      <c r="D2713" s="988" t="s">
        <v>2666</v>
      </c>
      <c r="E2713" s="989">
        <v>68.599999999999994</v>
      </c>
      <c r="F2713" s="990"/>
      <c r="G2713" s="990"/>
      <c r="H2713" s="990"/>
      <c r="I2713" s="990"/>
      <c r="J2713" s="990"/>
      <c r="K2713" s="990"/>
      <c r="L2713" s="990"/>
      <c r="M2713" s="990"/>
      <c r="N2713" s="990"/>
      <c r="O2713" s="990"/>
      <c r="P2713" s="990"/>
      <c r="Q2713" s="990"/>
      <c r="R2713" s="990"/>
      <c r="S2713" s="990"/>
      <c r="T2713" s="990"/>
      <c r="U2713" s="990"/>
      <c r="V2713" s="990"/>
      <c r="W2713" s="990"/>
      <c r="X2713" s="990"/>
    </row>
    <row r="2714" spans="1:24" s="896" customFormat="1">
      <c r="A2714" s="987">
        <f t="shared" si="43"/>
        <v>2640</v>
      </c>
      <c r="B2714" s="988">
        <v>39377</v>
      </c>
      <c r="C2714" s="899" t="s">
        <v>12040</v>
      </c>
      <c r="D2714" s="988" t="s">
        <v>2666</v>
      </c>
      <c r="E2714" s="989">
        <v>203.22</v>
      </c>
      <c r="F2714" s="990"/>
      <c r="G2714" s="990"/>
      <c r="H2714" s="990"/>
      <c r="I2714" s="990"/>
      <c r="J2714" s="990"/>
      <c r="K2714" s="990"/>
      <c r="L2714" s="990"/>
      <c r="M2714" s="990"/>
      <c r="N2714" s="990"/>
      <c r="O2714" s="990"/>
      <c r="P2714" s="990"/>
      <c r="Q2714" s="990"/>
      <c r="R2714" s="990"/>
      <c r="S2714" s="990"/>
      <c r="T2714" s="990"/>
      <c r="U2714" s="990"/>
      <c r="V2714" s="990"/>
      <c r="W2714" s="990"/>
      <c r="X2714" s="990"/>
    </row>
    <row r="2715" spans="1:24" s="896" customFormat="1">
      <c r="A2715" s="987">
        <f t="shared" si="43"/>
        <v>2641</v>
      </c>
      <c r="B2715" s="988">
        <v>38191</v>
      </c>
      <c r="C2715" s="899" t="s">
        <v>12041</v>
      </c>
      <c r="D2715" s="988" t="s">
        <v>2666</v>
      </c>
      <c r="E2715" s="989">
        <v>15.13</v>
      </c>
      <c r="F2715" s="990"/>
      <c r="G2715" s="990"/>
      <c r="H2715" s="990"/>
      <c r="I2715" s="990"/>
      <c r="J2715" s="990"/>
      <c r="K2715" s="990"/>
      <c r="L2715" s="990"/>
      <c r="M2715" s="990"/>
      <c r="N2715" s="990"/>
      <c r="O2715" s="990"/>
      <c r="P2715" s="990"/>
      <c r="Q2715" s="990"/>
      <c r="R2715" s="990"/>
      <c r="S2715" s="990"/>
      <c r="T2715" s="990"/>
      <c r="U2715" s="990"/>
      <c r="V2715" s="990"/>
      <c r="W2715" s="990"/>
      <c r="X2715" s="990"/>
    </row>
    <row r="2716" spans="1:24" s="896" customFormat="1">
      <c r="A2716" s="987">
        <f t="shared" si="43"/>
        <v>2642</v>
      </c>
      <c r="B2716" s="988">
        <v>39381</v>
      </c>
      <c r="C2716" s="899" t="s">
        <v>12042</v>
      </c>
      <c r="D2716" s="988" t="s">
        <v>2666</v>
      </c>
      <c r="E2716" s="989">
        <v>14.11</v>
      </c>
      <c r="F2716" s="990"/>
      <c r="G2716" s="990"/>
      <c r="H2716" s="990"/>
      <c r="I2716" s="990"/>
      <c r="J2716" s="990"/>
      <c r="K2716" s="990"/>
      <c r="L2716" s="990"/>
      <c r="M2716" s="990"/>
      <c r="N2716" s="990"/>
      <c r="O2716" s="990"/>
      <c r="P2716" s="990"/>
      <c r="Q2716" s="990"/>
      <c r="R2716" s="990"/>
      <c r="S2716" s="990"/>
      <c r="T2716" s="990"/>
      <c r="U2716" s="990"/>
      <c r="V2716" s="990"/>
      <c r="W2716" s="990"/>
      <c r="X2716" s="990"/>
    </row>
    <row r="2717" spans="1:24" s="896" customFormat="1">
      <c r="A2717" s="987">
        <f t="shared" si="43"/>
        <v>2643</v>
      </c>
      <c r="B2717" s="988">
        <v>38780</v>
      </c>
      <c r="C2717" s="899" t="s">
        <v>12043</v>
      </c>
      <c r="D2717" s="988" t="s">
        <v>2666</v>
      </c>
      <c r="E2717" s="989">
        <v>17.260000000000002</v>
      </c>
      <c r="F2717" s="990"/>
      <c r="G2717" s="990"/>
      <c r="H2717" s="990"/>
      <c r="I2717" s="990"/>
      <c r="J2717" s="990"/>
      <c r="K2717" s="990"/>
      <c r="L2717" s="990"/>
      <c r="M2717" s="990"/>
      <c r="N2717" s="990"/>
      <c r="O2717" s="990"/>
      <c r="P2717" s="990"/>
      <c r="Q2717" s="990"/>
      <c r="R2717" s="990"/>
      <c r="S2717" s="990"/>
      <c r="T2717" s="990"/>
      <c r="U2717" s="990"/>
      <c r="V2717" s="990"/>
      <c r="W2717" s="990"/>
      <c r="X2717" s="990"/>
    </row>
    <row r="2718" spans="1:24" s="896" customFormat="1">
      <c r="A2718" s="987">
        <f t="shared" si="43"/>
        <v>2644</v>
      </c>
      <c r="B2718" s="988">
        <v>38781</v>
      </c>
      <c r="C2718" s="899" t="s">
        <v>12044</v>
      </c>
      <c r="D2718" s="988" t="s">
        <v>2666</v>
      </c>
      <c r="E2718" s="989">
        <v>58.29</v>
      </c>
      <c r="F2718" s="990"/>
      <c r="G2718" s="990"/>
      <c r="H2718" s="990"/>
      <c r="I2718" s="990"/>
      <c r="J2718" s="990"/>
      <c r="K2718" s="990"/>
      <c r="L2718" s="990"/>
      <c r="M2718" s="990"/>
      <c r="N2718" s="990"/>
      <c r="O2718" s="990"/>
      <c r="P2718" s="990"/>
      <c r="Q2718" s="990"/>
      <c r="R2718" s="990"/>
      <c r="S2718" s="990"/>
      <c r="T2718" s="990"/>
      <c r="U2718" s="990"/>
      <c r="V2718" s="990"/>
      <c r="W2718" s="990"/>
      <c r="X2718" s="990"/>
    </row>
    <row r="2719" spans="1:24" s="896" customFormat="1">
      <c r="A2719" s="987">
        <f t="shared" si="43"/>
        <v>2645</v>
      </c>
      <c r="B2719" s="988">
        <v>38192</v>
      </c>
      <c r="C2719" s="899" t="s">
        <v>12045</v>
      </c>
      <c r="D2719" s="988" t="s">
        <v>2666</v>
      </c>
      <c r="E2719" s="989">
        <v>105.47</v>
      </c>
      <c r="F2719" s="990"/>
      <c r="G2719" s="990"/>
      <c r="H2719" s="990"/>
      <c r="I2719" s="990"/>
      <c r="J2719" s="990"/>
      <c r="K2719" s="990"/>
      <c r="L2719" s="990"/>
      <c r="M2719" s="990"/>
      <c r="N2719" s="990"/>
      <c r="O2719" s="990"/>
      <c r="P2719" s="990"/>
      <c r="Q2719" s="990"/>
      <c r="R2719" s="990"/>
      <c r="S2719" s="990"/>
      <c r="T2719" s="990"/>
      <c r="U2719" s="990"/>
      <c r="V2719" s="990"/>
      <c r="W2719" s="990"/>
      <c r="X2719" s="990"/>
    </row>
    <row r="2720" spans="1:24" s="896" customFormat="1">
      <c r="A2720" s="987">
        <f t="shared" si="43"/>
        <v>2646</v>
      </c>
      <c r="B2720" s="988">
        <v>3753</v>
      </c>
      <c r="C2720" s="899" t="s">
        <v>12046</v>
      </c>
      <c r="D2720" s="988" t="s">
        <v>2666</v>
      </c>
      <c r="E2720" s="989">
        <v>9.23</v>
      </c>
      <c r="F2720" s="990"/>
      <c r="G2720" s="990"/>
      <c r="H2720" s="990"/>
      <c r="I2720" s="990"/>
      <c r="J2720" s="990"/>
      <c r="K2720" s="990"/>
      <c r="L2720" s="990"/>
      <c r="M2720" s="990"/>
      <c r="N2720" s="990"/>
      <c r="O2720" s="990"/>
      <c r="P2720" s="990"/>
      <c r="Q2720" s="990"/>
      <c r="R2720" s="990"/>
      <c r="S2720" s="990"/>
      <c r="T2720" s="990"/>
      <c r="U2720" s="990"/>
      <c r="V2720" s="990"/>
      <c r="W2720" s="990"/>
      <c r="X2720" s="990"/>
    </row>
    <row r="2721" spans="1:24" s="896" customFormat="1">
      <c r="A2721" s="987">
        <f t="shared" si="43"/>
        <v>2647</v>
      </c>
      <c r="B2721" s="988">
        <v>38782</v>
      </c>
      <c r="C2721" s="899" t="s">
        <v>12047</v>
      </c>
      <c r="D2721" s="988" t="s">
        <v>2666</v>
      </c>
      <c r="E2721" s="989">
        <v>12.02</v>
      </c>
      <c r="F2721" s="990"/>
      <c r="G2721" s="990"/>
      <c r="H2721" s="990"/>
      <c r="I2721" s="990"/>
      <c r="J2721" s="990"/>
      <c r="K2721" s="990"/>
      <c r="L2721" s="990"/>
      <c r="M2721" s="990"/>
      <c r="N2721" s="990"/>
      <c r="O2721" s="990"/>
      <c r="P2721" s="990"/>
      <c r="Q2721" s="990"/>
      <c r="R2721" s="990"/>
      <c r="S2721" s="990"/>
      <c r="T2721" s="990"/>
      <c r="U2721" s="990"/>
      <c r="V2721" s="990"/>
      <c r="W2721" s="990"/>
      <c r="X2721" s="990"/>
    </row>
    <row r="2722" spans="1:24" s="896" customFormat="1">
      <c r="A2722" s="987">
        <f t="shared" si="43"/>
        <v>2648</v>
      </c>
      <c r="B2722" s="988">
        <v>38778</v>
      </c>
      <c r="C2722" s="899" t="s">
        <v>12048</v>
      </c>
      <c r="D2722" s="988" t="s">
        <v>2666</v>
      </c>
      <c r="E2722" s="989">
        <v>9.02</v>
      </c>
      <c r="F2722" s="990"/>
      <c r="G2722" s="990"/>
      <c r="H2722" s="990"/>
      <c r="I2722" s="990"/>
      <c r="J2722" s="990"/>
      <c r="K2722" s="990"/>
      <c r="L2722" s="990"/>
      <c r="M2722" s="990"/>
      <c r="N2722" s="990"/>
      <c r="O2722" s="990"/>
      <c r="P2722" s="990"/>
      <c r="Q2722" s="990"/>
      <c r="R2722" s="990"/>
      <c r="S2722" s="990"/>
      <c r="T2722" s="990"/>
      <c r="U2722" s="990"/>
      <c r="V2722" s="990"/>
      <c r="W2722" s="990"/>
      <c r="X2722" s="990"/>
    </row>
    <row r="2723" spans="1:24" s="896" customFormat="1">
      <c r="A2723" s="987">
        <f t="shared" si="43"/>
        <v>2649</v>
      </c>
      <c r="B2723" s="988">
        <v>38779</v>
      </c>
      <c r="C2723" s="899" t="s">
        <v>12049</v>
      </c>
      <c r="D2723" s="988" t="s">
        <v>2666</v>
      </c>
      <c r="E2723" s="989">
        <v>9.56</v>
      </c>
      <c r="F2723" s="990"/>
      <c r="G2723" s="990"/>
      <c r="H2723" s="990"/>
      <c r="I2723" s="990"/>
      <c r="J2723" s="990"/>
      <c r="K2723" s="990"/>
      <c r="L2723" s="990"/>
      <c r="M2723" s="990"/>
      <c r="N2723" s="990"/>
      <c r="O2723" s="990"/>
      <c r="P2723" s="990"/>
      <c r="Q2723" s="990"/>
      <c r="R2723" s="990"/>
      <c r="S2723" s="990"/>
      <c r="T2723" s="990"/>
      <c r="U2723" s="990"/>
      <c r="V2723" s="990"/>
      <c r="W2723" s="990"/>
      <c r="X2723" s="990"/>
    </row>
    <row r="2724" spans="1:24" s="896" customFormat="1">
      <c r="A2724" s="987">
        <f t="shared" si="43"/>
        <v>2650</v>
      </c>
      <c r="B2724" s="988">
        <v>39388</v>
      </c>
      <c r="C2724" s="899" t="s">
        <v>12050</v>
      </c>
      <c r="D2724" s="988" t="s">
        <v>2666</v>
      </c>
      <c r="E2724" s="989">
        <v>9.9600000000000009</v>
      </c>
      <c r="F2724" s="990"/>
      <c r="G2724" s="990"/>
      <c r="H2724" s="990"/>
      <c r="I2724" s="990"/>
      <c r="J2724" s="990"/>
      <c r="K2724" s="990"/>
      <c r="L2724" s="990"/>
      <c r="M2724" s="990"/>
      <c r="N2724" s="990"/>
      <c r="O2724" s="990"/>
      <c r="P2724" s="990"/>
      <c r="Q2724" s="990"/>
      <c r="R2724" s="990"/>
      <c r="S2724" s="990"/>
      <c r="T2724" s="990"/>
      <c r="U2724" s="990"/>
      <c r="V2724" s="990"/>
      <c r="W2724" s="990"/>
      <c r="X2724" s="990"/>
    </row>
    <row r="2725" spans="1:24" s="896" customFormat="1">
      <c r="A2725" s="987">
        <f t="shared" si="43"/>
        <v>2651</v>
      </c>
      <c r="B2725" s="988">
        <v>39387</v>
      </c>
      <c r="C2725" s="899" t="s">
        <v>12051</v>
      </c>
      <c r="D2725" s="988" t="s">
        <v>2666</v>
      </c>
      <c r="E2725" s="989">
        <v>15.53</v>
      </c>
      <c r="F2725" s="990"/>
      <c r="G2725" s="990"/>
      <c r="H2725" s="990"/>
      <c r="I2725" s="990"/>
      <c r="J2725" s="990"/>
      <c r="K2725" s="990"/>
      <c r="L2725" s="990"/>
      <c r="M2725" s="990"/>
      <c r="N2725" s="990"/>
      <c r="O2725" s="990"/>
      <c r="P2725" s="990"/>
      <c r="Q2725" s="990"/>
      <c r="R2725" s="990"/>
      <c r="S2725" s="990"/>
      <c r="T2725" s="990"/>
      <c r="U2725" s="990"/>
      <c r="V2725" s="990"/>
      <c r="W2725" s="990"/>
      <c r="X2725" s="990"/>
    </row>
    <row r="2726" spans="1:24" s="896" customFormat="1">
      <c r="A2726" s="987">
        <f t="shared" si="43"/>
        <v>2652</v>
      </c>
      <c r="B2726" s="988">
        <v>39386</v>
      </c>
      <c r="C2726" s="899" t="s">
        <v>12052</v>
      </c>
      <c r="D2726" s="988" t="s">
        <v>2666</v>
      </c>
      <c r="E2726" s="989">
        <v>10.83</v>
      </c>
      <c r="F2726" s="990"/>
      <c r="G2726" s="990"/>
      <c r="H2726" s="990"/>
      <c r="I2726" s="990"/>
      <c r="J2726" s="990"/>
      <c r="K2726" s="990"/>
      <c r="L2726" s="990"/>
      <c r="M2726" s="990"/>
      <c r="N2726" s="990"/>
      <c r="O2726" s="990"/>
      <c r="P2726" s="990"/>
      <c r="Q2726" s="990"/>
      <c r="R2726" s="990"/>
      <c r="S2726" s="990"/>
      <c r="T2726" s="990"/>
      <c r="U2726" s="990"/>
      <c r="V2726" s="990"/>
      <c r="W2726" s="990"/>
      <c r="X2726" s="990"/>
    </row>
    <row r="2727" spans="1:24" s="896" customFormat="1">
      <c r="A2727" s="987">
        <f t="shared" si="43"/>
        <v>2653</v>
      </c>
      <c r="B2727" s="988">
        <v>38194</v>
      </c>
      <c r="C2727" s="899" t="s">
        <v>12053</v>
      </c>
      <c r="D2727" s="988" t="s">
        <v>2666</v>
      </c>
      <c r="E2727" s="989">
        <v>8.1</v>
      </c>
      <c r="F2727" s="990"/>
      <c r="G2727" s="990"/>
      <c r="H2727" s="990"/>
      <c r="I2727" s="990"/>
      <c r="J2727" s="990"/>
      <c r="K2727" s="990"/>
      <c r="L2727" s="990"/>
      <c r="M2727" s="990"/>
      <c r="N2727" s="990"/>
      <c r="O2727" s="990"/>
      <c r="P2727" s="990"/>
      <c r="Q2727" s="990"/>
      <c r="R2727" s="990"/>
      <c r="S2727" s="990"/>
      <c r="T2727" s="990"/>
      <c r="U2727" s="990"/>
      <c r="V2727" s="990"/>
      <c r="W2727" s="990"/>
      <c r="X2727" s="990"/>
    </row>
    <row r="2728" spans="1:24" s="896" customFormat="1">
      <c r="A2728" s="987">
        <f t="shared" si="43"/>
        <v>2654</v>
      </c>
      <c r="B2728" s="988">
        <v>38193</v>
      </c>
      <c r="C2728" s="899" t="s">
        <v>12054</v>
      </c>
      <c r="D2728" s="988" t="s">
        <v>2666</v>
      </c>
      <c r="E2728" s="989">
        <v>7.04</v>
      </c>
      <c r="F2728" s="990"/>
      <c r="G2728" s="990"/>
      <c r="H2728" s="990"/>
      <c r="I2728" s="990"/>
      <c r="J2728" s="990"/>
      <c r="K2728" s="990"/>
      <c r="L2728" s="990"/>
      <c r="M2728" s="990"/>
      <c r="N2728" s="990"/>
      <c r="O2728" s="990"/>
      <c r="P2728" s="990"/>
      <c r="Q2728" s="990"/>
      <c r="R2728" s="990"/>
      <c r="S2728" s="990"/>
      <c r="T2728" s="990"/>
      <c r="U2728" s="990"/>
      <c r="V2728" s="990"/>
      <c r="W2728" s="990"/>
      <c r="X2728" s="990"/>
    </row>
    <row r="2729" spans="1:24" s="896" customFormat="1">
      <c r="A2729" s="987">
        <f t="shared" si="43"/>
        <v>2655</v>
      </c>
      <c r="B2729" s="988">
        <v>12216</v>
      </c>
      <c r="C2729" s="899" t="s">
        <v>12055</v>
      </c>
      <c r="D2729" s="988" t="s">
        <v>2666</v>
      </c>
      <c r="E2729" s="989">
        <v>52.74</v>
      </c>
      <c r="F2729" s="990"/>
      <c r="G2729" s="990"/>
      <c r="H2729" s="990"/>
      <c r="I2729" s="990"/>
      <c r="J2729" s="990"/>
      <c r="K2729" s="990"/>
      <c r="L2729" s="990"/>
      <c r="M2729" s="990"/>
      <c r="N2729" s="990"/>
      <c r="O2729" s="990"/>
      <c r="P2729" s="990"/>
      <c r="Q2729" s="990"/>
      <c r="R2729" s="990"/>
      <c r="S2729" s="990"/>
      <c r="T2729" s="990"/>
      <c r="U2729" s="990"/>
      <c r="V2729" s="990"/>
      <c r="W2729" s="990"/>
      <c r="X2729" s="990"/>
    </row>
    <row r="2730" spans="1:24" s="896" customFormat="1">
      <c r="A2730" s="987">
        <f t="shared" si="43"/>
        <v>2656</v>
      </c>
      <c r="B2730" s="988">
        <v>3757</v>
      </c>
      <c r="C2730" s="899" t="s">
        <v>12056</v>
      </c>
      <c r="D2730" s="988" t="s">
        <v>2666</v>
      </c>
      <c r="E2730" s="989">
        <v>60.99</v>
      </c>
      <c r="F2730" s="990"/>
      <c r="G2730" s="990"/>
      <c r="H2730" s="990"/>
      <c r="I2730" s="990"/>
      <c r="J2730" s="990"/>
      <c r="K2730" s="990"/>
      <c r="L2730" s="990"/>
      <c r="M2730" s="990"/>
      <c r="N2730" s="990"/>
      <c r="O2730" s="990"/>
      <c r="P2730" s="990"/>
      <c r="Q2730" s="990"/>
      <c r="R2730" s="990"/>
      <c r="S2730" s="990"/>
      <c r="T2730" s="990"/>
      <c r="U2730" s="990"/>
      <c r="V2730" s="990"/>
      <c r="W2730" s="990"/>
      <c r="X2730" s="990"/>
    </row>
    <row r="2731" spans="1:24" s="896" customFormat="1">
      <c r="A2731" s="987">
        <f t="shared" si="43"/>
        <v>2657</v>
      </c>
      <c r="B2731" s="988">
        <v>3758</v>
      </c>
      <c r="C2731" s="899" t="s">
        <v>12057</v>
      </c>
      <c r="D2731" s="988" t="s">
        <v>2666</v>
      </c>
      <c r="E2731" s="989">
        <v>71.11</v>
      </c>
      <c r="F2731" s="990"/>
      <c r="G2731" s="990"/>
      <c r="H2731" s="990"/>
      <c r="I2731" s="990"/>
      <c r="J2731" s="990"/>
      <c r="K2731" s="990"/>
      <c r="L2731" s="990"/>
      <c r="M2731" s="990"/>
      <c r="N2731" s="990"/>
      <c r="O2731" s="990"/>
      <c r="P2731" s="990"/>
      <c r="Q2731" s="990"/>
      <c r="R2731" s="990"/>
      <c r="S2731" s="990"/>
      <c r="T2731" s="990"/>
      <c r="U2731" s="990"/>
      <c r="V2731" s="990"/>
      <c r="W2731" s="990"/>
      <c r="X2731" s="990"/>
    </row>
    <row r="2732" spans="1:24" s="896" customFormat="1">
      <c r="A2732" s="987">
        <f t="shared" si="43"/>
        <v>2658</v>
      </c>
      <c r="B2732" s="988">
        <v>12214</v>
      </c>
      <c r="C2732" s="899" t="s">
        <v>12058</v>
      </c>
      <c r="D2732" s="988" t="s">
        <v>2666</v>
      </c>
      <c r="E2732" s="989">
        <v>24.35</v>
      </c>
      <c r="F2732" s="990"/>
      <c r="G2732" s="990"/>
      <c r="H2732" s="990"/>
      <c r="I2732" s="990"/>
      <c r="J2732" s="990"/>
      <c r="K2732" s="990"/>
      <c r="L2732" s="990"/>
      <c r="M2732" s="990"/>
      <c r="N2732" s="990"/>
      <c r="O2732" s="990"/>
      <c r="P2732" s="990"/>
      <c r="Q2732" s="990"/>
      <c r="R2732" s="990"/>
      <c r="S2732" s="990"/>
      <c r="T2732" s="990"/>
      <c r="U2732" s="990"/>
      <c r="V2732" s="990"/>
      <c r="W2732" s="990"/>
      <c r="X2732" s="990"/>
    </row>
    <row r="2733" spans="1:24" s="896" customFormat="1">
      <c r="A2733" s="987">
        <f t="shared" si="43"/>
        <v>2659</v>
      </c>
      <c r="B2733" s="988">
        <v>3749</v>
      </c>
      <c r="C2733" s="899" t="s">
        <v>12059</v>
      </c>
      <c r="D2733" s="988" t="s">
        <v>2666</v>
      </c>
      <c r="E2733" s="989">
        <v>43.4</v>
      </c>
      <c r="F2733" s="990"/>
      <c r="G2733" s="990"/>
      <c r="H2733" s="990"/>
      <c r="I2733" s="990"/>
      <c r="J2733" s="990"/>
      <c r="K2733" s="990"/>
      <c r="L2733" s="990"/>
      <c r="M2733" s="990"/>
      <c r="N2733" s="990"/>
      <c r="O2733" s="990"/>
      <c r="P2733" s="990"/>
      <c r="Q2733" s="990"/>
      <c r="R2733" s="990"/>
      <c r="S2733" s="990"/>
      <c r="T2733" s="990"/>
      <c r="U2733" s="990"/>
      <c r="V2733" s="990"/>
      <c r="W2733" s="990"/>
      <c r="X2733" s="990"/>
    </row>
    <row r="2734" spans="1:24" s="896" customFormat="1">
      <c r="A2734" s="987">
        <f t="shared" si="43"/>
        <v>2660</v>
      </c>
      <c r="B2734" s="988">
        <v>3751</v>
      </c>
      <c r="C2734" s="899" t="s">
        <v>12060</v>
      </c>
      <c r="D2734" s="988" t="s">
        <v>2666</v>
      </c>
      <c r="E2734" s="989">
        <v>59.23</v>
      </c>
      <c r="F2734" s="990"/>
      <c r="G2734" s="990"/>
      <c r="H2734" s="990"/>
      <c r="I2734" s="990"/>
      <c r="J2734" s="990"/>
      <c r="K2734" s="990"/>
      <c r="L2734" s="990"/>
      <c r="M2734" s="990"/>
      <c r="N2734" s="990"/>
      <c r="O2734" s="990"/>
      <c r="P2734" s="990"/>
      <c r="Q2734" s="990"/>
      <c r="R2734" s="990"/>
      <c r="S2734" s="990"/>
      <c r="T2734" s="990"/>
      <c r="U2734" s="990"/>
      <c r="V2734" s="990"/>
      <c r="W2734" s="990"/>
      <c r="X2734" s="990"/>
    </row>
    <row r="2735" spans="1:24" s="896" customFormat="1">
      <c r="A2735" s="987">
        <f t="shared" si="43"/>
        <v>2661</v>
      </c>
      <c r="B2735" s="988">
        <v>39376</v>
      </c>
      <c r="C2735" s="899" t="s">
        <v>12061</v>
      </c>
      <c r="D2735" s="988" t="s">
        <v>2666</v>
      </c>
      <c r="E2735" s="989">
        <v>49.93</v>
      </c>
      <c r="F2735" s="990"/>
      <c r="G2735" s="990"/>
      <c r="H2735" s="990"/>
      <c r="I2735" s="990"/>
      <c r="J2735" s="990"/>
      <c r="K2735" s="990"/>
      <c r="L2735" s="990"/>
      <c r="M2735" s="990"/>
      <c r="N2735" s="990"/>
      <c r="O2735" s="990"/>
      <c r="P2735" s="990"/>
      <c r="Q2735" s="990"/>
      <c r="R2735" s="990"/>
      <c r="S2735" s="990"/>
      <c r="T2735" s="990"/>
      <c r="U2735" s="990"/>
      <c r="V2735" s="990"/>
      <c r="W2735" s="990"/>
      <c r="X2735" s="990"/>
    </row>
    <row r="2736" spans="1:24" s="896" customFormat="1">
      <c r="A2736" s="987">
        <f t="shared" si="43"/>
        <v>2662</v>
      </c>
      <c r="B2736" s="988">
        <v>3752</v>
      </c>
      <c r="C2736" s="899" t="s">
        <v>12062</v>
      </c>
      <c r="D2736" s="988" t="s">
        <v>2666</v>
      </c>
      <c r="E2736" s="989">
        <v>97.7</v>
      </c>
      <c r="F2736" s="990"/>
      <c r="G2736" s="990"/>
      <c r="H2736" s="990"/>
      <c r="I2736" s="990"/>
      <c r="J2736" s="990"/>
      <c r="K2736" s="990"/>
      <c r="L2736" s="990"/>
      <c r="M2736" s="990"/>
      <c r="N2736" s="990"/>
      <c r="O2736" s="990"/>
      <c r="P2736" s="990"/>
      <c r="Q2736" s="990"/>
      <c r="R2736" s="990"/>
      <c r="S2736" s="990"/>
      <c r="T2736" s="990"/>
      <c r="U2736" s="990"/>
      <c r="V2736" s="990"/>
      <c r="W2736" s="990"/>
      <c r="X2736" s="990"/>
    </row>
    <row r="2737" spans="1:24" s="896" customFormat="1" ht="38.25">
      <c r="A2737" s="987">
        <f t="shared" si="43"/>
        <v>2663</v>
      </c>
      <c r="B2737" s="988">
        <v>746</v>
      </c>
      <c r="C2737" s="899" t="s">
        <v>12063</v>
      </c>
      <c r="D2737" s="988" t="s">
        <v>2666</v>
      </c>
      <c r="E2737" s="989">
        <v>2505.0100000000002</v>
      </c>
      <c r="F2737" s="990"/>
      <c r="G2737" s="990"/>
      <c r="H2737" s="990"/>
      <c r="I2737" s="990"/>
      <c r="J2737" s="990"/>
      <c r="K2737" s="990"/>
      <c r="L2737" s="990"/>
      <c r="M2737" s="990"/>
      <c r="N2737" s="990"/>
      <c r="O2737" s="990"/>
      <c r="P2737" s="990"/>
      <c r="Q2737" s="990"/>
      <c r="R2737" s="990"/>
      <c r="S2737" s="990"/>
      <c r="T2737" s="990"/>
      <c r="U2737" s="990"/>
      <c r="V2737" s="990"/>
      <c r="W2737" s="990"/>
      <c r="X2737" s="990"/>
    </row>
    <row r="2738" spans="1:24" s="896" customFormat="1" ht="25.5">
      <c r="A2738" s="987">
        <f t="shared" si="43"/>
        <v>2664</v>
      </c>
      <c r="B2738" s="988">
        <v>20269</v>
      </c>
      <c r="C2738" s="899" t="s">
        <v>12064</v>
      </c>
      <c r="D2738" s="988" t="s">
        <v>2666</v>
      </c>
      <c r="E2738" s="989">
        <v>87.91</v>
      </c>
      <c r="F2738" s="990"/>
      <c r="G2738" s="990"/>
      <c r="H2738" s="990"/>
      <c r="I2738" s="990"/>
      <c r="J2738" s="990"/>
      <c r="K2738" s="990"/>
      <c r="L2738" s="990"/>
      <c r="M2738" s="990"/>
      <c r="N2738" s="990"/>
      <c r="O2738" s="990"/>
      <c r="P2738" s="990"/>
      <c r="Q2738" s="990"/>
      <c r="R2738" s="990"/>
      <c r="S2738" s="990"/>
      <c r="T2738" s="990"/>
      <c r="U2738" s="990"/>
      <c r="V2738" s="990"/>
      <c r="W2738" s="990"/>
      <c r="X2738" s="990"/>
    </row>
    <row r="2739" spans="1:24" s="896" customFormat="1" ht="25.5">
      <c r="A2739" s="987">
        <f t="shared" si="43"/>
        <v>2665</v>
      </c>
      <c r="B2739" s="988">
        <v>20270</v>
      </c>
      <c r="C2739" s="899" t="s">
        <v>12065</v>
      </c>
      <c r="D2739" s="988" t="s">
        <v>2666</v>
      </c>
      <c r="E2739" s="989">
        <v>97.14</v>
      </c>
      <c r="F2739" s="990"/>
      <c r="G2739" s="990"/>
      <c r="H2739" s="990"/>
      <c r="I2739" s="990"/>
      <c r="J2739" s="990"/>
      <c r="K2739" s="990"/>
      <c r="L2739" s="990"/>
      <c r="M2739" s="990"/>
      <c r="N2739" s="990"/>
      <c r="O2739" s="990"/>
      <c r="P2739" s="990"/>
      <c r="Q2739" s="990"/>
      <c r="R2739" s="990"/>
      <c r="S2739" s="990"/>
      <c r="T2739" s="990"/>
      <c r="U2739" s="990"/>
      <c r="V2739" s="990"/>
      <c r="W2739" s="990"/>
      <c r="X2739" s="990"/>
    </row>
    <row r="2740" spans="1:24" s="896" customFormat="1" ht="25.5">
      <c r="A2740" s="987">
        <f t="shared" si="43"/>
        <v>2666</v>
      </c>
      <c r="B2740" s="988">
        <v>11696</v>
      </c>
      <c r="C2740" s="899" t="s">
        <v>12066</v>
      </c>
      <c r="D2740" s="988" t="s">
        <v>2666</v>
      </c>
      <c r="E2740" s="989">
        <v>155.49</v>
      </c>
      <c r="F2740" s="990"/>
      <c r="G2740" s="990"/>
      <c r="H2740" s="990"/>
      <c r="I2740" s="990"/>
      <c r="J2740" s="990"/>
      <c r="K2740" s="990"/>
      <c r="L2740" s="990"/>
      <c r="M2740" s="990"/>
      <c r="N2740" s="990"/>
      <c r="O2740" s="990"/>
      <c r="P2740" s="990"/>
      <c r="Q2740" s="990"/>
      <c r="R2740" s="990"/>
      <c r="S2740" s="990"/>
      <c r="T2740" s="990"/>
      <c r="U2740" s="990"/>
      <c r="V2740" s="990"/>
      <c r="W2740" s="990"/>
      <c r="X2740" s="990"/>
    </row>
    <row r="2741" spans="1:24" s="896" customFormat="1" ht="25.5">
      <c r="A2741" s="987">
        <f t="shared" si="43"/>
        <v>2667</v>
      </c>
      <c r="B2741" s="988">
        <v>10427</v>
      </c>
      <c r="C2741" s="899" t="s">
        <v>12067</v>
      </c>
      <c r="D2741" s="988" t="s">
        <v>2666</v>
      </c>
      <c r="E2741" s="989">
        <v>435.14</v>
      </c>
      <c r="F2741" s="990"/>
      <c r="G2741" s="990"/>
      <c r="H2741" s="990"/>
      <c r="I2741" s="990"/>
      <c r="J2741" s="990"/>
      <c r="K2741" s="990"/>
      <c r="L2741" s="990"/>
      <c r="M2741" s="990"/>
      <c r="N2741" s="990"/>
      <c r="O2741" s="990"/>
      <c r="P2741" s="990"/>
      <c r="Q2741" s="990"/>
      <c r="R2741" s="990"/>
      <c r="S2741" s="990"/>
      <c r="T2741" s="990"/>
      <c r="U2741" s="990"/>
      <c r="V2741" s="990"/>
      <c r="W2741" s="990"/>
      <c r="X2741" s="990"/>
    </row>
    <row r="2742" spans="1:24" s="896" customFormat="1" ht="25.5">
      <c r="A2742" s="987">
        <f t="shared" si="43"/>
        <v>2668</v>
      </c>
      <c r="B2742" s="988">
        <v>10428</v>
      </c>
      <c r="C2742" s="899" t="s">
        <v>12068</v>
      </c>
      <c r="D2742" s="988" t="s">
        <v>2666</v>
      </c>
      <c r="E2742" s="989">
        <v>448.33</v>
      </c>
      <c r="F2742" s="990"/>
      <c r="G2742" s="990"/>
      <c r="H2742" s="990"/>
      <c r="I2742" s="990"/>
      <c r="J2742" s="990"/>
      <c r="K2742" s="990"/>
      <c r="L2742" s="990"/>
      <c r="M2742" s="990"/>
      <c r="N2742" s="990"/>
      <c r="O2742" s="990"/>
      <c r="P2742" s="990"/>
      <c r="Q2742" s="990"/>
      <c r="R2742" s="990"/>
      <c r="S2742" s="990"/>
      <c r="T2742" s="990"/>
      <c r="U2742" s="990"/>
      <c r="V2742" s="990"/>
      <c r="W2742" s="990"/>
      <c r="X2742" s="990"/>
    </row>
    <row r="2743" spans="1:24" s="896" customFormat="1" ht="25.5">
      <c r="A2743" s="987">
        <f t="shared" si="43"/>
        <v>2669</v>
      </c>
      <c r="B2743" s="988">
        <v>36521</v>
      </c>
      <c r="C2743" s="899" t="s">
        <v>12069</v>
      </c>
      <c r="D2743" s="988" t="s">
        <v>2666</v>
      </c>
      <c r="E2743" s="989">
        <v>139.88</v>
      </c>
      <c r="F2743" s="990"/>
      <c r="G2743" s="990"/>
      <c r="H2743" s="990"/>
      <c r="I2743" s="990"/>
      <c r="J2743" s="990"/>
      <c r="K2743" s="990"/>
      <c r="L2743" s="990"/>
      <c r="M2743" s="990"/>
      <c r="N2743" s="990"/>
      <c r="O2743" s="990"/>
      <c r="P2743" s="990"/>
      <c r="Q2743" s="990"/>
      <c r="R2743" s="990"/>
      <c r="S2743" s="990"/>
      <c r="T2743" s="990"/>
      <c r="U2743" s="990"/>
      <c r="V2743" s="990"/>
      <c r="W2743" s="990"/>
      <c r="X2743" s="990"/>
    </row>
    <row r="2744" spans="1:24" s="896" customFormat="1">
      <c r="A2744" s="987">
        <f t="shared" si="43"/>
        <v>2670</v>
      </c>
      <c r="B2744" s="988">
        <v>36794</v>
      </c>
      <c r="C2744" s="899" t="s">
        <v>12070</v>
      </c>
      <c r="D2744" s="988" t="s">
        <v>2666</v>
      </c>
      <c r="E2744" s="989">
        <v>148.91999999999999</v>
      </c>
      <c r="F2744" s="990"/>
      <c r="G2744" s="990"/>
      <c r="H2744" s="990"/>
      <c r="I2744" s="990"/>
      <c r="J2744" s="990"/>
      <c r="K2744" s="990"/>
      <c r="L2744" s="990"/>
      <c r="M2744" s="990"/>
      <c r="N2744" s="990"/>
      <c r="O2744" s="990"/>
      <c r="P2744" s="990"/>
      <c r="Q2744" s="990"/>
      <c r="R2744" s="990"/>
      <c r="S2744" s="990"/>
      <c r="T2744" s="990"/>
      <c r="U2744" s="990"/>
      <c r="V2744" s="990"/>
      <c r="W2744" s="990"/>
      <c r="X2744" s="990"/>
    </row>
    <row r="2745" spans="1:24" s="896" customFormat="1">
      <c r="A2745" s="987">
        <f t="shared" si="43"/>
        <v>2671</v>
      </c>
      <c r="B2745" s="988">
        <v>10426</v>
      </c>
      <c r="C2745" s="899" t="s">
        <v>12071</v>
      </c>
      <c r="D2745" s="988" t="s">
        <v>2666</v>
      </c>
      <c r="E2745" s="989">
        <v>166.76</v>
      </c>
      <c r="F2745" s="990"/>
      <c r="G2745" s="990"/>
      <c r="H2745" s="990"/>
      <c r="I2745" s="990"/>
      <c r="J2745" s="990"/>
      <c r="K2745" s="990"/>
      <c r="L2745" s="990"/>
      <c r="M2745" s="990"/>
      <c r="N2745" s="990"/>
      <c r="O2745" s="990"/>
      <c r="P2745" s="990"/>
      <c r="Q2745" s="990"/>
      <c r="R2745" s="990"/>
      <c r="S2745" s="990"/>
      <c r="T2745" s="990"/>
      <c r="U2745" s="990"/>
      <c r="V2745" s="990"/>
      <c r="W2745" s="990"/>
      <c r="X2745" s="990"/>
    </row>
    <row r="2746" spans="1:24" s="896" customFormat="1">
      <c r="A2746" s="987">
        <f t="shared" si="43"/>
        <v>2672</v>
      </c>
      <c r="B2746" s="988">
        <v>10425</v>
      </c>
      <c r="C2746" s="899" t="s">
        <v>12072</v>
      </c>
      <c r="D2746" s="988" t="s">
        <v>2666</v>
      </c>
      <c r="E2746" s="989">
        <v>84.6</v>
      </c>
      <c r="F2746" s="990"/>
      <c r="G2746" s="990"/>
      <c r="H2746" s="990"/>
      <c r="I2746" s="990"/>
      <c r="J2746" s="990"/>
      <c r="K2746" s="990"/>
      <c r="L2746" s="990"/>
      <c r="M2746" s="990"/>
      <c r="N2746" s="990"/>
      <c r="O2746" s="990"/>
      <c r="P2746" s="990"/>
      <c r="Q2746" s="990"/>
      <c r="R2746" s="990"/>
      <c r="S2746" s="990"/>
      <c r="T2746" s="990"/>
      <c r="U2746" s="990"/>
      <c r="V2746" s="990"/>
      <c r="W2746" s="990"/>
      <c r="X2746" s="990"/>
    </row>
    <row r="2747" spans="1:24" s="896" customFormat="1">
      <c r="A2747" s="987">
        <f t="shared" si="43"/>
        <v>2673</v>
      </c>
      <c r="B2747" s="988">
        <v>10431</v>
      </c>
      <c r="C2747" s="899" t="s">
        <v>12073</v>
      </c>
      <c r="D2747" s="988" t="s">
        <v>2666</v>
      </c>
      <c r="E2747" s="989">
        <v>289.63</v>
      </c>
      <c r="F2747" s="990"/>
      <c r="G2747" s="990"/>
      <c r="H2747" s="990"/>
      <c r="I2747" s="990"/>
      <c r="J2747" s="990"/>
      <c r="K2747" s="990"/>
      <c r="L2747" s="990"/>
      <c r="M2747" s="990"/>
      <c r="N2747" s="990"/>
      <c r="O2747" s="990"/>
      <c r="P2747" s="990"/>
      <c r="Q2747" s="990"/>
      <c r="R2747" s="990"/>
      <c r="S2747" s="990"/>
      <c r="T2747" s="990"/>
      <c r="U2747" s="990"/>
      <c r="V2747" s="990"/>
      <c r="W2747" s="990"/>
      <c r="X2747" s="990"/>
    </row>
    <row r="2748" spans="1:24" s="896" customFormat="1" ht="25.5">
      <c r="A2748" s="987">
        <f t="shared" si="43"/>
        <v>2674</v>
      </c>
      <c r="B2748" s="988">
        <v>10429</v>
      </c>
      <c r="C2748" s="899" t="s">
        <v>12074</v>
      </c>
      <c r="D2748" s="988" t="s">
        <v>2666</v>
      </c>
      <c r="E2748" s="989">
        <v>142.88</v>
      </c>
      <c r="F2748" s="990"/>
      <c r="G2748" s="990"/>
      <c r="H2748" s="990"/>
      <c r="I2748" s="990"/>
      <c r="J2748" s="990"/>
      <c r="K2748" s="990"/>
      <c r="L2748" s="990"/>
      <c r="M2748" s="990"/>
      <c r="N2748" s="990"/>
      <c r="O2748" s="990"/>
      <c r="P2748" s="990"/>
      <c r="Q2748" s="990"/>
      <c r="R2748" s="990"/>
      <c r="S2748" s="990"/>
      <c r="T2748" s="990"/>
      <c r="U2748" s="990"/>
      <c r="V2748" s="990"/>
      <c r="W2748" s="990"/>
      <c r="X2748" s="990"/>
    </row>
    <row r="2749" spans="1:24" s="896" customFormat="1">
      <c r="A2749" s="987">
        <f t="shared" si="43"/>
        <v>2675</v>
      </c>
      <c r="B2749" s="988">
        <v>2354</v>
      </c>
      <c r="C2749" s="899" t="s">
        <v>12075</v>
      </c>
      <c r="D2749" s="988" t="s">
        <v>2665</v>
      </c>
      <c r="E2749" s="989">
        <v>19.29</v>
      </c>
      <c r="F2749" s="990"/>
      <c r="G2749" s="990"/>
      <c r="H2749" s="990"/>
      <c r="I2749" s="990"/>
      <c r="J2749" s="990"/>
      <c r="K2749" s="990"/>
      <c r="L2749" s="990"/>
      <c r="M2749" s="990"/>
      <c r="N2749" s="990"/>
      <c r="O2749" s="990"/>
      <c r="P2749" s="990"/>
      <c r="Q2749" s="990"/>
      <c r="R2749" s="990"/>
      <c r="S2749" s="990"/>
      <c r="T2749" s="990"/>
      <c r="U2749" s="990"/>
      <c r="V2749" s="990"/>
      <c r="W2749" s="990"/>
      <c r="X2749" s="990"/>
    </row>
    <row r="2750" spans="1:24" s="896" customFormat="1">
      <c r="A2750" s="987">
        <f t="shared" si="43"/>
        <v>2676</v>
      </c>
      <c r="B2750" s="988">
        <v>40932</v>
      </c>
      <c r="C2750" s="899" t="s">
        <v>12076</v>
      </c>
      <c r="D2750" s="988" t="s">
        <v>2672</v>
      </c>
      <c r="E2750" s="989">
        <v>3392.33</v>
      </c>
      <c r="F2750" s="990"/>
      <c r="G2750" s="990"/>
      <c r="H2750" s="990"/>
      <c r="I2750" s="990"/>
      <c r="J2750" s="990"/>
      <c r="K2750" s="990"/>
      <c r="L2750" s="990"/>
      <c r="M2750" s="990"/>
      <c r="N2750" s="990"/>
      <c r="O2750" s="990"/>
      <c r="P2750" s="990"/>
      <c r="Q2750" s="990"/>
      <c r="R2750" s="990"/>
      <c r="S2750" s="990"/>
      <c r="T2750" s="990"/>
      <c r="U2750" s="990"/>
      <c r="V2750" s="990"/>
      <c r="W2750" s="990"/>
      <c r="X2750" s="990"/>
    </row>
    <row r="2751" spans="1:24" s="896" customFormat="1">
      <c r="A2751" s="987">
        <f t="shared" si="43"/>
        <v>2677</v>
      </c>
      <c r="B2751" s="988">
        <v>10853</v>
      </c>
      <c r="C2751" s="899" t="s">
        <v>12077</v>
      </c>
      <c r="D2751" s="988" t="s">
        <v>2666</v>
      </c>
      <c r="E2751" s="989">
        <v>126.25</v>
      </c>
      <c r="F2751" s="990"/>
      <c r="G2751" s="990"/>
      <c r="H2751" s="990"/>
      <c r="I2751" s="990"/>
      <c r="J2751" s="990"/>
      <c r="K2751" s="990"/>
      <c r="L2751" s="990"/>
      <c r="M2751" s="990"/>
      <c r="N2751" s="990"/>
      <c r="O2751" s="990"/>
      <c r="P2751" s="990"/>
      <c r="Q2751" s="990"/>
      <c r="R2751" s="990"/>
      <c r="S2751" s="990"/>
      <c r="T2751" s="990"/>
      <c r="U2751" s="990"/>
      <c r="V2751" s="990"/>
      <c r="W2751" s="990"/>
      <c r="X2751" s="990"/>
    </row>
    <row r="2752" spans="1:24" s="896" customFormat="1">
      <c r="A2752" s="987">
        <f t="shared" si="43"/>
        <v>2678</v>
      </c>
      <c r="B2752" s="988">
        <v>5093</v>
      </c>
      <c r="C2752" s="899" t="s">
        <v>12078</v>
      </c>
      <c r="D2752" s="988" t="s">
        <v>2673</v>
      </c>
      <c r="E2752" s="989">
        <v>17.36</v>
      </c>
      <c r="F2752" s="990"/>
      <c r="G2752" s="990"/>
      <c r="H2752" s="990"/>
      <c r="I2752" s="990"/>
      <c r="J2752" s="990"/>
      <c r="K2752" s="990"/>
      <c r="L2752" s="990"/>
      <c r="M2752" s="990"/>
      <c r="N2752" s="990"/>
      <c r="O2752" s="990"/>
      <c r="P2752" s="990"/>
      <c r="Q2752" s="990"/>
      <c r="R2752" s="990"/>
      <c r="S2752" s="990"/>
      <c r="T2752" s="990"/>
      <c r="U2752" s="990"/>
      <c r="V2752" s="990"/>
      <c r="W2752" s="990"/>
      <c r="X2752" s="990"/>
    </row>
    <row r="2753" spans="1:24" s="896" customFormat="1">
      <c r="A2753" s="987">
        <f t="shared" si="43"/>
        <v>2679</v>
      </c>
      <c r="B2753" s="988">
        <v>44331</v>
      </c>
      <c r="C2753" s="899" t="s">
        <v>12079</v>
      </c>
      <c r="D2753" s="988" t="s">
        <v>2671</v>
      </c>
      <c r="E2753" s="989">
        <v>47.49</v>
      </c>
      <c r="F2753" s="990"/>
      <c r="G2753" s="990"/>
      <c r="H2753" s="990"/>
      <c r="I2753" s="990"/>
      <c r="J2753" s="990"/>
      <c r="K2753" s="990"/>
      <c r="L2753" s="990"/>
      <c r="M2753" s="990"/>
      <c r="N2753" s="990"/>
      <c r="O2753" s="990"/>
      <c r="P2753" s="990"/>
      <c r="Q2753" s="990"/>
      <c r="R2753" s="990"/>
      <c r="S2753" s="990"/>
      <c r="T2753" s="990"/>
      <c r="U2753" s="990"/>
      <c r="V2753" s="990"/>
      <c r="W2753" s="990"/>
      <c r="X2753" s="990"/>
    </row>
    <row r="2754" spans="1:24" s="896" customFormat="1" ht="25.5">
      <c r="A2754" s="987">
        <f t="shared" si="43"/>
        <v>2680</v>
      </c>
      <c r="B2754" s="988">
        <v>37768</v>
      </c>
      <c r="C2754" s="899" t="s">
        <v>12080</v>
      </c>
      <c r="D2754" s="988" t="s">
        <v>2666</v>
      </c>
      <c r="E2754" s="989">
        <v>245000</v>
      </c>
      <c r="F2754" s="990"/>
      <c r="G2754" s="990"/>
      <c r="H2754" s="990"/>
      <c r="I2754" s="990"/>
      <c r="J2754" s="990"/>
      <c r="K2754" s="990"/>
      <c r="L2754" s="990"/>
      <c r="M2754" s="990"/>
      <c r="N2754" s="990"/>
      <c r="O2754" s="990"/>
      <c r="P2754" s="990"/>
      <c r="Q2754" s="990"/>
      <c r="R2754" s="990"/>
      <c r="S2754" s="990"/>
      <c r="T2754" s="990"/>
      <c r="U2754" s="990"/>
      <c r="V2754" s="990"/>
      <c r="W2754" s="990"/>
      <c r="X2754" s="990"/>
    </row>
    <row r="2755" spans="1:24" s="896" customFormat="1" ht="25.5">
      <c r="A2755" s="987">
        <f t="shared" si="43"/>
        <v>2681</v>
      </c>
      <c r="B2755" s="988">
        <v>37773</v>
      </c>
      <c r="C2755" s="899" t="s">
        <v>12081</v>
      </c>
      <c r="D2755" s="988" t="s">
        <v>2666</v>
      </c>
      <c r="E2755" s="989">
        <v>208046.3</v>
      </c>
      <c r="F2755" s="990"/>
      <c r="G2755" s="990"/>
      <c r="H2755" s="990"/>
      <c r="I2755" s="990"/>
      <c r="J2755" s="990"/>
      <c r="K2755" s="990"/>
      <c r="L2755" s="990"/>
      <c r="M2755" s="990"/>
      <c r="N2755" s="990"/>
      <c r="O2755" s="990"/>
      <c r="P2755" s="990"/>
      <c r="Q2755" s="990"/>
      <c r="R2755" s="990"/>
      <c r="S2755" s="990"/>
      <c r="T2755" s="990"/>
      <c r="U2755" s="990"/>
      <c r="V2755" s="990"/>
      <c r="W2755" s="990"/>
      <c r="X2755" s="990"/>
    </row>
    <row r="2756" spans="1:24" s="896" customFormat="1" ht="25.5">
      <c r="A2756" s="987">
        <f t="shared" si="43"/>
        <v>2682</v>
      </c>
      <c r="B2756" s="988">
        <v>37769</v>
      </c>
      <c r="C2756" s="899" t="s">
        <v>12082</v>
      </c>
      <c r="D2756" s="988" t="s">
        <v>2666</v>
      </c>
      <c r="E2756" s="989">
        <v>348295.72</v>
      </c>
      <c r="F2756" s="990"/>
      <c r="G2756" s="990"/>
      <c r="H2756" s="990"/>
      <c r="I2756" s="990"/>
      <c r="J2756" s="990"/>
      <c r="K2756" s="990"/>
      <c r="L2756" s="990"/>
      <c r="M2756" s="990"/>
      <c r="N2756" s="990"/>
      <c r="O2756" s="990"/>
      <c r="P2756" s="990"/>
      <c r="Q2756" s="990"/>
      <c r="R2756" s="990"/>
      <c r="S2756" s="990"/>
      <c r="T2756" s="990"/>
      <c r="U2756" s="990"/>
      <c r="V2756" s="990"/>
      <c r="W2756" s="990"/>
      <c r="X2756" s="990"/>
    </row>
    <row r="2757" spans="1:24" s="896" customFormat="1" ht="25.5">
      <c r="A2757" s="987">
        <f t="shared" si="43"/>
        <v>2683</v>
      </c>
      <c r="B2757" s="988">
        <v>37770</v>
      </c>
      <c r="C2757" s="899" t="s">
        <v>12083</v>
      </c>
      <c r="D2757" s="988" t="s">
        <v>2666</v>
      </c>
      <c r="E2757" s="989">
        <v>591113.41</v>
      </c>
      <c r="F2757" s="990"/>
      <c r="G2757" s="990"/>
      <c r="H2757" s="990"/>
      <c r="I2757" s="990"/>
      <c r="J2757" s="990"/>
      <c r="K2757" s="990"/>
      <c r="L2757" s="990"/>
      <c r="M2757" s="990"/>
      <c r="N2757" s="990"/>
      <c r="O2757" s="990"/>
      <c r="P2757" s="990"/>
      <c r="Q2757" s="990"/>
      <c r="R2757" s="990"/>
      <c r="S2757" s="990"/>
      <c r="T2757" s="990"/>
      <c r="U2757" s="990"/>
      <c r="V2757" s="990"/>
      <c r="W2757" s="990"/>
      <c r="X2757" s="990"/>
    </row>
    <row r="2758" spans="1:24" s="896" customFormat="1">
      <c r="A2758" s="987">
        <f t="shared" si="43"/>
        <v>2684</v>
      </c>
      <c r="B2758" s="988">
        <v>38382</v>
      </c>
      <c r="C2758" s="899" t="s">
        <v>12084</v>
      </c>
      <c r="D2758" s="988" t="s">
        <v>2666</v>
      </c>
      <c r="E2758" s="989">
        <v>10.3</v>
      </c>
      <c r="F2758" s="990"/>
      <c r="G2758" s="990"/>
      <c r="H2758" s="990"/>
      <c r="I2758" s="990"/>
      <c r="J2758" s="990"/>
      <c r="K2758" s="990"/>
      <c r="L2758" s="990"/>
      <c r="M2758" s="990"/>
      <c r="N2758" s="990"/>
      <c r="O2758" s="990"/>
      <c r="P2758" s="990"/>
      <c r="Q2758" s="990"/>
      <c r="R2758" s="990"/>
      <c r="S2758" s="990"/>
      <c r="T2758" s="990"/>
      <c r="U2758" s="990"/>
      <c r="V2758" s="990"/>
      <c r="W2758" s="990"/>
      <c r="X2758" s="990"/>
    </row>
    <row r="2759" spans="1:24" s="896" customFormat="1">
      <c r="A2759" s="987">
        <f t="shared" si="43"/>
        <v>2685</v>
      </c>
      <c r="B2759" s="988">
        <v>38383</v>
      </c>
      <c r="C2759" s="899" t="s">
        <v>12085</v>
      </c>
      <c r="D2759" s="988" t="s">
        <v>2666</v>
      </c>
      <c r="E2759" s="989">
        <v>1.93</v>
      </c>
      <c r="F2759" s="990"/>
      <c r="G2759" s="990"/>
      <c r="H2759" s="990"/>
      <c r="I2759" s="990"/>
      <c r="J2759" s="990"/>
      <c r="K2759" s="990"/>
      <c r="L2759" s="990"/>
      <c r="M2759" s="990"/>
      <c r="N2759" s="990"/>
      <c r="O2759" s="990"/>
      <c r="P2759" s="990"/>
      <c r="Q2759" s="990"/>
      <c r="R2759" s="990"/>
      <c r="S2759" s="990"/>
      <c r="T2759" s="990"/>
      <c r="U2759" s="990"/>
      <c r="V2759" s="990"/>
      <c r="W2759" s="990"/>
      <c r="X2759" s="990"/>
    </row>
    <row r="2760" spans="1:24" s="896" customFormat="1">
      <c r="A2760" s="987">
        <f t="shared" si="43"/>
        <v>2686</v>
      </c>
      <c r="B2760" s="988">
        <v>3768</v>
      </c>
      <c r="C2760" s="899" t="s">
        <v>12086</v>
      </c>
      <c r="D2760" s="988" t="s">
        <v>2666</v>
      </c>
      <c r="E2760" s="989">
        <v>4.96</v>
      </c>
      <c r="F2760" s="990"/>
      <c r="G2760" s="990"/>
      <c r="H2760" s="990"/>
      <c r="I2760" s="990"/>
      <c r="J2760" s="990"/>
      <c r="K2760" s="990"/>
      <c r="L2760" s="990"/>
      <c r="M2760" s="990"/>
      <c r="N2760" s="990"/>
      <c r="O2760" s="990"/>
      <c r="P2760" s="990"/>
      <c r="Q2760" s="990"/>
      <c r="R2760" s="990"/>
      <c r="S2760" s="990"/>
      <c r="T2760" s="990"/>
      <c r="U2760" s="990"/>
      <c r="V2760" s="990"/>
      <c r="W2760" s="990"/>
      <c r="X2760" s="990"/>
    </row>
    <row r="2761" spans="1:24" s="896" customFormat="1">
      <c r="A2761" s="987">
        <f t="shared" si="43"/>
        <v>2687</v>
      </c>
      <c r="B2761" s="988">
        <v>3767</v>
      </c>
      <c r="C2761" s="899" t="s">
        <v>12087</v>
      </c>
      <c r="D2761" s="988" t="s">
        <v>2666</v>
      </c>
      <c r="E2761" s="989">
        <v>1.66</v>
      </c>
      <c r="F2761" s="990"/>
      <c r="G2761" s="990"/>
      <c r="H2761" s="990"/>
      <c r="I2761" s="990"/>
      <c r="J2761" s="990"/>
      <c r="K2761" s="990"/>
      <c r="L2761" s="990"/>
      <c r="M2761" s="990"/>
      <c r="N2761" s="990"/>
      <c r="O2761" s="990"/>
      <c r="P2761" s="990"/>
      <c r="Q2761" s="990"/>
      <c r="R2761" s="990"/>
      <c r="S2761" s="990"/>
      <c r="T2761" s="990"/>
      <c r="U2761" s="990"/>
      <c r="V2761" s="990"/>
      <c r="W2761" s="990"/>
      <c r="X2761" s="990"/>
    </row>
    <row r="2762" spans="1:24" s="896" customFormat="1" ht="25.5">
      <c r="A2762" s="987">
        <f t="shared" si="43"/>
        <v>2688</v>
      </c>
      <c r="B2762" s="988">
        <v>13192</v>
      </c>
      <c r="C2762" s="899" t="s">
        <v>12088</v>
      </c>
      <c r="D2762" s="988" t="s">
        <v>2666</v>
      </c>
      <c r="E2762" s="989">
        <v>4643.6099999999997</v>
      </c>
      <c r="F2762" s="990"/>
      <c r="G2762" s="990"/>
      <c r="H2762" s="990"/>
      <c r="I2762" s="990"/>
      <c r="J2762" s="990"/>
      <c r="K2762" s="990"/>
      <c r="L2762" s="990"/>
      <c r="M2762" s="990"/>
      <c r="N2762" s="990"/>
      <c r="O2762" s="990"/>
      <c r="P2762" s="990"/>
      <c r="Q2762" s="990"/>
      <c r="R2762" s="990"/>
      <c r="S2762" s="990"/>
      <c r="T2762" s="990"/>
      <c r="U2762" s="990"/>
      <c r="V2762" s="990"/>
      <c r="W2762" s="990"/>
      <c r="X2762" s="990"/>
    </row>
    <row r="2763" spans="1:24" s="896" customFormat="1" ht="25.5">
      <c r="A2763" s="987">
        <f t="shared" si="43"/>
        <v>2689</v>
      </c>
      <c r="B2763" s="988">
        <v>38413</v>
      </c>
      <c r="C2763" s="899" t="s">
        <v>12089</v>
      </c>
      <c r="D2763" s="988" t="s">
        <v>2666</v>
      </c>
      <c r="E2763" s="989">
        <v>767.98</v>
      </c>
      <c r="F2763" s="990"/>
      <c r="G2763" s="990"/>
      <c r="H2763" s="990"/>
      <c r="I2763" s="990"/>
      <c r="J2763" s="990"/>
      <c r="K2763" s="990"/>
      <c r="L2763" s="990"/>
      <c r="M2763" s="990"/>
      <c r="N2763" s="990"/>
      <c r="O2763" s="990"/>
      <c r="P2763" s="990"/>
      <c r="Q2763" s="990"/>
      <c r="R2763" s="990"/>
      <c r="S2763" s="990"/>
      <c r="T2763" s="990"/>
      <c r="U2763" s="990"/>
      <c r="V2763" s="990"/>
      <c r="W2763" s="990"/>
      <c r="X2763" s="990"/>
    </row>
    <row r="2764" spans="1:24" s="896" customFormat="1" ht="38.25">
      <c r="A2764" s="987">
        <f t="shared" ref="A2764:A2827" si="44">A2763+1</f>
        <v>2690</v>
      </c>
      <c r="B2764" s="988">
        <v>42440</v>
      </c>
      <c r="C2764" s="899" t="s">
        <v>12090</v>
      </c>
      <c r="D2764" s="988" t="s">
        <v>2666</v>
      </c>
      <c r="E2764" s="989">
        <v>1225.03</v>
      </c>
      <c r="F2764" s="990"/>
      <c r="G2764" s="990"/>
      <c r="H2764" s="990"/>
      <c r="I2764" s="990"/>
      <c r="J2764" s="990"/>
      <c r="K2764" s="990"/>
      <c r="L2764" s="990"/>
      <c r="M2764" s="990"/>
      <c r="N2764" s="990"/>
      <c r="O2764" s="990"/>
      <c r="P2764" s="990"/>
      <c r="Q2764" s="990"/>
      <c r="R2764" s="990"/>
      <c r="S2764" s="990"/>
      <c r="T2764" s="990"/>
      <c r="U2764" s="990"/>
      <c r="V2764" s="990"/>
      <c r="W2764" s="990"/>
      <c r="X2764" s="990"/>
    </row>
    <row r="2765" spans="1:24" s="896" customFormat="1" ht="25.5">
      <c r="A2765" s="987">
        <f t="shared" si="44"/>
        <v>2691</v>
      </c>
      <c r="B2765" s="988">
        <v>20193</v>
      </c>
      <c r="C2765" s="899" t="s">
        <v>12091</v>
      </c>
      <c r="D2765" s="988" t="s">
        <v>3105</v>
      </c>
      <c r="E2765" s="989">
        <v>5.99</v>
      </c>
      <c r="F2765" s="990"/>
      <c r="G2765" s="990"/>
      <c r="H2765" s="990"/>
      <c r="I2765" s="990"/>
      <c r="J2765" s="990"/>
      <c r="K2765" s="990"/>
      <c r="L2765" s="990"/>
      <c r="M2765" s="990"/>
      <c r="N2765" s="990"/>
      <c r="O2765" s="990"/>
      <c r="P2765" s="990"/>
      <c r="Q2765" s="990"/>
      <c r="R2765" s="990"/>
      <c r="S2765" s="990"/>
      <c r="T2765" s="990"/>
      <c r="U2765" s="990"/>
      <c r="V2765" s="990"/>
      <c r="W2765" s="990"/>
      <c r="X2765" s="990"/>
    </row>
    <row r="2766" spans="1:24" s="896" customFormat="1" ht="25.5">
      <c r="A2766" s="987">
        <f t="shared" si="44"/>
        <v>2692</v>
      </c>
      <c r="B2766" s="988">
        <v>10527</v>
      </c>
      <c r="C2766" s="899" t="s">
        <v>12092</v>
      </c>
      <c r="D2766" s="988" t="s">
        <v>3104</v>
      </c>
      <c r="E2766" s="989">
        <v>18</v>
      </c>
      <c r="F2766" s="990"/>
      <c r="G2766" s="990"/>
      <c r="H2766" s="990"/>
      <c r="I2766" s="990"/>
      <c r="J2766" s="990"/>
      <c r="K2766" s="990"/>
      <c r="L2766" s="990"/>
      <c r="M2766" s="990"/>
      <c r="N2766" s="990"/>
      <c r="O2766" s="990"/>
      <c r="P2766" s="990"/>
      <c r="Q2766" s="990"/>
      <c r="R2766" s="990"/>
      <c r="S2766" s="990"/>
      <c r="T2766" s="990"/>
      <c r="U2766" s="990"/>
      <c r="V2766" s="990"/>
      <c r="W2766" s="990"/>
      <c r="X2766" s="990"/>
    </row>
    <row r="2767" spans="1:24" s="896" customFormat="1" ht="38.25">
      <c r="A2767" s="987">
        <f t="shared" si="44"/>
        <v>2693</v>
      </c>
      <c r="B2767" s="988">
        <v>41805</v>
      </c>
      <c r="C2767" s="899" t="s">
        <v>12093</v>
      </c>
      <c r="D2767" s="988" t="s">
        <v>2672</v>
      </c>
      <c r="E2767" s="989">
        <v>675</v>
      </c>
      <c r="F2767" s="990"/>
      <c r="G2767" s="990"/>
      <c r="H2767" s="990"/>
      <c r="I2767" s="990"/>
      <c r="J2767" s="990"/>
      <c r="K2767" s="990"/>
      <c r="L2767" s="990"/>
      <c r="M2767" s="990"/>
      <c r="N2767" s="990"/>
      <c r="O2767" s="990"/>
      <c r="P2767" s="990"/>
      <c r="Q2767" s="990"/>
      <c r="R2767" s="990"/>
      <c r="S2767" s="990"/>
      <c r="T2767" s="990"/>
      <c r="U2767" s="990"/>
      <c r="V2767" s="990"/>
      <c r="W2767" s="990"/>
      <c r="X2767" s="990"/>
    </row>
    <row r="2768" spans="1:24" s="896" customFormat="1" ht="25.5">
      <c r="A2768" s="987">
        <f t="shared" si="44"/>
        <v>2694</v>
      </c>
      <c r="B2768" s="988">
        <v>40271</v>
      </c>
      <c r="C2768" s="899" t="s">
        <v>12094</v>
      </c>
      <c r="D2768" s="988" t="s">
        <v>2672</v>
      </c>
      <c r="E2768" s="989">
        <v>11.7</v>
      </c>
      <c r="F2768" s="990"/>
      <c r="G2768" s="990"/>
      <c r="H2768" s="990"/>
      <c r="I2768" s="990"/>
      <c r="J2768" s="990"/>
      <c r="K2768" s="990"/>
      <c r="L2768" s="990"/>
      <c r="M2768" s="990"/>
      <c r="N2768" s="990"/>
      <c r="O2768" s="990"/>
      <c r="P2768" s="990"/>
      <c r="Q2768" s="990"/>
      <c r="R2768" s="990"/>
      <c r="S2768" s="990"/>
      <c r="T2768" s="990"/>
      <c r="U2768" s="990"/>
      <c r="V2768" s="990"/>
      <c r="W2768" s="990"/>
      <c r="X2768" s="990"/>
    </row>
    <row r="2769" spans="1:24" s="896" customFormat="1" ht="25.5">
      <c r="A2769" s="987">
        <f t="shared" si="44"/>
        <v>2695</v>
      </c>
      <c r="B2769" s="988">
        <v>40287</v>
      </c>
      <c r="C2769" s="899" t="s">
        <v>12095</v>
      </c>
      <c r="D2769" s="988" t="s">
        <v>2672</v>
      </c>
      <c r="E2769" s="989">
        <v>4.5</v>
      </c>
      <c r="F2769" s="990"/>
      <c r="G2769" s="990"/>
      <c r="H2769" s="990"/>
      <c r="I2769" s="990"/>
      <c r="J2769" s="990"/>
      <c r="K2769" s="990"/>
      <c r="L2769" s="990"/>
      <c r="M2769" s="990"/>
      <c r="N2769" s="990"/>
      <c r="O2769" s="990"/>
      <c r="P2769" s="990"/>
      <c r="Q2769" s="990"/>
      <c r="R2769" s="990"/>
      <c r="S2769" s="990"/>
      <c r="T2769" s="990"/>
      <c r="U2769" s="990"/>
      <c r="V2769" s="990"/>
      <c r="W2769" s="990"/>
      <c r="X2769" s="990"/>
    </row>
    <row r="2770" spans="1:24" s="896" customFormat="1" ht="38.25">
      <c r="A2770" s="987">
        <f t="shared" si="44"/>
        <v>2696</v>
      </c>
      <c r="B2770" s="988">
        <v>4084</v>
      </c>
      <c r="C2770" s="899" t="s">
        <v>12096</v>
      </c>
      <c r="D2770" s="988" t="s">
        <v>2665</v>
      </c>
      <c r="E2770" s="989">
        <v>1.8</v>
      </c>
      <c r="F2770" s="990"/>
      <c r="G2770" s="990"/>
      <c r="H2770" s="990"/>
      <c r="I2770" s="990"/>
      <c r="J2770" s="990"/>
      <c r="K2770" s="990"/>
      <c r="L2770" s="990"/>
      <c r="M2770" s="990"/>
      <c r="N2770" s="990"/>
      <c r="O2770" s="990"/>
      <c r="P2770" s="990"/>
      <c r="Q2770" s="990"/>
      <c r="R2770" s="990"/>
      <c r="S2770" s="990"/>
      <c r="T2770" s="990"/>
      <c r="U2770" s="990"/>
      <c r="V2770" s="990"/>
      <c r="W2770" s="990"/>
      <c r="X2770" s="990"/>
    </row>
    <row r="2771" spans="1:24" s="896" customFormat="1" ht="38.25">
      <c r="A2771" s="987">
        <f t="shared" si="44"/>
        <v>2697</v>
      </c>
      <c r="B2771" s="988">
        <v>743</v>
      </c>
      <c r="C2771" s="899" t="s">
        <v>12097</v>
      </c>
      <c r="D2771" s="988" t="s">
        <v>2665</v>
      </c>
      <c r="E2771" s="989">
        <v>1.8</v>
      </c>
      <c r="F2771" s="990"/>
      <c r="G2771" s="990"/>
      <c r="H2771" s="990"/>
      <c r="I2771" s="990"/>
      <c r="J2771" s="990"/>
      <c r="K2771" s="990"/>
      <c r="L2771" s="990"/>
      <c r="M2771" s="990"/>
      <c r="N2771" s="990"/>
      <c r="O2771" s="990"/>
      <c r="P2771" s="990"/>
      <c r="Q2771" s="990"/>
      <c r="R2771" s="990"/>
      <c r="S2771" s="990"/>
      <c r="T2771" s="990"/>
      <c r="U2771" s="990"/>
      <c r="V2771" s="990"/>
      <c r="W2771" s="990"/>
      <c r="X2771" s="990"/>
    </row>
    <row r="2772" spans="1:24" s="896" customFormat="1" ht="51">
      <c r="A2772" s="987">
        <f t="shared" si="44"/>
        <v>2698</v>
      </c>
      <c r="B2772" s="988">
        <v>40293</v>
      </c>
      <c r="C2772" s="899" t="s">
        <v>12098</v>
      </c>
      <c r="D2772" s="988" t="s">
        <v>2665</v>
      </c>
      <c r="E2772" s="989">
        <v>2.16</v>
      </c>
      <c r="F2772" s="990"/>
      <c r="G2772" s="990"/>
      <c r="H2772" s="990"/>
      <c r="I2772" s="990"/>
      <c r="J2772" s="990"/>
      <c r="K2772" s="990"/>
      <c r="L2772" s="990"/>
      <c r="M2772" s="990"/>
      <c r="N2772" s="990"/>
      <c r="O2772" s="990"/>
      <c r="P2772" s="990"/>
      <c r="Q2772" s="990"/>
      <c r="R2772" s="990"/>
      <c r="S2772" s="990"/>
      <c r="T2772" s="990"/>
      <c r="U2772" s="990"/>
      <c r="V2772" s="990"/>
      <c r="W2772" s="990"/>
      <c r="X2772" s="990"/>
    </row>
    <row r="2773" spans="1:24" s="896" customFormat="1" ht="51">
      <c r="A2773" s="987">
        <f t="shared" si="44"/>
        <v>2699</v>
      </c>
      <c r="B2773" s="988">
        <v>40294</v>
      </c>
      <c r="C2773" s="899" t="s">
        <v>12099</v>
      </c>
      <c r="D2773" s="988" t="s">
        <v>2665</v>
      </c>
      <c r="E2773" s="989">
        <v>1.8</v>
      </c>
      <c r="F2773" s="990"/>
      <c r="G2773" s="990"/>
      <c r="H2773" s="990"/>
      <c r="I2773" s="990"/>
      <c r="J2773" s="990"/>
      <c r="K2773" s="990"/>
      <c r="L2773" s="990"/>
      <c r="M2773" s="990"/>
      <c r="N2773" s="990"/>
      <c r="O2773" s="990"/>
      <c r="P2773" s="990"/>
      <c r="Q2773" s="990"/>
      <c r="R2773" s="990"/>
      <c r="S2773" s="990"/>
      <c r="T2773" s="990"/>
      <c r="U2773" s="990"/>
      <c r="V2773" s="990"/>
      <c r="W2773" s="990"/>
      <c r="X2773" s="990"/>
    </row>
    <row r="2774" spans="1:24" s="896" customFormat="1" ht="38.25">
      <c r="A2774" s="987">
        <f t="shared" si="44"/>
        <v>2700</v>
      </c>
      <c r="B2774" s="988">
        <v>4085</v>
      </c>
      <c r="C2774" s="899" t="s">
        <v>12100</v>
      </c>
      <c r="D2774" s="988" t="s">
        <v>2665</v>
      </c>
      <c r="E2774" s="989">
        <v>2.52</v>
      </c>
      <c r="F2774" s="990"/>
      <c r="G2774" s="990"/>
      <c r="H2774" s="990"/>
      <c r="I2774" s="990"/>
      <c r="J2774" s="990"/>
      <c r="K2774" s="990"/>
      <c r="L2774" s="990"/>
      <c r="M2774" s="990"/>
      <c r="N2774" s="990"/>
      <c r="O2774" s="990"/>
      <c r="P2774" s="990"/>
      <c r="Q2774" s="990"/>
      <c r="R2774" s="990"/>
      <c r="S2774" s="990"/>
      <c r="T2774" s="990"/>
      <c r="U2774" s="990"/>
      <c r="V2774" s="990"/>
      <c r="W2774" s="990"/>
      <c r="X2774" s="990"/>
    </row>
    <row r="2775" spans="1:24" s="896" customFormat="1" ht="25.5">
      <c r="A2775" s="987">
        <f t="shared" si="44"/>
        <v>2701</v>
      </c>
      <c r="B2775" s="988">
        <v>10779</v>
      </c>
      <c r="C2775" s="899" t="s">
        <v>12101</v>
      </c>
      <c r="D2775" s="988" t="s">
        <v>2672</v>
      </c>
      <c r="E2775" s="989">
        <v>762.5</v>
      </c>
      <c r="F2775" s="990"/>
      <c r="G2775" s="990"/>
      <c r="H2775" s="990"/>
      <c r="I2775" s="990"/>
      <c r="J2775" s="990"/>
      <c r="K2775" s="990"/>
      <c r="L2775" s="990"/>
      <c r="M2775" s="990"/>
      <c r="N2775" s="990"/>
      <c r="O2775" s="990"/>
      <c r="P2775" s="990"/>
      <c r="Q2775" s="990"/>
      <c r="R2775" s="990"/>
      <c r="S2775" s="990"/>
      <c r="T2775" s="990"/>
      <c r="U2775" s="990"/>
      <c r="V2775" s="990"/>
      <c r="W2775" s="990"/>
      <c r="X2775" s="990"/>
    </row>
    <row r="2776" spans="1:24" s="896" customFormat="1" ht="25.5">
      <c r="A2776" s="987">
        <f t="shared" si="44"/>
        <v>2702</v>
      </c>
      <c r="B2776" s="988">
        <v>10777</v>
      </c>
      <c r="C2776" s="899" t="s">
        <v>12102</v>
      </c>
      <c r="D2776" s="988" t="s">
        <v>2672</v>
      </c>
      <c r="E2776" s="989">
        <v>692.6</v>
      </c>
      <c r="F2776" s="990"/>
      <c r="G2776" s="990"/>
      <c r="H2776" s="990"/>
      <c r="I2776" s="990"/>
      <c r="J2776" s="990"/>
      <c r="K2776" s="990"/>
      <c r="L2776" s="990"/>
      <c r="M2776" s="990"/>
      <c r="N2776" s="990"/>
      <c r="O2776" s="990"/>
      <c r="P2776" s="990"/>
      <c r="Q2776" s="990"/>
      <c r="R2776" s="990"/>
      <c r="S2776" s="990"/>
      <c r="T2776" s="990"/>
      <c r="U2776" s="990"/>
      <c r="V2776" s="990"/>
      <c r="W2776" s="990"/>
      <c r="X2776" s="990"/>
    </row>
    <row r="2777" spans="1:24" s="896" customFormat="1" ht="25.5">
      <c r="A2777" s="987">
        <f t="shared" si="44"/>
        <v>2703</v>
      </c>
      <c r="B2777" s="988">
        <v>10775</v>
      </c>
      <c r="C2777" s="899" t="s">
        <v>12103</v>
      </c>
      <c r="D2777" s="988" t="s">
        <v>2672</v>
      </c>
      <c r="E2777" s="989">
        <v>610</v>
      </c>
      <c r="F2777" s="990"/>
      <c r="G2777" s="990"/>
      <c r="H2777" s="990"/>
      <c r="I2777" s="990"/>
      <c r="J2777" s="990"/>
      <c r="K2777" s="990"/>
      <c r="L2777" s="990"/>
      <c r="M2777" s="990"/>
      <c r="N2777" s="990"/>
      <c r="O2777" s="990"/>
      <c r="P2777" s="990"/>
      <c r="Q2777" s="990"/>
      <c r="R2777" s="990"/>
      <c r="S2777" s="990"/>
      <c r="T2777" s="990"/>
      <c r="U2777" s="990"/>
      <c r="V2777" s="990"/>
      <c r="W2777" s="990"/>
      <c r="X2777" s="990"/>
    </row>
    <row r="2778" spans="1:24" s="896" customFormat="1" ht="25.5">
      <c r="A2778" s="987">
        <f t="shared" si="44"/>
        <v>2704</v>
      </c>
      <c r="B2778" s="988">
        <v>10776</v>
      </c>
      <c r="C2778" s="899" t="s">
        <v>12104</v>
      </c>
      <c r="D2778" s="988" t="s">
        <v>2672</v>
      </c>
      <c r="E2778" s="989">
        <v>476.56</v>
      </c>
      <c r="F2778" s="990"/>
      <c r="G2778" s="990"/>
      <c r="H2778" s="990"/>
      <c r="I2778" s="990"/>
      <c r="J2778" s="990"/>
      <c r="K2778" s="990"/>
      <c r="L2778" s="990"/>
      <c r="M2778" s="990"/>
      <c r="N2778" s="990"/>
      <c r="O2778" s="990"/>
      <c r="P2778" s="990"/>
      <c r="Q2778" s="990"/>
      <c r="R2778" s="990"/>
      <c r="S2778" s="990"/>
      <c r="T2778" s="990"/>
      <c r="U2778" s="990"/>
      <c r="V2778" s="990"/>
      <c r="W2778" s="990"/>
      <c r="X2778" s="990"/>
    </row>
    <row r="2779" spans="1:24" s="896" customFormat="1" ht="25.5">
      <c r="A2779" s="987">
        <f t="shared" si="44"/>
        <v>2705</v>
      </c>
      <c r="B2779" s="988">
        <v>10778</v>
      </c>
      <c r="C2779" s="899" t="s">
        <v>12105</v>
      </c>
      <c r="D2779" s="988" t="s">
        <v>2672</v>
      </c>
      <c r="E2779" s="989">
        <v>762.5</v>
      </c>
      <c r="F2779" s="990"/>
      <c r="G2779" s="990"/>
      <c r="H2779" s="990"/>
      <c r="I2779" s="990"/>
      <c r="J2779" s="990"/>
      <c r="K2779" s="990"/>
      <c r="L2779" s="990"/>
      <c r="M2779" s="990"/>
      <c r="N2779" s="990"/>
      <c r="O2779" s="990"/>
      <c r="P2779" s="990"/>
      <c r="Q2779" s="990"/>
      <c r="R2779" s="990"/>
      <c r="S2779" s="990"/>
      <c r="T2779" s="990"/>
      <c r="U2779" s="990"/>
      <c r="V2779" s="990"/>
      <c r="W2779" s="990"/>
      <c r="X2779" s="990"/>
    </row>
    <row r="2780" spans="1:24" s="896" customFormat="1">
      <c r="A2780" s="987">
        <f t="shared" si="44"/>
        <v>2706</v>
      </c>
      <c r="B2780" s="988">
        <v>40339</v>
      </c>
      <c r="C2780" s="899" t="s">
        <v>12106</v>
      </c>
      <c r="D2780" s="988" t="s">
        <v>2672</v>
      </c>
      <c r="E2780" s="989">
        <v>4.5</v>
      </c>
      <c r="F2780" s="990"/>
      <c r="G2780" s="990"/>
      <c r="H2780" s="990"/>
      <c r="I2780" s="990"/>
      <c r="J2780" s="990"/>
      <c r="K2780" s="990"/>
      <c r="L2780" s="990"/>
      <c r="M2780" s="990"/>
      <c r="N2780" s="990"/>
      <c r="O2780" s="990"/>
      <c r="P2780" s="990"/>
      <c r="Q2780" s="990"/>
      <c r="R2780" s="990"/>
      <c r="S2780" s="990"/>
      <c r="T2780" s="990"/>
      <c r="U2780" s="990"/>
      <c r="V2780" s="990"/>
      <c r="W2780" s="990"/>
      <c r="X2780" s="990"/>
    </row>
    <row r="2781" spans="1:24" s="896" customFormat="1" ht="38.25">
      <c r="A2781" s="987">
        <f t="shared" si="44"/>
        <v>2707</v>
      </c>
      <c r="B2781" s="988">
        <v>10749</v>
      </c>
      <c r="C2781" s="899" t="s">
        <v>12107</v>
      </c>
      <c r="D2781" s="988" t="s">
        <v>2672</v>
      </c>
      <c r="E2781" s="989">
        <v>8.24</v>
      </c>
      <c r="F2781" s="990"/>
      <c r="G2781" s="990"/>
      <c r="H2781" s="990"/>
      <c r="I2781" s="990"/>
      <c r="J2781" s="990"/>
      <c r="K2781" s="990"/>
      <c r="L2781" s="990"/>
      <c r="M2781" s="990"/>
      <c r="N2781" s="990"/>
      <c r="O2781" s="990"/>
      <c r="P2781" s="990"/>
      <c r="Q2781" s="990"/>
      <c r="R2781" s="990"/>
      <c r="S2781" s="990"/>
      <c r="T2781" s="990"/>
      <c r="U2781" s="990"/>
      <c r="V2781" s="990"/>
      <c r="W2781" s="990"/>
      <c r="X2781" s="990"/>
    </row>
    <row r="2782" spans="1:24" s="896" customFormat="1">
      <c r="A2782" s="987">
        <f t="shared" si="44"/>
        <v>2708</v>
      </c>
      <c r="B2782" s="988">
        <v>40290</v>
      </c>
      <c r="C2782" s="899" t="s">
        <v>12108</v>
      </c>
      <c r="D2782" s="988" t="s">
        <v>8373</v>
      </c>
      <c r="E2782" s="989">
        <v>11.88</v>
      </c>
      <c r="F2782" s="990"/>
      <c r="G2782" s="990"/>
      <c r="H2782" s="990"/>
      <c r="I2782" s="990"/>
      <c r="J2782" s="990"/>
      <c r="K2782" s="990"/>
      <c r="L2782" s="990"/>
      <c r="M2782" s="990"/>
      <c r="N2782" s="990"/>
      <c r="O2782" s="990"/>
      <c r="P2782" s="990"/>
      <c r="Q2782" s="990"/>
      <c r="R2782" s="990"/>
      <c r="S2782" s="990"/>
      <c r="T2782" s="990"/>
      <c r="U2782" s="990"/>
      <c r="V2782" s="990"/>
      <c r="W2782" s="990"/>
      <c r="X2782" s="990"/>
    </row>
    <row r="2783" spans="1:24" s="896" customFormat="1" ht="25.5">
      <c r="A2783" s="987">
        <f t="shared" si="44"/>
        <v>2709</v>
      </c>
      <c r="B2783" s="988">
        <v>3346</v>
      </c>
      <c r="C2783" s="899" t="s">
        <v>12109</v>
      </c>
      <c r="D2783" s="988" t="s">
        <v>2665</v>
      </c>
      <c r="E2783" s="989">
        <v>15.75</v>
      </c>
      <c r="F2783" s="990"/>
      <c r="G2783" s="990"/>
      <c r="H2783" s="990"/>
      <c r="I2783" s="990"/>
      <c r="J2783" s="990"/>
      <c r="K2783" s="990"/>
      <c r="L2783" s="990"/>
      <c r="M2783" s="990"/>
      <c r="N2783" s="990"/>
      <c r="O2783" s="990"/>
      <c r="P2783" s="990"/>
      <c r="Q2783" s="990"/>
      <c r="R2783" s="990"/>
      <c r="S2783" s="990"/>
      <c r="T2783" s="990"/>
      <c r="U2783" s="990"/>
      <c r="V2783" s="990"/>
      <c r="W2783" s="990"/>
      <c r="X2783" s="990"/>
    </row>
    <row r="2784" spans="1:24" s="896" customFormat="1" ht="25.5">
      <c r="A2784" s="987">
        <f t="shared" si="44"/>
        <v>2710</v>
      </c>
      <c r="B2784" s="988">
        <v>3348</v>
      </c>
      <c r="C2784" s="899" t="s">
        <v>12110</v>
      </c>
      <c r="D2784" s="988" t="s">
        <v>2665</v>
      </c>
      <c r="E2784" s="989">
        <v>18.84</v>
      </c>
      <c r="F2784" s="990"/>
      <c r="G2784" s="990"/>
      <c r="H2784" s="990"/>
      <c r="I2784" s="990"/>
      <c r="J2784" s="990"/>
      <c r="K2784" s="990"/>
      <c r="L2784" s="990"/>
      <c r="M2784" s="990"/>
      <c r="N2784" s="990"/>
      <c r="O2784" s="990"/>
      <c r="P2784" s="990"/>
      <c r="Q2784" s="990"/>
      <c r="R2784" s="990"/>
      <c r="S2784" s="990"/>
      <c r="T2784" s="990"/>
      <c r="U2784" s="990"/>
      <c r="V2784" s="990"/>
      <c r="W2784" s="990"/>
      <c r="X2784" s="990"/>
    </row>
    <row r="2785" spans="1:24" s="896" customFormat="1">
      <c r="A2785" s="987">
        <f t="shared" si="44"/>
        <v>2711</v>
      </c>
      <c r="B2785" s="988">
        <v>39833</v>
      </c>
      <c r="C2785" s="899" t="s">
        <v>12111</v>
      </c>
      <c r="D2785" s="988" t="s">
        <v>2665</v>
      </c>
      <c r="E2785" s="989">
        <v>25.81</v>
      </c>
      <c r="F2785" s="990"/>
      <c r="G2785" s="990"/>
      <c r="H2785" s="990"/>
      <c r="I2785" s="990"/>
      <c r="J2785" s="990"/>
      <c r="K2785" s="990"/>
      <c r="L2785" s="990"/>
      <c r="M2785" s="990"/>
      <c r="N2785" s="990"/>
      <c r="O2785" s="990"/>
      <c r="P2785" s="990"/>
      <c r="Q2785" s="990"/>
      <c r="R2785" s="990"/>
      <c r="S2785" s="990"/>
      <c r="T2785" s="990"/>
      <c r="U2785" s="990"/>
      <c r="V2785" s="990"/>
      <c r="W2785" s="990"/>
      <c r="X2785" s="990"/>
    </row>
    <row r="2786" spans="1:24" s="896" customFormat="1">
      <c r="A2786" s="987">
        <f t="shared" si="44"/>
        <v>2712</v>
      </c>
      <c r="B2786" s="988">
        <v>7252</v>
      </c>
      <c r="C2786" s="899" t="s">
        <v>12112</v>
      </c>
      <c r="D2786" s="988" t="s">
        <v>2665</v>
      </c>
      <c r="E2786" s="989">
        <v>2.25</v>
      </c>
      <c r="F2786" s="990"/>
      <c r="G2786" s="990"/>
      <c r="H2786" s="990"/>
      <c r="I2786" s="990"/>
      <c r="J2786" s="990"/>
      <c r="K2786" s="990"/>
      <c r="L2786" s="990"/>
      <c r="M2786" s="990"/>
      <c r="N2786" s="990"/>
      <c r="O2786" s="990"/>
      <c r="P2786" s="990"/>
      <c r="Q2786" s="990"/>
      <c r="R2786" s="990"/>
      <c r="S2786" s="990"/>
      <c r="T2786" s="990"/>
      <c r="U2786" s="990"/>
      <c r="V2786" s="990"/>
      <c r="W2786" s="990"/>
      <c r="X2786" s="990"/>
    </row>
    <row r="2787" spans="1:24" s="896" customFormat="1" ht="25.5">
      <c r="A2787" s="987">
        <f t="shared" si="44"/>
        <v>2713</v>
      </c>
      <c r="B2787" s="988">
        <v>7247</v>
      </c>
      <c r="C2787" s="899" t="s">
        <v>12113</v>
      </c>
      <c r="D2787" s="988" t="s">
        <v>2665</v>
      </c>
      <c r="E2787" s="989">
        <v>2.25</v>
      </c>
      <c r="F2787" s="990"/>
      <c r="G2787" s="990"/>
      <c r="H2787" s="990"/>
      <c r="I2787" s="990"/>
      <c r="J2787" s="990"/>
      <c r="K2787" s="990"/>
      <c r="L2787" s="990"/>
      <c r="M2787" s="990"/>
      <c r="N2787" s="990"/>
      <c r="O2787" s="990"/>
      <c r="P2787" s="990"/>
      <c r="Q2787" s="990"/>
      <c r="R2787" s="990"/>
      <c r="S2787" s="990"/>
      <c r="T2787" s="990"/>
      <c r="U2787" s="990"/>
      <c r="V2787" s="990"/>
      <c r="W2787" s="990"/>
      <c r="X2787" s="990"/>
    </row>
    <row r="2788" spans="1:24" s="896" customFormat="1" ht="25.5">
      <c r="A2788" s="987">
        <f t="shared" si="44"/>
        <v>2714</v>
      </c>
      <c r="B2788" s="988">
        <v>40291</v>
      </c>
      <c r="C2788" s="899" t="s">
        <v>12114</v>
      </c>
      <c r="D2788" s="988" t="s">
        <v>2672</v>
      </c>
      <c r="E2788" s="989">
        <v>627.91999999999996</v>
      </c>
      <c r="F2788" s="990"/>
      <c r="G2788" s="990"/>
      <c r="H2788" s="990"/>
      <c r="I2788" s="990"/>
      <c r="J2788" s="990"/>
      <c r="K2788" s="990"/>
      <c r="L2788" s="990"/>
      <c r="M2788" s="990"/>
      <c r="N2788" s="990"/>
      <c r="O2788" s="990"/>
      <c r="P2788" s="990"/>
      <c r="Q2788" s="990"/>
      <c r="R2788" s="990"/>
      <c r="S2788" s="990"/>
      <c r="T2788" s="990"/>
      <c r="U2788" s="990"/>
      <c r="V2788" s="990"/>
      <c r="W2788" s="990"/>
      <c r="X2788" s="990"/>
    </row>
    <row r="2789" spans="1:24" s="896" customFormat="1" ht="25.5">
      <c r="A2789" s="987">
        <f t="shared" si="44"/>
        <v>2715</v>
      </c>
      <c r="B2789" s="988">
        <v>40275</v>
      </c>
      <c r="C2789" s="899" t="s">
        <v>12115</v>
      </c>
      <c r="D2789" s="988" t="s">
        <v>2672</v>
      </c>
      <c r="E2789" s="989">
        <v>18</v>
      </c>
      <c r="F2789" s="990"/>
      <c r="G2789" s="990"/>
      <c r="H2789" s="990"/>
      <c r="I2789" s="990"/>
      <c r="J2789" s="990"/>
      <c r="K2789" s="990"/>
      <c r="L2789" s="990"/>
      <c r="M2789" s="990"/>
      <c r="N2789" s="990"/>
      <c r="O2789" s="990"/>
      <c r="P2789" s="990"/>
      <c r="Q2789" s="990"/>
      <c r="R2789" s="990"/>
      <c r="S2789" s="990"/>
      <c r="T2789" s="990"/>
      <c r="U2789" s="990"/>
      <c r="V2789" s="990"/>
      <c r="W2789" s="990"/>
      <c r="X2789" s="990"/>
    </row>
    <row r="2790" spans="1:24" s="896" customFormat="1">
      <c r="A2790" s="987">
        <f t="shared" si="44"/>
        <v>2716</v>
      </c>
      <c r="B2790" s="988">
        <v>42408</v>
      </c>
      <c r="C2790" s="899" t="s">
        <v>12116</v>
      </c>
      <c r="D2790" s="988" t="s">
        <v>2667</v>
      </c>
      <c r="E2790" s="989">
        <v>2.17</v>
      </c>
      <c r="F2790" s="990"/>
      <c r="G2790" s="990"/>
      <c r="H2790" s="990"/>
      <c r="I2790" s="990"/>
      <c r="J2790" s="990"/>
      <c r="K2790" s="990"/>
      <c r="L2790" s="990"/>
      <c r="M2790" s="990"/>
      <c r="N2790" s="990"/>
      <c r="O2790" s="990"/>
      <c r="P2790" s="990"/>
      <c r="Q2790" s="990"/>
      <c r="R2790" s="990"/>
      <c r="S2790" s="990"/>
      <c r="T2790" s="990"/>
      <c r="U2790" s="990"/>
      <c r="V2790" s="990"/>
      <c r="W2790" s="990"/>
      <c r="X2790" s="990"/>
    </row>
    <row r="2791" spans="1:24" s="896" customFormat="1">
      <c r="A2791" s="987">
        <f t="shared" si="44"/>
        <v>2717</v>
      </c>
      <c r="B2791" s="988">
        <v>3777</v>
      </c>
      <c r="C2791" s="899" t="s">
        <v>12117</v>
      </c>
      <c r="D2791" s="988" t="s">
        <v>2667</v>
      </c>
      <c r="E2791" s="989">
        <v>1.57</v>
      </c>
      <c r="F2791" s="990"/>
      <c r="G2791" s="990"/>
      <c r="H2791" s="990"/>
      <c r="I2791" s="990"/>
      <c r="J2791" s="990"/>
      <c r="K2791" s="990"/>
      <c r="L2791" s="990"/>
      <c r="M2791" s="990"/>
      <c r="N2791" s="990"/>
      <c r="O2791" s="990"/>
      <c r="P2791" s="990"/>
      <c r="Q2791" s="990"/>
      <c r="R2791" s="990"/>
      <c r="S2791" s="990"/>
      <c r="T2791" s="990"/>
      <c r="U2791" s="990"/>
      <c r="V2791" s="990"/>
      <c r="W2791" s="990"/>
      <c r="X2791" s="990"/>
    </row>
    <row r="2792" spans="1:24" s="896" customFormat="1">
      <c r="A2792" s="987">
        <f t="shared" si="44"/>
        <v>2718</v>
      </c>
      <c r="B2792" s="988">
        <v>3798</v>
      </c>
      <c r="C2792" s="899" t="s">
        <v>12118</v>
      </c>
      <c r="D2792" s="988" t="s">
        <v>2666</v>
      </c>
      <c r="E2792" s="989">
        <v>104.16</v>
      </c>
      <c r="F2792" s="990"/>
      <c r="G2792" s="990"/>
      <c r="H2792" s="990"/>
      <c r="I2792" s="990"/>
      <c r="J2792" s="990"/>
      <c r="K2792" s="990"/>
      <c r="L2792" s="990"/>
      <c r="M2792" s="990"/>
      <c r="N2792" s="990"/>
      <c r="O2792" s="990"/>
      <c r="P2792" s="990"/>
      <c r="Q2792" s="990"/>
      <c r="R2792" s="990"/>
      <c r="S2792" s="990"/>
      <c r="T2792" s="990"/>
      <c r="U2792" s="990"/>
      <c r="V2792" s="990"/>
      <c r="W2792" s="990"/>
      <c r="X2792" s="990"/>
    </row>
    <row r="2793" spans="1:24" s="896" customFormat="1" ht="25.5">
      <c r="A2793" s="987">
        <f t="shared" si="44"/>
        <v>2719</v>
      </c>
      <c r="B2793" s="988">
        <v>38769</v>
      </c>
      <c r="C2793" s="899" t="s">
        <v>12119</v>
      </c>
      <c r="D2793" s="988" t="s">
        <v>2666</v>
      </c>
      <c r="E2793" s="989">
        <v>81.349999999999994</v>
      </c>
      <c r="F2793" s="990"/>
      <c r="G2793" s="990"/>
      <c r="H2793" s="990"/>
      <c r="I2793" s="990"/>
      <c r="J2793" s="990"/>
      <c r="K2793" s="990"/>
      <c r="L2793" s="990"/>
      <c r="M2793" s="990"/>
      <c r="N2793" s="990"/>
      <c r="O2793" s="990"/>
      <c r="P2793" s="990"/>
      <c r="Q2793" s="990"/>
      <c r="R2793" s="990"/>
      <c r="S2793" s="990"/>
      <c r="T2793" s="990"/>
      <c r="U2793" s="990"/>
      <c r="V2793" s="990"/>
      <c r="W2793" s="990"/>
      <c r="X2793" s="990"/>
    </row>
    <row r="2794" spans="1:24" s="896" customFormat="1" ht="25.5">
      <c r="A2794" s="987">
        <f t="shared" si="44"/>
        <v>2720</v>
      </c>
      <c r="B2794" s="988">
        <v>39510</v>
      </c>
      <c r="C2794" s="899" t="s">
        <v>12120</v>
      </c>
      <c r="D2794" s="988" t="s">
        <v>2666</v>
      </c>
      <c r="E2794" s="989">
        <v>329.22</v>
      </c>
      <c r="F2794" s="990"/>
      <c r="G2794" s="990"/>
      <c r="H2794" s="990"/>
      <c r="I2794" s="990"/>
      <c r="J2794" s="990"/>
      <c r="K2794" s="990"/>
      <c r="L2794" s="990"/>
      <c r="M2794" s="990"/>
      <c r="N2794" s="990"/>
      <c r="O2794" s="990"/>
      <c r="P2794" s="990"/>
      <c r="Q2794" s="990"/>
      <c r="R2794" s="990"/>
      <c r="S2794" s="990"/>
      <c r="T2794" s="990"/>
      <c r="U2794" s="990"/>
      <c r="V2794" s="990"/>
      <c r="W2794" s="990"/>
      <c r="X2794" s="990"/>
    </row>
    <row r="2795" spans="1:24" s="896" customFormat="1" ht="25.5">
      <c r="A2795" s="987">
        <f t="shared" si="44"/>
        <v>2721</v>
      </c>
      <c r="B2795" s="988">
        <v>38776</v>
      </c>
      <c r="C2795" s="899" t="s">
        <v>12121</v>
      </c>
      <c r="D2795" s="988" t="s">
        <v>2666</v>
      </c>
      <c r="E2795" s="989">
        <v>349.4</v>
      </c>
      <c r="F2795" s="990"/>
      <c r="G2795" s="990"/>
      <c r="H2795" s="990"/>
      <c r="I2795" s="990"/>
      <c r="J2795" s="990"/>
      <c r="K2795" s="990"/>
      <c r="L2795" s="990"/>
      <c r="M2795" s="990"/>
      <c r="N2795" s="990"/>
      <c r="O2795" s="990"/>
      <c r="P2795" s="990"/>
      <c r="Q2795" s="990"/>
      <c r="R2795" s="990"/>
      <c r="S2795" s="990"/>
      <c r="T2795" s="990"/>
      <c r="U2795" s="990"/>
      <c r="V2795" s="990"/>
      <c r="W2795" s="990"/>
      <c r="X2795" s="990"/>
    </row>
    <row r="2796" spans="1:24" s="896" customFormat="1" ht="25.5">
      <c r="A2796" s="987">
        <f t="shared" si="44"/>
        <v>2722</v>
      </c>
      <c r="B2796" s="988">
        <v>38774</v>
      </c>
      <c r="C2796" s="899" t="s">
        <v>12122</v>
      </c>
      <c r="D2796" s="988" t="s">
        <v>2666</v>
      </c>
      <c r="E2796" s="989">
        <v>20.350000000000001</v>
      </c>
      <c r="F2796" s="990"/>
      <c r="G2796" s="990"/>
      <c r="H2796" s="990"/>
      <c r="I2796" s="990"/>
      <c r="J2796" s="990"/>
      <c r="K2796" s="990"/>
      <c r="L2796" s="990"/>
      <c r="M2796" s="990"/>
      <c r="N2796" s="990"/>
      <c r="O2796" s="990"/>
      <c r="P2796" s="990"/>
      <c r="Q2796" s="990"/>
      <c r="R2796" s="990"/>
      <c r="S2796" s="990"/>
      <c r="T2796" s="990"/>
      <c r="U2796" s="990"/>
      <c r="V2796" s="990"/>
      <c r="W2796" s="990"/>
      <c r="X2796" s="990"/>
    </row>
    <row r="2797" spans="1:24" s="896" customFormat="1" ht="25.5">
      <c r="A2797" s="987">
        <f t="shared" si="44"/>
        <v>2723</v>
      </c>
      <c r="B2797" s="988">
        <v>42247</v>
      </c>
      <c r="C2797" s="899" t="s">
        <v>12123</v>
      </c>
      <c r="D2797" s="988" t="s">
        <v>2666</v>
      </c>
      <c r="E2797" s="989">
        <v>694.56</v>
      </c>
      <c r="F2797" s="990"/>
      <c r="G2797" s="990"/>
      <c r="H2797" s="990"/>
      <c r="I2797" s="990"/>
      <c r="J2797" s="990"/>
      <c r="K2797" s="990"/>
      <c r="L2797" s="990"/>
      <c r="M2797" s="990"/>
      <c r="N2797" s="990"/>
      <c r="O2797" s="990"/>
      <c r="P2797" s="990"/>
      <c r="Q2797" s="990"/>
      <c r="R2797" s="990"/>
      <c r="S2797" s="990"/>
      <c r="T2797" s="990"/>
      <c r="U2797" s="990"/>
      <c r="V2797" s="990"/>
      <c r="W2797" s="990"/>
      <c r="X2797" s="990"/>
    </row>
    <row r="2798" spans="1:24" s="896" customFormat="1" ht="25.5">
      <c r="A2798" s="987">
        <f t="shared" si="44"/>
        <v>2724</v>
      </c>
      <c r="B2798" s="988">
        <v>42248</v>
      </c>
      <c r="C2798" s="899" t="s">
        <v>12124</v>
      </c>
      <c r="D2798" s="988" t="s">
        <v>2666</v>
      </c>
      <c r="E2798" s="989">
        <v>806.79</v>
      </c>
      <c r="F2798" s="990"/>
      <c r="G2798" s="990"/>
      <c r="H2798" s="990"/>
      <c r="I2798" s="990"/>
      <c r="J2798" s="990"/>
      <c r="K2798" s="990"/>
      <c r="L2798" s="990"/>
      <c r="M2798" s="990"/>
      <c r="N2798" s="990"/>
      <c r="O2798" s="990"/>
      <c r="P2798" s="990"/>
      <c r="Q2798" s="990"/>
      <c r="R2798" s="990"/>
      <c r="S2798" s="990"/>
      <c r="T2798" s="990"/>
      <c r="U2798" s="990"/>
      <c r="V2798" s="990"/>
      <c r="W2798" s="990"/>
      <c r="X2798" s="990"/>
    </row>
    <row r="2799" spans="1:24" s="896" customFormat="1" ht="25.5">
      <c r="A2799" s="987">
        <f t="shared" si="44"/>
        <v>2725</v>
      </c>
      <c r="B2799" s="988">
        <v>42249</v>
      </c>
      <c r="C2799" s="899" t="s">
        <v>12125</v>
      </c>
      <c r="D2799" s="988" t="s">
        <v>2666</v>
      </c>
      <c r="E2799" s="989">
        <v>1336.56</v>
      </c>
      <c r="F2799" s="990"/>
      <c r="G2799" s="990"/>
      <c r="H2799" s="990"/>
      <c r="I2799" s="990"/>
      <c r="J2799" s="990"/>
      <c r="K2799" s="990"/>
      <c r="L2799" s="990"/>
      <c r="M2799" s="990"/>
      <c r="N2799" s="990"/>
      <c r="O2799" s="990"/>
      <c r="P2799" s="990"/>
      <c r="Q2799" s="990"/>
      <c r="R2799" s="990"/>
      <c r="S2799" s="990"/>
      <c r="T2799" s="990"/>
      <c r="U2799" s="990"/>
      <c r="V2799" s="990"/>
      <c r="W2799" s="990"/>
      <c r="X2799" s="990"/>
    </row>
    <row r="2800" spans="1:24" s="896" customFormat="1" ht="25.5">
      <c r="A2800" s="987">
        <f t="shared" si="44"/>
        <v>2726</v>
      </c>
      <c r="B2800" s="988">
        <v>42244</v>
      </c>
      <c r="C2800" s="899" t="s">
        <v>12126</v>
      </c>
      <c r="D2800" s="988" t="s">
        <v>2666</v>
      </c>
      <c r="E2800" s="989">
        <v>208.73</v>
      </c>
      <c r="F2800" s="990"/>
      <c r="G2800" s="990"/>
      <c r="H2800" s="990"/>
      <c r="I2800" s="990"/>
      <c r="J2800" s="990"/>
      <c r="K2800" s="990"/>
      <c r="L2800" s="990"/>
      <c r="M2800" s="990"/>
      <c r="N2800" s="990"/>
      <c r="O2800" s="990"/>
      <c r="P2800" s="990"/>
      <c r="Q2800" s="990"/>
      <c r="R2800" s="990"/>
      <c r="S2800" s="990"/>
      <c r="T2800" s="990"/>
      <c r="U2800" s="990"/>
      <c r="V2800" s="990"/>
      <c r="W2800" s="990"/>
      <c r="X2800" s="990"/>
    </row>
    <row r="2801" spans="1:24" s="896" customFormat="1" ht="25.5">
      <c r="A2801" s="987">
        <f t="shared" si="44"/>
        <v>2727</v>
      </c>
      <c r="B2801" s="988">
        <v>42245</v>
      </c>
      <c r="C2801" s="899" t="s">
        <v>12127</v>
      </c>
      <c r="D2801" s="988" t="s">
        <v>2666</v>
      </c>
      <c r="E2801" s="989">
        <v>385.17</v>
      </c>
      <c r="F2801" s="990"/>
      <c r="G2801" s="990"/>
      <c r="H2801" s="990"/>
      <c r="I2801" s="990"/>
      <c r="J2801" s="990"/>
      <c r="K2801" s="990"/>
      <c r="L2801" s="990"/>
      <c r="M2801" s="990"/>
      <c r="N2801" s="990"/>
      <c r="O2801" s="990"/>
      <c r="P2801" s="990"/>
      <c r="Q2801" s="990"/>
      <c r="R2801" s="990"/>
      <c r="S2801" s="990"/>
      <c r="T2801" s="990"/>
      <c r="U2801" s="990"/>
      <c r="V2801" s="990"/>
      <c r="W2801" s="990"/>
      <c r="X2801" s="990"/>
    </row>
    <row r="2802" spans="1:24" s="896" customFormat="1" ht="25.5">
      <c r="A2802" s="987">
        <f t="shared" si="44"/>
        <v>2728</v>
      </c>
      <c r="B2802" s="988">
        <v>42246</v>
      </c>
      <c r="C2802" s="899" t="s">
        <v>12128</v>
      </c>
      <c r="D2802" s="988" t="s">
        <v>2666</v>
      </c>
      <c r="E2802" s="989">
        <v>426.37</v>
      </c>
      <c r="F2802" s="990"/>
      <c r="G2802" s="990"/>
      <c r="H2802" s="990"/>
      <c r="I2802" s="990"/>
      <c r="J2802" s="990"/>
      <c r="K2802" s="990"/>
      <c r="L2802" s="990"/>
      <c r="M2802" s="990"/>
      <c r="N2802" s="990"/>
      <c r="O2802" s="990"/>
      <c r="P2802" s="990"/>
      <c r="Q2802" s="990"/>
      <c r="R2802" s="990"/>
      <c r="S2802" s="990"/>
      <c r="T2802" s="990"/>
      <c r="U2802" s="990"/>
      <c r="V2802" s="990"/>
      <c r="W2802" s="990"/>
      <c r="X2802" s="990"/>
    </row>
    <row r="2803" spans="1:24" s="896" customFormat="1" ht="25.5">
      <c r="A2803" s="987">
        <f t="shared" si="44"/>
        <v>2729</v>
      </c>
      <c r="B2803" s="988">
        <v>42243</v>
      </c>
      <c r="C2803" s="899" t="s">
        <v>12129</v>
      </c>
      <c r="D2803" s="988" t="s">
        <v>2666</v>
      </c>
      <c r="E2803" s="989">
        <v>514.12</v>
      </c>
      <c r="F2803" s="990"/>
      <c r="G2803" s="990"/>
      <c r="H2803" s="990"/>
      <c r="I2803" s="990"/>
      <c r="J2803" s="990"/>
      <c r="K2803" s="990"/>
      <c r="L2803" s="990"/>
      <c r="M2803" s="990"/>
      <c r="N2803" s="990"/>
      <c r="O2803" s="990"/>
      <c r="P2803" s="990"/>
      <c r="Q2803" s="990"/>
      <c r="R2803" s="990"/>
      <c r="S2803" s="990"/>
      <c r="T2803" s="990"/>
      <c r="U2803" s="990"/>
      <c r="V2803" s="990"/>
      <c r="W2803" s="990"/>
      <c r="X2803" s="990"/>
    </row>
    <row r="2804" spans="1:24" s="896" customFormat="1" ht="25.5">
      <c r="A2804" s="987">
        <f t="shared" si="44"/>
        <v>2730</v>
      </c>
      <c r="B2804" s="988">
        <v>38889</v>
      </c>
      <c r="C2804" s="899" t="s">
        <v>12130</v>
      </c>
      <c r="D2804" s="988" t="s">
        <v>2666</v>
      </c>
      <c r="E2804" s="989">
        <v>62.35</v>
      </c>
      <c r="F2804" s="990"/>
      <c r="G2804" s="990"/>
      <c r="H2804" s="990"/>
      <c r="I2804" s="990"/>
      <c r="J2804" s="990"/>
      <c r="K2804" s="990"/>
      <c r="L2804" s="990"/>
      <c r="M2804" s="990"/>
      <c r="N2804" s="990"/>
      <c r="O2804" s="990"/>
      <c r="P2804" s="990"/>
      <c r="Q2804" s="990"/>
      <c r="R2804" s="990"/>
      <c r="S2804" s="990"/>
      <c r="T2804" s="990"/>
      <c r="U2804" s="990"/>
      <c r="V2804" s="990"/>
      <c r="W2804" s="990"/>
      <c r="X2804" s="990"/>
    </row>
    <row r="2805" spans="1:24" s="896" customFormat="1" ht="25.5">
      <c r="A2805" s="987">
        <f t="shared" si="44"/>
        <v>2731</v>
      </c>
      <c r="B2805" s="988">
        <v>38784</v>
      </c>
      <c r="C2805" s="899" t="s">
        <v>12131</v>
      </c>
      <c r="D2805" s="988" t="s">
        <v>2666</v>
      </c>
      <c r="E2805" s="989">
        <v>83.41</v>
      </c>
      <c r="F2805" s="990"/>
      <c r="G2805" s="990"/>
      <c r="H2805" s="990"/>
      <c r="I2805" s="990"/>
      <c r="J2805" s="990"/>
      <c r="K2805" s="990"/>
      <c r="L2805" s="990"/>
      <c r="M2805" s="990"/>
      <c r="N2805" s="990"/>
      <c r="O2805" s="990"/>
      <c r="P2805" s="990"/>
      <c r="Q2805" s="990"/>
      <c r="R2805" s="990"/>
      <c r="S2805" s="990"/>
      <c r="T2805" s="990"/>
      <c r="U2805" s="990"/>
      <c r="V2805" s="990"/>
      <c r="W2805" s="990"/>
      <c r="X2805" s="990"/>
    </row>
    <row r="2806" spans="1:24" s="896" customFormat="1" ht="25.5">
      <c r="A2806" s="987">
        <f t="shared" si="44"/>
        <v>2732</v>
      </c>
      <c r="B2806" s="988">
        <v>3788</v>
      </c>
      <c r="C2806" s="899" t="s">
        <v>12132</v>
      </c>
      <c r="D2806" s="988" t="s">
        <v>2666</v>
      </c>
      <c r="E2806" s="989">
        <v>86.93</v>
      </c>
      <c r="F2806" s="990"/>
      <c r="G2806" s="990"/>
      <c r="H2806" s="990"/>
      <c r="I2806" s="990"/>
      <c r="J2806" s="990"/>
      <c r="K2806" s="990"/>
      <c r="L2806" s="990"/>
      <c r="M2806" s="990"/>
      <c r="N2806" s="990"/>
      <c r="O2806" s="990"/>
      <c r="P2806" s="990"/>
      <c r="Q2806" s="990"/>
      <c r="R2806" s="990"/>
      <c r="S2806" s="990"/>
      <c r="T2806" s="990"/>
      <c r="U2806" s="990"/>
      <c r="V2806" s="990"/>
      <c r="W2806" s="990"/>
      <c r="X2806" s="990"/>
    </row>
    <row r="2807" spans="1:24" s="896" customFormat="1" ht="25.5">
      <c r="A2807" s="987">
        <f t="shared" si="44"/>
        <v>2733</v>
      </c>
      <c r="B2807" s="988">
        <v>12230</v>
      </c>
      <c r="C2807" s="899" t="s">
        <v>12133</v>
      </c>
      <c r="D2807" s="988" t="s">
        <v>2666</v>
      </c>
      <c r="E2807" s="989">
        <v>22.36</v>
      </c>
      <c r="F2807" s="990"/>
      <c r="G2807" s="990"/>
      <c r="H2807" s="990"/>
      <c r="I2807" s="990"/>
      <c r="J2807" s="990"/>
      <c r="K2807" s="990"/>
      <c r="L2807" s="990"/>
      <c r="M2807" s="990"/>
      <c r="N2807" s="990"/>
      <c r="O2807" s="990"/>
      <c r="P2807" s="990"/>
      <c r="Q2807" s="990"/>
      <c r="R2807" s="990"/>
      <c r="S2807" s="990"/>
      <c r="T2807" s="990"/>
      <c r="U2807" s="990"/>
      <c r="V2807" s="990"/>
      <c r="W2807" s="990"/>
      <c r="X2807" s="990"/>
    </row>
    <row r="2808" spans="1:24" s="896" customFormat="1" ht="25.5">
      <c r="A2808" s="987">
        <f t="shared" si="44"/>
        <v>2734</v>
      </c>
      <c r="B2808" s="988">
        <v>3780</v>
      </c>
      <c r="C2808" s="899" t="s">
        <v>12134</v>
      </c>
      <c r="D2808" s="988" t="s">
        <v>2666</v>
      </c>
      <c r="E2808" s="989">
        <v>128.25</v>
      </c>
      <c r="F2808" s="990"/>
      <c r="G2808" s="990"/>
      <c r="H2808" s="990"/>
      <c r="I2808" s="990"/>
      <c r="J2808" s="990"/>
      <c r="K2808" s="990"/>
      <c r="L2808" s="990"/>
      <c r="M2808" s="990"/>
      <c r="N2808" s="990"/>
      <c r="O2808" s="990"/>
      <c r="P2808" s="990"/>
      <c r="Q2808" s="990"/>
      <c r="R2808" s="990"/>
      <c r="S2808" s="990"/>
      <c r="T2808" s="990"/>
      <c r="U2808" s="990"/>
      <c r="V2808" s="990"/>
      <c r="W2808" s="990"/>
      <c r="X2808" s="990"/>
    </row>
    <row r="2809" spans="1:24" s="896" customFormat="1" ht="25.5">
      <c r="A2809" s="987">
        <f t="shared" si="44"/>
        <v>2735</v>
      </c>
      <c r="B2809" s="988">
        <v>12231</v>
      </c>
      <c r="C2809" s="899" t="s">
        <v>12135</v>
      </c>
      <c r="D2809" s="988" t="s">
        <v>2666</v>
      </c>
      <c r="E2809" s="989">
        <v>37.18</v>
      </c>
      <c r="F2809" s="990"/>
      <c r="G2809" s="990"/>
      <c r="H2809" s="990"/>
      <c r="I2809" s="990"/>
      <c r="J2809" s="990"/>
      <c r="K2809" s="990"/>
      <c r="L2809" s="990"/>
      <c r="M2809" s="990"/>
      <c r="N2809" s="990"/>
      <c r="O2809" s="990"/>
      <c r="P2809" s="990"/>
      <c r="Q2809" s="990"/>
      <c r="R2809" s="990"/>
      <c r="S2809" s="990"/>
      <c r="T2809" s="990"/>
      <c r="U2809" s="990"/>
      <c r="V2809" s="990"/>
      <c r="W2809" s="990"/>
      <c r="X2809" s="990"/>
    </row>
    <row r="2810" spans="1:24" s="896" customFormat="1" ht="25.5">
      <c r="A2810" s="987">
        <f t="shared" si="44"/>
        <v>2736</v>
      </c>
      <c r="B2810" s="988">
        <v>3811</v>
      </c>
      <c r="C2810" s="899" t="s">
        <v>12136</v>
      </c>
      <c r="D2810" s="988" t="s">
        <v>2666</v>
      </c>
      <c r="E2810" s="989">
        <v>120.46</v>
      </c>
      <c r="F2810" s="990"/>
      <c r="G2810" s="990"/>
      <c r="H2810" s="990"/>
      <c r="I2810" s="990"/>
      <c r="J2810" s="990"/>
      <c r="K2810" s="990"/>
      <c r="L2810" s="990"/>
      <c r="M2810" s="990"/>
      <c r="N2810" s="990"/>
      <c r="O2810" s="990"/>
      <c r="P2810" s="990"/>
      <c r="Q2810" s="990"/>
      <c r="R2810" s="990"/>
      <c r="S2810" s="990"/>
      <c r="T2810" s="990"/>
      <c r="U2810" s="990"/>
      <c r="V2810" s="990"/>
      <c r="W2810" s="990"/>
      <c r="X2810" s="990"/>
    </row>
    <row r="2811" spans="1:24" s="896" customFormat="1" ht="25.5">
      <c r="A2811" s="987">
        <f t="shared" si="44"/>
        <v>2737</v>
      </c>
      <c r="B2811" s="988">
        <v>12232</v>
      </c>
      <c r="C2811" s="899" t="s">
        <v>12137</v>
      </c>
      <c r="D2811" s="988" t="s">
        <v>2666</v>
      </c>
      <c r="E2811" s="989">
        <v>38.950000000000003</v>
      </c>
      <c r="F2811" s="990"/>
      <c r="G2811" s="990"/>
      <c r="H2811" s="990"/>
      <c r="I2811" s="990"/>
      <c r="J2811" s="990"/>
      <c r="K2811" s="990"/>
      <c r="L2811" s="990"/>
      <c r="M2811" s="990"/>
      <c r="N2811" s="990"/>
      <c r="O2811" s="990"/>
      <c r="P2811" s="990"/>
      <c r="Q2811" s="990"/>
      <c r="R2811" s="990"/>
      <c r="S2811" s="990"/>
      <c r="T2811" s="990"/>
      <c r="U2811" s="990"/>
      <c r="V2811" s="990"/>
      <c r="W2811" s="990"/>
      <c r="X2811" s="990"/>
    </row>
    <row r="2812" spans="1:24" s="896" customFormat="1" ht="25.5">
      <c r="A2812" s="987">
        <f t="shared" si="44"/>
        <v>2738</v>
      </c>
      <c r="B2812" s="988">
        <v>3799</v>
      </c>
      <c r="C2812" s="899" t="s">
        <v>12138</v>
      </c>
      <c r="D2812" s="988" t="s">
        <v>2666</v>
      </c>
      <c r="E2812" s="989">
        <v>170.37</v>
      </c>
      <c r="F2812" s="990"/>
      <c r="G2812" s="990"/>
      <c r="H2812" s="990"/>
      <c r="I2812" s="990"/>
      <c r="J2812" s="990"/>
      <c r="K2812" s="990"/>
      <c r="L2812" s="990"/>
      <c r="M2812" s="990"/>
      <c r="N2812" s="990"/>
      <c r="O2812" s="990"/>
      <c r="P2812" s="990"/>
      <c r="Q2812" s="990"/>
      <c r="R2812" s="990"/>
      <c r="S2812" s="990"/>
      <c r="T2812" s="990"/>
      <c r="U2812" s="990"/>
      <c r="V2812" s="990"/>
      <c r="W2812" s="990"/>
      <c r="X2812" s="990"/>
    </row>
    <row r="2813" spans="1:24" s="896" customFormat="1" ht="25.5">
      <c r="A2813" s="987">
        <f t="shared" si="44"/>
        <v>2739</v>
      </c>
      <c r="B2813" s="988">
        <v>12239</v>
      </c>
      <c r="C2813" s="899" t="s">
        <v>12139</v>
      </c>
      <c r="D2813" s="988" t="s">
        <v>2666</v>
      </c>
      <c r="E2813" s="989">
        <v>51</v>
      </c>
      <c r="F2813" s="990"/>
      <c r="G2813" s="990"/>
      <c r="H2813" s="990"/>
      <c r="I2813" s="990"/>
      <c r="J2813" s="990"/>
      <c r="K2813" s="990"/>
      <c r="L2813" s="990"/>
      <c r="M2813" s="990"/>
      <c r="N2813" s="990"/>
      <c r="O2813" s="990"/>
      <c r="P2813" s="990"/>
      <c r="Q2813" s="990"/>
      <c r="R2813" s="990"/>
      <c r="S2813" s="990"/>
      <c r="T2813" s="990"/>
      <c r="U2813" s="990"/>
      <c r="V2813" s="990"/>
      <c r="W2813" s="990"/>
      <c r="X2813" s="990"/>
    </row>
    <row r="2814" spans="1:24" s="896" customFormat="1" ht="25.5">
      <c r="A2814" s="987">
        <f t="shared" si="44"/>
        <v>2740</v>
      </c>
      <c r="B2814" s="988">
        <v>38773</v>
      </c>
      <c r="C2814" s="899" t="s">
        <v>12140</v>
      </c>
      <c r="D2814" s="988" t="s">
        <v>2666</v>
      </c>
      <c r="E2814" s="989">
        <v>8.18</v>
      </c>
      <c r="F2814" s="990"/>
      <c r="G2814" s="990"/>
      <c r="H2814" s="990"/>
      <c r="I2814" s="990"/>
      <c r="J2814" s="990"/>
      <c r="K2814" s="990"/>
      <c r="L2814" s="990"/>
      <c r="M2814" s="990"/>
      <c r="N2814" s="990"/>
      <c r="O2814" s="990"/>
      <c r="P2814" s="990"/>
      <c r="Q2814" s="990"/>
      <c r="R2814" s="990"/>
      <c r="S2814" s="990"/>
      <c r="T2814" s="990"/>
      <c r="U2814" s="990"/>
      <c r="V2814" s="990"/>
      <c r="W2814" s="990"/>
      <c r="X2814" s="990"/>
    </row>
    <row r="2815" spans="1:24" s="896" customFormat="1">
      <c r="A2815" s="987">
        <f t="shared" si="44"/>
        <v>2741</v>
      </c>
      <c r="B2815" s="988">
        <v>12271</v>
      </c>
      <c r="C2815" s="899" t="s">
        <v>12141</v>
      </c>
      <c r="D2815" s="988" t="s">
        <v>2666</v>
      </c>
      <c r="E2815" s="989">
        <v>456.16</v>
      </c>
      <c r="F2815" s="990"/>
      <c r="G2815" s="990"/>
      <c r="H2815" s="990"/>
      <c r="I2815" s="990"/>
      <c r="J2815" s="990"/>
      <c r="K2815" s="990"/>
      <c r="L2815" s="990"/>
      <c r="M2815" s="990"/>
      <c r="N2815" s="990"/>
      <c r="O2815" s="990"/>
      <c r="P2815" s="990"/>
      <c r="Q2815" s="990"/>
      <c r="R2815" s="990"/>
      <c r="S2815" s="990"/>
      <c r="T2815" s="990"/>
      <c r="U2815" s="990"/>
      <c r="V2815" s="990"/>
      <c r="W2815" s="990"/>
      <c r="X2815" s="990"/>
    </row>
    <row r="2816" spans="1:24" s="896" customFormat="1" ht="25.5">
      <c r="A2816" s="987">
        <f t="shared" si="44"/>
        <v>2742</v>
      </c>
      <c r="B2816" s="988">
        <v>13382</v>
      </c>
      <c r="C2816" s="899" t="s">
        <v>12142</v>
      </c>
      <c r="D2816" s="988" t="s">
        <v>2666</v>
      </c>
      <c r="E2816" s="989">
        <v>486.07</v>
      </c>
      <c r="F2816" s="990"/>
      <c r="G2816" s="990"/>
      <c r="H2816" s="990"/>
      <c r="I2816" s="990"/>
      <c r="J2816" s="990"/>
      <c r="K2816" s="990"/>
      <c r="L2816" s="990"/>
      <c r="M2816" s="990"/>
      <c r="N2816" s="990"/>
      <c r="O2816" s="990"/>
      <c r="P2816" s="990"/>
      <c r="Q2816" s="990"/>
      <c r="R2816" s="990"/>
      <c r="S2816" s="990"/>
      <c r="T2816" s="990"/>
      <c r="U2816" s="990"/>
      <c r="V2816" s="990"/>
      <c r="W2816" s="990"/>
      <c r="X2816" s="990"/>
    </row>
    <row r="2817" spans="1:24" s="896" customFormat="1" ht="25.5">
      <c r="A2817" s="987">
        <f t="shared" si="44"/>
        <v>2743</v>
      </c>
      <c r="B2817" s="988">
        <v>38785</v>
      </c>
      <c r="C2817" s="899" t="s">
        <v>12143</v>
      </c>
      <c r="D2817" s="988" t="s">
        <v>2666</v>
      </c>
      <c r="E2817" s="989">
        <v>215.97</v>
      </c>
      <c r="F2817" s="990"/>
      <c r="G2817" s="990"/>
      <c r="H2817" s="990"/>
      <c r="I2817" s="990"/>
      <c r="J2817" s="990"/>
      <c r="K2817" s="990"/>
      <c r="L2817" s="990"/>
      <c r="M2817" s="990"/>
      <c r="N2817" s="990"/>
      <c r="O2817" s="990"/>
      <c r="P2817" s="990"/>
      <c r="Q2817" s="990"/>
      <c r="R2817" s="990"/>
      <c r="S2817" s="990"/>
      <c r="T2817" s="990"/>
      <c r="U2817" s="990"/>
      <c r="V2817" s="990"/>
      <c r="W2817" s="990"/>
      <c r="X2817" s="990"/>
    </row>
    <row r="2818" spans="1:24" s="896" customFormat="1" ht="25.5">
      <c r="A2818" s="987">
        <f t="shared" si="44"/>
        <v>2744</v>
      </c>
      <c r="B2818" s="988">
        <v>38786</v>
      </c>
      <c r="C2818" s="899" t="s">
        <v>12144</v>
      </c>
      <c r="D2818" s="988" t="s">
        <v>2666</v>
      </c>
      <c r="E2818" s="989">
        <v>266.02</v>
      </c>
      <c r="F2818" s="990"/>
      <c r="G2818" s="990"/>
      <c r="H2818" s="990"/>
      <c r="I2818" s="990"/>
      <c r="J2818" s="990"/>
      <c r="K2818" s="990"/>
      <c r="L2818" s="990"/>
      <c r="M2818" s="990"/>
      <c r="N2818" s="990"/>
      <c r="O2818" s="990"/>
      <c r="P2818" s="990"/>
      <c r="Q2818" s="990"/>
      <c r="R2818" s="990"/>
      <c r="S2818" s="990"/>
      <c r="T2818" s="990"/>
      <c r="U2818" s="990"/>
      <c r="V2818" s="990"/>
      <c r="W2818" s="990"/>
      <c r="X2818" s="990"/>
    </row>
    <row r="2819" spans="1:24" s="896" customFormat="1">
      <c r="A2819" s="987">
        <f t="shared" si="44"/>
        <v>2745</v>
      </c>
      <c r="B2819" s="988">
        <v>39385</v>
      </c>
      <c r="C2819" s="899" t="s">
        <v>12145</v>
      </c>
      <c r="D2819" s="988" t="s">
        <v>2666</v>
      </c>
      <c r="E2819" s="989">
        <v>18.61</v>
      </c>
      <c r="F2819" s="990"/>
      <c r="G2819" s="990"/>
      <c r="H2819" s="990"/>
      <c r="I2819" s="990"/>
      <c r="J2819" s="990"/>
      <c r="K2819" s="990"/>
      <c r="L2819" s="990"/>
      <c r="M2819" s="990"/>
      <c r="N2819" s="990"/>
      <c r="O2819" s="990"/>
      <c r="P2819" s="990"/>
      <c r="Q2819" s="990"/>
      <c r="R2819" s="990"/>
      <c r="S2819" s="990"/>
      <c r="T2819" s="990"/>
      <c r="U2819" s="990"/>
      <c r="V2819" s="990"/>
      <c r="W2819" s="990"/>
      <c r="X2819" s="990"/>
    </row>
    <row r="2820" spans="1:24" s="896" customFormat="1">
      <c r="A2820" s="987">
        <f t="shared" si="44"/>
        <v>2746</v>
      </c>
      <c r="B2820" s="988">
        <v>39389</v>
      </c>
      <c r="C2820" s="899" t="s">
        <v>12146</v>
      </c>
      <c r="D2820" s="988" t="s">
        <v>2666</v>
      </c>
      <c r="E2820" s="989">
        <v>20.190000000000001</v>
      </c>
      <c r="F2820" s="990"/>
      <c r="G2820" s="990"/>
      <c r="H2820" s="990"/>
      <c r="I2820" s="990"/>
      <c r="J2820" s="990"/>
      <c r="K2820" s="990"/>
      <c r="L2820" s="990"/>
      <c r="M2820" s="990"/>
      <c r="N2820" s="990"/>
      <c r="O2820" s="990"/>
      <c r="P2820" s="990"/>
      <c r="Q2820" s="990"/>
      <c r="R2820" s="990"/>
      <c r="S2820" s="990"/>
      <c r="T2820" s="990"/>
      <c r="U2820" s="990"/>
      <c r="V2820" s="990"/>
      <c r="W2820" s="990"/>
      <c r="X2820" s="990"/>
    </row>
    <row r="2821" spans="1:24" s="896" customFormat="1">
      <c r="A2821" s="987">
        <f t="shared" si="44"/>
        <v>2747</v>
      </c>
      <c r="B2821" s="988">
        <v>39390</v>
      </c>
      <c r="C2821" s="899" t="s">
        <v>12147</v>
      </c>
      <c r="D2821" s="988" t="s">
        <v>2666</v>
      </c>
      <c r="E2821" s="989">
        <v>42.33</v>
      </c>
      <c r="F2821" s="990"/>
      <c r="G2821" s="990"/>
      <c r="H2821" s="990"/>
      <c r="I2821" s="990"/>
      <c r="J2821" s="990"/>
      <c r="K2821" s="990"/>
      <c r="L2821" s="990"/>
      <c r="M2821" s="990"/>
      <c r="N2821" s="990"/>
      <c r="O2821" s="990"/>
      <c r="P2821" s="990"/>
      <c r="Q2821" s="990"/>
      <c r="R2821" s="990"/>
      <c r="S2821" s="990"/>
      <c r="T2821" s="990"/>
      <c r="U2821" s="990"/>
      <c r="V2821" s="990"/>
      <c r="W2821" s="990"/>
      <c r="X2821" s="990"/>
    </row>
    <row r="2822" spans="1:24" s="896" customFormat="1">
      <c r="A2822" s="987">
        <f t="shared" si="44"/>
        <v>2748</v>
      </c>
      <c r="B2822" s="988">
        <v>39391</v>
      </c>
      <c r="C2822" s="899" t="s">
        <v>12148</v>
      </c>
      <c r="D2822" s="988" t="s">
        <v>2666</v>
      </c>
      <c r="E2822" s="989">
        <v>47.52</v>
      </c>
      <c r="F2822" s="990"/>
      <c r="G2822" s="990"/>
      <c r="H2822" s="990"/>
      <c r="I2822" s="990"/>
      <c r="J2822" s="990"/>
      <c r="K2822" s="990"/>
      <c r="L2822" s="990"/>
      <c r="M2822" s="990"/>
      <c r="N2822" s="990"/>
      <c r="O2822" s="990"/>
      <c r="P2822" s="990"/>
      <c r="Q2822" s="990"/>
      <c r="R2822" s="990"/>
      <c r="S2822" s="990"/>
      <c r="T2822" s="990"/>
      <c r="U2822" s="990"/>
      <c r="V2822" s="990"/>
      <c r="W2822" s="990"/>
      <c r="X2822" s="990"/>
    </row>
    <row r="2823" spans="1:24" s="896" customFormat="1" ht="25.5">
      <c r="A2823" s="987">
        <f t="shared" si="44"/>
        <v>2749</v>
      </c>
      <c r="B2823" s="988">
        <v>3803</v>
      </c>
      <c r="C2823" s="899" t="s">
        <v>12149</v>
      </c>
      <c r="D2823" s="988" t="s">
        <v>2666</v>
      </c>
      <c r="E2823" s="989">
        <v>77.13</v>
      </c>
      <c r="F2823" s="990"/>
      <c r="G2823" s="990"/>
      <c r="H2823" s="990"/>
      <c r="I2823" s="990"/>
      <c r="J2823" s="990"/>
      <c r="K2823" s="990"/>
      <c r="L2823" s="990"/>
      <c r="M2823" s="990"/>
      <c r="N2823" s="990"/>
      <c r="O2823" s="990"/>
      <c r="P2823" s="990"/>
      <c r="Q2823" s="990"/>
      <c r="R2823" s="990"/>
      <c r="S2823" s="990"/>
      <c r="T2823" s="990"/>
      <c r="U2823" s="990"/>
      <c r="V2823" s="990"/>
      <c r="W2823" s="990"/>
      <c r="X2823" s="990"/>
    </row>
    <row r="2824" spans="1:24" s="896" customFormat="1" ht="25.5">
      <c r="A2824" s="987">
        <f t="shared" si="44"/>
        <v>2750</v>
      </c>
      <c r="B2824" s="988">
        <v>38770</v>
      </c>
      <c r="C2824" s="899" t="s">
        <v>12150</v>
      </c>
      <c r="D2824" s="988" t="s">
        <v>2666</v>
      </c>
      <c r="E2824" s="989">
        <v>89.31</v>
      </c>
      <c r="F2824" s="990"/>
      <c r="G2824" s="990"/>
      <c r="H2824" s="990"/>
      <c r="I2824" s="990"/>
      <c r="J2824" s="990"/>
      <c r="K2824" s="990"/>
      <c r="L2824" s="990"/>
      <c r="M2824" s="990"/>
      <c r="N2824" s="990"/>
      <c r="O2824" s="990"/>
      <c r="P2824" s="990"/>
      <c r="Q2824" s="990"/>
      <c r="R2824" s="990"/>
      <c r="S2824" s="990"/>
      <c r="T2824" s="990"/>
      <c r="U2824" s="990"/>
      <c r="V2824" s="990"/>
      <c r="W2824" s="990"/>
      <c r="X2824" s="990"/>
    </row>
    <row r="2825" spans="1:24" s="896" customFormat="1">
      <c r="A2825" s="987">
        <f t="shared" si="44"/>
        <v>2751</v>
      </c>
      <c r="B2825" s="988">
        <v>12267</v>
      </c>
      <c r="C2825" s="899" t="s">
        <v>12151</v>
      </c>
      <c r="D2825" s="988" t="s">
        <v>2666</v>
      </c>
      <c r="E2825" s="989">
        <v>261.73</v>
      </c>
      <c r="F2825" s="990"/>
      <c r="G2825" s="990"/>
      <c r="H2825" s="990"/>
      <c r="I2825" s="990"/>
      <c r="J2825" s="990"/>
      <c r="K2825" s="990"/>
      <c r="L2825" s="990"/>
      <c r="M2825" s="990"/>
      <c r="N2825" s="990"/>
      <c r="O2825" s="990"/>
      <c r="P2825" s="990"/>
      <c r="Q2825" s="990"/>
      <c r="R2825" s="990"/>
      <c r="S2825" s="990"/>
      <c r="T2825" s="990"/>
      <c r="U2825" s="990"/>
      <c r="V2825" s="990"/>
      <c r="W2825" s="990"/>
      <c r="X2825" s="990"/>
    </row>
    <row r="2826" spans="1:24" s="896" customFormat="1" ht="51">
      <c r="A2826" s="987">
        <f t="shared" si="44"/>
        <v>2752</v>
      </c>
      <c r="B2826" s="988">
        <v>43265</v>
      </c>
      <c r="C2826" s="899" t="s">
        <v>12152</v>
      </c>
      <c r="D2826" s="988" t="s">
        <v>2666</v>
      </c>
      <c r="E2826" s="989">
        <v>58.2</v>
      </c>
      <c r="F2826" s="990"/>
      <c r="G2826" s="990"/>
      <c r="H2826" s="990"/>
      <c r="I2826" s="990"/>
      <c r="J2826" s="990"/>
      <c r="K2826" s="990"/>
      <c r="L2826" s="990"/>
      <c r="M2826" s="990"/>
      <c r="N2826" s="990"/>
      <c r="O2826" s="990"/>
      <c r="P2826" s="990"/>
      <c r="Q2826" s="990"/>
      <c r="R2826" s="990"/>
      <c r="S2826" s="990"/>
      <c r="T2826" s="990"/>
      <c r="U2826" s="990"/>
      <c r="V2826" s="990"/>
      <c r="W2826" s="990"/>
      <c r="X2826" s="990"/>
    </row>
    <row r="2827" spans="1:24" s="896" customFormat="1" ht="25.5">
      <c r="A2827" s="987">
        <f t="shared" si="44"/>
        <v>2753</v>
      </c>
      <c r="B2827" s="988">
        <v>12266</v>
      </c>
      <c r="C2827" s="899" t="s">
        <v>12153</v>
      </c>
      <c r="D2827" s="988" t="s">
        <v>2666</v>
      </c>
      <c r="E2827" s="989">
        <v>133.96</v>
      </c>
      <c r="F2827" s="990"/>
      <c r="G2827" s="990"/>
      <c r="H2827" s="990"/>
      <c r="I2827" s="990"/>
      <c r="J2827" s="990"/>
      <c r="K2827" s="990"/>
      <c r="L2827" s="990"/>
      <c r="M2827" s="990"/>
      <c r="N2827" s="990"/>
      <c r="O2827" s="990"/>
      <c r="P2827" s="990"/>
      <c r="Q2827" s="990"/>
      <c r="R2827" s="990"/>
      <c r="S2827" s="990"/>
      <c r="T2827" s="990"/>
      <c r="U2827" s="990"/>
      <c r="V2827" s="990"/>
      <c r="W2827" s="990"/>
      <c r="X2827" s="990"/>
    </row>
    <row r="2828" spans="1:24" s="896" customFormat="1" ht="25.5">
      <c r="A2828" s="987">
        <f t="shared" ref="A2828:A2891" si="45">A2827+1</f>
        <v>2754</v>
      </c>
      <c r="B2828" s="988">
        <v>39378</v>
      </c>
      <c r="C2828" s="899" t="s">
        <v>12154</v>
      </c>
      <c r="D2828" s="988" t="s">
        <v>2666</v>
      </c>
      <c r="E2828" s="989">
        <v>94.98</v>
      </c>
      <c r="F2828" s="990"/>
      <c r="G2828" s="990"/>
      <c r="H2828" s="990"/>
      <c r="I2828" s="990"/>
      <c r="J2828" s="990"/>
      <c r="K2828" s="990"/>
      <c r="L2828" s="990"/>
      <c r="M2828" s="990"/>
      <c r="N2828" s="990"/>
      <c r="O2828" s="990"/>
      <c r="P2828" s="990"/>
      <c r="Q2828" s="990"/>
      <c r="R2828" s="990"/>
      <c r="S2828" s="990"/>
      <c r="T2828" s="990"/>
      <c r="U2828" s="990"/>
      <c r="V2828" s="990"/>
      <c r="W2828" s="990"/>
      <c r="X2828" s="990"/>
    </row>
    <row r="2829" spans="1:24" s="896" customFormat="1" ht="25.5">
      <c r="A2829" s="987">
        <f t="shared" si="45"/>
        <v>2755</v>
      </c>
      <c r="B2829" s="988">
        <v>43543</v>
      </c>
      <c r="C2829" s="899" t="s">
        <v>12155</v>
      </c>
      <c r="D2829" s="988" t="s">
        <v>2666</v>
      </c>
      <c r="E2829" s="989">
        <v>197.87</v>
      </c>
      <c r="F2829" s="990"/>
      <c r="G2829" s="990"/>
      <c r="H2829" s="990"/>
      <c r="I2829" s="990"/>
      <c r="J2829" s="990"/>
      <c r="K2829" s="990"/>
      <c r="L2829" s="990"/>
      <c r="M2829" s="990"/>
      <c r="N2829" s="990"/>
      <c r="O2829" s="990"/>
      <c r="P2829" s="990"/>
      <c r="Q2829" s="990"/>
      <c r="R2829" s="990"/>
      <c r="S2829" s="990"/>
      <c r="T2829" s="990"/>
      <c r="U2829" s="990"/>
      <c r="V2829" s="990"/>
      <c r="W2829" s="990"/>
      <c r="X2829" s="990"/>
    </row>
    <row r="2830" spans="1:24" s="896" customFormat="1" ht="25.5">
      <c r="A2830" s="987">
        <f t="shared" si="45"/>
        <v>2756</v>
      </c>
      <c r="B2830" s="988">
        <v>38775</v>
      </c>
      <c r="C2830" s="899" t="s">
        <v>12156</v>
      </c>
      <c r="D2830" s="988" t="s">
        <v>2666</v>
      </c>
      <c r="E2830" s="989">
        <v>100.69</v>
      </c>
      <c r="F2830" s="990"/>
      <c r="G2830" s="990"/>
      <c r="H2830" s="990"/>
      <c r="I2830" s="990"/>
      <c r="J2830" s="990"/>
      <c r="K2830" s="990"/>
      <c r="L2830" s="990"/>
      <c r="M2830" s="990"/>
      <c r="N2830" s="990"/>
      <c r="O2830" s="990"/>
      <c r="P2830" s="990"/>
      <c r="Q2830" s="990"/>
      <c r="R2830" s="990"/>
      <c r="S2830" s="990"/>
      <c r="T2830" s="990"/>
      <c r="U2830" s="990"/>
      <c r="V2830" s="990"/>
      <c r="W2830" s="990"/>
      <c r="X2830" s="990"/>
    </row>
    <row r="2831" spans="1:24" s="896" customFormat="1">
      <c r="A2831" s="987">
        <f t="shared" si="45"/>
        <v>2757</v>
      </c>
      <c r="B2831" s="988">
        <v>21119</v>
      </c>
      <c r="C2831" s="899" t="s">
        <v>12157</v>
      </c>
      <c r="D2831" s="988" t="s">
        <v>2666</v>
      </c>
      <c r="E2831" s="989">
        <v>2.58</v>
      </c>
      <c r="F2831" s="990"/>
      <c r="G2831" s="990"/>
      <c r="H2831" s="990"/>
      <c r="I2831" s="990"/>
      <c r="J2831" s="990"/>
      <c r="K2831" s="990"/>
      <c r="L2831" s="990"/>
      <c r="M2831" s="990"/>
      <c r="N2831" s="990"/>
      <c r="O2831" s="990"/>
      <c r="P2831" s="990"/>
      <c r="Q2831" s="990"/>
      <c r="R2831" s="990"/>
      <c r="S2831" s="990"/>
      <c r="T2831" s="990"/>
      <c r="U2831" s="990"/>
      <c r="V2831" s="990"/>
      <c r="W2831" s="990"/>
      <c r="X2831" s="990"/>
    </row>
    <row r="2832" spans="1:24" s="896" customFormat="1">
      <c r="A2832" s="987">
        <f t="shared" si="45"/>
        <v>2758</v>
      </c>
      <c r="B2832" s="988">
        <v>37974</v>
      </c>
      <c r="C2832" s="899" t="s">
        <v>12158</v>
      </c>
      <c r="D2832" s="988" t="s">
        <v>2666</v>
      </c>
      <c r="E2832" s="989">
        <v>3.83</v>
      </c>
      <c r="F2832" s="990"/>
      <c r="G2832" s="990"/>
      <c r="H2832" s="990"/>
      <c r="I2832" s="990"/>
      <c r="J2832" s="990"/>
      <c r="K2832" s="990"/>
      <c r="L2832" s="990"/>
      <c r="M2832" s="990"/>
      <c r="N2832" s="990"/>
      <c r="O2832" s="990"/>
      <c r="P2832" s="990"/>
      <c r="Q2832" s="990"/>
      <c r="R2832" s="990"/>
      <c r="S2832" s="990"/>
      <c r="T2832" s="990"/>
      <c r="U2832" s="990"/>
      <c r="V2832" s="990"/>
      <c r="W2832" s="990"/>
      <c r="X2832" s="990"/>
    </row>
    <row r="2833" spans="1:24" s="896" customFormat="1">
      <c r="A2833" s="987">
        <f t="shared" si="45"/>
        <v>2759</v>
      </c>
      <c r="B2833" s="988">
        <v>37975</v>
      </c>
      <c r="C2833" s="899" t="s">
        <v>12159</v>
      </c>
      <c r="D2833" s="988" t="s">
        <v>2666</v>
      </c>
      <c r="E2833" s="989">
        <v>7.78</v>
      </c>
      <c r="F2833" s="990"/>
      <c r="G2833" s="990"/>
      <c r="H2833" s="990"/>
      <c r="I2833" s="990"/>
      <c r="J2833" s="990"/>
      <c r="K2833" s="990"/>
      <c r="L2833" s="990"/>
      <c r="M2833" s="990"/>
      <c r="N2833" s="990"/>
      <c r="O2833" s="990"/>
      <c r="P2833" s="990"/>
      <c r="Q2833" s="990"/>
      <c r="R2833" s="990"/>
      <c r="S2833" s="990"/>
      <c r="T2833" s="990"/>
      <c r="U2833" s="990"/>
      <c r="V2833" s="990"/>
      <c r="W2833" s="990"/>
      <c r="X2833" s="990"/>
    </row>
    <row r="2834" spans="1:24" s="896" customFormat="1">
      <c r="A2834" s="987">
        <f t="shared" si="45"/>
        <v>2760</v>
      </c>
      <c r="B2834" s="988">
        <v>37976</v>
      </c>
      <c r="C2834" s="899" t="s">
        <v>12160</v>
      </c>
      <c r="D2834" s="988" t="s">
        <v>2666</v>
      </c>
      <c r="E2834" s="989">
        <v>15.95</v>
      </c>
      <c r="F2834" s="990"/>
      <c r="G2834" s="990"/>
      <c r="H2834" s="990"/>
      <c r="I2834" s="990"/>
      <c r="J2834" s="990"/>
      <c r="K2834" s="990"/>
      <c r="L2834" s="990"/>
      <c r="M2834" s="990"/>
      <c r="N2834" s="990"/>
      <c r="O2834" s="990"/>
      <c r="P2834" s="990"/>
      <c r="Q2834" s="990"/>
      <c r="R2834" s="990"/>
      <c r="S2834" s="990"/>
      <c r="T2834" s="990"/>
      <c r="U2834" s="990"/>
      <c r="V2834" s="990"/>
      <c r="W2834" s="990"/>
      <c r="X2834" s="990"/>
    </row>
    <row r="2835" spans="1:24" s="896" customFormat="1">
      <c r="A2835" s="987">
        <f t="shared" si="45"/>
        <v>2761</v>
      </c>
      <c r="B2835" s="988">
        <v>37977</v>
      </c>
      <c r="C2835" s="899" t="s">
        <v>12161</v>
      </c>
      <c r="D2835" s="988" t="s">
        <v>2666</v>
      </c>
      <c r="E2835" s="989">
        <v>21.93</v>
      </c>
      <c r="F2835" s="990"/>
      <c r="G2835" s="990"/>
      <c r="H2835" s="990"/>
      <c r="I2835" s="990"/>
      <c r="J2835" s="990"/>
      <c r="K2835" s="990"/>
      <c r="L2835" s="990"/>
      <c r="M2835" s="990"/>
      <c r="N2835" s="990"/>
      <c r="O2835" s="990"/>
      <c r="P2835" s="990"/>
      <c r="Q2835" s="990"/>
      <c r="R2835" s="990"/>
      <c r="S2835" s="990"/>
      <c r="T2835" s="990"/>
      <c r="U2835" s="990"/>
      <c r="V2835" s="990"/>
      <c r="W2835" s="990"/>
      <c r="X2835" s="990"/>
    </row>
    <row r="2836" spans="1:24" s="896" customFormat="1">
      <c r="A2836" s="987">
        <f t="shared" si="45"/>
        <v>2762</v>
      </c>
      <c r="B2836" s="988">
        <v>37978</v>
      </c>
      <c r="C2836" s="899" t="s">
        <v>12162</v>
      </c>
      <c r="D2836" s="988" t="s">
        <v>2666</v>
      </c>
      <c r="E2836" s="989">
        <v>44.45</v>
      </c>
      <c r="F2836" s="990"/>
      <c r="G2836" s="990"/>
      <c r="H2836" s="990"/>
      <c r="I2836" s="990"/>
      <c r="J2836" s="990"/>
      <c r="K2836" s="990"/>
      <c r="L2836" s="990"/>
      <c r="M2836" s="990"/>
      <c r="N2836" s="990"/>
      <c r="O2836" s="990"/>
      <c r="P2836" s="990"/>
      <c r="Q2836" s="990"/>
      <c r="R2836" s="990"/>
      <c r="S2836" s="990"/>
      <c r="T2836" s="990"/>
      <c r="U2836" s="990"/>
      <c r="V2836" s="990"/>
      <c r="W2836" s="990"/>
      <c r="X2836" s="990"/>
    </row>
    <row r="2837" spans="1:24" s="896" customFormat="1">
      <c r="A2837" s="987">
        <f t="shared" si="45"/>
        <v>2763</v>
      </c>
      <c r="B2837" s="988">
        <v>37979</v>
      </c>
      <c r="C2837" s="899" t="s">
        <v>12163</v>
      </c>
      <c r="D2837" s="988" t="s">
        <v>2666</v>
      </c>
      <c r="E2837" s="989">
        <v>190.96</v>
      </c>
      <c r="F2837" s="990"/>
      <c r="G2837" s="990"/>
      <c r="H2837" s="990"/>
      <c r="I2837" s="990"/>
      <c r="J2837" s="990"/>
      <c r="K2837" s="990"/>
      <c r="L2837" s="990"/>
      <c r="M2837" s="990"/>
      <c r="N2837" s="990"/>
      <c r="O2837" s="990"/>
      <c r="P2837" s="990"/>
      <c r="Q2837" s="990"/>
      <c r="R2837" s="990"/>
      <c r="S2837" s="990"/>
      <c r="T2837" s="990"/>
      <c r="U2837" s="990"/>
      <c r="V2837" s="990"/>
      <c r="W2837" s="990"/>
      <c r="X2837" s="990"/>
    </row>
    <row r="2838" spans="1:24" s="896" customFormat="1">
      <c r="A2838" s="987">
        <f t="shared" si="45"/>
        <v>2764</v>
      </c>
      <c r="B2838" s="988">
        <v>37980</v>
      </c>
      <c r="C2838" s="899" t="s">
        <v>12164</v>
      </c>
      <c r="D2838" s="988" t="s">
        <v>2666</v>
      </c>
      <c r="E2838" s="989">
        <v>214.61</v>
      </c>
      <c r="F2838" s="990"/>
      <c r="G2838" s="990"/>
      <c r="H2838" s="990"/>
      <c r="I2838" s="990"/>
      <c r="J2838" s="990"/>
      <c r="K2838" s="990"/>
      <c r="L2838" s="990"/>
      <c r="M2838" s="990"/>
      <c r="N2838" s="990"/>
      <c r="O2838" s="990"/>
      <c r="P2838" s="990"/>
      <c r="Q2838" s="990"/>
      <c r="R2838" s="990"/>
      <c r="S2838" s="990"/>
      <c r="T2838" s="990"/>
      <c r="U2838" s="990"/>
      <c r="V2838" s="990"/>
      <c r="W2838" s="990"/>
      <c r="X2838" s="990"/>
    </row>
    <row r="2839" spans="1:24" s="896" customFormat="1" ht="25.5">
      <c r="A2839" s="987">
        <f t="shared" si="45"/>
        <v>2765</v>
      </c>
      <c r="B2839" s="988">
        <v>36147</v>
      </c>
      <c r="C2839" s="899" t="s">
        <v>12165</v>
      </c>
      <c r="D2839" s="988" t="s">
        <v>2673</v>
      </c>
      <c r="E2839" s="989">
        <v>517.53</v>
      </c>
      <c r="F2839" s="990"/>
      <c r="G2839" s="990"/>
      <c r="H2839" s="990"/>
      <c r="I2839" s="990"/>
      <c r="J2839" s="990"/>
      <c r="K2839" s="990"/>
      <c r="L2839" s="990"/>
      <c r="M2839" s="990"/>
      <c r="N2839" s="990"/>
      <c r="O2839" s="990"/>
      <c r="P2839" s="990"/>
      <c r="Q2839" s="990"/>
      <c r="R2839" s="990"/>
      <c r="S2839" s="990"/>
      <c r="T2839" s="990"/>
      <c r="U2839" s="990"/>
      <c r="V2839" s="990"/>
      <c r="W2839" s="990"/>
      <c r="X2839" s="990"/>
    </row>
    <row r="2840" spans="1:24" s="896" customFormat="1">
      <c r="A2840" s="987">
        <f t="shared" si="45"/>
        <v>2766</v>
      </c>
      <c r="B2840" s="988">
        <v>12731</v>
      </c>
      <c r="C2840" s="899" t="s">
        <v>12166</v>
      </c>
      <c r="D2840" s="988" t="s">
        <v>2666</v>
      </c>
      <c r="E2840" s="989">
        <v>396.53</v>
      </c>
      <c r="F2840" s="990"/>
      <c r="G2840" s="990"/>
      <c r="H2840" s="990"/>
      <c r="I2840" s="990"/>
      <c r="J2840" s="990"/>
      <c r="K2840" s="990"/>
      <c r="L2840" s="990"/>
      <c r="M2840" s="990"/>
      <c r="N2840" s="990"/>
      <c r="O2840" s="990"/>
      <c r="P2840" s="990"/>
      <c r="Q2840" s="990"/>
      <c r="R2840" s="990"/>
      <c r="S2840" s="990"/>
      <c r="T2840" s="990"/>
      <c r="U2840" s="990"/>
      <c r="V2840" s="990"/>
      <c r="W2840" s="990"/>
      <c r="X2840" s="990"/>
    </row>
    <row r="2841" spans="1:24" s="896" customFormat="1">
      <c r="A2841" s="987">
        <f t="shared" si="45"/>
        <v>2767</v>
      </c>
      <c r="B2841" s="988">
        <v>12723</v>
      </c>
      <c r="C2841" s="899" t="s">
        <v>12167</v>
      </c>
      <c r="D2841" s="988" t="s">
        <v>2666</v>
      </c>
      <c r="E2841" s="989">
        <v>3.07</v>
      </c>
      <c r="F2841" s="990"/>
      <c r="G2841" s="990"/>
      <c r="H2841" s="990"/>
      <c r="I2841" s="990"/>
      <c r="J2841" s="990"/>
      <c r="K2841" s="990"/>
      <c r="L2841" s="990"/>
      <c r="M2841" s="990"/>
      <c r="N2841" s="990"/>
      <c r="O2841" s="990"/>
      <c r="P2841" s="990"/>
      <c r="Q2841" s="990"/>
      <c r="R2841" s="990"/>
      <c r="S2841" s="990"/>
      <c r="T2841" s="990"/>
      <c r="U2841" s="990"/>
      <c r="V2841" s="990"/>
      <c r="W2841" s="990"/>
      <c r="X2841" s="990"/>
    </row>
    <row r="2842" spans="1:24" s="896" customFormat="1">
      <c r="A2842" s="987">
        <f t="shared" si="45"/>
        <v>2768</v>
      </c>
      <c r="B2842" s="988">
        <v>12724</v>
      </c>
      <c r="C2842" s="899" t="s">
        <v>12168</v>
      </c>
      <c r="D2842" s="988" t="s">
        <v>2666</v>
      </c>
      <c r="E2842" s="989">
        <v>5.91</v>
      </c>
      <c r="F2842" s="990"/>
      <c r="G2842" s="990"/>
      <c r="H2842" s="990"/>
      <c r="I2842" s="990"/>
      <c r="J2842" s="990"/>
      <c r="K2842" s="990"/>
      <c r="L2842" s="990"/>
      <c r="M2842" s="990"/>
      <c r="N2842" s="990"/>
      <c r="O2842" s="990"/>
      <c r="P2842" s="990"/>
      <c r="Q2842" s="990"/>
      <c r="R2842" s="990"/>
      <c r="S2842" s="990"/>
      <c r="T2842" s="990"/>
      <c r="U2842" s="990"/>
      <c r="V2842" s="990"/>
      <c r="W2842" s="990"/>
      <c r="X2842" s="990"/>
    </row>
    <row r="2843" spans="1:24" s="896" customFormat="1">
      <c r="A2843" s="987">
        <f t="shared" si="45"/>
        <v>2769</v>
      </c>
      <c r="B2843" s="988">
        <v>12725</v>
      </c>
      <c r="C2843" s="899" t="s">
        <v>12169</v>
      </c>
      <c r="D2843" s="988" t="s">
        <v>2666</v>
      </c>
      <c r="E2843" s="989">
        <v>11.85</v>
      </c>
      <c r="F2843" s="990"/>
      <c r="G2843" s="990"/>
      <c r="H2843" s="990"/>
      <c r="I2843" s="990"/>
      <c r="J2843" s="990"/>
      <c r="K2843" s="990"/>
      <c r="L2843" s="990"/>
      <c r="M2843" s="990"/>
      <c r="N2843" s="990"/>
      <c r="O2843" s="990"/>
      <c r="P2843" s="990"/>
      <c r="Q2843" s="990"/>
      <c r="R2843" s="990"/>
      <c r="S2843" s="990"/>
      <c r="T2843" s="990"/>
      <c r="U2843" s="990"/>
      <c r="V2843" s="990"/>
      <c r="W2843" s="990"/>
      <c r="X2843" s="990"/>
    </row>
    <row r="2844" spans="1:24" s="896" customFormat="1">
      <c r="A2844" s="987">
        <f t="shared" si="45"/>
        <v>2770</v>
      </c>
      <c r="B2844" s="988">
        <v>12726</v>
      </c>
      <c r="C2844" s="899" t="s">
        <v>12170</v>
      </c>
      <c r="D2844" s="988" t="s">
        <v>2666</v>
      </c>
      <c r="E2844" s="989">
        <v>26.16</v>
      </c>
      <c r="F2844" s="990"/>
      <c r="G2844" s="990"/>
      <c r="H2844" s="990"/>
      <c r="I2844" s="990"/>
      <c r="J2844" s="990"/>
      <c r="K2844" s="990"/>
      <c r="L2844" s="990"/>
      <c r="M2844" s="990"/>
      <c r="N2844" s="990"/>
      <c r="O2844" s="990"/>
      <c r="P2844" s="990"/>
      <c r="Q2844" s="990"/>
      <c r="R2844" s="990"/>
      <c r="S2844" s="990"/>
      <c r="T2844" s="990"/>
      <c r="U2844" s="990"/>
      <c r="V2844" s="990"/>
      <c r="W2844" s="990"/>
      <c r="X2844" s="990"/>
    </row>
    <row r="2845" spans="1:24" s="896" customFormat="1">
      <c r="A2845" s="987">
        <f t="shared" si="45"/>
        <v>2771</v>
      </c>
      <c r="B2845" s="988">
        <v>12727</v>
      </c>
      <c r="C2845" s="899" t="s">
        <v>12171</v>
      </c>
      <c r="D2845" s="988" t="s">
        <v>2666</v>
      </c>
      <c r="E2845" s="989">
        <v>33.17</v>
      </c>
      <c r="F2845" s="990"/>
      <c r="G2845" s="990"/>
      <c r="H2845" s="990"/>
      <c r="I2845" s="990"/>
      <c r="J2845" s="990"/>
      <c r="K2845" s="990"/>
      <c r="L2845" s="990"/>
      <c r="M2845" s="990"/>
      <c r="N2845" s="990"/>
      <c r="O2845" s="990"/>
      <c r="P2845" s="990"/>
      <c r="Q2845" s="990"/>
      <c r="R2845" s="990"/>
      <c r="S2845" s="990"/>
      <c r="T2845" s="990"/>
      <c r="U2845" s="990"/>
      <c r="V2845" s="990"/>
      <c r="W2845" s="990"/>
      <c r="X2845" s="990"/>
    </row>
    <row r="2846" spans="1:24" s="896" customFormat="1">
      <c r="A2846" s="987">
        <f t="shared" si="45"/>
        <v>2772</v>
      </c>
      <c r="B2846" s="988">
        <v>12728</v>
      </c>
      <c r="C2846" s="899" t="s">
        <v>12172</v>
      </c>
      <c r="D2846" s="988" t="s">
        <v>2666</v>
      </c>
      <c r="E2846" s="989">
        <v>54.19</v>
      </c>
      <c r="F2846" s="990"/>
      <c r="G2846" s="990"/>
      <c r="H2846" s="990"/>
      <c r="I2846" s="990"/>
      <c r="J2846" s="990"/>
      <c r="K2846" s="990"/>
      <c r="L2846" s="990"/>
      <c r="M2846" s="990"/>
      <c r="N2846" s="990"/>
      <c r="O2846" s="990"/>
      <c r="P2846" s="990"/>
      <c r="Q2846" s="990"/>
      <c r="R2846" s="990"/>
      <c r="S2846" s="990"/>
      <c r="T2846" s="990"/>
      <c r="U2846" s="990"/>
      <c r="V2846" s="990"/>
      <c r="W2846" s="990"/>
      <c r="X2846" s="990"/>
    </row>
    <row r="2847" spans="1:24" s="896" customFormat="1">
      <c r="A2847" s="987">
        <f t="shared" si="45"/>
        <v>2773</v>
      </c>
      <c r="B2847" s="988">
        <v>12729</v>
      </c>
      <c r="C2847" s="899" t="s">
        <v>12173</v>
      </c>
      <c r="D2847" s="988" t="s">
        <v>2666</v>
      </c>
      <c r="E2847" s="989">
        <v>177.61</v>
      </c>
      <c r="F2847" s="990"/>
      <c r="G2847" s="990"/>
      <c r="H2847" s="990"/>
      <c r="I2847" s="990"/>
      <c r="J2847" s="990"/>
      <c r="K2847" s="990"/>
      <c r="L2847" s="990"/>
      <c r="M2847" s="990"/>
      <c r="N2847" s="990"/>
      <c r="O2847" s="990"/>
      <c r="P2847" s="990"/>
      <c r="Q2847" s="990"/>
      <c r="R2847" s="990"/>
      <c r="S2847" s="990"/>
      <c r="T2847" s="990"/>
      <c r="U2847" s="990"/>
      <c r="V2847" s="990"/>
      <c r="W2847" s="990"/>
      <c r="X2847" s="990"/>
    </row>
    <row r="2848" spans="1:24" s="896" customFormat="1">
      <c r="A2848" s="987">
        <f t="shared" si="45"/>
        <v>2774</v>
      </c>
      <c r="B2848" s="988">
        <v>12730</v>
      </c>
      <c r="C2848" s="899" t="s">
        <v>12174</v>
      </c>
      <c r="D2848" s="988" t="s">
        <v>2666</v>
      </c>
      <c r="E2848" s="989">
        <v>271.93</v>
      </c>
      <c r="F2848" s="990"/>
      <c r="G2848" s="990"/>
      <c r="H2848" s="990"/>
      <c r="I2848" s="990"/>
      <c r="J2848" s="990"/>
      <c r="K2848" s="990"/>
      <c r="L2848" s="990"/>
      <c r="M2848" s="990"/>
      <c r="N2848" s="990"/>
      <c r="O2848" s="990"/>
      <c r="P2848" s="990"/>
      <c r="Q2848" s="990"/>
      <c r="R2848" s="990"/>
      <c r="S2848" s="990"/>
      <c r="T2848" s="990"/>
      <c r="U2848" s="990"/>
      <c r="V2848" s="990"/>
      <c r="W2848" s="990"/>
      <c r="X2848" s="990"/>
    </row>
    <row r="2849" spans="1:24" s="896" customFormat="1">
      <c r="A2849" s="987">
        <f t="shared" si="45"/>
        <v>2775</v>
      </c>
      <c r="B2849" s="988">
        <v>3840</v>
      </c>
      <c r="C2849" s="899" t="s">
        <v>12175</v>
      </c>
      <c r="D2849" s="988" t="s">
        <v>2666</v>
      </c>
      <c r="E2849" s="989">
        <v>64.14</v>
      </c>
      <c r="F2849" s="990"/>
      <c r="G2849" s="990"/>
      <c r="H2849" s="990"/>
      <c r="I2849" s="990"/>
      <c r="J2849" s="990"/>
      <c r="K2849" s="990"/>
      <c r="L2849" s="990"/>
      <c r="M2849" s="990"/>
      <c r="N2849" s="990"/>
      <c r="O2849" s="990"/>
      <c r="P2849" s="990"/>
      <c r="Q2849" s="990"/>
      <c r="R2849" s="990"/>
      <c r="S2849" s="990"/>
      <c r="T2849" s="990"/>
      <c r="U2849" s="990"/>
      <c r="V2849" s="990"/>
      <c r="W2849" s="990"/>
      <c r="X2849" s="990"/>
    </row>
    <row r="2850" spans="1:24" s="896" customFormat="1">
      <c r="A2850" s="987">
        <f t="shared" si="45"/>
        <v>2776</v>
      </c>
      <c r="B2850" s="988">
        <v>3838</v>
      </c>
      <c r="C2850" s="899" t="s">
        <v>12176</v>
      </c>
      <c r="D2850" s="988" t="s">
        <v>2666</v>
      </c>
      <c r="E2850" s="989">
        <v>141.57</v>
      </c>
      <c r="F2850" s="990"/>
      <c r="G2850" s="990"/>
      <c r="H2850" s="990"/>
      <c r="I2850" s="990"/>
      <c r="J2850" s="990"/>
      <c r="K2850" s="990"/>
      <c r="L2850" s="990"/>
      <c r="M2850" s="990"/>
      <c r="N2850" s="990"/>
      <c r="O2850" s="990"/>
      <c r="P2850" s="990"/>
      <c r="Q2850" s="990"/>
      <c r="R2850" s="990"/>
      <c r="S2850" s="990"/>
      <c r="T2850" s="990"/>
      <c r="U2850" s="990"/>
      <c r="V2850" s="990"/>
      <c r="W2850" s="990"/>
      <c r="X2850" s="990"/>
    </row>
    <row r="2851" spans="1:24" s="896" customFormat="1">
      <c r="A2851" s="987">
        <f t="shared" si="45"/>
        <v>2777</v>
      </c>
      <c r="B2851" s="988">
        <v>3844</v>
      </c>
      <c r="C2851" s="899" t="s">
        <v>12177</v>
      </c>
      <c r="D2851" s="988" t="s">
        <v>2666</v>
      </c>
      <c r="E2851" s="989">
        <v>252.52</v>
      </c>
      <c r="F2851" s="990"/>
      <c r="G2851" s="990"/>
      <c r="H2851" s="990"/>
      <c r="I2851" s="990"/>
      <c r="J2851" s="990"/>
      <c r="K2851" s="990"/>
      <c r="L2851" s="990"/>
      <c r="M2851" s="990"/>
      <c r="N2851" s="990"/>
      <c r="O2851" s="990"/>
      <c r="P2851" s="990"/>
      <c r="Q2851" s="990"/>
      <c r="R2851" s="990"/>
      <c r="S2851" s="990"/>
      <c r="T2851" s="990"/>
      <c r="U2851" s="990"/>
      <c r="V2851" s="990"/>
      <c r="W2851" s="990"/>
      <c r="X2851" s="990"/>
    </row>
    <row r="2852" spans="1:24" s="896" customFormat="1">
      <c r="A2852" s="987">
        <f t="shared" si="45"/>
        <v>2778</v>
      </c>
      <c r="B2852" s="988">
        <v>3839</v>
      </c>
      <c r="C2852" s="899" t="s">
        <v>12178</v>
      </c>
      <c r="D2852" s="988" t="s">
        <v>2666</v>
      </c>
      <c r="E2852" s="989">
        <v>459.95</v>
      </c>
      <c r="F2852" s="990"/>
      <c r="G2852" s="990"/>
      <c r="H2852" s="990"/>
      <c r="I2852" s="990"/>
      <c r="J2852" s="990"/>
      <c r="K2852" s="990"/>
      <c r="L2852" s="990"/>
      <c r="M2852" s="990"/>
      <c r="N2852" s="990"/>
      <c r="O2852" s="990"/>
      <c r="P2852" s="990"/>
      <c r="Q2852" s="990"/>
      <c r="R2852" s="990"/>
      <c r="S2852" s="990"/>
      <c r="T2852" s="990"/>
      <c r="U2852" s="990"/>
      <c r="V2852" s="990"/>
      <c r="W2852" s="990"/>
      <c r="X2852" s="990"/>
    </row>
    <row r="2853" spans="1:24" s="896" customFormat="1">
      <c r="A2853" s="987">
        <f t="shared" si="45"/>
        <v>2779</v>
      </c>
      <c r="B2853" s="988">
        <v>3843</v>
      </c>
      <c r="C2853" s="899" t="s">
        <v>12179</v>
      </c>
      <c r="D2853" s="988" t="s">
        <v>2666</v>
      </c>
      <c r="E2853" s="989">
        <v>631.29</v>
      </c>
      <c r="F2853" s="990"/>
      <c r="G2853" s="990"/>
      <c r="H2853" s="990"/>
      <c r="I2853" s="990"/>
      <c r="J2853" s="990"/>
      <c r="K2853" s="990"/>
      <c r="L2853" s="990"/>
      <c r="M2853" s="990"/>
      <c r="N2853" s="990"/>
      <c r="O2853" s="990"/>
      <c r="P2853" s="990"/>
      <c r="Q2853" s="990"/>
      <c r="R2853" s="990"/>
      <c r="S2853" s="990"/>
      <c r="T2853" s="990"/>
      <c r="U2853" s="990"/>
      <c r="V2853" s="990"/>
      <c r="W2853" s="990"/>
      <c r="X2853" s="990"/>
    </row>
    <row r="2854" spans="1:24" s="896" customFormat="1">
      <c r="A2854" s="987">
        <f t="shared" si="45"/>
        <v>2780</v>
      </c>
      <c r="B2854" s="988">
        <v>3900</v>
      </c>
      <c r="C2854" s="899" t="s">
        <v>12180</v>
      </c>
      <c r="D2854" s="988" t="s">
        <v>2666</v>
      </c>
      <c r="E2854" s="989">
        <v>53.84</v>
      </c>
      <c r="F2854" s="990"/>
      <c r="G2854" s="990"/>
      <c r="H2854" s="990"/>
      <c r="I2854" s="990"/>
      <c r="J2854" s="990"/>
      <c r="K2854" s="990"/>
      <c r="L2854" s="990"/>
      <c r="M2854" s="990"/>
      <c r="N2854" s="990"/>
      <c r="O2854" s="990"/>
      <c r="P2854" s="990"/>
      <c r="Q2854" s="990"/>
      <c r="R2854" s="990"/>
      <c r="S2854" s="990"/>
      <c r="T2854" s="990"/>
      <c r="U2854" s="990"/>
      <c r="V2854" s="990"/>
      <c r="W2854" s="990"/>
      <c r="X2854" s="990"/>
    </row>
    <row r="2855" spans="1:24" s="896" customFormat="1">
      <c r="A2855" s="987">
        <f t="shared" si="45"/>
        <v>2781</v>
      </c>
      <c r="B2855" s="988">
        <v>3846</v>
      </c>
      <c r="C2855" s="899" t="s">
        <v>12181</v>
      </c>
      <c r="D2855" s="988" t="s">
        <v>2666</v>
      </c>
      <c r="E2855" s="989">
        <v>16.97</v>
      </c>
      <c r="F2855" s="990"/>
      <c r="G2855" s="990"/>
      <c r="H2855" s="990"/>
      <c r="I2855" s="990"/>
      <c r="J2855" s="990"/>
      <c r="K2855" s="990"/>
      <c r="L2855" s="990"/>
      <c r="M2855" s="990"/>
      <c r="N2855" s="990"/>
      <c r="O2855" s="990"/>
      <c r="P2855" s="990"/>
      <c r="Q2855" s="990"/>
      <c r="R2855" s="990"/>
      <c r="S2855" s="990"/>
      <c r="T2855" s="990"/>
      <c r="U2855" s="990"/>
      <c r="V2855" s="990"/>
      <c r="W2855" s="990"/>
      <c r="X2855" s="990"/>
    </row>
    <row r="2856" spans="1:24" s="896" customFormat="1">
      <c r="A2856" s="987">
        <f t="shared" si="45"/>
        <v>2782</v>
      </c>
      <c r="B2856" s="988">
        <v>3886</v>
      </c>
      <c r="C2856" s="899" t="s">
        <v>12182</v>
      </c>
      <c r="D2856" s="988" t="s">
        <v>2666</v>
      </c>
      <c r="E2856" s="989">
        <v>17.87</v>
      </c>
      <c r="F2856" s="990"/>
      <c r="G2856" s="990"/>
      <c r="H2856" s="990"/>
      <c r="I2856" s="990"/>
      <c r="J2856" s="990"/>
      <c r="K2856" s="990"/>
      <c r="L2856" s="990"/>
      <c r="M2856" s="990"/>
      <c r="N2856" s="990"/>
      <c r="O2856" s="990"/>
      <c r="P2856" s="990"/>
      <c r="Q2856" s="990"/>
      <c r="R2856" s="990"/>
      <c r="S2856" s="990"/>
      <c r="T2856" s="990"/>
      <c r="U2856" s="990"/>
      <c r="V2856" s="990"/>
      <c r="W2856" s="990"/>
      <c r="X2856" s="990"/>
    </row>
    <row r="2857" spans="1:24" s="896" customFormat="1">
      <c r="A2857" s="987">
        <f t="shared" si="45"/>
        <v>2783</v>
      </c>
      <c r="B2857" s="988">
        <v>3854</v>
      </c>
      <c r="C2857" s="899" t="s">
        <v>12183</v>
      </c>
      <c r="D2857" s="988" t="s">
        <v>2666</v>
      </c>
      <c r="E2857" s="989">
        <v>9.93</v>
      </c>
      <c r="F2857" s="990"/>
      <c r="G2857" s="990"/>
      <c r="H2857" s="990"/>
      <c r="I2857" s="990"/>
      <c r="J2857" s="990"/>
      <c r="K2857" s="990"/>
      <c r="L2857" s="990"/>
      <c r="M2857" s="990"/>
      <c r="N2857" s="990"/>
      <c r="O2857" s="990"/>
      <c r="P2857" s="990"/>
      <c r="Q2857" s="990"/>
      <c r="R2857" s="990"/>
      <c r="S2857" s="990"/>
      <c r="T2857" s="990"/>
      <c r="U2857" s="990"/>
      <c r="V2857" s="990"/>
      <c r="W2857" s="990"/>
      <c r="X2857" s="990"/>
    </row>
    <row r="2858" spans="1:24" s="896" customFormat="1">
      <c r="A2858" s="987">
        <f t="shared" si="45"/>
        <v>2784</v>
      </c>
      <c r="B2858" s="988">
        <v>3873</v>
      </c>
      <c r="C2858" s="899" t="s">
        <v>12184</v>
      </c>
      <c r="D2858" s="988" t="s">
        <v>2666</v>
      </c>
      <c r="E2858" s="989">
        <v>13.15</v>
      </c>
      <c r="F2858" s="990"/>
      <c r="G2858" s="990"/>
      <c r="H2858" s="990"/>
      <c r="I2858" s="990"/>
      <c r="J2858" s="990"/>
      <c r="K2858" s="990"/>
      <c r="L2858" s="990"/>
      <c r="M2858" s="990"/>
      <c r="N2858" s="990"/>
      <c r="O2858" s="990"/>
      <c r="P2858" s="990"/>
      <c r="Q2858" s="990"/>
      <c r="R2858" s="990"/>
      <c r="S2858" s="990"/>
      <c r="T2858" s="990"/>
      <c r="U2858" s="990"/>
      <c r="V2858" s="990"/>
      <c r="W2858" s="990"/>
      <c r="X2858" s="990"/>
    </row>
    <row r="2859" spans="1:24" s="896" customFormat="1">
      <c r="A2859" s="987">
        <f t="shared" si="45"/>
        <v>2785</v>
      </c>
      <c r="B2859" s="988">
        <v>38021</v>
      </c>
      <c r="C2859" s="899" t="s">
        <v>12185</v>
      </c>
      <c r="D2859" s="988" t="s">
        <v>2666</v>
      </c>
      <c r="E2859" s="989">
        <v>31.44</v>
      </c>
      <c r="F2859" s="990"/>
      <c r="G2859" s="990"/>
      <c r="H2859" s="990"/>
      <c r="I2859" s="990"/>
      <c r="J2859" s="990"/>
      <c r="K2859" s="990"/>
      <c r="L2859" s="990"/>
      <c r="M2859" s="990"/>
      <c r="N2859" s="990"/>
      <c r="O2859" s="990"/>
      <c r="P2859" s="990"/>
      <c r="Q2859" s="990"/>
      <c r="R2859" s="990"/>
      <c r="S2859" s="990"/>
      <c r="T2859" s="990"/>
      <c r="U2859" s="990"/>
      <c r="V2859" s="990"/>
      <c r="W2859" s="990"/>
      <c r="X2859" s="990"/>
    </row>
    <row r="2860" spans="1:24" s="896" customFormat="1">
      <c r="A2860" s="987">
        <f t="shared" si="45"/>
        <v>2786</v>
      </c>
      <c r="B2860" s="988">
        <v>3847</v>
      </c>
      <c r="C2860" s="899" t="s">
        <v>12186</v>
      </c>
      <c r="D2860" s="988" t="s">
        <v>2666</v>
      </c>
      <c r="E2860" s="989">
        <v>35.69</v>
      </c>
      <c r="F2860" s="990"/>
      <c r="G2860" s="990"/>
      <c r="H2860" s="990"/>
      <c r="I2860" s="990"/>
      <c r="J2860" s="990"/>
      <c r="K2860" s="990"/>
      <c r="L2860" s="990"/>
      <c r="M2860" s="990"/>
      <c r="N2860" s="990"/>
      <c r="O2860" s="990"/>
      <c r="P2860" s="990"/>
      <c r="Q2860" s="990"/>
      <c r="R2860" s="990"/>
      <c r="S2860" s="990"/>
      <c r="T2860" s="990"/>
      <c r="U2860" s="990"/>
      <c r="V2860" s="990"/>
      <c r="W2860" s="990"/>
      <c r="X2860" s="990"/>
    </row>
    <row r="2861" spans="1:24" s="896" customFormat="1">
      <c r="A2861" s="987">
        <f t="shared" si="45"/>
        <v>2787</v>
      </c>
      <c r="B2861" s="988">
        <v>38022</v>
      </c>
      <c r="C2861" s="899" t="s">
        <v>12187</v>
      </c>
      <c r="D2861" s="988" t="s">
        <v>2666</v>
      </c>
      <c r="E2861" s="989">
        <v>55.74</v>
      </c>
      <c r="F2861" s="990"/>
      <c r="G2861" s="990"/>
      <c r="H2861" s="990"/>
      <c r="I2861" s="990"/>
      <c r="J2861" s="990"/>
      <c r="K2861" s="990"/>
      <c r="L2861" s="990"/>
      <c r="M2861" s="990"/>
      <c r="N2861" s="990"/>
      <c r="O2861" s="990"/>
      <c r="P2861" s="990"/>
      <c r="Q2861" s="990"/>
      <c r="R2861" s="990"/>
      <c r="S2861" s="990"/>
      <c r="T2861" s="990"/>
      <c r="U2861" s="990"/>
      <c r="V2861" s="990"/>
      <c r="W2861" s="990"/>
      <c r="X2861" s="990"/>
    </row>
    <row r="2862" spans="1:24" s="896" customFormat="1">
      <c r="A2862" s="987">
        <f t="shared" si="45"/>
        <v>2788</v>
      </c>
      <c r="B2862" s="988">
        <v>3833</v>
      </c>
      <c r="C2862" s="899" t="s">
        <v>12188</v>
      </c>
      <c r="D2862" s="988" t="s">
        <v>2666</v>
      </c>
      <c r="E2862" s="989">
        <v>20.75</v>
      </c>
      <c r="F2862" s="990"/>
      <c r="G2862" s="990"/>
      <c r="H2862" s="990"/>
      <c r="I2862" s="990"/>
      <c r="J2862" s="990"/>
      <c r="K2862" s="990"/>
      <c r="L2862" s="990"/>
      <c r="M2862" s="990"/>
      <c r="N2862" s="990"/>
      <c r="O2862" s="990"/>
      <c r="P2862" s="990"/>
      <c r="Q2862" s="990"/>
      <c r="R2862" s="990"/>
      <c r="S2862" s="990"/>
      <c r="T2862" s="990"/>
      <c r="U2862" s="990"/>
      <c r="V2862" s="990"/>
      <c r="W2862" s="990"/>
      <c r="X2862" s="990"/>
    </row>
    <row r="2863" spans="1:24" s="896" customFormat="1">
      <c r="A2863" s="987">
        <f t="shared" si="45"/>
        <v>2789</v>
      </c>
      <c r="B2863" s="988">
        <v>3835</v>
      </c>
      <c r="C2863" s="899" t="s">
        <v>12189</v>
      </c>
      <c r="D2863" s="988" t="s">
        <v>2666</v>
      </c>
      <c r="E2863" s="989">
        <v>67.55</v>
      </c>
      <c r="F2863" s="990"/>
      <c r="G2863" s="990"/>
      <c r="H2863" s="990"/>
      <c r="I2863" s="990"/>
      <c r="J2863" s="990"/>
      <c r="K2863" s="990"/>
      <c r="L2863" s="990"/>
      <c r="M2863" s="990"/>
      <c r="N2863" s="990"/>
      <c r="O2863" s="990"/>
      <c r="P2863" s="990"/>
      <c r="Q2863" s="990"/>
      <c r="R2863" s="990"/>
      <c r="S2863" s="990"/>
      <c r="T2863" s="990"/>
      <c r="U2863" s="990"/>
      <c r="V2863" s="990"/>
      <c r="W2863" s="990"/>
      <c r="X2863" s="990"/>
    </row>
    <row r="2864" spans="1:24" s="896" customFormat="1">
      <c r="A2864" s="987">
        <f t="shared" si="45"/>
        <v>2790</v>
      </c>
      <c r="B2864" s="988">
        <v>3836</v>
      </c>
      <c r="C2864" s="899" t="s">
        <v>12190</v>
      </c>
      <c r="D2864" s="988" t="s">
        <v>2666</v>
      </c>
      <c r="E2864" s="989">
        <v>145.4</v>
      </c>
      <c r="F2864" s="990"/>
      <c r="G2864" s="990"/>
      <c r="H2864" s="990"/>
      <c r="I2864" s="990"/>
      <c r="J2864" s="990"/>
      <c r="K2864" s="990"/>
      <c r="L2864" s="990"/>
      <c r="M2864" s="990"/>
      <c r="N2864" s="990"/>
      <c r="O2864" s="990"/>
      <c r="P2864" s="990"/>
      <c r="Q2864" s="990"/>
      <c r="R2864" s="990"/>
      <c r="S2864" s="990"/>
      <c r="T2864" s="990"/>
      <c r="U2864" s="990"/>
      <c r="V2864" s="990"/>
      <c r="W2864" s="990"/>
      <c r="X2864" s="990"/>
    </row>
    <row r="2865" spans="1:24" s="896" customFormat="1">
      <c r="A2865" s="987">
        <f t="shared" si="45"/>
        <v>2791</v>
      </c>
      <c r="B2865" s="988">
        <v>3830</v>
      </c>
      <c r="C2865" s="899" t="s">
        <v>12191</v>
      </c>
      <c r="D2865" s="988" t="s">
        <v>2666</v>
      </c>
      <c r="E2865" s="989">
        <v>237.73</v>
      </c>
      <c r="F2865" s="990"/>
      <c r="G2865" s="990"/>
      <c r="H2865" s="990"/>
      <c r="I2865" s="990"/>
      <c r="J2865" s="990"/>
      <c r="K2865" s="990"/>
      <c r="L2865" s="990"/>
      <c r="M2865" s="990"/>
      <c r="N2865" s="990"/>
      <c r="O2865" s="990"/>
      <c r="P2865" s="990"/>
      <c r="Q2865" s="990"/>
      <c r="R2865" s="990"/>
      <c r="S2865" s="990"/>
      <c r="T2865" s="990"/>
      <c r="U2865" s="990"/>
      <c r="V2865" s="990"/>
      <c r="W2865" s="990"/>
      <c r="X2865" s="990"/>
    </row>
    <row r="2866" spans="1:24" s="896" customFormat="1">
      <c r="A2866" s="987">
        <f t="shared" si="45"/>
        <v>2792</v>
      </c>
      <c r="B2866" s="988">
        <v>3831</v>
      </c>
      <c r="C2866" s="899" t="s">
        <v>12192</v>
      </c>
      <c r="D2866" s="988" t="s">
        <v>2666</v>
      </c>
      <c r="E2866" s="989">
        <v>397.41</v>
      </c>
      <c r="F2866" s="990"/>
      <c r="G2866" s="990"/>
      <c r="H2866" s="990"/>
      <c r="I2866" s="990"/>
      <c r="J2866" s="990"/>
      <c r="K2866" s="990"/>
      <c r="L2866" s="990"/>
      <c r="M2866" s="990"/>
      <c r="N2866" s="990"/>
      <c r="O2866" s="990"/>
      <c r="P2866" s="990"/>
      <c r="Q2866" s="990"/>
      <c r="R2866" s="990"/>
      <c r="S2866" s="990"/>
      <c r="T2866" s="990"/>
      <c r="U2866" s="990"/>
      <c r="V2866" s="990"/>
      <c r="W2866" s="990"/>
      <c r="X2866" s="990"/>
    </row>
    <row r="2867" spans="1:24" s="896" customFormat="1">
      <c r="A2867" s="987">
        <f t="shared" si="45"/>
        <v>2793</v>
      </c>
      <c r="B2867" s="988">
        <v>37981</v>
      </c>
      <c r="C2867" s="899" t="s">
        <v>12193</v>
      </c>
      <c r="D2867" s="988" t="s">
        <v>2666</v>
      </c>
      <c r="E2867" s="989">
        <v>8.75</v>
      </c>
      <c r="F2867" s="990"/>
      <c r="G2867" s="990"/>
      <c r="H2867" s="990"/>
      <c r="I2867" s="990"/>
      <c r="J2867" s="990"/>
      <c r="K2867" s="990"/>
      <c r="L2867" s="990"/>
      <c r="M2867" s="990"/>
      <c r="N2867" s="990"/>
      <c r="O2867" s="990"/>
      <c r="P2867" s="990"/>
      <c r="Q2867" s="990"/>
      <c r="R2867" s="990"/>
      <c r="S2867" s="990"/>
      <c r="T2867" s="990"/>
      <c r="U2867" s="990"/>
      <c r="V2867" s="990"/>
      <c r="W2867" s="990"/>
      <c r="X2867" s="990"/>
    </row>
    <row r="2868" spans="1:24" s="896" customFormat="1">
      <c r="A2868" s="987">
        <f t="shared" si="45"/>
        <v>2794</v>
      </c>
      <c r="B2868" s="988">
        <v>37982</v>
      </c>
      <c r="C2868" s="899" t="s">
        <v>12194</v>
      </c>
      <c r="D2868" s="988" t="s">
        <v>2666</v>
      </c>
      <c r="E2868" s="989">
        <v>13.29</v>
      </c>
      <c r="F2868" s="990"/>
      <c r="G2868" s="990"/>
      <c r="H2868" s="990"/>
      <c r="I2868" s="990"/>
      <c r="J2868" s="990"/>
      <c r="K2868" s="990"/>
      <c r="L2868" s="990"/>
      <c r="M2868" s="990"/>
      <c r="N2868" s="990"/>
      <c r="O2868" s="990"/>
      <c r="P2868" s="990"/>
      <c r="Q2868" s="990"/>
      <c r="R2868" s="990"/>
      <c r="S2868" s="990"/>
      <c r="T2868" s="990"/>
      <c r="U2868" s="990"/>
      <c r="V2868" s="990"/>
      <c r="W2868" s="990"/>
      <c r="X2868" s="990"/>
    </row>
    <row r="2869" spans="1:24" s="896" customFormat="1">
      <c r="A2869" s="987">
        <f t="shared" si="45"/>
        <v>2795</v>
      </c>
      <c r="B2869" s="988">
        <v>37983</v>
      </c>
      <c r="C2869" s="899" t="s">
        <v>12195</v>
      </c>
      <c r="D2869" s="988" t="s">
        <v>2666</v>
      </c>
      <c r="E2869" s="989">
        <v>18.61</v>
      </c>
      <c r="F2869" s="990"/>
      <c r="G2869" s="990"/>
      <c r="H2869" s="990"/>
      <c r="I2869" s="990"/>
      <c r="J2869" s="990"/>
      <c r="K2869" s="990"/>
      <c r="L2869" s="990"/>
      <c r="M2869" s="990"/>
      <c r="N2869" s="990"/>
      <c r="O2869" s="990"/>
      <c r="P2869" s="990"/>
      <c r="Q2869" s="990"/>
      <c r="R2869" s="990"/>
      <c r="S2869" s="990"/>
      <c r="T2869" s="990"/>
      <c r="U2869" s="990"/>
      <c r="V2869" s="990"/>
      <c r="W2869" s="990"/>
      <c r="X2869" s="990"/>
    </row>
    <row r="2870" spans="1:24" s="896" customFormat="1">
      <c r="A2870" s="987">
        <f t="shared" si="45"/>
        <v>2796</v>
      </c>
      <c r="B2870" s="988">
        <v>37984</v>
      </c>
      <c r="C2870" s="899" t="s">
        <v>12196</v>
      </c>
      <c r="D2870" s="988" t="s">
        <v>2666</v>
      </c>
      <c r="E2870" s="989">
        <v>32.130000000000003</v>
      </c>
      <c r="F2870" s="990"/>
      <c r="G2870" s="990"/>
      <c r="H2870" s="990"/>
      <c r="I2870" s="990"/>
      <c r="J2870" s="990"/>
      <c r="K2870" s="990"/>
      <c r="L2870" s="990"/>
      <c r="M2870" s="990"/>
      <c r="N2870" s="990"/>
      <c r="O2870" s="990"/>
      <c r="P2870" s="990"/>
      <c r="Q2870" s="990"/>
      <c r="R2870" s="990"/>
      <c r="S2870" s="990"/>
      <c r="T2870" s="990"/>
      <c r="U2870" s="990"/>
      <c r="V2870" s="990"/>
      <c r="W2870" s="990"/>
      <c r="X2870" s="990"/>
    </row>
    <row r="2871" spans="1:24" s="896" customFormat="1">
      <c r="A2871" s="987">
        <f t="shared" si="45"/>
        <v>2797</v>
      </c>
      <c r="B2871" s="988">
        <v>37985</v>
      </c>
      <c r="C2871" s="899" t="s">
        <v>12197</v>
      </c>
      <c r="D2871" s="988" t="s">
        <v>2666</v>
      </c>
      <c r="E2871" s="989">
        <v>45</v>
      </c>
      <c r="F2871" s="990"/>
      <c r="G2871" s="990"/>
      <c r="H2871" s="990"/>
      <c r="I2871" s="990"/>
      <c r="J2871" s="990"/>
      <c r="K2871" s="990"/>
      <c r="L2871" s="990"/>
      <c r="M2871" s="990"/>
      <c r="N2871" s="990"/>
      <c r="O2871" s="990"/>
      <c r="P2871" s="990"/>
      <c r="Q2871" s="990"/>
      <c r="R2871" s="990"/>
      <c r="S2871" s="990"/>
      <c r="T2871" s="990"/>
      <c r="U2871" s="990"/>
      <c r="V2871" s="990"/>
      <c r="W2871" s="990"/>
      <c r="X2871" s="990"/>
    </row>
    <row r="2872" spans="1:24" s="896" customFormat="1">
      <c r="A2872" s="987">
        <f t="shared" si="45"/>
        <v>2798</v>
      </c>
      <c r="B2872" s="988">
        <v>3826</v>
      </c>
      <c r="C2872" s="899" t="s">
        <v>12198</v>
      </c>
      <c r="D2872" s="988" t="s">
        <v>2666</v>
      </c>
      <c r="E2872" s="989">
        <v>63.65</v>
      </c>
      <c r="F2872" s="990"/>
      <c r="G2872" s="990"/>
      <c r="H2872" s="990"/>
      <c r="I2872" s="990"/>
      <c r="J2872" s="990"/>
      <c r="K2872" s="990"/>
      <c r="L2872" s="990"/>
      <c r="M2872" s="990"/>
      <c r="N2872" s="990"/>
      <c r="O2872" s="990"/>
      <c r="P2872" s="990"/>
      <c r="Q2872" s="990"/>
      <c r="R2872" s="990"/>
      <c r="S2872" s="990"/>
      <c r="T2872" s="990"/>
      <c r="U2872" s="990"/>
      <c r="V2872" s="990"/>
      <c r="W2872" s="990"/>
      <c r="X2872" s="990"/>
    </row>
    <row r="2873" spans="1:24" s="896" customFormat="1">
      <c r="A2873" s="987">
        <f t="shared" si="45"/>
        <v>2799</v>
      </c>
      <c r="B2873" s="988">
        <v>3825</v>
      </c>
      <c r="C2873" s="899" t="s">
        <v>12199</v>
      </c>
      <c r="D2873" s="988" t="s">
        <v>2666</v>
      </c>
      <c r="E2873" s="989">
        <v>18.3</v>
      </c>
      <c r="F2873" s="990"/>
      <c r="G2873" s="990"/>
      <c r="H2873" s="990"/>
      <c r="I2873" s="990"/>
      <c r="J2873" s="990"/>
      <c r="K2873" s="990"/>
      <c r="L2873" s="990"/>
      <c r="M2873" s="990"/>
      <c r="N2873" s="990"/>
      <c r="O2873" s="990"/>
      <c r="P2873" s="990"/>
      <c r="Q2873" s="990"/>
      <c r="R2873" s="990"/>
      <c r="S2873" s="990"/>
      <c r="T2873" s="990"/>
      <c r="U2873" s="990"/>
      <c r="V2873" s="990"/>
      <c r="W2873" s="990"/>
      <c r="X2873" s="990"/>
    </row>
    <row r="2874" spans="1:24" s="896" customFormat="1">
      <c r="A2874" s="987">
        <f t="shared" si="45"/>
        <v>2800</v>
      </c>
      <c r="B2874" s="988">
        <v>3827</v>
      </c>
      <c r="C2874" s="899" t="s">
        <v>12200</v>
      </c>
      <c r="D2874" s="988" t="s">
        <v>2666</v>
      </c>
      <c r="E2874" s="989">
        <v>39.99</v>
      </c>
      <c r="F2874" s="990"/>
      <c r="G2874" s="990"/>
      <c r="H2874" s="990"/>
      <c r="I2874" s="990"/>
      <c r="J2874" s="990"/>
      <c r="K2874" s="990"/>
      <c r="L2874" s="990"/>
      <c r="M2874" s="990"/>
      <c r="N2874" s="990"/>
      <c r="O2874" s="990"/>
      <c r="P2874" s="990"/>
      <c r="Q2874" s="990"/>
      <c r="R2874" s="990"/>
      <c r="S2874" s="990"/>
      <c r="T2874" s="990"/>
      <c r="U2874" s="990"/>
      <c r="V2874" s="990"/>
      <c r="W2874" s="990"/>
      <c r="X2874" s="990"/>
    </row>
    <row r="2875" spans="1:24" s="896" customFormat="1">
      <c r="A2875" s="987">
        <f t="shared" si="45"/>
        <v>2801</v>
      </c>
      <c r="B2875" s="988">
        <v>20165</v>
      </c>
      <c r="C2875" s="899" t="s">
        <v>12201</v>
      </c>
      <c r="D2875" s="988" t="s">
        <v>2666</v>
      </c>
      <c r="E2875" s="989">
        <v>34.93</v>
      </c>
      <c r="F2875" s="990"/>
      <c r="G2875" s="990"/>
      <c r="H2875" s="990"/>
      <c r="I2875" s="990"/>
      <c r="J2875" s="990"/>
      <c r="K2875" s="990"/>
      <c r="L2875" s="990"/>
      <c r="M2875" s="990"/>
      <c r="N2875" s="990"/>
      <c r="O2875" s="990"/>
      <c r="P2875" s="990"/>
      <c r="Q2875" s="990"/>
      <c r="R2875" s="990"/>
      <c r="S2875" s="990"/>
      <c r="T2875" s="990"/>
      <c r="U2875" s="990"/>
      <c r="V2875" s="990"/>
      <c r="W2875" s="990"/>
      <c r="X2875" s="990"/>
    </row>
    <row r="2876" spans="1:24" s="896" customFormat="1">
      <c r="A2876" s="987">
        <f t="shared" si="45"/>
        <v>2802</v>
      </c>
      <c r="B2876" s="988">
        <v>20166</v>
      </c>
      <c r="C2876" s="899" t="s">
        <v>12202</v>
      </c>
      <c r="D2876" s="988" t="s">
        <v>2666</v>
      </c>
      <c r="E2876" s="989">
        <v>112.89</v>
      </c>
      <c r="F2876" s="990"/>
      <c r="G2876" s="990"/>
      <c r="H2876" s="990"/>
      <c r="I2876" s="990"/>
      <c r="J2876" s="990"/>
      <c r="K2876" s="990"/>
      <c r="L2876" s="990"/>
      <c r="M2876" s="990"/>
      <c r="N2876" s="990"/>
      <c r="O2876" s="990"/>
      <c r="P2876" s="990"/>
      <c r="Q2876" s="990"/>
      <c r="R2876" s="990"/>
      <c r="S2876" s="990"/>
      <c r="T2876" s="990"/>
      <c r="U2876" s="990"/>
      <c r="V2876" s="990"/>
      <c r="W2876" s="990"/>
      <c r="X2876" s="990"/>
    </row>
    <row r="2877" spans="1:24" s="896" customFormat="1">
      <c r="A2877" s="987">
        <f t="shared" si="45"/>
        <v>2803</v>
      </c>
      <c r="B2877" s="988">
        <v>20164</v>
      </c>
      <c r="C2877" s="899" t="s">
        <v>12203</v>
      </c>
      <c r="D2877" s="988" t="s">
        <v>2666</v>
      </c>
      <c r="E2877" s="989">
        <v>18.45</v>
      </c>
      <c r="F2877" s="990"/>
      <c r="G2877" s="990"/>
      <c r="H2877" s="990"/>
      <c r="I2877" s="990"/>
      <c r="J2877" s="990"/>
      <c r="K2877" s="990"/>
      <c r="L2877" s="990"/>
      <c r="M2877" s="990"/>
      <c r="N2877" s="990"/>
      <c r="O2877" s="990"/>
      <c r="P2877" s="990"/>
      <c r="Q2877" s="990"/>
      <c r="R2877" s="990"/>
      <c r="S2877" s="990"/>
      <c r="T2877" s="990"/>
      <c r="U2877" s="990"/>
      <c r="V2877" s="990"/>
      <c r="W2877" s="990"/>
      <c r="X2877" s="990"/>
    </row>
    <row r="2878" spans="1:24" s="896" customFormat="1">
      <c r="A2878" s="987">
        <f t="shared" si="45"/>
        <v>2804</v>
      </c>
      <c r="B2878" s="988">
        <v>3893</v>
      </c>
      <c r="C2878" s="899" t="s">
        <v>12204</v>
      </c>
      <c r="D2878" s="988" t="s">
        <v>2666</v>
      </c>
      <c r="E2878" s="989">
        <v>22.89</v>
      </c>
      <c r="F2878" s="990"/>
      <c r="G2878" s="990"/>
      <c r="H2878" s="990"/>
      <c r="I2878" s="990"/>
      <c r="J2878" s="990"/>
      <c r="K2878" s="990"/>
      <c r="L2878" s="990"/>
      <c r="M2878" s="990"/>
      <c r="N2878" s="990"/>
      <c r="O2878" s="990"/>
      <c r="P2878" s="990"/>
      <c r="Q2878" s="990"/>
      <c r="R2878" s="990"/>
      <c r="S2878" s="990"/>
      <c r="T2878" s="990"/>
      <c r="U2878" s="990"/>
      <c r="V2878" s="990"/>
      <c r="W2878" s="990"/>
      <c r="X2878" s="990"/>
    </row>
    <row r="2879" spans="1:24" s="896" customFormat="1">
      <c r="A2879" s="987">
        <f t="shared" si="45"/>
        <v>2805</v>
      </c>
      <c r="B2879" s="988">
        <v>3848</v>
      </c>
      <c r="C2879" s="899" t="s">
        <v>12205</v>
      </c>
      <c r="D2879" s="988" t="s">
        <v>2666</v>
      </c>
      <c r="E2879" s="989">
        <v>13.91</v>
      </c>
      <c r="F2879" s="990"/>
      <c r="G2879" s="990"/>
      <c r="H2879" s="990"/>
      <c r="I2879" s="990"/>
      <c r="J2879" s="990"/>
      <c r="K2879" s="990"/>
      <c r="L2879" s="990"/>
      <c r="M2879" s="990"/>
      <c r="N2879" s="990"/>
      <c r="O2879" s="990"/>
      <c r="P2879" s="990"/>
      <c r="Q2879" s="990"/>
      <c r="R2879" s="990"/>
      <c r="S2879" s="990"/>
      <c r="T2879" s="990"/>
      <c r="U2879" s="990"/>
      <c r="V2879" s="990"/>
      <c r="W2879" s="990"/>
      <c r="X2879" s="990"/>
    </row>
    <row r="2880" spans="1:24" s="896" customFormat="1">
      <c r="A2880" s="987">
        <f t="shared" si="45"/>
        <v>2806</v>
      </c>
      <c r="B2880" s="988">
        <v>3895</v>
      </c>
      <c r="C2880" s="899" t="s">
        <v>12206</v>
      </c>
      <c r="D2880" s="988" t="s">
        <v>2666</v>
      </c>
      <c r="E2880" s="989">
        <v>15.13</v>
      </c>
      <c r="F2880" s="990"/>
      <c r="G2880" s="990"/>
      <c r="H2880" s="990"/>
      <c r="I2880" s="990"/>
      <c r="J2880" s="990"/>
      <c r="K2880" s="990"/>
      <c r="L2880" s="990"/>
      <c r="M2880" s="990"/>
      <c r="N2880" s="990"/>
      <c r="O2880" s="990"/>
      <c r="P2880" s="990"/>
      <c r="Q2880" s="990"/>
      <c r="R2880" s="990"/>
      <c r="S2880" s="990"/>
      <c r="T2880" s="990"/>
      <c r="U2880" s="990"/>
      <c r="V2880" s="990"/>
      <c r="W2880" s="990"/>
      <c r="X2880" s="990"/>
    </row>
    <row r="2881" spans="1:24" s="896" customFormat="1">
      <c r="A2881" s="987">
        <f t="shared" si="45"/>
        <v>2807</v>
      </c>
      <c r="B2881" s="988">
        <v>12404</v>
      </c>
      <c r="C2881" s="899" t="s">
        <v>12207</v>
      </c>
      <c r="D2881" s="988" t="s">
        <v>2666</v>
      </c>
      <c r="E2881" s="989">
        <v>11.67</v>
      </c>
      <c r="F2881" s="990"/>
      <c r="G2881" s="990"/>
      <c r="H2881" s="990"/>
      <c r="I2881" s="990"/>
      <c r="J2881" s="990"/>
      <c r="K2881" s="990"/>
      <c r="L2881" s="990"/>
      <c r="M2881" s="990"/>
      <c r="N2881" s="990"/>
      <c r="O2881" s="990"/>
      <c r="P2881" s="990"/>
      <c r="Q2881" s="990"/>
      <c r="R2881" s="990"/>
      <c r="S2881" s="990"/>
      <c r="T2881" s="990"/>
      <c r="U2881" s="990"/>
      <c r="V2881" s="990"/>
      <c r="W2881" s="990"/>
      <c r="X2881" s="990"/>
    </row>
    <row r="2882" spans="1:24" s="896" customFormat="1">
      <c r="A2882" s="987">
        <f t="shared" si="45"/>
        <v>2808</v>
      </c>
      <c r="B2882" s="988">
        <v>3939</v>
      </c>
      <c r="C2882" s="899" t="s">
        <v>12208</v>
      </c>
      <c r="D2882" s="988" t="s">
        <v>2666</v>
      </c>
      <c r="E2882" s="989">
        <v>24.05</v>
      </c>
      <c r="F2882" s="990"/>
      <c r="G2882" s="990"/>
      <c r="H2882" s="990"/>
      <c r="I2882" s="990"/>
      <c r="J2882" s="990"/>
      <c r="K2882" s="990"/>
      <c r="L2882" s="990"/>
      <c r="M2882" s="990"/>
      <c r="N2882" s="990"/>
      <c r="O2882" s="990"/>
      <c r="P2882" s="990"/>
      <c r="Q2882" s="990"/>
      <c r="R2882" s="990"/>
      <c r="S2882" s="990"/>
      <c r="T2882" s="990"/>
      <c r="U2882" s="990"/>
      <c r="V2882" s="990"/>
      <c r="W2882" s="990"/>
      <c r="X2882" s="990"/>
    </row>
    <row r="2883" spans="1:24" s="896" customFormat="1">
      <c r="A2883" s="987">
        <f t="shared" si="45"/>
        <v>2809</v>
      </c>
      <c r="B2883" s="988">
        <v>3911</v>
      </c>
      <c r="C2883" s="899" t="s">
        <v>12209</v>
      </c>
      <c r="D2883" s="988" t="s">
        <v>2666</v>
      </c>
      <c r="E2883" s="989">
        <v>19.64</v>
      </c>
      <c r="F2883" s="990"/>
      <c r="G2883" s="990"/>
      <c r="H2883" s="990"/>
      <c r="I2883" s="990"/>
      <c r="J2883" s="990"/>
      <c r="K2883" s="990"/>
      <c r="L2883" s="990"/>
      <c r="M2883" s="990"/>
      <c r="N2883" s="990"/>
      <c r="O2883" s="990"/>
      <c r="P2883" s="990"/>
      <c r="Q2883" s="990"/>
      <c r="R2883" s="990"/>
      <c r="S2883" s="990"/>
      <c r="T2883" s="990"/>
      <c r="U2883" s="990"/>
      <c r="V2883" s="990"/>
      <c r="W2883" s="990"/>
      <c r="X2883" s="990"/>
    </row>
    <row r="2884" spans="1:24" s="896" customFormat="1">
      <c r="A2884" s="987">
        <f t="shared" si="45"/>
        <v>2810</v>
      </c>
      <c r="B2884" s="988">
        <v>3908</v>
      </c>
      <c r="C2884" s="899" t="s">
        <v>12210</v>
      </c>
      <c r="D2884" s="988" t="s">
        <v>2666</v>
      </c>
      <c r="E2884" s="989">
        <v>6.35</v>
      </c>
      <c r="F2884" s="990"/>
      <c r="G2884" s="990"/>
      <c r="H2884" s="990"/>
      <c r="I2884" s="990"/>
      <c r="J2884" s="990"/>
      <c r="K2884" s="990"/>
      <c r="L2884" s="990"/>
      <c r="M2884" s="990"/>
      <c r="N2884" s="990"/>
      <c r="O2884" s="990"/>
      <c r="P2884" s="990"/>
      <c r="Q2884" s="990"/>
      <c r="R2884" s="990"/>
      <c r="S2884" s="990"/>
      <c r="T2884" s="990"/>
      <c r="U2884" s="990"/>
      <c r="V2884" s="990"/>
      <c r="W2884" s="990"/>
      <c r="X2884" s="990"/>
    </row>
    <row r="2885" spans="1:24" s="896" customFormat="1">
      <c r="A2885" s="987">
        <f t="shared" si="45"/>
        <v>2811</v>
      </c>
      <c r="B2885" s="988">
        <v>3910</v>
      </c>
      <c r="C2885" s="899" t="s">
        <v>12211</v>
      </c>
      <c r="D2885" s="988" t="s">
        <v>2666</v>
      </c>
      <c r="E2885" s="989">
        <v>14.05</v>
      </c>
      <c r="F2885" s="990"/>
      <c r="G2885" s="990"/>
      <c r="H2885" s="990"/>
      <c r="I2885" s="990"/>
      <c r="J2885" s="990"/>
      <c r="K2885" s="990"/>
      <c r="L2885" s="990"/>
      <c r="M2885" s="990"/>
      <c r="N2885" s="990"/>
      <c r="O2885" s="990"/>
      <c r="P2885" s="990"/>
      <c r="Q2885" s="990"/>
      <c r="R2885" s="990"/>
      <c r="S2885" s="990"/>
      <c r="T2885" s="990"/>
      <c r="U2885" s="990"/>
      <c r="V2885" s="990"/>
      <c r="W2885" s="990"/>
      <c r="X2885" s="990"/>
    </row>
    <row r="2886" spans="1:24" s="896" customFormat="1">
      <c r="A2886" s="987">
        <f t="shared" si="45"/>
        <v>2812</v>
      </c>
      <c r="B2886" s="988">
        <v>3913</v>
      </c>
      <c r="C2886" s="899" t="s">
        <v>12212</v>
      </c>
      <c r="D2886" s="988" t="s">
        <v>2666</v>
      </c>
      <c r="E2886" s="989">
        <v>67.180000000000007</v>
      </c>
      <c r="F2886" s="990"/>
      <c r="G2886" s="990"/>
      <c r="H2886" s="990"/>
      <c r="I2886" s="990"/>
      <c r="J2886" s="990"/>
      <c r="K2886" s="990"/>
      <c r="L2886" s="990"/>
      <c r="M2886" s="990"/>
      <c r="N2886" s="990"/>
      <c r="O2886" s="990"/>
      <c r="P2886" s="990"/>
      <c r="Q2886" s="990"/>
      <c r="R2886" s="990"/>
      <c r="S2886" s="990"/>
      <c r="T2886" s="990"/>
      <c r="U2886" s="990"/>
      <c r="V2886" s="990"/>
      <c r="W2886" s="990"/>
      <c r="X2886" s="990"/>
    </row>
    <row r="2887" spans="1:24" s="896" customFormat="1">
      <c r="A2887" s="987">
        <f t="shared" si="45"/>
        <v>2813</v>
      </c>
      <c r="B2887" s="988">
        <v>3912</v>
      </c>
      <c r="C2887" s="899" t="s">
        <v>12213</v>
      </c>
      <c r="D2887" s="988" t="s">
        <v>2666</v>
      </c>
      <c r="E2887" s="989">
        <v>36.82</v>
      </c>
      <c r="F2887" s="990"/>
      <c r="G2887" s="990"/>
      <c r="H2887" s="990"/>
      <c r="I2887" s="990"/>
      <c r="J2887" s="990"/>
      <c r="K2887" s="990"/>
      <c r="L2887" s="990"/>
      <c r="M2887" s="990"/>
      <c r="N2887" s="990"/>
      <c r="O2887" s="990"/>
      <c r="P2887" s="990"/>
      <c r="Q2887" s="990"/>
      <c r="R2887" s="990"/>
      <c r="S2887" s="990"/>
      <c r="T2887" s="990"/>
      <c r="U2887" s="990"/>
      <c r="V2887" s="990"/>
      <c r="W2887" s="990"/>
      <c r="X2887" s="990"/>
    </row>
    <row r="2888" spans="1:24" s="896" customFormat="1">
      <c r="A2888" s="987">
        <f t="shared" si="45"/>
        <v>2814</v>
      </c>
      <c r="B2888" s="988">
        <v>3909</v>
      </c>
      <c r="C2888" s="899" t="s">
        <v>12214</v>
      </c>
      <c r="D2888" s="988" t="s">
        <v>2666</v>
      </c>
      <c r="E2888" s="989">
        <v>8.64</v>
      </c>
      <c r="F2888" s="990"/>
      <c r="G2888" s="990"/>
      <c r="H2888" s="990"/>
      <c r="I2888" s="990"/>
      <c r="J2888" s="990"/>
      <c r="K2888" s="990"/>
      <c r="L2888" s="990"/>
      <c r="M2888" s="990"/>
      <c r="N2888" s="990"/>
      <c r="O2888" s="990"/>
      <c r="P2888" s="990"/>
      <c r="Q2888" s="990"/>
      <c r="R2888" s="990"/>
      <c r="S2888" s="990"/>
      <c r="T2888" s="990"/>
      <c r="U2888" s="990"/>
      <c r="V2888" s="990"/>
      <c r="W2888" s="990"/>
      <c r="X2888" s="990"/>
    </row>
    <row r="2889" spans="1:24" s="896" customFormat="1">
      <c r="A2889" s="987">
        <f t="shared" si="45"/>
        <v>2815</v>
      </c>
      <c r="B2889" s="988">
        <v>3914</v>
      </c>
      <c r="C2889" s="899" t="s">
        <v>12215</v>
      </c>
      <c r="D2889" s="988" t="s">
        <v>2666</v>
      </c>
      <c r="E2889" s="989">
        <v>101.34</v>
      </c>
      <c r="F2889" s="990"/>
      <c r="G2889" s="990"/>
      <c r="H2889" s="990"/>
      <c r="I2889" s="990"/>
      <c r="J2889" s="990"/>
      <c r="K2889" s="990"/>
      <c r="L2889" s="990"/>
      <c r="M2889" s="990"/>
      <c r="N2889" s="990"/>
      <c r="O2889" s="990"/>
      <c r="P2889" s="990"/>
      <c r="Q2889" s="990"/>
      <c r="R2889" s="990"/>
      <c r="S2889" s="990"/>
      <c r="T2889" s="990"/>
      <c r="U2889" s="990"/>
      <c r="V2889" s="990"/>
      <c r="W2889" s="990"/>
      <c r="X2889" s="990"/>
    </row>
    <row r="2890" spans="1:24" s="896" customFormat="1">
      <c r="A2890" s="987">
        <f t="shared" si="45"/>
        <v>2816</v>
      </c>
      <c r="B2890" s="988">
        <v>3915</v>
      </c>
      <c r="C2890" s="899" t="s">
        <v>12216</v>
      </c>
      <c r="D2890" s="988" t="s">
        <v>2666</v>
      </c>
      <c r="E2890" s="989">
        <v>159.81</v>
      </c>
      <c r="F2890" s="990"/>
      <c r="G2890" s="990"/>
      <c r="H2890" s="990"/>
      <c r="I2890" s="990"/>
      <c r="J2890" s="990"/>
      <c r="K2890" s="990"/>
      <c r="L2890" s="990"/>
      <c r="M2890" s="990"/>
      <c r="N2890" s="990"/>
      <c r="O2890" s="990"/>
      <c r="P2890" s="990"/>
      <c r="Q2890" s="990"/>
      <c r="R2890" s="990"/>
      <c r="S2890" s="990"/>
      <c r="T2890" s="990"/>
      <c r="U2890" s="990"/>
      <c r="V2890" s="990"/>
      <c r="W2890" s="990"/>
      <c r="X2890" s="990"/>
    </row>
    <row r="2891" spans="1:24" s="896" customFormat="1">
      <c r="A2891" s="987">
        <f t="shared" si="45"/>
        <v>2817</v>
      </c>
      <c r="B2891" s="988">
        <v>3916</v>
      </c>
      <c r="C2891" s="899" t="s">
        <v>12217</v>
      </c>
      <c r="D2891" s="988" t="s">
        <v>2666</v>
      </c>
      <c r="E2891" s="989">
        <v>291.14</v>
      </c>
      <c r="F2891" s="990"/>
      <c r="G2891" s="990"/>
      <c r="H2891" s="990"/>
      <c r="I2891" s="990"/>
      <c r="J2891" s="990"/>
      <c r="K2891" s="990"/>
      <c r="L2891" s="990"/>
      <c r="M2891" s="990"/>
      <c r="N2891" s="990"/>
      <c r="O2891" s="990"/>
      <c r="P2891" s="990"/>
      <c r="Q2891" s="990"/>
      <c r="R2891" s="990"/>
      <c r="S2891" s="990"/>
      <c r="T2891" s="990"/>
      <c r="U2891" s="990"/>
      <c r="V2891" s="990"/>
      <c r="W2891" s="990"/>
      <c r="X2891" s="990"/>
    </row>
    <row r="2892" spans="1:24" s="896" customFormat="1">
      <c r="A2892" s="987">
        <f t="shared" ref="A2892:A2955" si="46">A2891+1</f>
        <v>2818</v>
      </c>
      <c r="B2892" s="988">
        <v>3917</v>
      </c>
      <c r="C2892" s="899" t="s">
        <v>12218</v>
      </c>
      <c r="D2892" s="988" t="s">
        <v>2666</v>
      </c>
      <c r="E2892" s="989">
        <v>480.21</v>
      </c>
      <c r="F2892" s="990"/>
      <c r="G2892" s="990"/>
      <c r="H2892" s="990"/>
      <c r="I2892" s="990"/>
      <c r="J2892" s="990"/>
      <c r="K2892" s="990"/>
      <c r="L2892" s="990"/>
      <c r="M2892" s="990"/>
      <c r="N2892" s="990"/>
      <c r="O2892" s="990"/>
      <c r="P2892" s="990"/>
      <c r="Q2892" s="990"/>
      <c r="R2892" s="990"/>
      <c r="S2892" s="990"/>
      <c r="T2892" s="990"/>
      <c r="U2892" s="990"/>
      <c r="V2892" s="990"/>
      <c r="W2892" s="990"/>
      <c r="X2892" s="990"/>
    </row>
    <row r="2893" spans="1:24" s="896" customFormat="1">
      <c r="A2893" s="987">
        <f t="shared" si="46"/>
        <v>2819</v>
      </c>
      <c r="B2893" s="988">
        <v>1904</v>
      </c>
      <c r="C2893" s="899" t="s">
        <v>12219</v>
      </c>
      <c r="D2893" s="988" t="s">
        <v>2666</v>
      </c>
      <c r="E2893" s="989">
        <v>1.37</v>
      </c>
      <c r="F2893" s="990"/>
      <c r="G2893" s="990"/>
      <c r="H2893" s="990"/>
      <c r="I2893" s="990"/>
      <c r="J2893" s="990"/>
      <c r="K2893" s="990"/>
      <c r="L2893" s="990"/>
      <c r="M2893" s="990"/>
      <c r="N2893" s="990"/>
      <c r="O2893" s="990"/>
      <c r="P2893" s="990"/>
      <c r="Q2893" s="990"/>
      <c r="R2893" s="990"/>
      <c r="S2893" s="990"/>
      <c r="T2893" s="990"/>
      <c r="U2893" s="990"/>
      <c r="V2893" s="990"/>
      <c r="W2893" s="990"/>
      <c r="X2893" s="990"/>
    </row>
    <row r="2894" spans="1:24" s="896" customFormat="1">
      <c r="A2894" s="987">
        <f t="shared" si="46"/>
        <v>2820</v>
      </c>
      <c r="B2894" s="988">
        <v>1899</v>
      </c>
      <c r="C2894" s="899" t="s">
        <v>12220</v>
      </c>
      <c r="D2894" s="988" t="s">
        <v>2666</v>
      </c>
      <c r="E2894" s="989">
        <v>1.55</v>
      </c>
      <c r="F2894" s="990"/>
      <c r="G2894" s="990"/>
      <c r="H2894" s="990"/>
      <c r="I2894" s="990"/>
      <c r="J2894" s="990"/>
      <c r="K2894" s="990"/>
      <c r="L2894" s="990"/>
      <c r="M2894" s="990"/>
      <c r="N2894" s="990"/>
      <c r="O2894" s="990"/>
      <c r="P2894" s="990"/>
      <c r="Q2894" s="990"/>
      <c r="R2894" s="990"/>
      <c r="S2894" s="990"/>
      <c r="T2894" s="990"/>
      <c r="U2894" s="990"/>
      <c r="V2894" s="990"/>
      <c r="W2894" s="990"/>
      <c r="X2894" s="990"/>
    </row>
    <row r="2895" spans="1:24" s="896" customFormat="1">
      <c r="A2895" s="987">
        <f t="shared" si="46"/>
        <v>2821</v>
      </c>
      <c r="B2895" s="988">
        <v>1900</v>
      </c>
      <c r="C2895" s="899" t="s">
        <v>12221</v>
      </c>
      <c r="D2895" s="988" t="s">
        <v>2666</v>
      </c>
      <c r="E2895" s="989">
        <v>2.5099999999999998</v>
      </c>
      <c r="F2895" s="990"/>
      <c r="G2895" s="990"/>
      <c r="H2895" s="990"/>
      <c r="I2895" s="990"/>
      <c r="J2895" s="990"/>
      <c r="K2895" s="990"/>
      <c r="L2895" s="990"/>
      <c r="M2895" s="990"/>
      <c r="N2895" s="990"/>
      <c r="O2895" s="990"/>
      <c r="P2895" s="990"/>
      <c r="Q2895" s="990"/>
      <c r="R2895" s="990"/>
      <c r="S2895" s="990"/>
      <c r="T2895" s="990"/>
      <c r="U2895" s="990"/>
      <c r="V2895" s="990"/>
      <c r="W2895" s="990"/>
      <c r="X2895" s="990"/>
    </row>
    <row r="2896" spans="1:24" s="896" customFormat="1" ht="25.5">
      <c r="A2896" s="987">
        <f t="shared" si="46"/>
        <v>2822</v>
      </c>
      <c r="B2896" s="988">
        <v>12407</v>
      </c>
      <c r="C2896" s="899" t="s">
        <v>12222</v>
      </c>
      <c r="D2896" s="988" t="s">
        <v>2666</v>
      </c>
      <c r="E2896" s="989">
        <v>36.35</v>
      </c>
      <c r="F2896" s="990"/>
      <c r="G2896" s="990"/>
      <c r="H2896" s="990"/>
      <c r="I2896" s="990"/>
      <c r="J2896" s="990"/>
      <c r="K2896" s="990"/>
      <c r="L2896" s="990"/>
      <c r="M2896" s="990"/>
      <c r="N2896" s="990"/>
      <c r="O2896" s="990"/>
      <c r="P2896" s="990"/>
      <c r="Q2896" s="990"/>
      <c r="R2896" s="990"/>
      <c r="S2896" s="990"/>
      <c r="T2896" s="990"/>
      <c r="U2896" s="990"/>
      <c r="V2896" s="990"/>
      <c r="W2896" s="990"/>
      <c r="X2896" s="990"/>
    </row>
    <row r="2897" spans="1:24" s="896" customFormat="1">
      <c r="A2897" s="987">
        <f t="shared" si="46"/>
        <v>2823</v>
      </c>
      <c r="B2897" s="988">
        <v>12408</v>
      </c>
      <c r="C2897" s="899" t="s">
        <v>12223</v>
      </c>
      <c r="D2897" s="988" t="s">
        <v>2666</v>
      </c>
      <c r="E2897" s="989">
        <v>20.52</v>
      </c>
      <c r="F2897" s="990"/>
      <c r="G2897" s="990"/>
      <c r="H2897" s="990"/>
      <c r="I2897" s="990"/>
      <c r="J2897" s="990"/>
      <c r="K2897" s="990"/>
      <c r="L2897" s="990"/>
      <c r="M2897" s="990"/>
      <c r="N2897" s="990"/>
      <c r="O2897" s="990"/>
      <c r="P2897" s="990"/>
      <c r="Q2897" s="990"/>
      <c r="R2897" s="990"/>
      <c r="S2897" s="990"/>
      <c r="T2897" s="990"/>
      <c r="U2897" s="990"/>
      <c r="V2897" s="990"/>
      <c r="W2897" s="990"/>
      <c r="X2897" s="990"/>
    </row>
    <row r="2898" spans="1:24" s="896" customFormat="1">
      <c r="A2898" s="987">
        <f t="shared" si="46"/>
        <v>2824</v>
      </c>
      <c r="B2898" s="988">
        <v>12409</v>
      </c>
      <c r="C2898" s="899" t="s">
        <v>12224</v>
      </c>
      <c r="D2898" s="988" t="s">
        <v>2666</v>
      </c>
      <c r="E2898" s="989">
        <v>20.52</v>
      </c>
      <c r="F2898" s="990"/>
      <c r="G2898" s="990"/>
      <c r="H2898" s="990"/>
      <c r="I2898" s="990"/>
      <c r="J2898" s="990"/>
      <c r="K2898" s="990"/>
      <c r="L2898" s="990"/>
      <c r="M2898" s="990"/>
      <c r="N2898" s="990"/>
      <c r="O2898" s="990"/>
      <c r="P2898" s="990"/>
      <c r="Q2898" s="990"/>
      <c r="R2898" s="990"/>
      <c r="S2898" s="990"/>
      <c r="T2898" s="990"/>
      <c r="U2898" s="990"/>
      <c r="V2898" s="990"/>
      <c r="W2898" s="990"/>
      <c r="X2898" s="990"/>
    </row>
    <row r="2899" spans="1:24" s="896" customFormat="1" ht="25.5">
      <c r="A2899" s="987">
        <f t="shared" si="46"/>
        <v>2825</v>
      </c>
      <c r="B2899" s="988">
        <v>12410</v>
      </c>
      <c r="C2899" s="899" t="s">
        <v>12225</v>
      </c>
      <c r="D2899" s="988" t="s">
        <v>2666</v>
      </c>
      <c r="E2899" s="989">
        <v>14.13</v>
      </c>
      <c r="F2899" s="990"/>
      <c r="G2899" s="990"/>
      <c r="H2899" s="990"/>
      <c r="I2899" s="990"/>
      <c r="J2899" s="990"/>
      <c r="K2899" s="990"/>
      <c r="L2899" s="990"/>
      <c r="M2899" s="990"/>
      <c r="N2899" s="990"/>
      <c r="O2899" s="990"/>
      <c r="P2899" s="990"/>
      <c r="Q2899" s="990"/>
      <c r="R2899" s="990"/>
      <c r="S2899" s="990"/>
      <c r="T2899" s="990"/>
      <c r="U2899" s="990"/>
      <c r="V2899" s="990"/>
      <c r="W2899" s="990"/>
      <c r="X2899" s="990"/>
    </row>
    <row r="2900" spans="1:24" s="896" customFormat="1">
      <c r="A2900" s="987">
        <f t="shared" si="46"/>
        <v>2826</v>
      </c>
      <c r="B2900" s="988">
        <v>3936</v>
      </c>
      <c r="C2900" s="899" t="s">
        <v>12226</v>
      </c>
      <c r="D2900" s="988" t="s">
        <v>2666</v>
      </c>
      <c r="E2900" s="989">
        <v>25.54</v>
      </c>
      <c r="F2900" s="990"/>
      <c r="G2900" s="990"/>
      <c r="H2900" s="990"/>
      <c r="I2900" s="990"/>
      <c r="J2900" s="990"/>
      <c r="K2900" s="990"/>
      <c r="L2900" s="990"/>
      <c r="M2900" s="990"/>
      <c r="N2900" s="990"/>
      <c r="O2900" s="990"/>
      <c r="P2900" s="990"/>
      <c r="Q2900" s="990"/>
      <c r="R2900" s="990"/>
      <c r="S2900" s="990"/>
      <c r="T2900" s="990"/>
      <c r="U2900" s="990"/>
      <c r="V2900" s="990"/>
      <c r="W2900" s="990"/>
      <c r="X2900" s="990"/>
    </row>
    <row r="2901" spans="1:24" s="896" customFormat="1">
      <c r="A2901" s="987">
        <f t="shared" si="46"/>
        <v>2827</v>
      </c>
      <c r="B2901" s="988">
        <v>3922</v>
      </c>
      <c r="C2901" s="899" t="s">
        <v>12227</v>
      </c>
      <c r="D2901" s="988" t="s">
        <v>2666</v>
      </c>
      <c r="E2901" s="989">
        <v>23.49</v>
      </c>
      <c r="F2901" s="990"/>
      <c r="G2901" s="990"/>
      <c r="H2901" s="990"/>
      <c r="I2901" s="990"/>
      <c r="J2901" s="990"/>
      <c r="K2901" s="990"/>
      <c r="L2901" s="990"/>
      <c r="M2901" s="990"/>
      <c r="N2901" s="990"/>
      <c r="O2901" s="990"/>
      <c r="P2901" s="990"/>
      <c r="Q2901" s="990"/>
      <c r="R2901" s="990"/>
      <c r="S2901" s="990"/>
      <c r="T2901" s="990"/>
      <c r="U2901" s="990"/>
      <c r="V2901" s="990"/>
      <c r="W2901" s="990"/>
      <c r="X2901" s="990"/>
    </row>
    <row r="2902" spans="1:24" s="896" customFormat="1">
      <c r="A2902" s="987">
        <f t="shared" si="46"/>
        <v>2828</v>
      </c>
      <c r="B2902" s="988">
        <v>3924</v>
      </c>
      <c r="C2902" s="899" t="s">
        <v>12228</v>
      </c>
      <c r="D2902" s="988" t="s">
        <v>2666</v>
      </c>
      <c r="E2902" s="989">
        <v>25.54</v>
      </c>
      <c r="F2902" s="990"/>
      <c r="G2902" s="990"/>
      <c r="H2902" s="990"/>
      <c r="I2902" s="990"/>
      <c r="J2902" s="990"/>
      <c r="K2902" s="990"/>
      <c r="L2902" s="990"/>
      <c r="M2902" s="990"/>
      <c r="N2902" s="990"/>
      <c r="O2902" s="990"/>
      <c r="P2902" s="990"/>
      <c r="Q2902" s="990"/>
      <c r="R2902" s="990"/>
      <c r="S2902" s="990"/>
      <c r="T2902" s="990"/>
      <c r="U2902" s="990"/>
      <c r="V2902" s="990"/>
      <c r="W2902" s="990"/>
      <c r="X2902" s="990"/>
    </row>
    <row r="2903" spans="1:24" s="896" customFormat="1">
      <c r="A2903" s="987">
        <f t="shared" si="46"/>
        <v>2829</v>
      </c>
      <c r="B2903" s="988">
        <v>3923</v>
      </c>
      <c r="C2903" s="899" t="s">
        <v>12229</v>
      </c>
      <c r="D2903" s="988" t="s">
        <v>2666</v>
      </c>
      <c r="E2903" s="989">
        <v>25.54</v>
      </c>
      <c r="F2903" s="990"/>
      <c r="G2903" s="990"/>
      <c r="H2903" s="990"/>
      <c r="I2903" s="990"/>
      <c r="J2903" s="990"/>
      <c r="K2903" s="990"/>
      <c r="L2903" s="990"/>
      <c r="M2903" s="990"/>
      <c r="N2903" s="990"/>
      <c r="O2903" s="990"/>
      <c r="P2903" s="990"/>
      <c r="Q2903" s="990"/>
      <c r="R2903" s="990"/>
      <c r="S2903" s="990"/>
      <c r="T2903" s="990"/>
      <c r="U2903" s="990"/>
      <c r="V2903" s="990"/>
      <c r="W2903" s="990"/>
      <c r="X2903" s="990"/>
    </row>
    <row r="2904" spans="1:24" s="896" customFormat="1">
      <c r="A2904" s="987">
        <f t="shared" si="46"/>
        <v>2830</v>
      </c>
      <c r="B2904" s="988">
        <v>3937</v>
      </c>
      <c r="C2904" s="899" t="s">
        <v>12230</v>
      </c>
      <c r="D2904" s="988" t="s">
        <v>2666</v>
      </c>
      <c r="E2904" s="989">
        <v>21.07</v>
      </c>
      <c r="F2904" s="990"/>
      <c r="G2904" s="990"/>
      <c r="H2904" s="990"/>
      <c r="I2904" s="990"/>
      <c r="J2904" s="990"/>
      <c r="K2904" s="990"/>
      <c r="L2904" s="990"/>
      <c r="M2904" s="990"/>
      <c r="N2904" s="990"/>
      <c r="O2904" s="990"/>
      <c r="P2904" s="990"/>
      <c r="Q2904" s="990"/>
      <c r="R2904" s="990"/>
      <c r="S2904" s="990"/>
      <c r="T2904" s="990"/>
      <c r="U2904" s="990"/>
      <c r="V2904" s="990"/>
      <c r="W2904" s="990"/>
      <c r="X2904" s="990"/>
    </row>
    <row r="2905" spans="1:24" s="896" customFormat="1">
      <c r="A2905" s="987">
        <f t="shared" si="46"/>
        <v>2831</v>
      </c>
      <c r="B2905" s="988">
        <v>3921</v>
      </c>
      <c r="C2905" s="899" t="s">
        <v>12231</v>
      </c>
      <c r="D2905" s="988" t="s">
        <v>2666</v>
      </c>
      <c r="E2905" s="989">
        <v>21.08</v>
      </c>
      <c r="F2905" s="990"/>
      <c r="G2905" s="990"/>
      <c r="H2905" s="990"/>
      <c r="I2905" s="990"/>
      <c r="J2905" s="990"/>
      <c r="K2905" s="990"/>
      <c r="L2905" s="990"/>
      <c r="M2905" s="990"/>
      <c r="N2905" s="990"/>
      <c r="O2905" s="990"/>
      <c r="P2905" s="990"/>
      <c r="Q2905" s="990"/>
      <c r="R2905" s="990"/>
      <c r="S2905" s="990"/>
      <c r="T2905" s="990"/>
      <c r="U2905" s="990"/>
      <c r="V2905" s="990"/>
      <c r="W2905" s="990"/>
      <c r="X2905" s="990"/>
    </row>
    <row r="2906" spans="1:24" s="896" customFormat="1">
      <c r="A2906" s="987">
        <f t="shared" si="46"/>
        <v>2832</v>
      </c>
      <c r="B2906" s="988">
        <v>3920</v>
      </c>
      <c r="C2906" s="899" t="s">
        <v>12232</v>
      </c>
      <c r="D2906" s="988" t="s">
        <v>2666</v>
      </c>
      <c r="E2906" s="989">
        <v>21.07</v>
      </c>
      <c r="F2906" s="990"/>
      <c r="G2906" s="990"/>
      <c r="H2906" s="990"/>
      <c r="I2906" s="990"/>
      <c r="J2906" s="990"/>
      <c r="K2906" s="990"/>
      <c r="L2906" s="990"/>
      <c r="M2906" s="990"/>
      <c r="N2906" s="990"/>
      <c r="O2906" s="990"/>
      <c r="P2906" s="990"/>
      <c r="Q2906" s="990"/>
      <c r="R2906" s="990"/>
      <c r="S2906" s="990"/>
      <c r="T2906" s="990"/>
      <c r="U2906" s="990"/>
      <c r="V2906" s="990"/>
      <c r="W2906" s="990"/>
      <c r="X2906" s="990"/>
    </row>
    <row r="2907" spans="1:24" s="896" customFormat="1">
      <c r="A2907" s="987">
        <f t="shared" si="46"/>
        <v>2833</v>
      </c>
      <c r="B2907" s="988">
        <v>3938</v>
      </c>
      <c r="C2907" s="899" t="s">
        <v>12233</v>
      </c>
      <c r="D2907" s="988" t="s">
        <v>2666</v>
      </c>
      <c r="E2907" s="989">
        <v>13.89</v>
      </c>
      <c r="F2907" s="990"/>
      <c r="G2907" s="990"/>
      <c r="H2907" s="990"/>
      <c r="I2907" s="990"/>
      <c r="J2907" s="990"/>
      <c r="K2907" s="990"/>
      <c r="L2907" s="990"/>
      <c r="M2907" s="990"/>
      <c r="N2907" s="990"/>
      <c r="O2907" s="990"/>
      <c r="P2907" s="990"/>
      <c r="Q2907" s="990"/>
      <c r="R2907" s="990"/>
      <c r="S2907" s="990"/>
      <c r="T2907" s="990"/>
      <c r="U2907" s="990"/>
      <c r="V2907" s="990"/>
      <c r="W2907" s="990"/>
      <c r="X2907" s="990"/>
    </row>
    <row r="2908" spans="1:24" s="896" customFormat="1">
      <c r="A2908" s="987">
        <f t="shared" si="46"/>
        <v>2834</v>
      </c>
      <c r="B2908" s="988">
        <v>3919</v>
      </c>
      <c r="C2908" s="899" t="s">
        <v>12234</v>
      </c>
      <c r="D2908" s="988" t="s">
        <v>2666</v>
      </c>
      <c r="E2908" s="989">
        <v>14.16</v>
      </c>
      <c r="F2908" s="990"/>
      <c r="G2908" s="990"/>
      <c r="H2908" s="990"/>
      <c r="I2908" s="990"/>
      <c r="J2908" s="990"/>
      <c r="K2908" s="990"/>
      <c r="L2908" s="990"/>
      <c r="M2908" s="990"/>
      <c r="N2908" s="990"/>
      <c r="O2908" s="990"/>
      <c r="P2908" s="990"/>
      <c r="Q2908" s="990"/>
      <c r="R2908" s="990"/>
      <c r="S2908" s="990"/>
      <c r="T2908" s="990"/>
      <c r="U2908" s="990"/>
      <c r="V2908" s="990"/>
      <c r="W2908" s="990"/>
      <c r="X2908" s="990"/>
    </row>
    <row r="2909" spans="1:24" s="896" customFormat="1">
      <c r="A2909" s="987">
        <f t="shared" si="46"/>
        <v>2835</v>
      </c>
      <c r="B2909" s="988">
        <v>3927</v>
      </c>
      <c r="C2909" s="899" t="s">
        <v>12235</v>
      </c>
      <c r="D2909" s="988" t="s">
        <v>2666</v>
      </c>
      <c r="E2909" s="989">
        <v>71.73</v>
      </c>
      <c r="F2909" s="990"/>
      <c r="G2909" s="990"/>
      <c r="H2909" s="990"/>
      <c r="I2909" s="990"/>
      <c r="J2909" s="990"/>
      <c r="K2909" s="990"/>
      <c r="L2909" s="990"/>
      <c r="M2909" s="990"/>
      <c r="N2909" s="990"/>
      <c r="O2909" s="990"/>
      <c r="P2909" s="990"/>
      <c r="Q2909" s="990"/>
      <c r="R2909" s="990"/>
      <c r="S2909" s="990"/>
      <c r="T2909" s="990"/>
      <c r="U2909" s="990"/>
      <c r="V2909" s="990"/>
      <c r="W2909" s="990"/>
      <c r="X2909" s="990"/>
    </row>
    <row r="2910" spans="1:24" s="896" customFormat="1">
      <c r="A2910" s="987">
        <f t="shared" si="46"/>
        <v>2836</v>
      </c>
      <c r="B2910" s="988">
        <v>3928</v>
      </c>
      <c r="C2910" s="899" t="s">
        <v>12236</v>
      </c>
      <c r="D2910" s="988" t="s">
        <v>2666</v>
      </c>
      <c r="E2910" s="989">
        <v>71.73</v>
      </c>
      <c r="F2910" s="990"/>
      <c r="G2910" s="990"/>
      <c r="H2910" s="990"/>
      <c r="I2910" s="990"/>
      <c r="J2910" s="990"/>
      <c r="K2910" s="990"/>
      <c r="L2910" s="990"/>
      <c r="M2910" s="990"/>
      <c r="N2910" s="990"/>
      <c r="O2910" s="990"/>
      <c r="P2910" s="990"/>
      <c r="Q2910" s="990"/>
      <c r="R2910" s="990"/>
      <c r="S2910" s="990"/>
      <c r="T2910" s="990"/>
      <c r="U2910" s="990"/>
      <c r="V2910" s="990"/>
      <c r="W2910" s="990"/>
      <c r="X2910" s="990"/>
    </row>
    <row r="2911" spans="1:24" s="896" customFormat="1">
      <c r="A2911" s="987">
        <f t="shared" si="46"/>
        <v>2837</v>
      </c>
      <c r="B2911" s="988">
        <v>3926</v>
      </c>
      <c r="C2911" s="899" t="s">
        <v>12237</v>
      </c>
      <c r="D2911" s="988" t="s">
        <v>2666</v>
      </c>
      <c r="E2911" s="989">
        <v>40.89</v>
      </c>
      <c r="F2911" s="990"/>
      <c r="G2911" s="990"/>
      <c r="H2911" s="990"/>
      <c r="I2911" s="990"/>
      <c r="J2911" s="990"/>
      <c r="K2911" s="990"/>
      <c r="L2911" s="990"/>
      <c r="M2911" s="990"/>
      <c r="N2911" s="990"/>
      <c r="O2911" s="990"/>
      <c r="P2911" s="990"/>
      <c r="Q2911" s="990"/>
      <c r="R2911" s="990"/>
      <c r="S2911" s="990"/>
      <c r="T2911" s="990"/>
      <c r="U2911" s="990"/>
      <c r="V2911" s="990"/>
      <c r="W2911" s="990"/>
      <c r="X2911" s="990"/>
    </row>
    <row r="2912" spans="1:24" s="896" customFormat="1">
      <c r="A2912" s="987">
        <f t="shared" si="46"/>
        <v>2838</v>
      </c>
      <c r="B2912" s="988">
        <v>3935</v>
      </c>
      <c r="C2912" s="899" t="s">
        <v>12238</v>
      </c>
      <c r="D2912" s="988" t="s">
        <v>2666</v>
      </c>
      <c r="E2912" s="989">
        <v>40.89</v>
      </c>
      <c r="F2912" s="990"/>
      <c r="G2912" s="990"/>
      <c r="H2912" s="990"/>
      <c r="I2912" s="990"/>
      <c r="J2912" s="990"/>
      <c r="K2912" s="990"/>
      <c r="L2912" s="990"/>
      <c r="M2912" s="990"/>
      <c r="N2912" s="990"/>
      <c r="O2912" s="990"/>
      <c r="P2912" s="990"/>
      <c r="Q2912" s="990"/>
      <c r="R2912" s="990"/>
      <c r="S2912" s="990"/>
      <c r="T2912" s="990"/>
      <c r="U2912" s="990"/>
      <c r="V2912" s="990"/>
      <c r="W2912" s="990"/>
      <c r="X2912" s="990"/>
    </row>
    <row r="2913" spans="1:24" s="896" customFormat="1">
      <c r="A2913" s="987">
        <f t="shared" si="46"/>
        <v>2839</v>
      </c>
      <c r="B2913" s="988">
        <v>3925</v>
      </c>
      <c r="C2913" s="899" t="s">
        <v>12239</v>
      </c>
      <c r="D2913" s="988" t="s">
        <v>2666</v>
      </c>
      <c r="E2913" s="989">
        <v>40.89</v>
      </c>
      <c r="F2913" s="990"/>
      <c r="G2913" s="990"/>
      <c r="H2913" s="990"/>
      <c r="I2913" s="990"/>
      <c r="J2913" s="990"/>
      <c r="K2913" s="990"/>
      <c r="L2913" s="990"/>
      <c r="M2913" s="990"/>
      <c r="N2913" s="990"/>
      <c r="O2913" s="990"/>
      <c r="P2913" s="990"/>
      <c r="Q2913" s="990"/>
      <c r="R2913" s="990"/>
      <c r="S2913" s="990"/>
      <c r="T2913" s="990"/>
      <c r="U2913" s="990"/>
      <c r="V2913" s="990"/>
      <c r="W2913" s="990"/>
      <c r="X2913" s="990"/>
    </row>
    <row r="2914" spans="1:24" s="896" customFormat="1">
      <c r="A2914" s="987">
        <f t="shared" si="46"/>
        <v>2840</v>
      </c>
      <c r="B2914" s="988">
        <v>12406</v>
      </c>
      <c r="C2914" s="899" t="s">
        <v>12240</v>
      </c>
      <c r="D2914" s="988" t="s">
        <v>2666</v>
      </c>
      <c r="E2914" s="989">
        <v>10.039999999999999</v>
      </c>
      <c r="F2914" s="990"/>
      <c r="G2914" s="990"/>
      <c r="H2914" s="990"/>
      <c r="I2914" s="990"/>
      <c r="J2914" s="990"/>
      <c r="K2914" s="990"/>
      <c r="L2914" s="990"/>
      <c r="M2914" s="990"/>
      <c r="N2914" s="990"/>
      <c r="O2914" s="990"/>
      <c r="P2914" s="990"/>
      <c r="Q2914" s="990"/>
      <c r="R2914" s="990"/>
      <c r="S2914" s="990"/>
      <c r="T2914" s="990"/>
      <c r="U2914" s="990"/>
      <c r="V2914" s="990"/>
      <c r="W2914" s="990"/>
      <c r="X2914" s="990"/>
    </row>
    <row r="2915" spans="1:24" s="896" customFormat="1">
      <c r="A2915" s="987">
        <f t="shared" si="46"/>
        <v>2841</v>
      </c>
      <c r="B2915" s="988">
        <v>3929</v>
      </c>
      <c r="C2915" s="899" t="s">
        <v>12241</v>
      </c>
      <c r="D2915" s="988" t="s">
        <v>2666</v>
      </c>
      <c r="E2915" s="989">
        <v>109.28</v>
      </c>
      <c r="F2915" s="990"/>
      <c r="G2915" s="990"/>
      <c r="H2915" s="990"/>
      <c r="I2915" s="990"/>
      <c r="J2915" s="990"/>
      <c r="K2915" s="990"/>
      <c r="L2915" s="990"/>
      <c r="M2915" s="990"/>
      <c r="N2915" s="990"/>
      <c r="O2915" s="990"/>
      <c r="P2915" s="990"/>
      <c r="Q2915" s="990"/>
      <c r="R2915" s="990"/>
      <c r="S2915" s="990"/>
      <c r="T2915" s="990"/>
      <c r="U2915" s="990"/>
      <c r="V2915" s="990"/>
      <c r="W2915" s="990"/>
      <c r="X2915" s="990"/>
    </row>
    <row r="2916" spans="1:24" s="896" customFormat="1">
      <c r="A2916" s="987">
        <f t="shared" si="46"/>
        <v>2842</v>
      </c>
      <c r="B2916" s="988">
        <v>3931</v>
      </c>
      <c r="C2916" s="899" t="s">
        <v>12242</v>
      </c>
      <c r="D2916" s="988" t="s">
        <v>2666</v>
      </c>
      <c r="E2916" s="989">
        <v>109.28</v>
      </c>
      <c r="F2916" s="990"/>
      <c r="G2916" s="990"/>
      <c r="H2916" s="990"/>
      <c r="I2916" s="990"/>
      <c r="J2916" s="990"/>
      <c r="K2916" s="990"/>
      <c r="L2916" s="990"/>
      <c r="M2916" s="990"/>
      <c r="N2916" s="990"/>
      <c r="O2916" s="990"/>
      <c r="P2916" s="990"/>
      <c r="Q2916" s="990"/>
      <c r="R2916" s="990"/>
      <c r="S2916" s="990"/>
      <c r="T2916" s="990"/>
      <c r="U2916" s="990"/>
      <c r="V2916" s="990"/>
      <c r="W2916" s="990"/>
      <c r="X2916" s="990"/>
    </row>
    <row r="2917" spans="1:24" s="896" customFormat="1">
      <c r="A2917" s="987">
        <f t="shared" si="46"/>
        <v>2843</v>
      </c>
      <c r="B2917" s="988">
        <v>3930</v>
      </c>
      <c r="C2917" s="899" t="s">
        <v>12243</v>
      </c>
      <c r="D2917" s="988" t="s">
        <v>2666</v>
      </c>
      <c r="E2917" s="989">
        <v>109.28</v>
      </c>
      <c r="F2917" s="990"/>
      <c r="G2917" s="990"/>
      <c r="H2917" s="990"/>
      <c r="I2917" s="990"/>
      <c r="J2917" s="990"/>
      <c r="K2917" s="990"/>
      <c r="L2917" s="990"/>
      <c r="M2917" s="990"/>
      <c r="N2917" s="990"/>
      <c r="O2917" s="990"/>
      <c r="P2917" s="990"/>
      <c r="Q2917" s="990"/>
      <c r="R2917" s="990"/>
      <c r="S2917" s="990"/>
      <c r="T2917" s="990"/>
      <c r="U2917" s="990"/>
      <c r="V2917" s="990"/>
      <c r="W2917" s="990"/>
      <c r="X2917" s="990"/>
    </row>
    <row r="2918" spans="1:24" s="896" customFormat="1">
      <c r="A2918" s="987">
        <f t="shared" si="46"/>
        <v>2844</v>
      </c>
      <c r="B2918" s="988">
        <v>3932</v>
      </c>
      <c r="C2918" s="899" t="s">
        <v>12244</v>
      </c>
      <c r="D2918" s="988" t="s">
        <v>2666</v>
      </c>
      <c r="E2918" s="989">
        <v>188.71</v>
      </c>
      <c r="F2918" s="990"/>
      <c r="G2918" s="990"/>
      <c r="H2918" s="990"/>
      <c r="I2918" s="990"/>
      <c r="J2918" s="990"/>
      <c r="K2918" s="990"/>
      <c r="L2918" s="990"/>
      <c r="M2918" s="990"/>
      <c r="N2918" s="990"/>
      <c r="O2918" s="990"/>
      <c r="P2918" s="990"/>
      <c r="Q2918" s="990"/>
      <c r="R2918" s="990"/>
      <c r="S2918" s="990"/>
      <c r="T2918" s="990"/>
      <c r="U2918" s="990"/>
      <c r="V2918" s="990"/>
      <c r="W2918" s="990"/>
      <c r="X2918" s="990"/>
    </row>
    <row r="2919" spans="1:24" s="896" customFormat="1">
      <c r="A2919" s="987">
        <f t="shared" si="46"/>
        <v>2845</v>
      </c>
      <c r="B2919" s="988">
        <v>3933</v>
      </c>
      <c r="C2919" s="899" t="s">
        <v>12245</v>
      </c>
      <c r="D2919" s="988" t="s">
        <v>2666</v>
      </c>
      <c r="E2919" s="989">
        <v>188.71</v>
      </c>
      <c r="F2919" s="990"/>
      <c r="G2919" s="990"/>
      <c r="H2919" s="990"/>
      <c r="I2919" s="990"/>
      <c r="J2919" s="990"/>
      <c r="K2919" s="990"/>
      <c r="L2919" s="990"/>
      <c r="M2919" s="990"/>
      <c r="N2919" s="990"/>
      <c r="O2919" s="990"/>
      <c r="P2919" s="990"/>
      <c r="Q2919" s="990"/>
      <c r="R2919" s="990"/>
      <c r="S2919" s="990"/>
      <c r="T2919" s="990"/>
      <c r="U2919" s="990"/>
      <c r="V2919" s="990"/>
      <c r="W2919" s="990"/>
      <c r="X2919" s="990"/>
    </row>
    <row r="2920" spans="1:24" s="896" customFormat="1">
      <c r="A2920" s="987">
        <f t="shared" si="46"/>
        <v>2846</v>
      </c>
      <c r="B2920" s="988">
        <v>3934</v>
      </c>
      <c r="C2920" s="899" t="s">
        <v>12246</v>
      </c>
      <c r="D2920" s="988" t="s">
        <v>2666</v>
      </c>
      <c r="E2920" s="989">
        <v>188.71</v>
      </c>
      <c r="F2920" s="990"/>
      <c r="G2920" s="990"/>
      <c r="H2920" s="990"/>
      <c r="I2920" s="990"/>
      <c r="J2920" s="990"/>
      <c r="K2920" s="990"/>
      <c r="L2920" s="990"/>
      <c r="M2920" s="990"/>
      <c r="N2920" s="990"/>
      <c r="O2920" s="990"/>
      <c r="P2920" s="990"/>
      <c r="Q2920" s="990"/>
      <c r="R2920" s="990"/>
      <c r="S2920" s="990"/>
      <c r="T2920" s="990"/>
      <c r="U2920" s="990"/>
      <c r="V2920" s="990"/>
      <c r="W2920" s="990"/>
      <c r="X2920" s="990"/>
    </row>
    <row r="2921" spans="1:24" s="896" customFormat="1" ht="25.5">
      <c r="A2921" s="987">
        <f t="shared" si="46"/>
        <v>2847</v>
      </c>
      <c r="B2921" s="988">
        <v>40355</v>
      </c>
      <c r="C2921" s="899" t="s">
        <v>12247</v>
      </c>
      <c r="D2921" s="988" t="s">
        <v>2666</v>
      </c>
      <c r="E2921" s="989">
        <v>13.56</v>
      </c>
      <c r="F2921" s="990"/>
      <c r="G2921" s="990"/>
      <c r="H2921" s="990"/>
      <c r="I2921" s="990"/>
      <c r="J2921" s="990"/>
      <c r="K2921" s="990"/>
      <c r="L2921" s="990"/>
      <c r="M2921" s="990"/>
      <c r="N2921" s="990"/>
      <c r="O2921" s="990"/>
      <c r="P2921" s="990"/>
      <c r="Q2921" s="990"/>
      <c r="R2921" s="990"/>
      <c r="S2921" s="990"/>
      <c r="T2921" s="990"/>
      <c r="U2921" s="990"/>
      <c r="V2921" s="990"/>
      <c r="W2921" s="990"/>
      <c r="X2921" s="990"/>
    </row>
    <row r="2922" spans="1:24" s="896" customFormat="1" ht="25.5">
      <c r="A2922" s="987">
        <f t="shared" si="46"/>
        <v>2848</v>
      </c>
      <c r="B2922" s="988">
        <v>40364</v>
      </c>
      <c r="C2922" s="899" t="s">
        <v>12248</v>
      </c>
      <c r="D2922" s="988" t="s">
        <v>2666</v>
      </c>
      <c r="E2922" s="989">
        <v>63.51</v>
      </c>
      <c r="F2922" s="990"/>
      <c r="G2922" s="990"/>
      <c r="H2922" s="990"/>
      <c r="I2922" s="990"/>
      <c r="J2922" s="990"/>
      <c r="K2922" s="990"/>
      <c r="L2922" s="990"/>
      <c r="M2922" s="990"/>
      <c r="N2922" s="990"/>
      <c r="O2922" s="990"/>
      <c r="P2922" s="990"/>
      <c r="Q2922" s="990"/>
      <c r="R2922" s="990"/>
      <c r="S2922" s="990"/>
      <c r="T2922" s="990"/>
      <c r="U2922" s="990"/>
      <c r="V2922" s="990"/>
      <c r="W2922" s="990"/>
      <c r="X2922" s="990"/>
    </row>
    <row r="2923" spans="1:24" s="896" customFormat="1" ht="25.5">
      <c r="A2923" s="987">
        <f t="shared" si="46"/>
        <v>2849</v>
      </c>
      <c r="B2923" s="988">
        <v>40361</v>
      </c>
      <c r="C2923" s="899" t="s">
        <v>12249</v>
      </c>
      <c r="D2923" s="988" t="s">
        <v>2666</v>
      </c>
      <c r="E2923" s="989">
        <v>49.66</v>
      </c>
      <c r="F2923" s="990"/>
      <c r="G2923" s="990"/>
      <c r="H2923" s="990"/>
      <c r="I2923" s="990"/>
      <c r="J2923" s="990"/>
      <c r="K2923" s="990"/>
      <c r="L2923" s="990"/>
      <c r="M2923" s="990"/>
      <c r="N2923" s="990"/>
      <c r="O2923" s="990"/>
      <c r="P2923" s="990"/>
      <c r="Q2923" s="990"/>
      <c r="R2923" s="990"/>
      <c r="S2923" s="990"/>
      <c r="T2923" s="990"/>
      <c r="U2923" s="990"/>
      <c r="V2923" s="990"/>
      <c r="W2923" s="990"/>
      <c r="X2923" s="990"/>
    </row>
    <row r="2924" spans="1:24" s="896" customFormat="1" ht="25.5">
      <c r="A2924" s="987">
        <f t="shared" si="46"/>
        <v>2850</v>
      </c>
      <c r="B2924" s="988">
        <v>40358</v>
      </c>
      <c r="C2924" s="899" t="s">
        <v>12250</v>
      </c>
      <c r="D2924" s="988" t="s">
        <v>2666</v>
      </c>
      <c r="E2924" s="989">
        <v>18.93</v>
      </c>
      <c r="F2924" s="990"/>
      <c r="G2924" s="990"/>
      <c r="H2924" s="990"/>
      <c r="I2924" s="990"/>
      <c r="J2924" s="990"/>
      <c r="K2924" s="990"/>
      <c r="L2924" s="990"/>
      <c r="M2924" s="990"/>
      <c r="N2924" s="990"/>
      <c r="O2924" s="990"/>
      <c r="P2924" s="990"/>
      <c r="Q2924" s="990"/>
      <c r="R2924" s="990"/>
      <c r="S2924" s="990"/>
      <c r="T2924" s="990"/>
      <c r="U2924" s="990"/>
      <c r="V2924" s="990"/>
      <c r="W2924" s="990"/>
      <c r="X2924" s="990"/>
    </row>
    <row r="2925" spans="1:24" s="896" customFormat="1" ht="25.5">
      <c r="A2925" s="987">
        <f t="shared" si="46"/>
        <v>2851</v>
      </c>
      <c r="B2925" s="988">
        <v>40370</v>
      </c>
      <c r="C2925" s="899" t="s">
        <v>12251</v>
      </c>
      <c r="D2925" s="988" t="s">
        <v>2666</v>
      </c>
      <c r="E2925" s="989">
        <v>201.53</v>
      </c>
      <c r="F2925" s="990"/>
      <c r="G2925" s="990"/>
      <c r="H2925" s="990"/>
      <c r="I2925" s="990"/>
      <c r="J2925" s="990"/>
      <c r="K2925" s="990"/>
      <c r="L2925" s="990"/>
      <c r="M2925" s="990"/>
      <c r="N2925" s="990"/>
      <c r="O2925" s="990"/>
      <c r="P2925" s="990"/>
      <c r="Q2925" s="990"/>
      <c r="R2925" s="990"/>
      <c r="S2925" s="990"/>
      <c r="T2925" s="990"/>
      <c r="U2925" s="990"/>
      <c r="V2925" s="990"/>
      <c r="W2925" s="990"/>
      <c r="X2925" s="990"/>
    </row>
    <row r="2926" spans="1:24" s="896" customFormat="1" ht="25.5">
      <c r="A2926" s="987">
        <f t="shared" si="46"/>
        <v>2852</v>
      </c>
      <c r="B2926" s="988">
        <v>40367</v>
      </c>
      <c r="C2926" s="899" t="s">
        <v>12252</v>
      </c>
      <c r="D2926" s="988" t="s">
        <v>2666</v>
      </c>
      <c r="E2926" s="989">
        <v>100.16</v>
      </c>
      <c r="F2926" s="990"/>
      <c r="G2926" s="990"/>
      <c r="H2926" s="990"/>
      <c r="I2926" s="990"/>
      <c r="J2926" s="990"/>
      <c r="K2926" s="990"/>
      <c r="L2926" s="990"/>
      <c r="M2926" s="990"/>
      <c r="N2926" s="990"/>
      <c r="O2926" s="990"/>
      <c r="P2926" s="990"/>
      <c r="Q2926" s="990"/>
      <c r="R2926" s="990"/>
      <c r="S2926" s="990"/>
      <c r="T2926" s="990"/>
      <c r="U2926" s="990"/>
      <c r="V2926" s="990"/>
      <c r="W2926" s="990"/>
      <c r="X2926" s="990"/>
    </row>
    <row r="2927" spans="1:24" s="896" customFormat="1" ht="25.5">
      <c r="A2927" s="987">
        <f t="shared" si="46"/>
        <v>2853</v>
      </c>
      <c r="B2927" s="988">
        <v>40373</v>
      </c>
      <c r="C2927" s="899" t="s">
        <v>12253</v>
      </c>
      <c r="D2927" s="988" t="s">
        <v>2666</v>
      </c>
      <c r="E2927" s="989">
        <v>272.52</v>
      </c>
      <c r="F2927" s="990"/>
      <c r="G2927" s="990"/>
      <c r="H2927" s="990"/>
      <c r="I2927" s="990"/>
      <c r="J2927" s="990"/>
      <c r="K2927" s="990"/>
      <c r="L2927" s="990"/>
      <c r="M2927" s="990"/>
      <c r="N2927" s="990"/>
      <c r="O2927" s="990"/>
      <c r="P2927" s="990"/>
      <c r="Q2927" s="990"/>
      <c r="R2927" s="990"/>
      <c r="S2927" s="990"/>
      <c r="T2927" s="990"/>
      <c r="U2927" s="990"/>
      <c r="V2927" s="990"/>
      <c r="W2927" s="990"/>
      <c r="X2927" s="990"/>
    </row>
    <row r="2928" spans="1:24" s="896" customFormat="1" ht="25.5">
      <c r="A2928" s="987">
        <f t="shared" si="46"/>
        <v>2854</v>
      </c>
      <c r="B2928" s="988">
        <v>38947</v>
      </c>
      <c r="C2928" s="899" t="s">
        <v>12254</v>
      </c>
      <c r="D2928" s="988" t="s">
        <v>2666</v>
      </c>
      <c r="E2928" s="989">
        <v>6.28</v>
      </c>
      <c r="F2928" s="990"/>
      <c r="G2928" s="990"/>
      <c r="H2928" s="990"/>
      <c r="I2928" s="990"/>
      <c r="J2928" s="990"/>
      <c r="K2928" s="990"/>
      <c r="L2928" s="990"/>
      <c r="M2928" s="990"/>
      <c r="N2928" s="990"/>
      <c r="O2928" s="990"/>
      <c r="P2928" s="990"/>
      <c r="Q2928" s="990"/>
      <c r="R2928" s="990"/>
      <c r="S2928" s="990"/>
      <c r="T2928" s="990"/>
      <c r="U2928" s="990"/>
      <c r="V2928" s="990"/>
      <c r="W2928" s="990"/>
      <c r="X2928" s="990"/>
    </row>
    <row r="2929" spans="1:24" s="896" customFormat="1" ht="25.5">
      <c r="A2929" s="987">
        <f t="shared" si="46"/>
        <v>2855</v>
      </c>
      <c r="B2929" s="988">
        <v>38948</v>
      </c>
      <c r="C2929" s="899" t="s">
        <v>12255</v>
      </c>
      <c r="D2929" s="988" t="s">
        <v>2666</v>
      </c>
      <c r="E2929" s="989">
        <v>10.02</v>
      </c>
      <c r="F2929" s="990"/>
      <c r="G2929" s="990"/>
      <c r="H2929" s="990"/>
      <c r="I2929" s="990"/>
      <c r="J2929" s="990"/>
      <c r="K2929" s="990"/>
      <c r="L2929" s="990"/>
      <c r="M2929" s="990"/>
      <c r="N2929" s="990"/>
      <c r="O2929" s="990"/>
      <c r="P2929" s="990"/>
      <c r="Q2929" s="990"/>
      <c r="R2929" s="990"/>
      <c r="S2929" s="990"/>
      <c r="T2929" s="990"/>
      <c r="U2929" s="990"/>
      <c r="V2929" s="990"/>
      <c r="W2929" s="990"/>
      <c r="X2929" s="990"/>
    </row>
    <row r="2930" spans="1:24" s="896" customFormat="1" ht="25.5">
      <c r="A2930" s="987">
        <f t="shared" si="46"/>
        <v>2856</v>
      </c>
      <c r="B2930" s="988">
        <v>38949</v>
      </c>
      <c r="C2930" s="899" t="s">
        <v>12256</v>
      </c>
      <c r="D2930" s="988" t="s">
        <v>2666</v>
      </c>
      <c r="E2930" s="989">
        <v>11.11</v>
      </c>
      <c r="F2930" s="990"/>
      <c r="G2930" s="990"/>
      <c r="H2930" s="990"/>
      <c r="I2930" s="990"/>
      <c r="J2930" s="990"/>
      <c r="K2930" s="990"/>
      <c r="L2930" s="990"/>
      <c r="M2930" s="990"/>
      <c r="N2930" s="990"/>
      <c r="O2930" s="990"/>
      <c r="P2930" s="990"/>
      <c r="Q2930" s="990"/>
      <c r="R2930" s="990"/>
      <c r="S2930" s="990"/>
      <c r="T2930" s="990"/>
      <c r="U2930" s="990"/>
      <c r="V2930" s="990"/>
      <c r="W2930" s="990"/>
      <c r="X2930" s="990"/>
    </row>
    <row r="2931" spans="1:24" s="896" customFormat="1" ht="25.5">
      <c r="A2931" s="987">
        <f t="shared" si="46"/>
        <v>2857</v>
      </c>
      <c r="B2931" s="988">
        <v>38951</v>
      </c>
      <c r="C2931" s="899" t="s">
        <v>12257</v>
      </c>
      <c r="D2931" s="988" t="s">
        <v>2666</v>
      </c>
      <c r="E2931" s="989">
        <v>17.579999999999998</v>
      </c>
      <c r="F2931" s="990"/>
      <c r="G2931" s="990"/>
      <c r="H2931" s="990"/>
      <c r="I2931" s="990"/>
      <c r="J2931" s="990"/>
      <c r="K2931" s="990"/>
      <c r="L2931" s="990"/>
      <c r="M2931" s="990"/>
      <c r="N2931" s="990"/>
      <c r="O2931" s="990"/>
      <c r="P2931" s="990"/>
      <c r="Q2931" s="990"/>
      <c r="R2931" s="990"/>
      <c r="S2931" s="990"/>
      <c r="T2931" s="990"/>
      <c r="U2931" s="990"/>
      <c r="V2931" s="990"/>
      <c r="W2931" s="990"/>
      <c r="X2931" s="990"/>
    </row>
    <row r="2932" spans="1:24" s="896" customFormat="1" ht="25.5">
      <c r="A2932" s="987">
        <f t="shared" si="46"/>
        <v>2858</v>
      </c>
      <c r="B2932" s="988">
        <v>39312</v>
      </c>
      <c r="C2932" s="899" t="s">
        <v>12258</v>
      </c>
      <c r="D2932" s="988" t="s">
        <v>2666</v>
      </c>
      <c r="E2932" s="989">
        <v>13.63</v>
      </c>
      <c r="F2932" s="990"/>
      <c r="G2932" s="990"/>
      <c r="H2932" s="990"/>
      <c r="I2932" s="990"/>
      <c r="J2932" s="990"/>
      <c r="K2932" s="990"/>
      <c r="L2932" s="990"/>
      <c r="M2932" s="990"/>
      <c r="N2932" s="990"/>
      <c r="O2932" s="990"/>
      <c r="P2932" s="990"/>
      <c r="Q2932" s="990"/>
      <c r="R2932" s="990"/>
      <c r="S2932" s="990"/>
      <c r="T2932" s="990"/>
      <c r="U2932" s="990"/>
      <c r="V2932" s="990"/>
      <c r="W2932" s="990"/>
      <c r="X2932" s="990"/>
    </row>
    <row r="2933" spans="1:24" s="896" customFormat="1" ht="25.5">
      <c r="A2933" s="987">
        <f t="shared" si="46"/>
        <v>2859</v>
      </c>
      <c r="B2933" s="988">
        <v>39313</v>
      </c>
      <c r="C2933" s="899" t="s">
        <v>12259</v>
      </c>
      <c r="D2933" s="988" t="s">
        <v>2666</v>
      </c>
      <c r="E2933" s="989">
        <v>17.79</v>
      </c>
      <c r="F2933" s="990"/>
      <c r="G2933" s="990"/>
      <c r="H2933" s="990"/>
      <c r="I2933" s="990"/>
      <c r="J2933" s="990"/>
      <c r="K2933" s="990"/>
      <c r="L2933" s="990"/>
      <c r="M2933" s="990"/>
      <c r="N2933" s="990"/>
      <c r="O2933" s="990"/>
      <c r="P2933" s="990"/>
      <c r="Q2933" s="990"/>
      <c r="R2933" s="990"/>
      <c r="S2933" s="990"/>
      <c r="T2933" s="990"/>
      <c r="U2933" s="990"/>
      <c r="V2933" s="990"/>
      <c r="W2933" s="990"/>
      <c r="X2933" s="990"/>
    </row>
    <row r="2934" spans="1:24" s="896" customFormat="1" ht="25.5">
      <c r="A2934" s="987">
        <f t="shared" si="46"/>
        <v>2860</v>
      </c>
      <c r="B2934" s="988">
        <v>38950</v>
      </c>
      <c r="C2934" s="899" t="s">
        <v>12260</v>
      </c>
      <c r="D2934" s="988" t="s">
        <v>2666</v>
      </c>
      <c r="E2934" s="989">
        <v>26.78</v>
      </c>
      <c r="F2934" s="990"/>
      <c r="G2934" s="990"/>
      <c r="H2934" s="990"/>
      <c r="I2934" s="990"/>
      <c r="J2934" s="990"/>
      <c r="K2934" s="990"/>
      <c r="L2934" s="990"/>
      <c r="M2934" s="990"/>
      <c r="N2934" s="990"/>
      <c r="O2934" s="990"/>
      <c r="P2934" s="990"/>
      <c r="Q2934" s="990"/>
      <c r="R2934" s="990"/>
      <c r="S2934" s="990"/>
      <c r="T2934" s="990"/>
      <c r="U2934" s="990"/>
      <c r="V2934" s="990"/>
      <c r="W2934" s="990"/>
      <c r="X2934" s="990"/>
    </row>
    <row r="2935" spans="1:24" s="896" customFormat="1" ht="25.5">
      <c r="A2935" s="987">
        <f t="shared" si="46"/>
        <v>2861</v>
      </c>
      <c r="B2935" s="988">
        <v>39314</v>
      </c>
      <c r="C2935" s="899" t="s">
        <v>12261</v>
      </c>
      <c r="D2935" s="988" t="s">
        <v>2666</v>
      </c>
      <c r="E2935" s="989">
        <v>28.26</v>
      </c>
      <c r="F2935" s="990"/>
      <c r="G2935" s="990"/>
      <c r="H2935" s="990"/>
      <c r="I2935" s="990"/>
      <c r="J2935" s="990"/>
      <c r="K2935" s="990"/>
      <c r="L2935" s="990"/>
      <c r="M2935" s="990"/>
      <c r="N2935" s="990"/>
      <c r="O2935" s="990"/>
      <c r="P2935" s="990"/>
      <c r="Q2935" s="990"/>
      <c r="R2935" s="990"/>
      <c r="S2935" s="990"/>
      <c r="T2935" s="990"/>
      <c r="U2935" s="990"/>
      <c r="V2935" s="990"/>
      <c r="W2935" s="990"/>
      <c r="X2935" s="990"/>
    </row>
    <row r="2936" spans="1:24" s="896" customFormat="1">
      <c r="A2936" s="987">
        <f t="shared" si="46"/>
        <v>2862</v>
      </c>
      <c r="B2936" s="988">
        <v>3907</v>
      </c>
      <c r="C2936" s="899" t="s">
        <v>12262</v>
      </c>
      <c r="D2936" s="988" t="s">
        <v>2666</v>
      </c>
      <c r="E2936" s="989">
        <v>5.57</v>
      </c>
      <c r="F2936" s="990"/>
      <c r="G2936" s="990"/>
      <c r="H2936" s="990"/>
      <c r="I2936" s="990"/>
      <c r="J2936" s="990"/>
      <c r="K2936" s="990"/>
      <c r="L2936" s="990"/>
      <c r="M2936" s="990"/>
      <c r="N2936" s="990"/>
      <c r="O2936" s="990"/>
      <c r="P2936" s="990"/>
      <c r="Q2936" s="990"/>
      <c r="R2936" s="990"/>
      <c r="S2936" s="990"/>
      <c r="T2936" s="990"/>
      <c r="U2936" s="990"/>
      <c r="V2936" s="990"/>
      <c r="W2936" s="990"/>
      <c r="X2936" s="990"/>
    </row>
    <row r="2937" spans="1:24" s="896" customFormat="1">
      <c r="A2937" s="987">
        <f t="shared" si="46"/>
        <v>2863</v>
      </c>
      <c r="B2937" s="988">
        <v>3889</v>
      </c>
      <c r="C2937" s="899" t="s">
        <v>12263</v>
      </c>
      <c r="D2937" s="988" t="s">
        <v>2666</v>
      </c>
      <c r="E2937" s="989">
        <v>4.26</v>
      </c>
      <c r="F2937" s="990"/>
      <c r="G2937" s="990"/>
      <c r="H2937" s="990"/>
      <c r="I2937" s="990"/>
      <c r="J2937" s="990"/>
      <c r="K2937" s="990"/>
      <c r="L2937" s="990"/>
      <c r="M2937" s="990"/>
      <c r="N2937" s="990"/>
      <c r="O2937" s="990"/>
      <c r="P2937" s="990"/>
      <c r="Q2937" s="990"/>
      <c r="R2937" s="990"/>
      <c r="S2937" s="990"/>
      <c r="T2937" s="990"/>
      <c r="U2937" s="990"/>
      <c r="V2937" s="990"/>
      <c r="W2937" s="990"/>
      <c r="X2937" s="990"/>
    </row>
    <row r="2938" spans="1:24" s="896" customFormat="1">
      <c r="A2938" s="987">
        <f t="shared" si="46"/>
        <v>2864</v>
      </c>
      <c r="B2938" s="988">
        <v>3868</v>
      </c>
      <c r="C2938" s="899" t="s">
        <v>12264</v>
      </c>
      <c r="D2938" s="988" t="s">
        <v>2666</v>
      </c>
      <c r="E2938" s="989">
        <v>1.65</v>
      </c>
      <c r="F2938" s="990"/>
      <c r="G2938" s="990"/>
      <c r="H2938" s="990"/>
      <c r="I2938" s="990"/>
      <c r="J2938" s="990"/>
      <c r="K2938" s="990"/>
      <c r="L2938" s="990"/>
      <c r="M2938" s="990"/>
      <c r="N2938" s="990"/>
      <c r="O2938" s="990"/>
      <c r="P2938" s="990"/>
      <c r="Q2938" s="990"/>
      <c r="R2938" s="990"/>
      <c r="S2938" s="990"/>
      <c r="T2938" s="990"/>
      <c r="U2938" s="990"/>
      <c r="V2938" s="990"/>
      <c r="W2938" s="990"/>
      <c r="X2938" s="990"/>
    </row>
    <row r="2939" spans="1:24" s="896" customFormat="1">
      <c r="A2939" s="987">
        <f t="shared" si="46"/>
        <v>2865</v>
      </c>
      <c r="B2939" s="988">
        <v>3869</v>
      </c>
      <c r="C2939" s="899" t="s">
        <v>12265</v>
      </c>
      <c r="D2939" s="988" t="s">
        <v>2666</v>
      </c>
      <c r="E2939" s="989">
        <v>4.74</v>
      </c>
      <c r="F2939" s="990"/>
      <c r="G2939" s="990"/>
      <c r="H2939" s="990"/>
      <c r="I2939" s="990"/>
      <c r="J2939" s="990"/>
      <c r="K2939" s="990"/>
      <c r="L2939" s="990"/>
      <c r="M2939" s="990"/>
      <c r="N2939" s="990"/>
      <c r="O2939" s="990"/>
      <c r="P2939" s="990"/>
      <c r="Q2939" s="990"/>
      <c r="R2939" s="990"/>
      <c r="S2939" s="990"/>
      <c r="T2939" s="990"/>
      <c r="U2939" s="990"/>
      <c r="V2939" s="990"/>
      <c r="W2939" s="990"/>
      <c r="X2939" s="990"/>
    </row>
    <row r="2940" spans="1:24" s="896" customFormat="1">
      <c r="A2940" s="987">
        <f t="shared" si="46"/>
        <v>2866</v>
      </c>
      <c r="B2940" s="988">
        <v>3872</v>
      </c>
      <c r="C2940" s="899" t="s">
        <v>12266</v>
      </c>
      <c r="D2940" s="988" t="s">
        <v>2666</v>
      </c>
      <c r="E2940" s="989">
        <v>5.75</v>
      </c>
      <c r="F2940" s="990"/>
      <c r="G2940" s="990"/>
      <c r="H2940" s="990"/>
      <c r="I2940" s="990"/>
      <c r="J2940" s="990"/>
      <c r="K2940" s="990"/>
      <c r="L2940" s="990"/>
      <c r="M2940" s="990"/>
      <c r="N2940" s="990"/>
      <c r="O2940" s="990"/>
      <c r="P2940" s="990"/>
      <c r="Q2940" s="990"/>
      <c r="R2940" s="990"/>
      <c r="S2940" s="990"/>
      <c r="T2940" s="990"/>
      <c r="U2940" s="990"/>
      <c r="V2940" s="990"/>
      <c r="W2940" s="990"/>
      <c r="X2940" s="990"/>
    </row>
    <row r="2941" spans="1:24" s="896" customFormat="1">
      <c r="A2941" s="987">
        <f t="shared" si="46"/>
        <v>2867</v>
      </c>
      <c r="B2941" s="988">
        <v>3850</v>
      </c>
      <c r="C2941" s="899" t="s">
        <v>12267</v>
      </c>
      <c r="D2941" s="988" t="s">
        <v>2666</v>
      </c>
      <c r="E2941" s="989">
        <v>14.82</v>
      </c>
      <c r="F2941" s="990"/>
      <c r="G2941" s="990"/>
      <c r="H2941" s="990"/>
      <c r="I2941" s="990"/>
      <c r="J2941" s="990"/>
      <c r="K2941" s="990"/>
      <c r="L2941" s="990"/>
      <c r="M2941" s="990"/>
      <c r="N2941" s="990"/>
      <c r="O2941" s="990"/>
      <c r="P2941" s="990"/>
      <c r="Q2941" s="990"/>
      <c r="R2941" s="990"/>
      <c r="S2941" s="990"/>
      <c r="T2941" s="990"/>
      <c r="U2941" s="990"/>
      <c r="V2941" s="990"/>
      <c r="W2941" s="990"/>
      <c r="X2941" s="990"/>
    </row>
    <row r="2942" spans="1:24" s="896" customFormat="1">
      <c r="A2942" s="987">
        <f t="shared" si="46"/>
        <v>2868</v>
      </c>
      <c r="B2942" s="988">
        <v>38023</v>
      </c>
      <c r="C2942" s="899" t="s">
        <v>12268</v>
      </c>
      <c r="D2942" s="988" t="s">
        <v>2666</v>
      </c>
      <c r="E2942" s="989">
        <v>6.25</v>
      </c>
      <c r="F2942" s="990"/>
      <c r="G2942" s="990"/>
      <c r="H2942" s="990"/>
      <c r="I2942" s="990"/>
      <c r="J2942" s="990"/>
      <c r="K2942" s="990"/>
      <c r="L2942" s="990"/>
      <c r="M2942" s="990"/>
      <c r="N2942" s="990"/>
      <c r="O2942" s="990"/>
      <c r="P2942" s="990"/>
      <c r="Q2942" s="990"/>
      <c r="R2942" s="990"/>
      <c r="S2942" s="990"/>
      <c r="T2942" s="990"/>
      <c r="U2942" s="990"/>
      <c r="V2942" s="990"/>
      <c r="W2942" s="990"/>
      <c r="X2942" s="990"/>
    </row>
    <row r="2943" spans="1:24" s="896" customFormat="1">
      <c r="A2943" s="987">
        <f t="shared" si="46"/>
        <v>2869</v>
      </c>
      <c r="B2943" s="988">
        <v>37986</v>
      </c>
      <c r="C2943" s="899" t="s">
        <v>12269</v>
      </c>
      <c r="D2943" s="988" t="s">
        <v>2666</v>
      </c>
      <c r="E2943" s="989">
        <v>3.01</v>
      </c>
      <c r="F2943" s="990"/>
      <c r="G2943" s="990"/>
      <c r="H2943" s="990"/>
      <c r="I2943" s="990"/>
      <c r="J2943" s="990"/>
      <c r="K2943" s="990"/>
      <c r="L2943" s="990"/>
      <c r="M2943" s="990"/>
      <c r="N2943" s="990"/>
      <c r="O2943" s="990"/>
      <c r="P2943" s="990"/>
      <c r="Q2943" s="990"/>
      <c r="R2943" s="990"/>
      <c r="S2943" s="990"/>
      <c r="T2943" s="990"/>
      <c r="U2943" s="990"/>
      <c r="V2943" s="990"/>
      <c r="W2943" s="990"/>
      <c r="X2943" s="990"/>
    </row>
    <row r="2944" spans="1:24" s="896" customFormat="1">
      <c r="A2944" s="987">
        <f t="shared" si="46"/>
        <v>2870</v>
      </c>
      <c r="B2944" s="988">
        <v>37987</v>
      </c>
      <c r="C2944" s="899" t="s">
        <v>12270</v>
      </c>
      <c r="D2944" s="988" t="s">
        <v>2666</v>
      </c>
      <c r="E2944" s="989">
        <v>224.58</v>
      </c>
      <c r="F2944" s="990"/>
      <c r="G2944" s="990"/>
      <c r="H2944" s="990"/>
      <c r="I2944" s="990"/>
      <c r="J2944" s="990"/>
      <c r="K2944" s="990"/>
      <c r="L2944" s="990"/>
      <c r="M2944" s="990"/>
      <c r="N2944" s="990"/>
      <c r="O2944" s="990"/>
      <c r="P2944" s="990"/>
      <c r="Q2944" s="990"/>
      <c r="R2944" s="990"/>
      <c r="S2944" s="990"/>
      <c r="T2944" s="990"/>
      <c r="U2944" s="990"/>
      <c r="V2944" s="990"/>
      <c r="W2944" s="990"/>
      <c r="X2944" s="990"/>
    </row>
    <row r="2945" spans="1:24" s="896" customFormat="1">
      <c r="A2945" s="987">
        <f t="shared" si="46"/>
        <v>2871</v>
      </c>
      <c r="B2945" s="988">
        <v>37988</v>
      </c>
      <c r="C2945" s="899" t="s">
        <v>12271</v>
      </c>
      <c r="D2945" s="988" t="s">
        <v>2666</v>
      </c>
      <c r="E2945" s="989">
        <v>366.31</v>
      </c>
      <c r="F2945" s="990"/>
      <c r="G2945" s="990"/>
      <c r="H2945" s="990"/>
      <c r="I2945" s="990"/>
      <c r="J2945" s="990"/>
      <c r="K2945" s="990"/>
      <c r="L2945" s="990"/>
      <c r="M2945" s="990"/>
      <c r="N2945" s="990"/>
      <c r="O2945" s="990"/>
      <c r="P2945" s="990"/>
      <c r="Q2945" s="990"/>
      <c r="R2945" s="990"/>
      <c r="S2945" s="990"/>
      <c r="T2945" s="990"/>
      <c r="U2945" s="990"/>
      <c r="V2945" s="990"/>
      <c r="W2945" s="990"/>
      <c r="X2945" s="990"/>
    </row>
    <row r="2946" spans="1:24" s="896" customFormat="1">
      <c r="A2946" s="987">
        <f t="shared" si="46"/>
        <v>2872</v>
      </c>
      <c r="B2946" s="988">
        <v>21120</v>
      </c>
      <c r="C2946" s="899" t="s">
        <v>12272</v>
      </c>
      <c r="D2946" s="988" t="s">
        <v>2666</v>
      </c>
      <c r="E2946" s="989">
        <v>18.25</v>
      </c>
      <c r="F2946" s="990"/>
      <c r="G2946" s="990"/>
      <c r="H2946" s="990"/>
      <c r="I2946" s="990"/>
      <c r="J2946" s="990"/>
      <c r="K2946" s="990"/>
      <c r="L2946" s="990"/>
      <c r="M2946" s="990"/>
      <c r="N2946" s="990"/>
      <c r="O2946" s="990"/>
      <c r="P2946" s="990"/>
      <c r="Q2946" s="990"/>
      <c r="R2946" s="990"/>
      <c r="S2946" s="990"/>
      <c r="T2946" s="990"/>
      <c r="U2946" s="990"/>
      <c r="V2946" s="990"/>
      <c r="W2946" s="990"/>
      <c r="X2946" s="990"/>
    </row>
    <row r="2947" spans="1:24" s="896" customFormat="1">
      <c r="A2947" s="987">
        <f t="shared" si="46"/>
        <v>2873</v>
      </c>
      <c r="B2947" s="988">
        <v>39318</v>
      </c>
      <c r="C2947" s="899" t="s">
        <v>12273</v>
      </c>
      <c r="D2947" s="988" t="s">
        <v>2666</v>
      </c>
      <c r="E2947" s="989">
        <v>15.06</v>
      </c>
      <c r="F2947" s="990"/>
      <c r="G2947" s="990"/>
      <c r="H2947" s="990"/>
      <c r="I2947" s="990"/>
      <c r="J2947" s="990"/>
      <c r="K2947" s="990"/>
      <c r="L2947" s="990"/>
      <c r="M2947" s="990"/>
      <c r="N2947" s="990"/>
      <c r="O2947" s="990"/>
      <c r="P2947" s="990"/>
      <c r="Q2947" s="990"/>
      <c r="R2947" s="990"/>
      <c r="S2947" s="990"/>
      <c r="T2947" s="990"/>
      <c r="U2947" s="990"/>
      <c r="V2947" s="990"/>
      <c r="W2947" s="990"/>
      <c r="X2947" s="990"/>
    </row>
    <row r="2948" spans="1:24" s="896" customFormat="1">
      <c r="A2948" s="987">
        <f t="shared" si="46"/>
        <v>2874</v>
      </c>
      <c r="B2948" s="988">
        <v>20162</v>
      </c>
      <c r="C2948" s="899" t="s">
        <v>12274</v>
      </c>
      <c r="D2948" s="988" t="s">
        <v>2666</v>
      </c>
      <c r="E2948" s="989">
        <v>24.26</v>
      </c>
      <c r="F2948" s="990"/>
      <c r="G2948" s="990"/>
      <c r="H2948" s="990"/>
      <c r="I2948" s="990"/>
      <c r="J2948" s="990"/>
      <c r="K2948" s="990"/>
      <c r="L2948" s="990"/>
      <c r="M2948" s="990"/>
      <c r="N2948" s="990"/>
      <c r="O2948" s="990"/>
      <c r="P2948" s="990"/>
      <c r="Q2948" s="990"/>
      <c r="R2948" s="990"/>
      <c r="S2948" s="990"/>
      <c r="T2948" s="990"/>
      <c r="U2948" s="990"/>
      <c r="V2948" s="990"/>
      <c r="W2948" s="990"/>
      <c r="X2948" s="990"/>
    </row>
    <row r="2949" spans="1:24" s="896" customFormat="1">
      <c r="A2949" s="987">
        <f t="shared" si="46"/>
        <v>2875</v>
      </c>
      <c r="B2949" s="988">
        <v>40366</v>
      </c>
      <c r="C2949" s="899" t="s">
        <v>12275</v>
      </c>
      <c r="D2949" s="988" t="s">
        <v>2666</v>
      </c>
      <c r="E2949" s="989">
        <v>49.54</v>
      </c>
      <c r="F2949" s="990"/>
      <c r="G2949" s="990"/>
      <c r="H2949" s="990"/>
      <c r="I2949" s="990"/>
      <c r="J2949" s="990"/>
      <c r="K2949" s="990"/>
      <c r="L2949" s="990"/>
      <c r="M2949" s="990"/>
      <c r="N2949" s="990"/>
      <c r="O2949" s="990"/>
      <c r="P2949" s="990"/>
      <c r="Q2949" s="990"/>
      <c r="R2949" s="990"/>
      <c r="S2949" s="990"/>
      <c r="T2949" s="990"/>
      <c r="U2949" s="990"/>
      <c r="V2949" s="990"/>
      <c r="W2949" s="990"/>
      <c r="X2949" s="990"/>
    </row>
    <row r="2950" spans="1:24" s="896" customFormat="1">
      <c r="A2950" s="987">
        <f t="shared" si="46"/>
        <v>2876</v>
      </c>
      <c r="B2950" s="988">
        <v>40363</v>
      </c>
      <c r="C2950" s="899" t="s">
        <v>12276</v>
      </c>
      <c r="D2950" s="988" t="s">
        <v>2666</v>
      </c>
      <c r="E2950" s="989">
        <v>38.75</v>
      </c>
      <c r="F2950" s="990"/>
      <c r="G2950" s="990"/>
      <c r="H2950" s="990"/>
      <c r="I2950" s="990"/>
      <c r="J2950" s="990"/>
      <c r="K2950" s="990"/>
      <c r="L2950" s="990"/>
      <c r="M2950" s="990"/>
      <c r="N2950" s="990"/>
      <c r="O2950" s="990"/>
      <c r="P2950" s="990"/>
      <c r="Q2950" s="990"/>
      <c r="R2950" s="990"/>
      <c r="S2950" s="990"/>
      <c r="T2950" s="990"/>
      <c r="U2950" s="990"/>
      <c r="V2950" s="990"/>
      <c r="W2950" s="990"/>
      <c r="X2950" s="990"/>
    </row>
    <row r="2951" spans="1:24" s="896" customFormat="1">
      <c r="A2951" s="987">
        <f t="shared" si="46"/>
        <v>2877</v>
      </c>
      <c r="B2951" s="988">
        <v>40354</v>
      </c>
      <c r="C2951" s="899" t="s">
        <v>12277</v>
      </c>
      <c r="D2951" s="988" t="s">
        <v>2666</v>
      </c>
      <c r="E2951" s="989">
        <v>16.87</v>
      </c>
      <c r="F2951" s="990"/>
      <c r="G2951" s="990"/>
      <c r="H2951" s="990"/>
      <c r="I2951" s="990"/>
      <c r="J2951" s="990"/>
      <c r="K2951" s="990"/>
      <c r="L2951" s="990"/>
      <c r="M2951" s="990"/>
      <c r="N2951" s="990"/>
      <c r="O2951" s="990"/>
      <c r="P2951" s="990"/>
      <c r="Q2951" s="990"/>
      <c r="R2951" s="990"/>
      <c r="S2951" s="990"/>
      <c r="T2951" s="990"/>
      <c r="U2951" s="990"/>
      <c r="V2951" s="990"/>
      <c r="W2951" s="990"/>
      <c r="X2951" s="990"/>
    </row>
    <row r="2952" spans="1:24" s="896" customFormat="1">
      <c r="A2952" s="987">
        <f t="shared" si="46"/>
        <v>2878</v>
      </c>
      <c r="B2952" s="988">
        <v>40360</v>
      </c>
      <c r="C2952" s="899" t="s">
        <v>12278</v>
      </c>
      <c r="D2952" s="988" t="s">
        <v>2666</v>
      </c>
      <c r="E2952" s="989">
        <v>25.4</v>
      </c>
      <c r="F2952" s="990"/>
      <c r="G2952" s="990"/>
      <c r="H2952" s="990"/>
      <c r="I2952" s="990"/>
      <c r="J2952" s="990"/>
      <c r="K2952" s="990"/>
      <c r="L2952" s="990"/>
      <c r="M2952" s="990"/>
      <c r="N2952" s="990"/>
      <c r="O2952" s="990"/>
      <c r="P2952" s="990"/>
      <c r="Q2952" s="990"/>
      <c r="R2952" s="990"/>
      <c r="S2952" s="990"/>
      <c r="T2952" s="990"/>
      <c r="U2952" s="990"/>
      <c r="V2952" s="990"/>
      <c r="W2952" s="990"/>
      <c r="X2952" s="990"/>
    </row>
    <row r="2953" spans="1:24" s="896" customFormat="1">
      <c r="A2953" s="987">
        <f t="shared" si="46"/>
        <v>2879</v>
      </c>
      <c r="B2953" s="988">
        <v>40372</v>
      </c>
      <c r="C2953" s="899" t="s">
        <v>12279</v>
      </c>
      <c r="D2953" s="988" t="s">
        <v>2666</v>
      </c>
      <c r="E2953" s="989">
        <v>156.88</v>
      </c>
      <c r="F2953" s="990"/>
      <c r="G2953" s="990"/>
      <c r="H2953" s="990"/>
      <c r="I2953" s="990"/>
      <c r="J2953" s="990"/>
      <c r="K2953" s="990"/>
      <c r="L2953" s="990"/>
      <c r="M2953" s="990"/>
      <c r="N2953" s="990"/>
      <c r="O2953" s="990"/>
      <c r="P2953" s="990"/>
      <c r="Q2953" s="990"/>
      <c r="R2953" s="990"/>
      <c r="S2953" s="990"/>
      <c r="T2953" s="990"/>
      <c r="U2953" s="990"/>
      <c r="V2953" s="990"/>
      <c r="W2953" s="990"/>
      <c r="X2953" s="990"/>
    </row>
    <row r="2954" spans="1:24" s="896" customFormat="1">
      <c r="A2954" s="987">
        <f t="shared" si="46"/>
        <v>2880</v>
      </c>
      <c r="B2954" s="988">
        <v>40369</v>
      </c>
      <c r="C2954" s="899" t="s">
        <v>12280</v>
      </c>
      <c r="D2954" s="988" t="s">
        <v>2666</v>
      </c>
      <c r="E2954" s="989">
        <v>78.08</v>
      </c>
      <c r="F2954" s="990"/>
      <c r="G2954" s="990"/>
      <c r="H2954" s="990"/>
      <c r="I2954" s="990"/>
      <c r="J2954" s="990"/>
      <c r="K2954" s="990"/>
      <c r="L2954" s="990"/>
      <c r="M2954" s="990"/>
      <c r="N2954" s="990"/>
      <c r="O2954" s="990"/>
      <c r="P2954" s="990"/>
      <c r="Q2954" s="990"/>
      <c r="R2954" s="990"/>
      <c r="S2954" s="990"/>
      <c r="T2954" s="990"/>
      <c r="U2954" s="990"/>
      <c r="V2954" s="990"/>
      <c r="W2954" s="990"/>
      <c r="X2954" s="990"/>
    </row>
    <row r="2955" spans="1:24" s="896" customFormat="1">
      <c r="A2955" s="987">
        <f t="shared" si="46"/>
        <v>2881</v>
      </c>
      <c r="B2955" s="988">
        <v>40357</v>
      </c>
      <c r="C2955" s="899" t="s">
        <v>12281</v>
      </c>
      <c r="D2955" s="988" t="s">
        <v>2666</v>
      </c>
      <c r="E2955" s="989">
        <v>18.93</v>
      </c>
      <c r="F2955" s="990"/>
      <c r="G2955" s="990"/>
      <c r="H2955" s="990"/>
      <c r="I2955" s="990"/>
      <c r="J2955" s="990"/>
      <c r="K2955" s="990"/>
      <c r="L2955" s="990"/>
      <c r="M2955" s="990"/>
      <c r="N2955" s="990"/>
      <c r="O2955" s="990"/>
      <c r="P2955" s="990"/>
      <c r="Q2955" s="990"/>
      <c r="R2955" s="990"/>
      <c r="S2955" s="990"/>
      <c r="T2955" s="990"/>
      <c r="U2955" s="990"/>
      <c r="V2955" s="990"/>
      <c r="W2955" s="990"/>
      <c r="X2955" s="990"/>
    </row>
    <row r="2956" spans="1:24" s="896" customFormat="1">
      <c r="A2956" s="987">
        <f t="shared" ref="A2956:A3019" si="47">A2955+1</f>
        <v>2882</v>
      </c>
      <c r="B2956" s="988">
        <v>40375</v>
      </c>
      <c r="C2956" s="899" t="s">
        <v>12282</v>
      </c>
      <c r="D2956" s="988" t="s">
        <v>2666</v>
      </c>
      <c r="E2956" s="989">
        <v>212.37</v>
      </c>
      <c r="F2956" s="990"/>
      <c r="G2956" s="990"/>
      <c r="H2956" s="990"/>
      <c r="I2956" s="990"/>
      <c r="J2956" s="990"/>
      <c r="K2956" s="990"/>
      <c r="L2956" s="990"/>
      <c r="M2956" s="990"/>
      <c r="N2956" s="990"/>
      <c r="O2956" s="990"/>
      <c r="P2956" s="990"/>
      <c r="Q2956" s="990"/>
      <c r="R2956" s="990"/>
      <c r="S2956" s="990"/>
      <c r="T2956" s="990"/>
      <c r="U2956" s="990"/>
      <c r="V2956" s="990"/>
      <c r="W2956" s="990"/>
      <c r="X2956" s="990"/>
    </row>
    <row r="2957" spans="1:24" s="896" customFormat="1">
      <c r="A2957" s="987">
        <f t="shared" si="47"/>
        <v>2883</v>
      </c>
      <c r="B2957" s="988">
        <v>1893</v>
      </c>
      <c r="C2957" s="899" t="s">
        <v>12283</v>
      </c>
      <c r="D2957" s="988" t="s">
        <v>2666</v>
      </c>
      <c r="E2957" s="989">
        <v>5.17</v>
      </c>
      <c r="F2957" s="990"/>
      <c r="G2957" s="990"/>
      <c r="H2957" s="990"/>
      <c r="I2957" s="990"/>
      <c r="J2957" s="990"/>
      <c r="K2957" s="990"/>
      <c r="L2957" s="990"/>
      <c r="M2957" s="990"/>
      <c r="N2957" s="990"/>
      <c r="O2957" s="990"/>
      <c r="P2957" s="990"/>
      <c r="Q2957" s="990"/>
      <c r="R2957" s="990"/>
      <c r="S2957" s="990"/>
      <c r="T2957" s="990"/>
      <c r="U2957" s="990"/>
      <c r="V2957" s="990"/>
      <c r="W2957" s="990"/>
      <c r="X2957" s="990"/>
    </row>
    <row r="2958" spans="1:24" s="896" customFormat="1">
      <c r="A2958" s="987">
        <f t="shared" si="47"/>
        <v>2884</v>
      </c>
      <c r="B2958" s="988">
        <v>1902</v>
      </c>
      <c r="C2958" s="899" t="s">
        <v>12284</v>
      </c>
      <c r="D2958" s="988" t="s">
        <v>2666</v>
      </c>
      <c r="E2958" s="989">
        <v>3.76</v>
      </c>
      <c r="F2958" s="990"/>
      <c r="G2958" s="990"/>
      <c r="H2958" s="990"/>
      <c r="I2958" s="990"/>
      <c r="J2958" s="990"/>
      <c r="K2958" s="990"/>
      <c r="L2958" s="990"/>
      <c r="M2958" s="990"/>
      <c r="N2958" s="990"/>
      <c r="O2958" s="990"/>
      <c r="P2958" s="990"/>
      <c r="Q2958" s="990"/>
      <c r="R2958" s="990"/>
      <c r="S2958" s="990"/>
      <c r="T2958" s="990"/>
      <c r="U2958" s="990"/>
      <c r="V2958" s="990"/>
      <c r="W2958" s="990"/>
      <c r="X2958" s="990"/>
    </row>
    <row r="2959" spans="1:24" s="896" customFormat="1">
      <c r="A2959" s="987">
        <f t="shared" si="47"/>
        <v>2885</v>
      </c>
      <c r="B2959" s="988">
        <v>1901</v>
      </c>
      <c r="C2959" s="899" t="s">
        <v>12285</v>
      </c>
      <c r="D2959" s="988" t="s">
        <v>2666</v>
      </c>
      <c r="E2959" s="989">
        <v>1.17</v>
      </c>
      <c r="F2959" s="990"/>
      <c r="G2959" s="990"/>
      <c r="H2959" s="990"/>
      <c r="I2959" s="990"/>
      <c r="J2959" s="990"/>
      <c r="K2959" s="990"/>
      <c r="L2959" s="990"/>
      <c r="M2959" s="990"/>
      <c r="N2959" s="990"/>
      <c r="O2959" s="990"/>
      <c r="P2959" s="990"/>
      <c r="Q2959" s="990"/>
      <c r="R2959" s="990"/>
      <c r="S2959" s="990"/>
      <c r="T2959" s="990"/>
      <c r="U2959" s="990"/>
      <c r="V2959" s="990"/>
      <c r="W2959" s="990"/>
      <c r="X2959" s="990"/>
    </row>
    <row r="2960" spans="1:24" s="896" customFormat="1">
      <c r="A2960" s="987">
        <f t="shared" si="47"/>
        <v>2886</v>
      </c>
      <c r="B2960" s="988">
        <v>1892</v>
      </c>
      <c r="C2960" s="899" t="s">
        <v>12286</v>
      </c>
      <c r="D2960" s="988" t="s">
        <v>2666</v>
      </c>
      <c r="E2960" s="989">
        <v>2.42</v>
      </c>
      <c r="F2960" s="990"/>
      <c r="G2960" s="990"/>
      <c r="H2960" s="990"/>
      <c r="I2960" s="990"/>
      <c r="J2960" s="990"/>
      <c r="K2960" s="990"/>
      <c r="L2960" s="990"/>
      <c r="M2960" s="990"/>
      <c r="N2960" s="990"/>
      <c r="O2960" s="990"/>
      <c r="P2960" s="990"/>
      <c r="Q2960" s="990"/>
      <c r="R2960" s="990"/>
      <c r="S2960" s="990"/>
      <c r="T2960" s="990"/>
      <c r="U2960" s="990"/>
      <c r="V2960" s="990"/>
      <c r="W2960" s="990"/>
      <c r="X2960" s="990"/>
    </row>
    <row r="2961" spans="1:24" s="896" customFormat="1">
      <c r="A2961" s="987">
        <f t="shared" si="47"/>
        <v>2887</v>
      </c>
      <c r="B2961" s="988">
        <v>1907</v>
      </c>
      <c r="C2961" s="899" t="s">
        <v>12287</v>
      </c>
      <c r="D2961" s="988" t="s">
        <v>2666</v>
      </c>
      <c r="E2961" s="989">
        <v>16.64</v>
      </c>
      <c r="F2961" s="990"/>
      <c r="G2961" s="990"/>
      <c r="H2961" s="990"/>
      <c r="I2961" s="990"/>
      <c r="J2961" s="990"/>
      <c r="K2961" s="990"/>
      <c r="L2961" s="990"/>
      <c r="M2961" s="990"/>
      <c r="N2961" s="990"/>
      <c r="O2961" s="990"/>
      <c r="P2961" s="990"/>
      <c r="Q2961" s="990"/>
      <c r="R2961" s="990"/>
      <c r="S2961" s="990"/>
      <c r="T2961" s="990"/>
      <c r="U2961" s="990"/>
      <c r="V2961" s="990"/>
      <c r="W2961" s="990"/>
      <c r="X2961" s="990"/>
    </row>
    <row r="2962" spans="1:24" s="896" customFormat="1">
      <c r="A2962" s="987">
        <f t="shared" si="47"/>
        <v>2888</v>
      </c>
      <c r="B2962" s="988">
        <v>1894</v>
      </c>
      <c r="C2962" s="899" t="s">
        <v>12288</v>
      </c>
      <c r="D2962" s="988" t="s">
        <v>2666</v>
      </c>
      <c r="E2962" s="989">
        <v>7.48</v>
      </c>
      <c r="F2962" s="990"/>
      <c r="G2962" s="990"/>
      <c r="H2962" s="990"/>
      <c r="I2962" s="990"/>
      <c r="J2962" s="990"/>
      <c r="K2962" s="990"/>
      <c r="L2962" s="990"/>
      <c r="M2962" s="990"/>
      <c r="N2962" s="990"/>
      <c r="O2962" s="990"/>
      <c r="P2962" s="990"/>
      <c r="Q2962" s="990"/>
      <c r="R2962" s="990"/>
      <c r="S2962" s="990"/>
      <c r="T2962" s="990"/>
      <c r="U2962" s="990"/>
      <c r="V2962" s="990"/>
      <c r="W2962" s="990"/>
      <c r="X2962" s="990"/>
    </row>
    <row r="2963" spans="1:24" s="896" customFormat="1">
      <c r="A2963" s="987">
        <f t="shared" si="47"/>
        <v>2889</v>
      </c>
      <c r="B2963" s="988">
        <v>1891</v>
      </c>
      <c r="C2963" s="899" t="s">
        <v>12289</v>
      </c>
      <c r="D2963" s="988" t="s">
        <v>2666</v>
      </c>
      <c r="E2963" s="989">
        <v>1.74</v>
      </c>
      <c r="F2963" s="990"/>
      <c r="G2963" s="990"/>
      <c r="H2963" s="990"/>
      <c r="I2963" s="990"/>
      <c r="J2963" s="990"/>
      <c r="K2963" s="990"/>
      <c r="L2963" s="990"/>
      <c r="M2963" s="990"/>
      <c r="N2963" s="990"/>
      <c r="O2963" s="990"/>
      <c r="P2963" s="990"/>
      <c r="Q2963" s="990"/>
      <c r="R2963" s="990"/>
      <c r="S2963" s="990"/>
      <c r="T2963" s="990"/>
      <c r="U2963" s="990"/>
      <c r="V2963" s="990"/>
      <c r="W2963" s="990"/>
      <c r="X2963" s="990"/>
    </row>
    <row r="2964" spans="1:24" s="896" customFormat="1">
      <c r="A2964" s="987">
        <f t="shared" si="47"/>
        <v>2890</v>
      </c>
      <c r="B2964" s="988">
        <v>1896</v>
      </c>
      <c r="C2964" s="899" t="s">
        <v>12290</v>
      </c>
      <c r="D2964" s="988" t="s">
        <v>2666</v>
      </c>
      <c r="E2964" s="989">
        <v>22.34</v>
      </c>
      <c r="F2964" s="990"/>
      <c r="G2964" s="990"/>
      <c r="H2964" s="990"/>
      <c r="I2964" s="990"/>
      <c r="J2964" s="990"/>
      <c r="K2964" s="990"/>
      <c r="L2964" s="990"/>
      <c r="M2964" s="990"/>
      <c r="N2964" s="990"/>
      <c r="O2964" s="990"/>
      <c r="P2964" s="990"/>
      <c r="Q2964" s="990"/>
      <c r="R2964" s="990"/>
      <c r="S2964" s="990"/>
      <c r="T2964" s="990"/>
      <c r="U2964" s="990"/>
      <c r="V2964" s="990"/>
      <c r="W2964" s="990"/>
      <c r="X2964" s="990"/>
    </row>
    <row r="2965" spans="1:24" s="896" customFormat="1">
      <c r="A2965" s="987">
        <f t="shared" si="47"/>
        <v>2891</v>
      </c>
      <c r="B2965" s="988">
        <v>1895</v>
      </c>
      <c r="C2965" s="899" t="s">
        <v>12291</v>
      </c>
      <c r="D2965" s="988" t="s">
        <v>2666</v>
      </c>
      <c r="E2965" s="989">
        <v>39.270000000000003</v>
      </c>
      <c r="F2965" s="990"/>
      <c r="G2965" s="990"/>
      <c r="H2965" s="990"/>
      <c r="I2965" s="990"/>
      <c r="J2965" s="990"/>
      <c r="K2965" s="990"/>
      <c r="L2965" s="990"/>
      <c r="M2965" s="990"/>
      <c r="N2965" s="990"/>
      <c r="O2965" s="990"/>
      <c r="P2965" s="990"/>
      <c r="Q2965" s="990"/>
      <c r="R2965" s="990"/>
      <c r="S2965" s="990"/>
      <c r="T2965" s="990"/>
      <c r="U2965" s="990"/>
      <c r="V2965" s="990"/>
      <c r="W2965" s="990"/>
      <c r="X2965" s="990"/>
    </row>
    <row r="2966" spans="1:24" s="896" customFormat="1">
      <c r="A2966" s="987">
        <f t="shared" si="47"/>
        <v>2892</v>
      </c>
      <c r="B2966" s="988">
        <v>2641</v>
      </c>
      <c r="C2966" s="899" t="s">
        <v>12292</v>
      </c>
      <c r="D2966" s="988" t="s">
        <v>2666</v>
      </c>
      <c r="E2966" s="989">
        <v>37.36</v>
      </c>
      <c r="F2966" s="990"/>
      <c r="G2966" s="990"/>
      <c r="H2966" s="990"/>
      <c r="I2966" s="990"/>
      <c r="J2966" s="990"/>
      <c r="K2966" s="990"/>
      <c r="L2966" s="990"/>
      <c r="M2966" s="990"/>
      <c r="N2966" s="990"/>
      <c r="O2966" s="990"/>
      <c r="P2966" s="990"/>
      <c r="Q2966" s="990"/>
      <c r="R2966" s="990"/>
      <c r="S2966" s="990"/>
      <c r="T2966" s="990"/>
      <c r="U2966" s="990"/>
      <c r="V2966" s="990"/>
      <c r="W2966" s="990"/>
      <c r="X2966" s="990"/>
    </row>
    <row r="2967" spans="1:24" s="896" customFormat="1" ht="25.5">
      <c r="A2967" s="987">
        <f t="shared" si="47"/>
        <v>2893</v>
      </c>
      <c r="B2967" s="988">
        <v>2636</v>
      </c>
      <c r="C2967" s="899" t="s">
        <v>12293</v>
      </c>
      <c r="D2967" s="988" t="s">
        <v>2666</v>
      </c>
      <c r="E2967" s="989">
        <v>2.4</v>
      </c>
      <c r="F2967" s="990"/>
      <c r="G2967" s="990"/>
      <c r="H2967" s="990"/>
      <c r="I2967" s="990"/>
      <c r="J2967" s="990"/>
      <c r="K2967" s="990"/>
      <c r="L2967" s="990"/>
      <c r="M2967" s="990"/>
      <c r="N2967" s="990"/>
      <c r="O2967" s="990"/>
      <c r="P2967" s="990"/>
      <c r="Q2967" s="990"/>
      <c r="R2967" s="990"/>
      <c r="S2967" s="990"/>
      <c r="T2967" s="990"/>
      <c r="U2967" s="990"/>
      <c r="V2967" s="990"/>
      <c r="W2967" s="990"/>
      <c r="X2967" s="990"/>
    </row>
    <row r="2968" spans="1:24" s="896" customFormat="1" ht="25.5">
      <c r="A2968" s="987">
        <f t="shared" si="47"/>
        <v>2894</v>
      </c>
      <c r="B2968" s="988">
        <v>2637</v>
      </c>
      <c r="C2968" s="899" t="s">
        <v>12294</v>
      </c>
      <c r="D2968" s="988" t="s">
        <v>2666</v>
      </c>
      <c r="E2968" s="989">
        <v>2.56</v>
      </c>
      <c r="F2968" s="990"/>
      <c r="G2968" s="990"/>
      <c r="H2968" s="990"/>
      <c r="I2968" s="990"/>
      <c r="J2968" s="990"/>
      <c r="K2968" s="990"/>
      <c r="L2968" s="990"/>
      <c r="M2968" s="990"/>
      <c r="N2968" s="990"/>
      <c r="O2968" s="990"/>
      <c r="P2968" s="990"/>
      <c r="Q2968" s="990"/>
      <c r="R2968" s="990"/>
      <c r="S2968" s="990"/>
      <c r="T2968" s="990"/>
      <c r="U2968" s="990"/>
      <c r="V2968" s="990"/>
      <c r="W2968" s="990"/>
      <c r="X2968" s="990"/>
    </row>
    <row r="2969" spans="1:24" s="896" customFormat="1">
      <c r="A2969" s="987">
        <f t="shared" si="47"/>
        <v>2895</v>
      </c>
      <c r="B2969" s="988">
        <v>2638</v>
      </c>
      <c r="C2969" s="899" t="s">
        <v>12295</v>
      </c>
      <c r="D2969" s="988" t="s">
        <v>2666</v>
      </c>
      <c r="E2969" s="989">
        <v>2.98</v>
      </c>
      <c r="F2969" s="990"/>
      <c r="G2969" s="990"/>
      <c r="H2969" s="990"/>
      <c r="I2969" s="990"/>
      <c r="J2969" s="990"/>
      <c r="K2969" s="990"/>
      <c r="L2969" s="990"/>
      <c r="M2969" s="990"/>
      <c r="N2969" s="990"/>
      <c r="O2969" s="990"/>
      <c r="P2969" s="990"/>
      <c r="Q2969" s="990"/>
      <c r="R2969" s="990"/>
      <c r="S2969" s="990"/>
      <c r="T2969" s="990"/>
      <c r="U2969" s="990"/>
      <c r="V2969" s="990"/>
      <c r="W2969" s="990"/>
      <c r="X2969" s="990"/>
    </row>
    <row r="2970" spans="1:24" s="896" customFormat="1" ht="25.5">
      <c r="A2970" s="987">
        <f t="shared" si="47"/>
        <v>2896</v>
      </c>
      <c r="B2970" s="988">
        <v>2639</v>
      </c>
      <c r="C2970" s="899" t="s">
        <v>12296</v>
      </c>
      <c r="D2970" s="988" t="s">
        <v>2666</v>
      </c>
      <c r="E2970" s="989">
        <v>5.28</v>
      </c>
      <c r="F2970" s="990"/>
      <c r="G2970" s="990"/>
      <c r="H2970" s="990"/>
      <c r="I2970" s="990"/>
      <c r="J2970" s="990"/>
      <c r="K2970" s="990"/>
      <c r="L2970" s="990"/>
      <c r="M2970" s="990"/>
      <c r="N2970" s="990"/>
      <c r="O2970" s="990"/>
      <c r="P2970" s="990"/>
      <c r="Q2970" s="990"/>
      <c r="R2970" s="990"/>
      <c r="S2970" s="990"/>
      <c r="T2970" s="990"/>
      <c r="U2970" s="990"/>
      <c r="V2970" s="990"/>
      <c r="W2970" s="990"/>
      <c r="X2970" s="990"/>
    </row>
    <row r="2971" spans="1:24" s="896" customFormat="1" ht="25.5">
      <c r="A2971" s="987">
        <f t="shared" si="47"/>
        <v>2897</v>
      </c>
      <c r="B2971" s="988">
        <v>2644</v>
      </c>
      <c r="C2971" s="899" t="s">
        <v>12297</v>
      </c>
      <c r="D2971" s="988" t="s">
        <v>2666</v>
      </c>
      <c r="E2971" s="989">
        <v>7.64</v>
      </c>
      <c r="F2971" s="990"/>
      <c r="G2971" s="990"/>
      <c r="H2971" s="990"/>
      <c r="I2971" s="990"/>
      <c r="J2971" s="990"/>
      <c r="K2971" s="990"/>
      <c r="L2971" s="990"/>
      <c r="M2971" s="990"/>
      <c r="N2971" s="990"/>
      <c r="O2971" s="990"/>
      <c r="P2971" s="990"/>
      <c r="Q2971" s="990"/>
      <c r="R2971" s="990"/>
      <c r="S2971" s="990"/>
      <c r="T2971" s="990"/>
      <c r="U2971" s="990"/>
      <c r="V2971" s="990"/>
      <c r="W2971" s="990"/>
      <c r="X2971" s="990"/>
    </row>
    <row r="2972" spans="1:24" s="896" customFormat="1">
      <c r="A2972" s="987">
        <f t="shared" si="47"/>
        <v>2898</v>
      </c>
      <c r="B2972" s="988">
        <v>2643</v>
      </c>
      <c r="C2972" s="899" t="s">
        <v>12298</v>
      </c>
      <c r="D2972" s="988" t="s">
        <v>2666</v>
      </c>
      <c r="E2972" s="989">
        <v>10.65</v>
      </c>
      <c r="F2972" s="990"/>
      <c r="G2972" s="990"/>
      <c r="H2972" s="990"/>
      <c r="I2972" s="990"/>
      <c r="J2972" s="990"/>
      <c r="K2972" s="990"/>
      <c r="L2972" s="990"/>
      <c r="M2972" s="990"/>
      <c r="N2972" s="990"/>
      <c r="O2972" s="990"/>
      <c r="P2972" s="990"/>
      <c r="Q2972" s="990"/>
      <c r="R2972" s="990"/>
      <c r="S2972" s="990"/>
      <c r="T2972" s="990"/>
      <c r="U2972" s="990"/>
      <c r="V2972" s="990"/>
      <c r="W2972" s="990"/>
      <c r="X2972" s="990"/>
    </row>
    <row r="2973" spans="1:24" s="896" customFormat="1" ht="25.5">
      <c r="A2973" s="987">
        <f t="shared" si="47"/>
        <v>2899</v>
      </c>
      <c r="B2973" s="988">
        <v>2640</v>
      </c>
      <c r="C2973" s="899" t="s">
        <v>12299</v>
      </c>
      <c r="D2973" s="988" t="s">
        <v>2666</v>
      </c>
      <c r="E2973" s="989">
        <v>15.55</v>
      </c>
      <c r="F2973" s="990"/>
      <c r="G2973" s="990"/>
      <c r="H2973" s="990"/>
      <c r="I2973" s="990"/>
      <c r="J2973" s="990"/>
      <c r="K2973" s="990"/>
      <c r="L2973" s="990"/>
      <c r="M2973" s="990"/>
      <c r="N2973" s="990"/>
      <c r="O2973" s="990"/>
      <c r="P2973" s="990"/>
      <c r="Q2973" s="990"/>
      <c r="R2973" s="990"/>
      <c r="S2973" s="990"/>
      <c r="T2973" s="990"/>
      <c r="U2973" s="990"/>
      <c r="V2973" s="990"/>
      <c r="W2973" s="990"/>
      <c r="X2973" s="990"/>
    </row>
    <row r="2974" spans="1:24" s="896" customFormat="1">
      <c r="A2974" s="987">
        <f t="shared" si="47"/>
        <v>2900</v>
      </c>
      <c r="B2974" s="988">
        <v>2642</v>
      </c>
      <c r="C2974" s="899" t="s">
        <v>12300</v>
      </c>
      <c r="D2974" s="988" t="s">
        <v>2666</v>
      </c>
      <c r="E2974" s="989">
        <v>23.67</v>
      </c>
      <c r="F2974" s="990"/>
      <c r="G2974" s="990"/>
      <c r="H2974" s="990"/>
      <c r="I2974" s="990"/>
      <c r="J2974" s="990"/>
      <c r="K2974" s="990"/>
      <c r="L2974" s="990"/>
      <c r="M2974" s="990"/>
      <c r="N2974" s="990"/>
      <c r="O2974" s="990"/>
      <c r="P2974" s="990"/>
      <c r="Q2974" s="990"/>
      <c r="R2974" s="990"/>
      <c r="S2974" s="990"/>
      <c r="T2974" s="990"/>
      <c r="U2974" s="990"/>
      <c r="V2974" s="990"/>
      <c r="W2974" s="990"/>
      <c r="X2974" s="990"/>
    </row>
    <row r="2975" spans="1:24" s="896" customFormat="1">
      <c r="A2975" s="987">
        <f t="shared" si="47"/>
        <v>2901</v>
      </c>
      <c r="B2975" s="988">
        <v>38943</v>
      </c>
      <c r="C2975" s="899" t="s">
        <v>12301</v>
      </c>
      <c r="D2975" s="988" t="s">
        <v>2666</v>
      </c>
      <c r="E2975" s="989">
        <v>4.63</v>
      </c>
      <c r="F2975" s="990"/>
      <c r="G2975" s="990"/>
      <c r="H2975" s="990"/>
      <c r="I2975" s="990"/>
      <c r="J2975" s="990"/>
      <c r="K2975" s="990"/>
      <c r="L2975" s="990"/>
      <c r="M2975" s="990"/>
      <c r="N2975" s="990"/>
      <c r="O2975" s="990"/>
      <c r="P2975" s="990"/>
      <c r="Q2975" s="990"/>
      <c r="R2975" s="990"/>
      <c r="S2975" s="990"/>
      <c r="T2975" s="990"/>
      <c r="U2975" s="990"/>
      <c r="V2975" s="990"/>
      <c r="W2975" s="990"/>
      <c r="X2975" s="990"/>
    </row>
    <row r="2976" spans="1:24" s="896" customFormat="1">
      <c r="A2976" s="987">
        <f t="shared" si="47"/>
        <v>2902</v>
      </c>
      <c r="B2976" s="988">
        <v>38944</v>
      </c>
      <c r="C2976" s="899" t="s">
        <v>12302</v>
      </c>
      <c r="D2976" s="988" t="s">
        <v>2666</v>
      </c>
      <c r="E2976" s="989">
        <v>7.16</v>
      </c>
      <c r="F2976" s="990"/>
      <c r="G2976" s="990"/>
      <c r="H2976" s="990"/>
      <c r="I2976" s="990"/>
      <c r="J2976" s="990"/>
      <c r="K2976" s="990"/>
      <c r="L2976" s="990"/>
      <c r="M2976" s="990"/>
      <c r="N2976" s="990"/>
      <c r="O2976" s="990"/>
      <c r="P2976" s="990"/>
      <c r="Q2976" s="990"/>
      <c r="R2976" s="990"/>
      <c r="S2976" s="990"/>
      <c r="T2976" s="990"/>
      <c r="U2976" s="990"/>
      <c r="V2976" s="990"/>
      <c r="W2976" s="990"/>
      <c r="X2976" s="990"/>
    </row>
    <row r="2977" spans="1:24" s="896" customFormat="1">
      <c r="A2977" s="987">
        <f t="shared" si="47"/>
        <v>2903</v>
      </c>
      <c r="B2977" s="988">
        <v>38945</v>
      </c>
      <c r="C2977" s="899" t="s">
        <v>12303</v>
      </c>
      <c r="D2977" s="988" t="s">
        <v>2666</v>
      </c>
      <c r="E2977" s="989">
        <v>14.53</v>
      </c>
      <c r="F2977" s="990"/>
      <c r="G2977" s="990"/>
      <c r="H2977" s="990"/>
      <c r="I2977" s="990"/>
      <c r="J2977" s="990"/>
      <c r="K2977" s="990"/>
      <c r="L2977" s="990"/>
      <c r="M2977" s="990"/>
      <c r="N2977" s="990"/>
      <c r="O2977" s="990"/>
      <c r="P2977" s="990"/>
      <c r="Q2977" s="990"/>
      <c r="R2977" s="990"/>
      <c r="S2977" s="990"/>
      <c r="T2977" s="990"/>
      <c r="U2977" s="990"/>
      <c r="V2977" s="990"/>
      <c r="W2977" s="990"/>
      <c r="X2977" s="990"/>
    </row>
    <row r="2978" spans="1:24" s="896" customFormat="1">
      <c r="A2978" s="987">
        <f t="shared" si="47"/>
        <v>2904</v>
      </c>
      <c r="B2978" s="988">
        <v>38946</v>
      </c>
      <c r="C2978" s="899" t="s">
        <v>12304</v>
      </c>
      <c r="D2978" s="988" t="s">
        <v>2666</v>
      </c>
      <c r="E2978" s="989">
        <v>21.67</v>
      </c>
      <c r="F2978" s="990"/>
      <c r="G2978" s="990"/>
      <c r="H2978" s="990"/>
      <c r="I2978" s="990"/>
      <c r="J2978" s="990"/>
      <c r="K2978" s="990"/>
      <c r="L2978" s="990"/>
      <c r="M2978" s="990"/>
      <c r="N2978" s="990"/>
      <c r="O2978" s="990"/>
      <c r="P2978" s="990"/>
      <c r="Q2978" s="990"/>
      <c r="R2978" s="990"/>
      <c r="S2978" s="990"/>
      <c r="T2978" s="990"/>
      <c r="U2978" s="990"/>
      <c r="V2978" s="990"/>
      <c r="W2978" s="990"/>
      <c r="X2978" s="990"/>
    </row>
    <row r="2979" spans="1:24" s="896" customFormat="1">
      <c r="A2979" s="987">
        <f t="shared" si="47"/>
        <v>2905</v>
      </c>
      <c r="B2979" s="988">
        <v>39308</v>
      </c>
      <c r="C2979" s="899" t="s">
        <v>12305</v>
      </c>
      <c r="D2979" s="988" t="s">
        <v>2666</v>
      </c>
      <c r="E2979" s="989">
        <v>9.4499999999999993</v>
      </c>
      <c r="F2979" s="990"/>
      <c r="G2979" s="990"/>
      <c r="H2979" s="990"/>
      <c r="I2979" s="990"/>
      <c r="J2979" s="990"/>
      <c r="K2979" s="990"/>
      <c r="L2979" s="990"/>
      <c r="M2979" s="990"/>
      <c r="N2979" s="990"/>
      <c r="O2979" s="990"/>
      <c r="P2979" s="990"/>
      <c r="Q2979" s="990"/>
      <c r="R2979" s="990"/>
      <c r="S2979" s="990"/>
      <c r="T2979" s="990"/>
      <c r="U2979" s="990"/>
      <c r="V2979" s="990"/>
      <c r="W2979" s="990"/>
      <c r="X2979" s="990"/>
    </row>
    <row r="2980" spans="1:24" s="896" customFormat="1">
      <c r="A2980" s="987">
        <f t="shared" si="47"/>
        <v>2906</v>
      </c>
      <c r="B2980" s="988">
        <v>39309</v>
      </c>
      <c r="C2980" s="899" t="s">
        <v>12306</v>
      </c>
      <c r="D2980" s="988" t="s">
        <v>2666</v>
      </c>
      <c r="E2980" s="989">
        <v>13.66</v>
      </c>
      <c r="F2980" s="990"/>
      <c r="G2980" s="990"/>
      <c r="H2980" s="990"/>
      <c r="I2980" s="990"/>
      <c r="J2980" s="990"/>
      <c r="K2980" s="990"/>
      <c r="L2980" s="990"/>
      <c r="M2980" s="990"/>
      <c r="N2980" s="990"/>
      <c r="O2980" s="990"/>
      <c r="P2980" s="990"/>
      <c r="Q2980" s="990"/>
      <c r="R2980" s="990"/>
      <c r="S2980" s="990"/>
      <c r="T2980" s="990"/>
      <c r="U2980" s="990"/>
      <c r="V2980" s="990"/>
      <c r="W2980" s="990"/>
      <c r="X2980" s="990"/>
    </row>
    <row r="2981" spans="1:24" s="896" customFormat="1">
      <c r="A2981" s="987">
        <f t="shared" si="47"/>
        <v>2907</v>
      </c>
      <c r="B2981" s="988">
        <v>39310</v>
      </c>
      <c r="C2981" s="899" t="s">
        <v>12307</v>
      </c>
      <c r="D2981" s="988" t="s">
        <v>2666</v>
      </c>
      <c r="E2981" s="989">
        <v>20.7</v>
      </c>
      <c r="F2981" s="990"/>
      <c r="G2981" s="990"/>
      <c r="H2981" s="990"/>
      <c r="I2981" s="990"/>
      <c r="J2981" s="990"/>
      <c r="K2981" s="990"/>
      <c r="L2981" s="990"/>
      <c r="M2981" s="990"/>
      <c r="N2981" s="990"/>
      <c r="O2981" s="990"/>
      <c r="P2981" s="990"/>
      <c r="Q2981" s="990"/>
      <c r="R2981" s="990"/>
      <c r="S2981" s="990"/>
      <c r="T2981" s="990"/>
      <c r="U2981" s="990"/>
      <c r="V2981" s="990"/>
      <c r="W2981" s="990"/>
      <c r="X2981" s="990"/>
    </row>
    <row r="2982" spans="1:24" s="896" customFormat="1">
      <c r="A2982" s="987">
        <f t="shared" si="47"/>
        <v>2908</v>
      </c>
      <c r="B2982" s="988">
        <v>39311</v>
      </c>
      <c r="C2982" s="899" t="s">
        <v>12308</v>
      </c>
      <c r="D2982" s="988" t="s">
        <v>2666</v>
      </c>
      <c r="E2982" s="989">
        <v>31.12</v>
      </c>
      <c r="F2982" s="990"/>
      <c r="G2982" s="990"/>
      <c r="H2982" s="990"/>
      <c r="I2982" s="990"/>
      <c r="J2982" s="990"/>
      <c r="K2982" s="990"/>
      <c r="L2982" s="990"/>
      <c r="M2982" s="990"/>
      <c r="N2982" s="990"/>
      <c r="O2982" s="990"/>
      <c r="P2982" s="990"/>
      <c r="Q2982" s="990"/>
      <c r="R2982" s="990"/>
      <c r="S2982" s="990"/>
      <c r="T2982" s="990"/>
      <c r="U2982" s="990"/>
      <c r="V2982" s="990"/>
      <c r="W2982" s="990"/>
      <c r="X2982" s="990"/>
    </row>
    <row r="2983" spans="1:24" s="896" customFormat="1">
      <c r="A2983" s="987">
        <f t="shared" si="47"/>
        <v>2909</v>
      </c>
      <c r="B2983" s="988">
        <v>39855</v>
      </c>
      <c r="C2983" s="899" t="s">
        <v>12309</v>
      </c>
      <c r="D2983" s="988" t="s">
        <v>2666</v>
      </c>
      <c r="E2983" s="989">
        <v>3.11</v>
      </c>
      <c r="F2983" s="990"/>
      <c r="G2983" s="990"/>
      <c r="H2983" s="990"/>
      <c r="I2983" s="990"/>
      <c r="J2983" s="990"/>
      <c r="K2983" s="990"/>
      <c r="L2983" s="990"/>
      <c r="M2983" s="990"/>
      <c r="N2983" s="990"/>
      <c r="O2983" s="990"/>
      <c r="P2983" s="990"/>
      <c r="Q2983" s="990"/>
      <c r="R2983" s="990"/>
      <c r="S2983" s="990"/>
      <c r="T2983" s="990"/>
      <c r="U2983" s="990"/>
      <c r="V2983" s="990"/>
      <c r="W2983" s="990"/>
      <c r="X2983" s="990"/>
    </row>
    <row r="2984" spans="1:24" s="896" customFormat="1">
      <c r="A2984" s="987">
        <f t="shared" si="47"/>
        <v>2910</v>
      </c>
      <c r="B2984" s="988">
        <v>39856</v>
      </c>
      <c r="C2984" s="899" t="s">
        <v>12310</v>
      </c>
      <c r="D2984" s="988" t="s">
        <v>2666</v>
      </c>
      <c r="E2984" s="989">
        <v>7.32</v>
      </c>
      <c r="F2984" s="990"/>
      <c r="G2984" s="990"/>
      <c r="H2984" s="990"/>
      <c r="I2984" s="990"/>
      <c r="J2984" s="990"/>
      <c r="K2984" s="990"/>
      <c r="L2984" s="990"/>
      <c r="M2984" s="990"/>
      <c r="N2984" s="990"/>
      <c r="O2984" s="990"/>
      <c r="P2984" s="990"/>
      <c r="Q2984" s="990"/>
      <c r="R2984" s="990"/>
      <c r="S2984" s="990"/>
      <c r="T2984" s="990"/>
      <c r="U2984" s="990"/>
      <c r="V2984" s="990"/>
      <c r="W2984" s="990"/>
      <c r="X2984" s="990"/>
    </row>
    <row r="2985" spans="1:24" s="896" customFormat="1">
      <c r="A2985" s="987">
        <f t="shared" si="47"/>
        <v>2911</v>
      </c>
      <c r="B2985" s="988">
        <v>39857</v>
      </c>
      <c r="C2985" s="899" t="s">
        <v>12311</v>
      </c>
      <c r="D2985" s="988" t="s">
        <v>2666</v>
      </c>
      <c r="E2985" s="989">
        <v>11.85</v>
      </c>
      <c r="F2985" s="990"/>
      <c r="G2985" s="990"/>
      <c r="H2985" s="990"/>
      <c r="I2985" s="990"/>
      <c r="J2985" s="990"/>
      <c r="K2985" s="990"/>
      <c r="L2985" s="990"/>
      <c r="M2985" s="990"/>
      <c r="N2985" s="990"/>
      <c r="O2985" s="990"/>
      <c r="P2985" s="990"/>
      <c r="Q2985" s="990"/>
      <c r="R2985" s="990"/>
      <c r="S2985" s="990"/>
      <c r="T2985" s="990"/>
      <c r="U2985" s="990"/>
      <c r="V2985" s="990"/>
      <c r="W2985" s="990"/>
      <c r="X2985" s="990"/>
    </row>
    <row r="2986" spans="1:24" s="896" customFormat="1">
      <c r="A2986" s="987">
        <f t="shared" si="47"/>
        <v>2912</v>
      </c>
      <c r="B2986" s="988">
        <v>39858</v>
      </c>
      <c r="C2986" s="899" t="s">
        <v>12312</v>
      </c>
      <c r="D2986" s="988" t="s">
        <v>2666</v>
      </c>
      <c r="E2986" s="989">
        <v>26.3</v>
      </c>
      <c r="F2986" s="990"/>
      <c r="G2986" s="990"/>
      <c r="H2986" s="990"/>
      <c r="I2986" s="990"/>
      <c r="J2986" s="990"/>
      <c r="K2986" s="990"/>
      <c r="L2986" s="990"/>
      <c r="M2986" s="990"/>
      <c r="N2986" s="990"/>
      <c r="O2986" s="990"/>
      <c r="P2986" s="990"/>
      <c r="Q2986" s="990"/>
      <c r="R2986" s="990"/>
      <c r="S2986" s="990"/>
      <c r="T2986" s="990"/>
      <c r="U2986" s="990"/>
      <c r="V2986" s="990"/>
      <c r="W2986" s="990"/>
      <c r="X2986" s="990"/>
    </row>
    <row r="2987" spans="1:24" s="896" customFormat="1">
      <c r="A2987" s="987">
        <f t="shared" si="47"/>
        <v>2913</v>
      </c>
      <c r="B2987" s="988">
        <v>39859</v>
      </c>
      <c r="C2987" s="899" t="s">
        <v>12313</v>
      </c>
      <c r="D2987" s="988" t="s">
        <v>2666</v>
      </c>
      <c r="E2987" s="989">
        <v>40.54</v>
      </c>
      <c r="F2987" s="990"/>
      <c r="G2987" s="990"/>
      <c r="H2987" s="990"/>
      <c r="I2987" s="990"/>
      <c r="J2987" s="990"/>
      <c r="K2987" s="990"/>
      <c r="L2987" s="990"/>
      <c r="M2987" s="990"/>
      <c r="N2987" s="990"/>
      <c r="O2987" s="990"/>
      <c r="P2987" s="990"/>
      <c r="Q2987" s="990"/>
      <c r="R2987" s="990"/>
      <c r="S2987" s="990"/>
      <c r="T2987" s="990"/>
      <c r="U2987" s="990"/>
      <c r="V2987" s="990"/>
      <c r="W2987" s="990"/>
      <c r="X2987" s="990"/>
    </row>
    <row r="2988" spans="1:24" s="896" customFormat="1">
      <c r="A2988" s="987">
        <f t="shared" si="47"/>
        <v>2914</v>
      </c>
      <c r="B2988" s="988">
        <v>39860</v>
      </c>
      <c r="C2988" s="899" t="s">
        <v>12314</v>
      </c>
      <c r="D2988" s="988" t="s">
        <v>2666</v>
      </c>
      <c r="E2988" s="989">
        <v>62.21</v>
      </c>
      <c r="F2988" s="990"/>
      <c r="G2988" s="990"/>
      <c r="H2988" s="990"/>
      <c r="I2988" s="990"/>
      <c r="J2988" s="990"/>
      <c r="K2988" s="990"/>
      <c r="L2988" s="990"/>
      <c r="M2988" s="990"/>
      <c r="N2988" s="990"/>
      <c r="O2988" s="990"/>
      <c r="P2988" s="990"/>
      <c r="Q2988" s="990"/>
      <c r="R2988" s="990"/>
      <c r="S2988" s="990"/>
      <c r="T2988" s="990"/>
      <c r="U2988" s="990"/>
      <c r="V2988" s="990"/>
      <c r="W2988" s="990"/>
      <c r="X2988" s="990"/>
    </row>
    <row r="2989" spans="1:24" s="896" customFormat="1">
      <c r="A2989" s="987">
        <f t="shared" si="47"/>
        <v>2915</v>
      </c>
      <c r="B2989" s="988">
        <v>39861</v>
      </c>
      <c r="C2989" s="899" t="s">
        <v>12315</v>
      </c>
      <c r="D2989" s="988" t="s">
        <v>2666</v>
      </c>
      <c r="E2989" s="989">
        <v>177.61</v>
      </c>
      <c r="F2989" s="990"/>
      <c r="G2989" s="990"/>
      <c r="H2989" s="990"/>
      <c r="I2989" s="990"/>
      <c r="J2989" s="990"/>
      <c r="K2989" s="990"/>
      <c r="L2989" s="990"/>
      <c r="M2989" s="990"/>
      <c r="N2989" s="990"/>
      <c r="O2989" s="990"/>
      <c r="P2989" s="990"/>
      <c r="Q2989" s="990"/>
      <c r="R2989" s="990"/>
      <c r="S2989" s="990"/>
      <c r="T2989" s="990"/>
      <c r="U2989" s="990"/>
      <c r="V2989" s="990"/>
      <c r="W2989" s="990"/>
      <c r="X2989" s="990"/>
    </row>
    <row r="2990" spans="1:24" s="896" customFormat="1">
      <c r="A2990" s="987">
        <f t="shared" si="47"/>
        <v>2916</v>
      </c>
      <c r="B2990" s="988">
        <v>38447</v>
      </c>
      <c r="C2990" s="899" t="s">
        <v>12316</v>
      </c>
      <c r="D2990" s="988" t="s">
        <v>2666</v>
      </c>
      <c r="E2990" s="989">
        <v>153.94</v>
      </c>
      <c r="F2990" s="990"/>
      <c r="G2990" s="990"/>
      <c r="H2990" s="990"/>
      <c r="I2990" s="990"/>
      <c r="J2990" s="990"/>
      <c r="K2990" s="990"/>
      <c r="L2990" s="990"/>
      <c r="M2990" s="990"/>
      <c r="N2990" s="990"/>
      <c r="O2990" s="990"/>
      <c r="P2990" s="990"/>
      <c r="Q2990" s="990"/>
      <c r="R2990" s="990"/>
      <c r="S2990" s="990"/>
      <c r="T2990" s="990"/>
      <c r="U2990" s="990"/>
      <c r="V2990" s="990"/>
      <c r="W2990" s="990"/>
      <c r="X2990" s="990"/>
    </row>
    <row r="2991" spans="1:24" s="896" customFormat="1">
      <c r="A2991" s="987">
        <f t="shared" si="47"/>
        <v>2917</v>
      </c>
      <c r="B2991" s="988">
        <v>36320</v>
      </c>
      <c r="C2991" s="899" t="s">
        <v>12317</v>
      </c>
      <c r="D2991" s="988" t="s">
        <v>2666</v>
      </c>
      <c r="E2991" s="989">
        <v>2.23</v>
      </c>
      <c r="F2991" s="990"/>
      <c r="G2991" s="990"/>
      <c r="H2991" s="990"/>
      <c r="I2991" s="990"/>
      <c r="J2991" s="990"/>
      <c r="K2991" s="990"/>
      <c r="L2991" s="990"/>
      <c r="M2991" s="990"/>
      <c r="N2991" s="990"/>
      <c r="O2991" s="990"/>
      <c r="P2991" s="990"/>
      <c r="Q2991" s="990"/>
      <c r="R2991" s="990"/>
      <c r="S2991" s="990"/>
      <c r="T2991" s="990"/>
      <c r="U2991" s="990"/>
      <c r="V2991" s="990"/>
      <c r="W2991" s="990"/>
      <c r="X2991" s="990"/>
    </row>
    <row r="2992" spans="1:24" s="896" customFormat="1">
      <c r="A2992" s="987">
        <f t="shared" si="47"/>
        <v>2918</v>
      </c>
      <c r="B2992" s="988">
        <v>36324</v>
      </c>
      <c r="C2992" s="899" t="s">
        <v>12318</v>
      </c>
      <c r="D2992" s="988" t="s">
        <v>2666</v>
      </c>
      <c r="E2992" s="989">
        <v>3.38</v>
      </c>
      <c r="F2992" s="990"/>
      <c r="G2992" s="990"/>
      <c r="H2992" s="990"/>
      <c r="I2992" s="990"/>
      <c r="J2992" s="990"/>
      <c r="K2992" s="990"/>
      <c r="L2992" s="990"/>
      <c r="M2992" s="990"/>
      <c r="N2992" s="990"/>
      <c r="O2992" s="990"/>
      <c r="P2992" s="990"/>
      <c r="Q2992" s="990"/>
      <c r="R2992" s="990"/>
      <c r="S2992" s="990"/>
      <c r="T2992" s="990"/>
      <c r="U2992" s="990"/>
      <c r="V2992" s="990"/>
      <c r="W2992" s="990"/>
      <c r="X2992" s="990"/>
    </row>
    <row r="2993" spans="1:24" s="896" customFormat="1">
      <c r="A2993" s="987">
        <f t="shared" si="47"/>
        <v>2919</v>
      </c>
      <c r="B2993" s="988">
        <v>38441</v>
      </c>
      <c r="C2993" s="899" t="s">
        <v>12319</v>
      </c>
      <c r="D2993" s="988" t="s">
        <v>2666</v>
      </c>
      <c r="E2993" s="989">
        <v>4.4400000000000004</v>
      </c>
      <c r="F2993" s="990"/>
      <c r="G2993" s="990"/>
      <c r="H2993" s="990"/>
      <c r="I2993" s="990"/>
      <c r="J2993" s="990"/>
      <c r="K2993" s="990"/>
      <c r="L2993" s="990"/>
      <c r="M2993" s="990"/>
      <c r="N2993" s="990"/>
      <c r="O2993" s="990"/>
      <c r="P2993" s="990"/>
      <c r="Q2993" s="990"/>
      <c r="R2993" s="990"/>
      <c r="S2993" s="990"/>
      <c r="T2993" s="990"/>
      <c r="U2993" s="990"/>
      <c r="V2993" s="990"/>
      <c r="W2993" s="990"/>
      <c r="X2993" s="990"/>
    </row>
    <row r="2994" spans="1:24" s="896" customFormat="1">
      <c r="A2994" s="987">
        <f t="shared" si="47"/>
        <v>2920</v>
      </c>
      <c r="B2994" s="988">
        <v>38442</v>
      </c>
      <c r="C2994" s="899" t="s">
        <v>12320</v>
      </c>
      <c r="D2994" s="988" t="s">
        <v>2666</v>
      </c>
      <c r="E2994" s="989">
        <v>11.29</v>
      </c>
      <c r="F2994" s="990"/>
      <c r="G2994" s="990"/>
      <c r="H2994" s="990"/>
      <c r="I2994" s="990"/>
      <c r="J2994" s="990"/>
      <c r="K2994" s="990"/>
      <c r="L2994" s="990"/>
      <c r="M2994" s="990"/>
      <c r="N2994" s="990"/>
      <c r="O2994" s="990"/>
      <c r="P2994" s="990"/>
      <c r="Q2994" s="990"/>
      <c r="R2994" s="990"/>
      <c r="S2994" s="990"/>
      <c r="T2994" s="990"/>
      <c r="U2994" s="990"/>
      <c r="V2994" s="990"/>
      <c r="W2994" s="990"/>
      <c r="X2994" s="990"/>
    </row>
    <row r="2995" spans="1:24" s="896" customFormat="1">
      <c r="A2995" s="987">
        <f t="shared" si="47"/>
        <v>2921</v>
      </c>
      <c r="B2995" s="988">
        <v>38443</v>
      </c>
      <c r="C2995" s="899" t="s">
        <v>12321</v>
      </c>
      <c r="D2995" s="988" t="s">
        <v>2666</v>
      </c>
      <c r="E2995" s="989">
        <v>17.05</v>
      </c>
      <c r="F2995" s="990"/>
      <c r="G2995" s="990"/>
      <c r="H2995" s="990"/>
      <c r="I2995" s="990"/>
      <c r="J2995" s="990"/>
      <c r="K2995" s="990"/>
      <c r="L2995" s="990"/>
      <c r="M2995" s="990"/>
      <c r="N2995" s="990"/>
      <c r="O2995" s="990"/>
      <c r="P2995" s="990"/>
      <c r="Q2995" s="990"/>
      <c r="R2995" s="990"/>
      <c r="S2995" s="990"/>
      <c r="T2995" s="990"/>
      <c r="U2995" s="990"/>
      <c r="V2995" s="990"/>
      <c r="W2995" s="990"/>
      <c r="X2995" s="990"/>
    </row>
    <row r="2996" spans="1:24" s="896" customFormat="1">
      <c r="A2996" s="987">
        <f t="shared" si="47"/>
        <v>2922</v>
      </c>
      <c r="B2996" s="988">
        <v>38444</v>
      </c>
      <c r="C2996" s="899" t="s">
        <v>12322</v>
      </c>
      <c r="D2996" s="988" t="s">
        <v>2666</v>
      </c>
      <c r="E2996" s="989">
        <v>25.38</v>
      </c>
      <c r="F2996" s="990"/>
      <c r="G2996" s="990"/>
      <c r="H2996" s="990"/>
      <c r="I2996" s="990"/>
      <c r="J2996" s="990"/>
      <c r="K2996" s="990"/>
      <c r="L2996" s="990"/>
      <c r="M2996" s="990"/>
      <c r="N2996" s="990"/>
      <c r="O2996" s="990"/>
      <c r="P2996" s="990"/>
      <c r="Q2996" s="990"/>
      <c r="R2996" s="990"/>
      <c r="S2996" s="990"/>
      <c r="T2996" s="990"/>
      <c r="U2996" s="990"/>
      <c r="V2996" s="990"/>
      <c r="W2996" s="990"/>
      <c r="X2996" s="990"/>
    </row>
    <row r="2997" spans="1:24" s="896" customFormat="1">
      <c r="A2997" s="987">
        <f t="shared" si="47"/>
        <v>2923</v>
      </c>
      <c r="B2997" s="988">
        <v>38445</v>
      </c>
      <c r="C2997" s="899" t="s">
        <v>12323</v>
      </c>
      <c r="D2997" s="988" t="s">
        <v>2666</v>
      </c>
      <c r="E2997" s="989">
        <v>59.61</v>
      </c>
      <c r="F2997" s="990"/>
      <c r="G2997" s="990"/>
      <c r="H2997" s="990"/>
      <c r="I2997" s="990"/>
      <c r="J2997" s="990"/>
      <c r="K2997" s="990"/>
      <c r="L2997" s="990"/>
      <c r="M2997" s="990"/>
      <c r="N2997" s="990"/>
      <c r="O2997" s="990"/>
      <c r="P2997" s="990"/>
      <c r="Q2997" s="990"/>
      <c r="R2997" s="990"/>
      <c r="S2997" s="990"/>
      <c r="T2997" s="990"/>
      <c r="U2997" s="990"/>
      <c r="V2997" s="990"/>
      <c r="W2997" s="990"/>
      <c r="X2997" s="990"/>
    </row>
    <row r="2998" spans="1:24" s="896" customFormat="1">
      <c r="A2998" s="987">
        <f t="shared" si="47"/>
        <v>2924</v>
      </c>
      <c r="B2998" s="988">
        <v>38446</v>
      </c>
      <c r="C2998" s="899" t="s">
        <v>12324</v>
      </c>
      <c r="D2998" s="988" t="s">
        <v>2666</v>
      </c>
      <c r="E2998" s="989">
        <v>96.2</v>
      </c>
      <c r="F2998" s="990"/>
      <c r="G2998" s="990"/>
      <c r="H2998" s="990"/>
      <c r="I2998" s="990"/>
      <c r="J2998" s="990"/>
      <c r="K2998" s="990"/>
      <c r="L2998" s="990"/>
      <c r="M2998" s="990"/>
      <c r="N2998" s="990"/>
      <c r="O2998" s="990"/>
      <c r="P2998" s="990"/>
      <c r="Q2998" s="990"/>
      <c r="R2998" s="990"/>
      <c r="S2998" s="990"/>
      <c r="T2998" s="990"/>
      <c r="U2998" s="990"/>
      <c r="V2998" s="990"/>
      <c r="W2998" s="990"/>
      <c r="X2998" s="990"/>
    </row>
    <row r="2999" spans="1:24" s="896" customFormat="1">
      <c r="A2999" s="987">
        <f t="shared" si="47"/>
        <v>2925</v>
      </c>
      <c r="B2999" s="988">
        <v>3867</v>
      </c>
      <c r="C2999" s="899" t="s">
        <v>12325</v>
      </c>
      <c r="D2999" s="988" t="s">
        <v>2666</v>
      </c>
      <c r="E2999" s="989">
        <v>99.57</v>
      </c>
      <c r="F2999" s="990"/>
      <c r="G2999" s="990"/>
      <c r="H2999" s="990"/>
      <c r="I2999" s="990"/>
      <c r="J2999" s="990"/>
      <c r="K2999" s="990"/>
      <c r="L2999" s="990"/>
      <c r="M2999" s="990"/>
      <c r="N2999" s="990"/>
      <c r="O2999" s="990"/>
      <c r="P2999" s="990"/>
      <c r="Q2999" s="990"/>
      <c r="R2999" s="990"/>
      <c r="S2999" s="990"/>
      <c r="T2999" s="990"/>
      <c r="U2999" s="990"/>
      <c r="V2999" s="990"/>
      <c r="W2999" s="990"/>
      <c r="X2999" s="990"/>
    </row>
    <row r="3000" spans="1:24" s="896" customFormat="1">
      <c r="A3000" s="987">
        <f t="shared" si="47"/>
        <v>2926</v>
      </c>
      <c r="B3000" s="988">
        <v>3861</v>
      </c>
      <c r="C3000" s="899" t="s">
        <v>12326</v>
      </c>
      <c r="D3000" s="988" t="s">
        <v>2666</v>
      </c>
      <c r="E3000" s="989">
        <v>0.83</v>
      </c>
      <c r="F3000" s="990"/>
      <c r="G3000" s="990"/>
      <c r="H3000" s="990"/>
      <c r="I3000" s="990"/>
      <c r="J3000" s="990"/>
      <c r="K3000" s="990"/>
      <c r="L3000" s="990"/>
      <c r="M3000" s="990"/>
      <c r="N3000" s="990"/>
      <c r="O3000" s="990"/>
      <c r="P3000" s="990"/>
      <c r="Q3000" s="990"/>
      <c r="R3000" s="990"/>
      <c r="S3000" s="990"/>
      <c r="T3000" s="990"/>
      <c r="U3000" s="990"/>
      <c r="V3000" s="990"/>
      <c r="W3000" s="990"/>
      <c r="X3000" s="990"/>
    </row>
    <row r="3001" spans="1:24" s="896" customFormat="1">
      <c r="A3001" s="987">
        <f t="shared" si="47"/>
        <v>2927</v>
      </c>
      <c r="B3001" s="988">
        <v>3904</v>
      </c>
      <c r="C3001" s="899" t="s">
        <v>12327</v>
      </c>
      <c r="D3001" s="988" t="s">
        <v>2666</v>
      </c>
      <c r="E3001" s="989">
        <v>1.01</v>
      </c>
      <c r="F3001" s="990"/>
      <c r="G3001" s="990"/>
      <c r="H3001" s="990"/>
      <c r="I3001" s="990"/>
      <c r="J3001" s="990"/>
      <c r="K3001" s="990"/>
      <c r="L3001" s="990"/>
      <c r="M3001" s="990"/>
      <c r="N3001" s="990"/>
      <c r="O3001" s="990"/>
      <c r="P3001" s="990"/>
      <c r="Q3001" s="990"/>
      <c r="R3001" s="990"/>
      <c r="S3001" s="990"/>
      <c r="T3001" s="990"/>
      <c r="U3001" s="990"/>
      <c r="V3001" s="990"/>
      <c r="W3001" s="990"/>
      <c r="X3001" s="990"/>
    </row>
    <row r="3002" spans="1:24" s="896" customFormat="1">
      <c r="A3002" s="987">
        <f t="shared" si="47"/>
        <v>2928</v>
      </c>
      <c r="B3002" s="988">
        <v>3903</v>
      </c>
      <c r="C3002" s="899" t="s">
        <v>12328</v>
      </c>
      <c r="D3002" s="988" t="s">
        <v>2666</v>
      </c>
      <c r="E3002" s="989">
        <v>2.48</v>
      </c>
      <c r="F3002" s="990"/>
      <c r="G3002" s="990"/>
      <c r="H3002" s="990"/>
      <c r="I3002" s="990"/>
      <c r="J3002" s="990"/>
      <c r="K3002" s="990"/>
      <c r="L3002" s="990"/>
      <c r="M3002" s="990"/>
      <c r="N3002" s="990"/>
      <c r="O3002" s="990"/>
      <c r="P3002" s="990"/>
      <c r="Q3002" s="990"/>
      <c r="R3002" s="990"/>
      <c r="S3002" s="990"/>
      <c r="T3002" s="990"/>
      <c r="U3002" s="990"/>
      <c r="V3002" s="990"/>
      <c r="W3002" s="990"/>
      <c r="X3002" s="990"/>
    </row>
    <row r="3003" spans="1:24" s="896" customFormat="1">
      <c r="A3003" s="987">
        <f t="shared" si="47"/>
        <v>2929</v>
      </c>
      <c r="B3003" s="988">
        <v>3862</v>
      </c>
      <c r="C3003" s="899" t="s">
        <v>12329</v>
      </c>
      <c r="D3003" s="988" t="s">
        <v>2666</v>
      </c>
      <c r="E3003" s="989">
        <v>5.04</v>
      </c>
      <c r="F3003" s="990"/>
      <c r="G3003" s="990"/>
      <c r="H3003" s="990"/>
      <c r="I3003" s="990"/>
      <c r="J3003" s="990"/>
      <c r="K3003" s="990"/>
      <c r="L3003" s="990"/>
      <c r="M3003" s="990"/>
      <c r="N3003" s="990"/>
      <c r="O3003" s="990"/>
      <c r="P3003" s="990"/>
      <c r="Q3003" s="990"/>
      <c r="R3003" s="990"/>
      <c r="S3003" s="990"/>
      <c r="T3003" s="990"/>
      <c r="U3003" s="990"/>
      <c r="V3003" s="990"/>
      <c r="W3003" s="990"/>
      <c r="X3003" s="990"/>
    </row>
    <row r="3004" spans="1:24" s="896" customFormat="1">
      <c r="A3004" s="987">
        <f t="shared" si="47"/>
        <v>2930</v>
      </c>
      <c r="B3004" s="988">
        <v>3863</v>
      </c>
      <c r="C3004" s="899" t="s">
        <v>12330</v>
      </c>
      <c r="D3004" s="988" t="s">
        <v>2666</v>
      </c>
      <c r="E3004" s="989">
        <v>5.92</v>
      </c>
      <c r="F3004" s="990"/>
      <c r="G3004" s="990"/>
      <c r="H3004" s="990"/>
      <c r="I3004" s="990"/>
      <c r="J3004" s="990"/>
      <c r="K3004" s="990"/>
      <c r="L3004" s="990"/>
      <c r="M3004" s="990"/>
      <c r="N3004" s="990"/>
      <c r="O3004" s="990"/>
      <c r="P3004" s="990"/>
      <c r="Q3004" s="990"/>
      <c r="R3004" s="990"/>
      <c r="S3004" s="990"/>
      <c r="T3004" s="990"/>
      <c r="U3004" s="990"/>
      <c r="V3004" s="990"/>
      <c r="W3004" s="990"/>
      <c r="X3004" s="990"/>
    </row>
    <row r="3005" spans="1:24" s="896" customFormat="1">
      <c r="A3005" s="987">
        <f t="shared" si="47"/>
        <v>2931</v>
      </c>
      <c r="B3005" s="988">
        <v>3864</v>
      </c>
      <c r="C3005" s="899" t="s">
        <v>12331</v>
      </c>
      <c r="D3005" s="988" t="s">
        <v>2666</v>
      </c>
      <c r="E3005" s="989">
        <v>15.42</v>
      </c>
      <c r="F3005" s="990"/>
      <c r="G3005" s="990"/>
      <c r="H3005" s="990"/>
      <c r="I3005" s="990"/>
      <c r="J3005" s="990"/>
      <c r="K3005" s="990"/>
      <c r="L3005" s="990"/>
      <c r="M3005" s="990"/>
      <c r="N3005" s="990"/>
      <c r="O3005" s="990"/>
      <c r="P3005" s="990"/>
      <c r="Q3005" s="990"/>
      <c r="R3005" s="990"/>
      <c r="S3005" s="990"/>
      <c r="T3005" s="990"/>
      <c r="U3005" s="990"/>
      <c r="V3005" s="990"/>
      <c r="W3005" s="990"/>
      <c r="X3005" s="990"/>
    </row>
    <row r="3006" spans="1:24" s="896" customFormat="1">
      <c r="A3006" s="987">
        <f t="shared" si="47"/>
        <v>2932</v>
      </c>
      <c r="B3006" s="988">
        <v>3865</v>
      </c>
      <c r="C3006" s="899" t="s">
        <v>12332</v>
      </c>
      <c r="D3006" s="988" t="s">
        <v>2666</v>
      </c>
      <c r="E3006" s="989">
        <v>26.82</v>
      </c>
      <c r="F3006" s="990"/>
      <c r="G3006" s="990"/>
      <c r="H3006" s="990"/>
      <c r="I3006" s="990"/>
      <c r="J3006" s="990"/>
      <c r="K3006" s="990"/>
      <c r="L3006" s="990"/>
      <c r="M3006" s="990"/>
      <c r="N3006" s="990"/>
      <c r="O3006" s="990"/>
      <c r="P3006" s="990"/>
      <c r="Q3006" s="990"/>
      <c r="R3006" s="990"/>
      <c r="S3006" s="990"/>
      <c r="T3006" s="990"/>
      <c r="U3006" s="990"/>
      <c r="V3006" s="990"/>
      <c r="W3006" s="990"/>
      <c r="X3006" s="990"/>
    </row>
    <row r="3007" spans="1:24" s="896" customFormat="1">
      <c r="A3007" s="987">
        <f t="shared" si="47"/>
        <v>2933</v>
      </c>
      <c r="B3007" s="988">
        <v>3866</v>
      </c>
      <c r="C3007" s="899" t="s">
        <v>12333</v>
      </c>
      <c r="D3007" s="988" t="s">
        <v>2666</v>
      </c>
      <c r="E3007" s="989">
        <v>61.38</v>
      </c>
      <c r="F3007" s="990"/>
      <c r="G3007" s="990"/>
      <c r="H3007" s="990"/>
      <c r="I3007" s="990"/>
      <c r="J3007" s="990"/>
      <c r="K3007" s="990"/>
      <c r="L3007" s="990"/>
      <c r="M3007" s="990"/>
      <c r="N3007" s="990"/>
      <c r="O3007" s="990"/>
      <c r="P3007" s="990"/>
      <c r="Q3007" s="990"/>
      <c r="R3007" s="990"/>
      <c r="S3007" s="990"/>
      <c r="T3007" s="990"/>
      <c r="U3007" s="990"/>
      <c r="V3007" s="990"/>
      <c r="W3007" s="990"/>
      <c r="X3007" s="990"/>
    </row>
    <row r="3008" spans="1:24" s="896" customFormat="1">
      <c r="A3008" s="987">
        <f t="shared" si="47"/>
        <v>2934</v>
      </c>
      <c r="B3008" s="988">
        <v>3902</v>
      </c>
      <c r="C3008" s="899" t="s">
        <v>12334</v>
      </c>
      <c r="D3008" s="988" t="s">
        <v>2666</v>
      </c>
      <c r="E3008" s="989">
        <v>29.85</v>
      </c>
      <c r="F3008" s="990"/>
      <c r="G3008" s="990"/>
      <c r="H3008" s="990"/>
      <c r="I3008" s="990"/>
      <c r="J3008" s="990"/>
      <c r="K3008" s="990"/>
      <c r="L3008" s="990"/>
      <c r="M3008" s="990"/>
      <c r="N3008" s="990"/>
      <c r="O3008" s="990"/>
      <c r="P3008" s="990"/>
      <c r="Q3008" s="990"/>
      <c r="R3008" s="990"/>
      <c r="S3008" s="990"/>
      <c r="T3008" s="990"/>
      <c r="U3008" s="990"/>
      <c r="V3008" s="990"/>
      <c r="W3008" s="990"/>
      <c r="X3008" s="990"/>
    </row>
    <row r="3009" spans="1:24" s="896" customFormat="1">
      <c r="A3009" s="987">
        <f t="shared" si="47"/>
        <v>2935</v>
      </c>
      <c r="B3009" s="988">
        <v>3878</v>
      </c>
      <c r="C3009" s="899" t="s">
        <v>12335</v>
      </c>
      <c r="D3009" s="988" t="s">
        <v>2666</v>
      </c>
      <c r="E3009" s="989">
        <v>9.43</v>
      </c>
      <c r="F3009" s="990"/>
      <c r="G3009" s="990"/>
      <c r="H3009" s="990"/>
      <c r="I3009" s="990"/>
      <c r="J3009" s="990"/>
      <c r="K3009" s="990"/>
      <c r="L3009" s="990"/>
      <c r="M3009" s="990"/>
      <c r="N3009" s="990"/>
      <c r="O3009" s="990"/>
      <c r="P3009" s="990"/>
      <c r="Q3009" s="990"/>
      <c r="R3009" s="990"/>
      <c r="S3009" s="990"/>
      <c r="T3009" s="990"/>
      <c r="U3009" s="990"/>
      <c r="V3009" s="990"/>
      <c r="W3009" s="990"/>
      <c r="X3009" s="990"/>
    </row>
    <row r="3010" spans="1:24" s="896" customFormat="1">
      <c r="A3010" s="987">
        <f t="shared" si="47"/>
        <v>2936</v>
      </c>
      <c r="B3010" s="988">
        <v>3877</v>
      </c>
      <c r="C3010" s="899" t="s">
        <v>12336</v>
      </c>
      <c r="D3010" s="988" t="s">
        <v>2666</v>
      </c>
      <c r="E3010" s="989">
        <v>8.6199999999999992</v>
      </c>
      <c r="F3010" s="990"/>
      <c r="G3010" s="990"/>
      <c r="H3010" s="990"/>
      <c r="I3010" s="990"/>
      <c r="J3010" s="990"/>
      <c r="K3010" s="990"/>
      <c r="L3010" s="990"/>
      <c r="M3010" s="990"/>
      <c r="N3010" s="990"/>
      <c r="O3010" s="990"/>
      <c r="P3010" s="990"/>
      <c r="Q3010" s="990"/>
      <c r="R3010" s="990"/>
      <c r="S3010" s="990"/>
      <c r="T3010" s="990"/>
      <c r="U3010" s="990"/>
      <c r="V3010" s="990"/>
      <c r="W3010" s="990"/>
      <c r="X3010" s="990"/>
    </row>
    <row r="3011" spans="1:24" s="896" customFormat="1">
      <c r="A3011" s="987">
        <f t="shared" si="47"/>
        <v>2937</v>
      </c>
      <c r="B3011" s="988">
        <v>3879</v>
      </c>
      <c r="C3011" s="899" t="s">
        <v>12337</v>
      </c>
      <c r="D3011" s="988" t="s">
        <v>2666</v>
      </c>
      <c r="E3011" s="989">
        <v>19.02</v>
      </c>
      <c r="F3011" s="990"/>
      <c r="G3011" s="990"/>
      <c r="H3011" s="990"/>
      <c r="I3011" s="990"/>
      <c r="J3011" s="990"/>
      <c r="K3011" s="990"/>
      <c r="L3011" s="990"/>
      <c r="M3011" s="990"/>
      <c r="N3011" s="990"/>
      <c r="O3011" s="990"/>
      <c r="P3011" s="990"/>
      <c r="Q3011" s="990"/>
      <c r="R3011" s="990"/>
      <c r="S3011" s="990"/>
      <c r="T3011" s="990"/>
      <c r="U3011" s="990"/>
      <c r="V3011" s="990"/>
      <c r="W3011" s="990"/>
      <c r="X3011" s="990"/>
    </row>
    <row r="3012" spans="1:24" s="896" customFormat="1">
      <c r="A3012" s="987">
        <f t="shared" si="47"/>
        <v>2938</v>
      </c>
      <c r="B3012" s="988">
        <v>3880</v>
      </c>
      <c r="C3012" s="899" t="s">
        <v>12338</v>
      </c>
      <c r="D3012" s="988" t="s">
        <v>2666</v>
      </c>
      <c r="E3012" s="989">
        <v>42.92</v>
      </c>
      <c r="F3012" s="990"/>
      <c r="G3012" s="990"/>
      <c r="H3012" s="990"/>
      <c r="I3012" s="990"/>
      <c r="J3012" s="990"/>
      <c r="K3012" s="990"/>
      <c r="L3012" s="990"/>
      <c r="M3012" s="990"/>
      <c r="N3012" s="990"/>
      <c r="O3012" s="990"/>
      <c r="P3012" s="990"/>
      <c r="Q3012" s="990"/>
      <c r="R3012" s="990"/>
      <c r="S3012" s="990"/>
      <c r="T3012" s="990"/>
      <c r="U3012" s="990"/>
      <c r="V3012" s="990"/>
      <c r="W3012" s="990"/>
      <c r="X3012" s="990"/>
    </row>
    <row r="3013" spans="1:24" s="896" customFormat="1">
      <c r="A3013" s="987">
        <f t="shared" si="47"/>
        <v>2939</v>
      </c>
      <c r="B3013" s="988">
        <v>12892</v>
      </c>
      <c r="C3013" s="899" t="s">
        <v>12339</v>
      </c>
      <c r="D3013" s="988" t="s">
        <v>2673</v>
      </c>
      <c r="E3013" s="989">
        <v>18</v>
      </c>
      <c r="F3013" s="990"/>
      <c r="G3013" s="990"/>
      <c r="H3013" s="990"/>
      <c r="I3013" s="990"/>
      <c r="J3013" s="990"/>
      <c r="K3013" s="990"/>
      <c r="L3013" s="990"/>
      <c r="M3013" s="990"/>
      <c r="N3013" s="990"/>
      <c r="O3013" s="990"/>
      <c r="P3013" s="990"/>
      <c r="Q3013" s="990"/>
      <c r="R3013" s="990"/>
      <c r="S3013" s="990"/>
      <c r="T3013" s="990"/>
      <c r="U3013" s="990"/>
      <c r="V3013" s="990"/>
      <c r="W3013" s="990"/>
      <c r="X3013" s="990"/>
    </row>
    <row r="3014" spans="1:24" s="896" customFormat="1">
      <c r="A3014" s="987">
        <f t="shared" si="47"/>
        <v>2940</v>
      </c>
      <c r="B3014" s="988">
        <v>3883</v>
      </c>
      <c r="C3014" s="899" t="s">
        <v>12340</v>
      </c>
      <c r="D3014" s="988" t="s">
        <v>2666</v>
      </c>
      <c r="E3014" s="989">
        <v>1.98</v>
      </c>
      <c r="F3014" s="990"/>
      <c r="G3014" s="990"/>
      <c r="H3014" s="990"/>
      <c r="I3014" s="990"/>
      <c r="J3014" s="990"/>
      <c r="K3014" s="990"/>
      <c r="L3014" s="990"/>
      <c r="M3014" s="990"/>
      <c r="N3014" s="990"/>
      <c r="O3014" s="990"/>
      <c r="P3014" s="990"/>
      <c r="Q3014" s="990"/>
      <c r="R3014" s="990"/>
      <c r="S3014" s="990"/>
      <c r="T3014" s="990"/>
      <c r="U3014" s="990"/>
      <c r="V3014" s="990"/>
      <c r="W3014" s="990"/>
      <c r="X3014" s="990"/>
    </row>
    <row r="3015" spans="1:24" s="896" customFormat="1">
      <c r="A3015" s="987">
        <f t="shared" si="47"/>
        <v>2941</v>
      </c>
      <c r="B3015" s="988">
        <v>3876</v>
      </c>
      <c r="C3015" s="899" t="s">
        <v>12341</v>
      </c>
      <c r="D3015" s="988" t="s">
        <v>2666</v>
      </c>
      <c r="E3015" s="989">
        <v>4.97</v>
      </c>
      <c r="F3015" s="990"/>
      <c r="G3015" s="990"/>
      <c r="H3015" s="990"/>
      <c r="I3015" s="990"/>
      <c r="J3015" s="990"/>
      <c r="K3015" s="990"/>
      <c r="L3015" s="990"/>
      <c r="M3015" s="990"/>
      <c r="N3015" s="990"/>
      <c r="O3015" s="990"/>
      <c r="P3015" s="990"/>
      <c r="Q3015" s="990"/>
      <c r="R3015" s="990"/>
      <c r="S3015" s="990"/>
      <c r="T3015" s="990"/>
      <c r="U3015" s="990"/>
      <c r="V3015" s="990"/>
      <c r="W3015" s="990"/>
      <c r="X3015" s="990"/>
    </row>
    <row r="3016" spans="1:24" s="896" customFormat="1">
      <c r="A3016" s="987">
        <f t="shared" si="47"/>
        <v>2942</v>
      </c>
      <c r="B3016" s="988">
        <v>3884</v>
      </c>
      <c r="C3016" s="899" t="s">
        <v>12342</v>
      </c>
      <c r="D3016" s="988" t="s">
        <v>2666</v>
      </c>
      <c r="E3016" s="989">
        <v>2.97</v>
      </c>
      <c r="F3016" s="990"/>
      <c r="G3016" s="990"/>
      <c r="H3016" s="990"/>
      <c r="I3016" s="990"/>
      <c r="J3016" s="990"/>
      <c r="K3016" s="990"/>
      <c r="L3016" s="990"/>
      <c r="M3016" s="990"/>
      <c r="N3016" s="990"/>
      <c r="O3016" s="990"/>
      <c r="P3016" s="990"/>
      <c r="Q3016" s="990"/>
      <c r="R3016" s="990"/>
      <c r="S3016" s="990"/>
      <c r="T3016" s="990"/>
      <c r="U3016" s="990"/>
      <c r="V3016" s="990"/>
      <c r="W3016" s="990"/>
      <c r="X3016" s="990"/>
    </row>
    <row r="3017" spans="1:24" s="896" customFormat="1">
      <c r="A3017" s="987">
        <f t="shared" si="47"/>
        <v>2943</v>
      </c>
      <c r="B3017" s="988">
        <v>3837</v>
      </c>
      <c r="C3017" s="899" t="s">
        <v>12343</v>
      </c>
      <c r="D3017" s="988" t="s">
        <v>2666</v>
      </c>
      <c r="E3017" s="989">
        <v>55.25</v>
      </c>
      <c r="F3017" s="990"/>
      <c r="G3017" s="990"/>
      <c r="H3017" s="990"/>
      <c r="I3017" s="990"/>
      <c r="J3017" s="990"/>
      <c r="K3017" s="990"/>
      <c r="L3017" s="990"/>
      <c r="M3017" s="990"/>
      <c r="N3017" s="990"/>
      <c r="O3017" s="990"/>
      <c r="P3017" s="990"/>
      <c r="Q3017" s="990"/>
      <c r="R3017" s="990"/>
      <c r="S3017" s="990"/>
      <c r="T3017" s="990"/>
      <c r="U3017" s="990"/>
      <c r="V3017" s="990"/>
      <c r="W3017" s="990"/>
      <c r="X3017" s="990"/>
    </row>
    <row r="3018" spans="1:24" s="896" customFormat="1">
      <c r="A3018" s="987">
        <f t="shared" si="47"/>
        <v>2944</v>
      </c>
      <c r="B3018" s="988">
        <v>3845</v>
      </c>
      <c r="C3018" s="899" t="s">
        <v>12344</v>
      </c>
      <c r="D3018" s="988" t="s">
        <v>2666</v>
      </c>
      <c r="E3018" s="989">
        <v>20.18</v>
      </c>
      <c r="F3018" s="990"/>
      <c r="G3018" s="990"/>
      <c r="H3018" s="990"/>
      <c r="I3018" s="990"/>
      <c r="J3018" s="990"/>
      <c r="K3018" s="990"/>
      <c r="L3018" s="990"/>
      <c r="M3018" s="990"/>
      <c r="N3018" s="990"/>
      <c r="O3018" s="990"/>
      <c r="P3018" s="990"/>
      <c r="Q3018" s="990"/>
      <c r="R3018" s="990"/>
      <c r="S3018" s="990"/>
      <c r="T3018" s="990"/>
      <c r="U3018" s="990"/>
      <c r="V3018" s="990"/>
      <c r="W3018" s="990"/>
      <c r="X3018" s="990"/>
    </row>
    <row r="3019" spans="1:24" s="896" customFormat="1">
      <c r="A3019" s="987">
        <f t="shared" si="47"/>
        <v>2945</v>
      </c>
      <c r="B3019" s="988">
        <v>11045</v>
      </c>
      <c r="C3019" s="899" t="s">
        <v>12345</v>
      </c>
      <c r="D3019" s="988" t="s">
        <v>2666</v>
      </c>
      <c r="E3019" s="989">
        <v>38.93</v>
      </c>
      <c r="F3019" s="990"/>
      <c r="G3019" s="990"/>
      <c r="H3019" s="990"/>
      <c r="I3019" s="990"/>
      <c r="J3019" s="990"/>
      <c r="K3019" s="990"/>
      <c r="L3019" s="990"/>
      <c r="M3019" s="990"/>
      <c r="N3019" s="990"/>
      <c r="O3019" s="990"/>
      <c r="P3019" s="990"/>
      <c r="Q3019" s="990"/>
      <c r="R3019" s="990"/>
      <c r="S3019" s="990"/>
      <c r="T3019" s="990"/>
      <c r="U3019" s="990"/>
      <c r="V3019" s="990"/>
      <c r="W3019" s="990"/>
      <c r="X3019" s="990"/>
    </row>
    <row r="3020" spans="1:24" s="896" customFormat="1">
      <c r="A3020" s="987">
        <f t="shared" ref="A3020:A3083" si="48">A3019+1</f>
        <v>2946</v>
      </c>
      <c r="B3020" s="988">
        <v>20170</v>
      </c>
      <c r="C3020" s="899" t="s">
        <v>12346</v>
      </c>
      <c r="D3020" s="988" t="s">
        <v>2666</v>
      </c>
      <c r="E3020" s="989">
        <v>19.66</v>
      </c>
      <c r="F3020" s="990"/>
      <c r="G3020" s="990"/>
      <c r="H3020" s="990"/>
      <c r="I3020" s="990"/>
      <c r="J3020" s="990"/>
      <c r="K3020" s="990"/>
      <c r="L3020" s="990"/>
      <c r="M3020" s="990"/>
      <c r="N3020" s="990"/>
      <c r="O3020" s="990"/>
      <c r="P3020" s="990"/>
      <c r="Q3020" s="990"/>
      <c r="R3020" s="990"/>
      <c r="S3020" s="990"/>
      <c r="T3020" s="990"/>
      <c r="U3020" s="990"/>
      <c r="V3020" s="990"/>
      <c r="W3020" s="990"/>
      <c r="X3020" s="990"/>
    </row>
    <row r="3021" spans="1:24" s="896" customFormat="1">
      <c r="A3021" s="987">
        <f t="shared" si="48"/>
        <v>2947</v>
      </c>
      <c r="B3021" s="988">
        <v>20171</v>
      </c>
      <c r="C3021" s="899" t="s">
        <v>12347</v>
      </c>
      <c r="D3021" s="988" t="s">
        <v>2666</v>
      </c>
      <c r="E3021" s="989">
        <v>58.41</v>
      </c>
      <c r="F3021" s="990"/>
      <c r="G3021" s="990"/>
      <c r="H3021" s="990"/>
      <c r="I3021" s="990"/>
      <c r="J3021" s="990"/>
      <c r="K3021" s="990"/>
      <c r="L3021" s="990"/>
      <c r="M3021" s="990"/>
      <c r="N3021" s="990"/>
      <c r="O3021" s="990"/>
      <c r="P3021" s="990"/>
      <c r="Q3021" s="990"/>
      <c r="R3021" s="990"/>
      <c r="S3021" s="990"/>
      <c r="T3021" s="990"/>
      <c r="U3021" s="990"/>
      <c r="V3021" s="990"/>
      <c r="W3021" s="990"/>
      <c r="X3021" s="990"/>
    </row>
    <row r="3022" spans="1:24" s="896" customFormat="1">
      <c r="A3022" s="987">
        <f t="shared" si="48"/>
        <v>2948</v>
      </c>
      <c r="B3022" s="988">
        <v>20167</v>
      </c>
      <c r="C3022" s="899" t="s">
        <v>12348</v>
      </c>
      <c r="D3022" s="988" t="s">
        <v>2666</v>
      </c>
      <c r="E3022" s="989">
        <v>7.3</v>
      </c>
      <c r="F3022" s="990"/>
      <c r="G3022" s="990"/>
      <c r="H3022" s="990"/>
      <c r="I3022" s="990"/>
      <c r="J3022" s="990"/>
      <c r="K3022" s="990"/>
      <c r="L3022" s="990"/>
      <c r="M3022" s="990"/>
      <c r="N3022" s="990"/>
      <c r="O3022" s="990"/>
      <c r="P3022" s="990"/>
      <c r="Q3022" s="990"/>
      <c r="R3022" s="990"/>
      <c r="S3022" s="990"/>
      <c r="T3022" s="990"/>
      <c r="U3022" s="990"/>
      <c r="V3022" s="990"/>
      <c r="W3022" s="990"/>
      <c r="X3022" s="990"/>
    </row>
    <row r="3023" spans="1:24" s="896" customFormat="1">
      <c r="A3023" s="987">
        <f t="shared" si="48"/>
        <v>2949</v>
      </c>
      <c r="B3023" s="988">
        <v>20168</v>
      </c>
      <c r="C3023" s="899" t="s">
        <v>12349</v>
      </c>
      <c r="D3023" s="988" t="s">
        <v>2666</v>
      </c>
      <c r="E3023" s="989">
        <v>11.45</v>
      </c>
      <c r="F3023" s="990"/>
      <c r="G3023" s="990"/>
      <c r="H3023" s="990"/>
      <c r="I3023" s="990"/>
      <c r="J3023" s="990"/>
      <c r="K3023" s="990"/>
      <c r="L3023" s="990"/>
      <c r="M3023" s="990"/>
      <c r="N3023" s="990"/>
      <c r="O3023" s="990"/>
      <c r="P3023" s="990"/>
      <c r="Q3023" s="990"/>
      <c r="R3023" s="990"/>
      <c r="S3023" s="990"/>
      <c r="T3023" s="990"/>
      <c r="U3023" s="990"/>
      <c r="V3023" s="990"/>
      <c r="W3023" s="990"/>
      <c r="X3023" s="990"/>
    </row>
    <row r="3024" spans="1:24" s="896" customFormat="1">
      <c r="A3024" s="987">
        <f t="shared" si="48"/>
        <v>2950</v>
      </c>
      <c r="B3024" s="988">
        <v>20169</v>
      </c>
      <c r="C3024" s="899" t="s">
        <v>12350</v>
      </c>
      <c r="D3024" s="988" t="s">
        <v>2666</v>
      </c>
      <c r="E3024" s="989">
        <v>16.22</v>
      </c>
      <c r="F3024" s="990"/>
      <c r="G3024" s="990"/>
      <c r="H3024" s="990"/>
      <c r="I3024" s="990"/>
      <c r="J3024" s="990"/>
      <c r="K3024" s="990"/>
      <c r="L3024" s="990"/>
      <c r="M3024" s="990"/>
      <c r="N3024" s="990"/>
      <c r="O3024" s="990"/>
      <c r="P3024" s="990"/>
      <c r="Q3024" s="990"/>
      <c r="R3024" s="990"/>
      <c r="S3024" s="990"/>
      <c r="T3024" s="990"/>
      <c r="U3024" s="990"/>
      <c r="V3024" s="990"/>
      <c r="W3024" s="990"/>
      <c r="X3024" s="990"/>
    </row>
    <row r="3025" spans="1:24" s="896" customFormat="1">
      <c r="A3025" s="987">
        <f t="shared" si="48"/>
        <v>2951</v>
      </c>
      <c r="B3025" s="988">
        <v>3899</v>
      </c>
      <c r="C3025" s="899" t="s">
        <v>12351</v>
      </c>
      <c r="D3025" s="988" t="s">
        <v>2666</v>
      </c>
      <c r="E3025" s="989">
        <v>8.58</v>
      </c>
      <c r="F3025" s="990"/>
      <c r="G3025" s="990"/>
      <c r="H3025" s="990"/>
      <c r="I3025" s="990"/>
      <c r="J3025" s="990"/>
      <c r="K3025" s="990"/>
      <c r="L3025" s="990"/>
      <c r="M3025" s="990"/>
      <c r="N3025" s="990"/>
      <c r="O3025" s="990"/>
      <c r="P3025" s="990"/>
      <c r="Q3025" s="990"/>
      <c r="R3025" s="990"/>
      <c r="S3025" s="990"/>
      <c r="T3025" s="990"/>
      <c r="U3025" s="990"/>
      <c r="V3025" s="990"/>
      <c r="W3025" s="990"/>
      <c r="X3025" s="990"/>
    </row>
    <row r="3026" spans="1:24" s="896" customFormat="1">
      <c r="A3026" s="987">
        <f t="shared" si="48"/>
        <v>2952</v>
      </c>
      <c r="B3026" s="988">
        <v>38676</v>
      </c>
      <c r="C3026" s="899" t="s">
        <v>12352</v>
      </c>
      <c r="D3026" s="988" t="s">
        <v>2666</v>
      </c>
      <c r="E3026" s="989">
        <v>41.56</v>
      </c>
      <c r="F3026" s="990"/>
      <c r="G3026" s="990"/>
      <c r="H3026" s="990"/>
      <c r="I3026" s="990"/>
      <c r="J3026" s="990"/>
      <c r="K3026" s="990"/>
      <c r="L3026" s="990"/>
      <c r="M3026" s="990"/>
      <c r="N3026" s="990"/>
      <c r="O3026" s="990"/>
      <c r="P3026" s="990"/>
      <c r="Q3026" s="990"/>
      <c r="R3026" s="990"/>
      <c r="S3026" s="990"/>
      <c r="T3026" s="990"/>
      <c r="U3026" s="990"/>
      <c r="V3026" s="990"/>
      <c r="W3026" s="990"/>
      <c r="X3026" s="990"/>
    </row>
    <row r="3027" spans="1:24" s="896" customFormat="1">
      <c r="A3027" s="987">
        <f t="shared" si="48"/>
        <v>2953</v>
      </c>
      <c r="B3027" s="988">
        <v>3897</v>
      </c>
      <c r="C3027" s="899" t="s">
        <v>12353</v>
      </c>
      <c r="D3027" s="988" t="s">
        <v>2666</v>
      </c>
      <c r="E3027" s="989">
        <v>1.81</v>
      </c>
      <c r="F3027" s="990"/>
      <c r="G3027" s="990"/>
      <c r="H3027" s="990"/>
      <c r="I3027" s="990"/>
      <c r="J3027" s="990"/>
      <c r="K3027" s="990"/>
      <c r="L3027" s="990"/>
      <c r="M3027" s="990"/>
      <c r="N3027" s="990"/>
      <c r="O3027" s="990"/>
      <c r="P3027" s="990"/>
      <c r="Q3027" s="990"/>
      <c r="R3027" s="990"/>
      <c r="S3027" s="990"/>
      <c r="T3027" s="990"/>
      <c r="U3027" s="990"/>
      <c r="V3027" s="990"/>
      <c r="W3027" s="990"/>
      <c r="X3027" s="990"/>
    </row>
    <row r="3028" spans="1:24" s="896" customFormat="1">
      <c r="A3028" s="987">
        <f t="shared" si="48"/>
        <v>2954</v>
      </c>
      <c r="B3028" s="988">
        <v>3875</v>
      </c>
      <c r="C3028" s="899" t="s">
        <v>12354</v>
      </c>
      <c r="D3028" s="988" t="s">
        <v>2666</v>
      </c>
      <c r="E3028" s="989">
        <v>3.91</v>
      </c>
      <c r="F3028" s="990"/>
      <c r="G3028" s="990"/>
      <c r="H3028" s="990"/>
      <c r="I3028" s="990"/>
      <c r="J3028" s="990"/>
      <c r="K3028" s="990"/>
      <c r="L3028" s="990"/>
      <c r="M3028" s="990"/>
      <c r="N3028" s="990"/>
      <c r="O3028" s="990"/>
      <c r="P3028" s="990"/>
      <c r="Q3028" s="990"/>
      <c r="R3028" s="990"/>
      <c r="S3028" s="990"/>
      <c r="T3028" s="990"/>
      <c r="U3028" s="990"/>
      <c r="V3028" s="990"/>
      <c r="W3028" s="990"/>
      <c r="X3028" s="990"/>
    </row>
    <row r="3029" spans="1:24" s="896" customFormat="1">
      <c r="A3029" s="987">
        <f t="shared" si="48"/>
        <v>2955</v>
      </c>
      <c r="B3029" s="988">
        <v>3898</v>
      </c>
      <c r="C3029" s="899" t="s">
        <v>12355</v>
      </c>
      <c r="D3029" s="988" t="s">
        <v>2666</v>
      </c>
      <c r="E3029" s="989">
        <v>7.4</v>
      </c>
      <c r="F3029" s="990"/>
      <c r="G3029" s="990"/>
      <c r="H3029" s="990"/>
      <c r="I3029" s="990"/>
      <c r="J3029" s="990"/>
      <c r="K3029" s="990"/>
      <c r="L3029" s="990"/>
      <c r="M3029" s="990"/>
      <c r="N3029" s="990"/>
      <c r="O3029" s="990"/>
      <c r="P3029" s="990"/>
      <c r="Q3029" s="990"/>
      <c r="R3029" s="990"/>
      <c r="S3029" s="990"/>
      <c r="T3029" s="990"/>
      <c r="U3029" s="990"/>
      <c r="V3029" s="990"/>
      <c r="W3029" s="990"/>
      <c r="X3029" s="990"/>
    </row>
    <row r="3030" spans="1:24" s="896" customFormat="1">
      <c r="A3030" s="987">
        <f t="shared" si="48"/>
        <v>2956</v>
      </c>
      <c r="B3030" s="988">
        <v>3855</v>
      </c>
      <c r="C3030" s="899" t="s">
        <v>12356</v>
      </c>
      <c r="D3030" s="988" t="s">
        <v>2666</v>
      </c>
      <c r="E3030" s="989">
        <v>6.59</v>
      </c>
      <c r="F3030" s="990"/>
      <c r="G3030" s="990"/>
      <c r="H3030" s="990"/>
      <c r="I3030" s="990"/>
      <c r="J3030" s="990"/>
      <c r="K3030" s="990"/>
      <c r="L3030" s="990"/>
      <c r="M3030" s="990"/>
      <c r="N3030" s="990"/>
      <c r="O3030" s="990"/>
      <c r="P3030" s="990"/>
      <c r="Q3030" s="990"/>
      <c r="R3030" s="990"/>
      <c r="S3030" s="990"/>
      <c r="T3030" s="990"/>
      <c r="U3030" s="990"/>
      <c r="V3030" s="990"/>
      <c r="W3030" s="990"/>
      <c r="X3030" s="990"/>
    </row>
    <row r="3031" spans="1:24" s="896" customFormat="1">
      <c r="A3031" s="987">
        <f t="shared" si="48"/>
        <v>2957</v>
      </c>
      <c r="B3031" s="988">
        <v>3874</v>
      </c>
      <c r="C3031" s="899" t="s">
        <v>12357</v>
      </c>
      <c r="D3031" s="988" t="s">
        <v>2666</v>
      </c>
      <c r="E3031" s="989">
        <v>6.99</v>
      </c>
      <c r="F3031" s="990"/>
      <c r="G3031" s="990"/>
      <c r="H3031" s="990"/>
      <c r="I3031" s="990"/>
      <c r="J3031" s="990"/>
      <c r="K3031" s="990"/>
      <c r="L3031" s="990"/>
      <c r="M3031" s="990"/>
      <c r="N3031" s="990"/>
      <c r="O3031" s="990"/>
      <c r="P3031" s="990"/>
      <c r="Q3031" s="990"/>
      <c r="R3031" s="990"/>
      <c r="S3031" s="990"/>
      <c r="T3031" s="990"/>
      <c r="U3031" s="990"/>
      <c r="V3031" s="990"/>
      <c r="W3031" s="990"/>
      <c r="X3031" s="990"/>
    </row>
    <row r="3032" spans="1:24" s="896" customFormat="1">
      <c r="A3032" s="987">
        <f t="shared" si="48"/>
        <v>2958</v>
      </c>
      <c r="B3032" s="988">
        <v>3870</v>
      </c>
      <c r="C3032" s="899" t="s">
        <v>12358</v>
      </c>
      <c r="D3032" s="988" t="s">
        <v>2666</v>
      </c>
      <c r="E3032" s="989">
        <v>8.68</v>
      </c>
      <c r="F3032" s="990"/>
      <c r="G3032" s="990"/>
      <c r="H3032" s="990"/>
      <c r="I3032" s="990"/>
      <c r="J3032" s="990"/>
      <c r="K3032" s="990"/>
      <c r="L3032" s="990"/>
      <c r="M3032" s="990"/>
      <c r="N3032" s="990"/>
      <c r="O3032" s="990"/>
      <c r="P3032" s="990"/>
      <c r="Q3032" s="990"/>
      <c r="R3032" s="990"/>
      <c r="S3032" s="990"/>
      <c r="T3032" s="990"/>
      <c r="U3032" s="990"/>
      <c r="V3032" s="990"/>
      <c r="W3032" s="990"/>
      <c r="X3032" s="990"/>
    </row>
    <row r="3033" spans="1:24" s="896" customFormat="1">
      <c r="A3033" s="987">
        <f t="shared" si="48"/>
        <v>2959</v>
      </c>
      <c r="B3033" s="988">
        <v>38678</v>
      </c>
      <c r="C3033" s="899" t="s">
        <v>12359</v>
      </c>
      <c r="D3033" s="988" t="s">
        <v>2666</v>
      </c>
      <c r="E3033" s="989">
        <v>23.64</v>
      </c>
      <c r="F3033" s="990"/>
      <c r="G3033" s="990"/>
      <c r="H3033" s="990"/>
      <c r="I3033" s="990"/>
      <c r="J3033" s="990"/>
      <c r="K3033" s="990"/>
      <c r="L3033" s="990"/>
      <c r="M3033" s="990"/>
      <c r="N3033" s="990"/>
      <c r="O3033" s="990"/>
      <c r="P3033" s="990"/>
      <c r="Q3033" s="990"/>
      <c r="R3033" s="990"/>
      <c r="S3033" s="990"/>
      <c r="T3033" s="990"/>
      <c r="U3033" s="990"/>
      <c r="V3033" s="990"/>
      <c r="W3033" s="990"/>
      <c r="X3033" s="990"/>
    </row>
    <row r="3034" spans="1:24" s="896" customFormat="1">
      <c r="A3034" s="987">
        <f t="shared" si="48"/>
        <v>2960</v>
      </c>
      <c r="B3034" s="988">
        <v>3859</v>
      </c>
      <c r="C3034" s="899" t="s">
        <v>12360</v>
      </c>
      <c r="D3034" s="988" t="s">
        <v>2666</v>
      </c>
      <c r="E3034" s="989">
        <v>1.75</v>
      </c>
      <c r="F3034" s="990"/>
      <c r="G3034" s="990"/>
      <c r="H3034" s="990"/>
      <c r="I3034" s="990"/>
      <c r="J3034" s="990"/>
      <c r="K3034" s="990"/>
      <c r="L3034" s="990"/>
      <c r="M3034" s="990"/>
      <c r="N3034" s="990"/>
      <c r="O3034" s="990"/>
      <c r="P3034" s="990"/>
      <c r="Q3034" s="990"/>
      <c r="R3034" s="990"/>
      <c r="S3034" s="990"/>
      <c r="T3034" s="990"/>
      <c r="U3034" s="990"/>
      <c r="V3034" s="990"/>
      <c r="W3034" s="990"/>
      <c r="X3034" s="990"/>
    </row>
    <row r="3035" spans="1:24" s="896" customFormat="1">
      <c r="A3035" s="987">
        <f t="shared" si="48"/>
        <v>2961</v>
      </c>
      <c r="B3035" s="988">
        <v>3856</v>
      </c>
      <c r="C3035" s="899" t="s">
        <v>12361</v>
      </c>
      <c r="D3035" s="988" t="s">
        <v>2666</v>
      </c>
      <c r="E3035" s="989">
        <v>2.2200000000000002</v>
      </c>
      <c r="F3035" s="990"/>
      <c r="G3035" s="990"/>
      <c r="H3035" s="990"/>
      <c r="I3035" s="990"/>
      <c r="J3035" s="990"/>
      <c r="K3035" s="990"/>
      <c r="L3035" s="990"/>
      <c r="M3035" s="990"/>
      <c r="N3035" s="990"/>
      <c r="O3035" s="990"/>
      <c r="P3035" s="990"/>
      <c r="Q3035" s="990"/>
      <c r="R3035" s="990"/>
      <c r="S3035" s="990"/>
      <c r="T3035" s="990"/>
      <c r="U3035" s="990"/>
      <c r="V3035" s="990"/>
      <c r="W3035" s="990"/>
      <c r="X3035" s="990"/>
    </row>
    <row r="3036" spans="1:24" s="896" customFormat="1">
      <c r="A3036" s="987">
        <f t="shared" si="48"/>
        <v>2962</v>
      </c>
      <c r="B3036" s="988">
        <v>3906</v>
      </c>
      <c r="C3036" s="899" t="s">
        <v>12362</v>
      </c>
      <c r="D3036" s="988" t="s">
        <v>2666</v>
      </c>
      <c r="E3036" s="989">
        <v>2.09</v>
      </c>
      <c r="F3036" s="990"/>
      <c r="G3036" s="990"/>
      <c r="H3036" s="990"/>
      <c r="I3036" s="990"/>
      <c r="J3036" s="990"/>
      <c r="K3036" s="990"/>
      <c r="L3036" s="990"/>
      <c r="M3036" s="990"/>
      <c r="N3036" s="990"/>
      <c r="O3036" s="990"/>
      <c r="P3036" s="990"/>
      <c r="Q3036" s="990"/>
      <c r="R3036" s="990"/>
      <c r="S3036" s="990"/>
      <c r="T3036" s="990"/>
      <c r="U3036" s="990"/>
      <c r="V3036" s="990"/>
      <c r="W3036" s="990"/>
      <c r="X3036" s="990"/>
    </row>
    <row r="3037" spans="1:24" s="896" customFormat="1">
      <c r="A3037" s="987">
        <f t="shared" si="48"/>
        <v>2963</v>
      </c>
      <c r="B3037" s="988">
        <v>3860</v>
      </c>
      <c r="C3037" s="899" t="s">
        <v>12363</v>
      </c>
      <c r="D3037" s="988" t="s">
        <v>2666</v>
      </c>
      <c r="E3037" s="989">
        <v>6.87</v>
      </c>
      <c r="F3037" s="990"/>
      <c r="G3037" s="990"/>
      <c r="H3037" s="990"/>
      <c r="I3037" s="990"/>
      <c r="J3037" s="990"/>
      <c r="K3037" s="990"/>
      <c r="L3037" s="990"/>
      <c r="M3037" s="990"/>
      <c r="N3037" s="990"/>
      <c r="O3037" s="990"/>
      <c r="P3037" s="990"/>
      <c r="Q3037" s="990"/>
      <c r="R3037" s="990"/>
      <c r="S3037" s="990"/>
      <c r="T3037" s="990"/>
      <c r="U3037" s="990"/>
      <c r="V3037" s="990"/>
      <c r="W3037" s="990"/>
      <c r="X3037" s="990"/>
    </row>
    <row r="3038" spans="1:24" s="896" customFormat="1">
      <c r="A3038" s="987">
        <f t="shared" si="48"/>
        <v>2964</v>
      </c>
      <c r="B3038" s="988">
        <v>3905</v>
      </c>
      <c r="C3038" s="899" t="s">
        <v>12364</v>
      </c>
      <c r="D3038" s="988" t="s">
        <v>2666</v>
      </c>
      <c r="E3038" s="989">
        <v>15.21</v>
      </c>
      <c r="F3038" s="990"/>
      <c r="G3038" s="990"/>
      <c r="H3038" s="990"/>
      <c r="I3038" s="990"/>
      <c r="J3038" s="990"/>
      <c r="K3038" s="990"/>
      <c r="L3038" s="990"/>
      <c r="M3038" s="990"/>
      <c r="N3038" s="990"/>
      <c r="O3038" s="990"/>
      <c r="P3038" s="990"/>
      <c r="Q3038" s="990"/>
      <c r="R3038" s="990"/>
      <c r="S3038" s="990"/>
      <c r="T3038" s="990"/>
      <c r="U3038" s="990"/>
      <c r="V3038" s="990"/>
      <c r="W3038" s="990"/>
      <c r="X3038" s="990"/>
    </row>
    <row r="3039" spans="1:24" s="896" customFormat="1">
      <c r="A3039" s="987">
        <f t="shared" si="48"/>
        <v>2965</v>
      </c>
      <c r="B3039" s="988">
        <v>3871</v>
      </c>
      <c r="C3039" s="899" t="s">
        <v>12365</v>
      </c>
      <c r="D3039" s="988" t="s">
        <v>2666</v>
      </c>
      <c r="E3039" s="989">
        <v>31.57</v>
      </c>
      <c r="F3039" s="990"/>
      <c r="G3039" s="990"/>
      <c r="H3039" s="990"/>
      <c r="I3039" s="990"/>
      <c r="J3039" s="990"/>
      <c r="K3039" s="990"/>
      <c r="L3039" s="990"/>
      <c r="M3039" s="990"/>
      <c r="N3039" s="990"/>
      <c r="O3039" s="990"/>
      <c r="P3039" s="990"/>
      <c r="Q3039" s="990"/>
      <c r="R3039" s="990"/>
      <c r="S3039" s="990"/>
      <c r="T3039" s="990"/>
      <c r="U3039" s="990"/>
      <c r="V3039" s="990"/>
      <c r="W3039" s="990"/>
      <c r="X3039" s="990"/>
    </row>
    <row r="3040" spans="1:24" s="896" customFormat="1">
      <c r="A3040" s="987">
        <f t="shared" si="48"/>
        <v>2966</v>
      </c>
      <c r="B3040" s="988">
        <v>37429</v>
      </c>
      <c r="C3040" s="899" t="s">
        <v>12366</v>
      </c>
      <c r="D3040" s="988" t="s">
        <v>2666</v>
      </c>
      <c r="E3040" s="989">
        <v>2927.43</v>
      </c>
      <c r="F3040" s="990"/>
      <c r="G3040" s="990"/>
      <c r="H3040" s="990"/>
      <c r="I3040" s="990"/>
      <c r="J3040" s="990"/>
      <c r="K3040" s="990"/>
      <c r="L3040" s="990"/>
      <c r="M3040" s="990"/>
      <c r="N3040" s="990"/>
      <c r="O3040" s="990"/>
      <c r="P3040" s="990"/>
      <c r="Q3040" s="990"/>
      <c r="R3040" s="990"/>
      <c r="S3040" s="990"/>
      <c r="T3040" s="990"/>
      <c r="U3040" s="990"/>
      <c r="V3040" s="990"/>
      <c r="W3040" s="990"/>
      <c r="X3040" s="990"/>
    </row>
    <row r="3041" spans="1:24" s="896" customFormat="1">
      <c r="A3041" s="987">
        <f t="shared" si="48"/>
        <v>2967</v>
      </c>
      <c r="B3041" s="988">
        <v>37426</v>
      </c>
      <c r="C3041" s="899" t="s">
        <v>12367</v>
      </c>
      <c r="D3041" s="988" t="s">
        <v>2666</v>
      </c>
      <c r="E3041" s="989">
        <v>28.16</v>
      </c>
      <c r="F3041" s="990"/>
      <c r="G3041" s="990"/>
      <c r="H3041" s="990"/>
      <c r="I3041" s="990"/>
      <c r="J3041" s="990"/>
      <c r="K3041" s="990"/>
      <c r="L3041" s="990"/>
      <c r="M3041" s="990"/>
      <c r="N3041" s="990"/>
      <c r="O3041" s="990"/>
      <c r="P3041" s="990"/>
      <c r="Q3041" s="990"/>
      <c r="R3041" s="990"/>
      <c r="S3041" s="990"/>
      <c r="T3041" s="990"/>
      <c r="U3041" s="990"/>
      <c r="V3041" s="990"/>
      <c r="W3041" s="990"/>
      <c r="X3041" s="990"/>
    </row>
    <row r="3042" spans="1:24" s="896" customFormat="1">
      <c r="A3042" s="987">
        <f t="shared" si="48"/>
        <v>2968</v>
      </c>
      <c r="B3042" s="988">
        <v>37427</v>
      </c>
      <c r="C3042" s="899" t="s">
        <v>12368</v>
      </c>
      <c r="D3042" s="988" t="s">
        <v>2666</v>
      </c>
      <c r="E3042" s="989">
        <v>67.17</v>
      </c>
      <c r="F3042" s="990"/>
      <c r="G3042" s="990"/>
      <c r="H3042" s="990"/>
      <c r="I3042" s="990"/>
      <c r="J3042" s="990"/>
      <c r="K3042" s="990"/>
      <c r="L3042" s="990"/>
      <c r="M3042" s="990"/>
      <c r="N3042" s="990"/>
      <c r="O3042" s="990"/>
      <c r="P3042" s="990"/>
      <c r="Q3042" s="990"/>
      <c r="R3042" s="990"/>
      <c r="S3042" s="990"/>
      <c r="T3042" s="990"/>
      <c r="U3042" s="990"/>
      <c r="V3042" s="990"/>
      <c r="W3042" s="990"/>
      <c r="X3042" s="990"/>
    </row>
    <row r="3043" spans="1:24" s="896" customFormat="1">
      <c r="A3043" s="987">
        <f t="shared" si="48"/>
        <v>2969</v>
      </c>
      <c r="B3043" s="988">
        <v>37424</v>
      </c>
      <c r="C3043" s="899" t="s">
        <v>12369</v>
      </c>
      <c r="D3043" s="988" t="s">
        <v>2666</v>
      </c>
      <c r="E3043" s="989">
        <v>12.94</v>
      </c>
      <c r="F3043" s="990"/>
      <c r="G3043" s="990"/>
      <c r="H3043" s="990"/>
      <c r="I3043" s="990"/>
      <c r="J3043" s="990"/>
      <c r="K3043" s="990"/>
      <c r="L3043" s="990"/>
      <c r="M3043" s="990"/>
      <c r="N3043" s="990"/>
      <c r="O3043" s="990"/>
      <c r="P3043" s="990"/>
      <c r="Q3043" s="990"/>
      <c r="R3043" s="990"/>
      <c r="S3043" s="990"/>
      <c r="T3043" s="990"/>
      <c r="U3043" s="990"/>
      <c r="V3043" s="990"/>
      <c r="W3043" s="990"/>
      <c r="X3043" s="990"/>
    </row>
    <row r="3044" spans="1:24" s="896" customFormat="1">
      <c r="A3044" s="987">
        <f t="shared" si="48"/>
        <v>2970</v>
      </c>
      <c r="B3044" s="988">
        <v>37428</v>
      </c>
      <c r="C3044" s="899" t="s">
        <v>12370</v>
      </c>
      <c r="D3044" s="988" t="s">
        <v>2666</v>
      </c>
      <c r="E3044" s="989">
        <v>231.5</v>
      </c>
      <c r="F3044" s="990"/>
      <c r="G3044" s="990"/>
      <c r="H3044" s="990"/>
      <c r="I3044" s="990"/>
      <c r="J3044" s="990"/>
      <c r="K3044" s="990"/>
      <c r="L3044" s="990"/>
      <c r="M3044" s="990"/>
      <c r="N3044" s="990"/>
      <c r="O3044" s="990"/>
      <c r="P3044" s="990"/>
      <c r="Q3044" s="990"/>
      <c r="R3044" s="990"/>
      <c r="S3044" s="990"/>
      <c r="T3044" s="990"/>
      <c r="U3044" s="990"/>
      <c r="V3044" s="990"/>
      <c r="W3044" s="990"/>
      <c r="X3044" s="990"/>
    </row>
    <row r="3045" spans="1:24" s="896" customFormat="1">
      <c r="A3045" s="987">
        <f t="shared" si="48"/>
        <v>2971</v>
      </c>
      <c r="B3045" s="988">
        <v>37425</v>
      </c>
      <c r="C3045" s="899" t="s">
        <v>12371</v>
      </c>
      <c r="D3045" s="988" t="s">
        <v>2666</v>
      </c>
      <c r="E3045" s="989">
        <v>13.95</v>
      </c>
      <c r="F3045" s="990"/>
      <c r="G3045" s="990"/>
      <c r="H3045" s="990"/>
      <c r="I3045" s="990"/>
      <c r="J3045" s="990"/>
      <c r="K3045" s="990"/>
      <c r="L3045" s="990"/>
      <c r="M3045" s="990"/>
      <c r="N3045" s="990"/>
      <c r="O3045" s="990"/>
      <c r="P3045" s="990"/>
      <c r="Q3045" s="990"/>
      <c r="R3045" s="990"/>
      <c r="S3045" s="990"/>
      <c r="T3045" s="990"/>
      <c r="U3045" s="990"/>
      <c r="V3045" s="990"/>
      <c r="W3045" s="990"/>
      <c r="X3045" s="990"/>
    </row>
    <row r="3046" spans="1:24" s="896" customFormat="1" ht="25.5">
      <c r="A3046" s="987">
        <f t="shared" si="48"/>
        <v>2972</v>
      </c>
      <c r="B3046" s="988">
        <v>11519</v>
      </c>
      <c r="C3046" s="899" t="s">
        <v>12372</v>
      </c>
      <c r="D3046" s="988" t="s">
        <v>2673</v>
      </c>
      <c r="E3046" s="989">
        <v>54.48</v>
      </c>
      <c r="F3046" s="990"/>
      <c r="G3046" s="990"/>
      <c r="H3046" s="990"/>
      <c r="I3046" s="990"/>
      <c r="J3046" s="990"/>
      <c r="K3046" s="990"/>
      <c r="L3046" s="990"/>
      <c r="M3046" s="990"/>
      <c r="N3046" s="990"/>
      <c r="O3046" s="990"/>
      <c r="P3046" s="990"/>
      <c r="Q3046" s="990"/>
      <c r="R3046" s="990"/>
      <c r="S3046" s="990"/>
      <c r="T3046" s="990"/>
      <c r="U3046" s="990"/>
      <c r="V3046" s="990"/>
      <c r="W3046" s="990"/>
      <c r="X3046" s="990"/>
    </row>
    <row r="3047" spans="1:24" s="896" customFormat="1" ht="25.5">
      <c r="A3047" s="987">
        <f t="shared" si="48"/>
        <v>2973</v>
      </c>
      <c r="B3047" s="988">
        <v>11520</v>
      </c>
      <c r="C3047" s="899" t="s">
        <v>12373</v>
      </c>
      <c r="D3047" s="988" t="s">
        <v>2673</v>
      </c>
      <c r="E3047" s="989">
        <v>25.19</v>
      </c>
      <c r="F3047" s="990"/>
      <c r="G3047" s="990"/>
      <c r="H3047" s="990"/>
      <c r="I3047" s="990"/>
      <c r="J3047" s="990"/>
      <c r="K3047" s="990"/>
      <c r="L3047" s="990"/>
      <c r="M3047" s="990"/>
      <c r="N3047" s="990"/>
      <c r="O3047" s="990"/>
      <c r="P3047" s="990"/>
      <c r="Q3047" s="990"/>
      <c r="R3047" s="990"/>
      <c r="S3047" s="990"/>
      <c r="T3047" s="990"/>
      <c r="U3047" s="990"/>
      <c r="V3047" s="990"/>
      <c r="W3047" s="990"/>
      <c r="X3047" s="990"/>
    </row>
    <row r="3048" spans="1:24" s="896" customFormat="1">
      <c r="A3048" s="987">
        <f t="shared" si="48"/>
        <v>2974</v>
      </c>
      <c r="B3048" s="988">
        <v>11518</v>
      </c>
      <c r="C3048" s="899" t="s">
        <v>12374</v>
      </c>
      <c r="D3048" s="988" t="s">
        <v>2673</v>
      </c>
      <c r="E3048" s="989">
        <v>91.59</v>
      </c>
      <c r="F3048" s="990"/>
      <c r="G3048" s="990"/>
      <c r="H3048" s="990"/>
      <c r="I3048" s="990"/>
      <c r="J3048" s="990"/>
      <c r="K3048" s="990"/>
      <c r="L3048" s="990"/>
      <c r="M3048" s="990"/>
      <c r="N3048" s="990"/>
      <c r="O3048" s="990"/>
      <c r="P3048" s="990"/>
      <c r="Q3048" s="990"/>
      <c r="R3048" s="990"/>
      <c r="S3048" s="990"/>
      <c r="T3048" s="990"/>
      <c r="U3048" s="990"/>
      <c r="V3048" s="990"/>
      <c r="W3048" s="990"/>
      <c r="X3048" s="990"/>
    </row>
    <row r="3049" spans="1:24" s="896" customFormat="1">
      <c r="A3049" s="987">
        <f t="shared" si="48"/>
        <v>2975</v>
      </c>
      <c r="B3049" s="988">
        <v>38473</v>
      </c>
      <c r="C3049" s="899" t="s">
        <v>12375</v>
      </c>
      <c r="D3049" s="988" t="s">
        <v>2666</v>
      </c>
      <c r="E3049" s="989">
        <v>150.57</v>
      </c>
      <c r="F3049" s="990"/>
      <c r="G3049" s="990"/>
      <c r="H3049" s="990"/>
      <c r="I3049" s="990"/>
      <c r="J3049" s="990"/>
      <c r="K3049" s="990"/>
      <c r="L3049" s="990"/>
      <c r="M3049" s="990"/>
      <c r="N3049" s="990"/>
      <c r="O3049" s="990"/>
      <c r="P3049" s="990"/>
      <c r="Q3049" s="990"/>
      <c r="R3049" s="990"/>
      <c r="S3049" s="990"/>
      <c r="T3049" s="990"/>
      <c r="U3049" s="990"/>
      <c r="V3049" s="990"/>
      <c r="W3049" s="990"/>
      <c r="X3049" s="990"/>
    </row>
    <row r="3050" spans="1:24" s="896" customFormat="1">
      <c r="A3050" s="987">
        <f t="shared" si="48"/>
        <v>2976</v>
      </c>
      <c r="B3050" s="988">
        <v>4244</v>
      </c>
      <c r="C3050" s="899" t="s">
        <v>12376</v>
      </c>
      <c r="D3050" s="988" t="s">
        <v>2665</v>
      </c>
      <c r="E3050" s="989">
        <v>23.98</v>
      </c>
      <c r="F3050" s="990"/>
      <c r="G3050" s="990"/>
      <c r="H3050" s="990"/>
      <c r="I3050" s="990"/>
      <c r="J3050" s="990"/>
      <c r="K3050" s="990"/>
      <c r="L3050" s="990"/>
      <c r="M3050" s="990"/>
      <c r="N3050" s="990"/>
      <c r="O3050" s="990"/>
      <c r="P3050" s="990"/>
      <c r="Q3050" s="990"/>
      <c r="R3050" s="990"/>
      <c r="S3050" s="990"/>
      <c r="T3050" s="990"/>
      <c r="U3050" s="990"/>
      <c r="V3050" s="990"/>
      <c r="W3050" s="990"/>
      <c r="X3050" s="990"/>
    </row>
    <row r="3051" spans="1:24" s="896" customFormat="1">
      <c r="A3051" s="987">
        <f t="shared" si="48"/>
        <v>2977</v>
      </c>
      <c r="B3051" s="988">
        <v>40977</v>
      </c>
      <c r="C3051" s="899" t="s">
        <v>12377</v>
      </c>
      <c r="D3051" s="988" t="s">
        <v>2672</v>
      </c>
      <c r="E3051" s="989">
        <v>4215.79</v>
      </c>
      <c r="F3051" s="990"/>
      <c r="G3051" s="990"/>
      <c r="H3051" s="990"/>
      <c r="I3051" s="990"/>
      <c r="J3051" s="990"/>
      <c r="K3051" s="990"/>
      <c r="L3051" s="990"/>
      <c r="M3051" s="990"/>
      <c r="N3051" s="990"/>
      <c r="O3051" s="990"/>
      <c r="P3051" s="990"/>
      <c r="Q3051" s="990"/>
      <c r="R3051" s="990"/>
      <c r="S3051" s="990"/>
      <c r="T3051" s="990"/>
      <c r="U3051" s="990"/>
      <c r="V3051" s="990"/>
      <c r="W3051" s="990"/>
      <c r="X3051" s="990"/>
    </row>
    <row r="3052" spans="1:24" s="896" customFormat="1" ht="25.5">
      <c r="A3052" s="987">
        <f t="shared" si="48"/>
        <v>2978</v>
      </c>
      <c r="B3052" s="988">
        <v>4115</v>
      </c>
      <c r="C3052" s="899" t="s">
        <v>12378</v>
      </c>
      <c r="D3052" s="988" t="s">
        <v>2669</v>
      </c>
      <c r="E3052" s="989">
        <v>26.55</v>
      </c>
      <c r="F3052" s="990"/>
      <c r="G3052" s="990"/>
      <c r="H3052" s="990"/>
      <c r="I3052" s="990"/>
      <c r="J3052" s="990"/>
      <c r="K3052" s="990"/>
      <c r="L3052" s="990"/>
      <c r="M3052" s="990"/>
      <c r="N3052" s="990"/>
      <c r="O3052" s="990"/>
      <c r="P3052" s="990"/>
      <c r="Q3052" s="990"/>
      <c r="R3052" s="990"/>
      <c r="S3052" s="990"/>
      <c r="T3052" s="990"/>
      <c r="U3052" s="990"/>
      <c r="V3052" s="990"/>
      <c r="W3052" s="990"/>
      <c r="X3052" s="990"/>
    </row>
    <row r="3053" spans="1:24" s="896" customFormat="1" ht="25.5">
      <c r="A3053" s="987">
        <f t="shared" si="48"/>
        <v>2979</v>
      </c>
      <c r="B3053" s="988">
        <v>4119</v>
      </c>
      <c r="C3053" s="899" t="s">
        <v>12379</v>
      </c>
      <c r="D3053" s="988" t="s">
        <v>2669</v>
      </c>
      <c r="E3053" s="989">
        <v>53.62</v>
      </c>
      <c r="F3053" s="990"/>
      <c r="G3053" s="990"/>
      <c r="H3053" s="990"/>
      <c r="I3053" s="990"/>
      <c r="J3053" s="990"/>
      <c r="K3053" s="990"/>
      <c r="L3053" s="990"/>
      <c r="M3053" s="990"/>
      <c r="N3053" s="990"/>
      <c r="O3053" s="990"/>
      <c r="P3053" s="990"/>
      <c r="Q3053" s="990"/>
      <c r="R3053" s="990"/>
      <c r="S3053" s="990"/>
      <c r="T3053" s="990"/>
      <c r="U3053" s="990"/>
      <c r="V3053" s="990"/>
      <c r="W3053" s="990"/>
      <c r="X3053" s="990"/>
    </row>
    <row r="3054" spans="1:24" s="896" customFormat="1" ht="25.5">
      <c r="A3054" s="987">
        <f t="shared" si="48"/>
        <v>2980</v>
      </c>
      <c r="B3054" s="988">
        <v>2794</v>
      </c>
      <c r="C3054" s="899" t="s">
        <v>12380</v>
      </c>
      <c r="D3054" s="988" t="s">
        <v>2669</v>
      </c>
      <c r="E3054" s="989">
        <v>142.26</v>
      </c>
      <c r="F3054" s="990"/>
      <c r="G3054" s="990"/>
      <c r="H3054" s="990"/>
      <c r="I3054" s="990"/>
      <c r="J3054" s="990"/>
      <c r="K3054" s="990"/>
      <c r="L3054" s="990"/>
      <c r="M3054" s="990"/>
      <c r="N3054" s="990"/>
      <c r="O3054" s="990"/>
      <c r="P3054" s="990"/>
      <c r="Q3054" s="990"/>
      <c r="R3054" s="990"/>
      <c r="S3054" s="990"/>
      <c r="T3054" s="990"/>
      <c r="U3054" s="990"/>
      <c r="V3054" s="990"/>
      <c r="W3054" s="990"/>
      <c r="X3054" s="990"/>
    </row>
    <row r="3055" spans="1:24" s="896" customFormat="1" ht="25.5">
      <c r="A3055" s="987">
        <f t="shared" si="48"/>
        <v>2981</v>
      </c>
      <c r="B3055" s="988">
        <v>2788</v>
      </c>
      <c r="C3055" s="899" t="s">
        <v>12381</v>
      </c>
      <c r="D3055" s="988" t="s">
        <v>2669</v>
      </c>
      <c r="E3055" s="989">
        <v>207.24</v>
      </c>
      <c r="F3055" s="990"/>
      <c r="G3055" s="990"/>
      <c r="H3055" s="990"/>
      <c r="I3055" s="990"/>
      <c r="J3055" s="990"/>
      <c r="K3055" s="990"/>
      <c r="L3055" s="990"/>
      <c r="M3055" s="990"/>
      <c r="N3055" s="990"/>
      <c r="O3055" s="990"/>
      <c r="P3055" s="990"/>
      <c r="Q3055" s="990"/>
      <c r="R3055" s="990"/>
      <c r="S3055" s="990"/>
      <c r="T3055" s="990"/>
      <c r="U3055" s="990"/>
      <c r="V3055" s="990"/>
      <c r="W3055" s="990"/>
      <c r="X3055" s="990"/>
    </row>
    <row r="3056" spans="1:24" s="896" customFormat="1">
      <c r="A3056" s="987">
        <f t="shared" si="48"/>
        <v>2982</v>
      </c>
      <c r="B3056" s="988">
        <v>4006</v>
      </c>
      <c r="C3056" s="899" t="s">
        <v>12382</v>
      </c>
      <c r="D3056" s="988" t="s">
        <v>2668</v>
      </c>
      <c r="E3056" s="989">
        <v>1569.17</v>
      </c>
      <c r="F3056" s="990"/>
      <c r="G3056" s="990"/>
      <c r="H3056" s="990"/>
      <c r="I3056" s="990"/>
      <c r="J3056" s="990"/>
      <c r="K3056" s="990"/>
      <c r="L3056" s="990"/>
      <c r="M3056" s="990"/>
      <c r="N3056" s="990"/>
      <c r="O3056" s="990"/>
      <c r="P3056" s="990"/>
      <c r="Q3056" s="990"/>
      <c r="R3056" s="990"/>
      <c r="S3056" s="990"/>
      <c r="T3056" s="990"/>
      <c r="U3056" s="990"/>
      <c r="V3056" s="990"/>
      <c r="W3056" s="990"/>
      <c r="X3056" s="990"/>
    </row>
    <row r="3057" spans="1:24" s="896" customFormat="1">
      <c r="A3057" s="987">
        <f t="shared" si="48"/>
        <v>2983</v>
      </c>
      <c r="B3057" s="988">
        <v>36151</v>
      </c>
      <c r="C3057" s="899" t="s">
        <v>12383</v>
      </c>
      <c r="D3057" s="988" t="s">
        <v>2666</v>
      </c>
      <c r="E3057" s="989">
        <v>40</v>
      </c>
      <c r="F3057" s="990"/>
      <c r="G3057" s="990"/>
      <c r="H3057" s="990"/>
      <c r="I3057" s="990"/>
      <c r="J3057" s="990"/>
      <c r="K3057" s="990"/>
      <c r="L3057" s="990"/>
      <c r="M3057" s="990"/>
      <c r="N3057" s="990"/>
      <c r="O3057" s="990"/>
      <c r="P3057" s="990"/>
      <c r="Q3057" s="990"/>
      <c r="R3057" s="990"/>
      <c r="S3057" s="990"/>
      <c r="T3057" s="990"/>
      <c r="U3057" s="990"/>
      <c r="V3057" s="990"/>
      <c r="W3057" s="990"/>
      <c r="X3057" s="990"/>
    </row>
    <row r="3058" spans="1:24" s="896" customFormat="1">
      <c r="A3058" s="987">
        <f t="shared" si="48"/>
        <v>2984</v>
      </c>
      <c r="B3058" s="988">
        <v>37457</v>
      </c>
      <c r="C3058" s="899" t="s">
        <v>12384</v>
      </c>
      <c r="D3058" s="988" t="s">
        <v>2669</v>
      </c>
      <c r="E3058" s="989">
        <v>3.8</v>
      </c>
      <c r="F3058" s="990"/>
      <c r="G3058" s="990"/>
      <c r="H3058" s="990"/>
      <c r="I3058" s="990"/>
      <c r="J3058" s="990"/>
      <c r="K3058" s="990"/>
      <c r="L3058" s="990"/>
      <c r="M3058" s="990"/>
      <c r="N3058" s="990"/>
      <c r="O3058" s="990"/>
      <c r="P3058" s="990"/>
      <c r="Q3058" s="990"/>
      <c r="R3058" s="990"/>
      <c r="S3058" s="990"/>
      <c r="T3058" s="990"/>
      <c r="U3058" s="990"/>
      <c r="V3058" s="990"/>
      <c r="W3058" s="990"/>
      <c r="X3058" s="990"/>
    </row>
    <row r="3059" spans="1:24" s="896" customFormat="1">
      <c r="A3059" s="987">
        <f t="shared" si="48"/>
        <v>2985</v>
      </c>
      <c r="B3059" s="988">
        <v>37456</v>
      </c>
      <c r="C3059" s="899" t="s">
        <v>12385</v>
      </c>
      <c r="D3059" s="988" t="s">
        <v>2669</v>
      </c>
      <c r="E3059" s="989">
        <v>2</v>
      </c>
      <c r="F3059" s="990"/>
      <c r="G3059" s="990"/>
      <c r="H3059" s="990"/>
      <c r="I3059" s="990"/>
      <c r="J3059" s="990"/>
      <c r="K3059" s="990"/>
      <c r="L3059" s="990"/>
      <c r="M3059" s="990"/>
      <c r="N3059" s="990"/>
      <c r="O3059" s="990"/>
      <c r="P3059" s="990"/>
      <c r="Q3059" s="990"/>
      <c r="R3059" s="990"/>
      <c r="S3059" s="990"/>
      <c r="T3059" s="990"/>
      <c r="U3059" s="990"/>
      <c r="V3059" s="990"/>
      <c r="W3059" s="990"/>
      <c r="X3059" s="990"/>
    </row>
    <row r="3060" spans="1:24" s="896" customFormat="1" ht="25.5">
      <c r="A3060" s="987">
        <f t="shared" si="48"/>
        <v>2986</v>
      </c>
      <c r="B3060" s="988">
        <v>37461</v>
      </c>
      <c r="C3060" s="899" t="s">
        <v>12386</v>
      </c>
      <c r="D3060" s="988" t="s">
        <v>2669</v>
      </c>
      <c r="E3060" s="989">
        <v>14.11</v>
      </c>
      <c r="F3060" s="990"/>
      <c r="G3060" s="990"/>
      <c r="H3060" s="990"/>
      <c r="I3060" s="990"/>
      <c r="J3060" s="990"/>
      <c r="K3060" s="990"/>
      <c r="L3060" s="990"/>
      <c r="M3060" s="990"/>
      <c r="N3060" s="990"/>
      <c r="O3060" s="990"/>
      <c r="P3060" s="990"/>
      <c r="Q3060" s="990"/>
      <c r="R3060" s="990"/>
      <c r="S3060" s="990"/>
      <c r="T3060" s="990"/>
      <c r="U3060" s="990"/>
      <c r="V3060" s="990"/>
      <c r="W3060" s="990"/>
      <c r="X3060" s="990"/>
    </row>
    <row r="3061" spans="1:24" s="896" customFormat="1" ht="25.5">
      <c r="A3061" s="987">
        <f t="shared" si="48"/>
        <v>2987</v>
      </c>
      <c r="B3061" s="988">
        <v>37460</v>
      </c>
      <c r="C3061" s="899" t="s">
        <v>12387</v>
      </c>
      <c r="D3061" s="988" t="s">
        <v>2669</v>
      </c>
      <c r="E3061" s="989">
        <v>19.28</v>
      </c>
      <c r="F3061" s="990"/>
      <c r="G3061" s="990"/>
      <c r="H3061" s="990"/>
      <c r="I3061" s="990"/>
      <c r="J3061" s="990"/>
      <c r="K3061" s="990"/>
      <c r="L3061" s="990"/>
      <c r="M3061" s="990"/>
      <c r="N3061" s="990"/>
      <c r="O3061" s="990"/>
      <c r="P3061" s="990"/>
      <c r="Q3061" s="990"/>
      <c r="R3061" s="990"/>
      <c r="S3061" s="990"/>
      <c r="T3061" s="990"/>
      <c r="U3061" s="990"/>
      <c r="V3061" s="990"/>
      <c r="W3061" s="990"/>
      <c r="X3061" s="990"/>
    </row>
    <row r="3062" spans="1:24" s="896" customFormat="1">
      <c r="A3062" s="987">
        <f t="shared" si="48"/>
        <v>2988</v>
      </c>
      <c r="B3062" s="988">
        <v>37458</v>
      </c>
      <c r="C3062" s="899" t="s">
        <v>12388</v>
      </c>
      <c r="D3062" s="988" t="s">
        <v>2669</v>
      </c>
      <c r="E3062" s="989">
        <v>5.65</v>
      </c>
      <c r="F3062" s="990"/>
      <c r="G3062" s="990"/>
      <c r="H3062" s="990"/>
      <c r="I3062" s="990"/>
      <c r="J3062" s="990"/>
      <c r="K3062" s="990"/>
      <c r="L3062" s="990"/>
      <c r="M3062" s="990"/>
      <c r="N3062" s="990"/>
      <c r="O3062" s="990"/>
      <c r="P3062" s="990"/>
      <c r="Q3062" s="990"/>
      <c r="R3062" s="990"/>
      <c r="S3062" s="990"/>
      <c r="T3062" s="990"/>
      <c r="U3062" s="990"/>
      <c r="V3062" s="990"/>
      <c r="W3062" s="990"/>
      <c r="X3062" s="990"/>
    </row>
    <row r="3063" spans="1:24" s="896" customFormat="1">
      <c r="A3063" s="987">
        <f t="shared" si="48"/>
        <v>2989</v>
      </c>
      <c r="B3063" s="988">
        <v>37454</v>
      </c>
      <c r="C3063" s="899" t="s">
        <v>12389</v>
      </c>
      <c r="D3063" s="988" t="s">
        <v>2669</v>
      </c>
      <c r="E3063" s="989">
        <v>1.48</v>
      </c>
      <c r="F3063" s="990"/>
      <c r="G3063" s="990"/>
      <c r="H3063" s="990"/>
      <c r="I3063" s="990"/>
      <c r="J3063" s="990"/>
      <c r="K3063" s="990"/>
      <c r="L3063" s="990"/>
      <c r="M3063" s="990"/>
      <c r="N3063" s="990"/>
      <c r="O3063" s="990"/>
      <c r="P3063" s="990"/>
      <c r="Q3063" s="990"/>
      <c r="R3063" s="990"/>
      <c r="S3063" s="990"/>
      <c r="T3063" s="990"/>
      <c r="U3063" s="990"/>
      <c r="V3063" s="990"/>
      <c r="W3063" s="990"/>
      <c r="X3063" s="990"/>
    </row>
    <row r="3064" spans="1:24" s="896" customFormat="1">
      <c r="A3064" s="987">
        <f t="shared" si="48"/>
        <v>2990</v>
      </c>
      <c r="B3064" s="988">
        <v>37455</v>
      </c>
      <c r="C3064" s="899" t="s">
        <v>12390</v>
      </c>
      <c r="D3064" s="988" t="s">
        <v>2669</v>
      </c>
      <c r="E3064" s="989">
        <v>2.4900000000000002</v>
      </c>
      <c r="F3064" s="990"/>
      <c r="G3064" s="990"/>
      <c r="H3064" s="990"/>
      <c r="I3064" s="990"/>
      <c r="J3064" s="990"/>
      <c r="K3064" s="990"/>
      <c r="L3064" s="990"/>
      <c r="M3064" s="990"/>
      <c r="N3064" s="990"/>
      <c r="O3064" s="990"/>
      <c r="P3064" s="990"/>
      <c r="Q3064" s="990"/>
      <c r="R3064" s="990"/>
      <c r="S3064" s="990"/>
      <c r="T3064" s="990"/>
      <c r="U3064" s="990"/>
      <c r="V3064" s="990"/>
      <c r="W3064" s="990"/>
      <c r="X3064" s="990"/>
    </row>
    <row r="3065" spans="1:24" s="896" customFormat="1">
      <c r="A3065" s="987">
        <f t="shared" si="48"/>
        <v>2991</v>
      </c>
      <c r="B3065" s="988">
        <v>37459</v>
      </c>
      <c r="C3065" s="899" t="s">
        <v>12391</v>
      </c>
      <c r="D3065" s="988" t="s">
        <v>2669</v>
      </c>
      <c r="E3065" s="989">
        <v>7.93</v>
      </c>
      <c r="F3065" s="990"/>
      <c r="G3065" s="990"/>
      <c r="H3065" s="990"/>
      <c r="I3065" s="990"/>
      <c r="J3065" s="990"/>
      <c r="K3065" s="990"/>
      <c r="L3065" s="990"/>
      <c r="M3065" s="990"/>
      <c r="N3065" s="990"/>
      <c r="O3065" s="990"/>
      <c r="P3065" s="990"/>
      <c r="Q3065" s="990"/>
      <c r="R3065" s="990"/>
      <c r="S3065" s="990"/>
      <c r="T3065" s="990"/>
      <c r="U3065" s="990"/>
      <c r="V3065" s="990"/>
      <c r="W3065" s="990"/>
      <c r="X3065" s="990"/>
    </row>
    <row r="3066" spans="1:24" s="896" customFormat="1" ht="25.5">
      <c r="A3066" s="987">
        <f t="shared" si="48"/>
        <v>2992</v>
      </c>
      <c r="B3066" s="988">
        <v>21029</v>
      </c>
      <c r="C3066" s="899" t="s">
        <v>12392</v>
      </c>
      <c r="D3066" s="988" t="s">
        <v>2666</v>
      </c>
      <c r="E3066" s="989">
        <v>319</v>
      </c>
      <c r="F3066" s="990"/>
      <c r="G3066" s="990"/>
      <c r="H3066" s="990"/>
      <c r="I3066" s="990"/>
      <c r="J3066" s="990"/>
      <c r="K3066" s="990"/>
      <c r="L3066" s="990"/>
      <c r="M3066" s="990"/>
      <c r="N3066" s="990"/>
      <c r="O3066" s="990"/>
      <c r="P3066" s="990"/>
      <c r="Q3066" s="990"/>
      <c r="R3066" s="990"/>
      <c r="S3066" s="990"/>
      <c r="T3066" s="990"/>
      <c r="U3066" s="990"/>
      <c r="V3066" s="990"/>
      <c r="W3066" s="990"/>
      <c r="X3066" s="990"/>
    </row>
    <row r="3067" spans="1:24" s="896" customFormat="1" ht="25.5">
      <c r="A3067" s="987">
        <f t="shared" si="48"/>
        <v>2993</v>
      </c>
      <c r="B3067" s="988">
        <v>21030</v>
      </c>
      <c r="C3067" s="899" t="s">
        <v>12393</v>
      </c>
      <c r="D3067" s="988" t="s">
        <v>2666</v>
      </c>
      <c r="E3067" s="989">
        <v>393.22</v>
      </c>
      <c r="F3067" s="990"/>
      <c r="G3067" s="990"/>
      <c r="H3067" s="990"/>
      <c r="I3067" s="990"/>
      <c r="J3067" s="990"/>
      <c r="K3067" s="990"/>
      <c r="L3067" s="990"/>
      <c r="M3067" s="990"/>
      <c r="N3067" s="990"/>
      <c r="O3067" s="990"/>
      <c r="P3067" s="990"/>
      <c r="Q3067" s="990"/>
      <c r="R3067" s="990"/>
      <c r="S3067" s="990"/>
      <c r="T3067" s="990"/>
      <c r="U3067" s="990"/>
      <c r="V3067" s="990"/>
      <c r="W3067" s="990"/>
      <c r="X3067" s="990"/>
    </row>
    <row r="3068" spans="1:24" s="896" customFormat="1" ht="25.5">
      <c r="A3068" s="987">
        <f t="shared" si="48"/>
        <v>2994</v>
      </c>
      <c r="B3068" s="988">
        <v>21031</v>
      </c>
      <c r="C3068" s="899" t="s">
        <v>12394</v>
      </c>
      <c r="D3068" s="988" t="s">
        <v>2666</v>
      </c>
      <c r="E3068" s="989">
        <v>489.55</v>
      </c>
      <c r="F3068" s="990"/>
      <c r="G3068" s="990"/>
      <c r="H3068" s="990"/>
      <c r="I3068" s="990"/>
      <c r="J3068" s="990"/>
      <c r="K3068" s="990"/>
      <c r="L3068" s="990"/>
      <c r="M3068" s="990"/>
      <c r="N3068" s="990"/>
      <c r="O3068" s="990"/>
      <c r="P3068" s="990"/>
      <c r="Q3068" s="990"/>
      <c r="R3068" s="990"/>
      <c r="S3068" s="990"/>
      <c r="T3068" s="990"/>
      <c r="U3068" s="990"/>
      <c r="V3068" s="990"/>
      <c r="W3068" s="990"/>
      <c r="X3068" s="990"/>
    </row>
    <row r="3069" spans="1:24" s="896" customFormat="1" ht="25.5">
      <c r="A3069" s="987">
        <f t="shared" si="48"/>
        <v>2995</v>
      </c>
      <c r="B3069" s="988">
        <v>21032</v>
      </c>
      <c r="C3069" s="899" t="s">
        <v>12395</v>
      </c>
      <c r="D3069" s="988" t="s">
        <v>2666</v>
      </c>
      <c r="E3069" s="989">
        <v>522.71</v>
      </c>
      <c r="F3069" s="990"/>
      <c r="G3069" s="990"/>
      <c r="H3069" s="990"/>
      <c r="I3069" s="990"/>
      <c r="J3069" s="990"/>
      <c r="K3069" s="990"/>
      <c r="L3069" s="990"/>
      <c r="M3069" s="990"/>
      <c r="N3069" s="990"/>
      <c r="O3069" s="990"/>
      <c r="P3069" s="990"/>
      <c r="Q3069" s="990"/>
      <c r="R3069" s="990"/>
      <c r="S3069" s="990"/>
      <c r="T3069" s="990"/>
      <c r="U3069" s="990"/>
      <c r="V3069" s="990"/>
      <c r="W3069" s="990"/>
      <c r="X3069" s="990"/>
    </row>
    <row r="3070" spans="1:24" s="896" customFormat="1" ht="25.5">
      <c r="A3070" s="987">
        <f t="shared" si="48"/>
        <v>2996</v>
      </c>
      <c r="B3070" s="988">
        <v>37527</v>
      </c>
      <c r="C3070" s="899" t="s">
        <v>12396</v>
      </c>
      <c r="D3070" s="988" t="s">
        <v>2666</v>
      </c>
      <c r="E3070" s="989">
        <v>472.18</v>
      </c>
      <c r="F3070" s="990"/>
      <c r="G3070" s="990"/>
      <c r="H3070" s="990"/>
      <c r="I3070" s="990"/>
      <c r="J3070" s="990"/>
      <c r="K3070" s="990"/>
      <c r="L3070" s="990"/>
      <c r="M3070" s="990"/>
      <c r="N3070" s="990"/>
      <c r="O3070" s="990"/>
      <c r="P3070" s="990"/>
      <c r="Q3070" s="990"/>
      <c r="R3070" s="990"/>
      <c r="S3070" s="990"/>
      <c r="T3070" s="990"/>
      <c r="U3070" s="990"/>
      <c r="V3070" s="990"/>
      <c r="W3070" s="990"/>
      <c r="X3070" s="990"/>
    </row>
    <row r="3071" spans="1:24" s="896" customFormat="1" ht="25.5">
      <c r="A3071" s="987">
        <f t="shared" si="48"/>
        <v>2997</v>
      </c>
      <c r="B3071" s="988">
        <v>37528</v>
      </c>
      <c r="C3071" s="899" t="s">
        <v>12397</v>
      </c>
      <c r="D3071" s="988" t="s">
        <v>2666</v>
      </c>
      <c r="E3071" s="989">
        <v>562.98</v>
      </c>
      <c r="F3071" s="990"/>
      <c r="G3071" s="990"/>
      <c r="H3071" s="990"/>
      <c r="I3071" s="990"/>
      <c r="J3071" s="990"/>
      <c r="K3071" s="990"/>
      <c r="L3071" s="990"/>
      <c r="M3071" s="990"/>
      <c r="N3071" s="990"/>
      <c r="O3071" s="990"/>
      <c r="P3071" s="990"/>
      <c r="Q3071" s="990"/>
      <c r="R3071" s="990"/>
      <c r="S3071" s="990"/>
      <c r="T3071" s="990"/>
      <c r="U3071" s="990"/>
      <c r="V3071" s="990"/>
      <c r="W3071" s="990"/>
      <c r="X3071" s="990"/>
    </row>
    <row r="3072" spans="1:24" s="896" customFormat="1" ht="25.5">
      <c r="A3072" s="987">
        <f t="shared" si="48"/>
        <v>2998</v>
      </c>
      <c r="B3072" s="988">
        <v>37529</v>
      </c>
      <c r="C3072" s="899" t="s">
        <v>12398</v>
      </c>
      <c r="D3072" s="988" t="s">
        <v>2666</v>
      </c>
      <c r="E3072" s="989">
        <v>568.51</v>
      </c>
      <c r="F3072" s="990"/>
      <c r="G3072" s="990"/>
      <c r="H3072" s="990"/>
      <c r="I3072" s="990"/>
      <c r="J3072" s="990"/>
      <c r="K3072" s="990"/>
      <c r="L3072" s="990"/>
      <c r="M3072" s="990"/>
      <c r="N3072" s="990"/>
      <c r="O3072" s="990"/>
      <c r="P3072" s="990"/>
      <c r="Q3072" s="990"/>
      <c r="R3072" s="990"/>
      <c r="S3072" s="990"/>
      <c r="T3072" s="990"/>
      <c r="U3072" s="990"/>
      <c r="V3072" s="990"/>
      <c r="W3072" s="990"/>
      <c r="X3072" s="990"/>
    </row>
    <row r="3073" spans="1:24" s="896" customFormat="1" ht="25.5">
      <c r="A3073" s="987">
        <f t="shared" si="48"/>
        <v>2999</v>
      </c>
      <c r="B3073" s="988">
        <v>37530</v>
      </c>
      <c r="C3073" s="899" t="s">
        <v>12399</v>
      </c>
      <c r="D3073" s="988" t="s">
        <v>2666</v>
      </c>
      <c r="E3073" s="989">
        <v>742.22</v>
      </c>
      <c r="F3073" s="990"/>
      <c r="G3073" s="990"/>
      <c r="H3073" s="990"/>
      <c r="I3073" s="990"/>
      <c r="J3073" s="990"/>
      <c r="K3073" s="990"/>
      <c r="L3073" s="990"/>
      <c r="M3073" s="990"/>
      <c r="N3073" s="990"/>
      <c r="O3073" s="990"/>
      <c r="P3073" s="990"/>
      <c r="Q3073" s="990"/>
      <c r="R3073" s="990"/>
      <c r="S3073" s="990"/>
      <c r="T3073" s="990"/>
      <c r="U3073" s="990"/>
      <c r="V3073" s="990"/>
      <c r="W3073" s="990"/>
      <c r="X3073" s="990"/>
    </row>
    <row r="3074" spans="1:24" s="896" customFormat="1" ht="25.5">
      <c r="A3074" s="987">
        <f t="shared" si="48"/>
        <v>3000</v>
      </c>
      <c r="B3074" s="988">
        <v>21034</v>
      </c>
      <c r="C3074" s="899" t="s">
        <v>12400</v>
      </c>
      <c r="D3074" s="988" t="s">
        <v>2666</v>
      </c>
      <c r="E3074" s="989">
        <v>633.26</v>
      </c>
      <c r="F3074" s="990"/>
      <c r="G3074" s="990"/>
      <c r="H3074" s="990"/>
      <c r="I3074" s="990"/>
      <c r="J3074" s="990"/>
      <c r="K3074" s="990"/>
      <c r="L3074" s="990"/>
      <c r="M3074" s="990"/>
      <c r="N3074" s="990"/>
      <c r="O3074" s="990"/>
      <c r="P3074" s="990"/>
      <c r="Q3074" s="990"/>
      <c r="R3074" s="990"/>
      <c r="S3074" s="990"/>
      <c r="T3074" s="990"/>
      <c r="U3074" s="990"/>
      <c r="V3074" s="990"/>
      <c r="W3074" s="990"/>
      <c r="X3074" s="990"/>
    </row>
    <row r="3075" spans="1:24" s="896" customFormat="1" ht="25.5">
      <c r="A3075" s="987">
        <f t="shared" si="48"/>
        <v>3001</v>
      </c>
      <c r="B3075" s="988">
        <v>37531</v>
      </c>
      <c r="C3075" s="899" t="s">
        <v>12401</v>
      </c>
      <c r="D3075" s="988" t="s">
        <v>2666</v>
      </c>
      <c r="E3075" s="989">
        <v>797.5</v>
      </c>
      <c r="F3075" s="990"/>
      <c r="G3075" s="990"/>
      <c r="H3075" s="990"/>
      <c r="I3075" s="990"/>
      <c r="J3075" s="990"/>
      <c r="K3075" s="990"/>
      <c r="L3075" s="990"/>
      <c r="M3075" s="990"/>
      <c r="N3075" s="990"/>
      <c r="O3075" s="990"/>
      <c r="P3075" s="990"/>
      <c r="Q3075" s="990"/>
      <c r="R3075" s="990"/>
      <c r="S3075" s="990"/>
      <c r="T3075" s="990"/>
      <c r="U3075" s="990"/>
      <c r="V3075" s="990"/>
      <c r="W3075" s="990"/>
      <c r="X3075" s="990"/>
    </row>
    <row r="3076" spans="1:24" s="896" customFormat="1" ht="25.5">
      <c r="A3076" s="987">
        <f t="shared" si="48"/>
        <v>3002</v>
      </c>
      <c r="B3076" s="988">
        <v>21036</v>
      </c>
      <c r="C3076" s="899" t="s">
        <v>12402</v>
      </c>
      <c r="D3076" s="988" t="s">
        <v>2666</v>
      </c>
      <c r="E3076" s="989">
        <v>969.63</v>
      </c>
      <c r="F3076" s="990"/>
      <c r="G3076" s="990"/>
      <c r="H3076" s="990"/>
      <c r="I3076" s="990"/>
      <c r="J3076" s="990"/>
      <c r="K3076" s="990"/>
      <c r="L3076" s="990"/>
      <c r="M3076" s="990"/>
      <c r="N3076" s="990"/>
      <c r="O3076" s="990"/>
      <c r="P3076" s="990"/>
      <c r="Q3076" s="990"/>
      <c r="R3076" s="990"/>
      <c r="S3076" s="990"/>
      <c r="T3076" s="990"/>
      <c r="U3076" s="990"/>
      <c r="V3076" s="990"/>
      <c r="W3076" s="990"/>
      <c r="X3076" s="990"/>
    </row>
    <row r="3077" spans="1:24" s="896" customFormat="1" ht="25.5">
      <c r="A3077" s="987">
        <f t="shared" si="48"/>
        <v>3003</v>
      </c>
      <c r="B3077" s="988">
        <v>21037</v>
      </c>
      <c r="C3077" s="899" t="s">
        <v>12403</v>
      </c>
      <c r="D3077" s="988" t="s">
        <v>2666</v>
      </c>
      <c r="E3077" s="989">
        <v>1105.44</v>
      </c>
      <c r="F3077" s="990"/>
      <c r="G3077" s="990"/>
      <c r="H3077" s="990"/>
      <c r="I3077" s="990"/>
      <c r="J3077" s="990"/>
      <c r="K3077" s="990"/>
      <c r="L3077" s="990"/>
      <c r="M3077" s="990"/>
      <c r="N3077" s="990"/>
      <c r="O3077" s="990"/>
      <c r="P3077" s="990"/>
      <c r="Q3077" s="990"/>
      <c r="R3077" s="990"/>
      <c r="S3077" s="990"/>
      <c r="T3077" s="990"/>
      <c r="U3077" s="990"/>
      <c r="V3077" s="990"/>
      <c r="W3077" s="990"/>
      <c r="X3077" s="990"/>
    </row>
    <row r="3078" spans="1:24" s="896" customFormat="1" ht="25.5">
      <c r="A3078" s="987">
        <f t="shared" si="48"/>
        <v>3004</v>
      </c>
      <c r="B3078" s="988">
        <v>20185</v>
      </c>
      <c r="C3078" s="899" t="s">
        <v>12404</v>
      </c>
      <c r="D3078" s="988" t="s">
        <v>2669</v>
      </c>
      <c r="E3078" s="989">
        <v>22.95</v>
      </c>
      <c r="F3078" s="990"/>
      <c r="G3078" s="990"/>
      <c r="H3078" s="990"/>
      <c r="I3078" s="990"/>
      <c r="J3078" s="990"/>
      <c r="K3078" s="990"/>
      <c r="L3078" s="990"/>
      <c r="M3078" s="990"/>
      <c r="N3078" s="990"/>
      <c r="O3078" s="990"/>
      <c r="P3078" s="990"/>
      <c r="Q3078" s="990"/>
      <c r="R3078" s="990"/>
      <c r="S3078" s="990"/>
      <c r="T3078" s="990"/>
      <c r="U3078" s="990"/>
      <c r="V3078" s="990"/>
      <c r="W3078" s="990"/>
      <c r="X3078" s="990"/>
    </row>
    <row r="3079" spans="1:24" s="896" customFormat="1" ht="25.5">
      <c r="A3079" s="987">
        <f t="shared" si="48"/>
        <v>3005</v>
      </c>
      <c r="B3079" s="988">
        <v>20260</v>
      </c>
      <c r="C3079" s="899" t="s">
        <v>12405</v>
      </c>
      <c r="D3079" s="988" t="s">
        <v>2666</v>
      </c>
      <c r="E3079" s="989">
        <v>18.45</v>
      </c>
      <c r="F3079" s="990"/>
      <c r="G3079" s="990"/>
      <c r="H3079" s="990"/>
      <c r="I3079" s="990"/>
      <c r="J3079" s="990"/>
      <c r="K3079" s="990"/>
      <c r="L3079" s="990"/>
      <c r="M3079" s="990"/>
      <c r="N3079" s="990"/>
      <c r="O3079" s="990"/>
      <c r="P3079" s="990"/>
      <c r="Q3079" s="990"/>
      <c r="R3079" s="990"/>
      <c r="S3079" s="990"/>
      <c r="T3079" s="990"/>
      <c r="U3079" s="990"/>
      <c r="V3079" s="990"/>
      <c r="W3079" s="990"/>
      <c r="X3079" s="990"/>
    </row>
    <row r="3080" spans="1:24" s="896" customFormat="1" ht="25.5">
      <c r="A3080" s="987">
        <f t="shared" si="48"/>
        <v>3006</v>
      </c>
      <c r="B3080" s="988">
        <v>37523</v>
      </c>
      <c r="C3080" s="899" t="s">
        <v>12406</v>
      </c>
      <c r="D3080" s="988" t="s">
        <v>2666</v>
      </c>
      <c r="E3080" s="989">
        <v>512653.3</v>
      </c>
      <c r="F3080" s="990"/>
      <c r="G3080" s="990"/>
      <c r="H3080" s="990"/>
      <c r="I3080" s="990"/>
      <c r="J3080" s="990"/>
      <c r="K3080" s="990"/>
      <c r="L3080" s="990"/>
      <c r="M3080" s="990"/>
      <c r="N3080" s="990"/>
      <c r="O3080" s="990"/>
      <c r="P3080" s="990"/>
      <c r="Q3080" s="990"/>
      <c r="R3080" s="990"/>
      <c r="S3080" s="990"/>
      <c r="T3080" s="990"/>
      <c r="U3080" s="990"/>
      <c r="V3080" s="990"/>
      <c r="W3080" s="990"/>
      <c r="X3080" s="990"/>
    </row>
    <row r="3081" spans="1:24" s="896" customFormat="1" ht="25.5">
      <c r="A3081" s="987">
        <f t="shared" si="48"/>
        <v>3007</v>
      </c>
      <c r="B3081" s="988">
        <v>37515</v>
      </c>
      <c r="C3081" s="899" t="s">
        <v>12407</v>
      </c>
      <c r="D3081" s="988" t="s">
        <v>2666</v>
      </c>
      <c r="E3081" s="989">
        <v>455775</v>
      </c>
      <c r="F3081" s="990"/>
      <c r="G3081" s="990"/>
      <c r="H3081" s="990"/>
      <c r="I3081" s="990"/>
      <c r="J3081" s="990"/>
      <c r="K3081" s="990"/>
      <c r="L3081" s="990"/>
      <c r="M3081" s="990"/>
      <c r="N3081" s="990"/>
      <c r="O3081" s="990"/>
      <c r="P3081" s="990"/>
      <c r="Q3081" s="990"/>
      <c r="R3081" s="990"/>
      <c r="S3081" s="990"/>
      <c r="T3081" s="990"/>
      <c r="U3081" s="990"/>
      <c r="V3081" s="990"/>
      <c r="W3081" s="990"/>
      <c r="X3081" s="990"/>
    </row>
    <row r="3082" spans="1:24" s="896" customFormat="1" ht="25.5">
      <c r="A3082" s="987">
        <f t="shared" si="48"/>
        <v>3008</v>
      </c>
      <c r="B3082" s="988">
        <v>12899</v>
      </c>
      <c r="C3082" s="899" t="s">
        <v>12408</v>
      </c>
      <c r="D3082" s="988" t="s">
        <v>2666</v>
      </c>
      <c r="E3082" s="989">
        <v>107.13</v>
      </c>
      <c r="F3082" s="990"/>
      <c r="G3082" s="990"/>
      <c r="H3082" s="990"/>
      <c r="I3082" s="990"/>
      <c r="J3082" s="990"/>
      <c r="K3082" s="990"/>
      <c r="L3082" s="990"/>
      <c r="M3082" s="990"/>
      <c r="N3082" s="990"/>
      <c r="O3082" s="990"/>
      <c r="P3082" s="990"/>
      <c r="Q3082" s="990"/>
      <c r="R3082" s="990"/>
      <c r="S3082" s="990"/>
      <c r="T3082" s="990"/>
      <c r="U3082" s="990"/>
      <c r="V3082" s="990"/>
      <c r="W3082" s="990"/>
      <c r="X3082" s="990"/>
    </row>
    <row r="3083" spans="1:24" s="896" customFormat="1" ht="25.5">
      <c r="A3083" s="987">
        <f t="shared" si="48"/>
        <v>3009</v>
      </c>
      <c r="B3083" s="988">
        <v>12898</v>
      </c>
      <c r="C3083" s="899" t="s">
        <v>12409</v>
      </c>
      <c r="D3083" s="988" t="s">
        <v>2666</v>
      </c>
      <c r="E3083" s="989">
        <v>169.94</v>
      </c>
      <c r="F3083" s="990"/>
      <c r="G3083" s="990"/>
      <c r="H3083" s="990"/>
      <c r="I3083" s="990"/>
      <c r="J3083" s="990"/>
      <c r="K3083" s="990"/>
      <c r="L3083" s="990"/>
      <c r="M3083" s="990"/>
      <c r="N3083" s="990"/>
      <c r="O3083" s="990"/>
      <c r="P3083" s="990"/>
      <c r="Q3083" s="990"/>
      <c r="R3083" s="990"/>
      <c r="S3083" s="990"/>
      <c r="T3083" s="990"/>
      <c r="U3083" s="990"/>
      <c r="V3083" s="990"/>
      <c r="W3083" s="990"/>
      <c r="X3083" s="990"/>
    </row>
    <row r="3084" spans="1:24" s="896" customFormat="1">
      <c r="A3084" s="987">
        <f t="shared" ref="A3084:A3147" si="49">A3083+1</f>
        <v>3010</v>
      </c>
      <c r="B3084" s="988">
        <v>42528</v>
      </c>
      <c r="C3084" s="899" t="s">
        <v>12410</v>
      </c>
      <c r="D3084" s="988" t="s">
        <v>2667</v>
      </c>
      <c r="E3084" s="989">
        <v>8.42</v>
      </c>
      <c r="F3084" s="990"/>
      <c r="G3084" s="990"/>
      <c r="H3084" s="990"/>
      <c r="I3084" s="990"/>
      <c r="J3084" s="990"/>
      <c r="K3084" s="990"/>
      <c r="L3084" s="990"/>
      <c r="M3084" s="990"/>
      <c r="N3084" s="990"/>
      <c r="O3084" s="990"/>
      <c r="P3084" s="990"/>
      <c r="Q3084" s="990"/>
      <c r="R3084" s="990"/>
      <c r="S3084" s="990"/>
      <c r="T3084" s="990"/>
      <c r="U3084" s="990"/>
      <c r="V3084" s="990"/>
      <c r="W3084" s="990"/>
      <c r="X3084" s="990"/>
    </row>
    <row r="3085" spans="1:24" s="896" customFormat="1">
      <c r="A3085" s="987">
        <f t="shared" si="49"/>
        <v>3011</v>
      </c>
      <c r="B3085" s="988">
        <v>39696</v>
      </c>
      <c r="C3085" s="899" t="s">
        <v>12411</v>
      </c>
      <c r="D3085" s="988" t="s">
        <v>2667</v>
      </c>
      <c r="E3085" s="989">
        <v>5.92</v>
      </c>
      <c r="F3085" s="990"/>
      <c r="G3085" s="990"/>
      <c r="H3085" s="990"/>
      <c r="I3085" s="990"/>
      <c r="J3085" s="990"/>
      <c r="K3085" s="990"/>
      <c r="L3085" s="990"/>
      <c r="M3085" s="990"/>
      <c r="N3085" s="990"/>
      <c r="O3085" s="990"/>
      <c r="P3085" s="990"/>
      <c r="Q3085" s="990"/>
      <c r="R3085" s="990"/>
      <c r="S3085" s="990"/>
      <c r="T3085" s="990"/>
      <c r="U3085" s="990"/>
      <c r="V3085" s="990"/>
      <c r="W3085" s="990"/>
      <c r="X3085" s="990"/>
    </row>
    <row r="3086" spans="1:24" s="896" customFormat="1">
      <c r="A3086" s="987">
        <f t="shared" si="49"/>
        <v>3012</v>
      </c>
      <c r="B3086" s="988">
        <v>39700</v>
      </c>
      <c r="C3086" s="899" t="s">
        <v>12412</v>
      </c>
      <c r="D3086" s="988" t="s">
        <v>2667</v>
      </c>
      <c r="E3086" s="989">
        <v>27.96</v>
      </c>
      <c r="F3086" s="990"/>
      <c r="G3086" s="990"/>
      <c r="H3086" s="990"/>
      <c r="I3086" s="990"/>
      <c r="J3086" s="990"/>
      <c r="K3086" s="990"/>
      <c r="L3086" s="990"/>
      <c r="M3086" s="990"/>
      <c r="N3086" s="990"/>
      <c r="O3086" s="990"/>
      <c r="P3086" s="990"/>
      <c r="Q3086" s="990"/>
      <c r="R3086" s="990"/>
      <c r="S3086" s="990"/>
      <c r="T3086" s="990"/>
      <c r="U3086" s="990"/>
      <c r="V3086" s="990"/>
      <c r="W3086" s="990"/>
      <c r="X3086" s="990"/>
    </row>
    <row r="3087" spans="1:24" s="896" customFormat="1" ht="25.5">
      <c r="A3087" s="987">
        <f t="shared" si="49"/>
        <v>3013</v>
      </c>
      <c r="B3087" s="988">
        <v>11621</v>
      </c>
      <c r="C3087" s="899" t="s">
        <v>12413</v>
      </c>
      <c r="D3087" s="988" t="s">
        <v>2667</v>
      </c>
      <c r="E3087" s="989">
        <v>55.63</v>
      </c>
      <c r="F3087" s="990"/>
      <c r="G3087" s="990"/>
      <c r="H3087" s="990"/>
      <c r="I3087" s="990"/>
      <c r="J3087" s="990"/>
      <c r="K3087" s="990"/>
      <c r="L3087" s="990"/>
      <c r="M3087" s="990"/>
      <c r="N3087" s="990"/>
      <c r="O3087" s="990"/>
      <c r="P3087" s="990"/>
      <c r="Q3087" s="990"/>
      <c r="R3087" s="990"/>
      <c r="S3087" s="990"/>
      <c r="T3087" s="990"/>
      <c r="U3087" s="990"/>
      <c r="V3087" s="990"/>
      <c r="W3087" s="990"/>
      <c r="X3087" s="990"/>
    </row>
    <row r="3088" spans="1:24" s="896" customFormat="1" ht="25.5">
      <c r="A3088" s="987">
        <f t="shared" si="49"/>
        <v>3014</v>
      </c>
      <c r="B3088" s="988">
        <v>4014</v>
      </c>
      <c r="C3088" s="899" t="s">
        <v>12414</v>
      </c>
      <c r="D3088" s="988" t="s">
        <v>2667</v>
      </c>
      <c r="E3088" s="989">
        <v>57.56</v>
      </c>
      <c r="F3088" s="990"/>
      <c r="G3088" s="990"/>
      <c r="H3088" s="990"/>
      <c r="I3088" s="990"/>
      <c r="J3088" s="990"/>
      <c r="K3088" s="990"/>
      <c r="L3088" s="990"/>
      <c r="M3088" s="990"/>
      <c r="N3088" s="990"/>
      <c r="O3088" s="990"/>
      <c r="P3088" s="990"/>
      <c r="Q3088" s="990"/>
      <c r="R3088" s="990"/>
      <c r="S3088" s="990"/>
      <c r="T3088" s="990"/>
      <c r="U3088" s="990"/>
      <c r="V3088" s="990"/>
      <c r="W3088" s="990"/>
      <c r="X3088" s="990"/>
    </row>
    <row r="3089" spans="1:24" s="896" customFormat="1" ht="25.5">
      <c r="A3089" s="987">
        <f t="shared" si="49"/>
        <v>3015</v>
      </c>
      <c r="B3089" s="988">
        <v>4015</v>
      </c>
      <c r="C3089" s="899" t="s">
        <v>12415</v>
      </c>
      <c r="D3089" s="988" t="s">
        <v>2667</v>
      </c>
      <c r="E3089" s="989">
        <v>70.680000000000007</v>
      </c>
      <c r="F3089" s="990"/>
      <c r="G3089" s="990"/>
      <c r="H3089" s="990"/>
      <c r="I3089" s="990"/>
      <c r="J3089" s="990"/>
      <c r="K3089" s="990"/>
      <c r="L3089" s="990"/>
      <c r="M3089" s="990"/>
      <c r="N3089" s="990"/>
      <c r="O3089" s="990"/>
      <c r="P3089" s="990"/>
      <c r="Q3089" s="990"/>
      <c r="R3089" s="990"/>
      <c r="S3089" s="990"/>
      <c r="T3089" s="990"/>
      <c r="U3089" s="990"/>
      <c r="V3089" s="990"/>
      <c r="W3089" s="990"/>
      <c r="X3089" s="990"/>
    </row>
    <row r="3090" spans="1:24" s="896" customFormat="1" ht="25.5">
      <c r="A3090" s="987">
        <f t="shared" si="49"/>
        <v>3016</v>
      </c>
      <c r="B3090" s="988">
        <v>4017</v>
      </c>
      <c r="C3090" s="899" t="s">
        <v>12416</v>
      </c>
      <c r="D3090" s="988" t="s">
        <v>2667</v>
      </c>
      <c r="E3090" s="989">
        <v>102.84</v>
      </c>
      <c r="F3090" s="990"/>
      <c r="G3090" s="990"/>
      <c r="H3090" s="990"/>
      <c r="I3090" s="990"/>
      <c r="J3090" s="990"/>
      <c r="K3090" s="990"/>
      <c r="L3090" s="990"/>
      <c r="M3090" s="990"/>
      <c r="N3090" s="990"/>
      <c r="O3090" s="990"/>
      <c r="P3090" s="990"/>
      <c r="Q3090" s="990"/>
      <c r="R3090" s="990"/>
      <c r="S3090" s="990"/>
      <c r="T3090" s="990"/>
      <c r="U3090" s="990"/>
      <c r="V3090" s="990"/>
      <c r="W3090" s="990"/>
      <c r="X3090" s="990"/>
    </row>
    <row r="3091" spans="1:24" s="896" customFormat="1" ht="25.5">
      <c r="A3091" s="987">
        <f t="shared" si="49"/>
        <v>3017</v>
      </c>
      <c r="B3091" s="988">
        <v>4016</v>
      </c>
      <c r="C3091" s="899" t="s">
        <v>12417</v>
      </c>
      <c r="D3091" s="988" t="s">
        <v>2667</v>
      </c>
      <c r="E3091" s="989">
        <v>40.619999999999997</v>
      </c>
      <c r="F3091" s="990"/>
      <c r="G3091" s="990"/>
      <c r="H3091" s="990"/>
      <c r="I3091" s="990"/>
      <c r="J3091" s="990"/>
      <c r="K3091" s="990"/>
      <c r="L3091" s="990"/>
      <c r="M3091" s="990"/>
      <c r="N3091" s="990"/>
      <c r="O3091" s="990"/>
      <c r="P3091" s="990"/>
      <c r="Q3091" s="990"/>
      <c r="R3091" s="990"/>
      <c r="S3091" s="990"/>
      <c r="T3091" s="990"/>
      <c r="U3091" s="990"/>
      <c r="V3091" s="990"/>
      <c r="W3091" s="990"/>
      <c r="X3091" s="990"/>
    </row>
    <row r="3092" spans="1:24" s="896" customFormat="1">
      <c r="A3092" s="987">
        <f t="shared" si="49"/>
        <v>3018</v>
      </c>
      <c r="B3092" s="988">
        <v>39699</v>
      </c>
      <c r="C3092" s="899" t="s">
        <v>12418</v>
      </c>
      <c r="D3092" s="988" t="s">
        <v>2667</v>
      </c>
      <c r="E3092" s="989">
        <v>18.93</v>
      </c>
      <c r="F3092" s="990"/>
      <c r="G3092" s="990"/>
      <c r="H3092" s="990"/>
      <c r="I3092" s="990"/>
      <c r="J3092" s="990"/>
      <c r="K3092" s="990"/>
      <c r="L3092" s="990"/>
      <c r="M3092" s="990"/>
      <c r="N3092" s="990"/>
      <c r="O3092" s="990"/>
      <c r="P3092" s="990"/>
      <c r="Q3092" s="990"/>
      <c r="R3092" s="990"/>
      <c r="S3092" s="990"/>
      <c r="T3092" s="990"/>
      <c r="U3092" s="990"/>
      <c r="V3092" s="990"/>
      <c r="W3092" s="990"/>
      <c r="X3092" s="990"/>
    </row>
    <row r="3093" spans="1:24" s="896" customFormat="1">
      <c r="A3093" s="987">
        <f t="shared" si="49"/>
        <v>3019</v>
      </c>
      <c r="B3093" s="988">
        <v>38544</v>
      </c>
      <c r="C3093" s="899" t="s">
        <v>12419</v>
      </c>
      <c r="D3093" s="988" t="s">
        <v>2667</v>
      </c>
      <c r="E3093" s="989">
        <v>10.42</v>
      </c>
      <c r="F3093" s="990"/>
      <c r="G3093" s="990"/>
      <c r="H3093" s="990"/>
      <c r="I3093" s="990"/>
      <c r="J3093" s="990"/>
      <c r="K3093" s="990"/>
      <c r="L3093" s="990"/>
      <c r="M3093" s="990"/>
      <c r="N3093" s="990"/>
      <c r="O3093" s="990"/>
      <c r="P3093" s="990"/>
      <c r="Q3093" s="990"/>
      <c r="R3093" s="990"/>
      <c r="S3093" s="990"/>
      <c r="T3093" s="990"/>
      <c r="U3093" s="990"/>
      <c r="V3093" s="990"/>
      <c r="W3093" s="990"/>
      <c r="X3093" s="990"/>
    </row>
    <row r="3094" spans="1:24" s="896" customFormat="1">
      <c r="A3094" s="987">
        <f t="shared" si="49"/>
        <v>3020</v>
      </c>
      <c r="B3094" s="988">
        <v>38545</v>
      </c>
      <c r="C3094" s="899" t="s">
        <v>12420</v>
      </c>
      <c r="D3094" s="988" t="s">
        <v>2667</v>
      </c>
      <c r="E3094" s="989">
        <v>6.7</v>
      </c>
      <c r="F3094" s="990"/>
      <c r="G3094" s="990"/>
      <c r="H3094" s="990"/>
      <c r="I3094" s="990"/>
      <c r="J3094" s="990"/>
      <c r="K3094" s="990"/>
      <c r="L3094" s="990"/>
      <c r="M3094" s="990"/>
      <c r="N3094" s="990"/>
      <c r="O3094" s="990"/>
      <c r="P3094" s="990"/>
      <c r="Q3094" s="990"/>
      <c r="R3094" s="990"/>
      <c r="S3094" s="990"/>
      <c r="T3094" s="990"/>
      <c r="U3094" s="990"/>
      <c r="V3094" s="990"/>
      <c r="W3094" s="990"/>
      <c r="X3094" s="990"/>
    </row>
    <row r="3095" spans="1:24" s="896" customFormat="1" ht="25.5">
      <c r="A3095" s="987">
        <f t="shared" si="49"/>
        <v>3021</v>
      </c>
      <c r="B3095" s="988">
        <v>42527</v>
      </c>
      <c r="C3095" s="899" t="s">
        <v>12421</v>
      </c>
      <c r="D3095" s="988" t="s">
        <v>2667</v>
      </c>
      <c r="E3095" s="989">
        <v>22.24</v>
      </c>
      <c r="F3095" s="990"/>
      <c r="G3095" s="990"/>
      <c r="H3095" s="990"/>
      <c r="I3095" s="990"/>
      <c r="J3095" s="990"/>
      <c r="K3095" s="990"/>
      <c r="L3095" s="990"/>
      <c r="M3095" s="990"/>
      <c r="N3095" s="990"/>
      <c r="O3095" s="990"/>
      <c r="P3095" s="990"/>
      <c r="Q3095" s="990"/>
      <c r="R3095" s="990"/>
      <c r="S3095" s="990"/>
      <c r="T3095" s="990"/>
      <c r="U3095" s="990"/>
      <c r="V3095" s="990"/>
      <c r="W3095" s="990"/>
      <c r="X3095" s="990"/>
    </row>
    <row r="3096" spans="1:24" s="896" customFormat="1" ht="25.5">
      <c r="A3096" s="987">
        <f t="shared" si="49"/>
        <v>3022</v>
      </c>
      <c r="B3096" s="988">
        <v>39323</v>
      </c>
      <c r="C3096" s="899" t="s">
        <v>12422</v>
      </c>
      <c r="D3096" s="988" t="s">
        <v>2667</v>
      </c>
      <c r="E3096" s="989">
        <v>25.55</v>
      </c>
      <c r="F3096" s="990"/>
      <c r="G3096" s="990"/>
      <c r="H3096" s="990"/>
      <c r="I3096" s="990"/>
      <c r="J3096" s="990"/>
      <c r="K3096" s="990"/>
      <c r="L3096" s="990"/>
      <c r="M3096" s="990"/>
      <c r="N3096" s="990"/>
      <c r="O3096" s="990"/>
      <c r="P3096" s="990"/>
      <c r="Q3096" s="990"/>
      <c r="R3096" s="990"/>
      <c r="S3096" s="990"/>
      <c r="T3096" s="990"/>
      <c r="U3096" s="990"/>
      <c r="V3096" s="990"/>
      <c r="W3096" s="990"/>
      <c r="X3096" s="990"/>
    </row>
    <row r="3097" spans="1:24" s="896" customFormat="1" ht="38.25">
      <c r="A3097" s="987">
        <f t="shared" si="49"/>
        <v>3023</v>
      </c>
      <c r="B3097" s="988">
        <v>626</v>
      </c>
      <c r="C3097" s="899" t="s">
        <v>12423</v>
      </c>
      <c r="D3097" s="988" t="s">
        <v>2670</v>
      </c>
      <c r="E3097" s="989">
        <v>18.73</v>
      </c>
      <c r="F3097" s="990"/>
      <c r="G3097" s="990"/>
      <c r="H3097" s="990"/>
      <c r="I3097" s="990"/>
      <c r="J3097" s="990"/>
      <c r="K3097" s="990"/>
      <c r="L3097" s="990"/>
      <c r="M3097" s="990"/>
      <c r="N3097" s="990"/>
      <c r="O3097" s="990"/>
      <c r="P3097" s="990"/>
      <c r="Q3097" s="990"/>
      <c r="R3097" s="990"/>
      <c r="S3097" s="990"/>
      <c r="T3097" s="990"/>
      <c r="U3097" s="990"/>
      <c r="V3097" s="990"/>
      <c r="W3097" s="990"/>
      <c r="X3097" s="990"/>
    </row>
    <row r="3098" spans="1:24" s="896" customFormat="1">
      <c r="A3098" s="987">
        <f t="shared" si="49"/>
        <v>3024</v>
      </c>
      <c r="B3098" s="988">
        <v>44504</v>
      </c>
      <c r="C3098" s="899" t="s">
        <v>12424</v>
      </c>
      <c r="D3098" s="988" t="s">
        <v>2667</v>
      </c>
      <c r="E3098" s="989">
        <v>14.77</v>
      </c>
      <c r="F3098" s="990"/>
      <c r="G3098" s="990"/>
      <c r="H3098" s="990"/>
      <c r="I3098" s="990"/>
      <c r="J3098" s="990"/>
      <c r="K3098" s="990"/>
      <c r="L3098" s="990"/>
      <c r="M3098" s="990"/>
      <c r="N3098" s="990"/>
      <c r="O3098" s="990"/>
      <c r="P3098" s="990"/>
      <c r="Q3098" s="990"/>
      <c r="R3098" s="990"/>
      <c r="S3098" s="990"/>
      <c r="T3098" s="990"/>
      <c r="U3098" s="990"/>
      <c r="V3098" s="990"/>
      <c r="W3098" s="990"/>
      <c r="X3098" s="990"/>
    </row>
    <row r="3099" spans="1:24" s="896" customFormat="1">
      <c r="A3099" s="987">
        <f t="shared" si="49"/>
        <v>3025</v>
      </c>
      <c r="B3099" s="988">
        <v>44505</v>
      </c>
      <c r="C3099" s="899" t="s">
        <v>12425</v>
      </c>
      <c r="D3099" s="988" t="s">
        <v>2667</v>
      </c>
      <c r="E3099" s="989">
        <v>22.29</v>
      </c>
      <c r="F3099" s="990"/>
      <c r="G3099" s="990"/>
      <c r="H3099" s="990"/>
      <c r="I3099" s="990"/>
      <c r="J3099" s="990"/>
      <c r="K3099" s="990"/>
      <c r="L3099" s="990"/>
      <c r="M3099" s="990"/>
      <c r="N3099" s="990"/>
      <c r="O3099" s="990"/>
      <c r="P3099" s="990"/>
      <c r="Q3099" s="990"/>
      <c r="R3099" s="990"/>
      <c r="S3099" s="990"/>
      <c r="T3099" s="990"/>
      <c r="U3099" s="990"/>
      <c r="V3099" s="990"/>
      <c r="W3099" s="990"/>
      <c r="X3099" s="990"/>
    </row>
    <row r="3100" spans="1:24" s="896" customFormat="1">
      <c r="A3100" s="987">
        <f t="shared" si="49"/>
        <v>3026</v>
      </c>
      <c r="B3100" s="988">
        <v>44506</v>
      </c>
      <c r="C3100" s="899" t="s">
        <v>12426</v>
      </c>
      <c r="D3100" s="988" t="s">
        <v>2667</v>
      </c>
      <c r="E3100" s="989">
        <v>23.66</v>
      </c>
      <c r="F3100" s="990"/>
      <c r="G3100" s="990"/>
      <c r="H3100" s="990"/>
      <c r="I3100" s="990"/>
      <c r="J3100" s="990"/>
      <c r="K3100" s="990"/>
      <c r="L3100" s="990"/>
      <c r="M3100" s="990"/>
      <c r="N3100" s="990"/>
      <c r="O3100" s="990"/>
      <c r="P3100" s="990"/>
      <c r="Q3100" s="990"/>
      <c r="R3100" s="990"/>
      <c r="S3100" s="990"/>
      <c r="T3100" s="990"/>
      <c r="U3100" s="990"/>
      <c r="V3100" s="990"/>
      <c r="W3100" s="990"/>
      <c r="X3100" s="990"/>
    </row>
    <row r="3101" spans="1:24" s="896" customFormat="1">
      <c r="A3101" s="987">
        <f t="shared" si="49"/>
        <v>3027</v>
      </c>
      <c r="B3101" s="988">
        <v>44507</v>
      </c>
      <c r="C3101" s="899" t="s">
        <v>12427</v>
      </c>
      <c r="D3101" s="988" t="s">
        <v>2667</v>
      </c>
      <c r="E3101" s="989">
        <v>29.58</v>
      </c>
      <c r="F3101" s="990"/>
      <c r="G3101" s="990"/>
      <c r="H3101" s="990"/>
      <c r="I3101" s="990"/>
      <c r="J3101" s="990"/>
      <c r="K3101" s="990"/>
      <c r="L3101" s="990"/>
      <c r="M3101" s="990"/>
      <c r="N3101" s="990"/>
      <c r="O3101" s="990"/>
      <c r="P3101" s="990"/>
      <c r="Q3101" s="990"/>
      <c r="R3101" s="990"/>
      <c r="S3101" s="990"/>
      <c r="T3101" s="990"/>
      <c r="U3101" s="990"/>
      <c r="V3101" s="990"/>
      <c r="W3101" s="990"/>
      <c r="X3101" s="990"/>
    </row>
    <row r="3102" spans="1:24" s="896" customFormat="1">
      <c r="A3102" s="987">
        <f t="shared" si="49"/>
        <v>3028</v>
      </c>
      <c r="B3102" s="988">
        <v>44508</v>
      </c>
      <c r="C3102" s="899" t="s">
        <v>12428</v>
      </c>
      <c r="D3102" s="988" t="s">
        <v>2667</v>
      </c>
      <c r="E3102" s="989">
        <v>44.36</v>
      </c>
      <c r="F3102" s="990"/>
      <c r="G3102" s="990"/>
      <c r="H3102" s="990"/>
      <c r="I3102" s="990"/>
      <c r="J3102" s="990"/>
      <c r="K3102" s="990"/>
      <c r="L3102" s="990"/>
      <c r="M3102" s="990"/>
      <c r="N3102" s="990"/>
      <c r="O3102" s="990"/>
      <c r="P3102" s="990"/>
      <c r="Q3102" s="990"/>
      <c r="R3102" s="990"/>
      <c r="S3102" s="990"/>
      <c r="T3102" s="990"/>
      <c r="U3102" s="990"/>
      <c r="V3102" s="990"/>
      <c r="W3102" s="990"/>
      <c r="X3102" s="990"/>
    </row>
    <row r="3103" spans="1:24" s="896" customFormat="1">
      <c r="A3103" s="987">
        <f t="shared" si="49"/>
        <v>3029</v>
      </c>
      <c r="B3103" s="988">
        <v>44509</v>
      </c>
      <c r="C3103" s="899" t="s">
        <v>12429</v>
      </c>
      <c r="D3103" s="988" t="s">
        <v>2667</v>
      </c>
      <c r="E3103" s="989">
        <v>59.42</v>
      </c>
      <c r="F3103" s="990"/>
      <c r="G3103" s="990"/>
      <c r="H3103" s="990"/>
      <c r="I3103" s="990"/>
      <c r="J3103" s="990"/>
      <c r="K3103" s="990"/>
      <c r="L3103" s="990"/>
      <c r="M3103" s="990"/>
      <c r="N3103" s="990"/>
      <c r="O3103" s="990"/>
      <c r="P3103" s="990"/>
      <c r="Q3103" s="990"/>
      <c r="R3103" s="990"/>
      <c r="S3103" s="990"/>
      <c r="T3103" s="990"/>
      <c r="U3103" s="990"/>
      <c r="V3103" s="990"/>
      <c r="W3103" s="990"/>
      <c r="X3103" s="990"/>
    </row>
    <row r="3104" spans="1:24" s="896" customFormat="1">
      <c r="A3104" s="987">
        <f t="shared" si="49"/>
        <v>3030</v>
      </c>
      <c r="B3104" s="988">
        <v>44510</v>
      </c>
      <c r="C3104" s="899" t="s">
        <v>12430</v>
      </c>
      <c r="D3104" s="988" t="s">
        <v>2667</v>
      </c>
      <c r="E3104" s="989">
        <v>73.790000000000006</v>
      </c>
      <c r="F3104" s="990"/>
      <c r="G3104" s="990"/>
      <c r="H3104" s="990"/>
      <c r="I3104" s="990"/>
      <c r="J3104" s="990"/>
      <c r="K3104" s="990"/>
      <c r="L3104" s="990"/>
      <c r="M3104" s="990"/>
      <c r="N3104" s="990"/>
      <c r="O3104" s="990"/>
      <c r="P3104" s="990"/>
      <c r="Q3104" s="990"/>
      <c r="R3104" s="990"/>
      <c r="S3104" s="990"/>
      <c r="T3104" s="990"/>
      <c r="U3104" s="990"/>
      <c r="V3104" s="990"/>
      <c r="W3104" s="990"/>
      <c r="X3104" s="990"/>
    </row>
    <row r="3105" spans="1:24" s="896" customFormat="1" ht="25.5">
      <c r="A3105" s="987">
        <f t="shared" si="49"/>
        <v>3031</v>
      </c>
      <c r="B3105" s="988">
        <v>44512</v>
      </c>
      <c r="C3105" s="899" t="s">
        <v>12431</v>
      </c>
      <c r="D3105" s="988" t="s">
        <v>2667</v>
      </c>
      <c r="E3105" s="989">
        <v>16.47</v>
      </c>
      <c r="F3105" s="990"/>
      <c r="G3105" s="990"/>
      <c r="H3105" s="990"/>
      <c r="I3105" s="990"/>
      <c r="J3105" s="990"/>
      <c r="K3105" s="990"/>
      <c r="L3105" s="990"/>
      <c r="M3105" s="990"/>
      <c r="N3105" s="990"/>
      <c r="O3105" s="990"/>
      <c r="P3105" s="990"/>
      <c r="Q3105" s="990"/>
      <c r="R3105" s="990"/>
      <c r="S3105" s="990"/>
      <c r="T3105" s="990"/>
      <c r="U3105" s="990"/>
      <c r="V3105" s="990"/>
      <c r="W3105" s="990"/>
      <c r="X3105" s="990"/>
    </row>
    <row r="3106" spans="1:24" s="896" customFormat="1" ht="25.5">
      <c r="A3106" s="987">
        <f t="shared" si="49"/>
        <v>3032</v>
      </c>
      <c r="B3106" s="988">
        <v>44513</v>
      </c>
      <c r="C3106" s="899" t="s">
        <v>12432</v>
      </c>
      <c r="D3106" s="988" t="s">
        <v>2667</v>
      </c>
      <c r="E3106" s="989">
        <v>23.25</v>
      </c>
      <c r="F3106" s="990"/>
      <c r="G3106" s="990"/>
      <c r="H3106" s="990"/>
      <c r="I3106" s="990"/>
      <c r="J3106" s="990"/>
      <c r="K3106" s="990"/>
      <c r="L3106" s="990"/>
      <c r="M3106" s="990"/>
      <c r="N3106" s="990"/>
      <c r="O3106" s="990"/>
      <c r="P3106" s="990"/>
      <c r="Q3106" s="990"/>
      <c r="R3106" s="990"/>
      <c r="S3106" s="990"/>
      <c r="T3106" s="990"/>
      <c r="U3106" s="990"/>
      <c r="V3106" s="990"/>
      <c r="W3106" s="990"/>
      <c r="X3106" s="990"/>
    </row>
    <row r="3107" spans="1:24" s="896" customFormat="1" ht="25.5">
      <c r="A3107" s="987">
        <f t="shared" si="49"/>
        <v>3033</v>
      </c>
      <c r="B3107" s="988">
        <v>44514</v>
      </c>
      <c r="C3107" s="899" t="s">
        <v>12433</v>
      </c>
      <c r="D3107" s="988" t="s">
        <v>2667</v>
      </c>
      <c r="E3107" s="989">
        <v>26.35</v>
      </c>
      <c r="F3107" s="990"/>
      <c r="G3107" s="990"/>
      <c r="H3107" s="990"/>
      <c r="I3107" s="990"/>
      <c r="J3107" s="990"/>
      <c r="K3107" s="990"/>
      <c r="L3107" s="990"/>
      <c r="M3107" s="990"/>
      <c r="N3107" s="990"/>
      <c r="O3107" s="990"/>
      <c r="P3107" s="990"/>
      <c r="Q3107" s="990"/>
      <c r="R3107" s="990"/>
      <c r="S3107" s="990"/>
      <c r="T3107" s="990"/>
      <c r="U3107" s="990"/>
      <c r="V3107" s="990"/>
      <c r="W3107" s="990"/>
      <c r="X3107" s="990"/>
    </row>
    <row r="3108" spans="1:24" s="896" customFormat="1" ht="25.5">
      <c r="A3108" s="987">
        <f t="shared" si="49"/>
        <v>3034</v>
      </c>
      <c r="B3108" s="988">
        <v>44515</v>
      </c>
      <c r="C3108" s="899" t="s">
        <v>12434</v>
      </c>
      <c r="D3108" s="988" t="s">
        <v>2667</v>
      </c>
      <c r="E3108" s="989">
        <v>32.36</v>
      </c>
      <c r="F3108" s="990"/>
      <c r="G3108" s="990"/>
      <c r="H3108" s="990"/>
      <c r="I3108" s="990"/>
      <c r="J3108" s="990"/>
      <c r="K3108" s="990"/>
      <c r="L3108" s="990"/>
      <c r="M3108" s="990"/>
      <c r="N3108" s="990"/>
      <c r="O3108" s="990"/>
      <c r="P3108" s="990"/>
      <c r="Q3108" s="990"/>
      <c r="R3108" s="990"/>
      <c r="S3108" s="990"/>
      <c r="T3108" s="990"/>
      <c r="U3108" s="990"/>
      <c r="V3108" s="990"/>
      <c r="W3108" s="990"/>
      <c r="X3108" s="990"/>
    </row>
    <row r="3109" spans="1:24" s="896" customFormat="1" ht="25.5">
      <c r="A3109" s="987">
        <f t="shared" si="49"/>
        <v>3035</v>
      </c>
      <c r="B3109" s="988">
        <v>44511</v>
      </c>
      <c r="C3109" s="899" t="s">
        <v>12435</v>
      </c>
      <c r="D3109" s="988" t="s">
        <v>2667</v>
      </c>
      <c r="E3109" s="989">
        <v>47.9</v>
      </c>
      <c r="F3109" s="990"/>
      <c r="G3109" s="990"/>
      <c r="H3109" s="990"/>
      <c r="I3109" s="990"/>
      <c r="J3109" s="990"/>
      <c r="K3109" s="990"/>
      <c r="L3109" s="990"/>
      <c r="M3109" s="990"/>
      <c r="N3109" s="990"/>
      <c r="O3109" s="990"/>
      <c r="P3109" s="990"/>
      <c r="Q3109" s="990"/>
      <c r="R3109" s="990"/>
      <c r="S3109" s="990"/>
      <c r="T3109" s="990"/>
      <c r="U3109" s="990"/>
      <c r="V3109" s="990"/>
      <c r="W3109" s="990"/>
      <c r="X3109" s="990"/>
    </row>
    <row r="3110" spans="1:24" s="896" customFormat="1" ht="25.5">
      <c r="A3110" s="987">
        <f t="shared" si="49"/>
        <v>3036</v>
      </c>
      <c r="B3110" s="988">
        <v>44516</v>
      </c>
      <c r="C3110" s="899" t="s">
        <v>12436</v>
      </c>
      <c r="D3110" s="988" t="s">
        <v>2667</v>
      </c>
      <c r="E3110" s="989">
        <v>64.73</v>
      </c>
      <c r="F3110" s="990"/>
      <c r="G3110" s="990"/>
      <c r="H3110" s="990"/>
      <c r="I3110" s="990"/>
      <c r="J3110" s="990"/>
      <c r="K3110" s="990"/>
      <c r="L3110" s="990"/>
      <c r="M3110" s="990"/>
      <c r="N3110" s="990"/>
      <c r="O3110" s="990"/>
      <c r="P3110" s="990"/>
      <c r="Q3110" s="990"/>
      <c r="R3110" s="990"/>
      <c r="S3110" s="990"/>
      <c r="T3110" s="990"/>
      <c r="U3110" s="990"/>
      <c r="V3110" s="990"/>
      <c r="W3110" s="990"/>
      <c r="X3110" s="990"/>
    </row>
    <row r="3111" spans="1:24" s="896" customFormat="1" ht="25.5">
      <c r="A3111" s="987">
        <f t="shared" si="49"/>
        <v>3037</v>
      </c>
      <c r="B3111" s="988">
        <v>44517</v>
      </c>
      <c r="C3111" s="899" t="s">
        <v>12437</v>
      </c>
      <c r="D3111" s="988" t="s">
        <v>2667</v>
      </c>
      <c r="E3111" s="989">
        <v>80.739999999999995</v>
      </c>
      <c r="F3111" s="990"/>
      <c r="G3111" s="990"/>
      <c r="H3111" s="990"/>
      <c r="I3111" s="990"/>
      <c r="J3111" s="990"/>
      <c r="K3111" s="990"/>
      <c r="L3111" s="990"/>
      <c r="M3111" s="990"/>
      <c r="N3111" s="990"/>
      <c r="O3111" s="990"/>
      <c r="P3111" s="990"/>
      <c r="Q3111" s="990"/>
      <c r="R3111" s="990"/>
      <c r="S3111" s="990"/>
      <c r="T3111" s="990"/>
      <c r="U3111" s="990"/>
      <c r="V3111" s="990"/>
      <c r="W3111" s="990"/>
      <c r="X3111" s="990"/>
    </row>
    <row r="3112" spans="1:24" s="896" customFormat="1">
      <c r="A3112" s="987">
        <f t="shared" si="49"/>
        <v>3038</v>
      </c>
      <c r="B3112" s="988">
        <v>11479</v>
      </c>
      <c r="C3112" s="899" t="s">
        <v>12438</v>
      </c>
      <c r="D3112" s="988" t="s">
        <v>2666</v>
      </c>
      <c r="E3112" s="989">
        <v>38.25</v>
      </c>
      <c r="F3112" s="990"/>
      <c r="G3112" s="990"/>
      <c r="H3112" s="990"/>
      <c r="I3112" s="990"/>
      <c r="J3112" s="990"/>
      <c r="K3112" s="990"/>
      <c r="L3112" s="990"/>
      <c r="M3112" s="990"/>
      <c r="N3112" s="990"/>
      <c r="O3112" s="990"/>
      <c r="P3112" s="990"/>
      <c r="Q3112" s="990"/>
      <c r="R3112" s="990"/>
      <c r="S3112" s="990"/>
      <c r="T3112" s="990"/>
      <c r="U3112" s="990"/>
      <c r="V3112" s="990"/>
      <c r="W3112" s="990"/>
      <c r="X3112" s="990"/>
    </row>
    <row r="3113" spans="1:24" s="896" customFormat="1">
      <c r="A3113" s="987">
        <f t="shared" si="49"/>
        <v>3039</v>
      </c>
      <c r="B3113" s="988">
        <v>11481</v>
      </c>
      <c r="C3113" s="899" t="s">
        <v>12439</v>
      </c>
      <c r="D3113" s="988" t="s">
        <v>2666</v>
      </c>
      <c r="E3113" s="989">
        <v>34.61</v>
      </c>
      <c r="F3113" s="990"/>
      <c r="G3113" s="990"/>
      <c r="H3113" s="990"/>
      <c r="I3113" s="990"/>
      <c r="J3113" s="990"/>
      <c r="K3113" s="990"/>
      <c r="L3113" s="990"/>
      <c r="M3113" s="990"/>
      <c r="N3113" s="990"/>
      <c r="O3113" s="990"/>
      <c r="P3113" s="990"/>
      <c r="Q3113" s="990"/>
      <c r="R3113" s="990"/>
      <c r="S3113" s="990"/>
      <c r="T3113" s="990"/>
      <c r="U3113" s="990"/>
      <c r="V3113" s="990"/>
      <c r="W3113" s="990"/>
      <c r="X3113" s="990"/>
    </row>
    <row r="3114" spans="1:24" s="896" customFormat="1">
      <c r="A3114" s="987">
        <f t="shared" si="49"/>
        <v>3040</v>
      </c>
      <c r="B3114" s="988">
        <v>43609</v>
      </c>
      <c r="C3114" s="899" t="s">
        <v>12440</v>
      </c>
      <c r="D3114" s="988" t="s">
        <v>2666</v>
      </c>
      <c r="E3114" s="989">
        <v>34.61</v>
      </c>
      <c r="F3114" s="990"/>
      <c r="G3114" s="990"/>
      <c r="H3114" s="990"/>
      <c r="I3114" s="990"/>
      <c r="J3114" s="990"/>
      <c r="K3114" s="990"/>
      <c r="L3114" s="990"/>
      <c r="M3114" s="990"/>
      <c r="N3114" s="990"/>
      <c r="O3114" s="990"/>
      <c r="P3114" s="990"/>
      <c r="Q3114" s="990"/>
      <c r="R3114" s="990"/>
      <c r="S3114" s="990"/>
      <c r="T3114" s="990"/>
      <c r="U3114" s="990"/>
      <c r="V3114" s="990"/>
      <c r="W3114" s="990"/>
      <c r="X3114" s="990"/>
    </row>
    <row r="3115" spans="1:24" s="896" customFormat="1">
      <c r="A3115" s="987">
        <f t="shared" si="49"/>
        <v>3041</v>
      </c>
      <c r="B3115" s="988">
        <v>11478</v>
      </c>
      <c r="C3115" s="899" t="s">
        <v>12441</v>
      </c>
      <c r="D3115" s="988" t="s">
        <v>2666</v>
      </c>
      <c r="E3115" s="989">
        <v>65.64</v>
      </c>
      <c r="F3115" s="990"/>
      <c r="G3115" s="990"/>
      <c r="H3115" s="990"/>
      <c r="I3115" s="990"/>
      <c r="J3115" s="990"/>
      <c r="K3115" s="990"/>
      <c r="L3115" s="990"/>
      <c r="M3115" s="990"/>
      <c r="N3115" s="990"/>
      <c r="O3115" s="990"/>
      <c r="P3115" s="990"/>
      <c r="Q3115" s="990"/>
      <c r="R3115" s="990"/>
      <c r="S3115" s="990"/>
      <c r="T3115" s="990"/>
      <c r="U3115" s="990"/>
      <c r="V3115" s="990"/>
      <c r="W3115" s="990"/>
      <c r="X3115" s="990"/>
    </row>
    <row r="3116" spans="1:24" s="896" customFormat="1">
      <c r="A3116" s="987">
        <f t="shared" si="49"/>
        <v>3042</v>
      </c>
      <c r="B3116" s="988">
        <v>43608</v>
      </c>
      <c r="C3116" s="899" t="s">
        <v>12442</v>
      </c>
      <c r="D3116" s="988" t="s">
        <v>2666</v>
      </c>
      <c r="E3116" s="989">
        <v>50.09</v>
      </c>
      <c r="F3116" s="990"/>
      <c r="G3116" s="990"/>
      <c r="H3116" s="990"/>
      <c r="I3116" s="990"/>
      <c r="J3116" s="990"/>
      <c r="K3116" s="990"/>
      <c r="L3116" s="990"/>
      <c r="M3116" s="990"/>
      <c r="N3116" s="990"/>
      <c r="O3116" s="990"/>
      <c r="P3116" s="990"/>
      <c r="Q3116" s="990"/>
      <c r="R3116" s="990"/>
      <c r="S3116" s="990"/>
      <c r="T3116" s="990"/>
      <c r="U3116" s="990"/>
      <c r="V3116" s="990"/>
      <c r="W3116" s="990"/>
      <c r="X3116" s="990"/>
    </row>
    <row r="3117" spans="1:24" s="896" customFormat="1">
      <c r="A3117" s="987">
        <f t="shared" si="49"/>
        <v>3043</v>
      </c>
      <c r="B3117" s="988">
        <v>11476</v>
      </c>
      <c r="C3117" s="899" t="s">
        <v>12443</v>
      </c>
      <c r="D3117" s="988" t="s">
        <v>2666</v>
      </c>
      <c r="E3117" s="989">
        <v>50.09</v>
      </c>
      <c r="F3117" s="990"/>
      <c r="G3117" s="990"/>
      <c r="H3117" s="990"/>
      <c r="I3117" s="990"/>
      <c r="J3117" s="990"/>
      <c r="K3117" s="990"/>
      <c r="L3117" s="990"/>
      <c r="M3117" s="990"/>
      <c r="N3117" s="990"/>
      <c r="O3117" s="990"/>
      <c r="P3117" s="990"/>
      <c r="Q3117" s="990"/>
      <c r="R3117" s="990"/>
      <c r="S3117" s="990"/>
      <c r="T3117" s="990"/>
      <c r="U3117" s="990"/>
      <c r="V3117" s="990"/>
      <c r="W3117" s="990"/>
      <c r="X3117" s="990"/>
    </row>
    <row r="3118" spans="1:24" s="896" customFormat="1" ht="25.5">
      <c r="A3118" s="987">
        <f t="shared" si="49"/>
        <v>3044</v>
      </c>
      <c r="B3118" s="988">
        <v>40637</v>
      </c>
      <c r="C3118" s="899" t="s">
        <v>12444</v>
      </c>
      <c r="D3118" s="988" t="s">
        <v>2666</v>
      </c>
      <c r="E3118" s="989">
        <v>840929.8</v>
      </c>
      <c r="F3118" s="990"/>
      <c r="G3118" s="990"/>
      <c r="H3118" s="990"/>
      <c r="I3118" s="990"/>
      <c r="J3118" s="990"/>
      <c r="K3118" s="990"/>
      <c r="L3118" s="990"/>
      <c r="M3118" s="990"/>
      <c r="N3118" s="990"/>
      <c r="O3118" s="990"/>
      <c r="P3118" s="990"/>
      <c r="Q3118" s="990"/>
      <c r="R3118" s="990"/>
      <c r="S3118" s="990"/>
      <c r="T3118" s="990"/>
      <c r="U3118" s="990"/>
      <c r="V3118" s="990"/>
      <c r="W3118" s="990"/>
      <c r="X3118" s="990"/>
    </row>
    <row r="3119" spans="1:24" s="896" customFormat="1" ht="25.5">
      <c r="A3119" s="987">
        <f t="shared" si="49"/>
        <v>3045</v>
      </c>
      <c r="B3119" s="988">
        <v>13836</v>
      </c>
      <c r="C3119" s="899" t="s">
        <v>12445</v>
      </c>
      <c r="D3119" s="988" t="s">
        <v>2666</v>
      </c>
      <c r="E3119" s="989">
        <v>70491.09</v>
      </c>
      <c r="F3119" s="990"/>
      <c r="G3119" s="990"/>
      <c r="H3119" s="990"/>
      <c r="I3119" s="990"/>
      <c r="J3119" s="990"/>
      <c r="K3119" s="990"/>
      <c r="L3119" s="990"/>
      <c r="M3119" s="990"/>
      <c r="N3119" s="990"/>
      <c r="O3119" s="990"/>
      <c r="P3119" s="990"/>
      <c r="Q3119" s="990"/>
      <c r="R3119" s="990"/>
      <c r="S3119" s="990"/>
      <c r="T3119" s="990"/>
      <c r="U3119" s="990"/>
      <c r="V3119" s="990"/>
      <c r="W3119" s="990"/>
      <c r="X3119" s="990"/>
    </row>
    <row r="3120" spans="1:24" s="896" customFormat="1" ht="38.25">
      <c r="A3120" s="987">
        <f t="shared" si="49"/>
        <v>3046</v>
      </c>
      <c r="B3120" s="988">
        <v>14534</v>
      </c>
      <c r="C3120" s="899" t="s">
        <v>12446</v>
      </c>
      <c r="D3120" s="988" t="s">
        <v>2666</v>
      </c>
      <c r="E3120" s="989">
        <v>29509.43</v>
      </c>
      <c r="F3120" s="990"/>
      <c r="G3120" s="990"/>
      <c r="H3120" s="990"/>
      <c r="I3120" s="990"/>
      <c r="J3120" s="990"/>
      <c r="K3120" s="990"/>
      <c r="L3120" s="990"/>
      <c r="M3120" s="990"/>
      <c r="N3120" s="990"/>
      <c r="O3120" s="990"/>
      <c r="P3120" s="990"/>
      <c r="Q3120" s="990"/>
      <c r="R3120" s="990"/>
      <c r="S3120" s="990"/>
      <c r="T3120" s="990"/>
      <c r="U3120" s="990"/>
      <c r="V3120" s="990"/>
      <c r="W3120" s="990"/>
      <c r="X3120" s="990"/>
    </row>
    <row r="3121" spans="1:24" s="896" customFormat="1" ht="25.5">
      <c r="A3121" s="987">
        <f t="shared" si="49"/>
        <v>3047</v>
      </c>
      <c r="B3121" s="988">
        <v>14619</v>
      </c>
      <c r="C3121" s="899" t="s">
        <v>12447</v>
      </c>
      <c r="D3121" s="988" t="s">
        <v>2666</v>
      </c>
      <c r="E3121" s="989">
        <v>13126.22</v>
      </c>
      <c r="F3121" s="990"/>
      <c r="G3121" s="990"/>
      <c r="H3121" s="990"/>
      <c r="I3121" s="990"/>
      <c r="J3121" s="990"/>
      <c r="K3121" s="990"/>
      <c r="L3121" s="990"/>
      <c r="M3121" s="990"/>
      <c r="N3121" s="990"/>
      <c r="O3121" s="990"/>
      <c r="P3121" s="990"/>
      <c r="Q3121" s="990"/>
      <c r="R3121" s="990"/>
      <c r="S3121" s="990"/>
      <c r="T3121" s="990"/>
      <c r="U3121" s="990"/>
      <c r="V3121" s="990"/>
      <c r="W3121" s="990"/>
      <c r="X3121" s="990"/>
    </row>
    <row r="3122" spans="1:24" s="896" customFormat="1" ht="38.25">
      <c r="A3122" s="987">
        <f t="shared" si="49"/>
        <v>3048</v>
      </c>
      <c r="B3122" s="988">
        <v>14535</v>
      </c>
      <c r="C3122" s="899" t="s">
        <v>12448</v>
      </c>
      <c r="D3122" s="988" t="s">
        <v>2666</v>
      </c>
      <c r="E3122" s="989">
        <v>292883.95</v>
      </c>
      <c r="F3122" s="990"/>
      <c r="G3122" s="990"/>
      <c r="H3122" s="990"/>
      <c r="I3122" s="990"/>
      <c r="J3122" s="990"/>
      <c r="K3122" s="990"/>
      <c r="L3122" s="990"/>
      <c r="M3122" s="990"/>
      <c r="N3122" s="990"/>
      <c r="O3122" s="990"/>
      <c r="P3122" s="990"/>
      <c r="Q3122" s="990"/>
      <c r="R3122" s="990"/>
      <c r="S3122" s="990"/>
      <c r="T3122" s="990"/>
      <c r="U3122" s="990"/>
      <c r="V3122" s="990"/>
      <c r="W3122" s="990"/>
      <c r="X3122" s="990"/>
    </row>
    <row r="3123" spans="1:24" s="896" customFormat="1" ht="51">
      <c r="A3123" s="987">
        <f t="shared" si="49"/>
        <v>3049</v>
      </c>
      <c r="B3123" s="988">
        <v>39813</v>
      </c>
      <c r="C3123" s="899" t="s">
        <v>12449</v>
      </c>
      <c r="D3123" s="988" t="s">
        <v>2666</v>
      </c>
      <c r="E3123" s="989">
        <v>28911.98</v>
      </c>
      <c r="F3123" s="990"/>
      <c r="G3123" s="990"/>
      <c r="H3123" s="990"/>
      <c r="I3123" s="990"/>
      <c r="J3123" s="990"/>
      <c r="K3123" s="990"/>
      <c r="L3123" s="990"/>
      <c r="M3123" s="990"/>
      <c r="N3123" s="990"/>
      <c r="O3123" s="990"/>
      <c r="P3123" s="990"/>
      <c r="Q3123" s="990"/>
      <c r="R3123" s="990"/>
      <c r="S3123" s="990"/>
      <c r="T3123" s="990"/>
      <c r="U3123" s="990"/>
      <c r="V3123" s="990"/>
      <c r="W3123" s="990"/>
      <c r="X3123" s="990"/>
    </row>
    <row r="3124" spans="1:24" s="896" customFormat="1" ht="38.25">
      <c r="A3124" s="987">
        <f t="shared" si="49"/>
        <v>3050</v>
      </c>
      <c r="B3124" s="988">
        <v>40403</v>
      </c>
      <c r="C3124" s="899" t="s">
        <v>12450</v>
      </c>
      <c r="D3124" s="988" t="s">
        <v>2666</v>
      </c>
      <c r="E3124" s="989">
        <v>530.45000000000005</v>
      </c>
      <c r="F3124" s="990"/>
      <c r="G3124" s="990"/>
      <c r="H3124" s="990"/>
      <c r="I3124" s="990"/>
      <c r="J3124" s="990"/>
      <c r="K3124" s="990"/>
      <c r="L3124" s="990"/>
      <c r="M3124" s="990"/>
      <c r="N3124" s="990"/>
      <c r="O3124" s="990"/>
      <c r="P3124" s="990"/>
      <c r="Q3124" s="990"/>
      <c r="R3124" s="990"/>
      <c r="S3124" s="990"/>
      <c r="T3124" s="990"/>
      <c r="U3124" s="990"/>
      <c r="V3124" s="990"/>
      <c r="W3124" s="990"/>
      <c r="X3124" s="990"/>
    </row>
    <row r="3125" spans="1:24" s="896" customFormat="1">
      <c r="A3125" s="987">
        <f t="shared" si="49"/>
        <v>3051</v>
      </c>
      <c r="B3125" s="988">
        <v>12868</v>
      </c>
      <c r="C3125" s="899" t="s">
        <v>12451</v>
      </c>
      <c r="D3125" s="988" t="s">
        <v>2665</v>
      </c>
      <c r="E3125" s="989">
        <v>21.94</v>
      </c>
      <c r="F3125" s="990"/>
      <c r="G3125" s="990"/>
      <c r="H3125" s="990"/>
      <c r="I3125" s="990"/>
      <c r="J3125" s="990"/>
      <c r="K3125" s="990"/>
      <c r="L3125" s="990"/>
      <c r="M3125" s="990"/>
      <c r="N3125" s="990"/>
      <c r="O3125" s="990"/>
      <c r="P3125" s="990"/>
      <c r="Q3125" s="990"/>
      <c r="R3125" s="990"/>
      <c r="S3125" s="990"/>
      <c r="T3125" s="990"/>
      <c r="U3125" s="990"/>
      <c r="V3125" s="990"/>
      <c r="W3125" s="990"/>
      <c r="X3125" s="990"/>
    </row>
    <row r="3126" spans="1:24" s="896" customFormat="1">
      <c r="A3126" s="987">
        <f t="shared" si="49"/>
        <v>3052</v>
      </c>
      <c r="B3126" s="988">
        <v>40916</v>
      </c>
      <c r="C3126" s="899" t="s">
        <v>12452</v>
      </c>
      <c r="D3126" s="988" t="s">
        <v>2672</v>
      </c>
      <c r="E3126" s="989">
        <v>3859.59</v>
      </c>
      <c r="F3126" s="990"/>
      <c r="G3126" s="990"/>
      <c r="H3126" s="990"/>
      <c r="I3126" s="990"/>
      <c r="J3126" s="990"/>
      <c r="K3126" s="990"/>
      <c r="L3126" s="990"/>
      <c r="M3126" s="990"/>
      <c r="N3126" s="990"/>
      <c r="O3126" s="990"/>
      <c r="P3126" s="990"/>
      <c r="Q3126" s="990"/>
      <c r="R3126" s="990"/>
      <c r="S3126" s="990"/>
      <c r="T3126" s="990"/>
      <c r="U3126" s="990"/>
      <c r="V3126" s="990"/>
      <c r="W3126" s="990"/>
      <c r="X3126" s="990"/>
    </row>
    <row r="3127" spans="1:24" s="896" customFormat="1">
      <c r="A3127" s="987">
        <f t="shared" si="49"/>
        <v>3053</v>
      </c>
      <c r="B3127" s="988">
        <v>4755</v>
      </c>
      <c r="C3127" s="899" t="s">
        <v>12453</v>
      </c>
      <c r="D3127" s="988" t="s">
        <v>2665</v>
      </c>
      <c r="E3127" s="989">
        <v>27.18</v>
      </c>
      <c r="F3127" s="990"/>
      <c r="G3127" s="990"/>
      <c r="H3127" s="990"/>
      <c r="I3127" s="990"/>
      <c r="J3127" s="990"/>
      <c r="K3127" s="990"/>
      <c r="L3127" s="990"/>
      <c r="M3127" s="990"/>
      <c r="N3127" s="990"/>
      <c r="O3127" s="990"/>
      <c r="P3127" s="990"/>
      <c r="Q3127" s="990"/>
      <c r="R3127" s="990"/>
      <c r="S3127" s="990"/>
      <c r="T3127" s="990"/>
      <c r="U3127" s="990"/>
      <c r="V3127" s="990"/>
      <c r="W3127" s="990"/>
      <c r="X3127" s="990"/>
    </row>
    <row r="3128" spans="1:24" s="896" customFormat="1">
      <c r="A3128" s="987">
        <f t="shared" si="49"/>
        <v>3054</v>
      </c>
      <c r="B3128" s="988">
        <v>41067</v>
      </c>
      <c r="C3128" s="899" t="s">
        <v>12454</v>
      </c>
      <c r="D3128" s="988" t="s">
        <v>2672</v>
      </c>
      <c r="E3128" s="989">
        <v>4781.8999999999996</v>
      </c>
      <c r="F3128" s="990"/>
      <c r="G3128" s="990"/>
      <c r="H3128" s="990"/>
      <c r="I3128" s="990"/>
      <c r="J3128" s="990"/>
      <c r="K3128" s="990"/>
      <c r="L3128" s="990"/>
      <c r="M3128" s="990"/>
      <c r="N3128" s="990"/>
      <c r="O3128" s="990"/>
      <c r="P3128" s="990"/>
      <c r="Q3128" s="990"/>
      <c r="R3128" s="990"/>
      <c r="S3128" s="990"/>
      <c r="T3128" s="990"/>
      <c r="U3128" s="990"/>
      <c r="V3128" s="990"/>
      <c r="W3128" s="990"/>
      <c r="X3128" s="990"/>
    </row>
    <row r="3129" spans="1:24" s="896" customFormat="1">
      <c r="A3129" s="987">
        <f t="shared" si="49"/>
        <v>3055</v>
      </c>
      <c r="B3129" s="988">
        <v>38463</v>
      </c>
      <c r="C3129" s="899" t="s">
        <v>12455</v>
      </c>
      <c r="D3129" s="988" t="s">
        <v>2666</v>
      </c>
      <c r="E3129" s="989">
        <v>36.58</v>
      </c>
      <c r="F3129" s="990"/>
      <c r="G3129" s="990"/>
      <c r="H3129" s="990"/>
      <c r="I3129" s="990"/>
      <c r="J3129" s="990"/>
      <c r="K3129" s="990"/>
      <c r="L3129" s="990"/>
      <c r="M3129" s="990"/>
      <c r="N3129" s="990"/>
      <c r="O3129" s="990"/>
      <c r="P3129" s="990"/>
      <c r="Q3129" s="990"/>
      <c r="R3129" s="990"/>
      <c r="S3129" s="990"/>
      <c r="T3129" s="990"/>
      <c r="U3129" s="990"/>
      <c r="V3129" s="990"/>
      <c r="W3129" s="990"/>
      <c r="X3129" s="990"/>
    </row>
    <row r="3130" spans="1:24" s="896" customFormat="1" ht="25.5">
      <c r="A3130" s="987">
        <f t="shared" si="49"/>
        <v>3056</v>
      </c>
      <c r="B3130" s="988">
        <v>40703</v>
      </c>
      <c r="C3130" s="899" t="s">
        <v>12456</v>
      </c>
      <c r="D3130" s="988" t="s">
        <v>2666</v>
      </c>
      <c r="E3130" s="989">
        <v>8300</v>
      </c>
      <c r="F3130" s="990"/>
      <c r="G3130" s="990"/>
      <c r="H3130" s="990"/>
      <c r="I3130" s="990"/>
      <c r="J3130" s="990"/>
      <c r="K3130" s="990"/>
      <c r="L3130" s="990"/>
      <c r="M3130" s="990"/>
      <c r="N3130" s="990"/>
      <c r="O3130" s="990"/>
      <c r="P3130" s="990"/>
      <c r="Q3130" s="990"/>
      <c r="R3130" s="990"/>
      <c r="S3130" s="990"/>
      <c r="T3130" s="990"/>
      <c r="U3130" s="990"/>
      <c r="V3130" s="990"/>
      <c r="W3130" s="990"/>
      <c r="X3130" s="990"/>
    </row>
    <row r="3131" spans="1:24" s="896" customFormat="1" ht="25.5">
      <c r="A3131" s="987">
        <f t="shared" si="49"/>
        <v>3057</v>
      </c>
      <c r="B3131" s="988">
        <v>14531</v>
      </c>
      <c r="C3131" s="899" t="s">
        <v>12457</v>
      </c>
      <c r="D3131" s="988" t="s">
        <v>2666</v>
      </c>
      <c r="E3131" s="989">
        <v>15474.32</v>
      </c>
      <c r="F3131" s="990"/>
      <c r="G3131" s="990"/>
      <c r="H3131" s="990"/>
      <c r="I3131" s="990"/>
      <c r="J3131" s="990"/>
      <c r="K3131" s="990"/>
      <c r="L3131" s="990"/>
      <c r="M3131" s="990"/>
      <c r="N3131" s="990"/>
      <c r="O3131" s="990"/>
      <c r="P3131" s="990"/>
      <c r="Q3131" s="990"/>
      <c r="R3131" s="990"/>
      <c r="S3131" s="990"/>
      <c r="T3131" s="990"/>
      <c r="U3131" s="990"/>
      <c r="V3131" s="990"/>
      <c r="W3131" s="990"/>
      <c r="X3131" s="990"/>
    </row>
    <row r="3132" spans="1:24" s="896" customFormat="1" ht="25.5">
      <c r="A3132" s="987">
        <f t="shared" si="49"/>
        <v>3058</v>
      </c>
      <c r="B3132" s="988">
        <v>36533</v>
      </c>
      <c r="C3132" s="899" t="s">
        <v>12458</v>
      </c>
      <c r="D3132" s="988" t="s">
        <v>2666</v>
      </c>
      <c r="E3132" s="989">
        <v>17806.990000000002</v>
      </c>
      <c r="F3132" s="990"/>
      <c r="G3132" s="990"/>
      <c r="H3132" s="990"/>
      <c r="I3132" s="990"/>
      <c r="J3132" s="990"/>
      <c r="K3132" s="990"/>
      <c r="L3132" s="990"/>
      <c r="M3132" s="990"/>
      <c r="N3132" s="990"/>
      <c r="O3132" s="990"/>
      <c r="P3132" s="990"/>
      <c r="Q3132" s="990"/>
      <c r="R3132" s="990"/>
      <c r="S3132" s="990"/>
      <c r="T3132" s="990"/>
      <c r="U3132" s="990"/>
      <c r="V3132" s="990"/>
      <c r="W3132" s="990"/>
      <c r="X3132" s="990"/>
    </row>
    <row r="3133" spans="1:24" s="896" customFormat="1">
      <c r="A3133" s="987">
        <f t="shared" si="49"/>
        <v>3059</v>
      </c>
      <c r="B3133" s="988">
        <v>11616</v>
      </c>
      <c r="C3133" s="899" t="s">
        <v>12459</v>
      </c>
      <c r="D3133" s="988" t="s">
        <v>2666</v>
      </c>
      <c r="E3133" s="989">
        <v>16818.439999999999</v>
      </c>
      <c r="F3133" s="990"/>
      <c r="G3133" s="990"/>
      <c r="H3133" s="990"/>
      <c r="I3133" s="990"/>
      <c r="J3133" s="990"/>
      <c r="K3133" s="990"/>
      <c r="L3133" s="990"/>
      <c r="M3133" s="990"/>
      <c r="N3133" s="990"/>
      <c r="O3133" s="990"/>
      <c r="P3133" s="990"/>
      <c r="Q3133" s="990"/>
      <c r="R3133" s="990"/>
      <c r="S3133" s="990"/>
      <c r="T3133" s="990"/>
      <c r="U3133" s="990"/>
      <c r="V3133" s="990"/>
      <c r="W3133" s="990"/>
      <c r="X3133" s="990"/>
    </row>
    <row r="3134" spans="1:24" s="896" customFormat="1">
      <c r="A3134" s="987">
        <f t="shared" si="49"/>
        <v>3060</v>
      </c>
      <c r="B3134" s="988">
        <v>41898</v>
      </c>
      <c r="C3134" s="899" t="s">
        <v>12460</v>
      </c>
      <c r="D3134" s="988" t="s">
        <v>2666</v>
      </c>
      <c r="E3134" s="989">
        <v>18923.03</v>
      </c>
      <c r="F3134" s="990"/>
      <c r="G3134" s="990"/>
      <c r="H3134" s="990"/>
      <c r="I3134" s="990"/>
      <c r="J3134" s="990"/>
      <c r="K3134" s="990"/>
      <c r="L3134" s="990"/>
      <c r="M3134" s="990"/>
      <c r="N3134" s="990"/>
      <c r="O3134" s="990"/>
      <c r="P3134" s="990"/>
      <c r="Q3134" s="990"/>
      <c r="R3134" s="990"/>
      <c r="S3134" s="990"/>
      <c r="T3134" s="990"/>
      <c r="U3134" s="990"/>
      <c r="V3134" s="990"/>
      <c r="W3134" s="990"/>
      <c r="X3134" s="990"/>
    </row>
    <row r="3135" spans="1:24" s="896" customFormat="1" ht="25.5">
      <c r="A3135" s="987">
        <f t="shared" si="49"/>
        <v>3061</v>
      </c>
      <c r="B3135" s="988">
        <v>13447</v>
      </c>
      <c r="C3135" s="899" t="s">
        <v>12461</v>
      </c>
      <c r="D3135" s="988" t="s">
        <v>2666</v>
      </c>
      <c r="E3135" s="989">
        <v>34819.68</v>
      </c>
      <c r="F3135" s="990"/>
      <c r="G3135" s="990"/>
      <c r="H3135" s="990"/>
      <c r="I3135" s="990"/>
      <c r="J3135" s="990"/>
      <c r="K3135" s="990"/>
      <c r="L3135" s="990"/>
      <c r="M3135" s="990"/>
      <c r="N3135" s="990"/>
      <c r="O3135" s="990"/>
      <c r="P3135" s="990"/>
      <c r="Q3135" s="990"/>
      <c r="R3135" s="990"/>
      <c r="S3135" s="990"/>
      <c r="T3135" s="990"/>
      <c r="U3135" s="990"/>
      <c r="V3135" s="990"/>
      <c r="W3135" s="990"/>
      <c r="X3135" s="990"/>
    </row>
    <row r="3136" spans="1:24" s="896" customFormat="1">
      <c r="A3136" s="987">
        <f t="shared" si="49"/>
        <v>3062</v>
      </c>
      <c r="B3136" s="988">
        <v>14529</v>
      </c>
      <c r="C3136" s="899" t="s">
        <v>12462</v>
      </c>
      <c r="D3136" s="988" t="s">
        <v>2666</v>
      </c>
      <c r="E3136" s="989">
        <v>19473.759999999998</v>
      </c>
      <c r="F3136" s="990"/>
      <c r="G3136" s="990"/>
      <c r="H3136" s="990"/>
      <c r="I3136" s="990"/>
      <c r="J3136" s="990"/>
      <c r="K3136" s="990"/>
      <c r="L3136" s="990"/>
      <c r="M3136" s="990"/>
      <c r="N3136" s="990"/>
      <c r="O3136" s="990"/>
      <c r="P3136" s="990"/>
      <c r="Q3136" s="990"/>
      <c r="R3136" s="990"/>
      <c r="S3136" s="990"/>
      <c r="T3136" s="990"/>
      <c r="U3136" s="990"/>
      <c r="V3136" s="990"/>
      <c r="W3136" s="990"/>
      <c r="X3136" s="990"/>
    </row>
    <row r="3137" spans="1:24" s="896" customFormat="1">
      <c r="A3137" s="987">
        <f t="shared" si="49"/>
        <v>3063</v>
      </c>
      <c r="B3137" s="988">
        <v>10747</v>
      </c>
      <c r="C3137" s="899" t="s">
        <v>12463</v>
      </c>
      <c r="D3137" s="988" t="s">
        <v>2666</v>
      </c>
      <c r="E3137" s="989">
        <v>19106.740000000002</v>
      </c>
      <c r="F3137" s="990"/>
      <c r="G3137" s="990"/>
      <c r="H3137" s="990"/>
      <c r="I3137" s="990"/>
      <c r="J3137" s="990"/>
      <c r="K3137" s="990"/>
      <c r="L3137" s="990"/>
      <c r="M3137" s="990"/>
      <c r="N3137" s="990"/>
      <c r="O3137" s="990"/>
      <c r="P3137" s="990"/>
      <c r="Q3137" s="990"/>
      <c r="R3137" s="990"/>
      <c r="S3137" s="990"/>
      <c r="T3137" s="990"/>
      <c r="U3137" s="990"/>
      <c r="V3137" s="990"/>
      <c r="W3137" s="990"/>
      <c r="X3137" s="990"/>
    </row>
    <row r="3138" spans="1:24" s="896" customFormat="1" ht="25.5">
      <c r="A3138" s="987">
        <f t="shared" si="49"/>
        <v>3064</v>
      </c>
      <c r="B3138" s="988">
        <v>36141</v>
      </c>
      <c r="C3138" s="899" t="s">
        <v>12464</v>
      </c>
      <c r="D3138" s="988" t="s">
        <v>2666</v>
      </c>
      <c r="E3138" s="989">
        <v>54</v>
      </c>
      <c r="F3138" s="990"/>
      <c r="G3138" s="990"/>
      <c r="H3138" s="990"/>
      <c r="I3138" s="990"/>
      <c r="J3138" s="990"/>
      <c r="K3138" s="990"/>
      <c r="L3138" s="990"/>
      <c r="M3138" s="990"/>
      <c r="N3138" s="990"/>
      <c r="O3138" s="990"/>
      <c r="P3138" s="990"/>
      <c r="Q3138" s="990"/>
      <c r="R3138" s="990"/>
      <c r="S3138" s="990"/>
      <c r="T3138" s="990"/>
      <c r="U3138" s="990"/>
      <c r="V3138" s="990"/>
      <c r="W3138" s="990"/>
      <c r="X3138" s="990"/>
    </row>
    <row r="3139" spans="1:24" s="896" customFormat="1">
      <c r="A3139" s="987">
        <f t="shared" si="49"/>
        <v>3065</v>
      </c>
      <c r="B3139" s="988">
        <v>43651</v>
      </c>
      <c r="C3139" s="899" t="s">
        <v>12465</v>
      </c>
      <c r="D3139" s="988" t="s">
        <v>2670</v>
      </c>
      <c r="E3139" s="989">
        <v>8.83</v>
      </c>
      <c r="F3139" s="990"/>
      <c r="G3139" s="990"/>
      <c r="H3139" s="990"/>
      <c r="I3139" s="990"/>
      <c r="J3139" s="990"/>
      <c r="K3139" s="990"/>
      <c r="L3139" s="990"/>
      <c r="M3139" s="990"/>
      <c r="N3139" s="990"/>
      <c r="O3139" s="990"/>
      <c r="P3139" s="990"/>
      <c r="Q3139" s="990"/>
      <c r="R3139" s="990"/>
      <c r="S3139" s="990"/>
      <c r="T3139" s="990"/>
      <c r="U3139" s="990"/>
      <c r="V3139" s="990"/>
      <c r="W3139" s="990"/>
      <c r="X3139" s="990"/>
    </row>
    <row r="3140" spans="1:24" s="896" customFormat="1">
      <c r="A3140" s="987">
        <f t="shared" si="49"/>
        <v>3066</v>
      </c>
      <c r="B3140" s="988">
        <v>43626</v>
      </c>
      <c r="C3140" s="899" t="s">
        <v>12466</v>
      </c>
      <c r="D3140" s="988" t="s">
        <v>2670</v>
      </c>
      <c r="E3140" s="989">
        <v>4.91</v>
      </c>
      <c r="F3140" s="990"/>
      <c r="G3140" s="990"/>
      <c r="H3140" s="990"/>
      <c r="I3140" s="990"/>
      <c r="J3140" s="990"/>
      <c r="K3140" s="990"/>
      <c r="L3140" s="990"/>
      <c r="M3140" s="990"/>
      <c r="N3140" s="990"/>
      <c r="O3140" s="990"/>
      <c r="P3140" s="990"/>
      <c r="Q3140" s="990"/>
      <c r="R3140" s="990"/>
      <c r="S3140" s="990"/>
      <c r="T3140" s="990"/>
      <c r="U3140" s="990"/>
      <c r="V3140" s="990"/>
      <c r="W3140" s="990"/>
      <c r="X3140" s="990"/>
    </row>
    <row r="3141" spans="1:24" s="896" customFormat="1" ht="25.5">
      <c r="A3141" s="987">
        <f t="shared" si="49"/>
        <v>3067</v>
      </c>
      <c r="B3141" s="988">
        <v>39434</v>
      </c>
      <c r="C3141" s="899" t="s">
        <v>12467</v>
      </c>
      <c r="D3141" s="988" t="s">
        <v>2670</v>
      </c>
      <c r="E3141" s="989">
        <v>3.38</v>
      </c>
      <c r="F3141" s="990"/>
      <c r="G3141" s="990"/>
      <c r="H3141" s="990"/>
      <c r="I3141" s="990"/>
      <c r="J3141" s="990"/>
      <c r="K3141" s="990"/>
      <c r="L3141" s="990"/>
      <c r="M3141" s="990"/>
      <c r="N3141" s="990"/>
      <c r="O3141" s="990"/>
      <c r="P3141" s="990"/>
      <c r="Q3141" s="990"/>
      <c r="R3141" s="990"/>
      <c r="S3141" s="990"/>
      <c r="T3141" s="990"/>
      <c r="U3141" s="990"/>
      <c r="V3141" s="990"/>
      <c r="W3141" s="990"/>
      <c r="X3141" s="990"/>
    </row>
    <row r="3142" spans="1:24" s="896" customFormat="1" ht="25.5">
      <c r="A3142" s="987">
        <f t="shared" si="49"/>
        <v>3068</v>
      </c>
      <c r="B3142" s="988">
        <v>39433</v>
      </c>
      <c r="C3142" s="899" t="s">
        <v>12468</v>
      </c>
      <c r="D3142" s="988" t="s">
        <v>2670</v>
      </c>
      <c r="E3142" s="989">
        <v>2.69</v>
      </c>
      <c r="F3142" s="990"/>
      <c r="G3142" s="990"/>
      <c r="H3142" s="990"/>
      <c r="I3142" s="990"/>
      <c r="J3142" s="990"/>
      <c r="K3142" s="990"/>
      <c r="L3142" s="990"/>
      <c r="M3142" s="990"/>
      <c r="N3142" s="990"/>
      <c r="O3142" s="990"/>
      <c r="P3142" s="990"/>
      <c r="Q3142" s="990"/>
      <c r="R3142" s="990"/>
      <c r="S3142" s="990"/>
      <c r="T3142" s="990"/>
      <c r="U3142" s="990"/>
      <c r="V3142" s="990"/>
      <c r="W3142" s="990"/>
      <c r="X3142" s="990"/>
    </row>
    <row r="3143" spans="1:24" s="896" customFormat="1">
      <c r="A3143" s="987">
        <f t="shared" si="49"/>
        <v>3069</v>
      </c>
      <c r="B3143" s="988">
        <v>4049</v>
      </c>
      <c r="C3143" s="899" t="s">
        <v>12469</v>
      </c>
      <c r="D3143" s="988" t="s">
        <v>2671</v>
      </c>
      <c r="E3143" s="989">
        <v>98.55</v>
      </c>
      <c r="F3143" s="990"/>
      <c r="G3143" s="990"/>
      <c r="H3143" s="990"/>
      <c r="I3143" s="990"/>
      <c r="J3143" s="990"/>
      <c r="K3143" s="990"/>
      <c r="L3143" s="990"/>
      <c r="M3143" s="990"/>
      <c r="N3143" s="990"/>
      <c r="O3143" s="990"/>
      <c r="P3143" s="990"/>
      <c r="Q3143" s="990"/>
      <c r="R3143" s="990"/>
      <c r="S3143" s="990"/>
      <c r="T3143" s="990"/>
      <c r="U3143" s="990"/>
      <c r="V3143" s="990"/>
      <c r="W3143" s="990"/>
      <c r="X3143" s="990"/>
    </row>
    <row r="3144" spans="1:24" s="896" customFormat="1">
      <c r="A3144" s="987">
        <f t="shared" si="49"/>
        <v>3070</v>
      </c>
      <c r="B3144" s="988">
        <v>38120</v>
      </c>
      <c r="C3144" s="899" t="s">
        <v>12470</v>
      </c>
      <c r="D3144" s="988" t="s">
        <v>2670</v>
      </c>
      <c r="E3144" s="989">
        <v>133.29</v>
      </c>
      <c r="F3144" s="990"/>
      <c r="G3144" s="990"/>
      <c r="H3144" s="990"/>
      <c r="I3144" s="990"/>
      <c r="J3144" s="990"/>
      <c r="K3144" s="990"/>
      <c r="L3144" s="990"/>
      <c r="M3144" s="990"/>
      <c r="N3144" s="990"/>
      <c r="O3144" s="990"/>
      <c r="P3144" s="990"/>
      <c r="Q3144" s="990"/>
      <c r="R3144" s="990"/>
      <c r="S3144" s="990"/>
      <c r="T3144" s="990"/>
      <c r="U3144" s="990"/>
      <c r="V3144" s="990"/>
      <c r="W3144" s="990"/>
      <c r="X3144" s="990"/>
    </row>
    <row r="3145" spans="1:24" s="896" customFormat="1">
      <c r="A3145" s="987">
        <f t="shared" si="49"/>
        <v>3071</v>
      </c>
      <c r="B3145" s="988">
        <v>43652</v>
      </c>
      <c r="C3145" s="899" t="s">
        <v>12471</v>
      </c>
      <c r="D3145" s="988" t="s">
        <v>2670</v>
      </c>
      <c r="E3145" s="989">
        <v>19.79</v>
      </c>
      <c r="F3145" s="990"/>
      <c r="G3145" s="990"/>
      <c r="H3145" s="990"/>
      <c r="I3145" s="990"/>
      <c r="J3145" s="990"/>
      <c r="K3145" s="990"/>
      <c r="L3145" s="990"/>
      <c r="M3145" s="990"/>
      <c r="N3145" s="990"/>
      <c r="O3145" s="990"/>
      <c r="P3145" s="990"/>
      <c r="Q3145" s="990"/>
      <c r="R3145" s="990"/>
      <c r="S3145" s="990"/>
      <c r="T3145" s="990"/>
      <c r="U3145" s="990"/>
      <c r="V3145" s="990"/>
      <c r="W3145" s="990"/>
      <c r="X3145" s="990"/>
    </row>
    <row r="3146" spans="1:24" s="896" customFormat="1">
      <c r="A3146" s="987">
        <f t="shared" si="49"/>
        <v>3072</v>
      </c>
      <c r="B3146" s="988">
        <v>10498</v>
      </c>
      <c r="C3146" s="899" t="s">
        <v>12472</v>
      </c>
      <c r="D3146" s="988" t="s">
        <v>2670</v>
      </c>
      <c r="E3146" s="989">
        <v>11.44</v>
      </c>
      <c r="F3146" s="990"/>
      <c r="G3146" s="990"/>
      <c r="H3146" s="990"/>
      <c r="I3146" s="990"/>
      <c r="J3146" s="990"/>
      <c r="K3146" s="990"/>
      <c r="L3146" s="990"/>
      <c r="M3146" s="990"/>
      <c r="N3146" s="990"/>
      <c r="O3146" s="990"/>
      <c r="P3146" s="990"/>
      <c r="Q3146" s="990"/>
      <c r="R3146" s="990"/>
      <c r="S3146" s="990"/>
      <c r="T3146" s="990"/>
      <c r="U3146" s="990"/>
      <c r="V3146" s="990"/>
      <c r="W3146" s="990"/>
      <c r="X3146" s="990"/>
    </row>
    <row r="3147" spans="1:24" s="896" customFormat="1">
      <c r="A3147" s="987">
        <f t="shared" si="49"/>
        <v>3073</v>
      </c>
      <c r="B3147" s="988">
        <v>4823</v>
      </c>
      <c r="C3147" s="899" t="s">
        <v>12473</v>
      </c>
      <c r="D3147" s="988" t="s">
        <v>2670</v>
      </c>
      <c r="E3147" s="989">
        <v>37.29</v>
      </c>
      <c r="F3147" s="990"/>
      <c r="G3147" s="990"/>
      <c r="H3147" s="990"/>
      <c r="I3147" s="990"/>
      <c r="J3147" s="990"/>
      <c r="K3147" s="990"/>
      <c r="L3147" s="990"/>
      <c r="M3147" s="990"/>
      <c r="N3147" s="990"/>
      <c r="O3147" s="990"/>
      <c r="P3147" s="990"/>
      <c r="Q3147" s="990"/>
      <c r="R3147" s="990"/>
      <c r="S3147" s="990"/>
      <c r="T3147" s="990"/>
      <c r="U3147" s="990"/>
      <c r="V3147" s="990"/>
      <c r="W3147" s="990"/>
      <c r="X3147" s="990"/>
    </row>
    <row r="3148" spans="1:24" s="896" customFormat="1">
      <c r="A3148" s="987">
        <f t="shared" ref="A3148:A3211" si="50">A3147+1</f>
        <v>3074</v>
      </c>
      <c r="B3148" s="988">
        <v>38877</v>
      </c>
      <c r="C3148" s="899" t="s">
        <v>12474</v>
      </c>
      <c r="D3148" s="988" t="s">
        <v>2670</v>
      </c>
      <c r="E3148" s="989">
        <v>6.26</v>
      </c>
      <c r="F3148" s="990"/>
      <c r="G3148" s="990"/>
      <c r="H3148" s="990"/>
      <c r="I3148" s="990"/>
      <c r="J3148" s="990"/>
      <c r="K3148" s="990"/>
      <c r="L3148" s="990"/>
      <c r="M3148" s="990"/>
      <c r="N3148" s="990"/>
      <c r="O3148" s="990"/>
      <c r="P3148" s="990"/>
      <c r="Q3148" s="990"/>
      <c r="R3148" s="990"/>
      <c r="S3148" s="990"/>
      <c r="T3148" s="990"/>
      <c r="U3148" s="990"/>
      <c r="V3148" s="990"/>
      <c r="W3148" s="990"/>
      <c r="X3148" s="990"/>
    </row>
    <row r="3149" spans="1:24" s="896" customFormat="1" ht="25.5">
      <c r="A3149" s="987">
        <f t="shared" si="50"/>
        <v>3075</v>
      </c>
      <c r="B3149" s="988">
        <v>34546</v>
      </c>
      <c r="C3149" s="899" t="s">
        <v>12475</v>
      </c>
      <c r="D3149" s="988" t="s">
        <v>2670</v>
      </c>
      <c r="E3149" s="989">
        <v>6.44</v>
      </c>
      <c r="F3149" s="990"/>
      <c r="G3149" s="990"/>
      <c r="H3149" s="990"/>
      <c r="I3149" s="990"/>
      <c r="J3149" s="990"/>
      <c r="K3149" s="990"/>
      <c r="L3149" s="990"/>
      <c r="M3149" s="990"/>
      <c r="N3149" s="990"/>
      <c r="O3149" s="990"/>
      <c r="P3149" s="990"/>
      <c r="Q3149" s="990"/>
      <c r="R3149" s="990"/>
      <c r="S3149" s="990"/>
      <c r="T3149" s="990"/>
      <c r="U3149" s="990"/>
      <c r="V3149" s="990"/>
      <c r="W3149" s="990"/>
      <c r="X3149" s="990"/>
    </row>
    <row r="3150" spans="1:24" s="896" customFormat="1">
      <c r="A3150" s="987">
        <f t="shared" si="50"/>
        <v>3076</v>
      </c>
      <c r="B3150" s="988">
        <v>41387</v>
      </c>
      <c r="C3150" s="899" t="s">
        <v>12476</v>
      </c>
      <c r="D3150" s="988" t="s">
        <v>2669</v>
      </c>
      <c r="E3150" s="989">
        <v>58.54</v>
      </c>
      <c r="F3150" s="990"/>
      <c r="G3150" s="990"/>
      <c r="H3150" s="990"/>
      <c r="I3150" s="990"/>
      <c r="J3150" s="990"/>
      <c r="K3150" s="990"/>
      <c r="L3150" s="990"/>
      <c r="M3150" s="990"/>
      <c r="N3150" s="990"/>
      <c r="O3150" s="990"/>
      <c r="P3150" s="990"/>
      <c r="Q3150" s="990"/>
      <c r="R3150" s="990"/>
      <c r="S3150" s="990"/>
      <c r="T3150" s="990"/>
      <c r="U3150" s="990"/>
      <c r="V3150" s="990"/>
      <c r="W3150" s="990"/>
      <c r="X3150" s="990"/>
    </row>
    <row r="3151" spans="1:24" s="896" customFormat="1">
      <c r="A3151" s="987">
        <f t="shared" si="50"/>
        <v>3077</v>
      </c>
      <c r="B3151" s="988">
        <v>41388</v>
      </c>
      <c r="C3151" s="899" t="s">
        <v>12477</v>
      </c>
      <c r="D3151" s="988" t="s">
        <v>2669</v>
      </c>
      <c r="E3151" s="989">
        <v>70.239999999999995</v>
      </c>
      <c r="F3151" s="990"/>
      <c r="G3151" s="990"/>
      <c r="H3151" s="990"/>
      <c r="I3151" s="990"/>
      <c r="J3151" s="990"/>
      <c r="K3151" s="990"/>
      <c r="L3151" s="990"/>
      <c r="M3151" s="990"/>
      <c r="N3151" s="990"/>
      <c r="O3151" s="990"/>
      <c r="P3151" s="990"/>
      <c r="Q3151" s="990"/>
      <c r="R3151" s="990"/>
      <c r="S3151" s="990"/>
      <c r="T3151" s="990"/>
      <c r="U3151" s="990"/>
      <c r="V3151" s="990"/>
      <c r="W3151" s="990"/>
      <c r="X3151" s="990"/>
    </row>
    <row r="3152" spans="1:24" s="896" customFormat="1">
      <c r="A3152" s="987">
        <f t="shared" si="50"/>
        <v>3078</v>
      </c>
      <c r="B3152" s="988">
        <v>41380</v>
      </c>
      <c r="C3152" s="899" t="s">
        <v>12478</v>
      </c>
      <c r="D3152" s="988" t="s">
        <v>2666</v>
      </c>
      <c r="E3152" s="989">
        <v>467.32</v>
      </c>
      <c r="F3152" s="990"/>
      <c r="G3152" s="990"/>
      <c r="H3152" s="990"/>
      <c r="I3152" s="990"/>
      <c r="J3152" s="990"/>
      <c r="K3152" s="990"/>
      <c r="L3152" s="990"/>
      <c r="M3152" s="990"/>
      <c r="N3152" s="990"/>
      <c r="O3152" s="990"/>
      <c r="P3152" s="990"/>
      <c r="Q3152" s="990"/>
      <c r="R3152" s="990"/>
      <c r="S3152" s="990"/>
      <c r="T3152" s="990"/>
      <c r="U3152" s="990"/>
      <c r="V3152" s="990"/>
      <c r="W3152" s="990"/>
      <c r="X3152" s="990"/>
    </row>
    <row r="3153" spans="1:24" s="896" customFormat="1">
      <c r="A3153" s="987">
        <f t="shared" si="50"/>
        <v>3079</v>
      </c>
      <c r="B3153" s="988">
        <v>41381</v>
      </c>
      <c r="C3153" s="899" t="s">
        <v>12479</v>
      </c>
      <c r="D3153" s="988" t="s">
        <v>2666</v>
      </c>
      <c r="E3153" s="989">
        <v>489.58</v>
      </c>
      <c r="F3153" s="990"/>
      <c r="G3153" s="990"/>
      <c r="H3153" s="990"/>
      <c r="I3153" s="990"/>
      <c r="J3153" s="990"/>
      <c r="K3153" s="990"/>
      <c r="L3153" s="990"/>
      <c r="M3153" s="990"/>
      <c r="N3153" s="990"/>
      <c r="O3153" s="990"/>
      <c r="P3153" s="990"/>
      <c r="Q3153" s="990"/>
      <c r="R3153" s="990"/>
      <c r="S3153" s="990"/>
      <c r="T3153" s="990"/>
      <c r="U3153" s="990"/>
      <c r="V3153" s="990"/>
      <c r="W3153" s="990"/>
      <c r="X3153" s="990"/>
    </row>
    <row r="3154" spans="1:24" s="896" customFormat="1">
      <c r="A3154" s="987">
        <f t="shared" si="50"/>
        <v>3080</v>
      </c>
      <c r="B3154" s="988">
        <v>41382</v>
      </c>
      <c r="C3154" s="899" t="s">
        <v>12480</v>
      </c>
      <c r="D3154" s="988" t="s">
        <v>2666</v>
      </c>
      <c r="E3154" s="989">
        <v>473.88</v>
      </c>
      <c r="F3154" s="990"/>
      <c r="G3154" s="990"/>
      <c r="H3154" s="990"/>
      <c r="I3154" s="990"/>
      <c r="J3154" s="990"/>
      <c r="K3154" s="990"/>
      <c r="L3154" s="990"/>
      <c r="M3154" s="990"/>
      <c r="N3154" s="990"/>
      <c r="O3154" s="990"/>
      <c r="P3154" s="990"/>
      <c r="Q3154" s="990"/>
      <c r="R3154" s="990"/>
      <c r="S3154" s="990"/>
      <c r="T3154" s="990"/>
      <c r="U3154" s="990"/>
      <c r="V3154" s="990"/>
      <c r="W3154" s="990"/>
      <c r="X3154" s="990"/>
    </row>
    <row r="3155" spans="1:24" s="896" customFormat="1">
      <c r="A3155" s="987">
        <f t="shared" si="50"/>
        <v>3081</v>
      </c>
      <c r="B3155" s="988">
        <v>41383</v>
      </c>
      <c r="C3155" s="899" t="s">
        <v>12481</v>
      </c>
      <c r="D3155" s="988" t="s">
        <v>2666</v>
      </c>
      <c r="E3155" s="989">
        <v>643.20000000000005</v>
      </c>
      <c r="F3155" s="990"/>
      <c r="G3155" s="990"/>
      <c r="H3155" s="990"/>
      <c r="I3155" s="990"/>
      <c r="J3155" s="990"/>
      <c r="K3155" s="990"/>
      <c r="L3155" s="990"/>
      <c r="M3155" s="990"/>
      <c r="N3155" s="990"/>
      <c r="O3155" s="990"/>
      <c r="P3155" s="990"/>
      <c r="Q3155" s="990"/>
      <c r="R3155" s="990"/>
      <c r="S3155" s="990"/>
      <c r="T3155" s="990"/>
      <c r="U3155" s="990"/>
      <c r="V3155" s="990"/>
      <c r="W3155" s="990"/>
      <c r="X3155" s="990"/>
    </row>
    <row r="3156" spans="1:24" s="896" customFormat="1">
      <c r="A3156" s="987">
        <f t="shared" si="50"/>
        <v>3082</v>
      </c>
      <c r="B3156" s="988">
        <v>41385</v>
      </c>
      <c r="C3156" s="899" t="s">
        <v>12482</v>
      </c>
      <c r="D3156" s="988" t="s">
        <v>2666</v>
      </c>
      <c r="E3156" s="989">
        <v>800.38</v>
      </c>
      <c r="F3156" s="990"/>
      <c r="G3156" s="990"/>
      <c r="H3156" s="990"/>
      <c r="I3156" s="990"/>
      <c r="J3156" s="990"/>
      <c r="K3156" s="990"/>
      <c r="L3156" s="990"/>
      <c r="M3156" s="990"/>
      <c r="N3156" s="990"/>
      <c r="O3156" s="990"/>
      <c r="P3156" s="990"/>
      <c r="Q3156" s="990"/>
      <c r="R3156" s="990"/>
      <c r="S3156" s="990"/>
      <c r="T3156" s="990"/>
      <c r="U3156" s="990"/>
      <c r="V3156" s="990"/>
      <c r="W3156" s="990"/>
      <c r="X3156" s="990"/>
    </row>
    <row r="3157" spans="1:24" s="896" customFormat="1" ht="25.5">
      <c r="A3157" s="987">
        <f t="shared" si="50"/>
        <v>3083</v>
      </c>
      <c r="B3157" s="988">
        <v>11079</v>
      </c>
      <c r="C3157" s="899" t="s">
        <v>12483</v>
      </c>
      <c r="D3157" s="988" t="s">
        <v>2668</v>
      </c>
      <c r="E3157" s="989">
        <v>1160.27</v>
      </c>
      <c r="F3157" s="990"/>
      <c r="G3157" s="990"/>
      <c r="H3157" s="990"/>
      <c r="I3157" s="990"/>
      <c r="J3157" s="990"/>
      <c r="K3157" s="990"/>
      <c r="L3157" s="990"/>
      <c r="M3157" s="990"/>
      <c r="N3157" s="990"/>
      <c r="O3157" s="990"/>
      <c r="P3157" s="990"/>
      <c r="Q3157" s="990"/>
      <c r="R3157" s="990"/>
      <c r="S3157" s="990"/>
      <c r="T3157" s="990"/>
      <c r="U3157" s="990"/>
      <c r="V3157" s="990"/>
      <c r="W3157" s="990"/>
      <c r="X3157" s="990"/>
    </row>
    <row r="3158" spans="1:24" s="896" customFormat="1" ht="25.5">
      <c r="A3158" s="987">
        <f t="shared" si="50"/>
        <v>3084</v>
      </c>
      <c r="B3158" s="988">
        <v>11082</v>
      </c>
      <c r="C3158" s="899" t="s">
        <v>12484</v>
      </c>
      <c r="D3158" s="988" t="s">
        <v>2668</v>
      </c>
      <c r="E3158" s="989">
        <v>1160.27</v>
      </c>
      <c r="F3158" s="990"/>
      <c r="G3158" s="990"/>
      <c r="H3158" s="990"/>
      <c r="I3158" s="990"/>
      <c r="J3158" s="990"/>
      <c r="K3158" s="990"/>
      <c r="L3158" s="990"/>
      <c r="M3158" s="990"/>
      <c r="N3158" s="990"/>
      <c r="O3158" s="990"/>
      <c r="P3158" s="990"/>
      <c r="Q3158" s="990"/>
      <c r="R3158" s="990"/>
      <c r="S3158" s="990"/>
      <c r="T3158" s="990"/>
      <c r="U3158" s="990"/>
      <c r="V3158" s="990"/>
      <c r="W3158" s="990"/>
      <c r="X3158" s="990"/>
    </row>
    <row r="3159" spans="1:24" s="896" customFormat="1">
      <c r="A3159" s="987">
        <f t="shared" si="50"/>
        <v>3085</v>
      </c>
      <c r="B3159" s="988">
        <v>4058</v>
      </c>
      <c r="C3159" s="899" t="s">
        <v>12485</v>
      </c>
      <c r="D3159" s="988" t="s">
        <v>2665</v>
      </c>
      <c r="E3159" s="989">
        <v>27.66</v>
      </c>
      <c r="F3159" s="990"/>
      <c r="G3159" s="990"/>
      <c r="H3159" s="990"/>
      <c r="I3159" s="990"/>
      <c r="J3159" s="990"/>
      <c r="K3159" s="990"/>
      <c r="L3159" s="990"/>
      <c r="M3159" s="990"/>
      <c r="N3159" s="990"/>
      <c r="O3159" s="990"/>
      <c r="P3159" s="990"/>
      <c r="Q3159" s="990"/>
      <c r="R3159" s="990"/>
      <c r="S3159" s="990"/>
      <c r="T3159" s="990"/>
      <c r="U3159" s="990"/>
      <c r="V3159" s="990"/>
      <c r="W3159" s="990"/>
      <c r="X3159" s="990"/>
    </row>
    <row r="3160" spans="1:24" s="896" customFormat="1">
      <c r="A3160" s="987">
        <f t="shared" si="50"/>
        <v>3086</v>
      </c>
      <c r="B3160" s="988">
        <v>40974</v>
      </c>
      <c r="C3160" s="899" t="s">
        <v>12486</v>
      </c>
      <c r="D3160" s="988" t="s">
        <v>2672</v>
      </c>
      <c r="E3160" s="989">
        <v>4862.51</v>
      </c>
      <c r="F3160" s="990"/>
      <c r="G3160" s="990"/>
      <c r="H3160" s="990"/>
      <c r="I3160" s="990"/>
      <c r="J3160" s="990"/>
      <c r="K3160" s="990"/>
      <c r="L3160" s="990"/>
      <c r="M3160" s="990"/>
      <c r="N3160" s="990"/>
      <c r="O3160" s="990"/>
      <c r="P3160" s="990"/>
      <c r="Q3160" s="990"/>
      <c r="R3160" s="990"/>
      <c r="S3160" s="990"/>
      <c r="T3160" s="990"/>
      <c r="U3160" s="990"/>
      <c r="V3160" s="990"/>
      <c r="W3160" s="990"/>
      <c r="X3160" s="990"/>
    </row>
    <row r="3161" spans="1:24" s="896" customFormat="1">
      <c r="A3161" s="987">
        <f t="shared" si="50"/>
        <v>3087</v>
      </c>
      <c r="B3161" s="988">
        <v>34794</v>
      </c>
      <c r="C3161" s="899" t="s">
        <v>12487</v>
      </c>
      <c r="D3161" s="988" t="s">
        <v>2665</v>
      </c>
      <c r="E3161" s="989">
        <v>26.58</v>
      </c>
      <c r="F3161" s="990"/>
      <c r="G3161" s="990"/>
      <c r="H3161" s="990"/>
      <c r="I3161" s="990"/>
      <c r="J3161" s="990"/>
      <c r="K3161" s="990"/>
      <c r="L3161" s="990"/>
      <c r="M3161" s="990"/>
      <c r="N3161" s="990"/>
      <c r="O3161" s="990"/>
      <c r="P3161" s="990"/>
      <c r="Q3161" s="990"/>
      <c r="R3161" s="990"/>
      <c r="S3161" s="990"/>
      <c r="T3161" s="990"/>
      <c r="U3161" s="990"/>
      <c r="V3161" s="990"/>
      <c r="W3161" s="990"/>
      <c r="X3161" s="990"/>
    </row>
    <row r="3162" spans="1:24" s="896" customFormat="1">
      <c r="A3162" s="987">
        <f t="shared" si="50"/>
        <v>3088</v>
      </c>
      <c r="B3162" s="988">
        <v>40925</v>
      </c>
      <c r="C3162" s="899" t="s">
        <v>12488</v>
      </c>
      <c r="D3162" s="988" t="s">
        <v>2672</v>
      </c>
      <c r="E3162" s="989">
        <v>4674.75</v>
      </c>
      <c r="F3162" s="990"/>
      <c r="G3162" s="990"/>
      <c r="H3162" s="990"/>
      <c r="I3162" s="990"/>
      <c r="J3162" s="990"/>
      <c r="K3162" s="990"/>
      <c r="L3162" s="990"/>
      <c r="M3162" s="990"/>
      <c r="N3162" s="990"/>
      <c r="O3162" s="990"/>
      <c r="P3162" s="990"/>
      <c r="Q3162" s="990"/>
      <c r="R3162" s="990"/>
      <c r="S3162" s="990"/>
      <c r="T3162" s="990"/>
      <c r="U3162" s="990"/>
      <c r="V3162" s="990"/>
      <c r="W3162" s="990"/>
      <c r="X3162" s="990"/>
    </row>
    <row r="3163" spans="1:24" s="896" customFormat="1">
      <c r="A3163" s="987">
        <f t="shared" si="50"/>
        <v>3089</v>
      </c>
      <c r="B3163" s="988">
        <v>13741</v>
      </c>
      <c r="C3163" s="899" t="s">
        <v>12489</v>
      </c>
      <c r="D3163" s="988" t="s">
        <v>2666</v>
      </c>
      <c r="E3163" s="989">
        <v>2928.56</v>
      </c>
      <c r="F3163" s="990"/>
      <c r="G3163" s="990"/>
      <c r="H3163" s="990"/>
      <c r="I3163" s="990"/>
      <c r="J3163" s="990"/>
      <c r="K3163" s="990"/>
      <c r="L3163" s="990"/>
      <c r="M3163" s="990"/>
      <c r="N3163" s="990"/>
      <c r="O3163" s="990"/>
      <c r="P3163" s="990"/>
      <c r="Q3163" s="990"/>
      <c r="R3163" s="990"/>
      <c r="S3163" s="990"/>
      <c r="T3163" s="990"/>
      <c r="U3163" s="990"/>
      <c r="V3163" s="990"/>
      <c r="W3163" s="990"/>
      <c r="X3163" s="990"/>
    </row>
    <row r="3164" spans="1:24" s="896" customFormat="1" ht="25.5">
      <c r="A3164" s="987">
        <f t="shared" si="50"/>
        <v>3090</v>
      </c>
      <c r="B3164" s="988">
        <v>3288</v>
      </c>
      <c r="C3164" s="899" t="s">
        <v>12490</v>
      </c>
      <c r="D3164" s="988" t="s">
        <v>2669</v>
      </c>
      <c r="E3164" s="989">
        <v>7.65</v>
      </c>
      <c r="F3164" s="990"/>
      <c r="G3164" s="990"/>
      <c r="H3164" s="990"/>
      <c r="I3164" s="990"/>
      <c r="J3164" s="990"/>
      <c r="K3164" s="990"/>
      <c r="L3164" s="990"/>
      <c r="M3164" s="990"/>
      <c r="N3164" s="990"/>
      <c r="O3164" s="990"/>
      <c r="P3164" s="990"/>
      <c r="Q3164" s="990"/>
      <c r="R3164" s="990"/>
      <c r="S3164" s="990"/>
      <c r="T3164" s="990"/>
      <c r="U3164" s="990"/>
      <c r="V3164" s="990"/>
      <c r="W3164" s="990"/>
      <c r="X3164" s="990"/>
    </row>
    <row r="3165" spans="1:24" s="896" customFormat="1" ht="25.5">
      <c r="A3165" s="987">
        <f t="shared" si="50"/>
        <v>3091</v>
      </c>
      <c r="B3165" s="988">
        <v>13587</v>
      </c>
      <c r="C3165" s="899" t="s">
        <v>12491</v>
      </c>
      <c r="D3165" s="988" t="s">
        <v>2669</v>
      </c>
      <c r="E3165" s="989">
        <v>4.62</v>
      </c>
      <c r="F3165" s="990"/>
      <c r="G3165" s="990"/>
      <c r="H3165" s="990"/>
      <c r="I3165" s="990"/>
      <c r="J3165" s="990"/>
      <c r="K3165" s="990"/>
      <c r="L3165" s="990"/>
      <c r="M3165" s="990"/>
      <c r="N3165" s="990"/>
      <c r="O3165" s="990"/>
      <c r="P3165" s="990"/>
      <c r="Q3165" s="990"/>
      <c r="R3165" s="990"/>
      <c r="S3165" s="990"/>
      <c r="T3165" s="990"/>
      <c r="U3165" s="990"/>
      <c r="V3165" s="990"/>
      <c r="W3165" s="990"/>
      <c r="X3165" s="990"/>
    </row>
    <row r="3166" spans="1:24" s="896" customFormat="1">
      <c r="A3166" s="987">
        <f t="shared" si="50"/>
        <v>3092</v>
      </c>
      <c r="B3166" s="988">
        <v>38598</v>
      </c>
      <c r="C3166" s="899" t="s">
        <v>12492</v>
      </c>
      <c r="D3166" s="988" t="s">
        <v>2666</v>
      </c>
      <c r="E3166" s="989">
        <v>2.65</v>
      </c>
      <c r="F3166" s="990"/>
      <c r="G3166" s="990"/>
      <c r="H3166" s="990"/>
      <c r="I3166" s="990"/>
      <c r="J3166" s="990"/>
      <c r="K3166" s="990"/>
      <c r="L3166" s="990"/>
      <c r="M3166" s="990"/>
      <c r="N3166" s="990"/>
      <c r="O3166" s="990"/>
      <c r="P3166" s="990"/>
      <c r="Q3166" s="990"/>
      <c r="R3166" s="990"/>
      <c r="S3166" s="990"/>
      <c r="T3166" s="990"/>
      <c r="U3166" s="990"/>
      <c r="V3166" s="990"/>
      <c r="W3166" s="990"/>
      <c r="X3166" s="990"/>
    </row>
    <row r="3167" spans="1:24" s="896" customFormat="1">
      <c r="A3167" s="987">
        <f t="shared" si="50"/>
        <v>3093</v>
      </c>
      <c r="B3167" s="988">
        <v>38595</v>
      </c>
      <c r="C3167" s="899" t="s">
        <v>12493</v>
      </c>
      <c r="D3167" s="988" t="s">
        <v>2666</v>
      </c>
      <c r="E3167" s="989">
        <v>2.25</v>
      </c>
      <c r="F3167" s="990"/>
      <c r="G3167" s="990"/>
      <c r="H3167" s="990"/>
      <c r="I3167" s="990"/>
      <c r="J3167" s="990"/>
      <c r="K3167" s="990"/>
      <c r="L3167" s="990"/>
      <c r="M3167" s="990"/>
      <c r="N3167" s="990"/>
      <c r="O3167" s="990"/>
      <c r="P3167" s="990"/>
      <c r="Q3167" s="990"/>
      <c r="R3167" s="990"/>
      <c r="S3167" s="990"/>
      <c r="T3167" s="990"/>
      <c r="U3167" s="990"/>
      <c r="V3167" s="990"/>
      <c r="W3167" s="990"/>
      <c r="X3167" s="990"/>
    </row>
    <row r="3168" spans="1:24" s="896" customFormat="1">
      <c r="A3168" s="987">
        <f t="shared" si="50"/>
        <v>3094</v>
      </c>
      <c r="B3168" s="988">
        <v>38592</v>
      </c>
      <c r="C3168" s="899" t="s">
        <v>12494</v>
      </c>
      <c r="D3168" s="988" t="s">
        <v>2666</v>
      </c>
      <c r="E3168" s="989">
        <v>2.27</v>
      </c>
      <c r="F3168" s="990"/>
      <c r="G3168" s="990"/>
      <c r="H3168" s="990"/>
      <c r="I3168" s="990"/>
      <c r="J3168" s="990"/>
      <c r="K3168" s="990"/>
      <c r="L3168" s="990"/>
      <c r="M3168" s="990"/>
      <c r="N3168" s="990"/>
      <c r="O3168" s="990"/>
      <c r="P3168" s="990"/>
      <c r="Q3168" s="990"/>
      <c r="R3168" s="990"/>
      <c r="S3168" s="990"/>
      <c r="T3168" s="990"/>
      <c r="U3168" s="990"/>
      <c r="V3168" s="990"/>
      <c r="W3168" s="990"/>
      <c r="X3168" s="990"/>
    </row>
    <row r="3169" spans="1:24" s="896" customFormat="1">
      <c r="A3169" s="987">
        <f t="shared" si="50"/>
        <v>3095</v>
      </c>
      <c r="B3169" s="988">
        <v>38588</v>
      </c>
      <c r="C3169" s="899" t="s">
        <v>12495</v>
      </c>
      <c r="D3169" s="988" t="s">
        <v>2666</v>
      </c>
      <c r="E3169" s="989">
        <v>1.82</v>
      </c>
      <c r="F3169" s="990"/>
      <c r="G3169" s="990"/>
      <c r="H3169" s="990"/>
      <c r="I3169" s="990"/>
      <c r="J3169" s="990"/>
      <c r="K3169" s="990"/>
      <c r="L3169" s="990"/>
      <c r="M3169" s="990"/>
      <c r="N3169" s="990"/>
      <c r="O3169" s="990"/>
      <c r="P3169" s="990"/>
      <c r="Q3169" s="990"/>
      <c r="R3169" s="990"/>
      <c r="S3169" s="990"/>
      <c r="T3169" s="990"/>
      <c r="U3169" s="990"/>
      <c r="V3169" s="990"/>
      <c r="W3169" s="990"/>
      <c r="X3169" s="990"/>
    </row>
    <row r="3170" spans="1:24" s="896" customFormat="1">
      <c r="A3170" s="987">
        <f t="shared" si="50"/>
        <v>3096</v>
      </c>
      <c r="B3170" s="988">
        <v>38593</v>
      </c>
      <c r="C3170" s="899" t="s">
        <v>12496</v>
      </c>
      <c r="D3170" s="988" t="s">
        <v>2666</v>
      </c>
      <c r="E3170" s="989">
        <v>2.5099999999999998</v>
      </c>
      <c r="F3170" s="990"/>
      <c r="G3170" s="990"/>
      <c r="H3170" s="990"/>
      <c r="I3170" s="990"/>
      <c r="J3170" s="990"/>
      <c r="K3170" s="990"/>
      <c r="L3170" s="990"/>
      <c r="M3170" s="990"/>
      <c r="N3170" s="990"/>
      <c r="O3170" s="990"/>
      <c r="P3170" s="990"/>
      <c r="Q3170" s="990"/>
      <c r="R3170" s="990"/>
      <c r="S3170" s="990"/>
      <c r="T3170" s="990"/>
      <c r="U3170" s="990"/>
      <c r="V3170" s="990"/>
      <c r="W3170" s="990"/>
      <c r="X3170" s="990"/>
    </row>
    <row r="3171" spans="1:24" s="896" customFormat="1">
      <c r="A3171" s="987">
        <f t="shared" si="50"/>
        <v>3097</v>
      </c>
      <c r="B3171" s="988">
        <v>38589</v>
      </c>
      <c r="C3171" s="899" t="s">
        <v>12497</v>
      </c>
      <c r="D3171" s="988" t="s">
        <v>2666</v>
      </c>
      <c r="E3171" s="989">
        <v>1.91</v>
      </c>
      <c r="F3171" s="990"/>
      <c r="G3171" s="990"/>
      <c r="H3171" s="990"/>
      <c r="I3171" s="990"/>
      <c r="J3171" s="990"/>
      <c r="K3171" s="990"/>
      <c r="L3171" s="990"/>
      <c r="M3171" s="990"/>
      <c r="N3171" s="990"/>
      <c r="O3171" s="990"/>
      <c r="P3171" s="990"/>
      <c r="Q3171" s="990"/>
      <c r="R3171" s="990"/>
      <c r="S3171" s="990"/>
      <c r="T3171" s="990"/>
      <c r="U3171" s="990"/>
      <c r="V3171" s="990"/>
      <c r="W3171" s="990"/>
      <c r="X3171" s="990"/>
    </row>
    <row r="3172" spans="1:24" s="896" customFormat="1">
      <c r="A3172" s="987">
        <f t="shared" si="50"/>
        <v>3098</v>
      </c>
      <c r="B3172" s="988">
        <v>38594</v>
      </c>
      <c r="C3172" s="899" t="s">
        <v>12498</v>
      </c>
      <c r="D3172" s="988" t="s">
        <v>2666</v>
      </c>
      <c r="E3172" s="989">
        <v>3.96</v>
      </c>
      <c r="F3172" s="990"/>
      <c r="G3172" s="990"/>
      <c r="H3172" s="990"/>
      <c r="I3172" s="990"/>
      <c r="J3172" s="990"/>
      <c r="K3172" s="990"/>
      <c r="L3172" s="990"/>
      <c r="M3172" s="990"/>
      <c r="N3172" s="990"/>
      <c r="O3172" s="990"/>
      <c r="P3172" s="990"/>
      <c r="Q3172" s="990"/>
      <c r="R3172" s="990"/>
      <c r="S3172" s="990"/>
      <c r="T3172" s="990"/>
      <c r="U3172" s="990"/>
      <c r="V3172" s="990"/>
      <c r="W3172" s="990"/>
      <c r="X3172" s="990"/>
    </row>
    <row r="3173" spans="1:24" s="896" customFormat="1" ht="25.5">
      <c r="A3173" s="987">
        <f t="shared" si="50"/>
        <v>3099</v>
      </c>
      <c r="B3173" s="988">
        <v>34773</v>
      </c>
      <c r="C3173" s="899" t="s">
        <v>12499</v>
      </c>
      <c r="D3173" s="988" t="s">
        <v>2666</v>
      </c>
      <c r="E3173" s="989">
        <v>1.87</v>
      </c>
      <c r="F3173" s="990"/>
      <c r="G3173" s="990"/>
      <c r="H3173" s="990"/>
      <c r="I3173" s="990"/>
      <c r="J3173" s="990"/>
      <c r="K3173" s="990"/>
      <c r="L3173" s="990"/>
      <c r="M3173" s="990"/>
      <c r="N3173" s="990"/>
      <c r="O3173" s="990"/>
      <c r="P3173" s="990"/>
      <c r="Q3173" s="990"/>
      <c r="R3173" s="990"/>
      <c r="S3173" s="990"/>
      <c r="T3173" s="990"/>
      <c r="U3173" s="990"/>
      <c r="V3173" s="990"/>
      <c r="W3173" s="990"/>
      <c r="X3173" s="990"/>
    </row>
    <row r="3174" spans="1:24" s="896" customFormat="1">
      <c r="A3174" s="987">
        <f t="shared" si="50"/>
        <v>3100</v>
      </c>
      <c r="B3174" s="988">
        <v>34769</v>
      </c>
      <c r="C3174" s="899" t="s">
        <v>12500</v>
      </c>
      <c r="D3174" s="988" t="s">
        <v>2666</v>
      </c>
      <c r="E3174" s="989">
        <v>2.3199999999999998</v>
      </c>
      <c r="F3174" s="990"/>
      <c r="G3174" s="990"/>
      <c r="H3174" s="990"/>
      <c r="I3174" s="990"/>
      <c r="J3174" s="990"/>
      <c r="K3174" s="990"/>
      <c r="L3174" s="990"/>
      <c r="M3174" s="990"/>
      <c r="N3174" s="990"/>
      <c r="O3174" s="990"/>
      <c r="P3174" s="990"/>
      <c r="Q3174" s="990"/>
      <c r="R3174" s="990"/>
      <c r="S3174" s="990"/>
      <c r="T3174" s="990"/>
      <c r="U3174" s="990"/>
      <c r="V3174" s="990"/>
      <c r="W3174" s="990"/>
      <c r="X3174" s="990"/>
    </row>
    <row r="3175" spans="1:24" s="896" customFormat="1">
      <c r="A3175" s="987">
        <f t="shared" si="50"/>
        <v>3101</v>
      </c>
      <c r="B3175" s="988">
        <v>34763</v>
      </c>
      <c r="C3175" s="899" t="s">
        <v>12501</v>
      </c>
      <c r="D3175" s="988" t="s">
        <v>2666</v>
      </c>
      <c r="E3175" s="989">
        <v>1.43</v>
      </c>
      <c r="F3175" s="990"/>
      <c r="G3175" s="990"/>
      <c r="H3175" s="990"/>
      <c r="I3175" s="990"/>
      <c r="J3175" s="990"/>
      <c r="K3175" s="990"/>
      <c r="L3175" s="990"/>
      <c r="M3175" s="990"/>
      <c r="N3175" s="990"/>
      <c r="O3175" s="990"/>
      <c r="P3175" s="990"/>
      <c r="Q3175" s="990"/>
      <c r="R3175" s="990"/>
      <c r="S3175" s="990"/>
      <c r="T3175" s="990"/>
      <c r="U3175" s="990"/>
      <c r="V3175" s="990"/>
      <c r="W3175" s="990"/>
      <c r="X3175" s="990"/>
    </row>
    <row r="3176" spans="1:24" s="896" customFormat="1">
      <c r="A3176" s="987">
        <f t="shared" si="50"/>
        <v>3102</v>
      </c>
      <c r="B3176" s="988">
        <v>34774</v>
      </c>
      <c r="C3176" s="899" t="s">
        <v>12502</v>
      </c>
      <c r="D3176" s="988" t="s">
        <v>2666</v>
      </c>
      <c r="E3176" s="989">
        <v>1.78</v>
      </c>
      <c r="F3176" s="990"/>
      <c r="G3176" s="990"/>
      <c r="H3176" s="990"/>
      <c r="I3176" s="990"/>
      <c r="J3176" s="990"/>
      <c r="K3176" s="990"/>
      <c r="L3176" s="990"/>
      <c r="M3176" s="990"/>
      <c r="N3176" s="990"/>
      <c r="O3176" s="990"/>
      <c r="P3176" s="990"/>
      <c r="Q3176" s="990"/>
      <c r="R3176" s="990"/>
      <c r="S3176" s="990"/>
      <c r="T3176" s="990"/>
      <c r="U3176" s="990"/>
      <c r="V3176" s="990"/>
      <c r="W3176" s="990"/>
      <c r="X3176" s="990"/>
    </row>
    <row r="3177" spans="1:24" s="896" customFormat="1">
      <c r="A3177" s="987">
        <f t="shared" si="50"/>
        <v>3103</v>
      </c>
      <c r="B3177" s="988">
        <v>34771</v>
      </c>
      <c r="C3177" s="899" t="s">
        <v>12503</v>
      </c>
      <c r="D3177" s="988" t="s">
        <v>2666</v>
      </c>
      <c r="E3177" s="989">
        <v>2.14</v>
      </c>
      <c r="F3177" s="990"/>
      <c r="G3177" s="990"/>
      <c r="H3177" s="990"/>
      <c r="I3177" s="990"/>
      <c r="J3177" s="990"/>
      <c r="K3177" s="990"/>
      <c r="L3177" s="990"/>
      <c r="M3177" s="990"/>
      <c r="N3177" s="990"/>
      <c r="O3177" s="990"/>
      <c r="P3177" s="990"/>
      <c r="Q3177" s="990"/>
      <c r="R3177" s="990"/>
      <c r="S3177" s="990"/>
      <c r="T3177" s="990"/>
      <c r="U3177" s="990"/>
      <c r="V3177" s="990"/>
      <c r="W3177" s="990"/>
      <c r="X3177" s="990"/>
    </row>
    <row r="3178" spans="1:24" s="896" customFormat="1">
      <c r="A3178" s="987">
        <f t="shared" si="50"/>
        <v>3104</v>
      </c>
      <c r="B3178" s="988">
        <v>34764</v>
      </c>
      <c r="C3178" s="899" t="s">
        <v>12504</v>
      </c>
      <c r="D3178" s="988" t="s">
        <v>2666</v>
      </c>
      <c r="E3178" s="989">
        <v>1.4</v>
      </c>
      <c r="F3178" s="990"/>
      <c r="G3178" s="990"/>
      <c r="H3178" s="990"/>
      <c r="I3178" s="990"/>
      <c r="J3178" s="990"/>
      <c r="K3178" s="990"/>
      <c r="L3178" s="990"/>
      <c r="M3178" s="990"/>
      <c r="N3178" s="990"/>
      <c r="O3178" s="990"/>
      <c r="P3178" s="990"/>
      <c r="Q3178" s="990"/>
      <c r="R3178" s="990"/>
      <c r="S3178" s="990"/>
      <c r="T3178" s="990"/>
      <c r="U3178" s="990"/>
      <c r="V3178" s="990"/>
      <c r="W3178" s="990"/>
      <c r="X3178" s="990"/>
    </row>
    <row r="3179" spans="1:24" s="896" customFormat="1">
      <c r="A3179" s="987">
        <f t="shared" si="50"/>
        <v>3105</v>
      </c>
      <c r="B3179" s="988">
        <v>34788</v>
      </c>
      <c r="C3179" s="899" t="s">
        <v>12505</v>
      </c>
      <c r="D3179" s="988" t="s">
        <v>2666</v>
      </c>
      <c r="E3179" s="989">
        <v>1.48</v>
      </c>
      <c r="F3179" s="990"/>
      <c r="G3179" s="990"/>
      <c r="H3179" s="990"/>
      <c r="I3179" s="990"/>
      <c r="J3179" s="990"/>
      <c r="K3179" s="990"/>
      <c r="L3179" s="990"/>
      <c r="M3179" s="990"/>
      <c r="N3179" s="990"/>
      <c r="O3179" s="990"/>
      <c r="P3179" s="990"/>
      <c r="Q3179" s="990"/>
      <c r="R3179" s="990"/>
      <c r="S3179" s="990"/>
      <c r="T3179" s="990"/>
      <c r="U3179" s="990"/>
      <c r="V3179" s="990"/>
      <c r="W3179" s="990"/>
      <c r="X3179" s="990"/>
    </row>
    <row r="3180" spans="1:24" s="896" customFormat="1">
      <c r="A3180" s="987">
        <f t="shared" si="50"/>
        <v>3106</v>
      </c>
      <c r="B3180" s="988">
        <v>34781</v>
      </c>
      <c r="C3180" s="899" t="s">
        <v>12506</v>
      </c>
      <c r="D3180" s="988" t="s">
        <v>2666</v>
      </c>
      <c r="E3180" s="989">
        <v>1.68</v>
      </c>
      <c r="F3180" s="990"/>
      <c r="G3180" s="990"/>
      <c r="H3180" s="990"/>
      <c r="I3180" s="990"/>
      <c r="J3180" s="990"/>
      <c r="K3180" s="990"/>
      <c r="L3180" s="990"/>
      <c r="M3180" s="990"/>
      <c r="N3180" s="990"/>
      <c r="O3180" s="990"/>
      <c r="P3180" s="990"/>
      <c r="Q3180" s="990"/>
      <c r="R3180" s="990"/>
      <c r="S3180" s="990"/>
      <c r="T3180" s="990"/>
      <c r="U3180" s="990"/>
      <c r="V3180" s="990"/>
      <c r="W3180" s="990"/>
      <c r="X3180" s="990"/>
    </row>
    <row r="3181" spans="1:24" s="896" customFormat="1">
      <c r="A3181" s="987">
        <f t="shared" si="50"/>
        <v>3107</v>
      </c>
      <c r="B3181" s="988">
        <v>41682</v>
      </c>
      <c r="C3181" s="899" t="s">
        <v>12507</v>
      </c>
      <c r="D3181" s="988" t="s">
        <v>2666</v>
      </c>
      <c r="E3181" s="989">
        <v>28.49</v>
      </c>
      <c r="F3181" s="990"/>
      <c r="G3181" s="990"/>
      <c r="H3181" s="990"/>
      <c r="I3181" s="990"/>
      <c r="J3181" s="990"/>
      <c r="K3181" s="990"/>
      <c r="L3181" s="990"/>
      <c r="M3181" s="990"/>
      <c r="N3181" s="990"/>
      <c r="O3181" s="990"/>
      <c r="P3181" s="990"/>
      <c r="Q3181" s="990"/>
      <c r="R3181" s="990"/>
      <c r="S3181" s="990"/>
      <c r="T3181" s="990"/>
      <c r="U3181" s="990"/>
      <c r="V3181" s="990"/>
      <c r="W3181" s="990"/>
      <c r="X3181" s="990"/>
    </row>
    <row r="3182" spans="1:24" s="896" customFormat="1">
      <c r="A3182" s="987">
        <f t="shared" si="50"/>
        <v>3108</v>
      </c>
      <c r="B3182" s="988">
        <v>41683</v>
      </c>
      <c r="C3182" s="899" t="s">
        <v>12508</v>
      </c>
      <c r="D3182" s="988" t="s">
        <v>2666</v>
      </c>
      <c r="E3182" s="989">
        <v>20.96</v>
      </c>
      <c r="F3182" s="990"/>
      <c r="G3182" s="990"/>
      <c r="H3182" s="990"/>
      <c r="I3182" s="990"/>
      <c r="J3182" s="990"/>
      <c r="K3182" s="990"/>
      <c r="L3182" s="990"/>
      <c r="M3182" s="990"/>
      <c r="N3182" s="990"/>
      <c r="O3182" s="990"/>
      <c r="P3182" s="990"/>
      <c r="Q3182" s="990"/>
      <c r="R3182" s="990"/>
      <c r="S3182" s="990"/>
      <c r="T3182" s="990"/>
      <c r="U3182" s="990"/>
      <c r="V3182" s="990"/>
      <c r="W3182" s="990"/>
      <c r="X3182" s="990"/>
    </row>
    <row r="3183" spans="1:24" s="896" customFormat="1" ht="25.5">
      <c r="A3183" s="987">
        <f t="shared" si="50"/>
        <v>3109</v>
      </c>
      <c r="B3183" s="988">
        <v>41680</v>
      </c>
      <c r="C3183" s="899" t="s">
        <v>12509</v>
      </c>
      <c r="D3183" s="988" t="s">
        <v>2666</v>
      </c>
      <c r="E3183" s="989">
        <v>11.28</v>
      </c>
      <c r="F3183" s="990"/>
      <c r="G3183" s="990"/>
      <c r="H3183" s="990"/>
      <c r="I3183" s="990"/>
      <c r="J3183" s="990"/>
      <c r="K3183" s="990"/>
      <c r="L3183" s="990"/>
      <c r="M3183" s="990"/>
      <c r="N3183" s="990"/>
      <c r="O3183" s="990"/>
      <c r="P3183" s="990"/>
      <c r="Q3183" s="990"/>
      <c r="R3183" s="990"/>
      <c r="S3183" s="990"/>
      <c r="T3183" s="990"/>
      <c r="U3183" s="990"/>
      <c r="V3183" s="990"/>
      <c r="W3183" s="990"/>
      <c r="X3183" s="990"/>
    </row>
    <row r="3184" spans="1:24" s="896" customFormat="1">
      <c r="A3184" s="987">
        <f t="shared" si="50"/>
        <v>3110</v>
      </c>
      <c r="B3184" s="988">
        <v>41679</v>
      </c>
      <c r="C3184" s="899" t="s">
        <v>12510</v>
      </c>
      <c r="D3184" s="988" t="s">
        <v>2666</v>
      </c>
      <c r="E3184" s="989">
        <v>25.8</v>
      </c>
      <c r="F3184" s="990"/>
      <c r="G3184" s="990"/>
      <c r="H3184" s="990"/>
      <c r="I3184" s="990"/>
      <c r="J3184" s="990"/>
      <c r="K3184" s="990"/>
      <c r="L3184" s="990"/>
      <c r="M3184" s="990"/>
      <c r="N3184" s="990"/>
      <c r="O3184" s="990"/>
      <c r="P3184" s="990"/>
      <c r="Q3184" s="990"/>
      <c r="R3184" s="990"/>
      <c r="S3184" s="990"/>
      <c r="T3184" s="990"/>
      <c r="U3184" s="990"/>
      <c r="V3184" s="990"/>
      <c r="W3184" s="990"/>
      <c r="X3184" s="990"/>
    </row>
    <row r="3185" spans="1:24" s="896" customFormat="1" ht="25.5">
      <c r="A3185" s="987">
        <f t="shared" si="50"/>
        <v>3111</v>
      </c>
      <c r="B3185" s="988">
        <v>41681</v>
      </c>
      <c r="C3185" s="899" t="s">
        <v>12511</v>
      </c>
      <c r="D3185" s="988" t="s">
        <v>2666</v>
      </c>
      <c r="E3185" s="989">
        <v>17.649999999999999</v>
      </c>
      <c r="F3185" s="990"/>
      <c r="G3185" s="990"/>
      <c r="H3185" s="990"/>
      <c r="I3185" s="990"/>
      <c r="J3185" s="990"/>
      <c r="K3185" s="990"/>
      <c r="L3185" s="990"/>
      <c r="M3185" s="990"/>
      <c r="N3185" s="990"/>
      <c r="O3185" s="990"/>
      <c r="P3185" s="990"/>
      <c r="Q3185" s="990"/>
      <c r="R3185" s="990"/>
      <c r="S3185" s="990"/>
      <c r="T3185" s="990"/>
      <c r="U3185" s="990"/>
      <c r="V3185" s="990"/>
      <c r="W3185" s="990"/>
      <c r="X3185" s="990"/>
    </row>
    <row r="3186" spans="1:24" s="896" customFormat="1" ht="25.5">
      <c r="A3186" s="987">
        <f t="shared" si="50"/>
        <v>3112</v>
      </c>
      <c r="B3186" s="988">
        <v>43386</v>
      </c>
      <c r="C3186" s="899" t="s">
        <v>12512</v>
      </c>
      <c r="D3186" s="988" t="s">
        <v>2666</v>
      </c>
      <c r="E3186" s="989">
        <v>40.31</v>
      </c>
      <c r="F3186" s="990"/>
      <c r="G3186" s="990"/>
      <c r="H3186" s="990"/>
      <c r="I3186" s="990"/>
      <c r="J3186" s="990"/>
      <c r="K3186" s="990"/>
      <c r="L3186" s="990"/>
      <c r="M3186" s="990"/>
      <c r="N3186" s="990"/>
      <c r="O3186" s="990"/>
      <c r="P3186" s="990"/>
      <c r="Q3186" s="990"/>
      <c r="R3186" s="990"/>
      <c r="S3186" s="990"/>
      <c r="T3186" s="990"/>
      <c r="U3186" s="990"/>
      <c r="V3186" s="990"/>
      <c r="W3186" s="990"/>
      <c r="X3186" s="990"/>
    </row>
    <row r="3187" spans="1:24" s="896" customFormat="1" ht="25.5">
      <c r="A3187" s="987">
        <f t="shared" si="50"/>
        <v>3113</v>
      </c>
      <c r="B3187" s="988">
        <v>4059</v>
      </c>
      <c r="C3187" s="899" t="s">
        <v>12513</v>
      </c>
      <c r="D3187" s="988" t="s">
        <v>2669</v>
      </c>
      <c r="E3187" s="989">
        <v>28.49</v>
      </c>
      <c r="F3187" s="990"/>
      <c r="G3187" s="990"/>
      <c r="H3187" s="990"/>
      <c r="I3187" s="990"/>
      <c r="J3187" s="990"/>
      <c r="K3187" s="990"/>
      <c r="L3187" s="990"/>
      <c r="M3187" s="990"/>
      <c r="N3187" s="990"/>
      <c r="O3187" s="990"/>
      <c r="P3187" s="990"/>
      <c r="Q3187" s="990"/>
      <c r="R3187" s="990"/>
      <c r="S3187" s="990"/>
      <c r="T3187" s="990"/>
      <c r="U3187" s="990"/>
      <c r="V3187" s="990"/>
      <c r="W3187" s="990"/>
      <c r="X3187" s="990"/>
    </row>
    <row r="3188" spans="1:24" s="896" customFormat="1">
      <c r="A3188" s="987">
        <f t="shared" si="50"/>
        <v>3114</v>
      </c>
      <c r="B3188" s="988">
        <v>4062</v>
      </c>
      <c r="C3188" s="899" t="s">
        <v>12514</v>
      </c>
      <c r="D3188" s="988" t="s">
        <v>2666</v>
      </c>
      <c r="E3188" s="989">
        <v>28.49</v>
      </c>
      <c r="F3188" s="990"/>
      <c r="G3188" s="990"/>
      <c r="H3188" s="990"/>
      <c r="I3188" s="990"/>
      <c r="J3188" s="990"/>
      <c r="K3188" s="990"/>
      <c r="L3188" s="990"/>
      <c r="M3188" s="990"/>
      <c r="N3188" s="990"/>
      <c r="O3188" s="990"/>
      <c r="P3188" s="990"/>
      <c r="Q3188" s="990"/>
      <c r="R3188" s="990"/>
      <c r="S3188" s="990"/>
      <c r="T3188" s="990"/>
      <c r="U3188" s="990"/>
      <c r="V3188" s="990"/>
      <c r="W3188" s="990"/>
      <c r="X3188" s="990"/>
    </row>
    <row r="3189" spans="1:24" s="896" customFormat="1" ht="25.5">
      <c r="A3189" s="987">
        <f t="shared" si="50"/>
        <v>3115</v>
      </c>
      <c r="B3189" s="988">
        <v>4061</v>
      </c>
      <c r="C3189" s="899" t="s">
        <v>12515</v>
      </c>
      <c r="D3189" s="988" t="s">
        <v>2666</v>
      </c>
      <c r="E3189" s="989">
        <v>35.47</v>
      </c>
      <c r="F3189" s="990"/>
      <c r="G3189" s="990"/>
      <c r="H3189" s="990"/>
      <c r="I3189" s="990"/>
      <c r="J3189" s="990"/>
      <c r="K3189" s="990"/>
      <c r="L3189" s="990"/>
      <c r="M3189" s="990"/>
      <c r="N3189" s="990"/>
      <c r="O3189" s="990"/>
      <c r="P3189" s="990"/>
      <c r="Q3189" s="990"/>
      <c r="R3189" s="990"/>
      <c r="S3189" s="990"/>
      <c r="T3189" s="990"/>
      <c r="U3189" s="990"/>
      <c r="V3189" s="990"/>
      <c r="W3189" s="990"/>
      <c r="X3189" s="990"/>
    </row>
    <row r="3190" spans="1:24" s="896" customFormat="1" ht="25.5">
      <c r="A3190" s="987">
        <f t="shared" si="50"/>
        <v>3116</v>
      </c>
      <c r="B3190" s="988">
        <v>41315</v>
      </c>
      <c r="C3190" s="899" t="s">
        <v>12516</v>
      </c>
      <c r="D3190" s="988" t="s">
        <v>2670</v>
      </c>
      <c r="E3190" s="989">
        <v>83.69</v>
      </c>
      <c r="F3190" s="990"/>
      <c r="G3190" s="990"/>
      <c r="H3190" s="990"/>
      <c r="I3190" s="990"/>
      <c r="J3190" s="990"/>
      <c r="K3190" s="990"/>
      <c r="L3190" s="990"/>
      <c r="M3190" s="990"/>
      <c r="N3190" s="990"/>
      <c r="O3190" s="990"/>
      <c r="P3190" s="990"/>
      <c r="Q3190" s="990"/>
      <c r="R3190" s="990"/>
      <c r="S3190" s="990"/>
      <c r="T3190" s="990"/>
      <c r="U3190" s="990"/>
      <c r="V3190" s="990"/>
      <c r="W3190" s="990"/>
      <c r="X3190" s="990"/>
    </row>
    <row r="3191" spans="1:24" s="896" customFormat="1">
      <c r="A3191" s="987">
        <f t="shared" si="50"/>
        <v>3117</v>
      </c>
      <c r="B3191" s="988">
        <v>43148</v>
      </c>
      <c r="C3191" s="899" t="s">
        <v>12517</v>
      </c>
      <c r="D3191" s="988" t="s">
        <v>2670</v>
      </c>
      <c r="E3191" s="989">
        <v>56.81</v>
      </c>
      <c r="F3191" s="990"/>
      <c r="G3191" s="990"/>
      <c r="H3191" s="990"/>
      <c r="I3191" s="990"/>
      <c r="J3191" s="990"/>
      <c r="K3191" s="990"/>
      <c r="L3191" s="990"/>
      <c r="M3191" s="990"/>
      <c r="N3191" s="990"/>
      <c r="O3191" s="990"/>
      <c r="P3191" s="990"/>
      <c r="Q3191" s="990"/>
      <c r="R3191" s="990"/>
      <c r="S3191" s="990"/>
      <c r="T3191" s="990"/>
      <c r="U3191" s="990"/>
      <c r="V3191" s="990"/>
      <c r="W3191" s="990"/>
      <c r="X3191" s="990"/>
    </row>
    <row r="3192" spans="1:24" s="896" customFormat="1">
      <c r="A3192" s="987">
        <f t="shared" si="50"/>
        <v>3118</v>
      </c>
      <c r="B3192" s="988">
        <v>43147</v>
      </c>
      <c r="C3192" s="899" t="s">
        <v>12518</v>
      </c>
      <c r="D3192" s="988" t="s">
        <v>2670</v>
      </c>
      <c r="E3192" s="989">
        <v>22</v>
      </c>
      <c r="F3192" s="990"/>
      <c r="G3192" s="990"/>
      <c r="H3192" s="990"/>
      <c r="I3192" s="990"/>
      <c r="J3192" s="990"/>
      <c r="K3192" s="990"/>
      <c r="L3192" s="990"/>
      <c r="M3192" s="990"/>
      <c r="N3192" s="990"/>
      <c r="O3192" s="990"/>
      <c r="P3192" s="990"/>
      <c r="Q3192" s="990"/>
      <c r="R3192" s="990"/>
      <c r="S3192" s="990"/>
      <c r="T3192" s="990"/>
      <c r="U3192" s="990"/>
      <c r="V3192" s="990"/>
      <c r="W3192" s="990"/>
      <c r="X3192" s="990"/>
    </row>
    <row r="3193" spans="1:24" s="896" customFormat="1" ht="25.5">
      <c r="A3193" s="987">
        <f t="shared" si="50"/>
        <v>3119</v>
      </c>
      <c r="B3193" s="988">
        <v>10608</v>
      </c>
      <c r="C3193" s="899" t="s">
        <v>12519</v>
      </c>
      <c r="D3193" s="988" t="s">
        <v>2666</v>
      </c>
      <c r="E3193" s="989">
        <v>10084.049999999999</v>
      </c>
      <c r="F3193" s="990"/>
      <c r="G3193" s="990"/>
      <c r="H3193" s="990"/>
      <c r="I3193" s="990"/>
      <c r="J3193" s="990"/>
      <c r="K3193" s="990"/>
      <c r="L3193" s="990"/>
      <c r="M3193" s="990"/>
      <c r="N3193" s="990"/>
      <c r="O3193" s="990"/>
      <c r="P3193" s="990"/>
      <c r="Q3193" s="990"/>
      <c r="R3193" s="990"/>
      <c r="S3193" s="990"/>
      <c r="T3193" s="990"/>
      <c r="U3193" s="990"/>
      <c r="V3193" s="990"/>
      <c r="W3193" s="990"/>
      <c r="X3193" s="990"/>
    </row>
    <row r="3194" spans="1:24" s="896" customFormat="1">
      <c r="A3194" s="987">
        <f t="shared" si="50"/>
        <v>3120</v>
      </c>
      <c r="B3194" s="988">
        <v>4069</v>
      </c>
      <c r="C3194" s="899" t="s">
        <v>12520</v>
      </c>
      <c r="D3194" s="988" t="s">
        <v>2665</v>
      </c>
      <c r="E3194" s="989">
        <v>66.38</v>
      </c>
      <c r="F3194" s="990"/>
      <c r="G3194" s="990"/>
      <c r="H3194" s="990"/>
      <c r="I3194" s="990"/>
      <c r="J3194" s="990"/>
      <c r="K3194" s="990"/>
      <c r="L3194" s="990"/>
      <c r="M3194" s="990"/>
      <c r="N3194" s="990"/>
      <c r="O3194" s="990"/>
      <c r="P3194" s="990"/>
      <c r="Q3194" s="990"/>
      <c r="R3194" s="990"/>
      <c r="S3194" s="990"/>
      <c r="T3194" s="990"/>
      <c r="U3194" s="990"/>
      <c r="V3194" s="990"/>
      <c r="W3194" s="990"/>
      <c r="X3194" s="990"/>
    </row>
    <row r="3195" spans="1:24" s="896" customFormat="1">
      <c r="A3195" s="987">
        <f t="shared" si="50"/>
        <v>3121</v>
      </c>
      <c r="B3195" s="988">
        <v>40819</v>
      </c>
      <c r="C3195" s="899" t="s">
        <v>12521</v>
      </c>
      <c r="D3195" s="988" t="s">
        <v>2672</v>
      </c>
      <c r="E3195" s="989">
        <v>11666.86</v>
      </c>
      <c r="F3195" s="990"/>
      <c r="G3195" s="990"/>
      <c r="H3195" s="990"/>
      <c r="I3195" s="990"/>
      <c r="J3195" s="990"/>
      <c r="K3195" s="990"/>
      <c r="L3195" s="990"/>
      <c r="M3195" s="990"/>
      <c r="N3195" s="990"/>
      <c r="O3195" s="990"/>
      <c r="P3195" s="990"/>
      <c r="Q3195" s="990"/>
      <c r="R3195" s="990"/>
      <c r="S3195" s="990"/>
      <c r="T3195" s="990"/>
      <c r="U3195" s="990"/>
      <c r="V3195" s="990"/>
      <c r="W3195" s="990"/>
      <c r="X3195" s="990"/>
    </row>
    <row r="3196" spans="1:24" s="896" customFormat="1">
      <c r="A3196" s="987">
        <f t="shared" si="50"/>
        <v>3122</v>
      </c>
      <c r="B3196" s="988">
        <v>34361</v>
      </c>
      <c r="C3196" s="899" t="s">
        <v>12522</v>
      </c>
      <c r="D3196" s="988" t="s">
        <v>2670</v>
      </c>
      <c r="E3196" s="989">
        <v>16.010000000000002</v>
      </c>
      <c r="F3196" s="990"/>
      <c r="G3196" s="990"/>
      <c r="H3196" s="990"/>
      <c r="I3196" s="990"/>
      <c r="J3196" s="990"/>
      <c r="K3196" s="990"/>
      <c r="L3196" s="990"/>
      <c r="M3196" s="990"/>
      <c r="N3196" s="990"/>
      <c r="O3196" s="990"/>
      <c r="P3196" s="990"/>
      <c r="Q3196" s="990"/>
      <c r="R3196" s="990"/>
      <c r="S3196" s="990"/>
      <c r="T3196" s="990"/>
      <c r="U3196" s="990"/>
      <c r="V3196" s="990"/>
      <c r="W3196" s="990"/>
      <c r="X3196" s="990"/>
    </row>
    <row r="3197" spans="1:24" s="896" customFormat="1" ht="25.5">
      <c r="A3197" s="987">
        <f t="shared" si="50"/>
        <v>3123</v>
      </c>
      <c r="B3197" s="988">
        <v>36512</v>
      </c>
      <c r="C3197" s="899" t="s">
        <v>12523</v>
      </c>
      <c r="D3197" s="988" t="s">
        <v>2666</v>
      </c>
      <c r="E3197" s="989">
        <v>20484.79</v>
      </c>
      <c r="F3197" s="990"/>
      <c r="G3197" s="990"/>
      <c r="H3197" s="990"/>
      <c r="I3197" s="990"/>
      <c r="J3197" s="990"/>
      <c r="K3197" s="990"/>
      <c r="L3197" s="990"/>
      <c r="M3197" s="990"/>
      <c r="N3197" s="990"/>
      <c r="O3197" s="990"/>
      <c r="P3197" s="990"/>
      <c r="Q3197" s="990"/>
      <c r="R3197" s="990"/>
      <c r="S3197" s="990"/>
      <c r="T3197" s="990"/>
      <c r="U3197" s="990"/>
      <c r="V3197" s="990"/>
      <c r="W3197" s="990"/>
      <c r="X3197" s="990"/>
    </row>
    <row r="3198" spans="1:24" s="896" customFormat="1" ht="25.5">
      <c r="A3198" s="987">
        <f t="shared" si="50"/>
        <v>3124</v>
      </c>
      <c r="B3198" s="988">
        <v>44478</v>
      </c>
      <c r="C3198" s="899" t="s">
        <v>12524</v>
      </c>
      <c r="D3198" s="988" t="s">
        <v>2670</v>
      </c>
      <c r="E3198" s="989">
        <v>14.99</v>
      </c>
      <c r="F3198" s="990"/>
      <c r="G3198" s="990"/>
      <c r="H3198" s="990"/>
      <c r="I3198" s="990"/>
      <c r="J3198" s="990"/>
      <c r="K3198" s="990"/>
      <c r="L3198" s="990"/>
      <c r="M3198" s="990"/>
      <c r="N3198" s="990"/>
      <c r="O3198" s="990"/>
      <c r="P3198" s="990"/>
      <c r="Q3198" s="990"/>
      <c r="R3198" s="990"/>
      <c r="S3198" s="990"/>
      <c r="T3198" s="990"/>
      <c r="U3198" s="990"/>
      <c r="V3198" s="990"/>
      <c r="W3198" s="990"/>
      <c r="X3198" s="990"/>
    </row>
    <row r="3199" spans="1:24" s="896" customFormat="1" ht="25.5">
      <c r="A3199" s="987">
        <f t="shared" si="50"/>
        <v>3125</v>
      </c>
      <c r="B3199" s="988">
        <v>44477</v>
      </c>
      <c r="C3199" s="899" t="s">
        <v>12525</v>
      </c>
      <c r="D3199" s="988" t="s">
        <v>2670</v>
      </c>
      <c r="E3199" s="989">
        <v>14.99</v>
      </c>
      <c r="F3199" s="990"/>
      <c r="G3199" s="990"/>
      <c r="H3199" s="990"/>
      <c r="I3199" s="990"/>
      <c r="J3199" s="990"/>
      <c r="K3199" s="990"/>
      <c r="L3199" s="990"/>
      <c r="M3199" s="990"/>
      <c r="N3199" s="990"/>
      <c r="O3199" s="990"/>
      <c r="P3199" s="990"/>
      <c r="Q3199" s="990"/>
      <c r="R3199" s="990"/>
      <c r="S3199" s="990"/>
      <c r="T3199" s="990"/>
      <c r="U3199" s="990"/>
      <c r="V3199" s="990"/>
      <c r="W3199" s="990"/>
      <c r="X3199" s="990"/>
    </row>
    <row r="3200" spans="1:24" s="896" customFormat="1">
      <c r="A3200" s="987">
        <f t="shared" si="50"/>
        <v>3126</v>
      </c>
      <c r="B3200" s="988">
        <v>11697</v>
      </c>
      <c r="C3200" s="899" t="s">
        <v>12526</v>
      </c>
      <c r="D3200" s="988" t="s">
        <v>2666</v>
      </c>
      <c r="E3200" s="989">
        <v>863.8</v>
      </c>
      <c r="F3200" s="990"/>
      <c r="G3200" s="990"/>
      <c r="H3200" s="990"/>
      <c r="I3200" s="990"/>
      <c r="J3200" s="990"/>
      <c r="K3200" s="990"/>
      <c r="L3200" s="990"/>
      <c r="M3200" s="990"/>
      <c r="N3200" s="990"/>
      <c r="O3200" s="990"/>
      <c r="P3200" s="990"/>
      <c r="Q3200" s="990"/>
      <c r="R3200" s="990"/>
      <c r="S3200" s="990"/>
      <c r="T3200" s="990"/>
      <c r="U3200" s="990"/>
      <c r="V3200" s="990"/>
      <c r="W3200" s="990"/>
      <c r="X3200" s="990"/>
    </row>
    <row r="3201" spans="1:24" s="896" customFormat="1">
      <c r="A3201" s="987">
        <f t="shared" si="50"/>
        <v>3127</v>
      </c>
      <c r="B3201" s="988">
        <v>11698</v>
      </c>
      <c r="C3201" s="899" t="s">
        <v>12527</v>
      </c>
      <c r="D3201" s="988" t="s">
        <v>2666</v>
      </c>
      <c r="E3201" s="989">
        <v>1030.47</v>
      </c>
      <c r="F3201" s="990"/>
      <c r="G3201" s="990"/>
      <c r="H3201" s="990"/>
      <c r="I3201" s="990"/>
      <c r="J3201" s="990"/>
      <c r="K3201" s="990"/>
      <c r="L3201" s="990"/>
      <c r="M3201" s="990"/>
      <c r="N3201" s="990"/>
      <c r="O3201" s="990"/>
      <c r="P3201" s="990"/>
      <c r="Q3201" s="990"/>
      <c r="R3201" s="990"/>
      <c r="S3201" s="990"/>
      <c r="T3201" s="990"/>
      <c r="U3201" s="990"/>
      <c r="V3201" s="990"/>
      <c r="W3201" s="990"/>
      <c r="X3201" s="990"/>
    </row>
    <row r="3202" spans="1:24" s="896" customFormat="1">
      <c r="A3202" s="987">
        <f t="shared" si="50"/>
        <v>3128</v>
      </c>
      <c r="B3202" s="988">
        <v>10432</v>
      </c>
      <c r="C3202" s="899" t="s">
        <v>12528</v>
      </c>
      <c r="D3202" s="988" t="s">
        <v>2666</v>
      </c>
      <c r="E3202" s="989">
        <v>325.33999999999997</v>
      </c>
      <c r="F3202" s="990"/>
      <c r="G3202" s="990"/>
      <c r="H3202" s="990"/>
      <c r="I3202" s="990"/>
      <c r="J3202" s="990"/>
      <c r="K3202" s="990"/>
      <c r="L3202" s="990"/>
      <c r="M3202" s="990"/>
      <c r="N3202" s="990"/>
      <c r="O3202" s="990"/>
      <c r="P3202" s="990"/>
      <c r="Q3202" s="990"/>
      <c r="R3202" s="990"/>
      <c r="S3202" s="990"/>
      <c r="T3202" s="990"/>
      <c r="U3202" s="990"/>
      <c r="V3202" s="990"/>
      <c r="W3202" s="990"/>
      <c r="X3202" s="990"/>
    </row>
    <row r="3203" spans="1:24" s="896" customFormat="1">
      <c r="A3203" s="987">
        <f t="shared" si="50"/>
        <v>3129</v>
      </c>
      <c r="B3203" s="988">
        <v>11699</v>
      </c>
      <c r="C3203" s="899" t="s">
        <v>12529</v>
      </c>
      <c r="D3203" s="988" t="s">
        <v>2666</v>
      </c>
      <c r="E3203" s="989">
        <v>1138.9000000000001</v>
      </c>
      <c r="F3203" s="990"/>
      <c r="G3203" s="990"/>
      <c r="H3203" s="990"/>
      <c r="I3203" s="990"/>
      <c r="J3203" s="990"/>
      <c r="K3203" s="990"/>
      <c r="L3203" s="990"/>
      <c r="M3203" s="990"/>
      <c r="N3203" s="990"/>
      <c r="O3203" s="990"/>
      <c r="P3203" s="990"/>
      <c r="Q3203" s="990"/>
      <c r="R3203" s="990"/>
      <c r="S3203" s="990"/>
      <c r="T3203" s="990"/>
      <c r="U3203" s="990"/>
      <c r="V3203" s="990"/>
      <c r="W3203" s="990"/>
      <c r="X3203" s="990"/>
    </row>
    <row r="3204" spans="1:24" s="896" customFormat="1" ht="25.5">
      <c r="A3204" s="987">
        <f t="shared" si="50"/>
        <v>3130</v>
      </c>
      <c r="B3204" s="988">
        <v>44020</v>
      </c>
      <c r="C3204" s="899" t="s">
        <v>12530</v>
      </c>
      <c r="D3204" s="988" t="s">
        <v>2666</v>
      </c>
      <c r="E3204" s="989">
        <v>802.64</v>
      </c>
      <c r="F3204" s="990"/>
      <c r="G3204" s="990"/>
      <c r="H3204" s="990"/>
      <c r="I3204" s="990"/>
      <c r="J3204" s="990"/>
      <c r="K3204" s="990"/>
      <c r="L3204" s="990"/>
      <c r="M3204" s="990"/>
      <c r="N3204" s="990"/>
      <c r="O3204" s="990"/>
      <c r="P3204" s="990"/>
      <c r="Q3204" s="990"/>
      <c r="R3204" s="990"/>
      <c r="S3204" s="990"/>
      <c r="T3204" s="990"/>
      <c r="U3204" s="990"/>
      <c r="V3204" s="990"/>
      <c r="W3204" s="990"/>
      <c r="X3204" s="990"/>
    </row>
    <row r="3205" spans="1:24" s="896" customFormat="1" ht="25.5">
      <c r="A3205" s="987">
        <f t="shared" si="50"/>
        <v>3131</v>
      </c>
      <c r="B3205" s="988">
        <v>41420</v>
      </c>
      <c r="C3205" s="899" t="s">
        <v>12531</v>
      </c>
      <c r="D3205" s="988" t="s">
        <v>2666</v>
      </c>
      <c r="E3205" s="989">
        <v>11.91</v>
      </c>
      <c r="F3205" s="990"/>
      <c r="G3205" s="990"/>
      <c r="H3205" s="990"/>
      <c r="I3205" s="990"/>
      <c r="J3205" s="990"/>
      <c r="K3205" s="990"/>
      <c r="L3205" s="990"/>
      <c r="M3205" s="990"/>
      <c r="N3205" s="990"/>
      <c r="O3205" s="990"/>
      <c r="P3205" s="990"/>
      <c r="Q3205" s="990"/>
      <c r="R3205" s="990"/>
      <c r="S3205" s="990"/>
      <c r="T3205" s="990"/>
      <c r="U3205" s="990"/>
      <c r="V3205" s="990"/>
      <c r="W3205" s="990"/>
      <c r="X3205" s="990"/>
    </row>
    <row r="3206" spans="1:24" s="896" customFormat="1" ht="25.5">
      <c r="A3206" s="987">
        <f t="shared" si="50"/>
        <v>3132</v>
      </c>
      <c r="B3206" s="988">
        <v>41422</v>
      </c>
      <c r="C3206" s="899" t="s">
        <v>12532</v>
      </c>
      <c r="D3206" s="988" t="s">
        <v>2666</v>
      </c>
      <c r="E3206" s="989">
        <v>16.27</v>
      </c>
      <c r="F3206" s="990"/>
      <c r="G3206" s="990"/>
      <c r="H3206" s="990"/>
      <c r="I3206" s="990"/>
      <c r="J3206" s="990"/>
      <c r="K3206" s="990"/>
      <c r="L3206" s="990"/>
      <c r="M3206" s="990"/>
      <c r="N3206" s="990"/>
      <c r="O3206" s="990"/>
      <c r="P3206" s="990"/>
      <c r="Q3206" s="990"/>
      <c r="R3206" s="990"/>
      <c r="S3206" s="990"/>
      <c r="T3206" s="990"/>
      <c r="U3206" s="990"/>
      <c r="V3206" s="990"/>
      <c r="W3206" s="990"/>
      <c r="X3206" s="990"/>
    </row>
    <row r="3207" spans="1:24" s="896" customFormat="1" ht="25.5">
      <c r="A3207" s="987">
        <f t="shared" si="50"/>
        <v>3133</v>
      </c>
      <c r="B3207" s="988">
        <v>41425</v>
      </c>
      <c r="C3207" s="899" t="s">
        <v>12533</v>
      </c>
      <c r="D3207" s="988" t="s">
        <v>2666</v>
      </c>
      <c r="E3207" s="989">
        <v>8.32</v>
      </c>
      <c r="F3207" s="990"/>
      <c r="G3207" s="990"/>
      <c r="H3207" s="990"/>
      <c r="I3207" s="990"/>
      <c r="J3207" s="990"/>
      <c r="K3207" s="990"/>
      <c r="L3207" s="990"/>
      <c r="M3207" s="990"/>
      <c r="N3207" s="990"/>
      <c r="O3207" s="990"/>
      <c r="P3207" s="990"/>
      <c r="Q3207" s="990"/>
      <c r="R3207" s="990"/>
      <c r="S3207" s="990"/>
      <c r="T3207" s="990"/>
      <c r="U3207" s="990"/>
      <c r="V3207" s="990"/>
      <c r="W3207" s="990"/>
      <c r="X3207" s="990"/>
    </row>
    <row r="3208" spans="1:24" s="896" customFormat="1" ht="25.5">
      <c r="A3208" s="987">
        <f t="shared" si="50"/>
        <v>3134</v>
      </c>
      <c r="B3208" s="988">
        <v>41426</v>
      </c>
      <c r="C3208" s="899" t="s">
        <v>12534</v>
      </c>
      <c r="D3208" s="988" t="s">
        <v>2666</v>
      </c>
      <c r="E3208" s="989">
        <v>15.01</v>
      </c>
      <c r="F3208" s="990"/>
      <c r="G3208" s="990"/>
      <c r="H3208" s="990"/>
      <c r="I3208" s="990"/>
      <c r="J3208" s="990"/>
      <c r="K3208" s="990"/>
      <c r="L3208" s="990"/>
      <c r="M3208" s="990"/>
      <c r="N3208" s="990"/>
      <c r="O3208" s="990"/>
      <c r="P3208" s="990"/>
      <c r="Q3208" s="990"/>
      <c r="R3208" s="990"/>
      <c r="S3208" s="990"/>
      <c r="T3208" s="990"/>
      <c r="U3208" s="990"/>
      <c r="V3208" s="990"/>
      <c r="W3208" s="990"/>
      <c r="X3208" s="990"/>
    </row>
    <row r="3209" spans="1:24" s="896" customFormat="1" ht="25.5">
      <c r="A3209" s="987">
        <f t="shared" si="50"/>
        <v>3135</v>
      </c>
      <c r="B3209" s="988">
        <v>41419</v>
      </c>
      <c r="C3209" s="899" t="s">
        <v>12535</v>
      </c>
      <c r="D3209" s="988" t="s">
        <v>2666</v>
      </c>
      <c r="E3209" s="989">
        <v>8.76</v>
      </c>
      <c r="F3209" s="990"/>
      <c r="G3209" s="990"/>
      <c r="H3209" s="990"/>
      <c r="I3209" s="990"/>
      <c r="J3209" s="990"/>
      <c r="K3209" s="990"/>
      <c r="L3209" s="990"/>
      <c r="M3209" s="990"/>
      <c r="N3209" s="990"/>
      <c r="O3209" s="990"/>
      <c r="P3209" s="990"/>
      <c r="Q3209" s="990"/>
      <c r="R3209" s="990"/>
      <c r="S3209" s="990"/>
      <c r="T3209" s="990"/>
      <c r="U3209" s="990"/>
      <c r="V3209" s="990"/>
      <c r="W3209" s="990"/>
      <c r="X3209" s="990"/>
    </row>
    <row r="3210" spans="1:24" s="896" customFormat="1" ht="25.5">
      <c r="A3210" s="987">
        <f t="shared" si="50"/>
        <v>3136</v>
      </c>
      <c r="B3210" s="988">
        <v>41421</v>
      </c>
      <c r="C3210" s="899" t="s">
        <v>12536</v>
      </c>
      <c r="D3210" s="988" t="s">
        <v>2666</v>
      </c>
      <c r="E3210" s="989">
        <v>11.88</v>
      </c>
      <c r="F3210" s="990"/>
      <c r="G3210" s="990"/>
      <c r="H3210" s="990"/>
      <c r="I3210" s="990"/>
      <c r="J3210" s="990"/>
      <c r="K3210" s="990"/>
      <c r="L3210" s="990"/>
      <c r="M3210" s="990"/>
      <c r="N3210" s="990"/>
      <c r="O3210" s="990"/>
      <c r="P3210" s="990"/>
      <c r="Q3210" s="990"/>
      <c r="R3210" s="990"/>
      <c r="S3210" s="990"/>
      <c r="T3210" s="990"/>
      <c r="U3210" s="990"/>
      <c r="V3210" s="990"/>
      <c r="W3210" s="990"/>
      <c r="X3210" s="990"/>
    </row>
    <row r="3211" spans="1:24" s="896" customFormat="1">
      <c r="A3211" s="987">
        <f t="shared" si="50"/>
        <v>3137</v>
      </c>
      <c r="B3211" s="988">
        <v>41414</v>
      </c>
      <c r="C3211" s="899" t="s">
        <v>12537</v>
      </c>
      <c r="D3211" s="988" t="s">
        <v>2666</v>
      </c>
      <c r="E3211" s="989">
        <v>27.55</v>
      </c>
      <c r="F3211" s="990"/>
      <c r="G3211" s="990"/>
      <c r="H3211" s="990"/>
      <c r="I3211" s="990"/>
      <c r="J3211" s="990"/>
      <c r="K3211" s="990"/>
      <c r="L3211" s="990"/>
      <c r="M3211" s="990"/>
      <c r="N3211" s="990"/>
      <c r="O3211" s="990"/>
      <c r="P3211" s="990"/>
      <c r="Q3211" s="990"/>
      <c r="R3211" s="990"/>
      <c r="S3211" s="990"/>
      <c r="T3211" s="990"/>
      <c r="U3211" s="990"/>
      <c r="V3211" s="990"/>
      <c r="W3211" s="990"/>
      <c r="X3211" s="990"/>
    </row>
    <row r="3212" spans="1:24" s="896" customFormat="1">
      <c r="A3212" s="987">
        <f t="shared" ref="A3212:A3275" si="51">A3211+1</f>
        <v>3138</v>
      </c>
      <c r="B3212" s="988">
        <v>41415</v>
      </c>
      <c r="C3212" s="899" t="s">
        <v>12538</v>
      </c>
      <c r="D3212" s="988" t="s">
        <v>2666</v>
      </c>
      <c r="E3212" s="989">
        <v>32.090000000000003</v>
      </c>
      <c r="F3212" s="990"/>
      <c r="G3212" s="990"/>
      <c r="H3212" s="990"/>
      <c r="I3212" s="990"/>
      <c r="J3212" s="990"/>
      <c r="K3212" s="990"/>
      <c r="L3212" s="990"/>
      <c r="M3212" s="990"/>
      <c r="N3212" s="990"/>
      <c r="O3212" s="990"/>
      <c r="P3212" s="990"/>
      <c r="Q3212" s="990"/>
      <c r="R3212" s="990"/>
      <c r="S3212" s="990"/>
      <c r="T3212" s="990"/>
      <c r="U3212" s="990"/>
      <c r="V3212" s="990"/>
      <c r="W3212" s="990"/>
      <c r="X3212" s="990"/>
    </row>
    <row r="3213" spans="1:24" s="896" customFormat="1" ht="25.5">
      <c r="A3213" s="987">
        <f t="shared" si="51"/>
        <v>3139</v>
      </c>
      <c r="B3213" s="988">
        <v>37514</v>
      </c>
      <c r="C3213" s="899" t="s">
        <v>12539</v>
      </c>
      <c r="D3213" s="988" t="s">
        <v>2666</v>
      </c>
      <c r="E3213" s="989">
        <v>245000</v>
      </c>
      <c r="F3213" s="990"/>
      <c r="G3213" s="990"/>
      <c r="H3213" s="990"/>
      <c r="I3213" s="990"/>
      <c r="J3213" s="990"/>
      <c r="K3213" s="990"/>
      <c r="L3213" s="990"/>
      <c r="M3213" s="990"/>
      <c r="N3213" s="990"/>
      <c r="O3213" s="990"/>
      <c r="P3213" s="990"/>
      <c r="Q3213" s="990"/>
      <c r="R3213" s="990"/>
      <c r="S3213" s="990"/>
      <c r="T3213" s="990"/>
      <c r="U3213" s="990"/>
      <c r="V3213" s="990"/>
      <c r="W3213" s="990"/>
      <c r="X3213" s="990"/>
    </row>
    <row r="3214" spans="1:24" s="896" customFormat="1" ht="25.5">
      <c r="A3214" s="987">
        <f t="shared" si="51"/>
        <v>3140</v>
      </c>
      <c r="B3214" s="988">
        <v>37519</v>
      </c>
      <c r="C3214" s="899" t="s">
        <v>12540</v>
      </c>
      <c r="D3214" s="988" t="s">
        <v>2666</v>
      </c>
      <c r="E3214" s="989">
        <v>378106.88</v>
      </c>
      <c r="F3214" s="990"/>
      <c r="G3214" s="990"/>
      <c r="H3214" s="990"/>
      <c r="I3214" s="990"/>
      <c r="J3214" s="990"/>
      <c r="K3214" s="990"/>
      <c r="L3214" s="990"/>
      <c r="M3214" s="990"/>
      <c r="N3214" s="990"/>
      <c r="O3214" s="990"/>
      <c r="P3214" s="990"/>
      <c r="Q3214" s="990"/>
      <c r="R3214" s="990"/>
      <c r="S3214" s="990"/>
      <c r="T3214" s="990"/>
      <c r="U3214" s="990"/>
      <c r="V3214" s="990"/>
      <c r="W3214" s="990"/>
      <c r="X3214" s="990"/>
    </row>
    <row r="3215" spans="1:24" s="896" customFormat="1" ht="25.5">
      <c r="A3215" s="987">
        <f t="shared" si="51"/>
        <v>3141</v>
      </c>
      <c r="B3215" s="988">
        <v>37520</v>
      </c>
      <c r="C3215" s="899" t="s">
        <v>12541</v>
      </c>
      <c r="D3215" s="988" t="s">
        <v>2666</v>
      </c>
      <c r="E3215" s="989">
        <v>371908.4</v>
      </c>
      <c r="F3215" s="990"/>
      <c r="G3215" s="990"/>
      <c r="H3215" s="990"/>
      <c r="I3215" s="990"/>
      <c r="J3215" s="990"/>
      <c r="K3215" s="990"/>
      <c r="L3215" s="990"/>
      <c r="M3215" s="990"/>
      <c r="N3215" s="990"/>
      <c r="O3215" s="990"/>
      <c r="P3215" s="990"/>
      <c r="Q3215" s="990"/>
      <c r="R3215" s="990"/>
      <c r="S3215" s="990"/>
      <c r="T3215" s="990"/>
      <c r="U3215" s="990"/>
      <c r="V3215" s="990"/>
      <c r="W3215" s="990"/>
      <c r="X3215" s="990"/>
    </row>
    <row r="3216" spans="1:24" s="896" customFormat="1" ht="25.5">
      <c r="A3216" s="987">
        <f t="shared" si="51"/>
        <v>3142</v>
      </c>
      <c r="B3216" s="988">
        <v>37521</v>
      </c>
      <c r="C3216" s="899" t="s">
        <v>12542</v>
      </c>
      <c r="D3216" s="988" t="s">
        <v>2666</v>
      </c>
      <c r="E3216" s="989">
        <v>453728.26</v>
      </c>
      <c r="F3216" s="990"/>
      <c r="G3216" s="990"/>
      <c r="H3216" s="990"/>
      <c r="I3216" s="990"/>
      <c r="J3216" s="990"/>
      <c r="K3216" s="990"/>
      <c r="L3216" s="990"/>
      <c r="M3216" s="990"/>
      <c r="N3216" s="990"/>
      <c r="O3216" s="990"/>
      <c r="P3216" s="990"/>
      <c r="Q3216" s="990"/>
      <c r="R3216" s="990"/>
      <c r="S3216" s="990"/>
      <c r="T3216" s="990"/>
      <c r="U3216" s="990"/>
      <c r="V3216" s="990"/>
      <c r="W3216" s="990"/>
      <c r="X3216" s="990"/>
    </row>
    <row r="3217" spans="1:24" s="896" customFormat="1" ht="25.5">
      <c r="A3217" s="987">
        <f t="shared" si="51"/>
        <v>3143</v>
      </c>
      <c r="B3217" s="988">
        <v>37522</v>
      </c>
      <c r="C3217" s="899" t="s">
        <v>12543</v>
      </c>
      <c r="D3217" s="988" t="s">
        <v>2666</v>
      </c>
      <c r="E3217" s="989">
        <v>467379.02</v>
      </c>
      <c r="F3217" s="990"/>
      <c r="G3217" s="990"/>
      <c r="H3217" s="990"/>
      <c r="I3217" s="990"/>
      <c r="J3217" s="990"/>
      <c r="K3217" s="990"/>
      <c r="L3217" s="990"/>
      <c r="M3217" s="990"/>
      <c r="N3217" s="990"/>
      <c r="O3217" s="990"/>
      <c r="P3217" s="990"/>
      <c r="Q3217" s="990"/>
      <c r="R3217" s="990"/>
      <c r="S3217" s="990"/>
      <c r="T3217" s="990"/>
      <c r="U3217" s="990"/>
      <c r="V3217" s="990"/>
      <c r="W3217" s="990"/>
      <c r="X3217" s="990"/>
    </row>
    <row r="3218" spans="1:24" s="896" customFormat="1" ht="25.5">
      <c r="A3218" s="987">
        <f t="shared" si="51"/>
        <v>3144</v>
      </c>
      <c r="B3218" s="988">
        <v>21109</v>
      </c>
      <c r="C3218" s="899" t="s">
        <v>12544</v>
      </c>
      <c r="D3218" s="988" t="s">
        <v>2666</v>
      </c>
      <c r="E3218" s="989">
        <v>37.69</v>
      </c>
      <c r="F3218" s="990"/>
      <c r="G3218" s="990"/>
      <c r="H3218" s="990"/>
      <c r="I3218" s="990"/>
      <c r="J3218" s="990"/>
      <c r="K3218" s="990"/>
      <c r="L3218" s="990"/>
      <c r="M3218" s="990"/>
      <c r="N3218" s="990"/>
      <c r="O3218" s="990"/>
      <c r="P3218" s="990"/>
      <c r="Q3218" s="990"/>
      <c r="R3218" s="990"/>
      <c r="S3218" s="990"/>
      <c r="T3218" s="990"/>
      <c r="U3218" s="990"/>
      <c r="V3218" s="990"/>
      <c r="W3218" s="990"/>
      <c r="X3218" s="990"/>
    </row>
    <row r="3219" spans="1:24" s="896" customFormat="1" ht="25.5">
      <c r="A3219" s="987">
        <f t="shared" si="51"/>
        <v>3145</v>
      </c>
      <c r="B3219" s="988">
        <v>37546</v>
      </c>
      <c r="C3219" s="899" t="s">
        <v>12545</v>
      </c>
      <c r="D3219" s="988" t="s">
        <v>2666</v>
      </c>
      <c r="E3219" s="989">
        <v>11991.07</v>
      </c>
      <c r="F3219" s="990"/>
      <c r="G3219" s="990"/>
      <c r="H3219" s="990"/>
      <c r="I3219" s="990"/>
      <c r="J3219" s="990"/>
      <c r="K3219" s="990"/>
      <c r="L3219" s="990"/>
      <c r="M3219" s="990"/>
      <c r="N3219" s="990"/>
      <c r="O3219" s="990"/>
      <c r="P3219" s="990"/>
      <c r="Q3219" s="990"/>
      <c r="R3219" s="990"/>
      <c r="S3219" s="990"/>
      <c r="T3219" s="990"/>
      <c r="U3219" s="990"/>
      <c r="V3219" s="990"/>
      <c r="W3219" s="990"/>
      <c r="X3219" s="990"/>
    </row>
    <row r="3220" spans="1:24" s="896" customFormat="1" ht="25.5">
      <c r="A3220" s="987">
        <f t="shared" si="51"/>
        <v>3146</v>
      </c>
      <c r="B3220" s="988">
        <v>37544</v>
      </c>
      <c r="C3220" s="899" t="s">
        <v>12546</v>
      </c>
      <c r="D3220" s="988" t="s">
        <v>2666</v>
      </c>
      <c r="E3220" s="989">
        <v>12682.57</v>
      </c>
      <c r="F3220" s="990"/>
      <c r="G3220" s="990"/>
      <c r="H3220" s="990"/>
      <c r="I3220" s="990"/>
      <c r="J3220" s="990"/>
      <c r="K3220" s="990"/>
      <c r="L3220" s="990"/>
      <c r="M3220" s="990"/>
      <c r="N3220" s="990"/>
      <c r="O3220" s="990"/>
      <c r="P3220" s="990"/>
      <c r="Q3220" s="990"/>
      <c r="R3220" s="990"/>
      <c r="S3220" s="990"/>
      <c r="T3220" s="990"/>
      <c r="U3220" s="990"/>
      <c r="V3220" s="990"/>
      <c r="W3220" s="990"/>
      <c r="X3220" s="990"/>
    </row>
    <row r="3221" spans="1:24" s="896" customFormat="1" ht="25.5">
      <c r="A3221" s="987">
        <f t="shared" si="51"/>
        <v>3147</v>
      </c>
      <c r="B3221" s="988">
        <v>37545</v>
      </c>
      <c r="C3221" s="899" t="s">
        <v>12547</v>
      </c>
      <c r="D3221" s="988" t="s">
        <v>2666</v>
      </c>
      <c r="E3221" s="989">
        <v>15090.55</v>
      </c>
      <c r="F3221" s="990"/>
      <c r="G3221" s="990"/>
      <c r="H3221" s="990"/>
      <c r="I3221" s="990"/>
      <c r="J3221" s="990"/>
      <c r="K3221" s="990"/>
      <c r="L3221" s="990"/>
      <c r="M3221" s="990"/>
      <c r="N3221" s="990"/>
      <c r="O3221" s="990"/>
      <c r="P3221" s="990"/>
      <c r="Q3221" s="990"/>
      <c r="R3221" s="990"/>
      <c r="S3221" s="990"/>
      <c r="T3221" s="990"/>
      <c r="U3221" s="990"/>
      <c r="V3221" s="990"/>
      <c r="W3221" s="990"/>
      <c r="X3221" s="990"/>
    </row>
    <row r="3222" spans="1:24" s="896" customFormat="1">
      <c r="A3222" s="987">
        <f t="shared" si="51"/>
        <v>3148</v>
      </c>
      <c r="B3222" s="988">
        <v>36793</v>
      </c>
      <c r="C3222" s="899" t="s">
        <v>12548</v>
      </c>
      <c r="D3222" s="988" t="s">
        <v>2666</v>
      </c>
      <c r="E3222" s="989">
        <v>661.14</v>
      </c>
      <c r="F3222" s="990"/>
      <c r="G3222" s="990"/>
      <c r="H3222" s="990"/>
      <c r="I3222" s="990"/>
      <c r="J3222" s="990"/>
      <c r="K3222" s="990"/>
      <c r="L3222" s="990"/>
      <c r="M3222" s="990"/>
      <c r="N3222" s="990"/>
      <c r="O3222" s="990"/>
      <c r="P3222" s="990"/>
      <c r="Q3222" s="990"/>
      <c r="R3222" s="990"/>
      <c r="S3222" s="990"/>
      <c r="T3222" s="990"/>
      <c r="U3222" s="990"/>
      <c r="V3222" s="990"/>
      <c r="W3222" s="990"/>
      <c r="X3222" s="990"/>
    </row>
    <row r="3223" spans="1:24" s="896" customFormat="1" ht="25.5">
      <c r="A3223" s="987">
        <f t="shared" si="51"/>
        <v>3149</v>
      </c>
      <c r="B3223" s="988">
        <v>11769</v>
      </c>
      <c r="C3223" s="899" t="s">
        <v>12549</v>
      </c>
      <c r="D3223" s="988" t="s">
        <v>2666</v>
      </c>
      <c r="E3223" s="989">
        <v>292.17</v>
      </c>
      <c r="F3223" s="990"/>
      <c r="G3223" s="990"/>
      <c r="H3223" s="990"/>
      <c r="I3223" s="990"/>
      <c r="J3223" s="990"/>
      <c r="K3223" s="990"/>
      <c r="L3223" s="990"/>
      <c r="M3223" s="990"/>
      <c r="N3223" s="990"/>
      <c r="O3223" s="990"/>
      <c r="P3223" s="990"/>
      <c r="Q3223" s="990"/>
      <c r="R3223" s="990"/>
      <c r="S3223" s="990"/>
      <c r="T3223" s="990"/>
      <c r="U3223" s="990"/>
      <c r="V3223" s="990"/>
      <c r="W3223" s="990"/>
      <c r="X3223" s="990"/>
    </row>
    <row r="3224" spans="1:24" s="896" customFormat="1" ht="25.5">
      <c r="A3224" s="987">
        <f t="shared" si="51"/>
        <v>3150</v>
      </c>
      <c r="B3224" s="988">
        <v>11771</v>
      </c>
      <c r="C3224" s="899" t="s">
        <v>12550</v>
      </c>
      <c r="D3224" s="988" t="s">
        <v>2666</v>
      </c>
      <c r="E3224" s="989">
        <v>357.87</v>
      </c>
      <c r="F3224" s="990"/>
      <c r="G3224" s="990"/>
      <c r="H3224" s="990"/>
      <c r="I3224" s="990"/>
      <c r="J3224" s="990"/>
      <c r="K3224" s="990"/>
      <c r="L3224" s="990"/>
      <c r="M3224" s="990"/>
      <c r="N3224" s="990"/>
      <c r="O3224" s="990"/>
      <c r="P3224" s="990"/>
      <c r="Q3224" s="990"/>
      <c r="R3224" s="990"/>
      <c r="S3224" s="990"/>
      <c r="T3224" s="990"/>
      <c r="U3224" s="990"/>
      <c r="V3224" s="990"/>
      <c r="W3224" s="990"/>
      <c r="X3224" s="990"/>
    </row>
    <row r="3225" spans="1:24" s="896" customFormat="1" ht="38.25">
      <c r="A3225" s="987">
        <f t="shared" si="51"/>
        <v>3151</v>
      </c>
      <c r="B3225" s="988">
        <v>39919</v>
      </c>
      <c r="C3225" s="899" t="s">
        <v>12551</v>
      </c>
      <c r="D3225" s="988" t="s">
        <v>2666</v>
      </c>
      <c r="E3225" s="989">
        <v>60021.919999999998</v>
      </c>
      <c r="F3225" s="990"/>
      <c r="G3225" s="990"/>
      <c r="H3225" s="990"/>
      <c r="I3225" s="990"/>
      <c r="J3225" s="990"/>
      <c r="K3225" s="990"/>
      <c r="L3225" s="990"/>
      <c r="M3225" s="990"/>
      <c r="N3225" s="990"/>
      <c r="O3225" s="990"/>
      <c r="P3225" s="990"/>
      <c r="Q3225" s="990"/>
      <c r="R3225" s="990"/>
      <c r="S3225" s="990"/>
      <c r="T3225" s="990"/>
      <c r="U3225" s="990"/>
      <c r="V3225" s="990"/>
      <c r="W3225" s="990"/>
      <c r="X3225" s="990"/>
    </row>
    <row r="3226" spans="1:24" s="896" customFormat="1" ht="25.5">
      <c r="A3226" s="987">
        <f t="shared" si="51"/>
        <v>3152</v>
      </c>
      <c r="B3226" s="988">
        <v>38385</v>
      </c>
      <c r="C3226" s="899" t="s">
        <v>12552</v>
      </c>
      <c r="D3226" s="988" t="s">
        <v>2666</v>
      </c>
      <c r="E3226" s="989">
        <v>42.23</v>
      </c>
      <c r="F3226" s="990"/>
      <c r="G3226" s="990"/>
      <c r="H3226" s="990"/>
      <c r="I3226" s="990"/>
      <c r="J3226" s="990"/>
      <c r="K3226" s="990"/>
      <c r="L3226" s="990"/>
      <c r="M3226" s="990"/>
      <c r="N3226" s="990"/>
      <c r="O3226" s="990"/>
      <c r="P3226" s="990"/>
      <c r="Q3226" s="990"/>
      <c r="R3226" s="990"/>
      <c r="S3226" s="990"/>
      <c r="T3226" s="990"/>
      <c r="U3226" s="990"/>
      <c r="V3226" s="990"/>
      <c r="W3226" s="990"/>
      <c r="X3226" s="990"/>
    </row>
    <row r="3227" spans="1:24" s="896" customFormat="1" ht="25.5">
      <c r="A3227" s="987">
        <f t="shared" si="51"/>
        <v>3153</v>
      </c>
      <c r="B3227" s="988">
        <v>36800</v>
      </c>
      <c r="C3227" s="899" t="s">
        <v>12553</v>
      </c>
      <c r="D3227" s="988" t="s">
        <v>2666</v>
      </c>
      <c r="E3227" s="989">
        <v>175.56</v>
      </c>
      <c r="F3227" s="990"/>
      <c r="G3227" s="990"/>
      <c r="H3227" s="990"/>
      <c r="I3227" s="990"/>
      <c r="J3227" s="990"/>
      <c r="K3227" s="990"/>
      <c r="L3227" s="990"/>
      <c r="M3227" s="990"/>
      <c r="N3227" s="990"/>
      <c r="O3227" s="990"/>
      <c r="P3227" s="990"/>
      <c r="Q3227" s="990"/>
      <c r="R3227" s="990"/>
      <c r="S3227" s="990"/>
      <c r="T3227" s="990"/>
      <c r="U3227" s="990"/>
      <c r="V3227" s="990"/>
      <c r="W3227" s="990"/>
      <c r="X3227" s="990"/>
    </row>
    <row r="3228" spans="1:24" s="896" customFormat="1" ht="25.5">
      <c r="A3228" s="987">
        <f t="shared" si="51"/>
        <v>3154</v>
      </c>
      <c r="B3228" s="988">
        <v>37587</v>
      </c>
      <c r="C3228" s="899" t="s">
        <v>12554</v>
      </c>
      <c r="D3228" s="988" t="s">
        <v>2666</v>
      </c>
      <c r="E3228" s="989">
        <v>385.7</v>
      </c>
      <c r="F3228" s="990"/>
      <c r="G3228" s="990"/>
      <c r="H3228" s="990"/>
      <c r="I3228" s="990"/>
      <c r="J3228" s="990"/>
      <c r="K3228" s="990"/>
      <c r="L3228" s="990"/>
      <c r="M3228" s="990"/>
      <c r="N3228" s="990"/>
      <c r="O3228" s="990"/>
      <c r="P3228" s="990"/>
      <c r="Q3228" s="990"/>
      <c r="R3228" s="990"/>
      <c r="S3228" s="990"/>
      <c r="T3228" s="990"/>
      <c r="U3228" s="990"/>
      <c r="V3228" s="990"/>
      <c r="W3228" s="990"/>
      <c r="X3228" s="990"/>
    </row>
    <row r="3229" spans="1:24" s="896" customFormat="1" ht="25.5">
      <c r="A3229" s="987">
        <f t="shared" si="51"/>
        <v>3155</v>
      </c>
      <c r="B3229" s="988">
        <v>11561</v>
      </c>
      <c r="C3229" s="899" t="s">
        <v>12555</v>
      </c>
      <c r="D3229" s="988" t="s">
        <v>2666</v>
      </c>
      <c r="E3229" s="989">
        <v>231.59</v>
      </c>
      <c r="F3229" s="990"/>
      <c r="G3229" s="990"/>
      <c r="H3229" s="990"/>
      <c r="I3229" s="990"/>
      <c r="J3229" s="990"/>
      <c r="K3229" s="990"/>
      <c r="L3229" s="990"/>
      <c r="M3229" s="990"/>
      <c r="N3229" s="990"/>
      <c r="O3229" s="990"/>
      <c r="P3229" s="990"/>
      <c r="Q3229" s="990"/>
      <c r="R3229" s="990"/>
      <c r="S3229" s="990"/>
      <c r="T3229" s="990"/>
      <c r="U3229" s="990"/>
      <c r="V3229" s="990"/>
      <c r="W3229" s="990"/>
      <c r="X3229" s="990"/>
    </row>
    <row r="3230" spans="1:24" s="896" customFormat="1" ht="25.5">
      <c r="A3230" s="987">
        <f t="shared" si="51"/>
        <v>3156</v>
      </c>
      <c r="B3230" s="988">
        <v>43604</v>
      </c>
      <c r="C3230" s="899" t="s">
        <v>12556</v>
      </c>
      <c r="D3230" s="988" t="s">
        <v>2666</v>
      </c>
      <c r="E3230" s="989">
        <v>123.46</v>
      </c>
      <c r="F3230" s="990"/>
      <c r="G3230" s="990"/>
      <c r="H3230" s="990"/>
      <c r="I3230" s="990"/>
      <c r="J3230" s="990"/>
      <c r="K3230" s="990"/>
      <c r="L3230" s="990"/>
      <c r="M3230" s="990"/>
      <c r="N3230" s="990"/>
      <c r="O3230" s="990"/>
      <c r="P3230" s="990"/>
      <c r="Q3230" s="990"/>
      <c r="R3230" s="990"/>
      <c r="S3230" s="990"/>
      <c r="T3230" s="990"/>
      <c r="U3230" s="990"/>
      <c r="V3230" s="990"/>
      <c r="W3230" s="990"/>
      <c r="X3230" s="990"/>
    </row>
    <row r="3231" spans="1:24" s="896" customFormat="1" ht="25.5">
      <c r="A3231" s="987">
        <f t="shared" si="51"/>
        <v>3157</v>
      </c>
      <c r="B3231" s="988">
        <v>11560</v>
      </c>
      <c r="C3231" s="899" t="s">
        <v>12557</v>
      </c>
      <c r="D3231" s="988" t="s">
        <v>2666</v>
      </c>
      <c r="E3231" s="989">
        <v>178.75</v>
      </c>
      <c r="F3231" s="990"/>
      <c r="G3231" s="990"/>
      <c r="H3231" s="990"/>
      <c r="I3231" s="990"/>
      <c r="J3231" s="990"/>
      <c r="K3231" s="990"/>
      <c r="L3231" s="990"/>
      <c r="M3231" s="990"/>
      <c r="N3231" s="990"/>
      <c r="O3231" s="990"/>
      <c r="P3231" s="990"/>
      <c r="Q3231" s="990"/>
      <c r="R3231" s="990"/>
      <c r="S3231" s="990"/>
      <c r="T3231" s="990"/>
      <c r="U3231" s="990"/>
      <c r="V3231" s="990"/>
      <c r="W3231" s="990"/>
      <c r="X3231" s="990"/>
    </row>
    <row r="3232" spans="1:24" s="896" customFormat="1" ht="25.5">
      <c r="A3232" s="987">
        <f t="shared" si="51"/>
        <v>3158</v>
      </c>
      <c r="B3232" s="988">
        <v>11499</v>
      </c>
      <c r="C3232" s="899" t="s">
        <v>12558</v>
      </c>
      <c r="D3232" s="988" t="s">
        <v>2666</v>
      </c>
      <c r="E3232" s="989">
        <v>904.25</v>
      </c>
      <c r="F3232" s="990"/>
      <c r="G3232" s="990"/>
      <c r="H3232" s="990"/>
      <c r="I3232" s="990"/>
      <c r="J3232" s="990"/>
      <c r="K3232" s="990"/>
      <c r="L3232" s="990"/>
      <c r="M3232" s="990"/>
      <c r="N3232" s="990"/>
      <c r="O3232" s="990"/>
      <c r="P3232" s="990"/>
      <c r="Q3232" s="990"/>
      <c r="R3232" s="990"/>
      <c r="S3232" s="990"/>
      <c r="T3232" s="990"/>
      <c r="U3232" s="990"/>
      <c r="V3232" s="990"/>
      <c r="W3232" s="990"/>
      <c r="X3232" s="990"/>
    </row>
    <row r="3233" spans="1:24" s="896" customFormat="1">
      <c r="A3233" s="987">
        <f t="shared" si="51"/>
        <v>3159</v>
      </c>
      <c r="B3233" s="988">
        <v>34761</v>
      </c>
      <c r="C3233" s="899" t="s">
        <v>12559</v>
      </c>
      <c r="D3233" s="988" t="s">
        <v>2665</v>
      </c>
      <c r="E3233" s="989">
        <v>20.260000000000002</v>
      </c>
      <c r="F3233" s="990"/>
      <c r="G3233" s="990"/>
      <c r="H3233" s="990"/>
      <c r="I3233" s="990"/>
      <c r="J3233" s="990"/>
      <c r="K3233" s="990"/>
      <c r="L3233" s="990"/>
      <c r="M3233" s="990"/>
      <c r="N3233" s="990"/>
      <c r="O3233" s="990"/>
      <c r="P3233" s="990"/>
      <c r="Q3233" s="990"/>
      <c r="R3233" s="990"/>
      <c r="S3233" s="990"/>
      <c r="T3233" s="990"/>
      <c r="U3233" s="990"/>
      <c r="V3233" s="990"/>
      <c r="W3233" s="990"/>
      <c r="X3233" s="990"/>
    </row>
    <row r="3234" spans="1:24" s="896" customFormat="1">
      <c r="A3234" s="987">
        <f t="shared" si="51"/>
        <v>3160</v>
      </c>
      <c r="B3234" s="988">
        <v>40924</v>
      </c>
      <c r="C3234" s="899" t="s">
        <v>12560</v>
      </c>
      <c r="D3234" s="988" t="s">
        <v>2672</v>
      </c>
      <c r="E3234" s="989">
        <v>3563.29</v>
      </c>
      <c r="F3234" s="990"/>
      <c r="G3234" s="990"/>
      <c r="H3234" s="990"/>
      <c r="I3234" s="990"/>
      <c r="J3234" s="990"/>
      <c r="K3234" s="990"/>
      <c r="L3234" s="990"/>
      <c r="M3234" s="990"/>
      <c r="N3234" s="990"/>
      <c r="O3234" s="990"/>
      <c r="P3234" s="990"/>
      <c r="Q3234" s="990"/>
      <c r="R3234" s="990"/>
      <c r="S3234" s="990"/>
      <c r="T3234" s="990"/>
      <c r="U3234" s="990"/>
      <c r="V3234" s="990"/>
      <c r="W3234" s="990"/>
      <c r="X3234" s="990"/>
    </row>
    <row r="3235" spans="1:24" s="896" customFormat="1">
      <c r="A3235" s="987">
        <f t="shared" si="51"/>
        <v>3161</v>
      </c>
      <c r="B3235" s="988">
        <v>40983</v>
      </c>
      <c r="C3235" s="899" t="s">
        <v>12561</v>
      </c>
      <c r="D3235" s="988" t="s">
        <v>2672</v>
      </c>
      <c r="E3235" s="989">
        <v>3930.59</v>
      </c>
      <c r="F3235" s="990"/>
      <c r="G3235" s="990"/>
      <c r="H3235" s="990"/>
      <c r="I3235" s="990"/>
      <c r="J3235" s="990"/>
      <c r="K3235" s="990"/>
      <c r="L3235" s="990"/>
      <c r="M3235" s="990"/>
      <c r="N3235" s="990"/>
      <c r="O3235" s="990"/>
      <c r="P3235" s="990"/>
      <c r="Q3235" s="990"/>
      <c r="R3235" s="990"/>
      <c r="S3235" s="990"/>
      <c r="T3235" s="990"/>
      <c r="U3235" s="990"/>
      <c r="V3235" s="990"/>
      <c r="W3235" s="990"/>
      <c r="X3235" s="990"/>
    </row>
    <row r="3236" spans="1:24" s="896" customFormat="1">
      <c r="A3236" s="987">
        <f t="shared" si="51"/>
        <v>3162</v>
      </c>
      <c r="B3236" s="988">
        <v>44497</v>
      </c>
      <c r="C3236" s="899" t="s">
        <v>12562</v>
      </c>
      <c r="D3236" s="988" t="s">
        <v>2665</v>
      </c>
      <c r="E3236" s="989">
        <v>22.34</v>
      </c>
      <c r="F3236" s="990"/>
      <c r="G3236" s="990"/>
      <c r="H3236" s="990"/>
      <c r="I3236" s="990"/>
      <c r="J3236" s="990"/>
      <c r="K3236" s="990"/>
      <c r="L3236" s="990"/>
      <c r="M3236" s="990"/>
      <c r="N3236" s="990"/>
      <c r="O3236" s="990"/>
      <c r="P3236" s="990"/>
      <c r="Q3236" s="990"/>
      <c r="R3236" s="990"/>
      <c r="S3236" s="990"/>
      <c r="T3236" s="990"/>
      <c r="U3236" s="990"/>
      <c r="V3236" s="990"/>
      <c r="W3236" s="990"/>
      <c r="X3236" s="990"/>
    </row>
    <row r="3237" spans="1:24" s="896" customFormat="1">
      <c r="A3237" s="987">
        <f t="shared" si="51"/>
        <v>3163</v>
      </c>
      <c r="B3237" s="988">
        <v>2437</v>
      </c>
      <c r="C3237" s="899" t="s">
        <v>12563</v>
      </c>
      <c r="D3237" s="988" t="s">
        <v>2665</v>
      </c>
      <c r="E3237" s="989">
        <v>30.28</v>
      </c>
      <c r="F3237" s="990"/>
      <c r="G3237" s="990"/>
      <c r="H3237" s="990"/>
      <c r="I3237" s="990"/>
      <c r="J3237" s="990"/>
      <c r="K3237" s="990"/>
      <c r="L3237" s="990"/>
      <c r="M3237" s="990"/>
      <c r="N3237" s="990"/>
      <c r="O3237" s="990"/>
      <c r="P3237" s="990"/>
      <c r="Q3237" s="990"/>
      <c r="R3237" s="990"/>
      <c r="S3237" s="990"/>
      <c r="T3237" s="990"/>
      <c r="U3237" s="990"/>
      <c r="V3237" s="990"/>
      <c r="W3237" s="990"/>
      <c r="X3237" s="990"/>
    </row>
    <row r="3238" spans="1:24" s="896" customFormat="1">
      <c r="A3238" s="987">
        <f t="shared" si="51"/>
        <v>3164</v>
      </c>
      <c r="B3238" s="988">
        <v>40921</v>
      </c>
      <c r="C3238" s="899" t="s">
        <v>12564</v>
      </c>
      <c r="D3238" s="988" t="s">
        <v>2672</v>
      </c>
      <c r="E3238" s="989">
        <v>5325.26</v>
      </c>
      <c r="F3238" s="990"/>
      <c r="G3238" s="990"/>
      <c r="H3238" s="990"/>
      <c r="I3238" s="990"/>
      <c r="J3238" s="990"/>
      <c r="K3238" s="990"/>
      <c r="L3238" s="990"/>
      <c r="M3238" s="990"/>
      <c r="N3238" s="990"/>
      <c r="O3238" s="990"/>
      <c r="P3238" s="990"/>
      <c r="Q3238" s="990"/>
      <c r="R3238" s="990"/>
      <c r="S3238" s="990"/>
      <c r="T3238" s="990"/>
      <c r="U3238" s="990"/>
      <c r="V3238" s="990"/>
      <c r="W3238" s="990"/>
      <c r="X3238" s="990"/>
    </row>
    <row r="3239" spans="1:24" s="896" customFormat="1" ht="25.5">
      <c r="A3239" s="987">
        <f t="shared" si="51"/>
        <v>3165</v>
      </c>
      <c r="B3239" s="988">
        <v>14252</v>
      </c>
      <c r="C3239" s="899" t="s">
        <v>12565</v>
      </c>
      <c r="D3239" s="988" t="s">
        <v>2666</v>
      </c>
      <c r="E3239" s="989">
        <v>2715.06</v>
      </c>
      <c r="F3239" s="990"/>
      <c r="G3239" s="990"/>
      <c r="H3239" s="990"/>
      <c r="I3239" s="990"/>
      <c r="J3239" s="990"/>
      <c r="K3239" s="990"/>
      <c r="L3239" s="990"/>
      <c r="M3239" s="990"/>
      <c r="N3239" s="990"/>
      <c r="O3239" s="990"/>
      <c r="P3239" s="990"/>
      <c r="Q3239" s="990"/>
      <c r="R3239" s="990"/>
      <c r="S3239" s="990"/>
      <c r="T3239" s="990"/>
      <c r="U3239" s="990"/>
      <c r="V3239" s="990"/>
      <c r="W3239" s="990"/>
      <c r="X3239" s="990"/>
    </row>
    <row r="3240" spans="1:24" s="896" customFormat="1" ht="25.5">
      <c r="A3240" s="987">
        <f t="shared" si="51"/>
        <v>3166</v>
      </c>
      <c r="B3240" s="988">
        <v>730</v>
      </c>
      <c r="C3240" s="899" t="s">
        <v>12566</v>
      </c>
      <c r="D3240" s="988" t="s">
        <v>2666</v>
      </c>
      <c r="E3240" s="989">
        <v>7254.14</v>
      </c>
      <c r="F3240" s="990"/>
      <c r="G3240" s="990"/>
      <c r="H3240" s="990"/>
      <c r="I3240" s="990"/>
      <c r="J3240" s="990"/>
      <c r="K3240" s="990"/>
      <c r="L3240" s="990"/>
      <c r="M3240" s="990"/>
      <c r="N3240" s="990"/>
      <c r="O3240" s="990"/>
      <c r="P3240" s="990"/>
      <c r="Q3240" s="990"/>
      <c r="R3240" s="990"/>
      <c r="S3240" s="990"/>
      <c r="T3240" s="990"/>
      <c r="U3240" s="990"/>
      <c r="V3240" s="990"/>
      <c r="W3240" s="990"/>
      <c r="X3240" s="990"/>
    </row>
    <row r="3241" spans="1:24" s="896" customFormat="1" ht="38.25">
      <c r="A3241" s="987">
        <f t="shared" si="51"/>
        <v>3167</v>
      </c>
      <c r="B3241" s="988">
        <v>723</v>
      </c>
      <c r="C3241" s="899" t="s">
        <v>12567</v>
      </c>
      <c r="D3241" s="988" t="s">
        <v>2666</v>
      </c>
      <c r="E3241" s="989">
        <v>3605.56</v>
      </c>
      <c r="F3241" s="990"/>
      <c r="G3241" s="990"/>
      <c r="H3241" s="990"/>
      <c r="I3241" s="990"/>
      <c r="J3241" s="990"/>
      <c r="K3241" s="990"/>
      <c r="L3241" s="990"/>
      <c r="M3241" s="990"/>
      <c r="N3241" s="990"/>
      <c r="O3241" s="990"/>
      <c r="P3241" s="990"/>
      <c r="Q3241" s="990"/>
      <c r="R3241" s="990"/>
      <c r="S3241" s="990"/>
      <c r="T3241" s="990"/>
      <c r="U3241" s="990"/>
      <c r="V3241" s="990"/>
      <c r="W3241" s="990"/>
      <c r="X3241" s="990"/>
    </row>
    <row r="3242" spans="1:24" s="896" customFormat="1" ht="25.5">
      <c r="A3242" s="987">
        <f t="shared" si="51"/>
        <v>3168</v>
      </c>
      <c r="B3242" s="988">
        <v>36502</v>
      </c>
      <c r="C3242" s="899" t="s">
        <v>12568</v>
      </c>
      <c r="D3242" s="988" t="s">
        <v>2666</v>
      </c>
      <c r="E3242" s="989">
        <v>3388.8</v>
      </c>
      <c r="F3242" s="990"/>
      <c r="G3242" s="990"/>
      <c r="H3242" s="990"/>
      <c r="I3242" s="990"/>
      <c r="J3242" s="990"/>
      <c r="K3242" s="990"/>
      <c r="L3242" s="990"/>
      <c r="M3242" s="990"/>
      <c r="N3242" s="990"/>
      <c r="O3242" s="990"/>
      <c r="P3242" s="990"/>
      <c r="Q3242" s="990"/>
      <c r="R3242" s="990"/>
      <c r="S3242" s="990"/>
      <c r="T3242" s="990"/>
      <c r="U3242" s="990"/>
      <c r="V3242" s="990"/>
      <c r="W3242" s="990"/>
      <c r="X3242" s="990"/>
    </row>
    <row r="3243" spans="1:24" s="896" customFormat="1" ht="25.5">
      <c r="A3243" s="987">
        <f t="shared" si="51"/>
        <v>3169</v>
      </c>
      <c r="B3243" s="988">
        <v>36503</v>
      </c>
      <c r="C3243" s="899" t="s">
        <v>12569</v>
      </c>
      <c r="D3243" s="988" t="s">
        <v>2666</v>
      </c>
      <c r="E3243" s="989">
        <v>4178.79</v>
      </c>
      <c r="F3243" s="990"/>
      <c r="G3243" s="990"/>
      <c r="H3243" s="990"/>
      <c r="I3243" s="990"/>
      <c r="J3243" s="990"/>
      <c r="K3243" s="990"/>
      <c r="L3243" s="990"/>
      <c r="M3243" s="990"/>
      <c r="N3243" s="990"/>
      <c r="O3243" s="990"/>
      <c r="P3243" s="990"/>
      <c r="Q3243" s="990"/>
      <c r="R3243" s="990"/>
      <c r="S3243" s="990"/>
      <c r="T3243" s="990"/>
      <c r="U3243" s="990"/>
      <c r="V3243" s="990"/>
      <c r="W3243" s="990"/>
      <c r="X3243" s="990"/>
    </row>
    <row r="3244" spans="1:24" s="896" customFormat="1" ht="25.5">
      <c r="A3244" s="987">
        <f t="shared" si="51"/>
        <v>3170</v>
      </c>
      <c r="B3244" s="988">
        <v>4090</v>
      </c>
      <c r="C3244" s="899" t="s">
        <v>12570</v>
      </c>
      <c r="D3244" s="988" t="s">
        <v>2666</v>
      </c>
      <c r="E3244" s="989">
        <v>1350000</v>
      </c>
      <c r="F3244" s="990"/>
      <c r="G3244" s="990"/>
      <c r="H3244" s="990"/>
      <c r="I3244" s="990"/>
      <c r="J3244" s="990"/>
      <c r="K3244" s="990"/>
      <c r="L3244" s="990"/>
      <c r="M3244" s="990"/>
      <c r="N3244" s="990"/>
      <c r="O3244" s="990"/>
      <c r="P3244" s="990"/>
      <c r="Q3244" s="990"/>
      <c r="R3244" s="990"/>
      <c r="S3244" s="990"/>
      <c r="T3244" s="990"/>
      <c r="U3244" s="990"/>
      <c r="V3244" s="990"/>
      <c r="W3244" s="990"/>
      <c r="X3244" s="990"/>
    </row>
    <row r="3245" spans="1:24" s="896" customFormat="1" ht="25.5">
      <c r="A3245" s="987">
        <f t="shared" si="51"/>
        <v>3171</v>
      </c>
      <c r="B3245" s="988">
        <v>13227</v>
      </c>
      <c r="C3245" s="899" t="s">
        <v>12571</v>
      </c>
      <c r="D3245" s="988" t="s">
        <v>2666</v>
      </c>
      <c r="E3245" s="989">
        <v>1677543.34</v>
      </c>
      <c r="F3245" s="990"/>
      <c r="G3245" s="990"/>
      <c r="H3245" s="990"/>
      <c r="I3245" s="990"/>
      <c r="J3245" s="990"/>
      <c r="K3245" s="990"/>
      <c r="L3245" s="990"/>
      <c r="M3245" s="990"/>
      <c r="N3245" s="990"/>
      <c r="O3245" s="990"/>
      <c r="P3245" s="990"/>
      <c r="Q3245" s="990"/>
      <c r="R3245" s="990"/>
      <c r="S3245" s="990"/>
      <c r="T3245" s="990"/>
      <c r="U3245" s="990"/>
      <c r="V3245" s="990"/>
      <c r="W3245" s="990"/>
      <c r="X3245" s="990"/>
    </row>
    <row r="3246" spans="1:24" s="896" customFormat="1" ht="25.5">
      <c r="A3246" s="987">
        <f t="shared" si="51"/>
        <v>3172</v>
      </c>
      <c r="B3246" s="988">
        <v>10597</v>
      </c>
      <c r="C3246" s="899" t="s">
        <v>12572</v>
      </c>
      <c r="D3246" s="988" t="s">
        <v>2666</v>
      </c>
      <c r="E3246" s="989">
        <v>1765830.78</v>
      </c>
      <c r="F3246" s="990"/>
      <c r="G3246" s="990"/>
      <c r="H3246" s="990"/>
      <c r="I3246" s="990"/>
      <c r="J3246" s="990"/>
      <c r="K3246" s="990"/>
      <c r="L3246" s="990"/>
      <c r="M3246" s="990"/>
      <c r="N3246" s="990"/>
      <c r="O3246" s="990"/>
      <c r="P3246" s="990"/>
      <c r="Q3246" s="990"/>
      <c r="R3246" s="990"/>
      <c r="S3246" s="990"/>
      <c r="T3246" s="990"/>
      <c r="U3246" s="990"/>
      <c r="V3246" s="990"/>
      <c r="W3246" s="990"/>
      <c r="X3246" s="990"/>
    </row>
    <row r="3247" spans="1:24" s="896" customFormat="1">
      <c r="A3247" s="987">
        <f t="shared" si="51"/>
        <v>3173</v>
      </c>
      <c r="B3247" s="988">
        <v>39628</v>
      </c>
      <c r="C3247" s="899" t="s">
        <v>12573</v>
      </c>
      <c r="D3247" s="988" t="s">
        <v>2666</v>
      </c>
      <c r="E3247" s="989">
        <v>5188.45</v>
      </c>
      <c r="F3247" s="990"/>
      <c r="G3247" s="990"/>
      <c r="H3247" s="990"/>
      <c r="I3247" s="990"/>
      <c r="J3247" s="990"/>
      <c r="K3247" s="990"/>
      <c r="L3247" s="990"/>
      <c r="M3247" s="990"/>
      <c r="N3247" s="990"/>
      <c r="O3247" s="990"/>
      <c r="P3247" s="990"/>
      <c r="Q3247" s="990"/>
      <c r="R3247" s="990"/>
      <c r="S3247" s="990"/>
      <c r="T3247" s="990"/>
      <c r="U3247" s="990"/>
      <c r="V3247" s="990"/>
      <c r="W3247" s="990"/>
      <c r="X3247" s="990"/>
    </row>
    <row r="3248" spans="1:24" s="896" customFormat="1">
      <c r="A3248" s="987">
        <f t="shared" si="51"/>
        <v>3174</v>
      </c>
      <c r="B3248" s="988">
        <v>39404</v>
      </c>
      <c r="C3248" s="899" t="s">
        <v>12574</v>
      </c>
      <c r="D3248" s="988" t="s">
        <v>2666</v>
      </c>
      <c r="E3248" s="989">
        <v>2572.79</v>
      </c>
      <c r="F3248" s="990"/>
      <c r="G3248" s="990"/>
      <c r="H3248" s="990"/>
      <c r="I3248" s="990"/>
      <c r="J3248" s="990"/>
      <c r="K3248" s="990"/>
      <c r="L3248" s="990"/>
      <c r="M3248" s="990"/>
      <c r="N3248" s="990"/>
      <c r="O3248" s="990"/>
      <c r="P3248" s="990"/>
      <c r="Q3248" s="990"/>
      <c r="R3248" s="990"/>
      <c r="S3248" s="990"/>
      <c r="T3248" s="990"/>
      <c r="U3248" s="990"/>
      <c r="V3248" s="990"/>
      <c r="W3248" s="990"/>
      <c r="X3248" s="990"/>
    </row>
    <row r="3249" spans="1:24" s="896" customFormat="1">
      <c r="A3249" s="987">
        <f t="shared" si="51"/>
        <v>3175</v>
      </c>
      <c r="B3249" s="988">
        <v>39402</v>
      </c>
      <c r="C3249" s="899" t="s">
        <v>12575</v>
      </c>
      <c r="D3249" s="988" t="s">
        <v>2666</v>
      </c>
      <c r="E3249" s="989">
        <v>2119.48</v>
      </c>
      <c r="F3249" s="990"/>
      <c r="G3249" s="990"/>
      <c r="H3249" s="990"/>
      <c r="I3249" s="990"/>
      <c r="J3249" s="990"/>
      <c r="K3249" s="990"/>
      <c r="L3249" s="990"/>
      <c r="M3249" s="990"/>
      <c r="N3249" s="990"/>
      <c r="O3249" s="990"/>
      <c r="P3249" s="990"/>
      <c r="Q3249" s="990"/>
      <c r="R3249" s="990"/>
      <c r="S3249" s="990"/>
      <c r="T3249" s="990"/>
      <c r="U3249" s="990"/>
      <c r="V3249" s="990"/>
      <c r="W3249" s="990"/>
      <c r="X3249" s="990"/>
    </row>
    <row r="3250" spans="1:24" s="896" customFormat="1">
      <c r="A3250" s="987">
        <f t="shared" si="51"/>
        <v>3176</v>
      </c>
      <c r="B3250" s="988">
        <v>39403</v>
      </c>
      <c r="C3250" s="899" t="s">
        <v>12576</v>
      </c>
      <c r="D3250" s="988" t="s">
        <v>2666</v>
      </c>
      <c r="E3250" s="989">
        <v>2073.38</v>
      </c>
      <c r="F3250" s="990"/>
      <c r="G3250" s="990"/>
      <c r="H3250" s="990"/>
      <c r="I3250" s="990"/>
      <c r="J3250" s="990"/>
      <c r="K3250" s="990"/>
      <c r="L3250" s="990"/>
      <c r="M3250" s="990"/>
      <c r="N3250" s="990"/>
      <c r="O3250" s="990"/>
      <c r="P3250" s="990"/>
      <c r="Q3250" s="990"/>
      <c r="R3250" s="990"/>
      <c r="S3250" s="990"/>
      <c r="T3250" s="990"/>
      <c r="U3250" s="990"/>
      <c r="V3250" s="990"/>
      <c r="W3250" s="990"/>
      <c r="X3250" s="990"/>
    </row>
    <row r="3251" spans="1:24" s="896" customFormat="1">
      <c r="A3251" s="987">
        <f t="shared" si="51"/>
        <v>3177</v>
      </c>
      <c r="B3251" s="988">
        <v>4093</v>
      </c>
      <c r="C3251" s="899" t="s">
        <v>12577</v>
      </c>
      <c r="D3251" s="988" t="s">
        <v>2665</v>
      </c>
      <c r="E3251" s="989">
        <v>20.059999999999999</v>
      </c>
      <c r="F3251" s="990"/>
      <c r="G3251" s="990"/>
      <c r="H3251" s="990"/>
      <c r="I3251" s="990"/>
      <c r="J3251" s="990"/>
      <c r="K3251" s="990"/>
      <c r="L3251" s="990"/>
      <c r="M3251" s="990"/>
      <c r="N3251" s="990"/>
      <c r="O3251" s="990"/>
      <c r="P3251" s="990"/>
      <c r="Q3251" s="990"/>
      <c r="R3251" s="990"/>
      <c r="S3251" s="990"/>
      <c r="T3251" s="990"/>
      <c r="U3251" s="990"/>
      <c r="V3251" s="990"/>
      <c r="W3251" s="990"/>
      <c r="X3251" s="990"/>
    </row>
    <row r="3252" spans="1:24" s="896" customFormat="1">
      <c r="A3252" s="987">
        <f t="shared" si="51"/>
        <v>3178</v>
      </c>
      <c r="B3252" s="988">
        <v>10512</v>
      </c>
      <c r="C3252" s="899" t="s">
        <v>12578</v>
      </c>
      <c r="D3252" s="988" t="s">
        <v>2672</v>
      </c>
      <c r="E3252" s="989">
        <v>3529.49</v>
      </c>
      <c r="F3252" s="990"/>
      <c r="G3252" s="990"/>
      <c r="H3252" s="990"/>
      <c r="I3252" s="990"/>
      <c r="J3252" s="990"/>
      <c r="K3252" s="990"/>
      <c r="L3252" s="990"/>
      <c r="M3252" s="990"/>
      <c r="N3252" s="990"/>
      <c r="O3252" s="990"/>
      <c r="P3252" s="990"/>
      <c r="Q3252" s="990"/>
      <c r="R3252" s="990"/>
      <c r="S3252" s="990"/>
      <c r="T3252" s="990"/>
      <c r="U3252" s="990"/>
      <c r="V3252" s="990"/>
      <c r="W3252" s="990"/>
      <c r="X3252" s="990"/>
    </row>
    <row r="3253" spans="1:24" s="896" customFormat="1">
      <c r="A3253" s="987">
        <f t="shared" si="51"/>
        <v>3179</v>
      </c>
      <c r="B3253" s="988">
        <v>20020</v>
      </c>
      <c r="C3253" s="899" t="s">
        <v>12579</v>
      </c>
      <c r="D3253" s="988" t="s">
        <v>2665</v>
      </c>
      <c r="E3253" s="989">
        <v>18.920000000000002</v>
      </c>
      <c r="F3253" s="990"/>
      <c r="G3253" s="990"/>
      <c r="H3253" s="990"/>
      <c r="I3253" s="990"/>
      <c r="J3253" s="990"/>
      <c r="K3253" s="990"/>
      <c r="L3253" s="990"/>
      <c r="M3253" s="990"/>
      <c r="N3253" s="990"/>
      <c r="O3253" s="990"/>
      <c r="P3253" s="990"/>
      <c r="Q3253" s="990"/>
      <c r="R3253" s="990"/>
      <c r="S3253" s="990"/>
      <c r="T3253" s="990"/>
      <c r="U3253" s="990"/>
      <c r="V3253" s="990"/>
      <c r="W3253" s="990"/>
      <c r="X3253" s="990"/>
    </row>
    <row r="3254" spans="1:24" s="896" customFormat="1">
      <c r="A3254" s="987">
        <f t="shared" si="51"/>
        <v>3180</v>
      </c>
      <c r="B3254" s="988">
        <v>41038</v>
      </c>
      <c r="C3254" s="899" t="s">
        <v>12580</v>
      </c>
      <c r="D3254" s="988" t="s">
        <v>2672</v>
      </c>
      <c r="E3254" s="989">
        <v>3329.2</v>
      </c>
      <c r="F3254" s="990"/>
      <c r="G3254" s="990"/>
      <c r="H3254" s="990"/>
      <c r="I3254" s="990"/>
      <c r="J3254" s="990"/>
      <c r="K3254" s="990"/>
      <c r="L3254" s="990"/>
      <c r="M3254" s="990"/>
      <c r="N3254" s="990"/>
      <c r="O3254" s="990"/>
      <c r="P3254" s="990"/>
      <c r="Q3254" s="990"/>
      <c r="R3254" s="990"/>
      <c r="S3254" s="990"/>
      <c r="T3254" s="990"/>
      <c r="U3254" s="990"/>
      <c r="V3254" s="990"/>
      <c r="W3254" s="990"/>
      <c r="X3254" s="990"/>
    </row>
    <row r="3255" spans="1:24" s="896" customFormat="1">
      <c r="A3255" s="987">
        <f t="shared" si="51"/>
        <v>3181</v>
      </c>
      <c r="B3255" s="988">
        <v>4094</v>
      </c>
      <c r="C3255" s="899" t="s">
        <v>12581</v>
      </c>
      <c r="D3255" s="988" t="s">
        <v>2665</v>
      </c>
      <c r="E3255" s="989">
        <v>26.8</v>
      </c>
      <c r="F3255" s="990"/>
      <c r="G3255" s="990"/>
      <c r="H3255" s="990"/>
      <c r="I3255" s="990"/>
      <c r="J3255" s="990"/>
      <c r="K3255" s="990"/>
      <c r="L3255" s="990"/>
      <c r="M3255" s="990"/>
      <c r="N3255" s="990"/>
      <c r="O3255" s="990"/>
      <c r="P3255" s="990"/>
      <c r="Q3255" s="990"/>
      <c r="R3255" s="990"/>
      <c r="S3255" s="990"/>
      <c r="T3255" s="990"/>
      <c r="U3255" s="990"/>
      <c r="V3255" s="990"/>
      <c r="W3255" s="990"/>
      <c r="X3255" s="990"/>
    </row>
    <row r="3256" spans="1:24" s="896" customFormat="1">
      <c r="A3256" s="987">
        <f t="shared" si="51"/>
        <v>3182</v>
      </c>
      <c r="B3256" s="988">
        <v>40988</v>
      </c>
      <c r="C3256" s="899" t="s">
        <v>12582</v>
      </c>
      <c r="D3256" s="988" t="s">
        <v>2672</v>
      </c>
      <c r="E3256" s="989">
        <v>4713.41</v>
      </c>
      <c r="F3256" s="990"/>
      <c r="G3256" s="990"/>
      <c r="H3256" s="990"/>
      <c r="I3256" s="990"/>
      <c r="J3256" s="990"/>
      <c r="K3256" s="990"/>
      <c r="L3256" s="990"/>
      <c r="M3256" s="990"/>
      <c r="N3256" s="990"/>
      <c r="O3256" s="990"/>
      <c r="P3256" s="990"/>
      <c r="Q3256" s="990"/>
      <c r="R3256" s="990"/>
      <c r="S3256" s="990"/>
      <c r="T3256" s="990"/>
      <c r="U3256" s="990"/>
      <c r="V3256" s="990"/>
      <c r="W3256" s="990"/>
      <c r="X3256" s="990"/>
    </row>
    <row r="3257" spans="1:24" s="896" customFormat="1">
      <c r="A3257" s="987">
        <f t="shared" si="51"/>
        <v>3183</v>
      </c>
      <c r="B3257" s="988">
        <v>4095</v>
      </c>
      <c r="C3257" s="899" t="s">
        <v>12583</v>
      </c>
      <c r="D3257" s="988" t="s">
        <v>2665</v>
      </c>
      <c r="E3257" s="989">
        <v>21.89</v>
      </c>
      <c r="F3257" s="990"/>
      <c r="G3257" s="990"/>
      <c r="H3257" s="990"/>
      <c r="I3257" s="990"/>
      <c r="J3257" s="990"/>
      <c r="K3257" s="990"/>
      <c r="L3257" s="990"/>
      <c r="M3257" s="990"/>
      <c r="N3257" s="990"/>
      <c r="O3257" s="990"/>
      <c r="P3257" s="990"/>
      <c r="Q3257" s="990"/>
      <c r="R3257" s="990"/>
      <c r="S3257" s="990"/>
      <c r="T3257" s="990"/>
      <c r="U3257" s="990"/>
      <c r="V3257" s="990"/>
      <c r="W3257" s="990"/>
      <c r="X3257" s="990"/>
    </row>
    <row r="3258" spans="1:24" s="896" customFormat="1">
      <c r="A3258" s="987">
        <f t="shared" si="51"/>
        <v>3184</v>
      </c>
      <c r="B3258" s="988">
        <v>40990</v>
      </c>
      <c r="C3258" s="899" t="s">
        <v>12584</v>
      </c>
      <c r="D3258" s="988" t="s">
        <v>2672</v>
      </c>
      <c r="E3258" s="989">
        <v>3848.76</v>
      </c>
      <c r="F3258" s="990"/>
      <c r="G3258" s="990"/>
      <c r="H3258" s="990"/>
      <c r="I3258" s="990"/>
      <c r="J3258" s="990"/>
      <c r="K3258" s="990"/>
      <c r="L3258" s="990"/>
      <c r="M3258" s="990"/>
      <c r="N3258" s="990"/>
      <c r="O3258" s="990"/>
      <c r="P3258" s="990"/>
      <c r="Q3258" s="990"/>
      <c r="R3258" s="990"/>
      <c r="S3258" s="990"/>
      <c r="T3258" s="990"/>
      <c r="U3258" s="990"/>
      <c r="V3258" s="990"/>
      <c r="W3258" s="990"/>
      <c r="X3258" s="990"/>
    </row>
    <row r="3259" spans="1:24" s="896" customFormat="1">
      <c r="A3259" s="987">
        <f t="shared" si="51"/>
        <v>3185</v>
      </c>
      <c r="B3259" s="988">
        <v>4097</v>
      </c>
      <c r="C3259" s="899" t="s">
        <v>12585</v>
      </c>
      <c r="D3259" s="988" t="s">
        <v>2665</v>
      </c>
      <c r="E3259" s="989">
        <v>22.69</v>
      </c>
      <c r="F3259" s="990"/>
      <c r="G3259" s="990"/>
      <c r="H3259" s="990"/>
      <c r="I3259" s="990"/>
      <c r="J3259" s="990"/>
      <c r="K3259" s="990"/>
      <c r="L3259" s="990"/>
      <c r="M3259" s="990"/>
      <c r="N3259" s="990"/>
      <c r="O3259" s="990"/>
      <c r="P3259" s="990"/>
      <c r="Q3259" s="990"/>
      <c r="R3259" s="990"/>
      <c r="S3259" s="990"/>
      <c r="T3259" s="990"/>
      <c r="U3259" s="990"/>
      <c r="V3259" s="990"/>
      <c r="W3259" s="990"/>
      <c r="X3259" s="990"/>
    </row>
    <row r="3260" spans="1:24" s="896" customFormat="1">
      <c r="A3260" s="987">
        <f t="shared" si="51"/>
        <v>3186</v>
      </c>
      <c r="B3260" s="988">
        <v>40994</v>
      </c>
      <c r="C3260" s="899" t="s">
        <v>12586</v>
      </c>
      <c r="D3260" s="988" t="s">
        <v>2672</v>
      </c>
      <c r="E3260" s="989">
        <v>3991</v>
      </c>
      <c r="F3260" s="990"/>
      <c r="G3260" s="990"/>
      <c r="H3260" s="990"/>
      <c r="I3260" s="990"/>
      <c r="J3260" s="990"/>
      <c r="K3260" s="990"/>
      <c r="L3260" s="990"/>
      <c r="M3260" s="990"/>
      <c r="N3260" s="990"/>
      <c r="O3260" s="990"/>
      <c r="P3260" s="990"/>
      <c r="Q3260" s="990"/>
      <c r="R3260" s="990"/>
      <c r="S3260" s="990"/>
      <c r="T3260" s="990"/>
      <c r="U3260" s="990"/>
      <c r="V3260" s="990"/>
      <c r="W3260" s="990"/>
      <c r="X3260" s="990"/>
    </row>
    <row r="3261" spans="1:24" s="896" customFormat="1">
      <c r="A3261" s="987">
        <f t="shared" si="51"/>
        <v>3187</v>
      </c>
      <c r="B3261" s="988">
        <v>4096</v>
      </c>
      <c r="C3261" s="899" t="s">
        <v>12587</v>
      </c>
      <c r="D3261" s="988" t="s">
        <v>2665</v>
      </c>
      <c r="E3261" s="989">
        <v>23.29</v>
      </c>
      <c r="F3261" s="990"/>
      <c r="G3261" s="990"/>
      <c r="H3261" s="990"/>
      <c r="I3261" s="990"/>
      <c r="J3261" s="990"/>
      <c r="K3261" s="990"/>
      <c r="L3261" s="990"/>
      <c r="M3261" s="990"/>
      <c r="N3261" s="990"/>
      <c r="O3261" s="990"/>
      <c r="P3261" s="990"/>
      <c r="Q3261" s="990"/>
      <c r="R3261" s="990"/>
      <c r="S3261" s="990"/>
      <c r="T3261" s="990"/>
      <c r="U3261" s="990"/>
      <c r="V3261" s="990"/>
      <c r="W3261" s="990"/>
      <c r="X3261" s="990"/>
    </row>
    <row r="3262" spans="1:24" s="896" customFormat="1">
      <c r="A3262" s="987">
        <f t="shared" si="51"/>
        <v>3188</v>
      </c>
      <c r="B3262" s="988">
        <v>40992</v>
      </c>
      <c r="C3262" s="899" t="s">
        <v>12588</v>
      </c>
      <c r="D3262" s="988" t="s">
        <v>2672</v>
      </c>
      <c r="E3262" s="989">
        <v>4096.54</v>
      </c>
      <c r="F3262" s="990"/>
      <c r="G3262" s="990"/>
      <c r="H3262" s="990"/>
      <c r="I3262" s="990"/>
      <c r="J3262" s="990"/>
      <c r="K3262" s="990"/>
      <c r="L3262" s="990"/>
      <c r="M3262" s="990"/>
      <c r="N3262" s="990"/>
      <c r="O3262" s="990"/>
      <c r="P3262" s="990"/>
      <c r="Q3262" s="990"/>
      <c r="R3262" s="990"/>
      <c r="S3262" s="990"/>
      <c r="T3262" s="990"/>
      <c r="U3262" s="990"/>
      <c r="V3262" s="990"/>
      <c r="W3262" s="990"/>
      <c r="X3262" s="990"/>
    </row>
    <row r="3263" spans="1:24" s="896" customFormat="1" ht="25.5">
      <c r="A3263" s="987">
        <f t="shared" si="51"/>
        <v>3189</v>
      </c>
      <c r="B3263" s="988">
        <v>4114</v>
      </c>
      <c r="C3263" s="899" t="s">
        <v>12589</v>
      </c>
      <c r="D3263" s="988" t="s">
        <v>2666</v>
      </c>
      <c r="E3263" s="989">
        <v>65.3</v>
      </c>
      <c r="F3263" s="990"/>
      <c r="G3263" s="990"/>
      <c r="H3263" s="990"/>
      <c r="I3263" s="990"/>
      <c r="J3263" s="990"/>
      <c r="K3263" s="990"/>
      <c r="L3263" s="990"/>
      <c r="M3263" s="990"/>
      <c r="N3263" s="990"/>
      <c r="O3263" s="990"/>
      <c r="P3263" s="990"/>
      <c r="Q3263" s="990"/>
      <c r="R3263" s="990"/>
      <c r="S3263" s="990"/>
      <c r="T3263" s="990"/>
      <c r="U3263" s="990"/>
      <c r="V3263" s="990"/>
      <c r="W3263" s="990"/>
      <c r="X3263" s="990"/>
    </row>
    <row r="3264" spans="1:24" s="896" customFormat="1">
      <c r="A3264" s="987">
        <f t="shared" si="51"/>
        <v>3190</v>
      </c>
      <c r="B3264" s="988">
        <v>36797</v>
      </c>
      <c r="C3264" s="899" t="s">
        <v>12590</v>
      </c>
      <c r="D3264" s="988" t="s">
        <v>2666</v>
      </c>
      <c r="E3264" s="989">
        <v>58.14</v>
      </c>
      <c r="F3264" s="990"/>
      <c r="G3264" s="990"/>
      <c r="H3264" s="990"/>
      <c r="I3264" s="990"/>
      <c r="J3264" s="990"/>
      <c r="K3264" s="990"/>
      <c r="L3264" s="990"/>
      <c r="M3264" s="990"/>
      <c r="N3264" s="990"/>
      <c r="O3264" s="990"/>
      <c r="P3264" s="990"/>
      <c r="Q3264" s="990"/>
      <c r="R3264" s="990"/>
      <c r="S3264" s="990"/>
      <c r="T3264" s="990"/>
      <c r="U3264" s="990"/>
      <c r="V3264" s="990"/>
      <c r="W3264" s="990"/>
      <c r="X3264" s="990"/>
    </row>
    <row r="3265" spans="1:24" s="896" customFormat="1">
      <c r="A3265" s="987">
        <f t="shared" si="51"/>
        <v>3191</v>
      </c>
      <c r="B3265" s="988">
        <v>4107</v>
      </c>
      <c r="C3265" s="899" t="s">
        <v>12591</v>
      </c>
      <c r="D3265" s="988" t="s">
        <v>2666</v>
      </c>
      <c r="E3265" s="989">
        <v>54.82</v>
      </c>
      <c r="F3265" s="990"/>
      <c r="G3265" s="990"/>
      <c r="H3265" s="990"/>
      <c r="I3265" s="990"/>
      <c r="J3265" s="990"/>
      <c r="K3265" s="990"/>
      <c r="L3265" s="990"/>
      <c r="M3265" s="990"/>
      <c r="N3265" s="990"/>
      <c r="O3265" s="990"/>
      <c r="P3265" s="990"/>
      <c r="Q3265" s="990"/>
      <c r="R3265" s="990"/>
      <c r="S3265" s="990"/>
      <c r="T3265" s="990"/>
      <c r="U3265" s="990"/>
      <c r="V3265" s="990"/>
      <c r="W3265" s="990"/>
      <c r="X3265" s="990"/>
    </row>
    <row r="3266" spans="1:24" s="896" customFormat="1">
      <c r="A3266" s="987">
        <f t="shared" si="51"/>
        <v>3192</v>
      </c>
      <c r="B3266" s="988">
        <v>4102</v>
      </c>
      <c r="C3266" s="899" t="s">
        <v>12592</v>
      </c>
      <c r="D3266" s="988" t="s">
        <v>2666</v>
      </c>
      <c r="E3266" s="989">
        <v>66.92</v>
      </c>
      <c r="F3266" s="990"/>
      <c r="G3266" s="990"/>
      <c r="H3266" s="990"/>
      <c r="I3266" s="990"/>
      <c r="J3266" s="990"/>
      <c r="K3266" s="990"/>
      <c r="L3266" s="990"/>
      <c r="M3266" s="990"/>
      <c r="N3266" s="990"/>
      <c r="O3266" s="990"/>
      <c r="P3266" s="990"/>
      <c r="Q3266" s="990"/>
      <c r="R3266" s="990"/>
      <c r="S3266" s="990"/>
      <c r="T3266" s="990"/>
      <c r="U3266" s="990"/>
      <c r="V3266" s="990"/>
      <c r="W3266" s="990"/>
      <c r="X3266" s="990"/>
    </row>
    <row r="3267" spans="1:24" s="896" customFormat="1">
      <c r="A3267" s="987">
        <f t="shared" si="51"/>
        <v>3193</v>
      </c>
      <c r="B3267" s="988">
        <v>36799</v>
      </c>
      <c r="C3267" s="899" t="s">
        <v>12593</v>
      </c>
      <c r="D3267" s="988" t="s">
        <v>2666</v>
      </c>
      <c r="E3267" s="989">
        <v>56.43</v>
      </c>
      <c r="F3267" s="990"/>
      <c r="G3267" s="990"/>
      <c r="H3267" s="990"/>
      <c r="I3267" s="990"/>
      <c r="J3267" s="990"/>
      <c r="K3267" s="990"/>
      <c r="L3267" s="990"/>
      <c r="M3267" s="990"/>
      <c r="N3267" s="990"/>
      <c r="O3267" s="990"/>
      <c r="P3267" s="990"/>
      <c r="Q3267" s="990"/>
      <c r="R3267" s="990"/>
      <c r="S3267" s="990"/>
      <c r="T3267" s="990"/>
      <c r="U3267" s="990"/>
      <c r="V3267" s="990"/>
      <c r="W3267" s="990"/>
      <c r="X3267" s="990"/>
    </row>
    <row r="3268" spans="1:24" s="896" customFormat="1" ht="25.5">
      <c r="A3268" s="987">
        <f t="shared" si="51"/>
        <v>3194</v>
      </c>
      <c r="B3268" s="988">
        <v>2747</v>
      </c>
      <c r="C3268" s="899" t="s">
        <v>12594</v>
      </c>
      <c r="D3268" s="988" t="s">
        <v>2669</v>
      </c>
      <c r="E3268" s="989">
        <v>30.09</v>
      </c>
      <c r="F3268" s="990"/>
      <c r="G3268" s="990"/>
      <c r="H3268" s="990"/>
      <c r="I3268" s="990"/>
      <c r="J3268" s="990"/>
      <c r="K3268" s="990"/>
      <c r="L3268" s="990"/>
      <c r="M3268" s="990"/>
      <c r="N3268" s="990"/>
      <c r="O3268" s="990"/>
      <c r="P3268" s="990"/>
      <c r="Q3268" s="990"/>
      <c r="R3268" s="990"/>
      <c r="S3268" s="990"/>
      <c r="T3268" s="990"/>
      <c r="U3268" s="990"/>
      <c r="V3268" s="990"/>
      <c r="W3268" s="990"/>
      <c r="X3268" s="990"/>
    </row>
    <row r="3269" spans="1:24" s="896" customFormat="1" ht="25.5">
      <c r="A3269" s="987">
        <f t="shared" si="51"/>
        <v>3195</v>
      </c>
      <c r="B3269" s="988">
        <v>21138</v>
      </c>
      <c r="C3269" s="899" t="s">
        <v>12595</v>
      </c>
      <c r="D3269" s="988" t="s">
        <v>2669</v>
      </c>
      <c r="E3269" s="989">
        <v>9.5399999999999991</v>
      </c>
      <c r="F3269" s="990"/>
      <c r="G3269" s="990"/>
      <c r="H3269" s="990"/>
      <c r="I3269" s="990"/>
      <c r="J3269" s="990"/>
      <c r="K3269" s="990"/>
      <c r="L3269" s="990"/>
      <c r="M3269" s="990"/>
      <c r="N3269" s="990"/>
      <c r="O3269" s="990"/>
      <c r="P3269" s="990"/>
      <c r="Q3269" s="990"/>
      <c r="R3269" s="990"/>
      <c r="S3269" s="990"/>
      <c r="T3269" s="990"/>
      <c r="U3269" s="990"/>
      <c r="V3269" s="990"/>
      <c r="W3269" s="990"/>
      <c r="X3269" s="990"/>
    </row>
    <row r="3270" spans="1:24" s="896" customFormat="1" ht="25.5">
      <c r="A3270" s="987">
        <f t="shared" si="51"/>
        <v>3196</v>
      </c>
      <c r="B3270" s="988">
        <v>10826</v>
      </c>
      <c r="C3270" s="899" t="s">
        <v>12596</v>
      </c>
      <c r="D3270" s="988" t="s">
        <v>2666</v>
      </c>
      <c r="E3270" s="989">
        <v>45.68</v>
      </c>
      <c r="F3270" s="990"/>
      <c r="G3270" s="990"/>
      <c r="H3270" s="990"/>
      <c r="I3270" s="990"/>
      <c r="J3270" s="990"/>
      <c r="K3270" s="990"/>
      <c r="L3270" s="990"/>
      <c r="M3270" s="990"/>
      <c r="N3270" s="990"/>
      <c r="O3270" s="990"/>
      <c r="P3270" s="990"/>
      <c r="Q3270" s="990"/>
      <c r="R3270" s="990"/>
      <c r="S3270" s="990"/>
      <c r="T3270" s="990"/>
      <c r="U3270" s="990"/>
      <c r="V3270" s="990"/>
      <c r="W3270" s="990"/>
      <c r="X3270" s="990"/>
    </row>
    <row r="3271" spans="1:24" s="896" customFormat="1" ht="25.5">
      <c r="A3271" s="987">
        <f t="shared" si="51"/>
        <v>3197</v>
      </c>
      <c r="B3271" s="988">
        <v>365</v>
      </c>
      <c r="C3271" s="899" t="s">
        <v>12597</v>
      </c>
      <c r="D3271" s="988" t="s">
        <v>2666</v>
      </c>
      <c r="E3271" s="989">
        <v>28.32</v>
      </c>
      <c r="F3271" s="990"/>
      <c r="G3271" s="990"/>
      <c r="H3271" s="990"/>
      <c r="I3271" s="990"/>
      <c r="J3271" s="990"/>
      <c r="K3271" s="990"/>
      <c r="L3271" s="990"/>
      <c r="M3271" s="990"/>
      <c r="N3271" s="990"/>
      <c r="O3271" s="990"/>
      <c r="P3271" s="990"/>
      <c r="Q3271" s="990"/>
      <c r="R3271" s="990"/>
      <c r="S3271" s="990"/>
      <c r="T3271" s="990"/>
      <c r="U3271" s="990"/>
      <c r="V3271" s="990"/>
      <c r="W3271" s="990"/>
      <c r="X3271" s="990"/>
    </row>
    <row r="3272" spans="1:24" s="896" customFormat="1">
      <c r="A3272" s="987">
        <f t="shared" si="51"/>
        <v>3198</v>
      </c>
      <c r="B3272" s="988">
        <v>38639</v>
      </c>
      <c r="C3272" s="899" t="s">
        <v>12598</v>
      </c>
      <c r="D3272" s="988" t="s">
        <v>2666</v>
      </c>
      <c r="E3272" s="989">
        <v>109.65</v>
      </c>
      <c r="F3272" s="990"/>
      <c r="G3272" s="990"/>
      <c r="H3272" s="990"/>
      <c r="I3272" s="990"/>
      <c r="J3272" s="990"/>
      <c r="K3272" s="990"/>
      <c r="L3272" s="990"/>
      <c r="M3272" s="990"/>
      <c r="N3272" s="990"/>
      <c r="O3272" s="990"/>
      <c r="P3272" s="990"/>
      <c r="Q3272" s="990"/>
      <c r="R3272" s="990"/>
      <c r="S3272" s="990"/>
      <c r="T3272" s="990"/>
      <c r="U3272" s="990"/>
      <c r="V3272" s="990"/>
      <c r="W3272" s="990"/>
      <c r="X3272" s="990"/>
    </row>
    <row r="3273" spans="1:24" s="896" customFormat="1">
      <c r="A3273" s="987">
        <f t="shared" si="51"/>
        <v>3199</v>
      </c>
      <c r="B3273" s="988">
        <v>38640</v>
      </c>
      <c r="C3273" s="899" t="s">
        <v>12599</v>
      </c>
      <c r="D3273" s="988" t="s">
        <v>2666</v>
      </c>
      <c r="E3273" s="989">
        <v>1.64</v>
      </c>
      <c r="F3273" s="990"/>
      <c r="G3273" s="990"/>
      <c r="H3273" s="990"/>
      <c r="I3273" s="990"/>
      <c r="J3273" s="990"/>
      <c r="K3273" s="990"/>
      <c r="L3273" s="990"/>
      <c r="M3273" s="990"/>
      <c r="N3273" s="990"/>
      <c r="O3273" s="990"/>
      <c r="P3273" s="990"/>
      <c r="Q3273" s="990"/>
      <c r="R3273" s="990"/>
      <c r="S3273" s="990"/>
      <c r="T3273" s="990"/>
      <c r="U3273" s="990"/>
      <c r="V3273" s="990"/>
      <c r="W3273" s="990"/>
      <c r="X3273" s="990"/>
    </row>
    <row r="3274" spans="1:24" s="896" customFormat="1" ht="25.5">
      <c r="A3274" s="987">
        <f t="shared" si="51"/>
        <v>3200</v>
      </c>
      <c r="B3274" s="988">
        <v>358</v>
      </c>
      <c r="C3274" s="899" t="s">
        <v>12600</v>
      </c>
      <c r="D3274" s="988" t="s">
        <v>2666</v>
      </c>
      <c r="E3274" s="989">
        <v>33.81</v>
      </c>
      <c r="F3274" s="990"/>
      <c r="G3274" s="990"/>
      <c r="H3274" s="990"/>
      <c r="I3274" s="990"/>
      <c r="J3274" s="990"/>
      <c r="K3274" s="990"/>
      <c r="L3274" s="990"/>
      <c r="M3274" s="990"/>
      <c r="N3274" s="990"/>
      <c r="O3274" s="990"/>
      <c r="P3274" s="990"/>
      <c r="Q3274" s="990"/>
      <c r="R3274" s="990"/>
      <c r="S3274" s="990"/>
      <c r="T3274" s="990"/>
      <c r="U3274" s="990"/>
      <c r="V3274" s="990"/>
      <c r="W3274" s="990"/>
      <c r="X3274" s="990"/>
    </row>
    <row r="3275" spans="1:24" s="896" customFormat="1" ht="25.5">
      <c r="A3275" s="987">
        <f t="shared" si="51"/>
        <v>3201</v>
      </c>
      <c r="B3275" s="988">
        <v>359</v>
      </c>
      <c r="C3275" s="899" t="s">
        <v>12601</v>
      </c>
      <c r="D3275" s="988" t="s">
        <v>2666</v>
      </c>
      <c r="E3275" s="989">
        <v>69.44</v>
      </c>
      <c r="F3275" s="990"/>
      <c r="G3275" s="990"/>
      <c r="H3275" s="990"/>
      <c r="I3275" s="990"/>
      <c r="J3275" s="990"/>
      <c r="K3275" s="990"/>
      <c r="L3275" s="990"/>
      <c r="M3275" s="990"/>
      <c r="N3275" s="990"/>
      <c r="O3275" s="990"/>
      <c r="P3275" s="990"/>
      <c r="Q3275" s="990"/>
      <c r="R3275" s="990"/>
      <c r="S3275" s="990"/>
      <c r="T3275" s="990"/>
      <c r="U3275" s="990"/>
      <c r="V3275" s="990"/>
      <c r="W3275" s="990"/>
      <c r="X3275" s="990"/>
    </row>
    <row r="3276" spans="1:24" s="896" customFormat="1">
      <c r="A3276" s="987">
        <f t="shared" ref="A3276:A3339" si="52">A3275+1</f>
        <v>3202</v>
      </c>
      <c r="B3276" s="988">
        <v>38641</v>
      </c>
      <c r="C3276" s="899" t="s">
        <v>12602</v>
      </c>
      <c r="D3276" s="988" t="s">
        <v>2666</v>
      </c>
      <c r="E3276" s="989">
        <v>68.53</v>
      </c>
      <c r="F3276" s="990"/>
      <c r="G3276" s="990"/>
      <c r="H3276" s="990"/>
      <c r="I3276" s="990"/>
      <c r="J3276" s="990"/>
      <c r="K3276" s="990"/>
      <c r="L3276" s="990"/>
      <c r="M3276" s="990"/>
      <c r="N3276" s="990"/>
      <c r="O3276" s="990"/>
      <c r="P3276" s="990"/>
      <c r="Q3276" s="990"/>
      <c r="R3276" s="990"/>
      <c r="S3276" s="990"/>
      <c r="T3276" s="990"/>
      <c r="U3276" s="990"/>
      <c r="V3276" s="990"/>
      <c r="W3276" s="990"/>
      <c r="X3276" s="990"/>
    </row>
    <row r="3277" spans="1:24" s="896" customFormat="1" ht="25.5">
      <c r="A3277" s="987">
        <f t="shared" si="52"/>
        <v>3203</v>
      </c>
      <c r="B3277" s="988">
        <v>360</v>
      </c>
      <c r="C3277" s="899" t="s">
        <v>12603</v>
      </c>
      <c r="D3277" s="988" t="s">
        <v>2666</v>
      </c>
      <c r="E3277" s="989">
        <v>1.59</v>
      </c>
      <c r="F3277" s="990"/>
      <c r="G3277" s="990"/>
      <c r="H3277" s="990"/>
      <c r="I3277" s="990"/>
      <c r="J3277" s="990"/>
      <c r="K3277" s="990"/>
      <c r="L3277" s="990"/>
      <c r="M3277" s="990"/>
      <c r="N3277" s="990"/>
      <c r="O3277" s="990"/>
      <c r="P3277" s="990"/>
      <c r="Q3277" s="990"/>
      <c r="R3277" s="990"/>
      <c r="S3277" s="990"/>
      <c r="T3277" s="990"/>
      <c r="U3277" s="990"/>
      <c r="V3277" s="990"/>
      <c r="W3277" s="990"/>
      <c r="X3277" s="990"/>
    </row>
    <row r="3278" spans="1:24" s="896" customFormat="1" ht="38.25">
      <c r="A3278" s="987">
        <f t="shared" si="52"/>
        <v>3204</v>
      </c>
      <c r="B3278" s="988">
        <v>42430</v>
      </c>
      <c r="C3278" s="899" t="s">
        <v>12604</v>
      </c>
      <c r="D3278" s="988" t="s">
        <v>2666</v>
      </c>
      <c r="E3278" s="989">
        <v>6377.55</v>
      </c>
      <c r="F3278" s="990"/>
      <c r="G3278" s="990"/>
      <c r="H3278" s="990"/>
      <c r="I3278" s="990"/>
      <c r="J3278" s="990"/>
      <c r="K3278" s="990"/>
      <c r="L3278" s="990"/>
      <c r="M3278" s="990"/>
      <c r="N3278" s="990"/>
      <c r="O3278" s="990"/>
      <c r="P3278" s="990"/>
      <c r="Q3278" s="990"/>
      <c r="R3278" s="990"/>
      <c r="S3278" s="990"/>
      <c r="T3278" s="990"/>
      <c r="U3278" s="990"/>
      <c r="V3278" s="990"/>
      <c r="W3278" s="990"/>
      <c r="X3278" s="990"/>
    </row>
    <row r="3279" spans="1:24" s="896" customFormat="1">
      <c r="A3279" s="987">
        <f t="shared" si="52"/>
        <v>3205</v>
      </c>
      <c r="B3279" s="988">
        <v>4214</v>
      </c>
      <c r="C3279" s="899" t="s">
        <v>12605</v>
      </c>
      <c r="D3279" s="988" t="s">
        <v>2666</v>
      </c>
      <c r="E3279" s="989">
        <v>11.81</v>
      </c>
      <c r="F3279" s="990"/>
      <c r="G3279" s="990"/>
      <c r="H3279" s="990"/>
      <c r="I3279" s="990"/>
      <c r="J3279" s="990"/>
      <c r="K3279" s="990"/>
      <c r="L3279" s="990"/>
      <c r="M3279" s="990"/>
      <c r="N3279" s="990"/>
      <c r="O3279" s="990"/>
      <c r="P3279" s="990"/>
      <c r="Q3279" s="990"/>
      <c r="R3279" s="990"/>
      <c r="S3279" s="990"/>
      <c r="T3279" s="990"/>
      <c r="U3279" s="990"/>
      <c r="V3279" s="990"/>
      <c r="W3279" s="990"/>
      <c r="X3279" s="990"/>
    </row>
    <row r="3280" spans="1:24" s="896" customFormat="1">
      <c r="A3280" s="987">
        <f t="shared" si="52"/>
        <v>3206</v>
      </c>
      <c r="B3280" s="988">
        <v>4215</v>
      </c>
      <c r="C3280" s="899" t="s">
        <v>12606</v>
      </c>
      <c r="D3280" s="988" t="s">
        <v>2666</v>
      </c>
      <c r="E3280" s="989">
        <v>7.77</v>
      </c>
      <c r="F3280" s="990"/>
      <c r="G3280" s="990"/>
      <c r="H3280" s="990"/>
      <c r="I3280" s="990"/>
      <c r="J3280" s="990"/>
      <c r="K3280" s="990"/>
      <c r="L3280" s="990"/>
      <c r="M3280" s="990"/>
      <c r="N3280" s="990"/>
      <c r="O3280" s="990"/>
      <c r="P3280" s="990"/>
      <c r="Q3280" s="990"/>
      <c r="R3280" s="990"/>
      <c r="S3280" s="990"/>
      <c r="T3280" s="990"/>
      <c r="U3280" s="990"/>
      <c r="V3280" s="990"/>
      <c r="W3280" s="990"/>
      <c r="X3280" s="990"/>
    </row>
    <row r="3281" spans="1:24" s="896" customFormat="1">
      <c r="A3281" s="987">
        <f t="shared" si="52"/>
        <v>3207</v>
      </c>
      <c r="B3281" s="988">
        <v>4210</v>
      </c>
      <c r="C3281" s="899" t="s">
        <v>12607</v>
      </c>
      <c r="D3281" s="988" t="s">
        <v>2666</v>
      </c>
      <c r="E3281" s="989">
        <v>1.3</v>
      </c>
      <c r="F3281" s="990"/>
      <c r="G3281" s="990"/>
      <c r="H3281" s="990"/>
      <c r="I3281" s="990"/>
      <c r="J3281" s="990"/>
      <c r="K3281" s="990"/>
      <c r="L3281" s="990"/>
      <c r="M3281" s="990"/>
      <c r="N3281" s="990"/>
      <c r="O3281" s="990"/>
      <c r="P3281" s="990"/>
      <c r="Q3281" s="990"/>
      <c r="R3281" s="990"/>
      <c r="S3281" s="990"/>
      <c r="T3281" s="990"/>
      <c r="U3281" s="990"/>
      <c r="V3281" s="990"/>
      <c r="W3281" s="990"/>
      <c r="X3281" s="990"/>
    </row>
    <row r="3282" spans="1:24" s="896" customFormat="1">
      <c r="A3282" s="987">
        <f t="shared" si="52"/>
        <v>3208</v>
      </c>
      <c r="B3282" s="988">
        <v>4212</v>
      </c>
      <c r="C3282" s="899" t="s">
        <v>12608</v>
      </c>
      <c r="D3282" s="988" t="s">
        <v>2666</v>
      </c>
      <c r="E3282" s="989">
        <v>3.75</v>
      </c>
      <c r="F3282" s="990"/>
      <c r="G3282" s="990"/>
      <c r="H3282" s="990"/>
      <c r="I3282" s="990"/>
      <c r="J3282" s="990"/>
      <c r="K3282" s="990"/>
      <c r="L3282" s="990"/>
      <c r="M3282" s="990"/>
      <c r="N3282" s="990"/>
      <c r="O3282" s="990"/>
      <c r="P3282" s="990"/>
      <c r="Q3282" s="990"/>
      <c r="R3282" s="990"/>
      <c r="S3282" s="990"/>
      <c r="T3282" s="990"/>
      <c r="U3282" s="990"/>
      <c r="V3282" s="990"/>
      <c r="W3282" s="990"/>
      <c r="X3282" s="990"/>
    </row>
    <row r="3283" spans="1:24" s="896" customFormat="1">
      <c r="A3283" s="987">
        <f t="shared" si="52"/>
        <v>3209</v>
      </c>
      <c r="B3283" s="988">
        <v>4213</v>
      </c>
      <c r="C3283" s="899" t="s">
        <v>12609</v>
      </c>
      <c r="D3283" s="988" t="s">
        <v>2666</v>
      </c>
      <c r="E3283" s="989">
        <v>16.77</v>
      </c>
      <c r="F3283" s="990"/>
      <c r="G3283" s="990"/>
      <c r="H3283" s="990"/>
      <c r="I3283" s="990"/>
      <c r="J3283" s="990"/>
      <c r="K3283" s="990"/>
      <c r="L3283" s="990"/>
      <c r="M3283" s="990"/>
      <c r="N3283" s="990"/>
      <c r="O3283" s="990"/>
      <c r="P3283" s="990"/>
      <c r="Q3283" s="990"/>
      <c r="R3283" s="990"/>
      <c r="S3283" s="990"/>
      <c r="T3283" s="990"/>
      <c r="U3283" s="990"/>
      <c r="V3283" s="990"/>
      <c r="W3283" s="990"/>
      <c r="X3283" s="990"/>
    </row>
    <row r="3284" spans="1:24" s="896" customFormat="1">
      <c r="A3284" s="987">
        <f t="shared" si="52"/>
        <v>3210</v>
      </c>
      <c r="B3284" s="988">
        <v>4211</v>
      </c>
      <c r="C3284" s="899" t="s">
        <v>12610</v>
      </c>
      <c r="D3284" s="988" t="s">
        <v>2666</v>
      </c>
      <c r="E3284" s="989">
        <v>1.87</v>
      </c>
      <c r="F3284" s="990"/>
      <c r="G3284" s="990"/>
      <c r="H3284" s="990"/>
      <c r="I3284" s="990"/>
      <c r="J3284" s="990"/>
      <c r="K3284" s="990"/>
      <c r="L3284" s="990"/>
      <c r="M3284" s="990"/>
      <c r="N3284" s="990"/>
      <c r="O3284" s="990"/>
      <c r="P3284" s="990"/>
      <c r="Q3284" s="990"/>
      <c r="R3284" s="990"/>
      <c r="S3284" s="990"/>
      <c r="T3284" s="990"/>
      <c r="U3284" s="990"/>
      <c r="V3284" s="990"/>
      <c r="W3284" s="990"/>
      <c r="X3284" s="990"/>
    </row>
    <row r="3285" spans="1:24" s="896" customFormat="1">
      <c r="A3285" s="987">
        <f t="shared" si="52"/>
        <v>3211</v>
      </c>
      <c r="B3285" s="988">
        <v>4209</v>
      </c>
      <c r="C3285" s="899" t="s">
        <v>12611</v>
      </c>
      <c r="D3285" s="988" t="s">
        <v>2666</v>
      </c>
      <c r="E3285" s="989">
        <v>23.7</v>
      </c>
      <c r="F3285" s="990"/>
      <c r="G3285" s="990"/>
      <c r="H3285" s="990"/>
      <c r="I3285" s="990"/>
      <c r="J3285" s="990"/>
      <c r="K3285" s="990"/>
      <c r="L3285" s="990"/>
      <c r="M3285" s="990"/>
      <c r="N3285" s="990"/>
      <c r="O3285" s="990"/>
      <c r="P3285" s="990"/>
      <c r="Q3285" s="990"/>
      <c r="R3285" s="990"/>
      <c r="S3285" s="990"/>
      <c r="T3285" s="990"/>
      <c r="U3285" s="990"/>
      <c r="V3285" s="990"/>
      <c r="W3285" s="990"/>
      <c r="X3285" s="990"/>
    </row>
    <row r="3286" spans="1:24" s="896" customFormat="1">
      <c r="A3286" s="987">
        <f t="shared" si="52"/>
        <v>3212</v>
      </c>
      <c r="B3286" s="988">
        <v>4180</v>
      </c>
      <c r="C3286" s="899" t="s">
        <v>12612</v>
      </c>
      <c r="D3286" s="988" t="s">
        <v>2666</v>
      </c>
      <c r="E3286" s="989">
        <v>17.84</v>
      </c>
      <c r="F3286" s="990"/>
      <c r="G3286" s="990"/>
      <c r="H3286" s="990"/>
      <c r="I3286" s="990"/>
      <c r="J3286" s="990"/>
      <c r="K3286" s="990"/>
      <c r="L3286" s="990"/>
      <c r="M3286" s="990"/>
      <c r="N3286" s="990"/>
      <c r="O3286" s="990"/>
      <c r="P3286" s="990"/>
      <c r="Q3286" s="990"/>
      <c r="R3286" s="990"/>
      <c r="S3286" s="990"/>
      <c r="T3286" s="990"/>
      <c r="U3286" s="990"/>
      <c r="V3286" s="990"/>
      <c r="W3286" s="990"/>
      <c r="X3286" s="990"/>
    </row>
    <row r="3287" spans="1:24" s="896" customFormat="1">
      <c r="A3287" s="987">
        <f t="shared" si="52"/>
        <v>3213</v>
      </c>
      <c r="B3287" s="988">
        <v>4177</v>
      </c>
      <c r="C3287" s="899" t="s">
        <v>12613</v>
      </c>
      <c r="D3287" s="988" t="s">
        <v>2666</v>
      </c>
      <c r="E3287" s="989">
        <v>5.92</v>
      </c>
      <c r="F3287" s="990"/>
      <c r="G3287" s="990"/>
      <c r="H3287" s="990"/>
      <c r="I3287" s="990"/>
      <c r="J3287" s="990"/>
      <c r="K3287" s="990"/>
      <c r="L3287" s="990"/>
      <c r="M3287" s="990"/>
      <c r="N3287" s="990"/>
      <c r="O3287" s="990"/>
      <c r="P3287" s="990"/>
      <c r="Q3287" s="990"/>
      <c r="R3287" s="990"/>
      <c r="S3287" s="990"/>
      <c r="T3287" s="990"/>
      <c r="U3287" s="990"/>
      <c r="V3287" s="990"/>
      <c r="W3287" s="990"/>
      <c r="X3287" s="990"/>
    </row>
    <row r="3288" spans="1:24" s="896" customFormat="1">
      <c r="A3288" s="987">
        <f t="shared" si="52"/>
        <v>3214</v>
      </c>
      <c r="B3288" s="988">
        <v>4179</v>
      </c>
      <c r="C3288" s="899" t="s">
        <v>12614</v>
      </c>
      <c r="D3288" s="988" t="s">
        <v>2666</v>
      </c>
      <c r="E3288" s="989">
        <v>12.11</v>
      </c>
      <c r="F3288" s="990"/>
      <c r="G3288" s="990"/>
      <c r="H3288" s="990"/>
      <c r="I3288" s="990"/>
      <c r="J3288" s="990"/>
      <c r="K3288" s="990"/>
      <c r="L3288" s="990"/>
      <c r="M3288" s="990"/>
      <c r="N3288" s="990"/>
      <c r="O3288" s="990"/>
      <c r="P3288" s="990"/>
      <c r="Q3288" s="990"/>
      <c r="R3288" s="990"/>
      <c r="S3288" s="990"/>
      <c r="T3288" s="990"/>
      <c r="U3288" s="990"/>
      <c r="V3288" s="990"/>
      <c r="W3288" s="990"/>
      <c r="X3288" s="990"/>
    </row>
    <row r="3289" spans="1:24" s="896" customFormat="1">
      <c r="A3289" s="987">
        <f t="shared" si="52"/>
        <v>3215</v>
      </c>
      <c r="B3289" s="988">
        <v>4208</v>
      </c>
      <c r="C3289" s="899" t="s">
        <v>12615</v>
      </c>
      <c r="D3289" s="988" t="s">
        <v>2666</v>
      </c>
      <c r="E3289" s="989">
        <v>56.4</v>
      </c>
      <c r="F3289" s="990"/>
      <c r="G3289" s="990"/>
      <c r="H3289" s="990"/>
      <c r="I3289" s="990"/>
      <c r="J3289" s="990"/>
      <c r="K3289" s="990"/>
      <c r="L3289" s="990"/>
      <c r="M3289" s="990"/>
      <c r="N3289" s="990"/>
      <c r="O3289" s="990"/>
      <c r="P3289" s="990"/>
      <c r="Q3289" s="990"/>
      <c r="R3289" s="990"/>
      <c r="S3289" s="990"/>
      <c r="T3289" s="990"/>
      <c r="U3289" s="990"/>
      <c r="V3289" s="990"/>
      <c r="W3289" s="990"/>
      <c r="X3289" s="990"/>
    </row>
    <row r="3290" spans="1:24" s="896" customFormat="1">
      <c r="A3290" s="987">
        <f t="shared" si="52"/>
        <v>3216</v>
      </c>
      <c r="B3290" s="988">
        <v>4181</v>
      </c>
      <c r="C3290" s="899" t="s">
        <v>12616</v>
      </c>
      <c r="D3290" s="988" t="s">
        <v>2666</v>
      </c>
      <c r="E3290" s="989">
        <v>36.85</v>
      </c>
      <c r="F3290" s="990"/>
      <c r="G3290" s="990"/>
      <c r="H3290" s="990"/>
      <c r="I3290" s="990"/>
      <c r="J3290" s="990"/>
      <c r="K3290" s="990"/>
      <c r="L3290" s="990"/>
      <c r="M3290" s="990"/>
      <c r="N3290" s="990"/>
      <c r="O3290" s="990"/>
      <c r="P3290" s="990"/>
      <c r="Q3290" s="990"/>
      <c r="R3290" s="990"/>
      <c r="S3290" s="990"/>
      <c r="T3290" s="990"/>
      <c r="U3290" s="990"/>
      <c r="V3290" s="990"/>
      <c r="W3290" s="990"/>
      <c r="X3290" s="990"/>
    </row>
    <row r="3291" spans="1:24" s="896" customFormat="1">
      <c r="A3291" s="987">
        <f t="shared" si="52"/>
        <v>3217</v>
      </c>
      <c r="B3291" s="988">
        <v>4178</v>
      </c>
      <c r="C3291" s="899" t="s">
        <v>12617</v>
      </c>
      <c r="D3291" s="988" t="s">
        <v>2666</v>
      </c>
      <c r="E3291" s="989">
        <v>8.2100000000000009</v>
      </c>
      <c r="F3291" s="990"/>
      <c r="G3291" s="990"/>
      <c r="H3291" s="990"/>
      <c r="I3291" s="990"/>
      <c r="J3291" s="990"/>
      <c r="K3291" s="990"/>
      <c r="L3291" s="990"/>
      <c r="M3291" s="990"/>
      <c r="N3291" s="990"/>
      <c r="O3291" s="990"/>
      <c r="P3291" s="990"/>
      <c r="Q3291" s="990"/>
      <c r="R3291" s="990"/>
      <c r="S3291" s="990"/>
      <c r="T3291" s="990"/>
      <c r="U3291" s="990"/>
      <c r="V3291" s="990"/>
      <c r="W3291" s="990"/>
      <c r="X3291" s="990"/>
    </row>
    <row r="3292" spans="1:24" s="896" customFormat="1">
      <c r="A3292" s="987">
        <f t="shared" si="52"/>
        <v>3218</v>
      </c>
      <c r="B3292" s="988">
        <v>4182</v>
      </c>
      <c r="C3292" s="899" t="s">
        <v>12618</v>
      </c>
      <c r="D3292" s="988" t="s">
        <v>2666</v>
      </c>
      <c r="E3292" s="989">
        <v>91.75</v>
      </c>
      <c r="F3292" s="990"/>
      <c r="G3292" s="990"/>
      <c r="H3292" s="990"/>
      <c r="I3292" s="990"/>
      <c r="J3292" s="990"/>
      <c r="K3292" s="990"/>
      <c r="L3292" s="990"/>
      <c r="M3292" s="990"/>
      <c r="N3292" s="990"/>
      <c r="O3292" s="990"/>
      <c r="P3292" s="990"/>
      <c r="Q3292" s="990"/>
      <c r="R3292" s="990"/>
      <c r="S3292" s="990"/>
      <c r="T3292" s="990"/>
      <c r="U3292" s="990"/>
      <c r="V3292" s="990"/>
      <c r="W3292" s="990"/>
      <c r="X3292" s="990"/>
    </row>
    <row r="3293" spans="1:24" s="896" customFormat="1">
      <c r="A3293" s="987">
        <f t="shared" si="52"/>
        <v>3219</v>
      </c>
      <c r="B3293" s="988">
        <v>4183</v>
      </c>
      <c r="C3293" s="899" t="s">
        <v>12619</v>
      </c>
      <c r="D3293" s="988" t="s">
        <v>2666</v>
      </c>
      <c r="E3293" s="989">
        <v>147.72</v>
      </c>
      <c r="F3293" s="990"/>
      <c r="G3293" s="990"/>
      <c r="H3293" s="990"/>
      <c r="I3293" s="990"/>
      <c r="J3293" s="990"/>
      <c r="K3293" s="990"/>
      <c r="L3293" s="990"/>
      <c r="M3293" s="990"/>
      <c r="N3293" s="990"/>
      <c r="O3293" s="990"/>
      <c r="P3293" s="990"/>
      <c r="Q3293" s="990"/>
      <c r="R3293" s="990"/>
      <c r="S3293" s="990"/>
      <c r="T3293" s="990"/>
      <c r="U3293" s="990"/>
      <c r="V3293" s="990"/>
      <c r="W3293" s="990"/>
      <c r="X3293" s="990"/>
    </row>
    <row r="3294" spans="1:24" s="896" customFormat="1">
      <c r="A3294" s="987">
        <f t="shared" si="52"/>
        <v>3220</v>
      </c>
      <c r="B3294" s="988">
        <v>4184</v>
      </c>
      <c r="C3294" s="899" t="s">
        <v>12620</v>
      </c>
      <c r="D3294" s="988" t="s">
        <v>2666</v>
      </c>
      <c r="E3294" s="989">
        <v>326.07</v>
      </c>
      <c r="F3294" s="990"/>
      <c r="G3294" s="990"/>
      <c r="H3294" s="990"/>
      <c r="I3294" s="990"/>
      <c r="J3294" s="990"/>
      <c r="K3294" s="990"/>
      <c r="L3294" s="990"/>
      <c r="M3294" s="990"/>
      <c r="N3294" s="990"/>
      <c r="O3294" s="990"/>
      <c r="P3294" s="990"/>
      <c r="Q3294" s="990"/>
      <c r="R3294" s="990"/>
      <c r="S3294" s="990"/>
      <c r="T3294" s="990"/>
      <c r="U3294" s="990"/>
      <c r="V3294" s="990"/>
      <c r="W3294" s="990"/>
      <c r="X3294" s="990"/>
    </row>
    <row r="3295" spans="1:24" s="896" customFormat="1">
      <c r="A3295" s="987">
        <f t="shared" si="52"/>
        <v>3221</v>
      </c>
      <c r="B3295" s="988">
        <v>4185</v>
      </c>
      <c r="C3295" s="899" t="s">
        <v>12621</v>
      </c>
      <c r="D3295" s="988" t="s">
        <v>2666</v>
      </c>
      <c r="E3295" s="989">
        <v>541.79</v>
      </c>
      <c r="F3295" s="990"/>
      <c r="G3295" s="990"/>
      <c r="H3295" s="990"/>
      <c r="I3295" s="990"/>
      <c r="J3295" s="990"/>
      <c r="K3295" s="990"/>
      <c r="L3295" s="990"/>
      <c r="M3295" s="990"/>
      <c r="N3295" s="990"/>
      <c r="O3295" s="990"/>
      <c r="P3295" s="990"/>
      <c r="Q3295" s="990"/>
      <c r="R3295" s="990"/>
      <c r="S3295" s="990"/>
      <c r="T3295" s="990"/>
      <c r="U3295" s="990"/>
      <c r="V3295" s="990"/>
      <c r="W3295" s="990"/>
      <c r="X3295" s="990"/>
    </row>
    <row r="3296" spans="1:24" s="896" customFormat="1">
      <c r="A3296" s="987">
        <f t="shared" si="52"/>
        <v>3222</v>
      </c>
      <c r="B3296" s="988">
        <v>4205</v>
      </c>
      <c r="C3296" s="899" t="s">
        <v>12622</v>
      </c>
      <c r="D3296" s="988" t="s">
        <v>2666</v>
      </c>
      <c r="E3296" s="989">
        <v>31.29</v>
      </c>
      <c r="F3296" s="990"/>
      <c r="G3296" s="990"/>
      <c r="H3296" s="990"/>
      <c r="I3296" s="990"/>
      <c r="J3296" s="990"/>
      <c r="K3296" s="990"/>
      <c r="L3296" s="990"/>
      <c r="M3296" s="990"/>
      <c r="N3296" s="990"/>
      <c r="O3296" s="990"/>
      <c r="P3296" s="990"/>
      <c r="Q3296" s="990"/>
      <c r="R3296" s="990"/>
      <c r="S3296" s="990"/>
      <c r="T3296" s="990"/>
      <c r="U3296" s="990"/>
      <c r="V3296" s="990"/>
      <c r="W3296" s="990"/>
      <c r="X3296" s="990"/>
    </row>
    <row r="3297" spans="1:24" s="896" customFormat="1">
      <c r="A3297" s="987">
        <f t="shared" si="52"/>
        <v>3223</v>
      </c>
      <c r="B3297" s="988">
        <v>4192</v>
      </c>
      <c r="C3297" s="899" t="s">
        <v>12623</v>
      </c>
      <c r="D3297" s="988" t="s">
        <v>2666</v>
      </c>
      <c r="E3297" s="989">
        <v>31.29</v>
      </c>
      <c r="F3297" s="990"/>
      <c r="G3297" s="990"/>
      <c r="H3297" s="990"/>
      <c r="I3297" s="990"/>
      <c r="J3297" s="990"/>
      <c r="K3297" s="990"/>
      <c r="L3297" s="990"/>
      <c r="M3297" s="990"/>
      <c r="N3297" s="990"/>
      <c r="O3297" s="990"/>
      <c r="P3297" s="990"/>
      <c r="Q3297" s="990"/>
      <c r="R3297" s="990"/>
      <c r="S3297" s="990"/>
      <c r="T3297" s="990"/>
      <c r="U3297" s="990"/>
      <c r="V3297" s="990"/>
      <c r="W3297" s="990"/>
      <c r="X3297" s="990"/>
    </row>
    <row r="3298" spans="1:24" s="896" customFormat="1">
      <c r="A3298" s="987">
        <f t="shared" si="52"/>
        <v>3224</v>
      </c>
      <c r="B3298" s="988">
        <v>4191</v>
      </c>
      <c r="C3298" s="899" t="s">
        <v>12624</v>
      </c>
      <c r="D3298" s="988" t="s">
        <v>2666</v>
      </c>
      <c r="E3298" s="989">
        <v>31.29</v>
      </c>
      <c r="F3298" s="990"/>
      <c r="G3298" s="990"/>
      <c r="H3298" s="990"/>
      <c r="I3298" s="990"/>
      <c r="J3298" s="990"/>
      <c r="K3298" s="990"/>
      <c r="L3298" s="990"/>
      <c r="M3298" s="990"/>
      <c r="N3298" s="990"/>
      <c r="O3298" s="990"/>
      <c r="P3298" s="990"/>
      <c r="Q3298" s="990"/>
      <c r="R3298" s="990"/>
      <c r="S3298" s="990"/>
      <c r="T3298" s="990"/>
      <c r="U3298" s="990"/>
      <c r="V3298" s="990"/>
      <c r="W3298" s="990"/>
      <c r="X3298" s="990"/>
    </row>
    <row r="3299" spans="1:24" s="896" customFormat="1">
      <c r="A3299" s="987">
        <f t="shared" si="52"/>
        <v>3225</v>
      </c>
      <c r="B3299" s="988">
        <v>4207</v>
      </c>
      <c r="C3299" s="899" t="s">
        <v>12625</v>
      </c>
      <c r="D3299" s="988" t="s">
        <v>2666</v>
      </c>
      <c r="E3299" s="989">
        <v>25.18</v>
      </c>
      <c r="F3299" s="990"/>
      <c r="G3299" s="990"/>
      <c r="H3299" s="990"/>
      <c r="I3299" s="990"/>
      <c r="J3299" s="990"/>
      <c r="K3299" s="990"/>
      <c r="L3299" s="990"/>
      <c r="M3299" s="990"/>
      <c r="N3299" s="990"/>
      <c r="O3299" s="990"/>
      <c r="P3299" s="990"/>
      <c r="Q3299" s="990"/>
      <c r="R3299" s="990"/>
      <c r="S3299" s="990"/>
      <c r="T3299" s="990"/>
      <c r="U3299" s="990"/>
      <c r="V3299" s="990"/>
      <c r="W3299" s="990"/>
      <c r="X3299" s="990"/>
    </row>
    <row r="3300" spans="1:24" s="896" customFormat="1">
      <c r="A3300" s="987">
        <f t="shared" si="52"/>
        <v>3226</v>
      </c>
      <c r="B3300" s="988">
        <v>4206</v>
      </c>
      <c r="C3300" s="899" t="s">
        <v>12626</v>
      </c>
      <c r="D3300" s="988" t="s">
        <v>2666</v>
      </c>
      <c r="E3300" s="989">
        <v>24.45</v>
      </c>
      <c r="F3300" s="990"/>
      <c r="G3300" s="990"/>
      <c r="H3300" s="990"/>
      <c r="I3300" s="990"/>
      <c r="J3300" s="990"/>
      <c r="K3300" s="990"/>
      <c r="L3300" s="990"/>
      <c r="M3300" s="990"/>
      <c r="N3300" s="990"/>
      <c r="O3300" s="990"/>
      <c r="P3300" s="990"/>
      <c r="Q3300" s="990"/>
      <c r="R3300" s="990"/>
      <c r="S3300" s="990"/>
      <c r="T3300" s="990"/>
      <c r="U3300" s="990"/>
      <c r="V3300" s="990"/>
      <c r="W3300" s="990"/>
      <c r="X3300" s="990"/>
    </row>
    <row r="3301" spans="1:24" s="896" customFormat="1">
      <c r="A3301" s="987">
        <f t="shared" si="52"/>
        <v>3227</v>
      </c>
      <c r="B3301" s="988">
        <v>4190</v>
      </c>
      <c r="C3301" s="899" t="s">
        <v>12627</v>
      </c>
      <c r="D3301" s="988" t="s">
        <v>2666</v>
      </c>
      <c r="E3301" s="989">
        <v>24.45</v>
      </c>
      <c r="F3301" s="990"/>
      <c r="G3301" s="990"/>
      <c r="H3301" s="990"/>
      <c r="I3301" s="990"/>
      <c r="J3301" s="990"/>
      <c r="K3301" s="990"/>
      <c r="L3301" s="990"/>
      <c r="M3301" s="990"/>
      <c r="N3301" s="990"/>
      <c r="O3301" s="990"/>
      <c r="P3301" s="990"/>
      <c r="Q3301" s="990"/>
      <c r="R3301" s="990"/>
      <c r="S3301" s="990"/>
      <c r="T3301" s="990"/>
      <c r="U3301" s="990"/>
      <c r="V3301" s="990"/>
      <c r="W3301" s="990"/>
      <c r="X3301" s="990"/>
    </row>
    <row r="3302" spans="1:24" s="896" customFormat="1">
      <c r="A3302" s="987">
        <f t="shared" si="52"/>
        <v>3228</v>
      </c>
      <c r="B3302" s="988">
        <v>4186</v>
      </c>
      <c r="C3302" s="899" t="s">
        <v>12628</v>
      </c>
      <c r="D3302" s="988" t="s">
        <v>2666</v>
      </c>
      <c r="E3302" s="989">
        <v>7.23</v>
      </c>
      <c r="F3302" s="990"/>
      <c r="G3302" s="990"/>
      <c r="H3302" s="990"/>
      <c r="I3302" s="990"/>
      <c r="J3302" s="990"/>
      <c r="K3302" s="990"/>
      <c r="L3302" s="990"/>
      <c r="M3302" s="990"/>
      <c r="N3302" s="990"/>
      <c r="O3302" s="990"/>
      <c r="P3302" s="990"/>
      <c r="Q3302" s="990"/>
      <c r="R3302" s="990"/>
      <c r="S3302" s="990"/>
      <c r="T3302" s="990"/>
      <c r="U3302" s="990"/>
      <c r="V3302" s="990"/>
      <c r="W3302" s="990"/>
      <c r="X3302" s="990"/>
    </row>
    <row r="3303" spans="1:24" s="896" customFormat="1">
      <c r="A3303" s="987">
        <f t="shared" si="52"/>
        <v>3229</v>
      </c>
      <c r="B3303" s="988">
        <v>4188</v>
      </c>
      <c r="C3303" s="899" t="s">
        <v>12629</v>
      </c>
      <c r="D3303" s="988" t="s">
        <v>2666</v>
      </c>
      <c r="E3303" s="989">
        <v>14.75</v>
      </c>
      <c r="F3303" s="990"/>
      <c r="G3303" s="990"/>
      <c r="H3303" s="990"/>
      <c r="I3303" s="990"/>
      <c r="J3303" s="990"/>
      <c r="K3303" s="990"/>
      <c r="L3303" s="990"/>
      <c r="M3303" s="990"/>
      <c r="N3303" s="990"/>
      <c r="O3303" s="990"/>
      <c r="P3303" s="990"/>
      <c r="Q3303" s="990"/>
      <c r="R3303" s="990"/>
      <c r="S3303" s="990"/>
      <c r="T3303" s="990"/>
      <c r="U3303" s="990"/>
      <c r="V3303" s="990"/>
      <c r="W3303" s="990"/>
      <c r="X3303" s="990"/>
    </row>
    <row r="3304" spans="1:24" s="896" customFormat="1">
      <c r="A3304" s="987">
        <f t="shared" si="52"/>
        <v>3230</v>
      </c>
      <c r="B3304" s="988">
        <v>4189</v>
      </c>
      <c r="C3304" s="899" t="s">
        <v>12630</v>
      </c>
      <c r="D3304" s="988" t="s">
        <v>2666</v>
      </c>
      <c r="E3304" s="989">
        <v>14.75</v>
      </c>
      <c r="F3304" s="990"/>
      <c r="G3304" s="990"/>
      <c r="H3304" s="990"/>
      <c r="I3304" s="990"/>
      <c r="J3304" s="990"/>
      <c r="K3304" s="990"/>
      <c r="L3304" s="990"/>
      <c r="M3304" s="990"/>
      <c r="N3304" s="990"/>
      <c r="O3304" s="990"/>
      <c r="P3304" s="990"/>
      <c r="Q3304" s="990"/>
      <c r="R3304" s="990"/>
      <c r="S3304" s="990"/>
      <c r="T3304" s="990"/>
      <c r="U3304" s="990"/>
      <c r="V3304" s="990"/>
      <c r="W3304" s="990"/>
      <c r="X3304" s="990"/>
    </row>
    <row r="3305" spans="1:24" s="896" customFormat="1">
      <c r="A3305" s="987">
        <f t="shared" si="52"/>
        <v>3231</v>
      </c>
      <c r="B3305" s="988">
        <v>4197</v>
      </c>
      <c r="C3305" s="899" t="s">
        <v>12631</v>
      </c>
      <c r="D3305" s="988" t="s">
        <v>2666</v>
      </c>
      <c r="E3305" s="989">
        <v>78.12</v>
      </c>
      <c r="F3305" s="990"/>
      <c r="G3305" s="990"/>
      <c r="H3305" s="990"/>
      <c r="I3305" s="990"/>
      <c r="J3305" s="990"/>
      <c r="K3305" s="990"/>
      <c r="L3305" s="990"/>
      <c r="M3305" s="990"/>
      <c r="N3305" s="990"/>
      <c r="O3305" s="990"/>
      <c r="P3305" s="990"/>
      <c r="Q3305" s="990"/>
      <c r="R3305" s="990"/>
      <c r="S3305" s="990"/>
      <c r="T3305" s="990"/>
      <c r="U3305" s="990"/>
      <c r="V3305" s="990"/>
      <c r="W3305" s="990"/>
      <c r="X3305" s="990"/>
    </row>
    <row r="3306" spans="1:24" s="896" customFormat="1">
      <c r="A3306" s="987">
        <f t="shared" si="52"/>
        <v>3232</v>
      </c>
      <c r="B3306" s="988">
        <v>4194</v>
      </c>
      <c r="C3306" s="899" t="s">
        <v>12632</v>
      </c>
      <c r="D3306" s="988" t="s">
        <v>2666</v>
      </c>
      <c r="E3306" s="989">
        <v>47.21</v>
      </c>
      <c r="F3306" s="990"/>
      <c r="G3306" s="990"/>
      <c r="H3306" s="990"/>
      <c r="I3306" s="990"/>
      <c r="J3306" s="990"/>
      <c r="K3306" s="990"/>
      <c r="L3306" s="990"/>
      <c r="M3306" s="990"/>
      <c r="N3306" s="990"/>
      <c r="O3306" s="990"/>
      <c r="P3306" s="990"/>
      <c r="Q3306" s="990"/>
      <c r="R3306" s="990"/>
      <c r="S3306" s="990"/>
      <c r="T3306" s="990"/>
      <c r="U3306" s="990"/>
      <c r="V3306" s="990"/>
      <c r="W3306" s="990"/>
      <c r="X3306" s="990"/>
    </row>
    <row r="3307" spans="1:24" s="896" customFormat="1">
      <c r="A3307" s="987">
        <f t="shared" si="52"/>
        <v>3233</v>
      </c>
      <c r="B3307" s="988">
        <v>4193</v>
      </c>
      <c r="C3307" s="899" t="s">
        <v>12633</v>
      </c>
      <c r="D3307" s="988" t="s">
        <v>2666</v>
      </c>
      <c r="E3307" s="989">
        <v>47.21</v>
      </c>
      <c r="F3307" s="990"/>
      <c r="G3307" s="990"/>
      <c r="H3307" s="990"/>
      <c r="I3307" s="990"/>
      <c r="J3307" s="990"/>
      <c r="K3307" s="990"/>
      <c r="L3307" s="990"/>
      <c r="M3307" s="990"/>
      <c r="N3307" s="990"/>
      <c r="O3307" s="990"/>
      <c r="P3307" s="990"/>
      <c r="Q3307" s="990"/>
      <c r="R3307" s="990"/>
      <c r="S3307" s="990"/>
      <c r="T3307" s="990"/>
      <c r="U3307" s="990"/>
      <c r="V3307" s="990"/>
      <c r="W3307" s="990"/>
      <c r="X3307" s="990"/>
    </row>
    <row r="3308" spans="1:24" s="896" customFormat="1">
      <c r="A3308" s="987">
        <f t="shared" si="52"/>
        <v>3234</v>
      </c>
      <c r="B3308" s="988">
        <v>4204</v>
      </c>
      <c r="C3308" s="899" t="s">
        <v>12634</v>
      </c>
      <c r="D3308" s="988" t="s">
        <v>2666</v>
      </c>
      <c r="E3308" s="989">
        <v>47.21</v>
      </c>
      <c r="F3308" s="990"/>
      <c r="G3308" s="990"/>
      <c r="H3308" s="990"/>
      <c r="I3308" s="990"/>
      <c r="J3308" s="990"/>
      <c r="K3308" s="990"/>
      <c r="L3308" s="990"/>
      <c r="M3308" s="990"/>
      <c r="N3308" s="990"/>
      <c r="O3308" s="990"/>
      <c r="P3308" s="990"/>
      <c r="Q3308" s="990"/>
      <c r="R3308" s="990"/>
      <c r="S3308" s="990"/>
      <c r="T3308" s="990"/>
      <c r="U3308" s="990"/>
      <c r="V3308" s="990"/>
      <c r="W3308" s="990"/>
      <c r="X3308" s="990"/>
    </row>
    <row r="3309" spans="1:24" s="896" customFormat="1">
      <c r="A3309" s="987">
        <f t="shared" si="52"/>
        <v>3235</v>
      </c>
      <c r="B3309" s="988">
        <v>4187</v>
      </c>
      <c r="C3309" s="899" t="s">
        <v>12635</v>
      </c>
      <c r="D3309" s="988" t="s">
        <v>2666</v>
      </c>
      <c r="E3309" s="989">
        <v>9.41</v>
      </c>
      <c r="F3309" s="990"/>
      <c r="G3309" s="990"/>
      <c r="H3309" s="990"/>
      <c r="I3309" s="990"/>
      <c r="J3309" s="990"/>
      <c r="K3309" s="990"/>
      <c r="L3309" s="990"/>
      <c r="M3309" s="990"/>
      <c r="N3309" s="990"/>
      <c r="O3309" s="990"/>
      <c r="P3309" s="990"/>
      <c r="Q3309" s="990"/>
      <c r="R3309" s="990"/>
      <c r="S3309" s="990"/>
      <c r="T3309" s="990"/>
      <c r="U3309" s="990"/>
      <c r="V3309" s="990"/>
      <c r="W3309" s="990"/>
      <c r="X3309" s="990"/>
    </row>
    <row r="3310" spans="1:24" s="896" customFormat="1">
      <c r="A3310" s="987">
        <f t="shared" si="52"/>
        <v>3236</v>
      </c>
      <c r="B3310" s="988">
        <v>4202</v>
      </c>
      <c r="C3310" s="899" t="s">
        <v>12636</v>
      </c>
      <c r="D3310" s="988" t="s">
        <v>2666</v>
      </c>
      <c r="E3310" s="989">
        <v>142.68</v>
      </c>
      <c r="F3310" s="990"/>
      <c r="G3310" s="990"/>
      <c r="H3310" s="990"/>
      <c r="I3310" s="990"/>
      <c r="J3310" s="990"/>
      <c r="K3310" s="990"/>
      <c r="L3310" s="990"/>
      <c r="M3310" s="990"/>
      <c r="N3310" s="990"/>
      <c r="O3310" s="990"/>
      <c r="P3310" s="990"/>
      <c r="Q3310" s="990"/>
      <c r="R3310" s="990"/>
      <c r="S3310" s="990"/>
      <c r="T3310" s="990"/>
      <c r="U3310" s="990"/>
      <c r="V3310" s="990"/>
      <c r="W3310" s="990"/>
      <c r="X3310" s="990"/>
    </row>
    <row r="3311" spans="1:24" s="896" customFormat="1">
      <c r="A3311" s="987">
        <f t="shared" si="52"/>
        <v>3237</v>
      </c>
      <c r="B3311" s="988">
        <v>4203</v>
      </c>
      <c r="C3311" s="899" t="s">
        <v>12637</v>
      </c>
      <c r="D3311" s="988" t="s">
        <v>2666</v>
      </c>
      <c r="E3311" s="989">
        <v>126.01</v>
      </c>
      <c r="F3311" s="990"/>
      <c r="G3311" s="990"/>
      <c r="H3311" s="990"/>
      <c r="I3311" s="990"/>
      <c r="J3311" s="990"/>
      <c r="K3311" s="990"/>
      <c r="L3311" s="990"/>
      <c r="M3311" s="990"/>
      <c r="N3311" s="990"/>
      <c r="O3311" s="990"/>
      <c r="P3311" s="990"/>
      <c r="Q3311" s="990"/>
      <c r="R3311" s="990"/>
      <c r="S3311" s="990"/>
      <c r="T3311" s="990"/>
      <c r="U3311" s="990"/>
      <c r="V3311" s="990"/>
      <c r="W3311" s="990"/>
      <c r="X3311" s="990"/>
    </row>
    <row r="3312" spans="1:24" s="896" customFormat="1">
      <c r="A3312" s="987">
        <f t="shared" si="52"/>
        <v>3238</v>
      </c>
      <c r="B3312" s="988">
        <v>40368</v>
      </c>
      <c r="C3312" s="899" t="s">
        <v>12638</v>
      </c>
      <c r="D3312" s="988" t="s">
        <v>2666</v>
      </c>
      <c r="E3312" s="989">
        <v>60.69</v>
      </c>
      <c r="F3312" s="990"/>
      <c r="G3312" s="990"/>
      <c r="H3312" s="990"/>
      <c r="I3312" s="990"/>
      <c r="J3312" s="990"/>
      <c r="K3312" s="990"/>
      <c r="L3312" s="990"/>
      <c r="M3312" s="990"/>
      <c r="N3312" s="990"/>
      <c r="O3312" s="990"/>
      <c r="P3312" s="990"/>
      <c r="Q3312" s="990"/>
      <c r="R3312" s="990"/>
      <c r="S3312" s="990"/>
      <c r="T3312" s="990"/>
      <c r="U3312" s="990"/>
      <c r="V3312" s="990"/>
      <c r="W3312" s="990"/>
      <c r="X3312" s="990"/>
    </row>
    <row r="3313" spans="1:24" s="896" customFormat="1">
      <c r="A3313" s="987">
        <f t="shared" si="52"/>
        <v>3239</v>
      </c>
      <c r="B3313" s="988">
        <v>40365</v>
      </c>
      <c r="C3313" s="899" t="s">
        <v>12639</v>
      </c>
      <c r="D3313" s="988" t="s">
        <v>2666</v>
      </c>
      <c r="E3313" s="989">
        <v>40.950000000000003</v>
      </c>
      <c r="F3313" s="990"/>
      <c r="G3313" s="990"/>
      <c r="H3313" s="990"/>
      <c r="I3313" s="990"/>
      <c r="J3313" s="990"/>
      <c r="K3313" s="990"/>
      <c r="L3313" s="990"/>
      <c r="M3313" s="990"/>
      <c r="N3313" s="990"/>
      <c r="O3313" s="990"/>
      <c r="P3313" s="990"/>
      <c r="Q3313" s="990"/>
      <c r="R3313" s="990"/>
      <c r="S3313" s="990"/>
      <c r="T3313" s="990"/>
      <c r="U3313" s="990"/>
      <c r="V3313" s="990"/>
      <c r="W3313" s="990"/>
      <c r="X3313" s="990"/>
    </row>
    <row r="3314" spans="1:24" s="896" customFormat="1">
      <c r="A3314" s="987">
        <f t="shared" si="52"/>
        <v>3240</v>
      </c>
      <c r="B3314" s="988">
        <v>40356</v>
      </c>
      <c r="C3314" s="899" t="s">
        <v>12640</v>
      </c>
      <c r="D3314" s="988" t="s">
        <v>2666</v>
      </c>
      <c r="E3314" s="989">
        <v>13.99</v>
      </c>
      <c r="F3314" s="990"/>
      <c r="G3314" s="990"/>
      <c r="H3314" s="990"/>
      <c r="I3314" s="990"/>
      <c r="J3314" s="990"/>
      <c r="K3314" s="990"/>
      <c r="L3314" s="990"/>
      <c r="M3314" s="990"/>
      <c r="N3314" s="990"/>
      <c r="O3314" s="990"/>
      <c r="P3314" s="990"/>
      <c r="Q3314" s="990"/>
      <c r="R3314" s="990"/>
      <c r="S3314" s="990"/>
      <c r="T3314" s="990"/>
      <c r="U3314" s="990"/>
      <c r="V3314" s="990"/>
      <c r="W3314" s="990"/>
      <c r="X3314" s="990"/>
    </row>
    <row r="3315" spans="1:24" s="896" customFormat="1">
      <c r="A3315" s="987">
        <f t="shared" si="52"/>
        <v>3241</v>
      </c>
      <c r="B3315" s="988">
        <v>40362</v>
      </c>
      <c r="C3315" s="899" t="s">
        <v>12641</v>
      </c>
      <c r="D3315" s="988" t="s">
        <v>2666</v>
      </c>
      <c r="E3315" s="989">
        <v>27.12</v>
      </c>
      <c r="F3315" s="990"/>
      <c r="G3315" s="990"/>
      <c r="H3315" s="990"/>
      <c r="I3315" s="990"/>
      <c r="J3315" s="990"/>
      <c r="K3315" s="990"/>
      <c r="L3315" s="990"/>
      <c r="M3315" s="990"/>
      <c r="N3315" s="990"/>
      <c r="O3315" s="990"/>
      <c r="P3315" s="990"/>
      <c r="Q3315" s="990"/>
      <c r="R3315" s="990"/>
      <c r="S3315" s="990"/>
      <c r="T3315" s="990"/>
      <c r="U3315" s="990"/>
      <c r="V3315" s="990"/>
      <c r="W3315" s="990"/>
      <c r="X3315" s="990"/>
    </row>
    <row r="3316" spans="1:24" s="896" customFormat="1">
      <c r="A3316" s="987">
        <f t="shared" si="52"/>
        <v>3242</v>
      </c>
      <c r="B3316" s="988">
        <v>40374</v>
      </c>
      <c r="C3316" s="899" t="s">
        <v>12642</v>
      </c>
      <c r="D3316" s="988" t="s">
        <v>2666</v>
      </c>
      <c r="E3316" s="989">
        <v>158.63</v>
      </c>
      <c r="F3316" s="990"/>
      <c r="G3316" s="990"/>
      <c r="H3316" s="990"/>
      <c r="I3316" s="990"/>
      <c r="J3316" s="990"/>
      <c r="K3316" s="990"/>
      <c r="L3316" s="990"/>
      <c r="M3316" s="990"/>
      <c r="N3316" s="990"/>
      <c r="O3316" s="990"/>
      <c r="P3316" s="990"/>
      <c r="Q3316" s="990"/>
      <c r="R3316" s="990"/>
      <c r="S3316" s="990"/>
      <c r="T3316" s="990"/>
      <c r="U3316" s="990"/>
      <c r="V3316" s="990"/>
      <c r="W3316" s="990"/>
      <c r="X3316" s="990"/>
    </row>
    <row r="3317" spans="1:24" s="896" customFormat="1">
      <c r="A3317" s="987">
        <f t="shared" si="52"/>
        <v>3243</v>
      </c>
      <c r="B3317" s="988">
        <v>40371</v>
      </c>
      <c r="C3317" s="899" t="s">
        <v>12643</v>
      </c>
      <c r="D3317" s="988" t="s">
        <v>2666</v>
      </c>
      <c r="E3317" s="989">
        <v>99.85</v>
      </c>
      <c r="F3317" s="990"/>
      <c r="G3317" s="990"/>
      <c r="H3317" s="990"/>
      <c r="I3317" s="990"/>
      <c r="J3317" s="990"/>
      <c r="K3317" s="990"/>
      <c r="L3317" s="990"/>
      <c r="M3317" s="990"/>
      <c r="N3317" s="990"/>
      <c r="O3317" s="990"/>
      <c r="P3317" s="990"/>
      <c r="Q3317" s="990"/>
      <c r="R3317" s="990"/>
      <c r="S3317" s="990"/>
      <c r="T3317" s="990"/>
      <c r="U3317" s="990"/>
      <c r="V3317" s="990"/>
      <c r="W3317" s="990"/>
      <c r="X3317" s="990"/>
    </row>
    <row r="3318" spans="1:24" s="896" customFormat="1">
      <c r="A3318" s="987">
        <f t="shared" si="52"/>
        <v>3244</v>
      </c>
      <c r="B3318" s="988">
        <v>40359</v>
      </c>
      <c r="C3318" s="899" t="s">
        <v>12644</v>
      </c>
      <c r="D3318" s="988" t="s">
        <v>2666</v>
      </c>
      <c r="E3318" s="989">
        <v>18.07</v>
      </c>
      <c r="F3318" s="990"/>
      <c r="G3318" s="990"/>
      <c r="H3318" s="990"/>
      <c r="I3318" s="990"/>
      <c r="J3318" s="990"/>
      <c r="K3318" s="990"/>
      <c r="L3318" s="990"/>
      <c r="M3318" s="990"/>
      <c r="N3318" s="990"/>
      <c r="O3318" s="990"/>
      <c r="P3318" s="990"/>
      <c r="Q3318" s="990"/>
      <c r="R3318" s="990"/>
      <c r="S3318" s="990"/>
      <c r="T3318" s="990"/>
      <c r="U3318" s="990"/>
      <c r="V3318" s="990"/>
      <c r="W3318" s="990"/>
      <c r="X3318" s="990"/>
    </row>
    <row r="3319" spans="1:24" s="896" customFormat="1">
      <c r="A3319" s="987">
        <f t="shared" si="52"/>
        <v>3245</v>
      </c>
      <c r="B3319" s="988">
        <v>7595</v>
      </c>
      <c r="C3319" s="899" t="s">
        <v>12645</v>
      </c>
      <c r="D3319" s="988" t="s">
        <v>2665</v>
      </c>
      <c r="E3319" s="989">
        <v>13.74</v>
      </c>
      <c r="F3319" s="990"/>
      <c r="G3319" s="990"/>
      <c r="H3319" s="990"/>
      <c r="I3319" s="990"/>
      <c r="J3319" s="990"/>
      <c r="K3319" s="990"/>
      <c r="L3319" s="990"/>
      <c r="M3319" s="990"/>
      <c r="N3319" s="990"/>
      <c r="O3319" s="990"/>
      <c r="P3319" s="990"/>
      <c r="Q3319" s="990"/>
      <c r="R3319" s="990"/>
      <c r="S3319" s="990"/>
      <c r="T3319" s="990"/>
      <c r="U3319" s="990"/>
      <c r="V3319" s="990"/>
      <c r="W3319" s="990"/>
      <c r="X3319" s="990"/>
    </row>
    <row r="3320" spans="1:24" s="896" customFormat="1">
      <c r="A3320" s="987">
        <f t="shared" si="52"/>
        <v>3246</v>
      </c>
      <c r="B3320" s="988">
        <v>41094</v>
      </c>
      <c r="C3320" s="899" t="s">
        <v>12646</v>
      </c>
      <c r="D3320" s="988" t="s">
        <v>2672</v>
      </c>
      <c r="E3320" s="989">
        <v>2415.87</v>
      </c>
      <c r="F3320" s="990"/>
      <c r="G3320" s="990"/>
      <c r="H3320" s="990"/>
      <c r="I3320" s="990"/>
      <c r="J3320" s="990"/>
      <c r="K3320" s="990"/>
      <c r="L3320" s="990"/>
      <c r="M3320" s="990"/>
      <c r="N3320" s="990"/>
      <c r="O3320" s="990"/>
      <c r="P3320" s="990"/>
      <c r="Q3320" s="990"/>
      <c r="R3320" s="990"/>
      <c r="S3320" s="990"/>
      <c r="T3320" s="990"/>
      <c r="U3320" s="990"/>
      <c r="V3320" s="990"/>
      <c r="W3320" s="990"/>
      <c r="X3320" s="990"/>
    </row>
    <row r="3321" spans="1:24" s="896" customFormat="1" ht="25.5">
      <c r="A3321" s="987">
        <f t="shared" si="52"/>
        <v>3247</v>
      </c>
      <c r="B3321" s="988">
        <v>39609</v>
      </c>
      <c r="C3321" s="899" t="s">
        <v>12647</v>
      </c>
      <c r="D3321" s="988" t="s">
        <v>2666</v>
      </c>
      <c r="E3321" s="989">
        <v>73618.8</v>
      </c>
      <c r="F3321" s="990"/>
      <c r="G3321" s="990"/>
      <c r="H3321" s="990"/>
      <c r="I3321" s="990"/>
      <c r="J3321" s="990"/>
      <c r="K3321" s="990"/>
      <c r="L3321" s="990"/>
      <c r="M3321" s="990"/>
      <c r="N3321" s="990"/>
      <c r="O3321" s="990"/>
      <c r="P3321" s="990"/>
      <c r="Q3321" s="990"/>
      <c r="R3321" s="990"/>
      <c r="S3321" s="990"/>
      <c r="T3321" s="990"/>
      <c r="U3321" s="990"/>
      <c r="V3321" s="990"/>
      <c r="W3321" s="990"/>
      <c r="X3321" s="990"/>
    </row>
    <row r="3322" spans="1:24" s="896" customFormat="1" ht="25.5">
      <c r="A3322" s="987">
        <f t="shared" si="52"/>
        <v>3248</v>
      </c>
      <c r="B3322" s="988">
        <v>39610</v>
      </c>
      <c r="C3322" s="899" t="s">
        <v>12648</v>
      </c>
      <c r="D3322" s="988" t="s">
        <v>2666</v>
      </c>
      <c r="E3322" s="989">
        <v>107460.49</v>
      </c>
      <c r="F3322" s="990"/>
      <c r="G3322" s="990"/>
      <c r="H3322" s="990"/>
      <c r="I3322" s="990"/>
      <c r="J3322" s="990"/>
      <c r="K3322" s="990"/>
      <c r="L3322" s="990"/>
      <c r="M3322" s="990"/>
      <c r="N3322" s="990"/>
      <c r="O3322" s="990"/>
      <c r="P3322" s="990"/>
      <c r="Q3322" s="990"/>
      <c r="R3322" s="990"/>
      <c r="S3322" s="990"/>
      <c r="T3322" s="990"/>
      <c r="U3322" s="990"/>
      <c r="V3322" s="990"/>
      <c r="W3322" s="990"/>
      <c r="X3322" s="990"/>
    </row>
    <row r="3323" spans="1:24" s="896" customFormat="1" ht="25.5">
      <c r="A3323" s="987">
        <f t="shared" si="52"/>
        <v>3249</v>
      </c>
      <c r="B3323" s="988">
        <v>39611</v>
      </c>
      <c r="C3323" s="899" t="s">
        <v>12649</v>
      </c>
      <c r="D3323" s="988" t="s">
        <v>2666</v>
      </c>
      <c r="E3323" s="989">
        <v>130044.78</v>
      </c>
      <c r="F3323" s="990"/>
      <c r="G3323" s="990"/>
      <c r="H3323" s="990"/>
      <c r="I3323" s="990"/>
      <c r="J3323" s="990"/>
      <c r="K3323" s="990"/>
      <c r="L3323" s="990"/>
      <c r="M3323" s="990"/>
      <c r="N3323" s="990"/>
      <c r="O3323" s="990"/>
      <c r="P3323" s="990"/>
      <c r="Q3323" s="990"/>
      <c r="R3323" s="990"/>
      <c r="S3323" s="990"/>
      <c r="T3323" s="990"/>
      <c r="U3323" s="990"/>
      <c r="V3323" s="990"/>
      <c r="W3323" s="990"/>
      <c r="X3323" s="990"/>
    </row>
    <row r="3324" spans="1:24" s="896" customFormat="1" ht="25.5">
      <c r="A3324" s="987">
        <f t="shared" si="52"/>
        <v>3250</v>
      </c>
      <c r="B3324" s="988">
        <v>39612</v>
      </c>
      <c r="C3324" s="899" t="s">
        <v>12650</v>
      </c>
      <c r="D3324" s="988" t="s">
        <v>2666</v>
      </c>
      <c r="E3324" s="989">
        <v>203718.08</v>
      </c>
      <c r="F3324" s="990"/>
      <c r="G3324" s="990"/>
      <c r="H3324" s="990"/>
      <c r="I3324" s="990"/>
      <c r="J3324" s="990"/>
      <c r="K3324" s="990"/>
      <c r="L3324" s="990"/>
      <c r="M3324" s="990"/>
      <c r="N3324" s="990"/>
      <c r="O3324" s="990"/>
      <c r="P3324" s="990"/>
      <c r="Q3324" s="990"/>
      <c r="R3324" s="990"/>
      <c r="S3324" s="990"/>
      <c r="T3324" s="990"/>
      <c r="U3324" s="990"/>
      <c r="V3324" s="990"/>
      <c r="W3324" s="990"/>
      <c r="X3324" s="990"/>
    </row>
    <row r="3325" spans="1:24" s="896" customFormat="1" ht="25.5">
      <c r="A3325" s="987">
        <f t="shared" si="52"/>
        <v>3251</v>
      </c>
      <c r="B3325" s="988">
        <v>39608</v>
      </c>
      <c r="C3325" s="899" t="s">
        <v>12651</v>
      </c>
      <c r="D3325" s="988" t="s">
        <v>2666</v>
      </c>
      <c r="E3325" s="989">
        <v>58864.82</v>
      </c>
      <c r="F3325" s="990"/>
      <c r="G3325" s="990"/>
      <c r="H3325" s="990"/>
      <c r="I3325" s="990"/>
      <c r="J3325" s="990"/>
      <c r="K3325" s="990"/>
      <c r="L3325" s="990"/>
      <c r="M3325" s="990"/>
      <c r="N3325" s="990"/>
      <c r="O3325" s="990"/>
      <c r="P3325" s="990"/>
      <c r="Q3325" s="990"/>
      <c r="R3325" s="990"/>
      <c r="S3325" s="990"/>
      <c r="T3325" s="990"/>
      <c r="U3325" s="990"/>
      <c r="V3325" s="990"/>
      <c r="W3325" s="990"/>
      <c r="X3325" s="990"/>
    </row>
    <row r="3326" spans="1:24" s="896" customFormat="1" ht="25.5">
      <c r="A3326" s="987">
        <f t="shared" si="52"/>
        <v>3252</v>
      </c>
      <c r="B3326" s="988">
        <v>38175</v>
      </c>
      <c r="C3326" s="899" t="s">
        <v>12652</v>
      </c>
      <c r="D3326" s="988" t="s">
        <v>2666</v>
      </c>
      <c r="E3326" s="989">
        <v>4.6399999999999997</v>
      </c>
      <c r="F3326" s="990"/>
      <c r="G3326" s="990"/>
      <c r="H3326" s="990"/>
      <c r="I3326" s="990"/>
      <c r="J3326" s="990"/>
      <c r="K3326" s="990"/>
      <c r="L3326" s="990"/>
      <c r="M3326" s="990"/>
      <c r="N3326" s="990"/>
      <c r="O3326" s="990"/>
      <c r="P3326" s="990"/>
      <c r="Q3326" s="990"/>
      <c r="R3326" s="990"/>
      <c r="S3326" s="990"/>
      <c r="T3326" s="990"/>
      <c r="U3326" s="990"/>
      <c r="V3326" s="990"/>
      <c r="W3326" s="990"/>
      <c r="X3326" s="990"/>
    </row>
    <row r="3327" spans="1:24" s="896" customFormat="1" ht="25.5">
      <c r="A3327" s="987">
        <f t="shared" si="52"/>
        <v>3253</v>
      </c>
      <c r="B3327" s="988">
        <v>38176</v>
      </c>
      <c r="C3327" s="899" t="s">
        <v>12653</v>
      </c>
      <c r="D3327" s="988" t="s">
        <v>2666</v>
      </c>
      <c r="E3327" s="989">
        <v>13.66</v>
      </c>
      <c r="F3327" s="990"/>
      <c r="G3327" s="990"/>
      <c r="H3327" s="990"/>
      <c r="I3327" s="990"/>
      <c r="J3327" s="990"/>
      <c r="K3327" s="990"/>
      <c r="L3327" s="990"/>
      <c r="M3327" s="990"/>
      <c r="N3327" s="990"/>
      <c r="O3327" s="990"/>
      <c r="P3327" s="990"/>
      <c r="Q3327" s="990"/>
      <c r="R3327" s="990"/>
      <c r="S3327" s="990"/>
      <c r="T3327" s="990"/>
      <c r="U3327" s="990"/>
      <c r="V3327" s="990"/>
      <c r="W3327" s="990"/>
      <c r="X3327" s="990"/>
    </row>
    <row r="3328" spans="1:24" s="896" customFormat="1" ht="25.5">
      <c r="A3328" s="987">
        <f t="shared" si="52"/>
        <v>3254</v>
      </c>
      <c r="B3328" s="988">
        <v>36152</v>
      </c>
      <c r="C3328" s="899" t="s">
        <v>12654</v>
      </c>
      <c r="D3328" s="988" t="s">
        <v>2666</v>
      </c>
      <c r="E3328" s="989">
        <v>7.8</v>
      </c>
      <c r="F3328" s="990"/>
      <c r="G3328" s="990"/>
      <c r="H3328" s="990"/>
      <c r="I3328" s="990"/>
      <c r="J3328" s="990"/>
      <c r="K3328" s="990"/>
      <c r="L3328" s="990"/>
      <c r="M3328" s="990"/>
      <c r="N3328" s="990"/>
      <c r="O3328" s="990"/>
      <c r="P3328" s="990"/>
      <c r="Q3328" s="990"/>
      <c r="R3328" s="990"/>
      <c r="S3328" s="990"/>
      <c r="T3328" s="990"/>
      <c r="U3328" s="990"/>
      <c r="V3328" s="990"/>
      <c r="W3328" s="990"/>
      <c r="X3328" s="990"/>
    </row>
    <row r="3329" spans="1:24" s="896" customFormat="1">
      <c r="A3329" s="987">
        <f t="shared" si="52"/>
        <v>3255</v>
      </c>
      <c r="B3329" s="988">
        <v>11138</v>
      </c>
      <c r="C3329" s="899" t="s">
        <v>12655</v>
      </c>
      <c r="D3329" s="988" t="s">
        <v>2671</v>
      </c>
      <c r="E3329" s="989">
        <v>4.7</v>
      </c>
      <c r="F3329" s="990"/>
      <c r="G3329" s="990"/>
      <c r="H3329" s="990"/>
      <c r="I3329" s="990"/>
      <c r="J3329" s="990"/>
      <c r="K3329" s="990"/>
      <c r="L3329" s="990"/>
      <c r="M3329" s="990"/>
      <c r="N3329" s="990"/>
      <c r="O3329" s="990"/>
      <c r="P3329" s="990"/>
      <c r="Q3329" s="990"/>
      <c r="R3329" s="990"/>
      <c r="S3329" s="990"/>
      <c r="T3329" s="990"/>
      <c r="U3329" s="990"/>
      <c r="V3329" s="990"/>
      <c r="W3329" s="990"/>
      <c r="X3329" s="990"/>
    </row>
    <row r="3330" spans="1:24" s="896" customFormat="1">
      <c r="A3330" s="987">
        <f t="shared" si="52"/>
        <v>3256</v>
      </c>
      <c r="B3330" s="988">
        <v>4221</v>
      </c>
      <c r="C3330" s="899" t="s">
        <v>12656</v>
      </c>
      <c r="D3330" s="988" t="s">
        <v>2671</v>
      </c>
      <c r="E3330" s="989">
        <v>7.31</v>
      </c>
      <c r="F3330" s="990"/>
      <c r="G3330" s="990"/>
      <c r="H3330" s="990"/>
      <c r="I3330" s="990"/>
      <c r="J3330" s="990"/>
      <c r="K3330" s="990"/>
      <c r="L3330" s="990"/>
      <c r="M3330" s="990"/>
      <c r="N3330" s="990"/>
      <c r="O3330" s="990"/>
      <c r="P3330" s="990"/>
      <c r="Q3330" s="990"/>
      <c r="R3330" s="990"/>
      <c r="S3330" s="990"/>
      <c r="T3330" s="990"/>
      <c r="U3330" s="990"/>
      <c r="V3330" s="990"/>
      <c r="W3330" s="990"/>
      <c r="X3330" s="990"/>
    </row>
    <row r="3331" spans="1:24" s="896" customFormat="1" ht="25.5">
      <c r="A3331" s="987">
        <f t="shared" si="52"/>
        <v>3257</v>
      </c>
      <c r="B3331" s="988">
        <v>4227</v>
      </c>
      <c r="C3331" s="899" t="s">
        <v>12657</v>
      </c>
      <c r="D3331" s="988" t="s">
        <v>2671</v>
      </c>
      <c r="E3331" s="989">
        <v>30.89</v>
      </c>
      <c r="F3331" s="990"/>
      <c r="G3331" s="990"/>
      <c r="H3331" s="990"/>
      <c r="I3331" s="990"/>
      <c r="J3331" s="990"/>
      <c r="K3331" s="990"/>
      <c r="L3331" s="990"/>
      <c r="M3331" s="990"/>
      <c r="N3331" s="990"/>
      <c r="O3331" s="990"/>
      <c r="P3331" s="990"/>
      <c r="Q3331" s="990"/>
      <c r="R3331" s="990"/>
      <c r="S3331" s="990"/>
      <c r="T3331" s="990"/>
      <c r="U3331" s="990"/>
      <c r="V3331" s="990"/>
      <c r="W3331" s="990"/>
      <c r="X3331" s="990"/>
    </row>
    <row r="3332" spans="1:24" s="896" customFormat="1" ht="25.5">
      <c r="A3332" s="987">
        <f t="shared" si="52"/>
        <v>3258</v>
      </c>
      <c r="B3332" s="988">
        <v>38170</v>
      </c>
      <c r="C3332" s="899" t="s">
        <v>12658</v>
      </c>
      <c r="D3332" s="988" t="s">
        <v>2666</v>
      </c>
      <c r="E3332" s="989">
        <v>20.3</v>
      </c>
      <c r="F3332" s="990"/>
      <c r="G3332" s="990"/>
      <c r="H3332" s="990"/>
      <c r="I3332" s="990"/>
      <c r="J3332" s="990"/>
      <c r="K3332" s="990"/>
      <c r="L3332" s="990"/>
      <c r="M3332" s="990"/>
      <c r="N3332" s="990"/>
      <c r="O3332" s="990"/>
      <c r="P3332" s="990"/>
      <c r="Q3332" s="990"/>
      <c r="R3332" s="990"/>
      <c r="S3332" s="990"/>
      <c r="T3332" s="990"/>
      <c r="U3332" s="990"/>
      <c r="V3332" s="990"/>
      <c r="W3332" s="990"/>
      <c r="X3332" s="990"/>
    </row>
    <row r="3333" spans="1:24" s="896" customFormat="1">
      <c r="A3333" s="987">
        <f t="shared" si="52"/>
        <v>3259</v>
      </c>
      <c r="B3333" s="988">
        <v>4252</v>
      </c>
      <c r="C3333" s="899" t="s">
        <v>12659</v>
      </c>
      <c r="D3333" s="988" t="s">
        <v>2665</v>
      </c>
      <c r="E3333" s="989">
        <v>21.87</v>
      </c>
      <c r="F3333" s="990"/>
      <c r="G3333" s="990"/>
      <c r="H3333" s="990"/>
      <c r="I3333" s="990"/>
      <c r="J3333" s="990"/>
      <c r="K3333" s="990"/>
      <c r="L3333" s="990"/>
      <c r="M3333" s="990"/>
      <c r="N3333" s="990"/>
      <c r="O3333" s="990"/>
      <c r="P3333" s="990"/>
      <c r="Q3333" s="990"/>
      <c r="R3333" s="990"/>
      <c r="S3333" s="990"/>
      <c r="T3333" s="990"/>
      <c r="U3333" s="990"/>
      <c r="V3333" s="990"/>
      <c r="W3333" s="990"/>
      <c r="X3333" s="990"/>
    </row>
    <row r="3334" spans="1:24" s="896" customFormat="1">
      <c r="A3334" s="987">
        <f t="shared" si="52"/>
        <v>3260</v>
      </c>
      <c r="B3334" s="988">
        <v>40980</v>
      </c>
      <c r="C3334" s="899" t="s">
        <v>12660</v>
      </c>
      <c r="D3334" s="988" t="s">
        <v>2672</v>
      </c>
      <c r="E3334" s="989">
        <v>3845.93</v>
      </c>
      <c r="F3334" s="990"/>
      <c r="G3334" s="990"/>
      <c r="H3334" s="990"/>
      <c r="I3334" s="990"/>
      <c r="J3334" s="990"/>
      <c r="K3334" s="990"/>
      <c r="L3334" s="990"/>
      <c r="M3334" s="990"/>
      <c r="N3334" s="990"/>
      <c r="O3334" s="990"/>
      <c r="P3334" s="990"/>
      <c r="Q3334" s="990"/>
      <c r="R3334" s="990"/>
      <c r="S3334" s="990"/>
      <c r="T3334" s="990"/>
      <c r="U3334" s="990"/>
      <c r="V3334" s="990"/>
      <c r="W3334" s="990"/>
      <c r="X3334" s="990"/>
    </row>
    <row r="3335" spans="1:24" s="896" customFormat="1">
      <c r="A3335" s="987">
        <f t="shared" si="52"/>
        <v>3261</v>
      </c>
      <c r="B3335" s="988">
        <v>4243</v>
      </c>
      <c r="C3335" s="899" t="s">
        <v>12661</v>
      </c>
      <c r="D3335" s="988" t="s">
        <v>2665</v>
      </c>
      <c r="E3335" s="989">
        <v>18.09</v>
      </c>
      <c r="F3335" s="990"/>
      <c r="G3335" s="990"/>
      <c r="H3335" s="990"/>
      <c r="I3335" s="990"/>
      <c r="J3335" s="990"/>
      <c r="K3335" s="990"/>
      <c r="L3335" s="990"/>
      <c r="M3335" s="990"/>
      <c r="N3335" s="990"/>
      <c r="O3335" s="990"/>
      <c r="P3335" s="990"/>
      <c r="Q3335" s="990"/>
      <c r="R3335" s="990"/>
      <c r="S3335" s="990"/>
      <c r="T3335" s="990"/>
      <c r="U3335" s="990"/>
      <c r="V3335" s="990"/>
      <c r="W3335" s="990"/>
      <c r="X3335" s="990"/>
    </row>
    <row r="3336" spans="1:24" s="896" customFormat="1">
      <c r="A3336" s="987">
        <f t="shared" si="52"/>
        <v>3262</v>
      </c>
      <c r="B3336" s="988">
        <v>41031</v>
      </c>
      <c r="C3336" s="899" t="s">
        <v>12662</v>
      </c>
      <c r="D3336" s="988" t="s">
        <v>2672</v>
      </c>
      <c r="E3336" s="989">
        <v>3182.32</v>
      </c>
      <c r="F3336" s="990"/>
      <c r="G3336" s="990"/>
      <c r="H3336" s="990"/>
      <c r="I3336" s="990"/>
      <c r="J3336" s="990"/>
      <c r="K3336" s="990"/>
      <c r="L3336" s="990"/>
      <c r="M3336" s="990"/>
      <c r="N3336" s="990"/>
      <c r="O3336" s="990"/>
      <c r="P3336" s="990"/>
      <c r="Q3336" s="990"/>
      <c r="R3336" s="990"/>
      <c r="S3336" s="990"/>
      <c r="T3336" s="990"/>
      <c r="U3336" s="990"/>
      <c r="V3336" s="990"/>
      <c r="W3336" s="990"/>
      <c r="X3336" s="990"/>
    </row>
    <row r="3337" spans="1:24" s="896" customFormat="1">
      <c r="A3337" s="987">
        <f t="shared" si="52"/>
        <v>3263</v>
      </c>
      <c r="B3337" s="988">
        <v>37666</v>
      </c>
      <c r="C3337" s="899" t="s">
        <v>12663</v>
      </c>
      <c r="D3337" s="988" t="s">
        <v>2665</v>
      </c>
      <c r="E3337" s="989">
        <v>17.46</v>
      </c>
      <c r="F3337" s="990"/>
      <c r="G3337" s="990"/>
      <c r="H3337" s="990"/>
      <c r="I3337" s="990"/>
      <c r="J3337" s="990"/>
      <c r="K3337" s="990"/>
      <c r="L3337" s="990"/>
      <c r="M3337" s="990"/>
      <c r="N3337" s="990"/>
      <c r="O3337" s="990"/>
      <c r="P3337" s="990"/>
      <c r="Q3337" s="990"/>
      <c r="R3337" s="990"/>
      <c r="S3337" s="990"/>
      <c r="T3337" s="990"/>
      <c r="U3337" s="990"/>
      <c r="V3337" s="990"/>
      <c r="W3337" s="990"/>
      <c r="X3337" s="990"/>
    </row>
    <row r="3338" spans="1:24" s="896" customFormat="1">
      <c r="A3338" s="987">
        <f t="shared" si="52"/>
        <v>3264</v>
      </c>
      <c r="B3338" s="988">
        <v>40986</v>
      </c>
      <c r="C3338" s="899" t="s">
        <v>12664</v>
      </c>
      <c r="D3338" s="988" t="s">
        <v>2672</v>
      </c>
      <c r="E3338" s="989">
        <v>3071.06</v>
      </c>
      <c r="F3338" s="990"/>
      <c r="G3338" s="990"/>
      <c r="H3338" s="990"/>
      <c r="I3338" s="990"/>
      <c r="J3338" s="990"/>
      <c r="K3338" s="990"/>
      <c r="L3338" s="990"/>
      <c r="M3338" s="990"/>
      <c r="N3338" s="990"/>
      <c r="O3338" s="990"/>
      <c r="P3338" s="990"/>
      <c r="Q3338" s="990"/>
      <c r="R3338" s="990"/>
      <c r="S3338" s="990"/>
      <c r="T3338" s="990"/>
      <c r="U3338" s="990"/>
      <c r="V3338" s="990"/>
      <c r="W3338" s="990"/>
      <c r="X3338" s="990"/>
    </row>
    <row r="3339" spans="1:24" s="896" customFormat="1">
      <c r="A3339" s="987">
        <f t="shared" si="52"/>
        <v>3265</v>
      </c>
      <c r="B3339" s="988">
        <v>4250</v>
      </c>
      <c r="C3339" s="899" t="s">
        <v>12665</v>
      </c>
      <c r="D3339" s="988" t="s">
        <v>2665</v>
      </c>
      <c r="E3339" s="989">
        <v>19.72</v>
      </c>
      <c r="F3339" s="990"/>
      <c r="G3339" s="990"/>
      <c r="H3339" s="990"/>
      <c r="I3339" s="990"/>
      <c r="J3339" s="990"/>
      <c r="K3339" s="990"/>
      <c r="L3339" s="990"/>
      <c r="M3339" s="990"/>
      <c r="N3339" s="990"/>
      <c r="O3339" s="990"/>
      <c r="P3339" s="990"/>
      <c r="Q3339" s="990"/>
      <c r="R3339" s="990"/>
      <c r="S3339" s="990"/>
      <c r="T3339" s="990"/>
      <c r="U3339" s="990"/>
      <c r="V3339" s="990"/>
      <c r="W3339" s="990"/>
      <c r="X3339" s="990"/>
    </row>
    <row r="3340" spans="1:24" s="896" customFormat="1">
      <c r="A3340" s="987">
        <f t="shared" ref="A3340:A3403" si="53">A3339+1</f>
        <v>3266</v>
      </c>
      <c r="B3340" s="988">
        <v>40978</v>
      </c>
      <c r="C3340" s="899" t="s">
        <v>12666</v>
      </c>
      <c r="D3340" s="988" t="s">
        <v>2672</v>
      </c>
      <c r="E3340" s="989">
        <v>3469.02</v>
      </c>
      <c r="F3340" s="990"/>
      <c r="G3340" s="990"/>
      <c r="H3340" s="990"/>
      <c r="I3340" s="990"/>
      <c r="J3340" s="990"/>
      <c r="K3340" s="990"/>
      <c r="L3340" s="990"/>
      <c r="M3340" s="990"/>
      <c r="N3340" s="990"/>
      <c r="O3340" s="990"/>
      <c r="P3340" s="990"/>
      <c r="Q3340" s="990"/>
      <c r="R3340" s="990"/>
      <c r="S3340" s="990"/>
      <c r="T3340" s="990"/>
      <c r="U3340" s="990"/>
      <c r="V3340" s="990"/>
      <c r="W3340" s="990"/>
      <c r="X3340" s="990"/>
    </row>
    <row r="3341" spans="1:24" s="896" customFormat="1">
      <c r="A3341" s="987">
        <f t="shared" si="53"/>
        <v>3267</v>
      </c>
      <c r="B3341" s="988">
        <v>41043</v>
      </c>
      <c r="C3341" s="899" t="s">
        <v>12667</v>
      </c>
      <c r="D3341" s="988" t="s">
        <v>2672</v>
      </c>
      <c r="E3341" s="989">
        <v>3916.71</v>
      </c>
      <c r="F3341" s="990"/>
      <c r="G3341" s="990"/>
      <c r="H3341" s="990"/>
      <c r="I3341" s="990"/>
      <c r="J3341" s="990"/>
      <c r="K3341" s="990"/>
      <c r="L3341" s="990"/>
      <c r="M3341" s="990"/>
      <c r="N3341" s="990"/>
      <c r="O3341" s="990"/>
      <c r="P3341" s="990"/>
      <c r="Q3341" s="990"/>
      <c r="R3341" s="990"/>
      <c r="S3341" s="990"/>
      <c r="T3341" s="990"/>
      <c r="U3341" s="990"/>
      <c r="V3341" s="990"/>
      <c r="W3341" s="990"/>
      <c r="X3341" s="990"/>
    </row>
    <row r="3342" spans="1:24" s="896" customFormat="1">
      <c r="A3342" s="987">
        <f t="shared" si="53"/>
        <v>3268</v>
      </c>
      <c r="B3342" s="988">
        <v>44501</v>
      </c>
      <c r="C3342" s="899" t="s">
        <v>12668</v>
      </c>
      <c r="D3342" s="988" t="s">
        <v>2665</v>
      </c>
      <c r="E3342" s="989">
        <v>22.28</v>
      </c>
      <c r="F3342" s="990"/>
      <c r="G3342" s="990"/>
      <c r="H3342" s="990"/>
      <c r="I3342" s="990"/>
      <c r="J3342" s="990"/>
      <c r="K3342" s="990"/>
      <c r="L3342" s="990"/>
      <c r="M3342" s="990"/>
      <c r="N3342" s="990"/>
      <c r="O3342" s="990"/>
      <c r="P3342" s="990"/>
      <c r="Q3342" s="990"/>
      <c r="R3342" s="990"/>
      <c r="S3342" s="990"/>
      <c r="T3342" s="990"/>
      <c r="U3342" s="990"/>
      <c r="V3342" s="990"/>
      <c r="W3342" s="990"/>
      <c r="X3342" s="990"/>
    </row>
    <row r="3343" spans="1:24" s="896" customFormat="1">
      <c r="A3343" s="987">
        <f t="shared" si="53"/>
        <v>3269</v>
      </c>
      <c r="B3343" s="988">
        <v>4234</v>
      </c>
      <c r="C3343" s="899" t="s">
        <v>12669</v>
      </c>
      <c r="D3343" s="988" t="s">
        <v>2665</v>
      </c>
      <c r="E3343" s="989">
        <v>24.41</v>
      </c>
      <c r="F3343" s="990"/>
      <c r="G3343" s="990"/>
      <c r="H3343" s="990"/>
      <c r="I3343" s="990"/>
      <c r="J3343" s="990"/>
      <c r="K3343" s="990"/>
      <c r="L3343" s="990"/>
      <c r="M3343" s="990"/>
      <c r="N3343" s="990"/>
      <c r="O3343" s="990"/>
      <c r="P3343" s="990"/>
      <c r="Q3343" s="990"/>
      <c r="R3343" s="990"/>
      <c r="S3343" s="990"/>
      <c r="T3343" s="990"/>
      <c r="U3343" s="990"/>
      <c r="V3343" s="990"/>
      <c r="W3343" s="990"/>
      <c r="X3343" s="990"/>
    </row>
    <row r="3344" spans="1:24" s="896" customFormat="1">
      <c r="A3344" s="987">
        <f t="shared" si="53"/>
        <v>3270</v>
      </c>
      <c r="B3344" s="988">
        <v>40987</v>
      </c>
      <c r="C3344" s="899" t="s">
        <v>12670</v>
      </c>
      <c r="D3344" s="988" t="s">
        <v>2672</v>
      </c>
      <c r="E3344" s="989">
        <v>4290.59</v>
      </c>
      <c r="F3344" s="990"/>
      <c r="G3344" s="990"/>
      <c r="H3344" s="990"/>
      <c r="I3344" s="990"/>
      <c r="J3344" s="990"/>
      <c r="K3344" s="990"/>
      <c r="L3344" s="990"/>
      <c r="M3344" s="990"/>
      <c r="N3344" s="990"/>
      <c r="O3344" s="990"/>
      <c r="P3344" s="990"/>
      <c r="Q3344" s="990"/>
      <c r="R3344" s="990"/>
      <c r="S3344" s="990"/>
      <c r="T3344" s="990"/>
      <c r="U3344" s="990"/>
      <c r="V3344" s="990"/>
      <c r="W3344" s="990"/>
      <c r="X3344" s="990"/>
    </row>
    <row r="3345" spans="1:24" s="896" customFormat="1">
      <c r="A3345" s="987">
        <f t="shared" si="53"/>
        <v>3271</v>
      </c>
      <c r="B3345" s="988">
        <v>4253</v>
      </c>
      <c r="C3345" s="899" t="s">
        <v>12671</v>
      </c>
      <c r="D3345" s="988" t="s">
        <v>2665</v>
      </c>
      <c r="E3345" s="989">
        <v>22.41</v>
      </c>
      <c r="F3345" s="990"/>
      <c r="G3345" s="990"/>
      <c r="H3345" s="990"/>
      <c r="I3345" s="990"/>
      <c r="J3345" s="990"/>
      <c r="K3345" s="990"/>
      <c r="L3345" s="990"/>
      <c r="M3345" s="990"/>
      <c r="N3345" s="990"/>
      <c r="O3345" s="990"/>
      <c r="P3345" s="990"/>
      <c r="Q3345" s="990"/>
      <c r="R3345" s="990"/>
      <c r="S3345" s="990"/>
      <c r="T3345" s="990"/>
      <c r="U3345" s="990"/>
      <c r="V3345" s="990"/>
      <c r="W3345" s="990"/>
      <c r="X3345" s="990"/>
    </row>
    <row r="3346" spans="1:24" s="896" customFormat="1">
      <c r="A3346" s="987">
        <f t="shared" si="53"/>
        <v>3272</v>
      </c>
      <c r="B3346" s="988">
        <v>40981</v>
      </c>
      <c r="C3346" s="899" t="s">
        <v>12672</v>
      </c>
      <c r="D3346" s="988" t="s">
        <v>2672</v>
      </c>
      <c r="E3346" s="989">
        <v>3941.48</v>
      </c>
      <c r="F3346" s="990"/>
      <c r="G3346" s="990"/>
      <c r="H3346" s="990"/>
      <c r="I3346" s="990"/>
      <c r="J3346" s="990"/>
      <c r="K3346" s="990"/>
      <c r="L3346" s="990"/>
      <c r="M3346" s="990"/>
      <c r="N3346" s="990"/>
      <c r="O3346" s="990"/>
      <c r="P3346" s="990"/>
      <c r="Q3346" s="990"/>
      <c r="R3346" s="990"/>
      <c r="S3346" s="990"/>
      <c r="T3346" s="990"/>
      <c r="U3346" s="990"/>
      <c r="V3346" s="990"/>
      <c r="W3346" s="990"/>
      <c r="X3346" s="990"/>
    </row>
    <row r="3347" spans="1:24" s="896" customFormat="1">
      <c r="A3347" s="987">
        <f t="shared" si="53"/>
        <v>3273</v>
      </c>
      <c r="B3347" s="988">
        <v>4254</v>
      </c>
      <c r="C3347" s="899" t="s">
        <v>12673</v>
      </c>
      <c r="D3347" s="988" t="s">
        <v>2665</v>
      </c>
      <c r="E3347" s="989">
        <v>55.26</v>
      </c>
      <c r="F3347" s="990"/>
      <c r="G3347" s="990"/>
      <c r="H3347" s="990"/>
      <c r="I3347" s="990"/>
      <c r="J3347" s="990"/>
      <c r="K3347" s="990"/>
      <c r="L3347" s="990"/>
      <c r="M3347" s="990"/>
      <c r="N3347" s="990"/>
      <c r="O3347" s="990"/>
      <c r="P3347" s="990"/>
      <c r="Q3347" s="990"/>
      <c r="R3347" s="990"/>
      <c r="S3347" s="990"/>
      <c r="T3347" s="990"/>
      <c r="U3347" s="990"/>
      <c r="V3347" s="990"/>
      <c r="W3347" s="990"/>
      <c r="X3347" s="990"/>
    </row>
    <row r="3348" spans="1:24" s="896" customFormat="1">
      <c r="A3348" s="987">
        <f t="shared" si="53"/>
        <v>3274</v>
      </c>
      <c r="B3348" s="988">
        <v>41036</v>
      </c>
      <c r="C3348" s="899" t="s">
        <v>12674</v>
      </c>
      <c r="D3348" s="988" t="s">
        <v>2672</v>
      </c>
      <c r="E3348" s="989">
        <v>9715.11</v>
      </c>
      <c r="F3348" s="990"/>
      <c r="G3348" s="990"/>
      <c r="H3348" s="990"/>
      <c r="I3348" s="990"/>
      <c r="J3348" s="990"/>
      <c r="K3348" s="990"/>
      <c r="L3348" s="990"/>
      <c r="M3348" s="990"/>
      <c r="N3348" s="990"/>
      <c r="O3348" s="990"/>
      <c r="P3348" s="990"/>
      <c r="Q3348" s="990"/>
      <c r="R3348" s="990"/>
      <c r="S3348" s="990"/>
      <c r="T3348" s="990"/>
      <c r="U3348" s="990"/>
      <c r="V3348" s="990"/>
      <c r="W3348" s="990"/>
      <c r="X3348" s="990"/>
    </row>
    <row r="3349" spans="1:24" s="896" customFormat="1">
      <c r="A3349" s="987">
        <f t="shared" si="53"/>
        <v>3275</v>
      </c>
      <c r="B3349" s="988">
        <v>4251</v>
      </c>
      <c r="C3349" s="899" t="s">
        <v>12675</v>
      </c>
      <c r="D3349" s="988" t="s">
        <v>2665</v>
      </c>
      <c r="E3349" s="989">
        <v>21.85</v>
      </c>
      <c r="F3349" s="990"/>
      <c r="G3349" s="990"/>
      <c r="H3349" s="990"/>
      <c r="I3349" s="990"/>
      <c r="J3349" s="990"/>
      <c r="K3349" s="990"/>
      <c r="L3349" s="990"/>
      <c r="M3349" s="990"/>
      <c r="N3349" s="990"/>
      <c r="O3349" s="990"/>
      <c r="P3349" s="990"/>
      <c r="Q3349" s="990"/>
      <c r="R3349" s="990"/>
      <c r="S3349" s="990"/>
      <c r="T3349" s="990"/>
      <c r="U3349" s="990"/>
      <c r="V3349" s="990"/>
      <c r="W3349" s="990"/>
      <c r="X3349" s="990"/>
    </row>
    <row r="3350" spans="1:24" s="896" customFormat="1">
      <c r="A3350" s="987">
        <f t="shared" si="53"/>
        <v>3276</v>
      </c>
      <c r="B3350" s="988">
        <v>40979</v>
      </c>
      <c r="C3350" s="899" t="s">
        <v>12676</v>
      </c>
      <c r="D3350" s="988" t="s">
        <v>2672</v>
      </c>
      <c r="E3350" s="989">
        <v>3841.05</v>
      </c>
      <c r="F3350" s="990"/>
      <c r="G3350" s="990"/>
      <c r="H3350" s="990"/>
      <c r="I3350" s="990"/>
      <c r="J3350" s="990"/>
      <c r="K3350" s="990"/>
      <c r="L3350" s="990"/>
      <c r="M3350" s="990"/>
      <c r="N3350" s="990"/>
      <c r="O3350" s="990"/>
      <c r="P3350" s="990"/>
      <c r="Q3350" s="990"/>
      <c r="R3350" s="990"/>
      <c r="S3350" s="990"/>
      <c r="T3350" s="990"/>
      <c r="U3350" s="990"/>
      <c r="V3350" s="990"/>
      <c r="W3350" s="990"/>
      <c r="X3350" s="990"/>
    </row>
    <row r="3351" spans="1:24" s="896" customFormat="1">
      <c r="A3351" s="987">
        <f t="shared" si="53"/>
        <v>3277</v>
      </c>
      <c r="B3351" s="988">
        <v>4230</v>
      </c>
      <c r="C3351" s="899" t="s">
        <v>12677</v>
      </c>
      <c r="D3351" s="988" t="s">
        <v>2665</v>
      </c>
      <c r="E3351" s="989">
        <v>24</v>
      </c>
      <c r="F3351" s="990"/>
      <c r="G3351" s="990"/>
      <c r="H3351" s="990"/>
      <c r="I3351" s="990"/>
      <c r="J3351" s="990"/>
      <c r="K3351" s="990"/>
      <c r="L3351" s="990"/>
      <c r="M3351" s="990"/>
      <c r="N3351" s="990"/>
      <c r="O3351" s="990"/>
      <c r="P3351" s="990"/>
      <c r="Q3351" s="990"/>
      <c r="R3351" s="990"/>
      <c r="S3351" s="990"/>
      <c r="T3351" s="990"/>
      <c r="U3351" s="990"/>
      <c r="V3351" s="990"/>
      <c r="W3351" s="990"/>
      <c r="X3351" s="990"/>
    </row>
    <row r="3352" spans="1:24" s="896" customFormat="1">
      <c r="A3352" s="987">
        <f t="shared" si="53"/>
        <v>3278</v>
      </c>
      <c r="B3352" s="988">
        <v>40998</v>
      </c>
      <c r="C3352" s="899" t="s">
        <v>12678</v>
      </c>
      <c r="D3352" s="988" t="s">
        <v>2672</v>
      </c>
      <c r="E3352" s="989">
        <v>4220.62</v>
      </c>
      <c r="F3352" s="990"/>
      <c r="G3352" s="990"/>
      <c r="H3352" s="990"/>
      <c r="I3352" s="990"/>
      <c r="J3352" s="990"/>
      <c r="K3352" s="990"/>
      <c r="L3352" s="990"/>
      <c r="M3352" s="990"/>
      <c r="N3352" s="990"/>
      <c r="O3352" s="990"/>
      <c r="P3352" s="990"/>
      <c r="Q3352" s="990"/>
      <c r="R3352" s="990"/>
      <c r="S3352" s="990"/>
      <c r="T3352" s="990"/>
      <c r="U3352" s="990"/>
      <c r="V3352" s="990"/>
      <c r="W3352" s="990"/>
      <c r="X3352" s="990"/>
    </row>
    <row r="3353" spans="1:24" s="896" customFormat="1">
      <c r="A3353" s="987">
        <f t="shared" si="53"/>
        <v>3279</v>
      </c>
      <c r="B3353" s="988">
        <v>4257</v>
      </c>
      <c r="C3353" s="899" t="s">
        <v>12679</v>
      </c>
      <c r="D3353" s="988" t="s">
        <v>2665</v>
      </c>
      <c r="E3353" s="989">
        <v>19.309999999999999</v>
      </c>
      <c r="F3353" s="990"/>
      <c r="G3353" s="990"/>
      <c r="H3353" s="990"/>
      <c r="I3353" s="990"/>
      <c r="J3353" s="990"/>
      <c r="K3353" s="990"/>
      <c r="L3353" s="990"/>
      <c r="M3353" s="990"/>
      <c r="N3353" s="990"/>
      <c r="O3353" s="990"/>
      <c r="P3353" s="990"/>
      <c r="Q3353" s="990"/>
      <c r="R3353" s="990"/>
      <c r="S3353" s="990"/>
      <c r="T3353" s="990"/>
      <c r="U3353" s="990"/>
      <c r="V3353" s="990"/>
      <c r="W3353" s="990"/>
      <c r="X3353" s="990"/>
    </row>
    <row r="3354" spans="1:24" s="896" customFormat="1">
      <c r="A3354" s="987">
        <f t="shared" si="53"/>
        <v>3280</v>
      </c>
      <c r="B3354" s="988">
        <v>40982</v>
      </c>
      <c r="C3354" s="899" t="s">
        <v>12680</v>
      </c>
      <c r="D3354" s="988" t="s">
        <v>2672</v>
      </c>
      <c r="E3354" s="989">
        <v>3396.76</v>
      </c>
      <c r="F3354" s="990"/>
      <c r="G3354" s="990"/>
      <c r="H3354" s="990"/>
      <c r="I3354" s="990"/>
      <c r="J3354" s="990"/>
      <c r="K3354" s="990"/>
      <c r="L3354" s="990"/>
      <c r="M3354" s="990"/>
      <c r="N3354" s="990"/>
      <c r="O3354" s="990"/>
      <c r="P3354" s="990"/>
      <c r="Q3354" s="990"/>
      <c r="R3354" s="990"/>
      <c r="S3354" s="990"/>
      <c r="T3354" s="990"/>
      <c r="U3354" s="990"/>
      <c r="V3354" s="990"/>
      <c r="W3354" s="990"/>
      <c r="X3354" s="990"/>
    </row>
    <row r="3355" spans="1:24" s="896" customFormat="1">
      <c r="A3355" s="987">
        <f t="shared" si="53"/>
        <v>3281</v>
      </c>
      <c r="B3355" s="988">
        <v>4240</v>
      </c>
      <c r="C3355" s="899" t="s">
        <v>12681</v>
      </c>
      <c r="D3355" s="988" t="s">
        <v>2665</v>
      </c>
      <c r="E3355" s="989">
        <v>22.65</v>
      </c>
      <c r="F3355" s="990"/>
      <c r="G3355" s="990"/>
      <c r="H3355" s="990"/>
      <c r="I3355" s="990"/>
      <c r="J3355" s="990"/>
      <c r="K3355" s="990"/>
      <c r="L3355" s="990"/>
      <c r="M3355" s="990"/>
      <c r="N3355" s="990"/>
      <c r="O3355" s="990"/>
      <c r="P3355" s="990"/>
      <c r="Q3355" s="990"/>
      <c r="R3355" s="990"/>
      <c r="S3355" s="990"/>
      <c r="T3355" s="990"/>
      <c r="U3355" s="990"/>
      <c r="V3355" s="990"/>
      <c r="W3355" s="990"/>
      <c r="X3355" s="990"/>
    </row>
    <row r="3356" spans="1:24" s="896" customFormat="1">
      <c r="A3356" s="987">
        <f t="shared" si="53"/>
        <v>3282</v>
      </c>
      <c r="B3356" s="988">
        <v>41026</v>
      </c>
      <c r="C3356" s="899" t="s">
        <v>12682</v>
      </c>
      <c r="D3356" s="988" t="s">
        <v>2672</v>
      </c>
      <c r="E3356" s="989">
        <v>3983.48</v>
      </c>
      <c r="F3356" s="990"/>
      <c r="G3356" s="990"/>
      <c r="H3356" s="990"/>
      <c r="I3356" s="990"/>
      <c r="J3356" s="990"/>
      <c r="K3356" s="990"/>
      <c r="L3356" s="990"/>
      <c r="M3356" s="990"/>
      <c r="N3356" s="990"/>
      <c r="O3356" s="990"/>
      <c r="P3356" s="990"/>
      <c r="Q3356" s="990"/>
      <c r="R3356" s="990"/>
      <c r="S3356" s="990"/>
      <c r="T3356" s="990"/>
      <c r="U3356" s="990"/>
      <c r="V3356" s="990"/>
      <c r="W3356" s="990"/>
      <c r="X3356" s="990"/>
    </row>
    <row r="3357" spans="1:24" s="896" customFormat="1">
      <c r="A3357" s="987">
        <f t="shared" si="53"/>
        <v>3283</v>
      </c>
      <c r="B3357" s="988">
        <v>4239</v>
      </c>
      <c r="C3357" s="899" t="s">
        <v>12683</v>
      </c>
      <c r="D3357" s="988" t="s">
        <v>2665</v>
      </c>
      <c r="E3357" s="989">
        <v>27.79</v>
      </c>
      <c r="F3357" s="990"/>
      <c r="G3357" s="990"/>
      <c r="H3357" s="990"/>
      <c r="I3357" s="990"/>
      <c r="J3357" s="990"/>
      <c r="K3357" s="990"/>
      <c r="L3357" s="990"/>
      <c r="M3357" s="990"/>
      <c r="N3357" s="990"/>
      <c r="O3357" s="990"/>
      <c r="P3357" s="990"/>
      <c r="Q3357" s="990"/>
      <c r="R3357" s="990"/>
      <c r="S3357" s="990"/>
      <c r="T3357" s="990"/>
      <c r="U3357" s="990"/>
      <c r="V3357" s="990"/>
      <c r="W3357" s="990"/>
      <c r="X3357" s="990"/>
    </row>
    <row r="3358" spans="1:24" s="896" customFormat="1">
      <c r="A3358" s="987">
        <f t="shared" si="53"/>
        <v>3284</v>
      </c>
      <c r="B3358" s="988">
        <v>41024</v>
      </c>
      <c r="C3358" s="899" t="s">
        <v>12684</v>
      </c>
      <c r="D3358" s="988" t="s">
        <v>2672</v>
      </c>
      <c r="E3358" s="989">
        <v>4886.99</v>
      </c>
      <c r="F3358" s="990"/>
      <c r="G3358" s="990"/>
      <c r="H3358" s="990"/>
      <c r="I3358" s="990"/>
      <c r="J3358" s="990"/>
      <c r="K3358" s="990"/>
      <c r="L3358" s="990"/>
      <c r="M3358" s="990"/>
      <c r="N3358" s="990"/>
      <c r="O3358" s="990"/>
      <c r="P3358" s="990"/>
      <c r="Q3358" s="990"/>
      <c r="R3358" s="990"/>
      <c r="S3358" s="990"/>
      <c r="T3358" s="990"/>
      <c r="U3358" s="990"/>
      <c r="V3358" s="990"/>
      <c r="W3358" s="990"/>
      <c r="X3358" s="990"/>
    </row>
    <row r="3359" spans="1:24" s="896" customFormat="1">
      <c r="A3359" s="987">
        <f t="shared" si="53"/>
        <v>3285</v>
      </c>
      <c r="B3359" s="988">
        <v>4248</v>
      </c>
      <c r="C3359" s="899" t="s">
        <v>12685</v>
      </c>
      <c r="D3359" s="988" t="s">
        <v>2665</v>
      </c>
      <c r="E3359" s="989">
        <v>22.97</v>
      </c>
      <c r="F3359" s="990"/>
      <c r="G3359" s="990"/>
      <c r="H3359" s="990"/>
      <c r="I3359" s="990"/>
      <c r="J3359" s="990"/>
      <c r="K3359" s="990"/>
      <c r="L3359" s="990"/>
      <c r="M3359" s="990"/>
      <c r="N3359" s="990"/>
      <c r="O3359" s="990"/>
      <c r="P3359" s="990"/>
      <c r="Q3359" s="990"/>
      <c r="R3359" s="990"/>
      <c r="S3359" s="990"/>
      <c r="T3359" s="990"/>
      <c r="U3359" s="990"/>
      <c r="V3359" s="990"/>
      <c r="W3359" s="990"/>
      <c r="X3359" s="990"/>
    </row>
    <row r="3360" spans="1:24" s="896" customFormat="1">
      <c r="A3360" s="987">
        <f t="shared" si="53"/>
        <v>3286</v>
      </c>
      <c r="B3360" s="988">
        <v>41033</v>
      </c>
      <c r="C3360" s="899" t="s">
        <v>12686</v>
      </c>
      <c r="D3360" s="988" t="s">
        <v>2672</v>
      </c>
      <c r="E3360" s="989">
        <v>4040.53</v>
      </c>
      <c r="F3360" s="990"/>
      <c r="G3360" s="990"/>
      <c r="H3360" s="990"/>
      <c r="I3360" s="990"/>
      <c r="J3360" s="990"/>
      <c r="K3360" s="990"/>
      <c r="L3360" s="990"/>
      <c r="M3360" s="990"/>
      <c r="N3360" s="990"/>
      <c r="O3360" s="990"/>
      <c r="P3360" s="990"/>
      <c r="Q3360" s="990"/>
      <c r="R3360" s="990"/>
      <c r="S3360" s="990"/>
      <c r="T3360" s="990"/>
      <c r="U3360" s="990"/>
      <c r="V3360" s="990"/>
      <c r="W3360" s="990"/>
      <c r="X3360" s="990"/>
    </row>
    <row r="3361" spans="1:24" s="896" customFormat="1">
      <c r="A3361" s="987">
        <f t="shared" si="53"/>
        <v>3287</v>
      </c>
      <c r="B3361" s="988">
        <v>41040</v>
      </c>
      <c r="C3361" s="899" t="s">
        <v>12687</v>
      </c>
      <c r="D3361" s="988" t="s">
        <v>2672</v>
      </c>
      <c r="E3361" s="989">
        <v>4112.5600000000004</v>
      </c>
      <c r="F3361" s="990"/>
      <c r="G3361" s="990"/>
      <c r="H3361" s="990"/>
      <c r="I3361" s="990"/>
      <c r="J3361" s="990"/>
      <c r="K3361" s="990"/>
      <c r="L3361" s="990"/>
      <c r="M3361" s="990"/>
      <c r="N3361" s="990"/>
      <c r="O3361" s="990"/>
      <c r="P3361" s="990"/>
      <c r="Q3361" s="990"/>
      <c r="R3361" s="990"/>
      <c r="S3361" s="990"/>
      <c r="T3361" s="990"/>
      <c r="U3361" s="990"/>
      <c r="V3361" s="990"/>
      <c r="W3361" s="990"/>
      <c r="X3361" s="990"/>
    </row>
    <row r="3362" spans="1:24" s="896" customFormat="1">
      <c r="A3362" s="987">
        <f t="shared" si="53"/>
        <v>3288</v>
      </c>
      <c r="B3362" s="988">
        <v>44500</v>
      </c>
      <c r="C3362" s="899" t="s">
        <v>12688</v>
      </c>
      <c r="D3362" s="988" t="s">
        <v>2665</v>
      </c>
      <c r="E3362" s="989">
        <v>23.38</v>
      </c>
      <c r="F3362" s="990"/>
      <c r="G3362" s="990"/>
      <c r="H3362" s="990"/>
      <c r="I3362" s="990"/>
      <c r="J3362" s="990"/>
      <c r="K3362" s="990"/>
      <c r="L3362" s="990"/>
      <c r="M3362" s="990"/>
      <c r="N3362" s="990"/>
      <c r="O3362" s="990"/>
      <c r="P3362" s="990"/>
      <c r="Q3362" s="990"/>
      <c r="R3362" s="990"/>
      <c r="S3362" s="990"/>
      <c r="T3362" s="990"/>
      <c r="U3362" s="990"/>
      <c r="V3362" s="990"/>
      <c r="W3362" s="990"/>
      <c r="X3362" s="990"/>
    </row>
    <row r="3363" spans="1:24" s="896" customFormat="1">
      <c r="A3363" s="987">
        <f t="shared" si="53"/>
        <v>3289</v>
      </c>
      <c r="B3363" s="988">
        <v>4238</v>
      </c>
      <c r="C3363" s="899" t="s">
        <v>12689</v>
      </c>
      <c r="D3363" s="988" t="s">
        <v>2665</v>
      </c>
      <c r="E3363" s="989">
        <v>20.39</v>
      </c>
      <c r="F3363" s="990"/>
      <c r="G3363" s="990"/>
      <c r="H3363" s="990"/>
      <c r="I3363" s="990"/>
      <c r="J3363" s="990"/>
      <c r="K3363" s="990"/>
      <c r="L3363" s="990"/>
      <c r="M3363" s="990"/>
      <c r="N3363" s="990"/>
      <c r="O3363" s="990"/>
      <c r="P3363" s="990"/>
      <c r="Q3363" s="990"/>
      <c r="R3363" s="990"/>
      <c r="S3363" s="990"/>
      <c r="T3363" s="990"/>
      <c r="U3363" s="990"/>
      <c r="V3363" s="990"/>
      <c r="W3363" s="990"/>
      <c r="X3363" s="990"/>
    </row>
    <row r="3364" spans="1:24" s="896" customFormat="1">
      <c r="A3364" s="987">
        <f t="shared" si="53"/>
        <v>3290</v>
      </c>
      <c r="B3364" s="988">
        <v>41012</v>
      </c>
      <c r="C3364" s="899" t="s">
        <v>12690</v>
      </c>
      <c r="D3364" s="988" t="s">
        <v>2672</v>
      </c>
      <c r="E3364" s="989">
        <v>3584.97</v>
      </c>
      <c r="F3364" s="990"/>
      <c r="G3364" s="990"/>
      <c r="H3364" s="990"/>
      <c r="I3364" s="990"/>
      <c r="J3364" s="990"/>
      <c r="K3364" s="990"/>
      <c r="L3364" s="990"/>
      <c r="M3364" s="990"/>
      <c r="N3364" s="990"/>
      <c r="O3364" s="990"/>
      <c r="P3364" s="990"/>
      <c r="Q3364" s="990"/>
      <c r="R3364" s="990"/>
      <c r="S3364" s="990"/>
      <c r="T3364" s="990"/>
      <c r="U3364" s="990"/>
      <c r="V3364" s="990"/>
      <c r="W3364" s="990"/>
      <c r="X3364" s="990"/>
    </row>
    <row r="3365" spans="1:24" s="896" customFormat="1">
      <c r="A3365" s="987">
        <f t="shared" si="53"/>
        <v>3291</v>
      </c>
      <c r="B3365" s="988">
        <v>4237</v>
      </c>
      <c r="C3365" s="899" t="s">
        <v>12691</v>
      </c>
      <c r="D3365" s="988" t="s">
        <v>2665</v>
      </c>
      <c r="E3365" s="989">
        <v>25.74</v>
      </c>
      <c r="F3365" s="990"/>
      <c r="G3365" s="990"/>
      <c r="H3365" s="990"/>
      <c r="I3365" s="990"/>
      <c r="J3365" s="990"/>
      <c r="K3365" s="990"/>
      <c r="L3365" s="990"/>
      <c r="M3365" s="990"/>
      <c r="N3365" s="990"/>
      <c r="O3365" s="990"/>
      <c r="P3365" s="990"/>
      <c r="Q3365" s="990"/>
      <c r="R3365" s="990"/>
      <c r="S3365" s="990"/>
      <c r="T3365" s="990"/>
      <c r="U3365" s="990"/>
      <c r="V3365" s="990"/>
      <c r="W3365" s="990"/>
      <c r="X3365" s="990"/>
    </row>
    <row r="3366" spans="1:24" s="896" customFormat="1">
      <c r="A3366" s="987">
        <f t="shared" si="53"/>
        <v>3292</v>
      </c>
      <c r="B3366" s="988">
        <v>41002</v>
      </c>
      <c r="C3366" s="899" t="s">
        <v>12692</v>
      </c>
      <c r="D3366" s="988" t="s">
        <v>2672</v>
      </c>
      <c r="E3366" s="989">
        <v>4525.79</v>
      </c>
      <c r="F3366" s="990"/>
      <c r="G3366" s="990"/>
      <c r="H3366" s="990"/>
      <c r="I3366" s="990"/>
      <c r="J3366" s="990"/>
      <c r="K3366" s="990"/>
      <c r="L3366" s="990"/>
      <c r="M3366" s="990"/>
      <c r="N3366" s="990"/>
      <c r="O3366" s="990"/>
      <c r="P3366" s="990"/>
      <c r="Q3366" s="990"/>
      <c r="R3366" s="990"/>
      <c r="S3366" s="990"/>
      <c r="T3366" s="990"/>
      <c r="U3366" s="990"/>
      <c r="V3366" s="990"/>
      <c r="W3366" s="990"/>
      <c r="X3366" s="990"/>
    </row>
    <row r="3367" spans="1:24" s="896" customFormat="1">
      <c r="A3367" s="987">
        <f t="shared" si="53"/>
        <v>3293</v>
      </c>
      <c r="B3367" s="988">
        <v>4233</v>
      </c>
      <c r="C3367" s="899" t="s">
        <v>12693</v>
      </c>
      <c r="D3367" s="988" t="s">
        <v>2665</v>
      </c>
      <c r="E3367" s="989">
        <v>20.09</v>
      </c>
      <c r="F3367" s="990"/>
      <c r="G3367" s="990"/>
      <c r="H3367" s="990"/>
      <c r="I3367" s="990"/>
      <c r="J3367" s="990"/>
      <c r="K3367" s="990"/>
      <c r="L3367" s="990"/>
      <c r="M3367" s="990"/>
      <c r="N3367" s="990"/>
      <c r="O3367" s="990"/>
      <c r="P3367" s="990"/>
      <c r="Q3367" s="990"/>
      <c r="R3367" s="990"/>
      <c r="S3367" s="990"/>
      <c r="T3367" s="990"/>
      <c r="U3367" s="990"/>
      <c r="V3367" s="990"/>
      <c r="W3367" s="990"/>
      <c r="X3367" s="990"/>
    </row>
    <row r="3368" spans="1:24" s="896" customFormat="1">
      <c r="A3368" s="987">
        <f t="shared" si="53"/>
        <v>3294</v>
      </c>
      <c r="B3368" s="988">
        <v>41001</v>
      </c>
      <c r="C3368" s="899" t="s">
        <v>12694</v>
      </c>
      <c r="D3368" s="988" t="s">
        <v>2672</v>
      </c>
      <c r="E3368" s="989">
        <v>3531.72</v>
      </c>
      <c r="F3368" s="990"/>
      <c r="G3368" s="990"/>
      <c r="H3368" s="990"/>
      <c r="I3368" s="990"/>
      <c r="J3368" s="990"/>
      <c r="K3368" s="990"/>
      <c r="L3368" s="990"/>
      <c r="M3368" s="990"/>
      <c r="N3368" s="990"/>
      <c r="O3368" s="990"/>
      <c r="P3368" s="990"/>
      <c r="Q3368" s="990"/>
      <c r="R3368" s="990"/>
      <c r="S3368" s="990"/>
      <c r="T3368" s="990"/>
      <c r="U3368" s="990"/>
      <c r="V3368" s="990"/>
      <c r="W3368" s="990"/>
      <c r="X3368" s="990"/>
    </row>
    <row r="3369" spans="1:24" s="896" customFormat="1">
      <c r="A3369" s="987">
        <f t="shared" si="53"/>
        <v>3295</v>
      </c>
      <c r="B3369" s="988">
        <v>2</v>
      </c>
      <c r="C3369" s="899" t="s">
        <v>12695</v>
      </c>
      <c r="D3369" s="988" t="s">
        <v>2668</v>
      </c>
      <c r="E3369" s="989">
        <v>12.15</v>
      </c>
      <c r="F3369" s="990"/>
      <c r="G3369" s="990"/>
      <c r="H3369" s="990"/>
      <c r="I3369" s="990"/>
      <c r="J3369" s="990"/>
      <c r="K3369" s="990"/>
      <c r="L3369" s="990"/>
      <c r="M3369" s="990"/>
      <c r="N3369" s="990"/>
      <c r="O3369" s="990"/>
      <c r="P3369" s="990"/>
      <c r="Q3369" s="990"/>
      <c r="R3369" s="990"/>
      <c r="S3369" s="990"/>
      <c r="T3369" s="990"/>
      <c r="U3369" s="990"/>
      <c r="V3369" s="990"/>
      <c r="W3369" s="990"/>
      <c r="X3369" s="990"/>
    </row>
    <row r="3370" spans="1:24" s="896" customFormat="1" ht="25.5">
      <c r="A3370" s="987">
        <f t="shared" si="53"/>
        <v>3296</v>
      </c>
      <c r="B3370" s="988">
        <v>36517</v>
      </c>
      <c r="C3370" s="899" t="s">
        <v>12696</v>
      </c>
      <c r="D3370" s="988" t="s">
        <v>2666</v>
      </c>
      <c r="E3370" s="989">
        <v>628260</v>
      </c>
      <c r="F3370" s="990"/>
      <c r="G3370" s="990"/>
      <c r="H3370" s="990"/>
      <c r="I3370" s="990"/>
      <c r="J3370" s="990"/>
      <c r="K3370" s="990"/>
      <c r="L3370" s="990"/>
      <c r="M3370" s="990"/>
      <c r="N3370" s="990"/>
      <c r="O3370" s="990"/>
      <c r="P3370" s="990"/>
      <c r="Q3370" s="990"/>
      <c r="R3370" s="990"/>
      <c r="S3370" s="990"/>
      <c r="T3370" s="990"/>
      <c r="U3370" s="990"/>
      <c r="V3370" s="990"/>
      <c r="W3370" s="990"/>
      <c r="X3370" s="990"/>
    </row>
    <row r="3371" spans="1:24" s="896" customFormat="1" ht="25.5">
      <c r="A3371" s="987">
        <f t="shared" si="53"/>
        <v>3297</v>
      </c>
      <c r="B3371" s="988">
        <v>4262</v>
      </c>
      <c r="C3371" s="899" t="s">
        <v>12697</v>
      </c>
      <c r="D3371" s="988" t="s">
        <v>2666</v>
      </c>
      <c r="E3371" s="989">
        <v>707500</v>
      </c>
      <c r="F3371" s="990"/>
      <c r="G3371" s="990"/>
      <c r="H3371" s="990"/>
      <c r="I3371" s="990"/>
      <c r="J3371" s="990"/>
      <c r="K3371" s="990"/>
      <c r="L3371" s="990"/>
      <c r="M3371" s="990"/>
      <c r="N3371" s="990"/>
      <c r="O3371" s="990"/>
      <c r="P3371" s="990"/>
      <c r="Q3371" s="990"/>
      <c r="R3371" s="990"/>
      <c r="S3371" s="990"/>
      <c r="T3371" s="990"/>
      <c r="U3371" s="990"/>
      <c r="V3371" s="990"/>
      <c r="W3371" s="990"/>
      <c r="X3371" s="990"/>
    </row>
    <row r="3372" spans="1:24" s="896" customFormat="1" ht="25.5">
      <c r="A3372" s="987">
        <f t="shared" si="53"/>
        <v>3298</v>
      </c>
      <c r="B3372" s="988">
        <v>4263</v>
      </c>
      <c r="C3372" s="899" t="s">
        <v>12698</v>
      </c>
      <c r="D3372" s="988" t="s">
        <v>2666</v>
      </c>
      <c r="E3372" s="989">
        <v>981066.61</v>
      </c>
      <c r="F3372" s="990"/>
      <c r="G3372" s="990"/>
      <c r="H3372" s="990"/>
      <c r="I3372" s="990"/>
      <c r="J3372" s="990"/>
      <c r="K3372" s="990"/>
      <c r="L3372" s="990"/>
      <c r="M3372" s="990"/>
      <c r="N3372" s="990"/>
      <c r="O3372" s="990"/>
      <c r="P3372" s="990"/>
      <c r="Q3372" s="990"/>
      <c r="R3372" s="990"/>
      <c r="S3372" s="990"/>
      <c r="T3372" s="990"/>
      <c r="U3372" s="990"/>
      <c r="V3372" s="990"/>
      <c r="W3372" s="990"/>
      <c r="X3372" s="990"/>
    </row>
    <row r="3373" spans="1:24" s="896" customFormat="1" ht="25.5">
      <c r="A3373" s="987">
        <f t="shared" si="53"/>
        <v>3299</v>
      </c>
      <c r="B3373" s="988">
        <v>36518</v>
      </c>
      <c r="C3373" s="899" t="s">
        <v>12699</v>
      </c>
      <c r="D3373" s="988" t="s">
        <v>2666</v>
      </c>
      <c r="E3373" s="989">
        <v>1116906.6100000001</v>
      </c>
      <c r="F3373" s="990"/>
      <c r="G3373" s="990"/>
      <c r="H3373" s="990"/>
      <c r="I3373" s="990"/>
      <c r="J3373" s="990"/>
      <c r="K3373" s="990"/>
      <c r="L3373" s="990"/>
      <c r="M3373" s="990"/>
      <c r="N3373" s="990"/>
      <c r="O3373" s="990"/>
      <c r="P3373" s="990"/>
      <c r="Q3373" s="990"/>
      <c r="R3373" s="990"/>
      <c r="S3373" s="990"/>
      <c r="T3373" s="990"/>
      <c r="U3373" s="990"/>
      <c r="V3373" s="990"/>
      <c r="W3373" s="990"/>
      <c r="X3373" s="990"/>
    </row>
    <row r="3374" spans="1:24" s="896" customFormat="1" ht="25.5">
      <c r="A3374" s="987">
        <f t="shared" si="53"/>
        <v>3300</v>
      </c>
      <c r="B3374" s="988">
        <v>14221</v>
      </c>
      <c r="C3374" s="899" t="s">
        <v>12700</v>
      </c>
      <c r="D3374" s="988" t="s">
        <v>2666</v>
      </c>
      <c r="E3374" s="989">
        <v>651843.30000000005</v>
      </c>
      <c r="F3374" s="990"/>
      <c r="G3374" s="990"/>
      <c r="H3374" s="990"/>
      <c r="I3374" s="990"/>
      <c r="J3374" s="990"/>
      <c r="K3374" s="990"/>
      <c r="L3374" s="990"/>
      <c r="M3374" s="990"/>
      <c r="N3374" s="990"/>
      <c r="O3374" s="990"/>
      <c r="P3374" s="990"/>
      <c r="Q3374" s="990"/>
      <c r="R3374" s="990"/>
      <c r="S3374" s="990"/>
      <c r="T3374" s="990"/>
      <c r="U3374" s="990"/>
      <c r="V3374" s="990"/>
      <c r="W3374" s="990"/>
      <c r="X3374" s="990"/>
    </row>
    <row r="3375" spans="1:24" s="896" customFormat="1">
      <c r="A3375" s="987">
        <f t="shared" si="53"/>
        <v>3301</v>
      </c>
      <c r="B3375" s="988">
        <v>38402</v>
      </c>
      <c r="C3375" s="899" t="s">
        <v>12701</v>
      </c>
      <c r="D3375" s="988" t="s">
        <v>2666</v>
      </c>
      <c r="E3375" s="989">
        <v>12.1</v>
      </c>
      <c r="F3375" s="990"/>
      <c r="G3375" s="990"/>
      <c r="H3375" s="990"/>
      <c r="I3375" s="990"/>
      <c r="J3375" s="990"/>
      <c r="K3375" s="990"/>
      <c r="L3375" s="990"/>
      <c r="M3375" s="990"/>
      <c r="N3375" s="990"/>
      <c r="O3375" s="990"/>
      <c r="P3375" s="990"/>
      <c r="Q3375" s="990"/>
      <c r="R3375" s="990"/>
      <c r="S3375" s="990"/>
      <c r="T3375" s="990"/>
      <c r="U3375" s="990"/>
      <c r="V3375" s="990"/>
      <c r="W3375" s="990"/>
      <c r="X3375" s="990"/>
    </row>
    <row r="3376" spans="1:24" s="896" customFormat="1">
      <c r="A3376" s="987">
        <f t="shared" si="53"/>
        <v>3302</v>
      </c>
      <c r="B3376" s="988">
        <v>3412</v>
      </c>
      <c r="C3376" s="899" t="s">
        <v>12702</v>
      </c>
      <c r="D3376" s="988" t="s">
        <v>2667</v>
      </c>
      <c r="E3376" s="989">
        <v>15.83</v>
      </c>
      <c r="F3376" s="990"/>
      <c r="G3376" s="990"/>
      <c r="H3376" s="990"/>
      <c r="I3376" s="990"/>
      <c r="J3376" s="990"/>
      <c r="K3376" s="990"/>
      <c r="L3376" s="990"/>
      <c r="M3376" s="990"/>
      <c r="N3376" s="990"/>
      <c r="O3376" s="990"/>
      <c r="P3376" s="990"/>
      <c r="Q3376" s="990"/>
      <c r="R3376" s="990"/>
      <c r="S3376" s="990"/>
      <c r="T3376" s="990"/>
      <c r="U3376" s="990"/>
      <c r="V3376" s="990"/>
      <c r="W3376" s="990"/>
      <c r="X3376" s="990"/>
    </row>
    <row r="3377" spans="1:24" s="896" customFormat="1">
      <c r="A3377" s="987">
        <f t="shared" si="53"/>
        <v>3303</v>
      </c>
      <c r="B3377" s="988">
        <v>3413</v>
      </c>
      <c r="C3377" s="899" t="s">
        <v>12703</v>
      </c>
      <c r="D3377" s="988" t="s">
        <v>2667</v>
      </c>
      <c r="E3377" s="989">
        <v>35.630000000000003</v>
      </c>
      <c r="F3377" s="990"/>
      <c r="G3377" s="990"/>
      <c r="H3377" s="990"/>
      <c r="I3377" s="990"/>
      <c r="J3377" s="990"/>
      <c r="K3377" s="990"/>
      <c r="L3377" s="990"/>
      <c r="M3377" s="990"/>
      <c r="N3377" s="990"/>
      <c r="O3377" s="990"/>
      <c r="P3377" s="990"/>
      <c r="Q3377" s="990"/>
      <c r="R3377" s="990"/>
      <c r="S3377" s="990"/>
      <c r="T3377" s="990"/>
      <c r="U3377" s="990"/>
      <c r="V3377" s="990"/>
      <c r="W3377" s="990"/>
      <c r="X3377" s="990"/>
    </row>
    <row r="3378" spans="1:24" s="896" customFormat="1">
      <c r="A3378" s="987">
        <f t="shared" si="53"/>
        <v>3304</v>
      </c>
      <c r="B3378" s="988">
        <v>39744</v>
      </c>
      <c r="C3378" s="899" t="s">
        <v>12704</v>
      </c>
      <c r="D3378" s="988" t="s">
        <v>2667</v>
      </c>
      <c r="E3378" s="989">
        <v>27.67</v>
      </c>
      <c r="F3378" s="990"/>
      <c r="G3378" s="990"/>
      <c r="H3378" s="990"/>
      <c r="I3378" s="990"/>
      <c r="J3378" s="990"/>
      <c r="K3378" s="990"/>
      <c r="L3378" s="990"/>
      <c r="M3378" s="990"/>
      <c r="N3378" s="990"/>
      <c r="O3378" s="990"/>
      <c r="P3378" s="990"/>
      <c r="Q3378" s="990"/>
      <c r="R3378" s="990"/>
      <c r="S3378" s="990"/>
      <c r="T3378" s="990"/>
      <c r="U3378" s="990"/>
      <c r="V3378" s="990"/>
      <c r="W3378" s="990"/>
      <c r="X3378" s="990"/>
    </row>
    <row r="3379" spans="1:24" s="896" customFormat="1">
      <c r="A3379" s="987">
        <f t="shared" si="53"/>
        <v>3305</v>
      </c>
      <c r="B3379" s="988">
        <v>39745</v>
      </c>
      <c r="C3379" s="899" t="s">
        <v>12705</v>
      </c>
      <c r="D3379" s="988" t="s">
        <v>2667</v>
      </c>
      <c r="E3379" s="989">
        <v>58.39</v>
      </c>
      <c r="F3379" s="990"/>
      <c r="G3379" s="990"/>
      <c r="H3379" s="990"/>
      <c r="I3379" s="990"/>
      <c r="J3379" s="990"/>
      <c r="K3379" s="990"/>
      <c r="L3379" s="990"/>
      <c r="M3379" s="990"/>
      <c r="N3379" s="990"/>
      <c r="O3379" s="990"/>
      <c r="P3379" s="990"/>
      <c r="Q3379" s="990"/>
      <c r="R3379" s="990"/>
      <c r="S3379" s="990"/>
      <c r="T3379" s="990"/>
      <c r="U3379" s="990"/>
      <c r="V3379" s="990"/>
      <c r="W3379" s="990"/>
      <c r="X3379" s="990"/>
    </row>
    <row r="3380" spans="1:24" s="896" customFormat="1" ht="25.5">
      <c r="A3380" s="987">
        <f t="shared" si="53"/>
        <v>3306</v>
      </c>
      <c r="B3380" s="988">
        <v>39637</v>
      </c>
      <c r="C3380" s="899" t="s">
        <v>12706</v>
      </c>
      <c r="D3380" s="988" t="s">
        <v>2667</v>
      </c>
      <c r="E3380" s="989">
        <v>99.17</v>
      </c>
      <c r="F3380" s="990"/>
      <c r="G3380" s="990"/>
      <c r="H3380" s="990"/>
      <c r="I3380" s="990"/>
      <c r="J3380" s="990"/>
      <c r="K3380" s="990"/>
      <c r="L3380" s="990"/>
      <c r="M3380" s="990"/>
      <c r="N3380" s="990"/>
      <c r="O3380" s="990"/>
      <c r="P3380" s="990"/>
      <c r="Q3380" s="990"/>
      <c r="R3380" s="990"/>
      <c r="S3380" s="990"/>
      <c r="T3380" s="990"/>
      <c r="U3380" s="990"/>
      <c r="V3380" s="990"/>
      <c r="W3380" s="990"/>
      <c r="X3380" s="990"/>
    </row>
    <row r="3381" spans="1:24" s="896" customFormat="1" ht="25.5">
      <c r="A3381" s="987">
        <f t="shared" si="53"/>
        <v>3307</v>
      </c>
      <c r="B3381" s="988">
        <v>39638</v>
      </c>
      <c r="C3381" s="899" t="s">
        <v>12707</v>
      </c>
      <c r="D3381" s="988" t="s">
        <v>2667</v>
      </c>
      <c r="E3381" s="989">
        <v>112.22</v>
      </c>
      <c r="F3381" s="990"/>
      <c r="G3381" s="990"/>
      <c r="H3381" s="990"/>
      <c r="I3381" s="990"/>
      <c r="J3381" s="990"/>
      <c r="K3381" s="990"/>
      <c r="L3381" s="990"/>
      <c r="M3381" s="990"/>
      <c r="N3381" s="990"/>
      <c r="O3381" s="990"/>
      <c r="P3381" s="990"/>
      <c r="Q3381" s="990"/>
      <c r="R3381" s="990"/>
      <c r="S3381" s="990"/>
      <c r="T3381" s="990"/>
      <c r="U3381" s="990"/>
      <c r="V3381" s="990"/>
      <c r="W3381" s="990"/>
      <c r="X3381" s="990"/>
    </row>
    <row r="3382" spans="1:24" s="896" customFormat="1" ht="25.5">
      <c r="A3382" s="987">
        <f t="shared" si="53"/>
        <v>3308</v>
      </c>
      <c r="B3382" s="988">
        <v>39639</v>
      </c>
      <c r="C3382" s="899" t="s">
        <v>12708</v>
      </c>
      <c r="D3382" s="988" t="s">
        <v>2667</v>
      </c>
      <c r="E3382" s="989">
        <v>169.31</v>
      </c>
      <c r="F3382" s="990"/>
      <c r="G3382" s="990"/>
      <c r="H3382" s="990"/>
      <c r="I3382" s="990"/>
      <c r="J3382" s="990"/>
      <c r="K3382" s="990"/>
      <c r="L3382" s="990"/>
      <c r="M3382" s="990"/>
      <c r="N3382" s="990"/>
      <c r="O3382" s="990"/>
      <c r="P3382" s="990"/>
      <c r="Q3382" s="990"/>
      <c r="R3382" s="990"/>
      <c r="S3382" s="990"/>
      <c r="T3382" s="990"/>
      <c r="U3382" s="990"/>
      <c r="V3382" s="990"/>
      <c r="W3382" s="990"/>
      <c r="X3382" s="990"/>
    </row>
    <row r="3383" spans="1:24" s="896" customFormat="1" ht="51">
      <c r="A3383" s="987">
        <f t="shared" si="53"/>
        <v>3309</v>
      </c>
      <c r="B3383" s="988">
        <v>39517</v>
      </c>
      <c r="C3383" s="899" t="s">
        <v>12709</v>
      </c>
      <c r="D3383" s="988" t="s">
        <v>2667</v>
      </c>
      <c r="E3383" s="989">
        <v>329.49</v>
      </c>
      <c r="F3383" s="990"/>
      <c r="G3383" s="990"/>
      <c r="H3383" s="990"/>
      <c r="I3383" s="990"/>
      <c r="J3383" s="990"/>
      <c r="K3383" s="990"/>
      <c r="L3383" s="990"/>
      <c r="M3383" s="990"/>
      <c r="N3383" s="990"/>
      <c r="O3383" s="990"/>
      <c r="P3383" s="990"/>
      <c r="Q3383" s="990"/>
      <c r="R3383" s="990"/>
      <c r="S3383" s="990"/>
      <c r="T3383" s="990"/>
      <c r="U3383" s="990"/>
      <c r="V3383" s="990"/>
      <c r="W3383" s="990"/>
      <c r="X3383" s="990"/>
    </row>
    <row r="3384" spans="1:24" s="896" customFormat="1" ht="51">
      <c r="A3384" s="987">
        <f t="shared" si="53"/>
        <v>3310</v>
      </c>
      <c r="B3384" s="988">
        <v>39518</v>
      </c>
      <c r="C3384" s="899" t="s">
        <v>12710</v>
      </c>
      <c r="D3384" s="988" t="s">
        <v>2667</v>
      </c>
      <c r="E3384" s="989">
        <v>390.63</v>
      </c>
      <c r="F3384" s="990"/>
      <c r="G3384" s="990"/>
      <c r="H3384" s="990"/>
      <c r="I3384" s="990"/>
      <c r="J3384" s="990"/>
      <c r="K3384" s="990"/>
      <c r="L3384" s="990"/>
      <c r="M3384" s="990"/>
      <c r="N3384" s="990"/>
      <c r="O3384" s="990"/>
      <c r="P3384" s="990"/>
      <c r="Q3384" s="990"/>
      <c r="R3384" s="990"/>
      <c r="S3384" s="990"/>
      <c r="T3384" s="990"/>
      <c r="U3384" s="990"/>
      <c r="V3384" s="990"/>
      <c r="W3384" s="990"/>
      <c r="X3384" s="990"/>
    </row>
    <row r="3385" spans="1:24" s="896" customFormat="1">
      <c r="A3385" s="987">
        <f t="shared" si="53"/>
        <v>3311</v>
      </c>
      <c r="B3385" s="988">
        <v>38366</v>
      </c>
      <c r="C3385" s="899" t="s">
        <v>12711</v>
      </c>
      <c r="D3385" s="988" t="s">
        <v>2667</v>
      </c>
      <c r="E3385" s="989">
        <v>5.9</v>
      </c>
      <c r="F3385" s="990"/>
      <c r="G3385" s="990"/>
      <c r="H3385" s="990"/>
      <c r="I3385" s="990"/>
      <c r="J3385" s="990"/>
      <c r="K3385" s="990"/>
      <c r="L3385" s="990"/>
      <c r="M3385" s="990"/>
      <c r="N3385" s="990"/>
      <c r="O3385" s="990"/>
      <c r="P3385" s="990"/>
      <c r="Q3385" s="990"/>
      <c r="R3385" s="990"/>
      <c r="S3385" s="990"/>
      <c r="T3385" s="990"/>
      <c r="U3385" s="990"/>
      <c r="V3385" s="990"/>
      <c r="W3385" s="990"/>
      <c r="X3385" s="990"/>
    </row>
    <row r="3386" spans="1:24" s="896" customFormat="1">
      <c r="A3386" s="987">
        <f t="shared" si="53"/>
        <v>3312</v>
      </c>
      <c r="B3386" s="988">
        <v>11703</v>
      </c>
      <c r="C3386" s="899" t="s">
        <v>12712</v>
      </c>
      <c r="D3386" s="988" t="s">
        <v>2666</v>
      </c>
      <c r="E3386" s="989">
        <v>59.54</v>
      </c>
      <c r="F3386" s="990"/>
      <c r="G3386" s="990"/>
      <c r="H3386" s="990"/>
      <c r="I3386" s="990"/>
      <c r="J3386" s="990"/>
      <c r="K3386" s="990"/>
      <c r="L3386" s="990"/>
      <c r="M3386" s="990"/>
      <c r="N3386" s="990"/>
      <c r="O3386" s="990"/>
      <c r="P3386" s="990"/>
      <c r="Q3386" s="990"/>
      <c r="R3386" s="990"/>
      <c r="S3386" s="990"/>
      <c r="T3386" s="990"/>
      <c r="U3386" s="990"/>
      <c r="V3386" s="990"/>
      <c r="W3386" s="990"/>
      <c r="X3386" s="990"/>
    </row>
    <row r="3387" spans="1:24" s="896" customFormat="1">
      <c r="A3387" s="987">
        <f t="shared" si="53"/>
        <v>3313</v>
      </c>
      <c r="B3387" s="988">
        <v>37400</v>
      </c>
      <c r="C3387" s="899" t="s">
        <v>12713</v>
      </c>
      <c r="D3387" s="988" t="s">
        <v>2666</v>
      </c>
      <c r="E3387" s="989">
        <v>44.14</v>
      </c>
      <c r="F3387" s="990"/>
      <c r="G3387" s="990"/>
      <c r="H3387" s="990"/>
      <c r="I3387" s="990"/>
      <c r="J3387" s="990"/>
      <c r="K3387" s="990"/>
      <c r="L3387" s="990"/>
      <c r="M3387" s="990"/>
      <c r="N3387" s="990"/>
      <c r="O3387" s="990"/>
      <c r="P3387" s="990"/>
      <c r="Q3387" s="990"/>
      <c r="R3387" s="990"/>
      <c r="S3387" s="990"/>
      <c r="T3387" s="990"/>
      <c r="U3387" s="990"/>
      <c r="V3387" s="990"/>
      <c r="W3387" s="990"/>
      <c r="X3387" s="990"/>
    </row>
    <row r="3388" spans="1:24" s="896" customFormat="1" ht="25.5">
      <c r="A3388" s="987">
        <f t="shared" si="53"/>
        <v>3314</v>
      </c>
      <c r="B3388" s="988">
        <v>25400</v>
      </c>
      <c r="C3388" s="899" t="s">
        <v>12714</v>
      </c>
      <c r="D3388" s="988" t="s">
        <v>2666</v>
      </c>
      <c r="E3388" s="989">
        <v>2817.14</v>
      </c>
      <c r="F3388" s="990"/>
      <c r="G3388" s="990"/>
      <c r="H3388" s="990"/>
      <c r="I3388" s="990"/>
      <c r="J3388" s="990"/>
      <c r="K3388" s="990"/>
      <c r="L3388" s="990"/>
      <c r="M3388" s="990"/>
      <c r="N3388" s="990"/>
      <c r="O3388" s="990"/>
      <c r="P3388" s="990"/>
      <c r="Q3388" s="990"/>
      <c r="R3388" s="990"/>
      <c r="S3388" s="990"/>
      <c r="T3388" s="990"/>
      <c r="U3388" s="990"/>
      <c r="V3388" s="990"/>
      <c r="W3388" s="990"/>
      <c r="X3388" s="990"/>
    </row>
    <row r="3389" spans="1:24" s="896" customFormat="1" ht="25.5">
      <c r="A3389" s="987">
        <f t="shared" si="53"/>
        <v>3315</v>
      </c>
      <c r="B3389" s="988">
        <v>4276</v>
      </c>
      <c r="C3389" s="899" t="s">
        <v>12715</v>
      </c>
      <c r="D3389" s="988" t="s">
        <v>2666</v>
      </c>
      <c r="E3389" s="989">
        <v>221.76</v>
      </c>
      <c r="F3389" s="990"/>
      <c r="G3389" s="990"/>
      <c r="H3389" s="990"/>
      <c r="I3389" s="990"/>
      <c r="J3389" s="990"/>
      <c r="K3389" s="990"/>
      <c r="L3389" s="990"/>
      <c r="M3389" s="990"/>
      <c r="N3389" s="990"/>
      <c r="O3389" s="990"/>
      <c r="P3389" s="990"/>
      <c r="Q3389" s="990"/>
      <c r="R3389" s="990"/>
      <c r="S3389" s="990"/>
      <c r="T3389" s="990"/>
      <c r="U3389" s="990"/>
      <c r="V3389" s="990"/>
      <c r="W3389" s="990"/>
      <c r="X3389" s="990"/>
    </row>
    <row r="3390" spans="1:24" s="896" customFormat="1" ht="25.5">
      <c r="A3390" s="987">
        <f t="shared" si="53"/>
        <v>3316</v>
      </c>
      <c r="B3390" s="988">
        <v>4273</v>
      </c>
      <c r="C3390" s="899" t="s">
        <v>12716</v>
      </c>
      <c r="D3390" s="988" t="s">
        <v>2666</v>
      </c>
      <c r="E3390" s="989">
        <v>402.63</v>
      </c>
      <c r="F3390" s="990"/>
      <c r="G3390" s="990"/>
      <c r="H3390" s="990"/>
      <c r="I3390" s="990"/>
      <c r="J3390" s="990"/>
      <c r="K3390" s="990"/>
      <c r="L3390" s="990"/>
      <c r="M3390" s="990"/>
      <c r="N3390" s="990"/>
      <c r="O3390" s="990"/>
      <c r="P3390" s="990"/>
      <c r="Q3390" s="990"/>
      <c r="R3390" s="990"/>
      <c r="S3390" s="990"/>
      <c r="T3390" s="990"/>
      <c r="U3390" s="990"/>
      <c r="V3390" s="990"/>
      <c r="W3390" s="990"/>
      <c r="X3390" s="990"/>
    </row>
    <row r="3391" spans="1:24" s="896" customFormat="1" ht="25.5">
      <c r="A3391" s="987">
        <f t="shared" si="53"/>
        <v>3317</v>
      </c>
      <c r="B3391" s="988">
        <v>4274</v>
      </c>
      <c r="C3391" s="899" t="s">
        <v>12717</v>
      </c>
      <c r="D3391" s="988" t="s">
        <v>2666</v>
      </c>
      <c r="E3391" s="989">
        <v>147.30000000000001</v>
      </c>
      <c r="F3391" s="990"/>
      <c r="G3391" s="990"/>
      <c r="H3391" s="990"/>
      <c r="I3391" s="990"/>
      <c r="J3391" s="990"/>
      <c r="K3391" s="990"/>
      <c r="L3391" s="990"/>
      <c r="M3391" s="990"/>
      <c r="N3391" s="990"/>
      <c r="O3391" s="990"/>
      <c r="P3391" s="990"/>
      <c r="Q3391" s="990"/>
      <c r="R3391" s="990"/>
      <c r="S3391" s="990"/>
      <c r="T3391" s="990"/>
      <c r="U3391" s="990"/>
      <c r="V3391" s="990"/>
      <c r="W3391" s="990"/>
      <c r="X3391" s="990"/>
    </row>
    <row r="3392" spans="1:24" s="896" customFormat="1" ht="38.25">
      <c r="A3392" s="987">
        <f t="shared" si="53"/>
        <v>3318</v>
      </c>
      <c r="B3392" s="988">
        <v>39438</v>
      </c>
      <c r="C3392" s="899" t="s">
        <v>12718</v>
      </c>
      <c r="D3392" s="988" t="s">
        <v>2666</v>
      </c>
      <c r="E3392" s="989">
        <v>0.23</v>
      </c>
      <c r="F3392" s="990"/>
      <c r="G3392" s="990"/>
      <c r="H3392" s="990"/>
      <c r="I3392" s="990"/>
      <c r="J3392" s="990"/>
      <c r="K3392" s="990"/>
      <c r="L3392" s="990"/>
      <c r="M3392" s="990"/>
      <c r="N3392" s="990"/>
      <c r="O3392" s="990"/>
      <c r="P3392" s="990"/>
      <c r="Q3392" s="990"/>
      <c r="R3392" s="990"/>
      <c r="S3392" s="990"/>
      <c r="T3392" s="990"/>
      <c r="U3392" s="990"/>
      <c r="V3392" s="990"/>
      <c r="W3392" s="990"/>
      <c r="X3392" s="990"/>
    </row>
    <row r="3393" spans="1:24" s="896" customFormat="1">
      <c r="A3393" s="987">
        <f t="shared" si="53"/>
        <v>3319</v>
      </c>
      <c r="B3393" s="988">
        <v>11963</v>
      </c>
      <c r="C3393" s="899" t="s">
        <v>12719</v>
      </c>
      <c r="D3393" s="988" t="s">
        <v>2666</v>
      </c>
      <c r="E3393" s="989">
        <v>8.31</v>
      </c>
      <c r="F3393" s="990"/>
      <c r="G3393" s="990"/>
      <c r="H3393" s="990"/>
      <c r="I3393" s="990"/>
      <c r="J3393" s="990"/>
      <c r="K3393" s="990"/>
      <c r="L3393" s="990"/>
      <c r="M3393" s="990"/>
      <c r="N3393" s="990"/>
      <c r="O3393" s="990"/>
      <c r="P3393" s="990"/>
      <c r="Q3393" s="990"/>
      <c r="R3393" s="990"/>
      <c r="S3393" s="990"/>
      <c r="T3393" s="990"/>
      <c r="U3393" s="990"/>
      <c r="V3393" s="990"/>
      <c r="W3393" s="990"/>
      <c r="X3393" s="990"/>
    </row>
    <row r="3394" spans="1:24" s="896" customFormat="1">
      <c r="A3394" s="987">
        <f t="shared" si="53"/>
        <v>3320</v>
      </c>
      <c r="B3394" s="988">
        <v>11964</v>
      </c>
      <c r="C3394" s="899" t="s">
        <v>12720</v>
      </c>
      <c r="D3394" s="988" t="s">
        <v>2666</v>
      </c>
      <c r="E3394" s="989">
        <v>2.09</v>
      </c>
      <c r="F3394" s="990"/>
      <c r="G3394" s="990"/>
      <c r="H3394" s="990"/>
      <c r="I3394" s="990"/>
      <c r="J3394" s="990"/>
      <c r="K3394" s="990"/>
      <c r="L3394" s="990"/>
      <c r="M3394" s="990"/>
      <c r="N3394" s="990"/>
      <c r="O3394" s="990"/>
      <c r="P3394" s="990"/>
      <c r="Q3394" s="990"/>
      <c r="R3394" s="990"/>
      <c r="S3394" s="990"/>
      <c r="T3394" s="990"/>
      <c r="U3394" s="990"/>
      <c r="V3394" s="990"/>
      <c r="W3394" s="990"/>
      <c r="X3394" s="990"/>
    </row>
    <row r="3395" spans="1:24" s="896" customFormat="1" ht="25.5">
      <c r="A3395" s="987">
        <f t="shared" si="53"/>
        <v>3321</v>
      </c>
      <c r="B3395" s="988">
        <v>4379</v>
      </c>
      <c r="C3395" s="899" t="s">
        <v>12721</v>
      </c>
      <c r="D3395" s="988" t="s">
        <v>2666</v>
      </c>
      <c r="E3395" s="989">
        <v>0.04</v>
      </c>
      <c r="F3395" s="990"/>
      <c r="G3395" s="990"/>
      <c r="H3395" s="990"/>
      <c r="I3395" s="990"/>
      <c r="J3395" s="990"/>
      <c r="K3395" s="990"/>
      <c r="L3395" s="990"/>
      <c r="M3395" s="990"/>
      <c r="N3395" s="990"/>
      <c r="O3395" s="990"/>
      <c r="P3395" s="990"/>
      <c r="Q3395" s="990"/>
      <c r="R3395" s="990"/>
      <c r="S3395" s="990"/>
      <c r="T3395" s="990"/>
      <c r="U3395" s="990"/>
      <c r="V3395" s="990"/>
      <c r="W3395" s="990"/>
      <c r="X3395" s="990"/>
    </row>
    <row r="3396" spans="1:24" s="896" customFormat="1" ht="25.5">
      <c r="A3396" s="987">
        <f t="shared" si="53"/>
        <v>3322</v>
      </c>
      <c r="B3396" s="988">
        <v>4377</v>
      </c>
      <c r="C3396" s="899" t="s">
        <v>12722</v>
      </c>
      <c r="D3396" s="988" t="s">
        <v>2666</v>
      </c>
      <c r="E3396" s="989">
        <v>0.16</v>
      </c>
      <c r="F3396" s="990"/>
      <c r="G3396" s="990"/>
      <c r="H3396" s="990"/>
      <c r="I3396" s="990"/>
      <c r="J3396" s="990"/>
      <c r="K3396" s="990"/>
      <c r="L3396" s="990"/>
      <c r="M3396" s="990"/>
      <c r="N3396" s="990"/>
      <c r="O3396" s="990"/>
      <c r="P3396" s="990"/>
      <c r="Q3396" s="990"/>
      <c r="R3396" s="990"/>
      <c r="S3396" s="990"/>
      <c r="T3396" s="990"/>
      <c r="U3396" s="990"/>
      <c r="V3396" s="990"/>
      <c r="W3396" s="990"/>
      <c r="X3396" s="990"/>
    </row>
    <row r="3397" spans="1:24" s="896" customFormat="1" ht="25.5">
      <c r="A3397" s="987">
        <f t="shared" si="53"/>
        <v>3323</v>
      </c>
      <c r="B3397" s="988">
        <v>4356</v>
      </c>
      <c r="C3397" s="899" t="s">
        <v>12723</v>
      </c>
      <c r="D3397" s="988" t="s">
        <v>2666</v>
      </c>
      <c r="E3397" s="989">
        <v>0.23</v>
      </c>
      <c r="F3397" s="990"/>
      <c r="G3397" s="990"/>
      <c r="H3397" s="990"/>
      <c r="I3397" s="990"/>
      <c r="J3397" s="990"/>
      <c r="K3397" s="990"/>
      <c r="L3397" s="990"/>
      <c r="M3397" s="990"/>
      <c r="N3397" s="990"/>
      <c r="O3397" s="990"/>
      <c r="P3397" s="990"/>
      <c r="Q3397" s="990"/>
      <c r="R3397" s="990"/>
      <c r="S3397" s="990"/>
      <c r="T3397" s="990"/>
      <c r="U3397" s="990"/>
      <c r="V3397" s="990"/>
      <c r="W3397" s="990"/>
      <c r="X3397" s="990"/>
    </row>
    <row r="3398" spans="1:24" s="896" customFormat="1" ht="25.5">
      <c r="A3398" s="987">
        <f t="shared" si="53"/>
        <v>3324</v>
      </c>
      <c r="B3398" s="988">
        <v>13246</v>
      </c>
      <c r="C3398" s="899" t="s">
        <v>12724</v>
      </c>
      <c r="D3398" s="988" t="s">
        <v>2666</v>
      </c>
      <c r="E3398" s="989">
        <v>0.39</v>
      </c>
      <c r="F3398" s="990"/>
      <c r="G3398" s="990"/>
      <c r="H3398" s="990"/>
      <c r="I3398" s="990"/>
      <c r="J3398" s="990"/>
      <c r="K3398" s="990"/>
      <c r="L3398" s="990"/>
      <c r="M3398" s="990"/>
      <c r="N3398" s="990"/>
      <c r="O3398" s="990"/>
      <c r="P3398" s="990"/>
      <c r="Q3398" s="990"/>
      <c r="R3398" s="990"/>
      <c r="S3398" s="990"/>
      <c r="T3398" s="990"/>
      <c r="U3398" s="990"/>
      <c r="V3398" s="990"/>
      <c r="W3398" s="990"/>
      <c r="X3398" s="990"/>
    </row>
    <row r="3399" spans="1:24" s="896" customFormat="1" ht="25.5">
      <c r="A3399" s="987">
        <f t="shared" si="53"/>
        <v>3325</v>
      </c>
      <c r="B3399" s="988">
        <v>4346</v>
      </c>
      <c r="C3399" s="899" t="s">
        <v>12725</v>
      </c>
      <c r="D3399" s="988" t="s">
        <v>2666</v>
      </c>
      <c r="E3399" s="989">
        <v>8.9</v>
      </c>
      <c r="F3399" s="990"/>
      <c r="G3399" s="990"/>
      <c r="H3399" s="990"/>
      <c r="I3399" s="990"/>
      <c r="J3399" s="990"/>
      <c r="K3399" s="990"/>
      <c r="L3399" s="990"/>
      <c r="M3399" s="990"/>
      <c r="N3399" s="990"/>
      <c r="O3399" s="990"/>
      <c r="P3399" s="990"/>
      <c r="Q3399" s="990"/>
      <c r="R3399" s="990"/>
      <c r="S3399" s="990"/>
      <c r="T3399" s="990"/>
      <c r="U3399" s="990"/>
      <c r="V3399" s="990"/>
      <c r="W3399" s="990"/>
      <c r="X3399" s="990"/>
    </row>
    <row r="3400" spans="1:24" s="896" customFormat="1" ht="25.5">
      <c r="A3400" s="987">
        <f t="shared" si="53"/>
        <v>3326</v>
      </c>
      <c r="B3400" s="988">
        <v>11955</v>
      </c>
      <c r="C3400" s="899" t="s">
        <v>12726</v>
      </c>
      <c r="D3400" s="988" t="s">
        <v>2666</v>
      </c>
      <c r="E3400" s="989">
        <v>3.89</v>
      </c>
      <c r="F3400" s="990"/>
      <c r="G3400" s="990"/>
      <c r="H3400" s="990"/>
      <c r="I3400" s="990"/>
      <c r="J3400" s="990"/>
      <c r="K3400" s="990"/>
      <c r="L3400" s="990"/>
      <c r="M3400" s="990"/>
      <c r="N3400" s="990"/>
      <c r="O3400" s="990"/>
      <c r="P3400" s="990"/>
      <c r="Q3400" s="990"/>
      <c r="R3400" s="990"/>
      <c r="S3400" s="990"/>
      <c r="T3400" s="990"/>
      <c r="U3400" s="990"/>
      <c r="V3400" s="990"/>
      <c r="W3400" s="990"/>
      <c r="X3400" s="990"/>
    </row>
    <row r="3401" spans="1:24" s="896" customFormat="1" ht="25.5">
      <c r="A3401" s="987">
        <f t="shared" si="53"/>
        <v>3327</v>
      </c>
      <c r="B3401" s="988">
        <v>11960</v>
      </c>
      <c r="C3401" s="899" t="s">
        <v>12727</v>
      </c>
      <c r="D3401" s="988" t="s">
        <v>2666</v>
      </c>
      <c r="E3401" s="989">
        <v>0.13</v>
      </c>
      <c r="F3401" s="990"/>
      <c r="G3401" s="990"/>
      <c r="H3401" s="990"/>
      <c r="I3401" s="990"/>
      <c r="J3401" s="990"/>
      <c r="K3401" s="990"/>
      <c r="L3401" s="990"/>
      <c r="M3401" s="990"/>
      <c r="N3401" s="990"/>
      <c r="O3401" s="990"/>
      <c r="P3401" s="990"/>
      <c r="Q3401" s="990"/>
      <c r="R3401" s="990"/>
      <c r="S3401" s="990"/>
      <c r="T3401" s="990"/>
      <c r="U3401" s="990"/>
      <c r="V3401" s="990"/>
      <c r="W3401" s="990"/>
      <c r="X3401" s="990"/>
    </row>
    <row r="3402" spans="1:24" s="896" customFormat="1" ht="25.5">
      <c r="A3402" s="987">
        <f t="shared" si="53"/>
        <v>3328</v>
      </c>
      <c r="B3402" s="988">
        <v>4333</v>
      </c>
      <c r="C3402" s="899" t="s">
        <v>12728</v>
      </c>
      <c r="D3402" s="988" t="s">
        <v>2666</v>
      </c>
      <c r="E3402" s="989">
        <v>0.23</v>
      </c>
      <c r="F3402" s="990"/>
      <c r="G3402" s="990"/>
      <c r="H3402" s="990"/>
      <c r="I3402" s="990"/>
      <c r="J3402" s="990"/>
      <c r="K3402" s="990"/>
      <c r="L3402" s="990"/>
      <c r="M3402" s="990"/>
      <c r="N3402" s="990"/>
      <c r="O3402" s="990"/>
      <c r="P3402" s="990"/>
      <c r="Q3402" s="990"/>
      <c r="R3402" s="990"/>
      <c r="S3402" s="990"/>
      <c r="T3402" s="990"/>
      <c r="U3402" s="990"/>
      <c r="V3402" s="990"/>
      <c r="W3402" s="990"/>
      <c r="X3402" s="990"/>
    </row>
    <row r="3403" spans="1:24" s="896" customFormat="1" ht="25.5">
      <c r="A3403" s="987">
        <f t="shared" si="53"/>
        <v>3329</v>
      </c>
      <c r="B3403" s="988">
        <v>4358</v>
      </c>
      <c r="C3403" s="899" t="s">
        <v>12729</v>
      </c>
      <c r="D3403" s="988" t="s">
        <v>2666</v>
      </c>
      <c r="E3403" s="989">
        <v>1.78</v>
      </c>
      <c r="F3403" s="990"/>
      <c r="G3403" s="990"/>
      <c r="H3403" s="990"/>
      <c r="I3403" s="990"/>
      <c r="J3403" s="990"/>
      <c r="K3403" s="990"/>
      <c r="L3403" s="990"/>
      <c r="M3403" s="990"/>
      <c r="N3403" s="990"/>
      <c r="O3403" s="990"/>
      <c r="P3403" s="990"/>
      <c r="Q3403" s="990"/>
      <c r="R3403" s="990"/>
      <c r="S3403" s="990"/>
      <c r="T3403" s="990"/>
      <c r="U3403" s="990"/>
      <c r="V3403" s="990"/>
      <c r="W3403" s="990"/>
      <c r="X3403" s="990"/>
    </row>
    <row r="3404" spans="1:24" s="896" customFormat="1" ht="25.5">
      <c r="A3404" s="987">
        <f t="shared" ref="A3404:A3467" si="54">A3403+1</f>
        <v>3330</v>
      </c>
      <c r="B3404" s="988">
        <v>39435</v>
      </c>
      <c r="C3404" s="899" t="s">
        <v>12730</v>
      </c>
      <c r="D3404" s="988" t="s">
        <v>2666</v>
      </c>
      <c r="E3404" s="989">
        <v>0.09</v>
      </c>
      <c r="F3404" s="990"/>
      <c r="G3404" s="990"/>
      <c r="H3404" s="990"/>
      <c r="I3404" s="990"/>
      <c r="J3404" s="990"/>
      <c r="K3404" s="990"/>
      <c r="L3404" s="990"/>
      <c r="M3404" s="990"/>
      <c r="N3404" s="990"/>
      <c r="O3404" s="990"/>
      <c r="P3404" s="990"/>
      <c r="Q3404" s="990"/>
      <c r="R3404" s="990"/>
      <c r="S3404" s="990"/>
      <c r="T3404" s="990"/>
      <c r="U3404" s="990"/>
      <c r="V3404" s="990"/>
      <c r="W3404" s="990"/>
      <c r="X3404" s="990"/>
    </row>
    <row r="3405" spans="1:24" s="896" customFormat="1" ht="25.5">
      <c r="A3405" s="987">
        <f t="shared" si="54"/>
        <v>3331</v>
      </c>
      <c r="B3405" s="988">
        <v>39436</v>
      </c>
      <c r="C3405" s="899" t="s">
        <v>12731</v>
      </c>
      <c r="D3405" s="988" t="s">
        <v>2666</v>
      </c>
      <c r="E3405" s="989">
        <v>0.15</v>
      </c>
      <c r="F3405" s="990"/>
      <c r="G3405" s="990"/>
      <c r="H3405" s="990"/>
      <c r="I3405" s="990"/>
      <c r="J3405" s="990"/>
      <c r="K3405" s="990"/>
      <c r="L3405" s="990"/>
      <c r="M3405" s="990"/>
      <c r="N3405" s="990"/>
      <c r="O3405" s="990"/>
      <c r="P3405" s="990"/>
      <c r="Q3405" s="990"/>
      <c r="R3405" s="990"/>
      <c r="S3405" s="990"/>
      <c r="T3405" s="990"/>
      <c r="U3405" s="990"/>
      <c r="V3405" s="990"/>
      <c r="W3405" s="990"/>
      <c r="X3405" s="990"/>
    </row>
    <row r="3406" spans="1:24" s="896" customFormat="1" ht="25.5">
      <c r="A3406" s="987">
        <f t="shared" si="54"/>
        <v>3332</v>
      </c>
      <c r="B3406" s="988">
        <v>39437</v>
      </c>
      <c r="C3406" s="899" t="s">
        <v>12732</v>
      </c>
      <c r="D3406" s="988" t="s">
        <v>2666</v>
      </c>
      <c r="E3406" s="989">
        <v>0.2</v>
      </c>
      <c r="F3406" s="990"/>
      <c r="G3406" s="990"/>
      <c r="H3406" s="990"/>
      <c r="I3406" s="990"/>
      <c r="J3406" s="990"/>
      <c r="K3406" s="990"/>
      <c r="L3406" s="990"/>
      <c r="M3406" s="990"/>
      <c r="N3406" s="990"/>
      <c r="O3406" s="990"/>
      <c r="P3406" s="990"/>
      <c r="Q3406" s="990"/>
      <c r="R3406" s="990"/>
      <c r="S3406" s="990"/>
      <c r="T3406" s="990"/>
      <c r="U3406" s="990"/>
      <c r="V3406" s="990"/>
      <c r="W3406" s="990"/>
      <c r="X3406" s="990"/>
    </row>
    <row r="3407" spans="1:24" s="896" customFormat="1" ht="25.5">
      <c r="A3407" s="987">
        <f t="shared" si="54"/>
        <v>3333</v>
      </c>
      <c r="B3407" s="988">
        <v>39439</v>
      </c>
      <c r="C3407" s="899" t="s">
        <v>12733</v>
      </c>
      <c r="D3407" s="988" t="s">
        <v>2666</v>
      </c>
      <c r="E3407" s="989">
        <v>0.13</v>
      </c>
      <c r="F3407" s="990"/>
      <c r="G3407" s="990"/>
      <c r="H3407" s="990"/>
      <c r="I3407" s="990"/>
      <c r="J3407" s="990"/>
      <c r="K3407" s="990"/>
      <c r="L3407" s="990"/>
      <c r="M3407" s="990"/>
      <c r="N3407" s="990"/>
      <c r="O3407" s="990"/>
      <c r="P3407" s="990"/>
      <c r="Q3407" s="990"/>
      <c r="R3407" s="990"/>
      <c r="S3407" s="990"/>
      <c r="T3407" s="990"/>
      <c r="U3407" s="990"/>
      <c r="V3407" s="990"/>
      <c r="W3407" s="990"/>
      <c r="X3407" s="990"/>
    </row>
    <row r="3408" spans="1:24" s="896" customFormat="1" ht="25.5">
      <c r="A3408" s="987">
        <f t="shared" si="54"/>
        <v>3334</v>
      </c>
      <c r="B3408" s="988">
        <v>39440</v>
      </c>
      <c r="C3408" s="899" t="s">
        <v>12734</v>
      </c>
      <c r="D3408" s="988" t="s">
        <v>2666</v>
      </c>
      <c r="E3408" s="989">
        <v>0.17</v>
      </c>
      <c r="F3408" s="990"/>
      <c r="G3408" s="990"/>
      <c r="H3408" s="990"/>
      <c r="I3408" s="990"/>
      <c r="J3408" s="990"/>
      <c r="K3408" s="990"/>
      <c r="L3408" s="990"/>
      <c r="M3408" s="990"/>
      <c r="N3408" s="990"/>
      <c r="O3408" s="990"/>
      <c r="P3408" s="990"/>
      <c r="Q3408" s="990"/>
      <c r="R3408" s="990"/>
      <c r="S3408" s="990"/>
      <c r="T3408" s="990"/>
      <c r="U3408" s="990"/>
      <c r="V3408" s="990"/>
      <c r="W3408" s="990"/>
      <c r="X3408" s="990"/>
    </row>
    <row r="3409" spans="1:24" s="896" customFormat="1" ht="25.5">
      <c r="A3409" s="987">
        <f t="shared" si="54"/>
        <v>3335</v>
      </c>
      <c r="B3409" s="988">
        <v>39441</v>
      </c>
      <c r="C3409" s="899" t="s">
        <v>12735</v>
      </c>
      <c r="D3409" s="988" t="s">
        <v>2666</v>
      </c>
      <c r="E3409" s="989">
        <v>0.22</v>
      </c>
      <c r="F3409" s="990"/>
      <c r="G3409" s="990"/>
      <c r="H3409" s="990"/>
      <c r="I3409" s="990"/>
      <c r="J3409" s="990"/>
      <c r="K3409" s="990"/>
      <c r="L3409" s="990"/>
      <c r="M3409" s="990"/>
      <c r="N3409" s="990"/>
      <c r="O3409" s="990"/>
      <c r="P3409" s="990"/>
      <c r="Q3409" s="990"/>
      <c r="R3409" s="990"/>
      <c r="S3409" s="990"/>
      <c r="T3409" s="990"/>
      <c r="U3409" s="990"/>
      <c r="V3409" s="990"/>
      <c r="W3409" s="990"/>
      <c r="X3409" s="990"/>
    </row>
    <row r="3410" spans="1:24" s="896" customFormat="1" ht="25.5">
      <c r="A3410" s="987">
        <f t="shared" si="54"/>
        <v>3336</v>
      </c>
      <c r="B3410" s="988">
        <v>39442</v>
      </c>
      <c r="C3410" s="899" t="s">
        <v>12736</v>
      </c>
      <c r="D3410" s="988" t="s">
        <v>2666</v>
      </c>
      <c r="E3410" s="989">
        <v>0.16</v>
      </c>
      <c r="F3410" s="990"/>
      <c r="G3410" s="990"/>
      <c r="H3410" s="990"/>
      <c r="I3410" s="990"/>
      <c r="J3410" s="990"/>
      <c r="K3410" s="990"/>
      <c r="L3410" s="990"/>
      <c r="M3410" s="990"/>
      <c r="N3410" s="990"/>
      <c r="O3410" s="990"/>
      <c r="P3410" s="990"/>
      <c r="Q3410" s="990"/>
      <c r="R3410" s="990"/>
      <c r="S3410" s="990"/>
      <c r="T3410" s="990"/>
      <c r="U3410" s="990"/>
      <c r="V3410" s="990"/>
      <c r="W3410" s="990"/>
      <c r="X3410" s="990"/>
    </row>
    <row r="3411" spans="1:24" s="896" customFormat="1" ht="25.5">
      <c r="A3411" s="987">
        <f t="shared" si="54"/>
        <v>3337</v>
      </c>
      <c r="B3411" s="988">
        <v>39443</v>
      </c>
      <c r="C3411" s="899" t="s">
        <v>12737</v>
      </c>
      <c r="D3411" s="988" t="s">
        <v>2666</v>
      </c>
      <c r="E3411" s="989">
        <v>0.21</v>
      </c>
      <c r="F3411" s="990"/>
      <c r="G3411" s="990"/>
      <c r="H3411" s="990"/>
      <c r="I3411" s="990"/>
      <c r="J3411" s="990"/>
      <c r="K3411" s="990"/>
      <c r="L3411" s="990"/>
      <c r="M3411" s="990"/>
      <c r="N3411" s="990"/>
      <c r="O3411" s="990"/>
      <c r="P3411" s="990"/>
      <c r="Q3411" s="990"/>
      <c r="R3411" s="990"/>
      <c r="S3411" s="990"/>
      <c r="T3411" s="990"/>
      <c r="U3411" s="990"/>
      <c r="V3411" s="990"/>
      <c r="W3411" s="990"/>
      <c r="X3411" s="990"/>
    </row>
    <row r="3412" spans="1:24" s="896" customFormat="1" ht="25.5">
      <c r="A3412" s="987">
        <f t="shared" si="54"/>
        <v>3338</v>
      </c>
      <c r="B3412" s="988">
        <v>4329</v>
      </c>
      <c r="C3412" s="899" t="s">
        <v>12738</v>
      </c>
      <c r="D3412" s="988" t="s">
        <v>2666</v>
      </c>
      <c r="E3412" s="989">
        <v>1.9</v>
      </c>
      <c r="F3412" s="990"/>
      <c r="G3412" s="990"/>
      <c r="H3412" s="990"/>
      <c r="I3412" s="990"/>
      <c r="J3412" s="990"/>
      <c r="K3412" s="990"/>
      <c r="L3412" s="990"/>
      <c r="M3412" s="990"/>
      <c r="N3412" s="990"/>
      <c r="O3412" s="990"/>
      <c r="P3412" s="990"/>
      <c r="Q3412" s="990"/>
      <c r="R3412" s="990"/>
      <c r="S3412" s="990"/>
      <c r="T3412" s="990"/>
      <c r="U3412" s="990"/>
      <c r="V3412" s="990"/>
      <c r="W3412" s="990"/>
      <c r="X3412" s="990"/>
    </row>
    <row r="3413" spans="1:24" s="896" customFormat="1" ht="25.5">
      <c r="A3413" s="987">
        <f t="shared" si="54"/>
        <v>3339</v>
      </c>
      <c r="B3413" s="988">
        <v>4383</v>
      </c>
      <c r="C3413" s="899" t="s">
        <v>12739</v>
      </c>
      <c r="D3413" s="988" t="s">
        <v>2666</v>
      </c>
      <c r="E3413" s="989">
        <v>17.18</v>
      </c>
      <c r="F3413" s="990"/>
      <c r="G3413" s="990"/>
      <c r="H3413" s="990"/>
      <c r="I3413" s="990"/>
      <c r="J3413" s="990"/>
      <c r="K3413" s="990"/>
      <c r="L3413" s="990"/>
      <c r="M3413" s="990"/>
      <c r="N3413" s="990"/>
      <c r="O3413" s="990"/>
      <c r="P3413" s="990"/>
      <c r="Q3413" s="990"/>
      <c r="R3413" s="990"/>
      <c r="S3413" s="990"/>
      <c r="T3413" s="990"/>
      <c r="U3413" s="990"/>
      <c r="V3413" s="990"/>
      <c r="W3413" s="990"/>
      <c r="X3413" s="990"/>
    </row>
    <row r="3414" spans="1:24" s="896" customFormat="1" ht="25.5">
      <c r="A3414" s="987">
        <f t="shared" si="54"/>
        <v>3340</v>
      </c>
      <c r="B3414" s="988">
        <v>4344</v>
      </c>
      <c r="C3414" s="899" t="s">
        <v>12740</v>
      </c>
      <c r="D3414" s="988" t="s">
        <v>2666</v>
      </c>
      <c r="E3414" s="989">
        <v>18</v>
      </c>
      <c r="F3414" s="990"/>
      <c r="G3414" s="990"/>
      <c r="H3414" s="990"/>
      <c r="I3414" s="990"/>
      <c r="J3414" s="990"/>
      <c r="K3414" s="990"/>
      <c r="L3414" s="990"/>
      <c r="M3414" s="990"/>
      <c r="N3414" s="990"/>
      <c r="O3414" s="990"/>
      <c r="P3414" s="990"/>
      <c r="Q3414" s="990"/>
      <c r="R3414" s="990"/>
      <c r="S3414" s="990"/>
      <c r="T3414" s="990"/>
      <c r="U3414" s="990"/>
      <c r="V3414" s="990"/>
      <c r="W3414" s="990"/>
      <c r="X3414" s="990"/>
    </row>
    <row r="3415" spans="1:24" s="896" customFormat="1" ht="25.5">
      <c r="A3415" s="987">
        <f t="shared" si="54"/>
        <v>3341</v>
      </c>
      <c r="B3415" s="988">
        <v>436</v>
      </c>
      <c r="C3415" s="899" t="s">
        <v>12741</v>
      </c>
      <c r="D3415" s="988" t="s">
        <v>2666</v>
      </c>
      <c r="E3415" s="989">
        <v>9.44</v>
      </c>
      <c r="F3415" s="990"/>
      <c r="G3415" s="990"/>
      <c r="H3415" s="990"/>
      <c r="I3415" s="990"/>
      <c r="J3415" s="990"/>
      <c r="K3415" s="990"/>
      <c r="L3415" s="990"/>
      <c r="M3415" s="990"/>
      <c r="N3415" s="990"/>
      <c r="O3415" s="990"/>
      <c r="P3415" s="990"/>
      <c r="Q3415" s="990"/>
      <c r="R3415" s="990"/>
      <c r="S3415" s="990"/>
      <c r="T3415" s="990"/>
      <c r="U3415" s="990"/>
      <c r="V3415" s="990"/>
      <c r="W3415" s="990"/>
      <c r="X3415" s="990"/>
    </row>
    <row r="3416" spans="1:24" s="896" customFormat="1" ht="25.5">
      <c r="A3416" s="987">
        <f t="shared" si="54"/>
        <v>3342</v>
      </c>
      <c r="B3416" s="988">
        <v>442</v>
      </c>
      <c r="C3416" s="899" t="s">
        <v>12742</v>
      </c>
      <c r="D3416" s="988" t="s">
        <v>2666</v>
      </c>
      <c r="E3416" s="989">
        <v>5.58</v>
      </c>
      <c r="F3416" s="990"/>
      <c r="G3416" s="990"/>
      <c r="H3416" s="990"/>
      <c r="I3416" s="990"/>
      <c r="J3416" s="990"/>
      <c r="K3416" s="990"/>
      <c r="L3416" s="990"/>
      <c r="M3416" s="990"/>
      <c r="N3416" s="990"/>
      <c r="O3416" s="990"/>
      <c r="P3416" s="990"/>
      <c r="Q3416" s="990"/>
      <c r="R3416" s="990"/>
      <c r="S3416" s="990"/>
      <c r="T3416" s="990"/>
      <c r="U3416" s="990"/>
      <c r="V3416" s="990"/>
      <c r="W3416" s="990"/>
      <c r="X3416" s="990"/>
    </row>
    <row r="3417" spans="1:24" s="896" customFormat="1">
      <c r="A3417" s="987">
        <f t="shared" si="54"/>
        <v>3343</v>
      </c>
      <c r="B3417" s="988">
        <v>11953</v>
      </c>
      <c r="C3417" s="899" t="s">
        <v>12743</v>
      </c>
      <c r="D3417" s="988" t="s">
        <v>2666</v>
      </c>
      <c r="E3417" s="989">
        <v>2.85</v>
      </c>
      <c r="F3417" s="990"/>
      <c r="G3417" s="990"/>
      <c r="H3417" s="990"/>
      <c r="I3417" s="990"/>
      <c r="J3417" s="990"/>
      <c r="K3417" s="990"/>
      <c r="L3417" s="990"/>
      <c r="M3417" s="990"/>
      <c r="N3417" s="990"/>
      <c r="O3417" s="990"/>
      <c r="P3417" s="990"/>
      <c r="Q3417" s="990"/>
      <c r="R3417" s="990"/>
      <c r="S3417" s="990"/>
      <c r="T3417" s="990"/>
      <c r="U3417" s="990"/>
      <c r="V3417" s="990"/>
      <c r="W3417" s="990"/>
      <c r="X3417" s="990"/>
    </row>
    <row r="3418" spans="1:24" s="896" customFormat="1" ht="25.5">
      <c r="A3418" s="987">
        <f t="shared" si="54"/>
        <v>3344</v>
      </c>
      <c r="B3418" s="988">
        <v>4335</v>
      </c>
      <c r="C3418" s="899" t="s">
        <v>12744</v>
      </c>
      <c r="D3418" s="988" t="s">
        <v>2666</v>
      </c>
      <c r="E3418" s="989">
        <v>12.09</v>
      </c>
      <c r="F3418" s="990"/>
      <c r="G3418" s="990"/>
      <c r="H3418" s="990"/>
      <c r="I3418" s="990"/>
      <c r="J3418" s="990"/>
      <c r="K3418" s="990"/>
      <c r="L3418" s="990"/>
      <c r="M3418" s="990"/>
      <c r="N3418" s="990"/>
      <c r="O3418" s="990"/>
      <c r="P3418" s="990"/>
      <c r="Q3418" s="990"/>
      <c r="R3418" s="990"/>
      <c r="S3418" s="990"/>
      <c r="T3418" s="990"/>
      <c r="U3418" s="990"/>
      <c r="V3418" s="990"/>
      <c r="W3418" s="990"/>
      <c r="X3418" s="990"/>
    </row>
    <row r="3419" spans="1:24" s="896" customFormat="1" ht="25.5">
      <c r="A3419" s="987">
        <f t="shared" si="54"/>
        <v>3345</v>
      </c>
      <c r="B3419" s="988">
        <v>4334</v>
      </c>
      <c r="C3419" s="899" t="s">
        <v>12745</v>
      </c>
      <c r="D3419" s="988" t="s">
        <v>2666</v>
      </c>
      <c r="E3419" s="989">
        <v>16.579999999999998</v>
      </c>
      <c r="F3419" s="990"/>
      <c r="G3419" s="990"/>
      <c r="H3419" s="990"/>
      <c r="I3419" s="990"/>
      <c r="J3419" s="990"/>
      <c r="K3419" s="990"/>
      <c r="L3419" s="990"/>
      <c r="M3419" s="990"/>
      <c r="N3419" s="990"/>
      <c r="O3419" s="990"/>
      <c r="P3419" s="990"/>
      <c r="Q3419" s="990"/>
      <c r="R3419" s="990"/>
      <c r="S3419" s="990"/>
      <c r="T3419" s="990"/>
      <c r="U3419" s="990"/>
      <c r="V3419" s="990"/>
      <c r="W3419" s="990"/>
      <c r="X3419" s="990"/>
    </row>
    <row r="3420" spans="1:24" s="896" customFormat="1">
      <c r="A3420" s="987">
        <f t="shared" si="54"/>
        <v>3346</v>
      </c>
      <c r="B3420" s="988">
        <v>4343</v>
      </c>
      <c r="C3420" s="899" t="s">
        <v>12746</v>
      </c>
      <c r="D3420" s="988" t="s">
        <v>2666</v>
      </c>
      <c r="E3420" s="989">
        <v>4.08</v>
      </c>
      <c r="F3420" s="990"/>
      <c r="G3420" s="990"/>
      <c r="H3420" s="990"/>
      <c r="I3420" s="990"/>
      <c r="J3420" s="990"/>
      <c r="K3420" s="990"/>
      <c r="L3420" s="990"/>
      <c r="M3420" s="990"/>
      <c r="N3420" s="990"/>
      <c r="O3420" s="990"/>
      <c r="P3420" s="990"/>
      <c r="Q3420" s="990"/>
      <c r="R3420" s="990"/>
      <c r="S3420" s="990"/>
      <c r="T3420" s="990"/>
      <c r="U3420" s="990"/>
      <c r="V3420" s="990"/>
      <c r="W3420" s="990"/>
      <c r="X3420" s="990"/>
    </row>
    <row r="3421" spans="1:24" s="896" customFormat="1" ht="25.5">
      <c r="A3421" s="987">
        <f t="shared" si="54"/>
        <v>3347</v>
      </c>
      <c r="B3421" s="988">
        <v>430</v>
      </c>
      <c r="C3421" s="899" t="s">
        <v>12747</v>
      </c>
      <c r="D3421" s="988" t="s">
        <v>2666</v>
      </c>
      <c r="E3421" s="989">
        <v>8.4499999999999993</v>
      </c>
      <c r="F3421" s="990"/>
      <c r="G3421" s="990"/>
      <c r="H3421" s="990"/>
      <c r="I3421" s="990"/>
      <c r="J3421" s="990"/>
      <c r="K3421" s="990"/>
      <c r="L3421" s="990"/>
      <c r="M3421" s="990"/>
      <c r="N3421" s="990"/>
      <c r="O3421" s="990"/>
      <c r="P3421" s="990"/>
      <c r="Q3421" s="990"/>
      <c r="R3421" s="990"/>
      <c r="S3421" s="990"/>
      <c r="T3421" s="990"/>
      <c r="U3421" s="990"/>
      <c r="V3421" s="990"/>
      <c r="W3421" s="990"/>
      <c r="X3421" s="990"/>
    </row>
    <row r="3422" spans="1:24" s="896" customFormat="1" ht="25.5">
      <c r="A3422" s="987">
        <f t="shared" si="54"/>
        <v>3348</v>
      </c>
      <c r="B3422" s="988">
        <v>441</v>
      </c>
      <c r="C3422" s="899" t="s">
        <v>12748</v>
      </c>
      <c r="D3422" s="988" t="s">
        <v>2666</v>
      </c>
      <c r="E3422" s="989">
        <v>9.3000000000000007</v>
      </c>
      <c r="F3422" s="990"/>
      <c r="G3422" s="990"/>
      <c r="H3422" s="990"/>
      <c r="I3422" s="990"/>
      <c r="J3422" s="990"/>
      <c r="K3422" s="990"/>
      <c r="L3422" s="990"/>
      <c r="M3422" s="990"/>
      <c r="N3422" s="990"/>
      <c r="O3422" s="990"/>
      <c r="P3422" s="990"/>
      <c r="Q3422" s="990"/>
      <c r="R3422" s="990"/>
      <c r="S3422" s="990"/>
      <c r="T3422" s="990"/>
      <c r="U3422" s="990"/>
      <c r="V3422" s="990"/>
      <c r="W3422" s="990"/>
      <c r="X3422" s="990"/>
    </row>
    <row r="3423" spans="1:24" s="896" customFormat="1" ht="25.5">
      <c r="A3423" s="987">
        <f t="shared" si="54"/>
        <v>3349</v>
      </c>
      <c r="B3423" s="988">
        <v>431</v>
      </c>
      <c r="C3423" s="899" t="s">
        <v>12749</v>
      </c>
      <c r="D3423" s="988" t="s">
        <v>2666</v>
      </c>
      <c r="E3423" s="989">
        <v>11.23</v>
      </c>
      <c r="F3423" s="990"/>
      <c r="G3423" s="990"/>
      <c r="H3423" s="990"/>
      <c r="I3423" s="990"/>
      <c r="J3423" s="990"/>
      <c r="K3423" s="990"/>
      <c r="L3423" s="990"/>
      <c r="M3423" s="990"/>
      <c r="N3423" s="990"/>
      <c r="O3423" s="990"/>
      <c r="P3423" s="990"/>
      <c r="Q3423" s="990"/>
      <c r="R3423" s="990"/>
      <c r="S3423" s="990"/>
      <c r="T3423" s="990"/>
      <c r="U3423" s="990"/>
      <c r="V3423" s="990"/>
      <c r="W3423" s="990"/>
      <c r="X3423" s="990"/>
    </row>
    <row r="3424" spans="1:24" s="896" customFormat="1" ht="25.5">
      <c r="A3424" s="987">
        <f t="shared" si="54"/>
        <v>3350</v>
      </c>
      <c r="B3424" s="988">
        <v>432</v>
      </c>
      <c r="C3424" s="899" t="s">
        <v>12750</v>
      </c>
      <c r="D3424" s="988" t="s">
        <v>2666</v>
      </c>
      <c r="E3424" s="989">
        <v>12.39</v>
      </c>
      <c r="F3424" s="990"/>
      <c r="G3424" s="990"/>
      <c r="H3424" s="990"/>
      <c r="I3424" s="990"/>
      <c r="J3424" s="990"/>
      <c r="K3424" s="990"/>
      <c r="L3424" s="990"/>
      <c r="M3424" s="990"/>
      <c r="N3424" s="990"/>
      <c r="O3424" s="990"/>
      <c r="P3424" s="990"/>
      <c r="Q3424" s="990"/>
      <c r="R3424" s="990"/>
      <c r="S3424" s="990"/>
      <c r="T3424" s="990"/>
      <c r="U3424" s="990"/>
      <c r="V3424" s="990"/>
      <c r="W3424" s="990"/>
      <c r="X3424" s="990"/>
    </row>
    <row r="3425" spans="1:24" s="896" customFormat="1" ht="25.5">
      <c r="A3425" s="987">
        <f t="shared" si="54"/>
        <v>3351</v>
      </c>
      <c r="B3425" s="988">
        <v>429</v>
      </c>
      <c r="C3425" s="899" t="s">
        <v>12751</v>
      </c>
      <c r="D3425" s="988" t="s">
        <v>2666</v>
      </c>
      <c r="E3425" s="989">
        <v>16.71</v>
      </c>
      <c r="F3425" s="990"/>
      <c r="G3425" s="990"/>
      <c r="H3425" s="990"/>
      <c r="I3425" s="990"/>
      <c r="J3425" s="990"/>
      <c r="K3425" s="990"/>
      <c r="L3425" s="990"/>
      <c r="M3425" s="990"/>
      <c r="N3425" s="990"/>
      <c r="O3425" s="990"/>
      <c r="P3425" s="990"/>
      <c r="Q3425" s="990"/>
      <c r="R3425" s="990"/>
      <c r="S3425" s="990"/>
      <c r="T3425" s="990"/>
      <c r="U3425" s="990"/>
      <c r="V3425" s="990"/>
      <c r="W3425" s="990"/>
      <c r="X3425" s="990"/>
    </row>
    <row r="3426" spans="1:24" s="896" customFormat="1" ht="25.5">
      <c r="A3426" s="987">
        <f t="shared" si="54"/>
        <v>3352</v>
      </c>
      <c r="B3426" s="988">
        <v>439</v>
      </c>
      <c r="C3426" s="899" t="s">
        <v>12752</v>
      </c>
      <c r="D3426" s="988" t="s">
        <v>2666</v>
      </c>
      <c r="E3426" s="989">
        <v>14.24</v>
      </c>
      <c r="F3426" s="990"/>
      <c r="G3426" s="990"/>
      <c r="H3426" s="990"/>
      <c r="I3426" s="990"/>
      <c r="J3426" s="990"/>
      <c r="K3426" s="990"/>
      <c r="L3426" s="990"/>
      <c r="M3426" s="990"/>
      <c r="N3426" s="990"/>
      <c r="O3426" s="990"/>
      <c r="P3426" s="990"/>
      <c r="Q3426" s="990"/>
      <c r="R3426" s="990"/>
      <c r="S3426" s="990"/>
      <c r="T3426" s="990"/>
      <c r="U3426" s="990"/>
      <c r="V3426" s="990"/>
      <c r="W3426" s="990"/>
      <c r="X3426" s="990"/>
    </row>
    <row r="3427" spans="1:24" s="896" customFormat="1" ht="25.5">
      <c r="A3427" s="987">
        <f t="shared" si="54"/>
        <v>3353</v>
      </c>
      <c r="B3427" s="988">
        <v>433</v>
      </c>
      <c r="C3427" s="899" t="s">
        <v>12753</v>
      </c>
      <c r="D3427" s="988" t="s">
        <v>2666</v>
      </c>
      <c r="E3427" s="989">
        <v>16.62</v>
      </c>
      <c r="F3427" s="990"/>
      <c r="G3427" s="990"/>
      <c r="H3427" s="990"/>
      <c r="I3427" s="990"/>
      <c r="J3427" s="990"/>
      <c r="K3427" s="990"/>
      <c r="L3427" s="990"/>
      <c r="M3427" s="990"/>
      <c r="N3427" s="990"/>
      <c r="O3427" s="990"/>
      <c r="P3427" s="990"/>
      <c r="Q3427" s="990"/>
      <c r="R3427" s="990"/>
      <c r="S3427" s="990"/>
      <c r="T3427" s="990"/>
      <c r="U3427" s="990"/>
      <c r="V3427" s="990"/>
      <c r="W3427" s="990"/>
      <c r="X3427" s="990"/>
    </row>
    <row r="3428" spans="1:24" s="896" customFormat="1" ht="25.5">
      <c r="A3428" s="987">
        <f t="shared" si="54"/>
        <v>3354</v>
      </c>
      <c r="B3428" s="988">
        <v>437</v>
      </c>
      <c r="C3428" s="899" t="s">
        <v>12754</v>
      </c>
      <c r="D3428" s="988" t="s">
        <v>2666</v>
      </c>
      <c r="E3428" s="989">
        <v>22.08</v>
      </c>
      <c r="F3428" s="990"/>
      <c r="G3428" s="990"/>
      <c r="H3428" s="990"/>
      <c r="I3428" s="990"/>
      <c r="J3428" s="990"/>
      <c r="K3428" s="990"/>
      <c r="L3428" s="990"/>
      <c r="M3428" s="990"/>
      <c r="N3428" s="990"/>
      <c r="O3428" s="990"/>
      <c r="P3428" s="990"/>
      <c r="Q3428" s="990"/>
      <c r="R3428" s="990"/>
      <c r="S3428" s="990"/>
      <c r="T3428" s="990"/>
      <c r="U3428" s="990"/>
      <c r="V3428" s="990"/>
      <c r="W3428" s="990"/>
      <c r="X3428" s="990"/>
    </row>
    <row r="3429" spans="1:24" s="896" customFormat="1" ht="25.5">
      <c r="A3429" s="987">
        <f t="shared" si="54"/>
        <v>3355</v>
      </c>
      <c r="B3429" s="988">
        <v>11790</v>
      </c>
      <c r="C3429" s="899" t="s">
        <v>12755</v>
      </c>
      <c r="D3429" s="988" t="s">
        <v>2666</v>
      </c>
      <c r="E3429" s="989">
        <v>25.05</v>
      </c>
      <c r="F3429" s="990"/>
      <c r="G3429" s="990"/>
      <c r="H3429" s="990"/>
      <c r="I3429" s="990"/>
      <c r="J3429" s="990"/>
      <c r="K3429" s="990"/>
      <c r="L3429" s="990"/>
      <c r="M3429" s="990"/>
      <c r="N3429" s="990"/>
      <c r="O3429" s="990"/>
      <c r="P3429" s="990"/>
      <c r="Q3429" s="990"/>
      <c r="R3429" s="990"/>
      <c r="S3429" s="990"/>
      <c r="T3429" s="990"/>
      <c r="U3429" s="990"/>
      <c r="V3429" s="990"/>
      <c r="W3429" s="990"/>
      <c r="X3429" s="990"/>
    </row>
    <row r="3430" spans="1:24" s="896" customFormat="1" ht="25.5">
      <c r="A3430" s="987">
        <f t="shared" si="54"/>
        <v>3356</v>
      </c>
      <c r="B3430" s="988">
        <v>428</v>
      </c>
      <c r="C3430" s="899" t="s">
        <v>12756</v>
      </c>
      <c r="D3430" s="988" t="s">
        <v>2666</v>
      </c>
      <c r="E3430" s="989">
        <v>27.24</v>
      </c>
      <c r="F3430" s="990"/>
      <c r="G3430" s="990"/>
      <c r="H3430" s="990"/>
      <c r="I3430" s="990"/>
      <c r="J3430" s="990"/>
      <c r="K3430" s="990"/>
      <c r="L3430" s="990"/>
      <c r="M3430" s="990"/>
      <c r="N3430" s="990"/>
      <c r="O3430" s="990"/>
      <c r="P3430" s="990"/>
      <c r="Q3430" s="990"/>
      <c r="R3430" s="990"/>
      <c r="S3430" s="990"/>
      <c r="T3430" s="990"/>
      <c r="U3430" s="990"/>
      <c r="V3430" s="990"/>
      <c r="W3430" s="990"/>
      <c r="X3430" s="990"/>
    </row>
    <row r="3431" spans="1:24" s="896" customFormat="1" ht="25.5">
      <c r="A3431" s="987">
        <f t="shared" si="54"/>
        <v>3357</v>
      </c>
      <c r="B3431" s="988">
        <v>4384</v>
      </c>
      <c r="C3431" s="899" t="s">
        <v>12757</v>
      </c>
      <c r="D3431" s="988" t="s">
        <v>2666</v>
      </c>
      <c r="E3431" s="989">
        <v>19.739999999999998</v>
      </c>
      <c r="F3431" s="990"/>
      <c r="G3431" s="990"/>
      <c r="H3431" s="990"/>
      <c r="I3431" s="990"/>
      <c r="J3431" s="990"/>
      <c r="K3431" s="990"/>
      <c r="L3431" s="990"/>
      <c r="M3431" s="990"/>
      <c r="N3431" s="990"/>
      <c r="O3431" s="990"/>
      <c r="P3431" s="990"/>
      <c r="Q3431" s="990"/>
      <c r="R3431" s="990"/>
      <c r="S3431" s="990"/>
      <c r="T3431" s="990"/>
      <c r="U3431" s="990"/>
      <c r="V3431" s="990"/>
      <c r="W3431" s="990"/>
      <c r="X3431" s="990"/>
    </row>
    <row r="3432" spans="1:24" s="896" customFormat="1" ht="25.5">
      <c r="A3432" s="987">
        <f t="shared" si="54"/>
        <v>3358</v>
      </c>
      <c r="B3432" s="988">
        <v>4351</v>
      </c>
      <c r="C3432" s="899" t="s">
        <v>12758</v>
      </c>
      <c r="D3432" s="988" t="s">
        <v>2666</v>
      </c>
      <c r="E3432" s="989">
        <v>14.63</v>
      </c>
      <c r="F3432" s="990"/>
      <c r="G3432" s="990"/>
      <c r="H3432" s="990"/>
      <c r="I3432" s="990"/>
      <c r="J3432" s="990"/>
      <c r="K3432" s="990"/>
      <c r="L3432" s="990"/>
      <c r="M3432" s="990"/>
      <c r="N3432" s="990"/>
      <c r="O3432" s="990"/>
      <c r="P3432" s="990"/>
      <c r="Q3432" s="990"/>
      <c r="R3432" s="990"/>
      <c r="S3432" s="990"/>
      <c r="T3432" s="990"/>
      <c r="U3432" s="990"/>
      <c r="V3432" s="990"/>
      <c r="W3432" s="990"/>
      <c r="X3432" s="990"/>
    </row>
    <row r="3433" spans="1:24" s="896" customFormat="1">
      <c r="A3433" s="987">
        <f t="shared" si="54"/>
        <v>3359</v>
      </c>
      <c r="B3433" s="988">
        <v>11054</v>
      </c>
      <c r="C3433" s="899" t="s">
        <v>12759</v>
      </c>
      <c r="D3433" s="988" t="s">
        <v>2666</v>
      </c>
      <c r="E3433" s="989">
        <v>0.03</v>
      </c>
      <c r="F3433" s="990"/>
      <c r="G3433" s="990"/>
      <c r="H3433" s="990"/>
      <c r="I3433" s="990"/>
      <c r="J3433" s="990"/>
      <c r="K3433" s="990"/>
      <c r="L3433" s="990"/>
      <c r="M3433" s="990"/>
      <c r="N3433" s="990"/>
      <c r="O3433" s="990"/>
      <c r="P3433" s="990"/>
      <c r="Q3433" s="990"/>
      <c r="R3433" s="990"/>
      <c r="S3433" s="990"/>
      <c r="T3433" s="990"/>
      <c r="U3433" s="990"/>
      <c r="V3433" s="990"/>
      <c r="W3433" s="990"/>
      <c r="X3433" s="990"/>
    </row>
    <row r="3434" spans="1:24" s="896" customFormat="1">
      <c r="A3434" s="987">
        <f t="shared" si="54"/>
        <v>3360</v>
      </c>
      <c r="B3434" s="988">
        <v>11055</v>
      </c>
      <c r="C3434" s="899" t="s">
        <v>12760</v>
      </c>
      <c r="D3434" s="988" t="s">
        <v>2666</v>
      </c>
      <c r="E3434" s="989">
        <v>0.06</v>
      </c>
      <c r="F3434" s="990"/>
      <c r="G3434" s="990"/>
      <c r="H3434" s="990"/>
      <c r="I3434" s="990"/>
      <c r="J3434" s="990"/>
      <c r="K3434" s="990"/>
      <c r="L3434" s="990"/>
      <c r="M3434" s="990"/>
      <c r="N3434" s="990"/>
      <c r="O3434" s="990"/>
      <c r="P3434" s="990"/>
      <c r="Q3434" s="990"/>
      <c r="R3434" s="990"/>
      <c r="S3434" s="990"/>
      <c r="T3434" s="990"/>
      <c r="U3434" s="990"/>
      <c r="V3434" s="990"/>
      <c r="W3434" s="990"/>
      <c r="X3434" s="990"/>
    </row>
    <row r="3435" spans="1:24" s="896" customFormat="1">
      <c r="A3435" s="987">
        <f t="shared" si="54"/>
        <v>3361</v>
      </c>
      <c r="B3435" s="988">
        <v>11056</v>
      </c>
      <c r="C3435" s="899" t="s">
        <v>12761</v>
      </c>
      <c r="D3435" s="988" t="s">
        <v>2666</v>
      </c>
      <c r="E3435" s="989">
        <v>0.06</v>
      </c>
      <c r="F3435" s="990"/>
      <c r="G3435" s="990"/>
      <c r="H3435" s="990"/>
      <c r="I3435" s="990"/>
      <c r="J3435" s="990"/>
      <c r="K3435" s="990"/>
      <c r="L3435" s="990"/>
      <c r="M3435" s="990"/>
      <c r="N3435" s="990"/>
      <c r="O3435" s="990"/>
      <c r="P3435" s="990"/>
      <c r="Q3435" s="990"/>
      <c r="R3435" s="990"/>
      <c r="S3435" s="990"/>
      <c r="T3435" s="990"/>
      <c r="U3435" s="990"/>
      <c r="V3435" s="990"/>
      <c r="W3435" s="990"/>
      <c r="X3435" s="990"/>
    </row>
    <row r="3436" spans="1:24" s="896" customFormat="1">
      <c r="A3436" s="987">
        <f t="shared" si="54"/>
        <v>3362</v>
      </c>
      <c r="B3436" s="988">
        <v>11057</v>
      </c>
      <c r="C3436" s="899" t="s">
        <v>12762</v>
      </c>
      <c r="D3436" s="988" t="s">
        <v>2666</v>
      </c>
      <c r="E3436" s="989">
        <v>0.13</v>
      </c>
      <c r="F3436" s="990"/>
      <c r="G3436" s="990"/>
      <c r="H3436" s="990"/>
      <c r="I3436" s="990"/>
      <c r="J3436" s="990"/>
      <c r="K3436" s="990"/>
      <c r="L3436" s="990"/>
      <c r="M3436" s="990"/>
      <c r="N3436" s="990"/>
      <c r="O3436" s="990"/>
      <c r="P3436" s="990"/>
      <c r="Q3436" s="990"/>
      <c r="R3436" s="990"/>
      <c r="S3436" s="990"/>
      <c r="T3436" s="990"/>
      <c r="U3436" s="990"/>
      <c r="V3436" s="990"/>
      <c r="W3436" s="990"/>
      <c r="X3436" s="990"/>
    </row>
    <row r="3437" spans="1:24" s="896" customFormat="1">
      <c r="A3437" s="987">
        <f t="shared" si="54"/>
        <v>3363</v>
      </c>
      <c r="B3437" s="988">
        <v>11059</v>
      </c>
      <c r="C3437" s="899" t="s">
        <v>12763</v>
      </c>
      <c r="D3437" s="988" t="s">
        <v>2666</v>
      </c>
      <c r="E3437" s="989">
        <v>0.26</v>
      </c>
      <c r="F3437" s="990"/>
      <c r="G3437" s="990"/>
      <c r="H3437" s="990"/>
      <c r="I3437" s="990"/>
      <c r="J3437" s="990"/>
      <c r="K3437" s="990"/>
      <c r="L3437" s="990"/>
      <c r="M3437" s="990"/>
      <c r="N3437" s="990"/>
      <c r="O3437" s="990"/>
      <c r="P3437" s="990"/>
      <c r="Q3437" s="990"/>
      <c r="R3437" s="990"/>
      <c r="S3437" s="990"/>
      <c r="T3437" s="990"/>
      <c r="U3437" s="990"/>
      <c r="V3437" s="990"/>
      <c r="W3437" s="990"/>
      <c r="X3437" s="990"/>
    </row>
    <row r="3438" spans="1:24" s="896" customFormat="1">
      <c r="A3438" s="987">
        <f t="shared" si="54"/>
        <v>3364</v>
      </c>
      <c r="B3438" s="988">
        <v>11058</v>
      </c>
      <c r="C3438" s="899" t="s">
        <v>12764</v>
      </c>
      <c r="D3438" s="988" t="s">
        <v>2666</v>
      </c>
      <c r="E3438" s="989">
        <v>0.34</v>
      </c>
      <c r="F3438" s="990"/>
      <c r="G3438" s="990"/>
      <c r="H3438" s="990"/>
      <c r="I3438" s="990"/>
      <c r="J3438" s="990"/>
      <c r="K3438" s="990"/>
      <c r="L3438" s="990"/>
      <c r="M3438" s="990"/>
      <c r="N3438" s="990"/>
      <c r="O3438" s="990"/>
      <c r="P3438" s="990"/>
      <c r="Q3438" s="990"/>
      <c r="R3438" s="990"/>
      <c r="S3438" s="990"/>
      <c r="T3438" s="990"/>
      <c r="U3438" s="990"/>
      <c r="V3438" s="990"/>
      <c r="W3438" s="990"/>
      <c r="X3438" s="990"/>
    </row>
    <row r="3439" spans="1:24" s="896" customFormat="1">
      <c r="A3439" s="987">
        <f t="shared" si="54"/>
        <v>3365</v>
      </c>
      <c r="B3439" s="988">
        <v>4380</v>
      </c>
      <c r="C3439" s="899" t="s">
        <v>12765</v>
      </c>
      <c r="D3439" s="988" t="s">
        <v>2666</v>
      </c>
      <c r="E3439" s="989">
        <v>1.1399999999999999</v>
      </c>
      <c r="F3439" s="990"/>
      <c r="G3439" s="990"/>
      <c r="H3439" s="990"/>
      <c r="I3439" s="990"/>
      <c r="J3439" s="990"/>
      <c r="K3439" s="990"/>
      <c r="L3439" s="990"/>
      <c r="M3439" s="990"/>
      <c r="N3439" s="990"/>
      <c r="O3439" s="990"/>
      <c r="P3439" s="990"/>
      <c r="Q3439" s="990"/>
      <c r="R3439" s="990"/>
      <c r="S3439" s="990"/>
      <c r="T3439" s="990"/>
      <c r="U3439" s="990"/>
      <c r="V3439" s="990"/>
      <c r="W3439" s="990"/>
      <c r="X3439" s="990"/>
    </row>
    <row r="3440" spans="1:24" s="896" customFormat="1" ht="25.5">
      <c r="A3440" s="987">
        <f t="shared" si="54"/>
        <v>3366</v>
      </c>
      <c r="B3440" s="988">
        <v>4299</v>
      </c>
      <c r="C3440" s="899" t="s">
        <v>12766</v>
      </c>
      <c r="D3440" s="988" t="s">
        <v>2666</v>
      </c>
      <c r="E3440" s="989">
        <v>1.08</v>
      </c>
      <c r="F3440" s="990"/>
      <c r="G3440" s="990"/>
      <c r="H3440" s="990"/>
      <c r="I3440" s="990"/>
      <c r="J3440" s="990"/>
      <c r="K3440" s="990"/>
      <c r="L3440" s="990"/>
      <c r="M3440" s="990"/>
      <c r="N3440" s="990"/>
      <c r="O3440" s="990"/>
      <c r="P3440" s="990"/>
      <c r="Q3440" s="990"/>
      <c r="R3440" s="990"/>
      <c r="S3440" s="990"/>
      <c r="T3440" s="990"/>
      <c r="U3440" s="990"/>
      <c r="V3440" s="990"/>
      <c r="W3440" s="990"/>
      <c r="X3440" s="990"/>
    </row>
    <row r="3441" spans="1:24" s="896" customFormat="1" ht="25.5">
      <c r="A3441" s="987">
        <f t="shared" si="54"/>
        <v>3367</v>
      </c>
      <c r="B3441" s="988">
        <v>4304</v>
      </c>
      <c r="C3441" s="899" t="s">
        <v>12767</v>
      </c>
      <c r="D3441" s="988" t="s">
        <v>2666</v>
      </c>
      <c r="E3441" s="989">
        <v>1.47</v>
      </c>
      <c r="F3441" s="990"/>
      <c r="G3441" s="990"/>
      <c r="H3441" s="990"/>
      <c r="I3441" s="990"/>
      <c r="J3441" s="990"/>
      <c r="K3441" s="990"/>
      <c r="L3441" s="990"/>
      <c r="M3441" s="990"/>
      <c r="N3441" s="990"/>
      <c r="O3441" s="990"/>
      <c r="P3441" s="990"/>
      <c r="Q3441" s="990"/>
      <c r="R3441" s="990"/>
      <c r="S3441" s="990"/>
      <c r="T3441" s="990"/>
      <c r="U3441" s="990"/>
      <c r="V3441" s="990"/>
      <c r="W3441" s="990"/>
      <c r="X3441" s="990"/>
    </row>
    <row r="3442" spans="1:24" s="896" customFormat="1" ht="25.5">
      <c r="A3442" s="987">
        <f t="shared" si="54"/>
        <v>3368</v>
      </c>
      <c r="B3442" s="988">
        <v>4305</v>
      </c>
      <c r="C3442" s="899" t="s">
        <v>12768</v>
      </c>
      <c r="D3442" s="988" t="s">
        <v>2666</v>
      </c>
      <c r="E3442" s="989">
        <v>1.71</v>
      </c>
      <c r="F3442" s="990"/>
      <c r="G3442" s="990"/>
      <c r="H3442" s="990"/>
      <c r="I3442" s="990"/>
      <c r="J3442" s="990"/>
      <c r="K3442" s="990"/>
      <c r="L3442" s="990"/>
      <c r="M3442" s="990"/>
      <c r="N3442" s="990"/>
      <c r="O3442" s="990"/>
      <c r="P3442" s="990"/>
      <c r="Q3442" s="990"/>
      <c r="R3442" s="990"/>
      <c r="S3442" s="990"/>
      <c r="T3442" s="990"/>
      <c r="U3442" s="990"/>
      <c r="V3442" s="990"/>
      <c r="W3442" s="990"/>
      <c r="X3442" s="990"/>
    </row>
    <row r="3443" spans="1:24" s="896" customFormat="1" ht="25.5">
      <c r="A3443" s="987">
        <f t="shared" si="54"/>
        <v>3369</v>
      </c>
      <c r="B3443" s="988">
        <v>4306</v>
      </c>
      <c r="C3443" s="899" t="s">
        <v>12769</v>
      </c>
      <c r="D3443" s="988" t="s">
        <v>2666</v>
      </c>
      <c r="E3443" s="989">
        <v>1.98</v>
      </c>
      <c r="F3443" s="990"/>
      <c r="G3443" s="990"/>
      <c r="H3443" s="990"/>
      <c r="I3443" s="990"/>
      <c r="J3443" s="990"/>
      <c r="K3443" s="990"/>
      <c r="L3443" s="990"/>
      <c r="M3443" s="990"/>
      <c r="N3443" s="990"/>
      <c r="O3443" s="990"/>
      <c r="P3443" s="990"/>
      <c r="Q3443" s="990"/>
      <c r="R3443" s="990"/>
      <c r="S3443" s="990"/>
      <c r="T3443" s="990"/>
      <c r="U3443" s="990"/>
      <c r="V3443" s="990"/>
      <c r="W3443" s="990"/>
      <c r="X3443" s="990"/>
    </row>
    <row r="3444" spans="1:24" s="896" customFormat="1" ht="25.5">
      <c r="A3444" s="987">
        <f t="shared" si="54"/>
        <v>3370</v>
      </c>
      <c r="B3444" s="988">
        <v>4308</v>
      </c>
      <c r="C3444" s="899" t="s">
        <v>12770</v>
      </c>
      <c r="D3444" s="988" t="s">
        <v>2666</v>
      </c>
      <c r="E3444" s="989">
        <v>4.1100000000000003</v>
      </c>
      <c r="F3444" s="990"/>
      <c r="G3444" s="990"/>
      <c r="H3444" s="990"/>
      <c r="I3444" s="990"/>
      <c r="J3444" s="990"/>
      <c r="K3444" s="990"/>
      <c r="L3444" s="990"/>
      <c r="M3444" s="990"/>
      <c r="N3444" s="990"/>
      <c r="O3444" s="990"/>
      <c r="P3444" s="990"/>
      <c r="Q3444" s="990"/>
      <c r="R3444" s="990"/>
      <c r="S3444" s="990"/>
      <c r="T3444" s="990"/>
      <c r="U3444" s="990"/>
      <c r="V3444" s="990"/>
      <c r="W3444" s="990"/>
      <c r="X3444" s="990"/>
    </row>
    <row r="3445" spans="1:24" s="896" customFormat="1" ht="25.5">
      <c r="A3445" s="987">
        <f t="shared" si="54"/>
        <v>3371</v>
      </c>
      <c r="B3445" s="988">
        <v>4302</v>
      </c>
      <c r="C3445" s="899" t="s">
        <v>12771</v>
      </c>
      <c r="D3445" s="988" t="s">
        <v>2666</v>
      </c>
      <c r="E3445" s="989">
        <v>3.08</v>
      </c>
      <c r="F3445" s="990"/>
      <c r="G3445" s="990"/>
      <c r="H3445" s="990"/>
      <c r="I3445" s="990"/>
      <c r="J3445" s="990"/>
      <c r="K3445" s="990"/>
      <c r="L3445" s="990"/>
      <c r="M3445" s="990"/>
      <c r="N3445" s="990"/>
      <c r="O3445" s="990"/>
      <c r="P3445" s="990"/>
      <c r="Q3445" s="990"/>
      <c r="R3445" s="990"/>
      <c r="S3445" s="990"/>
      <c r="T3445" s="990"/>
      <c r="U3445" s="990"/>
      <c r="V3445" s="990"/>
      <c r="W3445" s="990"/>
      <c r="X3445" s="990"/>
    </row>
    <row r="3446" spans="1:24" s="896" customFormat="1" ht="25.5">
      <c r="A3446" s="987">
        <f t="shared" si="54"/>
        <v>3372</v>
      </c>
      <c r="B3446" s="988">
        <v>4300</v>
      </c>
      <c r="C3446" s="899" t="s">
        <v>12772</v>
      </c>
      <c r="D3446" s="988" t="s">
        <v>2666</v>
      </c>
      <c r="E3446" s="989">
        <v>0.73</v>
      </c>
      <c r="F3446" s="990"/>
      <c r="G3446" s="990"/>
      <c r="H3446" s="990"/>
      <c r="I3446" s="990"/>
      <c r="J3446" s="990"/>
      <c r="K3446" s="990"/>
      <c r="L3446" s="990"/>
      <c r="M3446" s="990"/>
      <c r="N3446" s="990"/>
      <c r="O3446" s="990"/>
      <c r="P3446" s="990"/>
      <c r="Q3446" s="990"/>
      <c r="R3446" s="990"/>
      <c r="S3446" s="990"/>
      <c r="T3446" s="990"/>
      <c r="U3446" s="990"/>
      <c r="V3446" s="990"/>
      <c r="W3446" s="990"/>
      <c r="X3446" s="990"/>
    </row>
    <row r="3447" spans="1:24" s="896" customFormat="1" ht="25.5">
      <c r="A3447" s="987">
        <f t="shared" si="54"/>
        <v>3373</v>
      </c>
      <c r="B3447" s="988">
        <v>4301</v>
      </c>
      <c r="C3447" s="899" t="s">
        <v>12773</v>
      </c>
      <c r="D3447" s="988" t="s">
        <v>2666</v>
      </c>
      <c r="E3447" s="989">
        <v>0.89</v>
      </c>
      <c r="F3447" s="990"/>
      <c r="G3447" s="990"/>
      <c r="H3447" s="990"/>
      <c r="I3447" s="990"/>
      <c r="J3447" s="990"/>
      <c r="K3447" s="990"/>
      <c r="L3447" s="990"/>
      <c r="M3447" s="990"/>
      <c r="N3447" s="990"/>
      <c r="O3447" s="990"/>
      <c r="P3447" s="990"/>
      <c r="Q3447" s="990"/>
      <c r="R3447" s="990"/>
      <c r="S3447" s="990"/>
      <c r="T3447" s="990"/>
      <c r="U3447" s="990"/>
      <c r="V3447" s="990"/>
      <c r="W3447" s="990"/>
      <c r="X3447" s="990"/>
    </row>
    <row r="3448" spans="1:24" s="896" customFormat="1" ht="25.5">
      <c r="A3448" s="987">
        <f t="shared" si="54"/>
        <v>3374</v>
      </c>
      <c r="B3448" s="988">
        <v>4320</v>
      </c>
      <c r="C3448" s="899" t="s">
        <v>12774</v>
      </c>
      <c r="D3448" s="988" t="s">
        <v>2666</v>
      </c>
      <c r="E3448" s="989">
        <v>2.72</v>
      </c>
      <c r="F3448" s="990"/>
      <c r="G3448" s="990"/>
      <c r="H3448" s="990"/>
      <c r="I3448" s="990"/>
      <c r="J3448" s="990"/>
      <c r="K3448" s="990"/>
      <c r="L3448" s="990"/>
      <c r="M3448" s="990"/>
      <c r="N3448" s="990"/>
      <c r="O3448" s="990"/>
      <c r="P3448" s="990"/>
      <c r="Q3448" s="990"/>
      <c r="R3448" s="990"/>
      <c r="S3448" s="990"/>
      <c r="T3448" s="990"/>
      <c r="U3448" s="990"/>
      <c r="V3448" s="990"/>
      <c r="W3448" s="990"/>
      <c r="X3448" s="990"/>
    </row>
    <row r="3449" spans="1:24" s="896" customFormat="1" ht="25.5">
      <c r="A3449" s="987">
        <f t="shared" si="54"/>
        <v>3375</v>
      </c>
      <c r="B3449" s="988">
        <v>4318</v>
      </c>
      <c r="C3449" s="899" t="s">
        <v>12775</v>
      </c>
      <c r="D3449" s="988" t="s">
        <v>2666</v>
      </c>
      <c r="E3449" s="989">
        <v>1.32</v>
      </c>
      <c r="F3449" s="990"/>
      <c r="G3449" s="990"/>
      <c r="H3449" s="990"/>
      <c r="I3449" s="990"/>
      <c r="J3449" s="990"/>
      <c r="K3449" s="990"/>
      <c r="L3449" s="990"/>
      <c r="M3449" s="990"/>
      <c r="N3449" s="990"/>
      <c r="O3449" s="990"/>
      <c r="P3449" s="990"/>
      <c r="Q3449" s="990"/>
      <c r="R3449" s="990"/>
      <c r="S3449" s="990"/>
      <c r="T3449" s="990"/>
      <c r="U3449" s="990"/>
      <c r="V3449" s="990"/>
      <c r="W3449" s="990"/>
      <c r="X3449" s="990"/>
    </row>
    <row r="3450" spans="1:24" s="896" customFormat="1">
      <c r="A3450" s="987">
        <f t="shared" si="54"/>
        <v>3376</v>
      </c>
      <c r="B3450" s="988">
        <v>40547</v>
      </c>
      <c r="C3450" s="899" t="s">
        <v>12776</v>
      </c>
      <c r="D3450" s="988" t="s">
        <v>2679</v>
      </c>
      <c r="E3450" s="989">
        <v>23.98</v>
      </c>
      <c r="F3450" s="990"/>
      <c r="G3450" s="990"/>
      <c r="H3450" s="990"/>
      <c r="I3450" s="990"/>
      <c r="J3450" s="990"/>
      <c r="K3450" s="990"/>
      <c r="L3450" s="990"/>
      <c r="M3450" s="990"/>
      <c r="N3450" s="990"/>
      <c r="O3450" s="990"/>
      <c r="P3450" s="990"/>
      <c r="Q3450" s="990"/>
      <c r="R3450" s="990"/>
      <c r="S3450" s="990"/>
      <c r="T3450" s="990"/>
      <c r="U3450" s="990"/>
      <c r="V3450" s="990"/>
      <c r="W3450" s="990"/>
      <c r="X3450" s="990"/>
    </row>
    <row r="3451" spans="1:24" s="896" customFormat="1" ht="25.5">
      <c r="A3451" s="987">
        <f t="shared" si="54"/>
        <v>3377</v>
      </c>
      <c r="B3451" s="988">
        <v>11962</v>
      </c>
      <c r="C3451" s="899" t="s">
        <v>12777</v>
      </c>
      <c r="D3451" s="988" t="s">
        <v>2666</v>
      </c>
      <c r="E3451" s="989">
        <v>0.19</v>
      </c>
      <c r="F3451" s="990"/>
      <c r="G3451" s="990"/>
      <c r="H3451" s="990"/>
      <c r="I3451" s="990"/>
      <c r="J3451" s="990"/>
      <c r="K3451" s="990"/>
      <c r="L3451" s="990"/>
      <c r="M3451" s="990"/>
      <c r="N3451" s="990"/>
      <c r="O3451" s="990"/>
      <c r="P3451" s="990"/>
      <c r="Q3451" s="990"/>
      <c r="R3451" s="990"/>
      <c r="S3451" s="990"/>
      <c r="T3451" s="990"/>
      <c r="U3451" s="990"/>
      <c r="V3451" s="990"/>
      <c r="W3451" s="990"/>
      <c r="X3451" s="990"/>
    </row>
    <row r="3452" spans="1:24" s="896" customFormat="1" ht="25.5">
      <c r="A3452" s="987">
        <f t="shared" si="54"/>
        <v>3378</v>
      </c>
      <c r="B3452" s="988">
        <v>4332</v>
      </c>
      <c r="C3452" s="899" t="s">
        <v>12778</v>
      </c>
      <c r="D3452" s="988" t="s">
        <v>2666</v>
      </c>
      <c r="E3452" s="989">
        <v>0.95</v>
      </c>
      <c r="F3452" s="990"/>
      <c r="G3452" s="990"/>
      <c r="H3452" s="990"/>
      <c r="I3452" s="990"/>
      <c r="J3452" s="990"/>
      <c r="K3452" s="990"/>
      <c r="L3452" s="990"/>
      <c r="M3452" s="990"/>
      <c r="N3452" s="990"/>
      <c r="O3452" s="990"/>
      <c r="P3452" s="990"/>
      <c r="Q3452" s="990"/>
      <c r="R3452" s="990"/>
      <c r="S3452" s="990"/>
      <c r="T3452" s="990"/>
      <c r="U3452" s="990"/>
      <c r="V3452" s="990"/>
      <c r="W3452" s="990"/>
      <c r="X3452" s="990"/>
    </row>
    <row r="3453" spans="1:24" s="896" customFormat="1" ht="25.5">
      <c r="A3453" s="987">
        <f t="shared" si="54"/>
        <v>3379</v>
      </c>
      <c r="B3453" s="988">
        <v>4331</v>
      </c>
      <c r="C3453" s="899" t="s">
        <v>12779</v>
      </c>
      <c r="D3453" s="988" t="s">
        <v>2666</v>
      </c>
      <c r="E3453" s="989">
        <v>3.6</v>
      </c>
      <c r="F3453" s="990"/>
      <c r="G3453" s="990"/>
      <c r="H3453" s="990"/>
      <c r="I3453" s="990"/>
      <c r="J3453" s="990"/>
      <c r="K3453" s="990"/>
      <c r="L3453" s="990"/>
      <c r="M3453" s="990"/>
      <c r="N3453" s="990"/>
      <c r="O3453" s="990"/>
      <c r="P3453" s="990"/>
      <c r="Q3453" s="990"/>
      <c r="R3453" s="990"/>
      <c r="S3453" s="990"/>
      <c r="T3453" s="990"/>
      <c r="U3453" s="990"/>
      <c r="V3453" s="990"/>
      <c r="W3453" s="990"/>
      <c r="X3453" s="990"/>
    </row>
    <row r="3454" spans="1:24" s="896" customFormat="1" ht="25.5">
      <c r="A3454" s="987">
        <f t="shared" si="54"/>
        <v>3380</v>
      </c>
      <c r="B3454" s="988">
        <v>4336</v>
      </c>
      <c r="C3454" s="899" t="s">
        <v>12780</v>
      </c>
      <c r="D3454" s="988" t="s">
        <v>2666</v>
      </c>
      <c r="E3454" s="989">
        <v>4.5999999999999996</v>
      </c>
      <c r="F3454" s="990"/>
      <c r="G3454" s="990"/>
      <c r="H3454" s="990"/>
      <c r="I3454" s="990"/>
      <c r="J3454" s="990"/>
      <c r="K3454" s="990"/>
      <c r="L3454" s="990"/>
      <c r="M3454" s="990"/>
      <c r="N3454" s="990"/>
      <c r="O3454" s="990"/>
      <c r="P3454" s="990"/>
      <c r="Q3454" s="990"/>
      <c r="R3454" s="990"/>
      <c r="S3454" s="990"/>
      <c r="T3454" s="990"/>
      <c r="U3454" s="990"/>
      <c r="V3454" s="990"/>
      <c r="W3454" s="990"/>
      <c r="X3454" s="990"/>
    </row>
    <row r="3455" spans="1:24" s="896" customFormat="1" ht="25.5">
      <c r="A3455" s="987">
        <f t="shared" si="54"/>
        <v>3381</v>
      </c>
      <c r="B3455" s="988">
        <v>13294</v>
      </c>
      <c r="C3455" s="899" t="s">
        <v>12781</v>
      </c>
      <c r="D3455" s="988" t="s">
        <v>2666</v>
      </c>
      <c r="E3455" s="989">
        <v>1.32</v>
      </c>
      <c r="F3455" s="990"/>
      <c r="G3455" s="990"/>
      <c r="H3455" s="990"/>
      <c r="I3455" s="990"/>
      <c r="J3455" s="990"/>
      <c r="K3455" s="990"/>
      <c r="L3455" s="990"/>
      <c r="M3455" s="990"/>
      <c r="N3455" s="990"/>
      <c r="O3455" s="990"/>
      <c r="P3455" s="990"/>
      <c r="Q3455" s="990"/>
      <c r="R3455" s="990"/>
      <c r="S3455" s="990"/>
      <c r="T3455" s="990"/>
      <c r="U3455" s="990"/>
      <c r="V3455" s="990"/>
      <c r="W3455" s="990"/>
      <c r="X3455" s="990"/>
    </row>
    <row r="3456" spans="1:24" s="896" customFormat="1" ht="25.5">
      <c r="A3456" s="987">
        <f t="shared" si="54"/>
        <v>3382</v>
      </c>
      <c r="B3456" s="988">
        <v>11948</v>
      </c>
      <c r="C3456" s="899" t="s">
        <v>12782</v>
      </c>
      <c r="D3456" s="988" t="s">
        <v>2666</v>
      </c>
      <c r="E3456" s="989">
        <v>0.59</v>
      </c>
      <c r="F3456" s="990"/>
      <c r="G3456" s="990"/>
      <c r="H3456" s="990"/>
      <c r="I3456" s="990"/>
      <c r="J3456" s="990"/>
      <c r="K3456" s="990"/>
      <c r="L3456" s="990"/>
      <c r="M3456" s="990"/>
      <c r="N3456" s="990"/>
      <c r="O3456" s="990"/>
      <c r="P3456" s="990"/>
      <c r="Q3456" s="990"/>
      <c r="R3456" s="990"/>
      <c r="S3456" s="990"/>
      <c r="T3456" s="990"/>
      <c r="U3456" s="990"/>
      <c r="V3456" s="990"/>
      <c r="W3456" s="990"/>
      <c r="X3456" s="990"/>
    </row>
    <row r="3457" spans="1:24" s="896" customFormat="1" ht="25.5">
      <c r="A3457" s="987">
        <f t="shared" si="54"/>
        <v>3383</v>
      </c>
      <c r="B3457" s="988">
        <v>4382</v>
      </c>
      <c r="C3457" s="899" t="s">
        <v>12783</v>
      </c>
      <c r="D3457" s="988" t="s">
        <v>2666</v>
      </c>
      <c r="E3457" s="989">
        <v>0.99</v>
      </c>
      <c r="F3457" s="990"/>
      <c r="G3457" s="990"/>
      <c r="H3457" s="990"/>
      <c r="I3457" s="990"/>
      <c r="J3457" s="990"/>
      <c r="K3457" s="990"/>
      <c r="L3457" s="990"/>
      <c r="M3457" s="990"/>
      <c r="N3457" s="990"/>
      <c r="O3457" s="990"/>
      <c r="P3457" s="990"/>
      <c r="Q3457" s="990"/>
      <c r="R3457" s="990"/>
      <c r="S3457" s="990"/>
      <c r="T3457" s="990"/>
      <c r="U3457" s="990"/>
      <c r="V3457" s="990"/>
      <c r="W3457" s="990"/>
      <c r="X3457" s="990"/>
    </row>
    <row r="3458" spans="1:24" s="896" customFormat="1" ht="25.5">
      <c r="A3458" s="987">
        <f t="shared" si="54"/>
        <v>3384</v>
      </c>
      <c r="B3458" s="988">
        <v>4354</v>
      </c>
      <c r="C3458" s="899" t="s">
        <v>12784</v>
      </c>
      <c r="D3458" s="988" t="s">
        <v>2666</v>
      </c>
      <c r="E3458" s="989">
        <v>41.3</v>
      </c>
      <c r="F3458" s="990"/>
      <c r="G3458" s="990"/>
      <c r="H3458" s="990"/>
      <c r="I3458" s="990"/>
      <c r="J3458" s="990"/>
      <c r="K3458" s="990"/>
      <c r="L3458" s="990"/>
      <c r="M3458" s="990"/>
      <c r="N3458" s="990"/>
      <c r="O3458" s="990"/>
      <c r="P3458" s="990"/>
      <c r="Q3458" s="990"/>
      <c r="R3458" s="990"/>
      <c r="S3458" s="990"/>
      <c r="T3458" s="990"/>
      <c r="U3458" s="990"/>
      <c r="V3458" s="990"/>
      <c r="W3458" s="990"/>
      <c r="X3458" s="990"/>
    </row>
    <row r="3459" spans="1:24" s="896" customFormat="1" ht="25.5">
      <c r="A3459" s="987">
        <f t="shared" si="54"/>
        <v>3385</v>
      </c>
      <c r="B3459" s="988">
        <v>40839</v>
      </c>
      <c r="C3459" s="899" t="s">
        <v>12785</v>
      </c>
      <c r="D3459" s="988" t="s">
        <v>2679</v>
      </c>
      <c r="E3459" s="989">
        <v>99.38</v>
      </c>
      <c r="F3459" s="990"/>
      <c r="G3459" s="990"/>
      <c r="H3459" s="990"/>
      <c r="I3459" s="990"/>
      <c r="J3459" s="990"/>
      <c r="K3459" s="990"/>
      <c r="L3459" s="990"/>
      <c r="M3459" s="990"/>
      <c r="N3459" s="990"/>
      <c r="O3459" s="990"/>
      <c r="P3459" s="990"/>
      <c r="Q3459" s="990"/>
      <c r="R3459" s="990"/>
      <c r="S3459" s="990"/>
      <c r="T3459" s="990"/>
      <c r="U3459" s="990"/>
      <c r="V3459" s="990"/>
      <c r="W3459" s="990"/>
      <c r="X3459" s="990"/>
    </row>
    <row r="3460" spans="1:24" s="896" customFormat="1">
      <c r="A3460" s="987">
        <f t="shared" si="54"/>
        <v>3386</v>
      </c>
      <c r="B3460" s="988">
        <v>40552</v>
      </c>
      <c r="C3460" s="899" t="s">
        <v>12786</v>
      </c>
      <c r="D3460" s="988" t="s">
        <v>2679</v>
      </c>
      <c r="E3460" s="989">
        <v>41.12</v>
      </c>
      <c r="F3460" s="990"/>
      <c r="G3460" s="990"/>
      <c r="H3460" s="990"/>
      <c r="I3460" s="990"/>
      <c r="J3460" s="990"/>
      <c r="K3460" s="990"/>
      <c r="L3460" s="990"/>
      <c r="M3460" s="990"/>
      <c r="N3460" s="990"/>
      <c r="O3460" s="990"/>
      <c r="P3460" s="990"/>
      <c r="Q3460" s="990"/>
      <c r="R3460" s="990"/>
      <c r="S3460" s="990"/>
      <c r="T3460" s="990"/>
      <c r="U3460" s="990"/>
      <c r="V3460" s="990"/>
      <c r="W3460" s="990"/>
      <c r="X3460" s="990"/>
    </row>
    <row r="3461" spans="1:24" s="896" customFormat="1" ht="25.5">
      <c r="A3461" s="987">
        <f t="shared" si="54"/>
        <v>3387</v>
      </c>
      <c r="B3461" s="988">
        <v>40549</v>
      </c>
      <c r="C3461" s="899" t="s">
        <v>12787</v>
      </c>
      <c r="D3461" s="988" t="s">
        <v>2679</v>
      </c>
      <c r="E3461" s="989">
        <v>162.78</v>
      </c>
      <c r="F3461" s="990"/>
      <c r="G3461" s="990"/>
      <c r="H3461" s="990"/>
      <c r="I3461" s="990"/>
      <c r="J3461" s="990"/>
      <c r="K3461" s="990"/>
      <c r="L3461" s="990"/>
      <c r="M3461" s="990"/>
      <c r="N3461" s="990"/>
      <c r="O3461" s="990"/>
      <c r="P3461" s="990"/>
      <c r="Q3461" s="990"/>
      <c r="R3461" s="990"/>
      <c r="S3461" s="990"/>
      <c r="T3461" s="990"/>
      <c r="U3461" s="990"/>
      <c r="V3461" s="990"/>
      <c r="W3461" s="990"/>
      <c r="X3461" s="990"/>
    </row>
    <row r="3462" spans="1:24" s="896" customFormat="1" ht="25.5">
      <c r="A3462" s="987">
        <f t="shared" si="54"/>
        <v>3388</v>
      </c>
      <c r="B3462" s="988">
        <v>4385</v>
      </c>
      <c r="C3462" s="899" t="s">
        <v>12788</v>
      </c>
      <c r="D3462" s="988" t="s">
        <v>2675</v>
      </c>
      <c r="E3462" s="989">
        <v>1526.68</v>
      </c>
      <c r="F3462" s="990"/>
      <c r="G3462" s="990"/>
      <c r="H3462" s="990"/>
      <c r="I3462" s="990"/>
      <c r="J3462" s="990"/>
      <c r="K3462" s="990"/>
      <c r="L3462" s="990"/>
      <c r="M3462" s="990"/>
      <c r="N3462" s="990"/>
      <c r="O3462" s="990"/>
      <c r="P3462" s="990"/>
      <c r="Q3462" s="990"/>
      <c r="R3462" s="990"/>
      <c r="S3462" s="990"/>
      <c r="T3462" s="990"/>
      <c r="U3462" s="990"/>
      <c r="V3462" s="990"/>
      <c r="W3462" s="990"/>
      <c r="X3462" s="990"/>
    </row>
    <row r="3463" spans="1:24" s="896" customFormat="1" ht="25.5">
      <c r="A3463" s="987">
        <f t="shared" si="54"/>
        <v>3389</v>
      </c>
      <c r="B3463" s="988">
        <v>20078</v>
      </c>
      <c r="C3463" s="899" t="s">
        <v>12789</v>
      </c>
      <c r="D3463" s="988" t="s">
        <v>2666</v>
      </c>
      <c r="E3463" s="989">
        <v>29.94</v>
      </c>
      <c r="F3463" s="990"/>
      <c r="G3463" s="990"/>
      <c r="H3463" s="990"/>
      <c r="I3463" s="990"/>
      <c r="J3463" s="990"/>
      <c r="K3463" s="990"/>
      <c r="L3463" s="990"/>
      <c r="M3463" s="990"/>
      <c r="N3463" s="990"/>
      <c r="O3463" s="990"/>
      <c r="P3463" s="990"/>
      <c r="Q3463" s="990"/>
      <c r="R3463" s="990"/>
      <c r="S3463" s="990"/>
      <c r="T3463" s="990"/>
      <c r="U3463" s="990"/>
      <c r="V3463" s="990"/>
      <c r="W3463" s="990"/>
      <c r="X3463" s="990"/>
    </row>
    <row r="3464" spans="1:24" s="896" customFormat="1">
      <c r="A3464" s="987">
        <f t="shared" si="54"/>
        <v>3390</v>
      </c>
      <c r="B3464" s="988">
        <v>39897</v>
      </c>
      <c r="C3464" s="899" t="s">
        <v>12790</v>
      </c>
      <c r="D3464" s="988" t="s">
        <v>2666</v>
      </c>
      <c r="E3464" s="989">
        <v>57.02</v>
      </c>
      <c r="F3464" s="990"/>
      <c r="G3464" s="990"/>
      <c r="H3464" s="990"/>
      <c r="I3464" s="990"/>
      <c r="J3464" s="990"/>
      <c r="K3464" s="990"/>
      <c r="L3464" s="990"/>
      <c r="M3464" s="990"/>
      <c r="N3464" s="990"/>
      <c r="O3464" s="990"/>
      <c r="P3464" s="990"/>
      <c r="Q3464" s="990"/>
      <c r="R3464" s="990"/>
      <c r="S3464" s="990"/>
      <c r="T3464" s="990"/>
      <c r="U3464" s="990"/>
      <c r="V3464" s="990"/>
      <c r="W3464" s="990"/>
      <c r="X3464" s="990"/>
    </row>
    <row r="3465" spans="1:24" s="896" customFormat="1" ht="25.5">
      <c r="A3465" s="987">
        <f t="shared" si="54"/>
        <v>3391</v>
      </c>
      <c r="B3465" s="988">
        <v>118</v>
      </c>
      <c r="C3465" s="899" t="s">
        <v>12791</v>
      </c>
      <c r="D3465" s="988" t="s">
        <v>2666</v>
      </c>
      <c r="E3465" s="989">
        <v>63.31</v>
      </c>
      <c r="F3465" s="990"/>
      <c r="G3465" s="990"/>
      <c r="H3465" s="990"/>
      <c r="I3465" s="990"/>
      <c r="J3465" s="990"/>
      <c r="K3465" s="990"/>
      <c r="L3465" s="990"/>
      <c r="M3465" s="990"/>
      <c r="N3465" s="990"/>
      <c r="O3465" s="990"/>
      <c r="P3465" s="990"/>
      <c r="Q3465" s="990"/>
      <c r="R3465" s="990"/>
      <c r="S3465" s="990"/>
      <c r="T3465" s="990"/>
      <c r="U3465" s="990"/>
      <c r="V3465" s="990"/>
      <c r="W3465" s="990"/>
      <c r="X3465" s="990"/>
    </row>
    <row r="3466" spans="1:24" s="896" customFormat="1" ht="25.5">
      <c r="A3466" s="987">
        <f t="shared" si="54"/>
        <v>3392</v>
      </c>
      <c r="B3466" s="988">
        <v>4396</v>
      </c>
      <c r="C3466" s="899" t="s">
        <v>12792</v>
      </c>
      <c r="D3466" s="988" t="s">
        <v>2667</v>
      </c>
      <c r="E3466" s="989">
        <v>209.46</v>
      </c>
      <c r="F3466" s="990"/>
      <c r="G3466" s="990"/>
      <c r="H3466" s="990"/>
      <c r="I3466" s="990"/>
      <c r="J3466" s="990"/>
      <c r="K3466" s="990"/>
      <c r="L3466" s="990"/>
      <c r="M3466" s="990"/>
      <c r="N3466" s="990"/>
      <c r="O3466" s="990"/>
      <c r="P3466" s="990"/>
      <c r="Q3466" s="990"/>
      <c r="R3466" s="990"/>
      <c r="S3466" s="990"/>
      <c r="T3466" s="990"/>
      <c r="U3466" s="990"/>
      <c r="V3466" s="990"/>
      <c r="W3466" s="990"/>
      <c r="X3466" s="990"/>
    </row>
    <row r="3467" spans="1:24" s="896" customFormat="1" ht="25.5">
      <c r="A3467" s="987">
        <f t="shared" si="54"/>
        <v>3393</v>
      </c>
      <c r="B3467" s="988">
        <v>36881</v>
      </c>
      <c r="C3467" s="899" t="s">
        <v>12793</v>
      </c>
      <c r="D3467" s="988" t="s">
        <v>2667</v>
      </c>
      <c r="E3467" s="989">
        <v>134.9</v>
      </c>
      <c r="F3467" s="990"/>
      <c r="G3467" s="990"/>
      <c r="H3467" s="990"/>
      <c r="I3467" s="990"/>
      <c r="J3467" s="990"/>
      <c r="K3467" s="990"/>
      <c r="L3467" s="990"/>
      <c r="M3467" s="990"/>
      <c r="N3467" s="990"/>
      <c r="O3467" s="990"/>
      <c r="P3467" s="990"/>
      <c r="Q3467" s="990"/>
      <c r="R3467" s="990"/>
      <c r="S3467" s="990"/>
      <c r="T3467" s="990"/>
      <c r="U3467" s="990"/>
      <c r="V3467" s="990"/>
      <c r="W3467" s="990"/>
      <c r="X3467" s="990"/>
    </row>
    <row r="3468" spans="1:24" s="896" customFormat="1" ht="25.5">
      <c r="A3468" s="987">
        <f t="shared" ref="A3468:A3531" si="55">A3467+1</f>
        <v>3394</v>
      </c>
      <c r="B3468" s="988">
        <v>4397</v>
      </c>
      <c r="C3468" s="899" t="s">
        <v>12794</v>
      </c>
      <c r="D3468" s="988" t="s">
        <v>2667</v>
      </c>
      <c r="E3468" s="989">
        <v>227.84</v>
      </c>
      <c r="F3468" s="990"/>
      <c r="G3468" s="990"/>
      <c r="H3468" s="990"/>
      <c r="I3468" s="990"/>
      <c r="J3468" s="990"/>
      <c r="K3468" s="990"/>
      <c r="L3468" s="990"/>
      <c r="M3468" s="990"/>
      <c r="N3468" s="990"/>
      <c r="O3468" s="990"/>
      <c r="P3468" s="990"/>
      <c r="Q3468" s="990"/>
      <c r="R3468" s="990"/>
      <c r="S3468" s="990"/>
      <c r="T3468" s="990"/>
      <c r="U3468" s="990"/>
      <c r="V3468" s="990"/>
      <c r="W3468" s="990"/>
      <c r="X3468" s="990"/>
    </row>
    <row r="3469" spans="1:24" s="896" customFormat="1" ht="25.5">
      <c r="A3469" s="987">
        <f t="shared" si="55"/>
        <v>3395</v>
      </c>
      <c r="B3469" s="988">
        <v>36882</v>
      </c>
      <c r="C3469" s="899" t="s">
        <v>12795</v>
      </c>
      <c r="D3469" s="988" t="s">
        <v>2667</v>
      </c>
      <c r="E3469" s="989">
        <v>161.30000000000001</v>
      </c>
      <c r="F3469" s="990"/>
      <c r="G3469" s="990"/>
      <c r="H3469" s="990"/>
      <c r="I3469" s="990"/>
      <c r="J3469" s="990"/>
      <c r="K3469" s="990"/>
      <c r="L3469" s="990"/>
      <c r="M3469" s="990"/>
      <c r="N3469" s="990"/>
      <c r="O3469" s="990"/>
      <c r="P3469" s="990"/>
      <c r="Q3469" s="990"/>
      <c r="R3469" s="990"/>
      <c r="S3469" s="990"/>
      <c r="T3469" s="990"/>
      <c r="U3469" s="990"/>
      <c r="V3469" s="990"/>
      <c r="W3469" s="990"/>
      <c r="X3469" s="990"/>
    </row>
    <row r="3470" spans="1:24" s="896" customFormat="1">
      <c r="A3470" s="987">
        <f t="shared" si="55"/>
        <v>3396</v>
      </c>
      <c r="B3470" s="988">
        <v>4751</v>
      </c>
      <c r="C3470" s="899" t="s">
        <v>12796</v>
      </c>
      <c r="D3470" s="988" t="s">
        <v>2665</v>
      </c>
      <c r="E3470" s="989">
        <v>23.94</v>
      </c>
      <c r="F3470" s="990"/>
      <c r="G3470" s="990"/>
      <c r="H3470" s="990"/>
      <c r="I3470" s="990"/>
      <c r="J3470" s="990"/>
      <c r="K3470" s="990"/>
      <c r="L3470" s="990"/>
      <c r="M3470" s="990"/>
      <c r="N3470" s="990"/>
      <c r="O3470" s="990"/>
      <c r="P3470" s="990"/>
      <c r="Q3470" s="990"/>
      <c r="R3470" s="990"/>
      <c r="S3470" s="990"/>
      <c r="T3470" s="990"/>
      <c r="U3470" s="990"/>
      <c r="V3470" s="990"/>
      <c r="W3470" s="990"/>
      <c r="X3470" s="990"/>
    </row>
    <row r="3471" spans="1:24" s="896" customFormat="1">
      <c r="A3471" s="987">
        <f t="shared" si="55"/>
        <v>3397</v>
      </c>
      <c r="B3471" s="988">
        <v>41066</v>
      </c>
      <c r="C3471" s="899" t="s">
        <v>12797</v>
      </c>
      <c r="D3471" s="988" t="s">
        <v>2672</v>
      </c>
      <c r="E3471" s="989">
        <v>4207.42</v>
      </c>
      <c r="F3471" s="990"/>
      <c r="G3471" s="990"/>
      <c r="H3471" s="990"/>
      <c r="I3471" s="990"/>
      <c r="J3471" s="990"/>
      <c r="K3471" s="990"/>
      <c r="L3471" s="990"/>
      <c r="M3471" s="990"/>
      <c r="N3471" s="990"/>
      <c r="O3471" s="990"/>
      <c r="P3471" s="990"/>
      <c r="Q3471" s="990"/>
      <c r="R3471" s="990"/>
      <c r="S3471" s="990"/>
      <c r="T3471" s="990"/>
      <c r="U3471" s="990"/>
      <c r="V3471" s="990"/>
      <c r="W3471" s="990"/>
      <c r="X3471" s="990"/>
    </row>
    <row r="3472" spans="1:24" s="896" customFormat="1" ht="25.5">
      <c r="A3472" s="987">
        <f t="shared" si="55"/>
        <v>3398</v>
      </c>
      <c r="B3472" s="988">
        <v>39604</v>
      </c>
      <c r="C3472" s="899" t="s">
        <v>12798</v>
      </c>
      <c r="D3472" s="988" t="s">
        <v>2666</v>
      </c>
      <c r="E3472" s="989">
        <v>13.56</v>
      </c>
      <c r="F3472" s="990"/>
      <c r="G3472" s="990"/>
      <c r="H3472" s="990"/>
      <c r="I3472" s="990"/>
      <c r="J3472" s="990"/>
      <c r="K3472" s="990"/>
      <c r="L3472" s="990"/>
      <c r="M3472" s="990"/>
      <c r="N3472" s="990"/>
      <c r="O3472" s="990"/>
      <c r="P3472" s="990"/>
      <c r="Q3472" s="990"/>
      <c r="R3472" s="990"/>
      <c r="S3472" s="990"/>
      <c r="T3472" s="990"/>
      <c r="U3472" s="990"/>
      <c r="V3472" s="990"/>
      <c r="W3472" s="990"/>
      <c r="X3472" s="990"/>
    </row>
    <row r="3473" spans="1:24" s="896" customFormat="1" ht="25.5">
      <c r="A3473" s="987">
        <f t="shared" si="55"/>
        <v>3399</v>
      </c>
      <c r="B3473" s="988">
        <v>39605</v>
      </c>
      <c r="C3473" s="899" t="s">
        <v>12799</v>
      </c>
      <c r="D3473" s="988" t="s">
        <v>2666</v>
      </c>
      <c r="E3473" s="989">
        <v>14.73</v>
      </c>
      <c r="F3473" s="990"/>
      <c r="G3473" s="990"/>
      <c r="H3473" s="990"/>
      <c r="I3473" s="990"/>
      <c r="J3473" s="990"/>
      <c r="K3473" s="990"/>
      <c r="L3473" s="990"/>
      <c r="M3473" s="990"/>
      <c r="N3473" s="990"/>
      <c r="O3473" s="990"/>
      <c r="P3473" s="990"/>
      <c r="Q3473" s="990"/>
      <c r="R3473" s="990"/>
      <c r="S3473" s="990"/>
      <c r="T3473" s="990"/>
      <c r="U3473" s="990"/>
      <c r="V3473" s="990"/>
      <c r="W3473" s="990"/>
      <c r="X3473" s="990"/>
    </row>
    <row r="3474" spans="1:24" s="896" customFormat="1" ht="25.5">
      <c r="A3474" s="987">
        <f t="shared" si="55"/>
        <v>3400</v>
      </c>
      <c r="B3474" s="988">
        <v>39606</v>
      </c>
      <c r="C3474" s="899" t="s">
        <v>12800</v>
      </c>
      <c r="D3474" s="988" t="s">
        <v>2666</v>
      </c>
      <c r="E3474" s="989">
        <v>25.79</v>
      </c>
      <c r="F3474" s="990"/>
      <c r="G3474" s="990"/>
      <c r="H3474" s="990"/>
      <c r="I3474" s="990"/>
      <c r="J3474" s="990"/>
      <c r="K3474" s="990"/>
      <c r="L3474" s="990"/>
      <c r="M3474" s="990"/>
      <c r="N3474" s="990"/>
      <c r="O3474" s="990"/>
      <c r="P3474" s="990"/>
      <c r="Q3474" s="990"/>
      <c r="R3474" s="990"/>
      <c r="S3474" s="990"/>
      <c r="T3474" s="990"/>
      <c r="U3474" s="990"/>
      <c r="V3474" s="990"/>
      <c r="W3474" s="990"/>
      <c r="X3474" s="990"/>
    </row>
    <row r="3475" spans="1:24" s="896" customFormat="1" ht="25.5">
      <c r="A3475" s="987">
        <f t="shared" si="55"/>
        <v>3401</v>
      </c>
      <c r="B3475" s="988">
        <v>39607</v>
      </c>
      <c r="C3475" s="899" t="s">
        <v>12801</v>
      </c>
      <c r="D3475" s="988" t="s">
        <v>2666</v>
      </c>
      <c r="E3475" s="989">
        <v>34.9</v>
      </c>
      <c r="F3475" s="990"/>
      <c r="G3475" s="990"/>
      <c r="H3475" s="990"/>
      <c r="I3475" s="990"/>
      <c r="J3475" s="990"/>
      <c r="K3475" s="990"/>
      <c r="L3475" s="990"/>
      <c r="M3475" s="990"/>
      <c r="N3475" s="990"/>
      <c r="O3475" s="990"/>
      <c r="P3475" s="990"/>
      <c r="Q3475" s="990"/>
      <c r="R3475" s="990"/>
      <c r="S3475" s="990"/>
      <c r="T3475" s="990"/>
      <c r="U3475" s="990"/>
      <c r="V3475" s="990"/>
      <c r="W3475" s="990"/>
      <c r="X3475" s="990"/>
    </row>
    <row r="3476" spans="1:24" s="896" customFormat="1">
      <c r="A3476" s="987">
        <f t="shared" si="55"/>
        <v>3402</v>
      </c>
      <c r="B3476" s="988">
        <v>39594</v>
      </c>
      <c r="C3476" s="899" t="s">
        <v>12802</v>
      </c>
      <c r="D3476" s="988" t="s">
        <v>2666</v>
      </c>
      <c r="E3476" s="989">
        <v>315.38</v>
      </c>
      <c r="F3476" s="990"/>
      <c r="G3476" s="990"/>
      <c r="H3476" s="990"/>
      <c r="I3476" s="990"/>
      <c r="J3476" s="990"/>
      <c r="K3476" s="990"/>
      <c r="L3476" s="990"/>
      <c r="M3476" s="990"/>
      <c r="N3476" s="990"/>
      <c r="O3476" s="990"/>
      <c r="P3476" s="990"/>
      <c r="Q3476" s="990"/>
      <c r="R3476" s="990"/>
      <c r="S3476" s="990"/>
      <c r="T3476" s="990"/>
      <c r="U3476" s="990"/>
      <c r="V3476" s="990"/>
      <c r="W3476" s="990"/>
      <c r="X3476" s="990"/>
    </row>
    <row r="3477" spans="1:24" s="896" customFormat="1">
      <c r="A3477" s="987">
        <f t="shared" si="55"/>
        <v>3403</v>
      </c>
      <c r="B3477" s="988">
        <v>39596</v>
      </c>
      <c r="C3477" s="899" t="s">
        <v>12803</v>
      </c>
      <c r="D3477" s="988" t="s">
        <v>2666</v>
      </c>
      <c r="E3477" s="989">
        <v>844.61</v>
      </c>
      <c r="F3477" s="990"/>
      <c r="G3477" s="990"/>
      <c r="H3477" s="990"/>
      <c r="I3477" s="990"/>
      <c r="J3477" s="990"/>
      <c r="K3477" s="990"/>
      <c r="L3477" s="990"/>
      <c r="M3477" s="990"/>
      <c r="N3477" s="990"/>
      <c r="O3477" s="990"/>
      <c r="P3477" s="990"/>
      <c r="Q3477" s="990"/>
      <c r="R3477" s="990"/>
      <c r="S3477" s="990"/>
      <c r="T3477" s="990"/>
      <c r="U3477" s="990"/>
      <c r="V3477" s="990"/>
      <c r="W3477" s="990"/>
      <c r="X3477" s="990"/>
    </row>
    <row r="3478" spans="1:24" s="896" customFormat="1">
      <c r="A3478" s="987">
        <f t="shared" si="55"/>
        <v>3404</v>
      </c>
      <c r="B3478" s="988">
        <v>39595</v>
      </c>
      <c r="C3478" s="899" t="s">
        <v>12804</v>
      </c>
      <c r="D3478" s="988" t="s">
        <v>2666</v>
      </c>
      <c r="E3478" s="989">
        <v>1897.73</v>
      </c>
      <c r="F3478" s="990"/>
      <c r="G3478" s="990"/>
      <c r="H3478" s="990"/>
      <c r="I3478" s="990"/>
      <c r="J3478" s="990"/>
      <c r="K3478" s="990"/>
      <c r="L3478" s="990"/>
      <c r="M3478" s="990"/>
      <c r="N3478" s="990"/>
      <c r="O3478" s="990"/>
      <c r="P3478" s="990"/>
      <c r="Q3478" s="990"/>
      <c r="R3478" s="990"/>
      <c r="S3478" s="990"/>
      <c r="T3478" s="990"/>
      <c r="U3478" s="990"/>
      <c r="V3478" s="990"/>
      <c r="W3478" s="990"/>
      <c r="X3478" s="990"/>
    </row>
    <row r="3479" spans="1:24" s="896" customFormat="1">
      <c r="A3479" s="987">
        <f t="shared" si="55"/>
        <v>3405</v>
      </c>
      <c r="B3479" s="988">
        <v>39597</v>
      </c>
      <c r="C3479" s="899" t="s">
        <v>12805</v>
      </c>
      <c r="D3479" s="988" t="s">
        <v>2666</v>
      </c>
      <c r="E3479" s="989">
        <v>2976.84</v>
      </c>
      <c r="F3479" s="990"/>
      <c r="G3479" s="990"/>
      <c r="H3479" s="990"/>
      <c r="I3479" s="990"/>
      <c r="J3479" s="990"/>
      <c r="K3479" s="990"/>
      <c r="L3479" s="990"/>
      <c r="M3479" s="990"/>
      <c r="N3479" s="990"/>
      <c r="O3479" s="990"/>
      <c r="P3479" s="990"/>
      <c r="Q3479" s="990"/>
      <c r="R3479" s="990"/>
      <c r="S3479" s="990"/>
      <c r="T3479" s="990"/>
      <c r="U3479" s="990"/>
      <c r="V3479" s="990"/>
      <c r="W3479" s="990"/>
      <c r="X3479" s="990"/>
    </row>
    <row r="3480" spans="1:24" s="896" customFormat="1">
      <c r="A3480" s="987">
        <f t="shared" si="55"/>
        <v>3406</v>
      </c>
      <c r="B3480" s="988">
        <v>10731</v>
      </c>
      <c r="C3480" s="899" t="s">
        <v>12806</v>
      </c>
      <c r="D3480" s="988" t="s">
        <v>2667</v>
      </c>
      <c r="E3480" s="989">
        <v>33</v>
      </c>
      <c r="F3480" s="990"/>
      <c r="G3480" s="990"/>
      <c r="H3480" s="990"/>
      <c r="I3480" s="990"/>
      <c r="J3480" s="990"/>
      <c r="K3480" s="990"/>
      <c r="L3480" s="990"/>
      <c r="M3480" s="990"/>
      <c r="N3480" s="990"/>
      <c r="O3480" s="990"/>
      <c r="P3480" s="990"/>
      <c r="Q3480" s="990"/>
      <c r="R3480" s="990"/>
      <c r="S3480" s="990"/>
      <c r="T3480" s="990"/>
      <c r="U3480" s="990"/>
      <c r="V3480" s="990"/>
      <c r="W3480" s="990"/>
      <c r="X3480" s="990"/>
    </row>
    <row r="3481" spans="1:24" s="896" customFormat="1">
      <c r="A3481" s="987">
        <f t="shared" si="55"/>
        <v>3407</v>
      </c>
      <c r="B3481" s="988">
        <v>4704</v>
      </c>
      <c r="C3481" s="899" t="s">
        <v>12807</v>
      </c>
      <c r="D3481" s="988" t="s">
        <v>2667</v>
      </c>
      <c r="E3481" s="989">
        <v>29.78</v>
      </c>
      <c r="F3481" s="990"/>
      <c r="G3481" s="990"/>
      <c r="H3481" s="990"/>
      <c r="I3481" s="990"/>
      <c r="J3481" s="990"/>
      <c r="K3481" s="990"/>
      <c r="L3481" s="990"/>
      <c r="M3481" s="990"/>
      <c r="N3481" s="990"/>
      <c r="O3481" s="990"/>
      <c r="P3481" s="990"/>
      <c r="Q3481" s="990"/>
      <c r="R3481" s="990"/>
      <c r="S3481" s="990"/>
      <c r="T3481" s="990"/>
      <c r="U3481" s="990"/>
      <c r="V3481" s="990"/>
      <c r="W3481" s="990"/>
      <c r="X3481" s="990"/>
    </row>
    <row r="3482" spans="1:24" s="896" customFormat="1">
      <c r="A3482" s="987">
        <f t="shared" si="55"/>
        <v>3408</v>
      </c>
      <c r="B3482" s="988">
        <v>10730</v>
      </c>
      <c r="C3482" s="899" t="s">
        <v>12808</v>
      </c>
      <c r="D3482" s="988" t="s">
        <v>2667</v>
      </c>
      <c r="E3482" s="989">
        <v>31.9</v>
      </c>
      <c r="F3482" s="990"/>
      <c r="G3482" s="990"/>
      <c r="H3482" s="990"/>
      <c r="I3482" s="990"/>
      <c r="J3482" s="990"/>
      <c r="K3482" s="990"/>
      <c r="L3482" s="990"/>
      <c r="M3482" s="990"/>
      <c r="N3482" s="990"/>
      <c r="O3482" s="990"/>
      <c r="P3482" s="990"/>
      <c r="Q3482" s="990"/>
      <c r="R3482" s="990"/>
      <c r="S3482" s="990"/>
      <c r="T3482" s="990"/>
      <c r="U3482" s="990"/>
      <c r="V3482" s="990"/>
      <c r="W3482" s="990"/>
      <c r="X3482" s="990"/>
    </row>
    <row r="3483" spans="1:24" s="896" customFormat="1">
      <c r="A3483" s="987">
        <f t="shared" si="55"/>
        <v>3409</v>
      </c>
      <c r="B3483" s="988">
        <v>4729</v>
      </c>
      <c r="C3483" s="899" t="s">
        <v>12809</v>
      </c>
      <c r="D3483" s="988" t="s">
        <v>2668</v>
      </c>
      <c r="E3483" s="989">
        <v>56.12</v>
      </c>
      <c r="F3483" s="990"/>
      <c r="G3483" s="990"/>
      <c r="H3483" s="990"/>
      <c r="I3483" s="990"/>
      <c r="J3483" s="990"/>
      <c r="K3483" s="990"/>
      <c r="L3483" s="990"/>
      <c r="M3483" s="990"/>
      <c r="N3483" s="990"/>
      <c r="O3483" s="990"/>
      <c r="P3483" s="990"/>
      <c r="Q3483" s="990"/>
      <c r="R3483" s="990"/>
      <c r="S3483" s="990"/>
      <c r="T3483" s="990"/>
      <c r="U3483" s="990"/>
      <c r="V3483" s="990"/>
      <c r="W3483" s="990"/>
      <c r="X3483" s="990"/>
    </row>
    <row r="3484" spans="1:24" s="896" customFormat="1" ht="25.5">
      <c r="A3484" s="987">
        <f t="shared" si="55"/>
        <v>3410</v>
      </c>
      <c r="B3484" s="988">
        <v>4720</v>
      </c>
      <c r="C3484" s="899" t="s">
        <v>12810</v>
      </c>
      <c r="D3484" s="988" t="s">
        <v>2668</v>
      </c>
      <c r="E3484" s="989">
        <v>64.31</v>
      </c>
      <c r="F3484" s="990"/>
      <c r="G3484" s="990"/>
      <c r="H3484" s="990"/>
      <c r="I3484" s="990"/>
      <c r="J3484" s="990"/>
      <c r="K3484" s="990"/>
      <c r="L3484" s="990"/>
      <c r="M3484" s="990"/>
      <c r="N3484" s="990"/>
      <c r="O3484" s="990"/>
      <c r="P3484" s="990"/>
      <c r="Q3484" s="990"/>
      <c r="R3484" s="990"/>
      <c r="S3484" s="990"/>
      <c r="T3484" s="990"/>
      <c r="U3484" s="990"/>
      <c r="V3484" s="990"/>
      <c r="W3484" s="990"/>
      <c r="X3484" s="990"/>
    </row>
    <row r="3485" spans="1:24" s="896" customFormat="1">
      <c r="A3485" s="987">
        <f t="shared" si="55"/>
        <v>3411</v>
      </c>
      <c r="B3485" s="988">
        <v>4721</v>
      </c>
      <c r="C3485" s="899" t="s">
        <v>12811</v>
      </c>
      <c r="D3485" s="988" t="s">
        <v>2668</v>
      </c>
      <c r="E3485" s="989">
        <v>55.7</v>
      </c>
      <c r="F3485" s="990"/>
      <c r="G3485" s="990"/>
      <c r="H3485" s="990"/>
      <c r="I3485" s="990"/>
      <c r="J3485" s="990"/>
      <c r="K3485" s="990"/>
      <c r="L3485" s="990"/>
      <c r="M3485" s="990"/>
      <c r="N3485" s="990"/>
      <c r="O3485" s="990"/>
      <c r="P3485" s="990"/>
      <c r="Q3485" s="990"/>
      <c r="R3485" s="990"/>
      <c r="S3485" s="990"/>
      <c r="T3485" s="990"/>
      <c r="U3485" s="990"/>
      <c r="V3485" s="990"/>
      <c r="W3485" s="990"/>
      <c r="X3485" s="990"/>
    </row>
    <row r="3486" spans="1:24" s="896" customFormat="1">
      <c r="A3486" s="987">
        <f t="shared" si="55"/>
        <v>3412</v>
      </c>
      <c r="B3486" s="988">
        <v>4718</v>
      </c>
      <c r="C3486" s="899" t="s">
        <v>12812</v>
      </c>
      <c r="D3486" s="988" t="s">
        <v>2668</v>
      </c>
      <c r="E3486" s="989">
        <v>56</v>
      </c>
      <c r="F3486" s="990"/>
      <c r="G3486" s="990"/>
      <c r="H3486" s="990"/>
      <c r="I3486" s="990"/>
      <c r="J3486" s="990"/>
      <c r="K3486" s="990"/>
      <c r="L3486" s="990"/>
      <c r="M3486" s="990"/>
      <c r="N3486" s="990"/>
      <c r="O3486" s="990"/>
      <c r="P3486" s="990"/>
      <c r="Q3486" s="990"/>
      <c r="R3486" s="990"/>
      <c r="S3486" s="990"/>
      <c r="T3486" s="990"/>
      <c r="U3486" s="990"/>
      <c r="V3486" s="990"/>
      <c r="W3486" s="990"/>
      <c r="X3486" s="990"/>
    </row>
    <row r="3487" spans="1:24" s="896" customFormat="1">
      <c r="A3487" s="987">
        <f t="shared" si="55"/>
        <v>3413</v>
      </c>
      <c r="B3487" s="988">
        <v>4722</v>
      </c>
      <c r="C3487" s="899" t="s">
        <v>12813</v>
      </c>
      <c r="D3487" s="988" t="s">
        <v>2668</v>
      </c>
      <c r="E3487" s="989">
        <v>52.62</v>
      </c>
      <c r="F3487" s="990"/>
      <c r="G3487" s="990"/>
      <c r="H3487" s="990"/>
      <c r="I3487" s="990"/>
      <c r="J3487" s="990"/>
      <c r="K3487" s="990"/>
      <c r="L3487" s="990"/>
      <c r="M3487" s="990"/>
      <c r="N3487" s="990"/>
      <c r="O3487" s="990"/>
      <c r="P3487" s="990"/>
      <c r="Q3487" s="990"/>
      <c r="R3487" s="990"/>
      <c r="S3487" s="990"/>
      <c r="T3487" s="990"/>
      <c r="U3487" s="990"/>
      <c r="V3487" s="990"/>
      <c r="W3487" s="990"/>
      <c r="X3487" s="990"/>
    </row>
    <row r="3488" spans="1:24" s="896" customFormat="1">
      <c r="A3488" s="987">
        <f t="shared" si="55"/>
        <v>3414</v>
      </c>
      <c r="B3488" s="988">
        <v>4723</v>
      </c>
      <c r="C3488" s="899" t="s">
        <v>12814</v>
      </c>
      <c r="D3488" s="988" t="s">
        <v>2668</v>
      </c>
      <c r="E3488" s="989">
        <v>52.16</v>
      </c>
      <c r="F3488" s="990"/>
      <c r="G3488" s="990"/>
      <c r="H3488" s="990"/>
      <c r="I3488" s="990"/>
      <c r="J3488" s="990"/>
      <c r="K3488" s="990"/>
      <c r="L3488" s="990"/>
      <c r="M3488" s="990"/>
      <c r="N3488" s="990"/>
      <c r="O3488" s="990"/>
      <c r="P3488" s="990"/>
      <c r="Q3488" s="990"/>
      <c r="R3488" s="990"/>
      <c r="S3488" s="990"/>
      <c r="T3488" s="990"/>
      <c r="U3488" s="990"/>
      <c r="V3488" s="990"/>
      <c r="W3488" s="990"/>
      <c r="X3488" s="990"/>
    </row>
    <row r="3489" spans="1:24" s="896" customFormat="1">
      <c r="A3489" s="987">
        <f t="shared" si="55"/>
        <v>3415</v>
      </c>
      <c r="B3489" s="988">
        <v>4727</v>
      </c>
      <c r="C3489" s="899" t="s">
        <v>12815</v>
      </c>
      <c r="D3489" s="988" t="s">
        <v>2668</v>
      </c>
      <c r="E3489" s="989">
        <v>47.74</v>
      </c>
      <c r="F3489" s="990"/>
      <c r="G3489" s="990"/>
      <c r="H3489" s="990"/>
      <c r="I3489" s="990"/>
      <c r="J3489" s="990"/>
      <c r="K3489" s="990"/>
      <c r="L3489" s="990"/>
      <c r="M3489" s="990"/>
      <c r="N3489" s="990"/>
      <c r="O3489" s="990"/>
      <c r="P3489" s="990"/>
      <c r="Q3489" s="990"/>
      <c r="R3489" s="990"/>
      <c r="S3489" s="990"/>
      <c r="T3489" s="990"/>
      <c r="U3489" s="990"/>
      <c r="V3489" s="990"/>
      <c r="W3489" s="990"/>
      <c r="X3489" s="990"/>
    </row>
    <row r="3490" spans="1:24" s="896" customFormat="1" ht="25.5">
      <c r="A3490" s="987">
        <f t="shared" si="55"/>
        <v>3416</v>
      </c>
      <c r="B3490" s="988">
        <v>4748</v>
      </c>
      <c r="C3490" s="899" t="s">
        <v>12816</v>
      </c>
      <c r="D3490" s="988" t="s">
        <v>2668</v>
      </c>
      <c r="E3490" s="989">
        <v>51.45</v>
      </c>
      <c r="F3490" s="990"/>
      <c r="G3490" s="990"/>
      <c r="H3490" s="990"/>
      <c r="I3490" s="990"/>
      <c r="J3490" s="990"/>
      <c r="K3490" s="990"/>
      <c r="L3490" s="990"/>
      <c r="M3490" s="990"/>
      <c r="N3490" s="990"/>
      <c r="O3490" s="990"/>
      <c r="P3490" s="990"/>
      <c r="Q3490" s="990"/>
      <c r="R3490" s="990"/>
      <c r="S3490" s="990"/>
      <c r="T3490" s="990"/>
      <c r="U3490" s="990"/>
      <c r="V3490" s="990"/>
      <c r="W3490" s="990"/>
      <c r="X3490" s="990"/>
    </row>
    <row r="3491" spans="1:24" s="896" customFormat="1" ht="25.5">
      <c r="A3491" s="987">
        <f t="shared" si="55"/>
        <v>3417</v>
      </c>
      <c r="B3491" s="988">
        <v>4730</v>
      </c>
      <c r="C3491" s="899" t="s">
        <v>12817</v>
      </c>
      <c r="D3491" s="988" t="s">
        <v>2668</v>
      </c>
      <c r="E3491" s="989">
        <v>52.36</v>
      </c>
      <c r="F3491" s="990"/>
      <c r="G3491" s="990"/>
      <c r="H3491" s="990"/>
      <c r="I3491" s="990"/>
      <c r="J3491" s="990"/>
      <c r="K3491" s="990"/>
      <c r="L3491" s="990"/>
      <c r="M3491" s="990"/>
      <c r="N3491" s="990"/>
      <c r="O3491" s="990"/>
      <c r="P3491" s="990"/>
      <c r="Q3491" s="990"/>
      <c r="R3491" s="990"/>
      <c r="S3491" s="990"/>
      <c r="T3491" s="990"/>
      <c r="U3491" s="990"/>
      <c r="V3491" s="990"/>
      <c r="W3491" s="990"/>
      <c r="X3491" s="990"/>
    </row>
    <row r="3492" spans="1:24" s="896" customFormat="1" ht="38.25">
      <c r="A3492" s="987">
        <f t="shared" si="55"/>
        <v>3418</v>
      </c>
      <c r="B3492" s="988">
        <v>13186</v>
      </c>
      <c r="C3492" s="899" t="s">
        <v>12818</v>
      </c>
      <c r="D3492" s="988" t="s">
        <v>2668</v>
      </c>
      <c r="E3492" s="989">
        <v>60.41</v>
      </c>
      <c r="F3492" s="990"/>
      <c r="G3492" s="990"/>
      <c r="H3492" s="990"/>
      <c r="I3492" s="990"/>
      <c r="J3492" s="990"/>
      <c r="K3492" s="990"/>
      <c r="L3492" s="990"/>
      <c r="M3492" s="990"/>
      <c r="N3492" s="990"/>
      <c r="O3492" s="990"/>
      <c r="P3492" s="990"/>
      <c r="Q3492" s="990"/>
      <c r="R3492" s="990"/>
      <c r="S3492" s="990"/>
      <c r="T3492" s="990"/>
      <c r="U3492" s="990"/>
      <c r="V3492" s="990"/>
      <c r="W3492" s="990"/>
      <c r="X3492" s="990"/>
    </row>
    <row r="3493" spans="1:24" s="896" customFormat="1" ht="25.5">
      <c r="A3493" s="987">
        <f t="shared" si="55"/>
        <v>3419</v>
      </c>
      <c r="B3493" s="988">
        <v>10737</v>
      </c>
      <c r="C3493" s="899" t="s">
        <v>12819</v>
      </c>
      <c r="D3493" s="988" t="s">
        <v>2667</v>
      </c>
      <c r="E3493" s="989">
        <v>103.7</v>
      </c>
      <c r="F3493" s="990"/>
      <c r="G3493" s="990"/>
      <c r="H3493" s="990"/>
      <c r="I3493" s="990"/>
      <c r="J3493" s="990"/>
      <c r="K3493" s="990"/>
      <c r="L3493" s="990"/>
      <c r="M3493" s="990"/>
      <c r="N3493" s="990"/>
      <c r="O3493" s="990"/>
      <c r="P3493" s="990"/>
      <c r="Q3493" s="990"/>
      <c r="R3493" s="990"/>
      <c r="S3493" s="990"/>
      <c r="T3493" s="990"/>
      <c r="U3493" s="990"/>
      <c r="V3493" s="990"/>
      <c r="W3493" s="990"/>
      <c r="X3493" s="990"/>
    </row>
    <row r="3494" spans="1:24" s="896" customFormat="1" ht="25.5">
      <c r="A3494" s="987">
        <f t="shared" si="55"/>
        <v>3420</v>
      </c>
      <c r="B3494" s="988">
        <v>10734</v>
      </c>
      <c r="C3494" s="899" t="s">
        <v>12820</v>
      </c>
      <c r="D3494" s="988" t="s">
        <v>2667</v>
      </c>
      <c r="E3494" s="989">
        <v>61.69</v>
      </c>
      <c r="F3494" s="990"/>
      <c r="G3494" s="990"/>
      <c r="H3494" s="990"/>
      <c r="I3494" s="990"/>
      <c r="J3494" s="990"/>
      <c r="K3494" s="990"/>
      <c r="L3494" s="990"/>
      <c r="M3494" s="990"/>
      <c r="N3494" s="990"/>
      <c r="O3494" s="990"/>
      <c r="P3494" s="990"/>
      <c r="Q3494" s="990"/>
      <c r="R3494" s="990"/>
      <c r="S3494" s="990"/>
      <c r="T3494" s="990"/>
      <c r="U3494" s="990"/>
      <c r="V3494" s="990"/>
      <c r="W3494" s="990"/>
      <c r="X3494" s="990"/>
    </row>
    <row r="3495" spans="1:24" s="896" customFormat="1">
      <c r="A3495" s="987">
        <f t="shared" si="55"/>
        <v>3421</v>
      </c>
      <c r="B3495" s="988">
        <v>4708</v>
      </c>
      <c r="C3495" s="899" t="s">
        <v>12821</v>
      </c>
      <c r="D3495" s="988" t="s">
        <v>2667</v>
      </c>
      <c r="E3495" s="989">
        <v>119.66</v>
      </c>
      <c r="F3495" s="990"/>
      <c r="G3495" s="990"/>
      <c r="H3495" s="990"/>
      <c r="I3495" s="990"/>
      <c r="J3495" s="990"/>
      <c r="K3495" s="990"/>
      <c r="L3495" s="990"/>
      <c r="M3495" s="990"/>
      <c r="N3495" s="990"/>
      <c r="O3495" s="990"/>
      <c r="P3495" s="990"/>
      <c r="Q3495" s="990"/>
      <c r="R3495" s="990"/>
      <c r="S3495" s="990"/>
      <c r="T3495" s="990"/>
      <c r="U3495" s="990"/>
      <c r="V3495" s="990"/>
      <c r="W3495" s="990"/>
      <c r="X3495" s="990"/>
    </row>
    <row r="3496" spans="1:24" s="896" customFormat="1" ht="38.25">
      <c r="A3496" s="987">
        <f t="shared" si="55"/>
        <v>3422</v>
      </c>
      <c r="B3496" s="988">
        <v>4712</v>
      </c>
      <c r="C3496" s="899" t="s">
        <v>12822</v>
      </c>
      <c r="D3496" s="988" t="s">
        <v>2667</v>
      </c>
      <c r="E3496" s="989">
        <v>58.5</v>
      </c>
      <c r="F3496" s="990"/>
      <c r="G3496" s="990"/>
      <c r="H3496" s="990"/>
      <c r="I3496" s="990"/>
      <c r="J3496" s="990"/>
      <c r="K3496" s="990"/>
      <c r="L3496" s="990"/>
      <c r="M3496" s="990"/>
      <c r="N3496" s="990"/>
      <c r="O3496" s="990"/>
      <c r="P3496" s="990"/>
      <c r="Q3496" s="990"/>
      <c r="R3496" s="990"/>
      <c r="S3496" s="990"/>
      <c r="T3496" s="990"/>
      <c r="U3496" s="990"/>
      <c r="V3496" s="990"/>
      <c r="W3496" s="990"/>
      <c r="X3496" s="990"/>
    </row>
    <row r="3497" spans="1:24" s="896" customFormat="1" ht="38.25">
      <c r="A3497" s="987">
        <f t="shared" si="55"/>
        <v>3423</v>
      </c>
      <c r="B3497" s="988">
        <v>4710</v>
      </c>
      <c r="C3497" s="899" t="s">
        <v>12823</v>
      </c>
      <c r="D3497" s="988" t="s">
        <v>2667</v>
      </c>
      <c r="E3497" s="989">
        <v>187.6</v>
      </c>
      <c r="F3497" s="990"/>
      <c r="G3497" s="990"/>
      <c r="H3497" s="990"/>
      <c r="I3497" s="990"/>
      <c r="J3497" s="990"/>
      <c r="K3497" s="990"/>
      <c r="L3497" s="990"/>
      <c r="M3497" s="990"/>
      <c r="N3497" s="990"/>
      <c r="O3497" s="990"/>
      <c r="P3497" s="990"/>
      <c r="Q3497" s="990"/>
      <c r="R3497" s="990"/>
      <c r="S3497" s="990"/>
      <c r="T3497" s="990"/>
      <c r="U3497" s="990"/>
      <c r="V3497" s="990"/>
      <c r="W3497" s="990"/>
      <c r="X3497" s="990"/>
    </row>
    <row r="3498" spans="1:24" s="896" customFormat="1" ht="25.5">
      <c r="A3498" s="987">
        <f t="shared" si="55"/>
        <v>3424</v>
      </c>
      <c r="B3498" s="988">
        <v>4746</v>
      </c>
      <c r="C3498" s="899" t="s">
        <v>12824</v>
      </c>
      <c r="D3498" s="988" t="s">
        <v>2668</v>
      </c>
      <c r="E3498" s="989">
        <v>39.1</v>
      </c>
      <c r="F3498" s="990"/>
      <c r="G3498" s="990"/>
      <c r="H3498" s="990"/>
      <c r="I3498" s="990"/>
      <c r="J3498" s="990"/>
      <c r="K3498" s="990"/>
      <c r="L3498" s="990"/>
      <c r="M3498" s="990"/>
      <c r="N3498" s="990"/>
      <c r="O3498" s="990"/>
      <c r="P3498" s="990"/>
      <c r="Q3498" s="990"/>
      <c r="R3498" s="990"/>
      <c r="S3498" s="990"/>
      <c r="T3498" s="990"/>
      <c r="U3498" s="990"/>
      <c r="V3498" s="990"/>
      <c r="W3498" s="990"/>
      <c r="X3498" s="990"/>
    </row>
    <row r="3499" spans="1:24" s="896" customFormat="1">
      <c r="A3499" s="987">
        <f t="shared" si="55"/>
        <v>3425</v>
      </c>
      <c r="B3499" s="988">
        <v>4750</v>
      </c>
      <c r="C3499" s="899" t="s">
        <v>12825</v>
      </c>
      <c r="D3499" s="988" t="s">
        <v>2665</v>
      </c>
      <c r="E3499" s="989">
        <v>23.94</v>
      </c>
      <c r="F3499" s="990"/>
      <c r="G3499" s="990"/>
      <c r="H3499" s="990"/>
      <c r="I3499" s="990"/>
      <c r="J3499" s="990"/>
      <c r="K3499" s="990"/>
      <c r="L3499" s="990"/>
      <c r="M3499" s="990"/>
      <c r="N3499" s="990"/>
      <c r="O3499" s="990"/>
      <c r="P3499" s="990"/>
      <c r="Q3499" s="990"/>
      <c r="R3499" s="990"/>
      <c r="S3499" s="990"/>
      <c r="T3499" s="990"/>
      <c r="U3499" s="990"/>
      <c r="V3499" s="990"/>
      <c r="W3499" s="990"/>
      <c r="X3499" s="990"/>
    </row>
    <row r="3500" spans="1:24" s="896" customFormat="1">
      <c r="A3500" s="987">
        <f t="shared" si="55"/>
        <v>3426</v>
      </c>
      <c r="B3500" s="988">
        <v>41065</v>
      </c>
      <c r="C3500" s="899" t="s">
        <v>12826</v>
      </c>
      <c r="D3500" s="988" t="s">
        <v>2672</v>
      </c>
      <c r="E3500" s="989">
        <v>4207.42</v>
      </c>
      <c r="F3500" s="990"/>
      <c r="G3500" s="990"/>
      <c r="H3500" s="990"/>
      <c r="I3500" s="990"/>
      <c r="J3500" s="990"/>
      <c r="K3500" s="990"/>
      <c r="L3500" s="990"/>
      <c r="M3500" s="990"/>
      <c r="N3500" s="990"/>
      <c r="O3500" s="990"/>
      <c r="P3500" s="990"/>
      <c r="Q3500" s="990"/>
      <c r="R3500" s="990"/>
      <c r="S3500" s="990"/>
      <c r="T3500" s="990"/>
      <c r="U3500" s="990"/>
      <c r="V3500" s="990"/>
      <c r="W3500" s="990"/>
      <c r="X3500" s="990"/>
    </row>
    <row r="3501" spans="1:24" s="896" customFormat="1" ht="25.5">
      <c r="A3501" s="987">
        <f t="shared" si="55"/>
        <v>3427</v>
      </c>
      <c r="B3501" s="988">
        <v>34747</v>
      </c>
      <c r="C3501" s="899" t="s">
        <v>12827</v>
      </c>
      <c r="D3501" s="988" t="s">
        <v>2669</v>
      </c>
      <c r="E3501" s="989">
        <v>136.72999999999999</v>
      </c>
      <c r="F3501" s="990"/>
      <c r="G3501" s="990"/>
      <c r="H3501" s="990"/>
      <c r="I3501" s="990"/>
      <c r="J3501" s="990"/>
      <c r="K3501" s="990"/>
      <c r="L3501" s="990"/>
      <c r="M3501" s="990"/>
      <c r="N3501" s="990"/>
      <c r="O3501" s="990"/>
      <c r="P3501" s="990"/>
      <c r="Q3501" s="990"/>
      <c r="R3501" s="990"/>
      <c r="S3501" s="990"/>
      <c r="T3501" s="990"/>
      <c r="U3501" s="990"/>
      <c r="V3501" s="990"/>
      <c r="W3501" s="990"/>
      <c r="X3501" s="990"/>
    </row>
    <row r="3502" spans="1:24" s="896" customFormat="1">
      <c r="A3502" s="987">
        <f t="shared" si="55"/>
        <v>3428</v>
      </c>
      <c r="B3502" s="988">
        <v>4826</v>
      </c>
      <c r="C3502" s="899" t="s">
        <v>12828</v>
      </c>
      <c r="D3502" s="988" t="s">
        <v>2669</v>
      </c>
      <c r="E3502" s="989">
        <v>147.02000000000001</v>
      </c>
      <c r="F3502" s="990"/>
      <c r="G3502" s="990"/>
      <c r="H3502" s="990"/>
      <c r="I3502" s="990"/>
      <c r="J3502" s="990"/>
      <c r="K3502" s="990"/>
      <c r="L3502" s="990"/>
      <c r="M3502" s="990"/>
      <c r="N3502" s="990"/>
      <c r="O3502" s="990"/>
      <c r="P3502" s="990"/>
      <c r="Q3502" s="990"/>
      <c r="R3502" s="990"/>
      <c r="S3502" s="990"/>
      <c r="T3502" s="990"/>
      <c r="U3502" s="990"/>
      <c r="V3502" s="990"/>
      <c r="W3502" s="990"/>
      <c r="X3502" s="990"/>
    </row>
    <row r="3503" spans="1:24" s="896" customFormat="1">
      <c r="A3503" s="987">
        <f t="shared" si="55"/>
        <v>3429</v>
      </c>
      <c r="B3503" s="988">
        <v>41975</v>
      </c>
      <c r="C3503" s="899" t="s">
        <v>12829</v>
      </c>
      <c r="D3503" s="988" t="s">
        <v>2667</v>
      </c>
      <c r="E3503" s="989">
        <v>81.3</v>
      </c>
      <c r="F3503" s="990"/>
      <c r="G3503" s="990"/>
      <c r="H3503" s="990"/>
      <c r="I3503" s="990"/>
      <c r="J3503" s="990"/>
      <c r="K3503" s="990"/>
      <c r="L3503" s="990"/>
      <c r="M3503" s="990"/>
      <c r="N3503" s="990"/>
      <c r="O3503" s="990"/>
      <c r="P3503" s="990"/>
      <c r="Q3503" s="990"/>
      <c r="R3503" s="990"/>
      <c r="S3503" s="990"/>
      <c r="T3503" s="990"/>
      <c r="U3503" s="990"/>
      <c r="V3503" s="990"/>
      <c r="W3503" s="990"/>
      <c r="X3503" s="990"/>
    </row>
    <row r="3504" spans="1:24" s="896" customFormat="1" ht="25.5">
      <c r="A3504" s="987">
        <f t="shared" si="55"/>
        <v>3430</v>
      </c>
      <c r="B3504" s="988">
        <v>4825</v>
      </c>
      <c r="C3504" s="899" t="s">
        <v>12830</v>
      </c>
      <c r="D3504" s="988" t="s">
        <v>2669</v>
      </c>
      <c r="E3504" s="989">
        <v>203.51</v>
      </c>
      <c r="F3504" s="990"/>
      <c r="G3504" s="990"/>
      <c r="H3504" s="990"/>
      <c r="I3504" s="990"/>
      <c r="J3504" s="990"/>
      <c r="K3504" s="990"/>
      <c r="L3504" s="990"/>
      <c r="M3504" s="990"/>
      <c r="N3504" s="990"/>
      <c r="O3504" s="990"/>
      <c r="P3504" s="990"/>
      <c r="Q3504" s="990"/>
      <c r="R3504" s="990"/>
      <c r="S3504" s="990"/>
      <c r="T3504" s="990"/>
      <c r="U3504" s="990"/>
      <c r="V3504" s="990"/>
      <c r="W3504" s="990"/>
      <c r="X3504" s="990"/>
    </row>
    <row r="3505" spans="1:24" s="896" customFormat="1">
      <c r="A3505" s="987">
        <f t="shared" si="55"/>
        <v>3431</v>
      </c>
      <c r="B3505" s="988">
        <v>34744</v>
      </c>
      <c r="C3505" s="899" t="s">
        <v>12831</v>
      </c>
      <c r="D3505" s="988" t="s">
        <v>2667</v>
      </c>
      <c r="E3505" s="989">
        <v>41.38</v>
      </c>
      <c r="F3505" s="990"/>
      <c r="G3505" s="990"/>
      <c r="H3505" s="990"/>
      <c r="I3505" s="990"/>
      <c r="J3505" s="990"/>
      <c r="K3505" s="990"/>
      <c r="L3505" s="990"/>
      <c r="M3505" s="990"/>
      <c r="N3505" s="990"/>
      <c r="O3505" s="990"/>
      <c r="P3505" s="990"/>
      <c r="Q3505" s="990"/>
      <c r="R3505" s="990"/>
      <c r="S3505" s="990"/>
      <c r="T3505" s="990"/>
      <c r="U3505" s="990"/>
      <c r="V3505" s="990"/>
      <c r="W3505" s="990"/>
      <c r="X3505" s="990"/>
    </row>
    <row r="3506" spans="1:24" s="896" customFormat="1" ht="25.5">
      <c r="A3506" s="987">
        <f t="shared" si="55"/>
        <v>3432</v>
      </c>
      <c r="B3506" s="988">
        <v>39430</v>
      </c>
      <c r="C3506" s="899" t="s">
        <v>12832</v>
      </c>
      <c r="D3506" s="988" t="s">
        <v>2666</v>
      </c>
      <c r="E3506" s="989">
        <v>3.18</v>
      </c>
      <c r="F3506" s="990"/>
      <c r="G3506" s="990"/>
      <c r="H3506" s="990"/>
      <c r="I3506" s="990"/>
      <c r="J3506" s="990"/>
      <c r="K3506" s="990"/>
      <c r="L3506" s="990"/>
      <c r="M3506" s="990"/>
      <c r="N3506" s="990"/>
      <c r="O3506" s="990"/>
      <c r="P3506" s="990"/>
      <c r="Q3506" s="990"/>
      <c r="R3506" s="990"/>
      <c r="S3506" s="990"/>
      <c r="T3506" s="990"/>
      <c r="U3506" s="990"/>
      <c r="V3506" s="990"/>
      <c r="W3506" s="990"/>
      <c r="X3506" s="990"/>
    </row>
    <row r="3507" spans="1:24" s="896" customFormat="1" ht="25.5">
      <c r="A3507" s="987">
        <f t="shared" si="55"/>
        <v>3433</v>
      </c>
      <c r="B3507" s="988">
        <v>39573</v>
      </c>
      <c r="C3507" s="899" t="s">
        <v>12833</v>
      </c>
      <c r="D3507" s="988" t="s">
        <v>2666</v>
      </c>
      <c r="E3507" s="989">
        <v>3.13</v>
      </c>
      <c r="F3507" s="990"/>
      <c r="G3507" s="990"/>
      <c r="H3507" s="990"/>
      <c r="I3507" s="990"/>
      <c r="J3507" s="990"/>
      <c r="K3507" s="990"/>
      <c r="L3507" s="990"/>
      <c r="M3507" s="990"/>
      <c r="N3507" s="990"/>
      <c r="O3507" s="990"/>
      <c r="P3507" s="990"/>
      <c r="Q3507" s="990"/>
      <c r="R3507" s="990"/>
      <c r="S3507" s="990"/>
      <c r="T3507" s="990"/>
      <c r="U3507" s="990"/>
      <c r="V3507" s="990"/>
      <c r="W3507" s="990"/>
      <c r="X3507" s="990"/>
    </row>
    <row r="3508" spans="1:24" s="896" customFormat="1" ht="25.5">
      <c r="A3508" s="987">
        <f t="shared" si="55"/>
        <v>3434</v>
      </c>
      <c r="B3508" s="988">
        <v>38410</v>
      </c>
      <c r="C3508" s="899" t="s">
        <v>12834</v>
      </c>
      <c r="D3508" s="988" t="s">
        <v>2666</v>
      </c>
      <c r="E3508" s="989">
        <v>14041.37</v>
      </c>
      <c r="F3508" s="990"/>
      <c r="G3508" s="990"/>
      <c r="H3508" s="990"/>
      <c r="I3508" s="990"/>
      <c r="J3508" s="990"/>
      <c r="K3508" s="990"/>
      <c r="L3508" s="990"/>
      <c r="M3508" s="990"/>
      <c r="N3508" s="990"/>
      <c r="O3508" s="990"/>
      <c r="P3508" s="990"/>
      <c r="Q3508" s="990"/>
      <c r="R3508" s="990"/>
      <c r="S3508" s="990"/>
      <c r="T3508" s="990"/>
      <c r="U3508" s="990"/>
      <c r="V3508" s="990"/>
      <c r="W3508" s="990"/>
      <c r="X3508" s="990"/>
    </row>
    <row r="3509" spans="1:24" s="896" customFormat="1">
      <c r="A3509" s="987">
        <f t="shared" si="55"/>
        <v>3435</v>
      </c>
      <c r="B3509" s="988">
        <v>41596</v>
      </c>
      <c r="C3509" s="899" t="s">
        <v>12835</v>
      </c>
      <c r="D3509" s="988" t="s">
        <v>2670</v>
      </c>
      <c r="E3509" s="989">
        <v>15.27</v>
      </c>
      <c r="F3509" s="990"/>
      <c r="G3509" s="990"/>
      <c r="H3509" s="990"/>
      <c r="I3509" s="990"/>
      <c r="J3509" s="990"/>
      <c r="K3509" s="990"/>
      <c r="L3509" s="990"/>
      <c r="M3509" s="990"/>
      <c r="N3509" s="990"/>
      <c r="O3509" s="990"/>
      <c r="P3509" s="990"/>
      <c r="Q3509" s="990"/>
      <c r="R3509" s="990"/>
      <c r="S3509" s="990"/>
      <c r="T3509" s="990"/>
      <c r="U3509" s="990"/>
      <c r="V3509" s="990"/>
      <c r="W3509" s="990"/>
      <c r="X3509" s="990"/>
    </row>
    <row r="3510" spans="1:24" s="896" customFormat="1">
      <c r="A3510" s="987">
        <f t="shared" si="55"/>
        <v>3436</v>
      </c>
      <c r="B3510" s="988">
        <v>41598</v>
      </c>
      <c r="C3510" s="899" t="s">
        <v>12836</v>
      </c>
      <c r="D3510" s="988" t="s">
        <v>2670</v>
      </c>
      <c r="E3510" s="989">
        <v>15.27</v>
      </c>
      <c r="F3510" s="990"/>
      <c r="G3510" s="990"/>
      <c r="H3510" s="990"/>
      <c r="I3510" s="990"/>
      <c r="J3510" s="990"/>
      <c r="K3510" s="990"/>
      <c r="L3510" s="990"/>
      <c r="M3510" s="990"/>
      <c r="N3510" s="990"/>
      <c r="O3510" s="990"/>
      <c r="P3510" s="990"/>
      <c r="Q3510" s="990"/>
      <c r="R3510" s="990"/>
      <c r="S3510" s="990"/>
      <c r="T3510" s="990"/>
      <c r="U3510" s="990"/>
      <c r="V3510" s="990"/>
      <c r="W3510" s="990"/>
      <c r="X3510" s="990"/>
    </row>
    <row r="3511" spans="1:24" s="896" customFormat="1">
      <c r="A3511" s="987">
        <f t="shared" si="55"/>
        <v>3437</v>
      </c>
      <c r="B3511" s="988">
        <v>41594</v>
      </c>
      <c r="C3511" s="899" t="s">
        <v>12837</v>
      </c>
      <c r="D3511" s="988" t="s">
        <v>2670</v>
      </c>
      <c r="E3511" s="989">
        <v>15.51</v>
      </c>
      <c r="F3511" s="990"/>
      <c r="G3511" s="990"/>
      <c r="H3511" s="990"/>
      <c r="I3511" s="990"/>
      <c r="J3511" s="990"/>
      <c r="K3511" s="990"/>
      <c r="L3511" s="990"/>
      <c r="M3511" s="990"/>
      <c r="N3511" s="990"/>
      <c r="O3511" s="990"/>
      <c r="P3511" s="990"/>
      <c r="Q3511" s="990"/>
      <c r="R3511" s="990"/>
      <c r="S3511" s="990"/>
      <c r="T3511" s="990"/>
      <c r="U3511" s="990"/>
      <c r="V3511" s="990"/>
      <c r="W3511" s="990"/>
      <c r="X3511" s="990"/>
    </row>
    <row r="3512" spans="1:24" s="896" customFormat="1">
      <c r="A3512" s="987">
        <f t="shared" si="55"/>
        <v>3438</v>
      </c>
      <c r="B3512" s="988">
        <v>43663</v>
      </c>
      <c r="C3512" s="899" t="s">
        <v>12838</v>
      </c>
      <c r="D3512" s="988" t="s">
        <v>2670</v>
      </c>
      <c r="E3512" s="989">
        <v>12.78</v>
      </c>
      <c r="F3512" s="990"/>
      <c r="G3512" s="990"/>
      <c r="H3512" s="990"/>
      <c r="I3512" s="990"/>
      <c r="J3512" s="990"/>
      <c r="K3512" s="990"/>
      <c r="L3512" s="990"/>
      <c r="M3512" s="990"/>
      <c r="N3512" s="990"/>
      <c r="O3512" s="990"/>
      <c r="P3512" s="990"/>
      <c r="Q3512" s="990"/>
      <c r="R3512" s="990"/>
      <c r="S3512" s="990"/>
      <c r="T3512" s="990"/>
      <c r="U3512" s="990"/>
      <c r="V3512" s="990"/>
      <c r="W3512" s="990"/>
      <c r="X3512" s="990"/>
    </row>
    <row r="3513" spans="1:24" s="896" customFormat="1">
      <c r="A3513" s="987">
        <f t="shared" si="55"/>
        <v>3439</v>
      </c>
      <c r="B3513" s="988">
        <v>4766</v>
      </c>
      <c r="C3513" s="899" t="s">
        <v>12839</v>
      </c>
      <c r="D3513" s="988" t="s">
        <v>2670</v>
      </c>
      <c r="E3513" s="989">
        <v>12.03</v>
      </c>
      <c r="F3513" s="990"/>
      <c r="G3513" s="990"/>
      <c r="H3513" s="990"/>
      <c r="I3513" s="990"/>
      <c r="J3513" s="990"/>
      <c r="K3513" s="990"/>
      <c r="L3513" s="990"/>
      <c r="M3513" s="990"/>
      <c r="N3513" s="990"/>
      <c r="O3513" s="990"/>
      <c r="P3513" s="990"/>
      <c r="Q3513" s="990"/>
      <c r="R3513" s="990"/>
      <c r="S3513" s="990"/>
      <c r="T3513" s="990"/>
      <c r="U3513" s="990"/>
      <c r="V3513" s="990"/>
      <c r="W3513" s="990"/>
      <c r="X3513" s="990"/>
    </row>
    <row r="3514" spans="1:24" s="896" customFormat="1">
      <c r="A3514" s="987">
        <f t="shared" si="55"/>
        <v>3440</v>
      </c>
      <c r="B3514" s="988">
        <v>43664</v>
      </c>
      <c r="C3514" s="899" t="s">
        <v>12840</v>
      </c>
      <c r="D3514" s="988" t="s">
        <v>2670</v>
      </c>
      <c r="E3514" s="989">
        <v>12.84</v>
      </c>
      <c r="F3514" s="990"/>
      <c r="G3514" s="990"/>
      <c r="H3514" s="990"/>
      <c r="I3514" s="990"/>
      <c r="J3514" s="990"/>
      <c r="K3514" s="990"/>
      <c r="L3514" s="990"/>
      <c r="M3514" s="990"/>
      <c r="N3514" s="990"/>
      <c r="O3514" s="990"/>
      <c r="P3514" s="990"/>
      <c r="Q3514" s="990"/>
      <c r="R3514" s="990"/>
      <c r="S3514" s="990"/>
      <c r="T3514" s="990"/>
      <c r="U3514" s="990"/>
      <c r="V3514" s="990"/>
      <c r="W3514" s="990"/>
      <c r="X3514" s="990"/>
    </row>
    <row r="3515" spans="1:24" s="896" customFormat="1">
      <c r="A3515" s="987">
        <f t="shared" si="55"/>
        <v>3441</v>
      </c>
      <c r="B3515" s="988">
        <v>43082</v>
      </c>
      <c r="C3515" s="899" t="s">
        <v>12841</v>
      </c>
      <c r="D3515" s="988" t="s">
        <v>2670</v>
      </c>
      <c r="E3515" s="989">
        <v>14</v>
      </c>
      <c r="F3515" s="990"/>
      <c r="G3515" s="990"/>
      <c r="H3515" s="990"/>
      <c r="I3515" s="990"/>
      <c r="J3515" s="990"/>
      <c r="K3515" s="990"/>
      <c r="L3515" s="990"/>
      <c r="M3515" s="990"/>
      <c r="N3515" s="990"/>
      <c r="O3515" s="990"/>
      <c r="P3515" s="990"/>
      <c r="Q3515" s="990"/>
      <c r="R3515" s="990"/>
      <c r="S3515" s="990"/>
      <c r="T3515" s="990"/>
      <c r="U3515" s="990"/>
      <c r="V3515" s="990"/>
      <c r="W3515" s="990"/>
      <c r="X3515" s="990"/>
    </row>
    <row r="3516" spans="1:24" s="896" customFormat="1">
      <c r="A3516" s="987">
        <f t="shared" si="55"/>
        <v>3442</v>
      </c>
      <c r="B3516" s="988">
        <v>43665</v>
      </c>
      <c r="C3516" s="899" t="s">
        <v>12842</v>
      </c>
      <c r="D3516" s="988" t="s">
        <v>2670</v>
      </c>
      <c r="E3516" s="989">
        <v>12.03</v>
      </c>
      <c r="F3516" s="990"/>
      <c r="G3516" s="990"/>
      <c r="H3516" s="990"/>
      <c r="I3516" s="990"/>
      <c r="J3516" s="990"/>
      <c r="K3516" s="990"/>
      <c r="L3516" s="990"/>
      <c r="M3516" s="990"/>
      <c r="N3516" s="990"/>
      <c r="O3516" s="990"/>
      <c r="P3516" s="990"/>
      <c r="Q3516" s="990"/>
      <c r="R3516" s="990"/>
      <c r="S3516" s="990"/>
      <c r="T3516" s="990"/>
      <c r="U3516" s="990"/>
      <c r="V3516" s="990"/>
      <c r="W3516" s="990"/>
      <c r="X3516" s="990"/>
    </row>
    <row r="3517" spans="1:24" s="896" customFormat="1">
      <c r="A3517" s="987">
        <f t="shared" si="55"/>
        <v>3443</v>
      </c>
      <c r="B3517" s="988">
        <v>10966</v>
      </c>
      <c r="C3517" s="899" t="s">
        <v>12843</v>
      </c>
      <c r="D3517" s="988" t="s">
        <v>2670</v>
      </c>
      <c r="E3517" s="989">
        <v>12.78</v>
      </c>
      <c r="F3517" s="990"/>
      <c r="G3517" s="990"/>
      <c r="H3517" s="990"/>
      <c r="I3517" s="990"/>
      <c r="J3517" s="990"/>
      <c r="K3517" s="990"/>
      <c r="L3517" s="990"/>
      <c r="M3517" s="990"/>
      <c r="N3517" s="990"/>
      <c r="O3517" s="990"/>
      <c r="P3517" s="990"/>
      <c r="Q3517" s="990"/>
      <c r="R3517" s="990"/>
      <c r="S3517" s="990"/>
      <c r="T3517" s="990"/>
      <c r="U3517" s="990"/>
      <c r="V3517" s="990"/>
      <c r="W3517" s="990"/>
      <c r="X3517" s="990"/>
    </row>
    <row r="3518" spans="1:24" s="896" customFormat="1">
      <c r="A3518" s="987">
        <f t="shared" si="55"/>
        <v>3444</v>
      </c>
      <c r="B3518" s="988">
        <v>43692</v>
      </c>
      <c r="C3518" s="899" t="s">
        <v>12844</v>
      </c>
      <c r="D3518" s="988" t="s">
        <v>2670</v>
      </c>
      <c r="E3518" s="989">
        <v>12.78</v>
      </c>
      <c r="F3518" s="990"/>
      <c r="G3518" s="990"/>
      <c r="H3518" s="990"/>
      <c r="I3518" s="990"/>
      <c r="J3518" s="990"/>
      <c r="K3518" s="990"/>
      <c r="L3518" s="990"/>
      <c r="M3518" s="990"/>
      <c r="N3518" s="990"/>
      <c r="O3518" s="990"/>
      <c r="P3518" s="990"/>
      <c r="Q3518" s="990"/>
      <c r="R3518" s="990"/>
      <c r="S3518" s="990"/>
      <c r="T3518" s="990"/>
      <c r="U3518" s="990"/>
      <c r="V3518" s="990"/>
      <c r="W3518" s="990"/>
      <c r="X3518" s="990"/>
    </row>
    <row r="3519" spans="1:24" s="896" customFormat="1" ht="25.5">
      <c r="A3519" s="987">
        <f t="shared" si="55"/>
        <v>3445</v>
      </c>
      <c r="B3519" s="988">
        <v>43083</v>
      </c>
      <c r="C3519" s="899" t="s">
        <v>12845</v>
      </c>
      <c r="D3519" s="988" t="s">
        <v>2670</v>
      </c>
      <c r="E3519" s="989">
        <v>12.13</v>
      </c>
      <c r="F3519" s="990"/>
      <c r="G3519" s="990"/>
      <c r="H3519" s="990"/>
      <c r="I3519" s="990"/>
      <c r="J3519" s="990"/>
      <c r="K3519" s="990"/>
      <c r="L3519" s="990"/>
      <c r="M3519" s="990"/>
      <c r="N3519" s="990"/>
      <c r="O3519" s="990"/>
      <c r="P3519" s="990"/>
      <c r="Q3519" s="990"/>
      <c r="R3519" s="990"/>
      <c r="S3519" s="990"/>
      <c r="T3519" s="990"/>
      <c r="U3519" s="990"/>
      <c r="V3519" s="990"/>
      <c r="W3519" s="990"/>
      <c r="X3519" s="990"/>
    </row>
    <row r="3520" spans="1:24" s="896" customFormat="1">
      <c r="A3520" s="987">
        <f t="shared" si="55"/>
        <v>3446</v>
      </c>
      <c r="B3520" s="988">
        <v>40535</v>
      </c>
      <c r="C3520" s="899" t="s">
        <v>12846</v>
      </c>
      <c r="D3520" s="988" t="s">
        <v>2670</v>
      </c>
      <c r="E3520" s="989">
        <v>12.13</v>
      </c>
      <c r="F3520" s="990"/>
      <c r="G3520" s="990"/>
      <c r="H3520" s="990"/>
      <c r="I3520" s="990"/>
      <c r="J3520" s="990"/>
      <c r="K3520" s="990"/>
      <c r="L3520" s="990"/>
      <c r="M3520" s="990"/>
      <c r="N3520" s="990"/>
      <c r="O3520" s="990"/>
      <c r="P3520" s="990"/>
      <c r="Q3520" s="990"/>
      <c r="R3520" s="990"/>
      <c r="S3520" s="990"/>
      <c r="T3520" s="990"/>
      <c r="U3520" s="990"/>
      <c r="V3520" s="990"/>
      <c r="W3520" s="990"/>
      <c r="X3520" s="990"/>
    </row>
    <row r="3521" spans="1:24" s="896" customFormat="1" ht="25.5">
      <c r="A3521" s="987">
        <f t="shared" si="55"/>
        <v>3447</v>
      </c>
      <c r="B3521" s="988">
        <v>39427</v>
      </c>
      <c r="C3521" s="899" t="s">
        <v>12847</v>
      </c>
      <c r="D3521" s="988" t="s">
        <v>2669</v>
      </c>
      <c r="E3521" s="989">
        <v>8.44</v>
      </c>
      <c r="F3521" s="990"/>
      <c r="G3521" s="990"/>
      <c r="H3521" s="990"/>
      <c r="I3521" s="990"/>
      <c r="J3521" s="990"/>
      <c r="K3521" s="990"/>
      <c r="L3521" s="990"/>
      <c r="M3521" s="990"/>
      <c r="N3521" s="990"/>
      <c r="O3521" s="990"/>
      <c r="P3521" s="990"/>
      <c r="Q3521" s="990"/>
      <c r="R3521" s="990"/>
      <c r="S3521" s="990"/>
      <c r="T3521" s="990"/>
      <c r="U3521" s="990"/>
      <c r="V3521" s="990"/>
      <c r="W3521" s="990"/>
      <c r="X3521" s="990"/>
    </row>
    <row r="3522" spans="1:24" s="896" customFormat="1">
      <c r="A3522" s="987">
        <f t="shared" si="55"/>
        <v>3448</v>
      </c>
      <c r="B3522" s="988">
        <v>39424</v>
      </c>
      <c r="C3522" s="899" t="s">
        <v>12848</v>
      </c>
      <c r="D3522" s="988" t="s">
        <v>2669</v>
      </c>
      <c r="E3522" s="989">
        <v>5.0199999999999996</v>
      </c>
      <c r="F3522" s="990"/>
      <c r="G3522" s="990"/>
      <c r="H3522" s="990"/>
      <c r="I3522" s="990"/>
      <c r="J3522" s="990"/>
      <c r="K3522" s="990"/>
      <c r="L3522" s="990"/>
      <c r="M3522" s="990"/>
      <c r="N3522" s="990"/>
      <c r="O3522" s="990"/>
      <c r="P3522" s="990"/>
      <c r="Q3522" s="990"/>
      <c r="R3522" s="990"/>
      <c r="S3522" s="990"/>
      <c r="T3522" s="990"/>
      <c r="U3522" s="990"/>
      <c r="V3522" s="990"/>
      <c r="W3522" s="990"/>
      <c r="X3522" s="990"/>
    </row>
    <row r="3523" spans="1:24" s="896" customFormat="1" ht="25.5">
      <c r="A3523" s="987">
        <f t="shared" si="55"/>
        <v>3449</v>
      </c>
      <c r="B3523" s="988">
        <v>39425</v>
      </c>
      <c r="C3523" s="899" t="s">
        <v>12849</v>
      </c>
      <c r="D3523" s="988" t="s">
        <v>2669</v>
      </c>
      <c r="E3523" s="989">
        <v>4.95</v>
      </c>
      <c r="F3523" s="990"/>
      <c r="G3523" s="990"/>
      <c r="H3523" s="990"/>
      <c r="I3523" s="990"/>
      <c r="J3523" s="990"/>
      <c r="K3523" s="990"/>
      <c r="L3523" s="990"/>
      <c r="M3523" s="990"/>
      <c r="N3523" s="990"/>
      <c r="O3523" s="990"/>
      <c r="P3523" s="990"/>
      <c r="Q3523" s="990"/>
      <c r="R3523" s="990"/>
      <c r="S3523" s="990"/>
      <c r="T3523" s="990"/>
      <c r="U3523" s="990"/>
      <c r="V3523" s="990"/>
      <c r="W3523" s="990"/>
      <c r="X3523" s="990"/>
    </row>
    <row r="3524" spans="1:24" s="896" customFormat="1">
      <c r="A3524" s="987">
        <f t="shared" si="55"/>
        <v>3450</v>
      </c>
      <c r="B3524" s="988">
        <v>40664</v>
      </c>
      <c r="C3524" s="899" t="s">
        <v>12850</v>
      </c>
      <c r="D3524" s="988" t="s">
        <v>2670</v>
      </c>
      <c r="E3524" s="989">
        <v>24.88</v>
      </c>
      <c r="F3524" s="990"/>
      <c r="G3524" s="990"/>
      <c r="H3524" s="990"/>
      <c r="I3524" s="990"/>
      <c r="J3524" s="990"/>
      <c r="K3524" s="990"/>
      <c r="L3524" s="990"/>
      <c r="M3524" s="990"/>
      <c r="N3524" s="990"/>
      <c r="O3524" s="990"/>
      <c r="P3524" s="990"/>
      <c r="Q3524" s="990"/>
      <c r="R3524" s="990"/>
      <c r="S3524" s="990"/>
      <c r="T3524" s="990"/>
      <c r="U3524" s="990"/>
      <c r="V3524" s="990"/>
      <c r="W3524" s="990"/>
      <c r="X3524" s="990"/>
    </row>
    <row r="3525" spans="1:24" s="896" customFormat="1">
      <c r="A3525" s="987">
        <f t="shared" si="55"/>
        <v>3451</v>
      </c>
      <c r="B3525" s="988">
        <v>34360</v>
      </c>
      <c r="C3525" s="899" t="s">
        <v>12851</v>
      </c>
      <c r="D3525" s="988" t="s">
        <v>2670</v>
      </c>
      <c r="E3525" s="989">
        <v>45.81</v>
      </c>
      <c r="F3525" s="990"/>
      <c r="G3525" s="990"/>
      <c r="H3525" s="990"/>
      <c r="I3525" s="990"/>
      <c r="J3525" s="990"/>
      <c r="K3525" s="990"/>
      <c r="L3525" s="990"/>
      <c r="M3525" s="990"/>
      <c r="N3525" s="990"/>
      <c r="O3525" s="990"/>
      <c r="P3525" s="990"/>
      <c r="Q3525" s="990"/>
      <c r="R3525" s="990"/>
      <c r="S3525" s="990"/>
      <c r="T3525" s="990"/>
      <c r="U3525" s="990"/>
      <c r="V3525" s="990"/>
      <c r="W3525" s="990"/>
      <c r="X3525" s="990"/>
    </row>
    <row r="3526" spans="1:24" s="896" customFormat="1">
      <c r="A3526" s="987">
        <f t="shared" si="55"/>
        <v>3452</v>
      </c>
      <c r="B3526" s="988">
        <v>20259</v>
      </c>
      <c r="C3526" s="899" t="s">
        <v>12852</v>
      </c>
      <c r="D3526" s="988" t="s">
        <v>2669</v>
      </c>
      <c r="E3526" s="989">
        <v>25.3</v>
      </c>
      <c r="F3526" s="990"/>
      <c r="G3526" s="990"/>
      <c r="H3526" s="990"/>
      <c r="I3526" s="990"/>
      <c r="J3526" s="990"/>
      <c r="K3526" s="990"/>
      <c r="L3526" s="990"/>
      <c r="M3526" s="990"/>
      <c r="N3526" s="990"/>
      <c r="O3526" s="990"/>
      <c r="P3526" s="990"/>
      <c r="Q3526" s="990"/>
      <c r="R3526" s="990"/>
      <c r="S3526" s="990"/>
      <c r="T3526" s="990"/>
      <c r="U3526" s="990"/>
      <c r="V3526" s="990"/>
      <c r="W3526" s="990"/>
      <c r="X3526" s="990"/>
    </row>
    <row r="3527" spans="1:24" s="896" customFormat="1" ht="25.5">
      <c r="A3527" s="987">
        <f t="shared" si="55"/>
        <v>3453</v>
      </c>
      <c r="B3527" s="988">
        <v>14077</v>
      </c>
      <c r="C3527" s="899" t="s">
        <v>12853</v>
      </c>
      <c r="D3527" s="988" t="s">
        <v>2669</v>
      </c>
      <c r="E3527" s="989">
        <v>387.24</v>
      </c>
      <c r="F3527" s="990"/>
      <c r="G3527" s="990"/>
      <c r="H3527" s="990"/>
      <c r="I3527" s="990"/>
      <c r="J3527" s="990"/>
      <c r="K3527" s="990"/>
      <c r="L3527" s="990"/>
      <c r="M3527" s="990"/>
      <c r="N3527" s="990"/>
      <c r="O3527" s="990"/>
      <c r="P3527" s="990"/>
      <c r="Q3527" s="990"/>
      <c r="R3527" s="990"/>
      <c r="S3527" s="990"/>
      <c r="T3527" s="990"/>
      <c r="U3527" s="990"/>
      <c r="V3527" s="990"/>
      <c r="W3527" s="990"/>
      <c r="X3527" s="990"/>
    </row>
    <row r="3528" spans="1:24" s="896" customFormat="1" ht="25.5">
      <c r="A3528" s="987">
        <f t="shared" si="55"/>
        <v>3454</v>
      </c>
      <c r="B3528" s="988">
        <v>3678</v>
      </c>
      <c r="C3528" s="899" t="s">
        <v>12854</v>
      </c>
      <c r="D3528" s="988" t="s">
        <v>2669</v>
      </c>
      <c r="E3528" s="989">
        <v>175.03</v>
      </c>
      <c r="F3528" s="990"/>
      <c r="G3528" s="990"/>
      <c r="H3528" s="990"/>
      <c r="I3528" s="990"/>
      <c r="J3528" s="990"/>
      <c r="K3528" s="990"/>
      <c r="L3528" s="990"/>
      <c r="M3528" s="990"/>
      <c r="N3528" s="990"/>
      <c r="O3528" s="990"/>
      <c r="P3528" s="990"/>
      <c r="Q3528" s="990"/>
      <c r="R3528" s="990"/>
      <c r="S3528" s="990"/>
      <c r="T3528" s="990"/>
      <c r="U3528" s="990"/>
      <c r="V3528" s="990"/>
      <c r="W3528" s="990"/>
      <c r="X3528" s="990"/>
    </row>
    <row r="3529" spans="1:24" s="896" customFormat="1" ht="25.5">
      <c r="A3529" s="987">
        <f t="shared" si="55"/>
        <v>3455</v>
      </c>
      <c r="B3529" s="988">
        <v>39418</v>
      </c>
      <c r="C3529" s="899" t="s">
        <v>12855</v>
      </c>
      <c r="D3529" s="988" t="s">
        <v>2669</v>
      </c>
      <c r="E3529" s="989">
        <v>9.41</v>
      </c>
      <c r="F3529" s="990"/>
      <c r="G3529" s="990"/>
      <c r="H3529" s="990"/>
      <c r="I3529" s="990"/>
      <c r="J3529" s="990"/>
      <c r="K3529" s="990"/>
      <c r="L3529" s="990"/>
      <c r="M3529" s="990"/>
      <c r="N3529" s="990"/>
      <c r="O3529" s="990"/>
      <c r="P3529" s="990"/>
      <c r="Q3529" s="990"/>
      <c r="R3529" s="990"/>
      <c r="S3529" s="990"/>
      <c r="T3529" s="990"/>
      <c r="U3529" s="990"/>
      <c r="V3529" s="990"/>
      <c r="W3529" s="990"/>
      <c r="X3529" s="990"/>
    </row>
    <row r="3530" spans="1:24" s="896" customFormat="1" ht="25.5">
      <c r="A3530" s="987">
        <f t="shared" si="55"/>
        <v>3456</v>
      </c>
      <c r="B3530" s="988">
        <v>39419</v>
      </c>
      <c r="C3530" s="899" t="s">
        <v>12856</v>
      </c>
      <c r="D3530" s="988" t="s">
        <v>2669</v>
      </c>
      <c r="E3530" s="989">
        <v>11.47</v>
      </c>
      <c r="F3530" s="990"/>
      <c r="G3530" s="990"/>
      <c r="H3530" s="990"/>
      <c r="I3530" s="990"/>
      <c r="J3530" s="990"/>
      <c r="K3530" s="990"/>
      <c r="L3530" s="990"/>
      <c r="M3530" s="990"/>
      <c r="N3530" s="990"/>
      <c r="O3530" s="990"/>
      <c r="P3530" s="990"/>
      <c r="Q3530" s="990"/>
      <c r="R3530" s="990"/>
      <c r="S3530" s="990"/>
      <c r="T3530" s="990"/>
      <c r="U3530" s="990"/>
      <c r="V3530" s="990"/>
      <c r="W3530" s="990"/>
      <c r="X3530" s="990"/>
    </row>
    <row r="3531" spans="1:24" s="896" customFormat="1" ht="25.5">
      <c r="A3531" s="987">
        <f t="shared" si="55"/>
        <v>3457</v>
      </c>
      <c r="B3531" s="988">
        <v>39420</v>
      </c>
      <c r="C3531" s="899" t="s">
        <v>12857</v>
      </c>
      <c r="D3531" s="988" t="s">
        <v>2669</v>
      </c>
      <c r="E3531" s="989">
        <v>12.66</v>
      </c>
      <c r="F3531" s="990"/>
      <c r="G3531" s="990"/>
      <c r="H3531" s="990"/>
      <c r="I3531" s="990"/>
      <c r="J3531" s="990"/>
      <c r="K3531" s="990"/>
      <c r="L3531" s="990"/>
      <c r="M3531" s="990"/>
      <c r="N3531" s="990"/>
      <c r="O3531" s="990"/>
      <c r="P3531" s="990"/>
      <c r="Q3531" s="990"/>
      <c r="R3531" s="990"/>
      <c r="S3531" s="990"/>
      <c r="T3531" s="990"/>
      <c r="U3531" s="990"/>
      <c r="V3531" s="990"/>
      <c r="W3531" s="990"/>
      <c r="X3531" s="990"/>
    </row>
    <row r="3532" spans="1:24" s="896" customFormat="1" ht="25.5">
      <c r="A3532" s="987">
        <f t="shared" ref="A3532:A3595" si="56">A3531+1</f>
        <v>3458</v>
      </c>
      <c r="B3532" s="988">
        <v>39571</v>
      </c>
      <c r="C3532" s="899" t="s">
        <v>12858</v>
      </c>
      <c r="D3532" s="988" t="s">
        <v>2669</v>
      </c>
      <c r="E3532" s="989">
        <v>7.65</v>
      </c>
      <c r="F3532" s="990"/>
      <c r="G3532" s="990"/>
      <c r="H3532" s="990"/>
      <c r="I3532" s="990"/>
      <c r="J3532" s="990"/>
      <c r="K3532" s="990"/>
      <c r="L3532" s="990"/>
      <c r="M3532" s="990"/>
      <c r="N3532" s="990"/>
      <c r="O3532" s="990"/>
      <c r="P3532" s="990"/>
      <c r="Q3532" s="990"/>
      <c r="R3532" s="990"/>
      <c r="S3532" s="990"/>
      <c r="T3532" s="990"/>
      <c r="U3532" s="990"/>
      <c r="V3532" s="990"/>
      <c r="W3532" s="990"/>
      <c r="X3532" s="990"/>
    </row>
    <row r="3533" spans="1:24" s="896" customFormat="1" ht="25.5">
      <c r="A3533" s="987">
        <f t="shared" si="56"/>
        <v>3459</v>
      </c>
      <c r="B3533" s="988">
        <v>39421</v>
      </c>
      <c r="C3533" s="899" t="s">
        <v>12859</v>
      </c>
      <c r="D3533" s="988" t="s">
        <v>2669</v>
      </c>
      <c r="E3533" s="989">
        <v>11.14</v>
      </c>
      <c r="F3533" s="990"/>
      <c r="G3533" s="990"/>
      <c r="H3533" s="990"/>
      <c r="I3533" s="990"/>
      <c r="J3533" s="990"/>
      <c r="K3533" s="990"/>
      <c r="L3533" s="990"/>
      <c r="M3533" s="990"/>
      <c r="N3533" s="990"/>
      <c r="O3533" s="990"/>
      <c r="P3533" s="990"/>
      <c r="Q3533" s="990"/>
      <c r="R3533" s="990"/>
      <c r="S3533" s="990"/>
      <c r="T3533" s="990"/>
      <c r="U3533" s="990"/>
      <c r="V3533" s="990"/>
      <c r="W3533" s="990"/>
      <c r="X3533" s="990"/>
    </row>
    <row r="3534" spans="1:24" s="896" customFormat="1" ht="25.5">
      <c r="A3534" s="987">
        <f t="shared" si="56"/>
        <v>3460</v>
      </c>
      <c r="B3534" s="988">
        <v>39422</v>
      </c>
      <c r="C3534" s="899" t="s">
        <v>12860</v>
      </c>
      <c r="D3534" s="988" t="s">
        <v>2669</v>
      </c>
      <c r="E3534" s="989">
        <v>13.01</v>
      </c>
      <c r="F3534" s="990"/>
      <c r="G3534" s="990"/>
      <c r="H3534" s="990"/>
      <c r="I3534" s="990"/>
      <c r="J3534" s="990"/>
      <c r="K3534" s="990"/>
      <c r="L3534" s="990"/>
      <c r="M3534" s="990"/>
      <c r="N3534" s="990"/>
      <c r="O3534" s="990"/>
      <c r="P3534" s="990"/>
      <c r="Q3534" s="990"/>
      <c r="R3534" s="990"/>
      <c r="S3534" s="990"/>
      <c r="T3534" s="990"/>
      <c r="U3534" s="990"/>
      <c r="V3534" s="990"/>
      <c r="W3534" s="990"/>
      <c r="X3534" s="990"/>
    </row>
    <row r="3535" spans="1:24" s="896" customFormat="1" ht="25.5">
      <c r="A3535" s="987">
        <f t="shared" si="56"/>
        <v>3461</v>
      </c>
      <c r="B3535" s="988">
        <v>39423</v>
      </c>
      <c r="C3535" s="899" t="s">
        <v>12861</v>
      </c>
      <c r="D3535" s="988" t="s">
        <v>2669</v>
      </c>
      <c r="E3535" s="989">
        <v>15.1</v>
      </c>
      <c r="F3535" s="990"/>
      <c r="G3535" s="990"/>
      <c r="H3535" s="990"/>
      <c r="I3535" s="990"/>
      <c r="J3535" s="990"/>
      <c r="K3535" s="990"/>
      <c r="L3535" s="990"/>
      <c r="M3535" s="990"/>
      <c r="N3535" s="990"/>
      <c r="O3535" s="990"/>
      <c r="P3535" s="990"/>
      <c r="Q3535" s="990"/>
      <c r="R3535" s="990"/>
      <c r="S3535" s="990"/>
      <c r="T3535" s="990"/>
      <c r="U3535" s="990"/>
      <c r="V3535" s="990"/>
      <c r="W3535" s="990"/>
      <c r="X3535" s="990"/>
    </row>
    <row r="3536" spans="1:24" s="896" customFormat="1" ht="25.5">
      <c r="A3536" s="987">
        <f t="shared" si="56"/>
        <v>3462</v>
      </c>
      <c r="B3536" s="988">
        <v>39426</v>
      </c>
      <c r="C3536" s="899" t="s">
        <v>12862</v>
      </c>
      <c r="D3536" s="988" t="s">
        <v>2669</v>
      </c>
      <c r="E3536" s="989">
        <v>33.96</v>
      </c>
      <c r="F3536" s="990"/>
      <c r="G3536" s="990"/>
      <c r="H3536" s="990"/>
      <c r="I3536" s="990"/>
      <c r="J3536" s="990"/>
      <c r="K3536" s="990"/>
      <c r="L3536" s="990"/>
      <c r="M3536" s="990"/>
      <c r="N3536" s="990"/>
      <c r="O3536" s="990"/>
      <c r="P3536" s="990"/>
      <c r="Q3536" s="990"/>
      <c r="R3536" s="990"/>
      <c r="S3536" s="990"/>
      <c r="T3536" s="990"/>
      <c r="U3536" s="990"/>
      <c r="V3536" s="990"/>
      <c r="W3536" s="990"/>
      <c r="X3536" s="990"/>
    </row>
    <row r="3537" spans="1:24" s="896" customFormat="1" ht="25.5">
      <c r="A3537" s="987">
        <f t="shared" si="56"/>
        <v>3463</v>
      </c>
      <c r="B3537" s="988">
        <v>39429</v>
      </c>
      <c r="C3537" s="899" t="s">
        <v>12863</v>
      </c>
      <c r="D3537" s="988" t="s">
        <v>2669</v>
      </c>
      <c r="E3537" s="989">
        <v>10.71</v>
      </c>
      <c r="F3537" s="990"/>
      <c r="G3537" s="990"/>
      <c r="H3537" s="990"/>
      <c r="I3537" s="990"/>
      <c r="J3537" s="990"/>
      <c r="K3537" s="990"/>
      <c r="L3537" s="990"/>
      <c r="M3537" s="990"/>
      <c r="N3537" s="990"/>
      <c r="O3537" s="990"/>
      <c r="P3537" s="990"/>
      <c r="Q3537" s="990"/>
      <c r="R3537" s="990"/>
      <c r="S3537" s="990"/>
      <c r="T3537" s="990"/>
      <c r="U3537" s="990"/>
      <c r="V3537" s="990"/>
      <c r="W3537" s="990"/>
      <c r="X3537" s="990"/>
    </row>
    <row r="3538" spans="1:24" s="896" customFormat="1" ht="25.5">
      <c r="A3538" s="987">
        <f t="shared" si="56"/>
        <v>3464</v>
      </c>
      <c r="B3538" s="988">
        <v>39428</v>
      </c>
      <c r="C3538" s="899" t="s">
        <v>12864</v>
      </c>
      <c r="D3538" s="988" t="s">
        <v>2669</v>
      </c>
      <c r="E3538" s="989">
        <v>8.18</v>
      </c>
      <c r="F3538" s="990"/>
      <c r="G3538" s="990"/>
      <c r="H3538" s="990"/>
      <c r="I3538" s="990"/>
      <c r="J3538" s="990"/>
      <c r="K3538" s="990"/>
      <c r="L3538" s="990"/>
      <c r="M3538" s="990"/>
      <c r="N3538" s="990"/>
      <c r="O3538" s="990"/>
      <c r="P3538" s="990"/>
      <c r="Q3538" s="990"/>
      <c r="R3538" s="990"/>
      <c r="S3538" s="990"/>
      <c r="T3538" s="990"/>
      <c r="U3538" s="990"/>
      <c r="V3538" s="990"/>
      <c r="W3538" s="990"/>
      <c r="X3538" s="990"/>
    </row>
    <row r="3539" spans="1:24" s="896" customFormat="1" ht="25.5">
      <c r="A3539" s="987">
        <f t="shared" si="56"/>
        <v>3465</v>
      </c>
      <c r="B3539" s="988">
        <v>39572</v>
      </c>
      <c r="C3539" s="899" t="s">
        <v>12865</v>
      </c>
      <c r="D3539" s="988" t="s">
        <v>2669</v>
      </c>
      <c r="E3539" s="989">
        <v>7.08</v>
      </c>
      <c r="F3539" s="990"/>
      <c r="G3539" s="990"/>
      <c r="H3539" s="990"/>
      <c r="I3539" s="990"/>
      <c r="J3539" s="990"/>
      <c r="K3539" s="990"/>
      <c r="L3539" s="990"/>
      <c r="M3539" s="990"/>
      <c r="N3539" s="990"/>
      <c r="O3539" s="990"/>
      <c r="P3539" s="990"/>
      <c r="Q3539" s="990"/>
      <c r="R3539" s="990"/>
      <c r="S3539" s="990"/>
      <c r="T3539" s="990"/>
      <c r="U3539" s="990"/>
      <c r="V3539" s="990"/>
      <c r="W3539" s="990"/>
      <c r="X3539" s="990"/>
    </row>
    <row r="3540" spans="1:24" s="896" customFormat="1" ht="25.5">
      <c r="A3540" s="987">
        <f t="shared" si="56"/>
        <v>3466</v>
      </c>
      <c r="B3540" s="988">
        <v>39570</v>
      </c>
      <c r="C3540" s="899" t="s">
        <v>12866</v>
      </c>
      <c r="D3540" s="988" t="s">
        <v>2669</v>
      </c>
      <c r="E3540" s="989">
        <v>7.52</v>
      </c>
      <c r="F3540" s="990"/>
      <c r="G3540" s="990"/>
      <c r="H3540" s="990"/>
      <c r="I3540" s="990"/>
      <c r="J3540" s="990"/>
      <c r="K3540" s="990"/>
      <c r="L3540" s="990"/>
      <c r="M3540" s="990"/>
      <c r="N3540" s="990"/>
      <c r="O3540" s="990"/>
      <c r="P3540" s="990"/>
      <c r="Q3540" s="990"/>
      <c r="R3540" s="990"/>
      <c r="S3540" s="990"/>
      <c r="T3540" s="990"/>
      <c r="U3540" s="990"/>
      <c r="V3540" s="990"/>
      <c r="W3540" s="990"/>
      <c r="X3540" s="990"/>
    </row>
    <row r="3541" spans="1:24" s="896" customFormat="1" ht="25.5">
      <c r="A3541" s="987">
        <f t="shared" si="56"/>
        <v>3467</v>
      </c>
      <c r="B3541" s="988">
        <v>39569</v>
      </c>
      <c r="C3541" s="899" t="s">
        <v>12867</v>
      </c>
      <c r="D3541" s="988" t="s">
        <v>2669</v>
      </c>
      <c r="E3541" s="989">
        <v>7.42</v>
      </c>
      <c r="F3541" s="990"/>
      <c r="G3541" s="990"/>
      <c r="H3541" s="990"/>
      <c r="I3541" s="990"/>
      <c r="J3541" s="990"/>
      <c r="K3541" s="990"/>
      <c r="L3541" s="990"/>
      <c r="M3541" s="990"/>
      <c r="N3541" s="990"/>
      <c r="O3541" s="990"/>
      <c r="P3541" s="990"/>
      <c r="Q3541" s="990"/>
      <c r="R3541" s="990"/>
      <c r="S3541" s="990"/>
      <c r="T3541" s="990"/>
      <c r="U3541" s="990"/>
      <c r="V3541" s="990"/>
      <c r="W3541" s="990"/>
      <c r="X3541" s="990"/>
    </row>
    <row r="3542" spans="1:24" s="896" customFormat="1" ht="25.5">
      <c r="A3542" s="987">
        <f t="shared" si="56"/>
        <v>3468</v>
      </c>
      <c r="B3542" s="988">
        <v>11552</v>
      </c>
      <c r="C3542" s="899" t="s">
        <v>12868</v>
      </c>
      <c r="D3542" s="988" t="s">
        <v>2669</v>
      </c>
      <c r="E3542" s="989">
        <v>7.16</v>
      </c>
      <c r="F3542" s="990"/>
      <c r="G3542" s="990"/>
      <c r="H3542" s="990"/>
      <c r="I3542" s="990"/>
      <c r="J3542" s="990"/>
      <c r="K3542" s="990"/>
      <c r="L3542" s="990"/>
      <c r="M3542" s="990"/>
      <c r="N3542" s="990"/>
      <c r="O3542" s="990"/>
      <c r="P3542" s="990"/>
      <c r="Q3542" s="990"/>
      <c r="R3542" s="990"/>
      <c r="S3542" s="990"/>
      <c r="T3542" s="990"/>
      <c r="U3542" s="990"/>
      <c r="V3542" s="990"/>
      <c r="W3542" s="990"/>
      <c r="X3542" s="990"/>
    </row>
    <row r="3543" spans="1:24" s="896" customFormat="1" ht="25.5">
      <c r="A3543" s="987">
        <f t="shared" si="56"/>
        <v>3469</v>
      </c>
      <c r="B3543" s="988">
        <v>40598</v>
      </c>
      <c r="C3543" s="899" t="s">
        <v>12869</v>
      </c>
      <c r="D3543" s="988" t="s">
        <v>2670</v>
      </c>
      <c r="E3543" s="989">
        <v>11.83</v>
      </c>
      <c r="F3543" s="990"/>
      <c r="G3543" s="990"/>
      <c r="H3543" s="990"/>
      <c r="I3543" s="990"/>
      <c r="J3543" s="990"/>
      <c r="K3543" s="990"/>
      <c r="L3543" s="990"/>
      <c r="M3543" s="990"/>
      <c r="N3543" s="990"/>
      <c r="O3543" s="990"/>
      <c r="P3543" s="990"/>
      <c r="Q3543" s="990"/>
      <c r="R3543" s="990"/>
      <c r="S3543" s="990"/>
      <c r="T3543" s="990"/>
      <c r="U3543" s="990"/>
      <c r="V3543" s="990"/>
      <c r="W3543" s="990"/>
      <c r="X3543" s="990"/>
    </row>
    <row r="3544" spans="1:24" s="896" customFormat="1">
      <c r="A3544" s="987">
        <f t="shared" si="56"/>
        <v>3470</v>
      </c>
      <c r="B3544" s="988">
        <v>39029</v>
      </c>
      <c r="C3544" s="899" t="s">
        <v>12870</v>
      </c>
      <c r="D3544" s="988" t="s">
        <v>2669</v>
      </c>
      <c r="E3544" s="989">
        <v>23.97</v>
      </c>
      <c r="F3544" s="990"/>
      <c r="G3544" s="990"/>
      <c r="H3544" s="990"/>
      <c r="I3544" s="990"/>
      <c r="J3544" s="990"/>
      <c r="K3544" s="990"/>
      <c r="L3544" s="990"/>
      <c r="M3544" s="990"/>
      <c r="N3544" s="990"/>
      <c r="O3544" s="990"/>
      <c r="P3544" s="990"/>
      <c r="Q3544" s="990"/>
      <c r="R3544" s="990"/>
      <c r="S3544" s="990"/>
      <c r="T3544" s="990"/>
      <c r="U3544" s="990"/>
      <c r="V3544" s="990"/>
      <c r="W3544" s="990"/>
      <c r="X3544" s="990"/>
    </row>
    <row r="3545" spans="1:24" s="896" customFormat="1">
      <c r="A3545" s="987">
        <f t="shared" si="56"/>
        <v>3471</v>
      </c>
      <c r="B3545" s="988">
        <v>39028</v>
      </c>
      <c r="C3545" s="899" t="s">
        <v>12871</v>
      </c>
      <c r="D3545" s="988" t="s">
        <v>2669</v>
      </c>
      <c r="E3545" s="989">
        <v>13.96</v>
      </c>
      <c r="F3545" s="990"/>
      <c r="G3545" s="990"/>
      <c r="H3545" s="990"/>
      <c r="I3545" s="990"/>
      <c r="J3545" s="990"/>
      <c r="K3545" s="990"/>
      <c r="L3545" s="990"/>
      <c r="M3545" s="990"/>
      <c r="N3545" s="990"/>
      <c r="O3545" s="990"/>
      <c r="P3545" s="990"/>
      <c r="Q3545" s="990"/>
      <c r="R3545" s="990"/>
      <c r="S3545" s="990"/>
      <c r="T3545" s="990"/>
      <c r="U3545" s="990"/>
      <c r="V3545" s="990"/>
      <c r="W3545" s="990"/>
      <c r="X3545" s="990"/>
    </row>
    <row r="3546" spans="1:24" s="896" customFormat="1">
      <c r="A3546" s="987">
        <f t="shared" si="56"/>
        <v>3472</v>
      </c>
      <c r="B3546" s="988">
        <v>39328</v>
      </c>
      <c r="C3546" s="899" t="s">
        <v>12872</v>
      </c>
      <c r="D3546" s="988" t="s">
        <v>2669</v>
      </c>
      <c r="E3546" s="989">
        <v>7.67</v>
      </c>
      <c r="F3546" s="990"/>
      <c r="G3546" s="990"/>
      <c r="H3546" s="990"/>
      <c r="I3546" s="990"/>
      <c r="J3546" s="990"/>
      <c r="K3546" s="990"/>
      <c r="L3546" s="990"/>
      <c r="M3546" s="990"/>
      <c r="N3546" s="990"/>
      <c r="O3546" s="990"/>
      <c r="P3546" s="990"/>
      <c r="Q3546" s="990"/>
      <c r="R3546" s="990"/>
      <c r="S3546" s="990"/>
      <c r="T3546" s="990"/>
      <c r="U3546" s="990"/>
      <c r="V3546" s="990"/>
      <c r="W3546" s="990"/>
      <c r="X3546" s="990"/>
    </row>
    <row r="3547" spans="1:24" s="896" customFormat="1" ht="38.25">
      <c r="A3547" s="987">
        <f t="shared" si="56"/>
        <v>3473</v>
      </c>
      <c r="B3547" s="988">
        <v>38541</v>
      </c>
      <c r="C3547" s="899" t="s">
        <v>12873</v>
      </c>
      <c r="D3547" s="988" t="s">
        <v>2666</v>
      </c>
      <c r="E3547" s="989">
        <v>4539802.59</v>
      </c>
      <c r="F3547" s="990"/>
      <c r="G3547" s="990"/>
      <c r="H3547" s="990"/>
      <c r="I3547" s="990"/>
      <c r="J3547" s="990"/>
      <c r="K3547" s="990"/>
      <c r="L3547" s="990"/>
      <c r="M3547" s="990"/>
      <c r="N3547" s="990"/>
      <c r="O3547" s="990"/>
      <c r="P3547" s="990"/>
      <c r="Q3547" s="990"/>
      <c r="R3547" s="990"/>
      <c r="S3547" s="990"/>
      <c r="T3547" s="990"/>
      <c r="U3547" s="990"/>
      <c r="V3547" s="990"/>
      <c r="W3547" s="990"/>
      <c r="X3547" s="990"/>
    </row>
    <row r="3548" spans="1:24" s="896" customFormat="1" ht="38.25">
      <c r="A3548" s="987">
        <f t="shared" si="56"/>
        <v>3474</v>
      </c>
      <c r="B3548" s="988">
        <v>38542</v>
      </c>
      <c r="C3548" s="899" t="s">
        <v>12874</v>
      </c>
      <c r="D3548" s="988" t="s">
        <v>2666</v>
      </c>
      <c r="E3548" s="989">
        <v>7059210.4800000004</v>
      </c>
      <c r="F3548" s="990"/>
      <c r="G3548" s="990"/>
      <c r="H3548" s="990"/>
      <c r="I3548" s="990"/>
      <c r="J3548" s="990"/>
      <c r="K3548" s="990"/>
      <c r="L3548" s="990"/>
      <c r="M3548" s="990"/>
      <c r="N3548" s="990"/>
      <c r="O3548" s="990"/>
      <c r="P3548" s="990"/>
      <c r="Q3548" s="990"/>
      <c r="R3548" s="990"/>
      <c r="S3548" s="990"/>
      <c r="T3548" s="990"/>
      <c r="U3548" s="990"/>
      <c r="V3548" s="990"/>
      <c r="W3548" s="990"/>
      <c r="X3548" s="990"/>
    </row>
    <row r="3549" spans="1:24" s="896" customFormat="1" ht="38.25">
      <c r="A3549" s="987">
        <f t="shared" si="56"/>
        <v>3475</v>
      </c>
      <c r="B3549" s="988">
        <v>38543</v>
      </c>
      <c r="C3549" s="899" t="s">
        <v>12875</v>
      </c>
      <c r="D3549" s="988" t="s">
        <v>2666</v>
      </c>
      <c r="E3549" s="989">
        <v>1728289.51</v>
      </c>
      <c r="F3549" s="990"/>
      <c r="G3549" s="990"/>
      <c r="H3549" s="990"/>
      <c r="I3549" s="990"/>
      <c r="J3549" s="990"/>
      <c r="K3549" s="990"/>
      <c r="L3549" s="990"/>
      <c r="M3549" s="990"/>
      <c r="N3549" s="990"/>
      <c r="O3549" s="990"/>
      <c r="P3549" s="990"/>
      <c r="Q3549" s="990"/>
      <c r="R3549" s="990"/>
      <c r="S3549" s="990"/>
      <c r="T3549" s="990"/>
      <c r="U3549" s="990"/>
      <c r="V3549" s="990"/>
      <c r="W3549" s="990"/>
      <c r="X3549" s="990"/>
    </row>
    <row r="3550" spans="1:24" s="896" customFormat="1" ht="25.5">
      <c r="A3550" s="987">
        <f t="shared" si="56"/>
        <v>3476</v>
      </c>
      <c r="B3550" s="988">
        <v>40406</v>
      </c>
      <c r="C3550" s="899" t="s">
        <v>12876</v>
      </c>
      <c r="D3550" s="988" t="s">
        <v>2666</v>
      </c>
      <c r="E3550" s="989">
        <v>55894.14</v>
      </c>
      <c r="F3550" s="990"/>
      <c r="G3550" s="990"/>
      <c r="H3550" s="990"/>
      <c r="I3550" s="990"/>
      <c r="J3550" s="990"/>
      <c r="K3550" s="990"/>
      <c r="L3550" s="990"/>
      <c r="M3550" s="990"/>
      <c r="N3550" s="990"/>
      <c r="O3550" s="990"/>
      <c r="P3550" s="990"/>
      <c r="Q3550" s="990"/>
      <c r="R3550" s="990"/>
      <c r="S3550" s="990"/>
      <c r="T3550" s="990"/>
      <c r="U3550" s="990"/>
      <c r="V3550" s="990"/>
      <c r="W3550" s="990"/>
      <c r="X3550" s="990"/>
    </row>
    <row r="3551" spans="1:24" s="896" customFormat="1" ht="25.5">
      <c r="A3551" s="987">
        <f t="shared" si="56"/>
        <v>3477</v>
      </c>
      <c r="B3551" s="988">
        <v>40789</v>
      </c>
      <c r="C3551" s="899" t="s">
        <v>12877</v>
      </c>
      <c r="D3551" s="988" t="s">
        <v>2666</v>
      </c>
      <c r="E3551" s="989">
        <v>8054.92</v>
      </c>
      <c r="F3551" s="990"/>
      <c r="G3551" s="990"/>
      <c r="H3551" s="990"/>
      <c r="I3551" s="990"/>
      <c r="J3551" s="990"/>
      <c r="K3551" s="990"/>
      <c r="L3551" s="990"/>
      <c r="M3551" s="990"/>
      <c r="N3551" s="990"/>
      <c r="O3551" s="990"/>
      <c r="P3551" s="990"/>
      <c r="Q3551" s="990"/>
      <c r="R3551" s="990"/>
      <c r="S3551" s="990"/>
      <c r="T3551" s="990"/>
      <c r="U3551" s="990"/>
      <c r="V3551" s="990"/>
      <c r="W3551" s="990"/>
      <c r="X3551" s="990"/>
    </row>
    <row r="3552" spans="1:24" s="896" customFormat="1" ht="25.5">
      <c r="A3552" s="987">
        <f t="shared" si="56"/>
        <v>3478</v>
      </c>
      <c r="B3552" s="988">
        <v>40791</v>
      </c>
      <c r="C3552" s="899" t="s">
        <v>12878</v>
      </c>
      <c r="D3552" s="988" t="s">
        <v>2666</v>
      </c>
      <c r="E3552" s="989">
        <v>25215.4</v>
      </c>
      <c r="F3552" s="990"/>
      <c r="G3552" s="990"/>
      <c r="H3552" s="990"/>
      <c r="I3552" s="990"/>
      <c r="J3552" s="990"/>
      <c r="K3552" s="990"/>
      <c r="L3552" s="990"/>
      <c r="M3552" s="990"/>
      <c r="N3552" s="990"/>
      <c r="O3552" s="990"/>
      <c r="P3552" s="990"/>
      <c r="Q3552" s="990"/>
      <c r="R3552" s="990"/>
      <c r="S3552" s="990"/>
      <c r="T3552" s="990"/>
      <c r="U3552" s="990"/>
      <c r="V3552" s="990"/>
      <c r="W3552" s="990"/>
      <c r="X3552" s="990"/>
    </row>
    <row r="3553" spans="1:24" s="896" customFormat="1" ht="25.5">
      <c r="A3553" s="987">
        <f t="shared" si="56"/>
        <v>3479</v>
      </c>
      <c r="B3553" s="988">
        <v>11651</v>
      </c>
      <c r="C3553" s="899" t="s">
        <v>12879</v>
      </c>
      <c r="D3553" s="988" t="s">
        <v>2666</v>
      </c>
      <c r="E3553" s="989">
        <v>13790.66</v>
      </c>
      <c r="F3553" s="990"/>
      <c r="G3553" s="990"/>
      <c r="H3553" s="990"/>
      <c r="I3553" s="990"/>
      <c r="J3553" s="990"/>
      <c r="K3553" s="990"/>
      <c r="L3553" s="990"/>
      <c r="M3553" s="990"/>
      <c r="N3553" s="990"/>
      <c r="O3553" s="990"/>
      <c r="P3553" s="990"/>
      <c r="Q3553" s="990"/>
      <c r="R3553" s="990"/>
      <c r="S3553" s="990"/>
      <c r="T3553" s="990"/>
      <c r="U3553" s="990"/>
      <c r="V3553" s="990"/>
      <c r="W3553" s="990"/>
      <c r="X3553" s="990"/>
    </row>
    <row r="3554" spans="1:24" s="896" customFormat="1" ht="25.5">
      <c r="A3554" s="987">
        <f t="shared" si="56"/>
        <v>3480</v>
      </c>
      <c r="B3554" s="988">
        <v>40435</v>
      </c>
      <c r="C3554" s="899" t="s">
        <v>12880</v>
      </c>
      <c r="D3554" s="988" t="s">
        <v>2666</v>
      </c>
      <c r="E3554" s="989">
        <v>948125</v>
      </c>
      <c r="F3554" s="990"/>
      <c r="G3554" s="990"/>
      <c r="H3554" s="990"/>
      <c r="I3554" s="990"/>
      <c r="J3554" s="990"/>
      <c r="K3554" s="990"/>
      <c r="L3554" s="990"/>
      <c r="M3554" s="990"/>
      <c r="N3554" s="990"/>
      <c r="O3554" s="990"/>
      <c r="P3554" s="990"/>
      <c r="Q3554" s="990"/>
      <c r="R3554" s="990"/>
      <c r="S3554" s="990"/>
      <c r="T3554" s="990"/>
      <c r="U3554" s="990"/>
      <c r="V3554" s="990"/>
      <c r="W3554" s="990"/>
      <c r="X3554" s="990"/>
    </row>
    <row r="3555" spans="1:24" s="896" customFormat="1" ht="25.5">
      <c r="A3555" s="987">
        <f t="shared" si="56"/>
        <v>3481</v>
      </c>
      <c r="B3555" s="988">
        <v>39012</v>
      </c>
      <c r="C3555" s="899" t="s">
        <v>12881</v>
      </c>
      <c r="D3555" s="988" t="s">
        <v>2666</v>
      </c>
      <c r="E3555" s="989">
        <v>989237.36</v>
      </c>
      <c r="F3555" s="990"/>
      <c r="G3555" s="990"/>
      <c r="H3555" s="990"/>
      <c r="I3555" s="990"/>
      <c r="J3555" s="990"/>
      <c r="K3555" s="990"/>
      <c r="L3555" s="990"/>
      <c r="M3555" s="990"/>
      <c r="N3555" s="990"/>
      <c r="O3555" s="990"/>
      <c r="P3555" s="990"/>
      <c r="Q3555" s="990"/>
      <c r="R3555" s="990"/>
      <c r="S3555" s="990"/>
      <c r="T3555" s="990"/>
      <c r="U3555" s="990"/>
      <c r="V3555" s="990"/>
      <c r="W3555" s="990"/>
      <c r="X3555" s="990"/>
    </row>
    <row r="3556" spans="1:24" s="896" customFormat="1" ht="25.5">
      <c r="A3556" s="987">
        <f t="shared" si="56"/>
        <v>3482</v>
      </c>
      <c r="B3556" s="988">
        <v>13617</v>
      </c>
      <c r="C3556" s="899" t="s">
        <v>12882</v>
      </c>
      <c r="D3556" s="988" t="s">
        <v>2666</v>
      </c>
      <c r="E3556" s="989">
        <v>92729.68</v>
      </c>
      <c r="F3556" s="990"/>
      <c r="G3556" s="990"/>
      <c r="H3556" s="990"/>
      <c r="I3556" s="990"/>
      <c r="J3556" s="990"/>
      <c r="K3556" s="990"/>
      <c r="L3556" s="990"/>
      <c r="M3556" s="990"/>
      <c r="N3556" s="990"/>
      <c r="O3556" s="990"/>
      <c r="P3556" s="990"/>
      <c r="Q3556" s="990"/>
      <c r="R3556" s="990"/>
      <c r="S3556" s="990"/>
      <c r="T3556" s="990"/>
      <c r="U3556" s="990"/>
      <c r="V3556" s="990"/>
      <c r="W3556" s="990"/>
      <c r="X3556" s="990"/>
    </row>
    <row r="3557" spans="1:24" s="896" customFormat="1" ht="25.5">
      <c r="A3557" s="987">
        <f t="shared" si="56"/>
        <v>3483</v>
      </c>
      <c r="B3557" s="988">
        <v>35274</v>
      </c>
      <c r="C3557" s="899" t="s">
        <v>12883</v>
      </c>
      <c r="D3557" s="988" t="s">
        <v>2669</v>
      </c>
      <c r="E3557" s="989">
        <v>65.84</v>
      </c>
      <c r="F3557" s="990"/>
      <c r="G3557" s="990"/>
      <c r="H3557" s="990"/>
      <c r="I3557" s="990"/>
      <c r="J3557" s="990"/>
      <c r="K3557" s="990"/>
      <c r="L3557" s="990"/>
      <c r="M3557" s="990"/>
      <c r="N3557" s="990"/>
      <c r="O3557" s="990"/>
      <c r="P3557" s="990"/>
      <c r="Q3557" s="990"/>
      <c r="R3557" s="990"/>
      <c r="S3557" s="990"/>
      <c r="T3557" s="990"/>
      <c r="U3557" s="990"/>
      <c r="V3557" s="990"/>
      <c r="W3557" s="990"/>
      <c r="X3557" s="990"/>
    </row>
    <row r="3558" spans="1:24" s="896" customFormat="1" ht="25.5">
      <c r="A3558" s="987">
        <f t="shared" si="56"/>
        <v>3484</v>
      </c>
      <c r="B3558" s="988">
        <v>35275</v>
      </c>
      <c r="C3558" s="899" t="s">
        <v>12884</v>
      </c>
      <c r="D3558" s="988" t="s">
        <v>2669</v>
      </c>
      <c r="E3558" s="989">
        <v>139.76</v>
      </c>
      <c r="F3558" s="990"/>
      <c r="G3558" s="990"/>
      <c r="H3558" s="990"/>
      <c r="I3558" s="990"/>
      <c r="J3558" s="990"/>
      <c r="K3558" s="990"/>
      <c r="L3558" s="990"/>
      <c r="M3558" s="990"/>
      <c r="N3558" s="990"/>
      <c r="O3558" s="990"/>
      <c r="P3558" s="990"/>
      <c r="Q3558" s="990"/>
      <c r="R3558" s="990"/>
      <c r="S3558" s="990"/>
      <c r="T3558" s="990"/>
      <c r="U3558" s="990"/>
      <c r="V3558" s="990"/>
      <c r="W3558" s="990"/>
      <c r="X3558" s="990"/>
    </row>
    <row r="3559" spans="1:24" s="896" customFormat="1" ht="25.5">
      <c r="A3559" s="987">
        <f t="shared" si="56"/>
        <v>3485</v>
      </c>
      <c r="B3559" s="988">
        <v>35276</v>
      </c>
      <c r="C3559" s="899" t="s">
        <v>12885</v>
      </c>
      <c r="D3559" s="988" t="s">
        <v>2669</v>
      </c>
      <c r="E3559" s="989">
        <v>243.17</v>
      </c>
      <c r="F3559" s="990"/>
      <c r="G3559" s="990"/>
      <c r="H3559" s="990"/>
      <c r="I3559" s="990"/>
      <c r="J3559" s="990"/>
      <c r="K3559" s="990"/>
      <c r="L3559" s="990"/>
      <c r="M3559" s="990"/>
      <c r="N3559" s="990"/>
      <c r="O3559" s="990"/>
      <c r="P3559" s="990"/>
      <c r="Q3559" s="990"/>
      <c r="R3559" s="990"/>
      <c r="S3559" s="990"/>
      <c r="T3559" s="990"/>
      <c r="U3559" s="990"/>
      <c r="V3559" s="990"/>
      <c r="W3559" s="990"/>
      <c r="X3559" s="990"/>
    </row>
    <row r="3560" spans="1:24" s="896" customFormat="1">
      <c r="A3560" s="987">
        <f t="shared" si="56"/>
        <v>3486</v>
      </c>
      <c r="B3560" s="988">
        <v>38386</v>
      </c>
      <c r="C3560" s="899" t="s">
        <v>12886</v>
      </c>
      <c r="D3560" s="988" t="s">
        <v>2666</v>
      </c>
      <c r="E3560" s="989">
        <v>4.53</v>
      </c>
      <c r="F3560" s="990"/>
      <c r="G3560" s="990"/>
      <c r="H3560" s="990"/>
      <c r="I3560" s="990"/>
      <c r="J3560" s="990"/>
      <c r="K3560" s="990"/>
      <c r="L3560" s="990"/>
      <c r="M3560" s="990"/>
      <c r="N3560" s="990"/>
      <c r="O3560" s="990"/>
      <c r="P3560" s="990"/>
      <c r="Q3560" s="990"/>
      <c r="R3560" s="990"/>
      <c r="S3560" s="990"/>
      <c r="T3560" s="990"/>
      <c r="U3560" s="990"/>
      <c r="V3560" s="990"/>
      <c r="W3560" s="990"/>
      <c r="X3560" s="990"/>
    </row>
    <row r="3561" spans="1:24" s="896" customFormat="1" ht="25.5">
      <c r="A3561" s="987">
        <f t="shared" si="56"/>
        <v>3487</v>
      </c>
      <c r="B3561" s="988">
        <v>11091</v>
      </c>
      <c r="C3561" s="899" t="s">
        <v>12887</v>
      </c>
      <c r="D3561" s="988" t="s">
        <v>2666</v>
      </c>
      <c r="E3561" s="989">
        <v>1.31</v>
      </c>
      <c r="F3561" s="990"/>
      <c r="G3561" s="990"/>
      <c r="H3561" s="990"/>
      <c r="I3561" s="990"/>
      <c r="J3561" s="990"/>
      <c r="K3561" s="990"/>
      <c r="L3561" s="990"/>
      <c r="M3561" s="990"/>
      <c r="N3561" s="990"/>
      <c r="O3561" s="990"/>
      <c r="P3561" s="990"/>
      <c r="Q3561" s="990"/>
      <c r="R3561" s="990"/>
      <c r="S3561" s="990"/>
      <c r="T3561" s="990"/>
      <c r="U3561" s="990"/>
      <c r="V3561" s="990"/>
      <c r="W3561" s="990"/>
      <c r="X3561" s="990"/>
    </row>
    <row r="3562" spans="1:24" s="896" customFormat="1" ht="25.5">
      <c r="A3562" s="987">
        <f t="shared" si="56"/>
        <v>3488</v>
      </c>
      <c r="B3562" s="988">
        <v>37586</v>
      </c>
      <c r="C3562" s="899" t="s">
        <v>12888</v>
      </c>
      <c r="D3562" s="988" t="s">
        <v>2679</v>
      </c>
      <c r="E3562" s="989">
        <v>46.91</v>
      </c>
      <c r="F3562" s="990"/>
      <c r="G3562" s="990"/>
      <c r="H3562" s="990"/>
      <c r="I3562" s="990"/>
      <c r="J3562" s="990"/>
      <c r="K3562" s="990"/>
      <c r="L3562" s="990"/>
      <c r="M3562" s="990"/>
      <c r="N3562" s="990"/>
      <c r="O3562" s="990"/>
      <c r="P3562" s="990"/>
      <c r="Q3562" s="990"/>
      <c r="R3562" s="990"/>
      <c r="S3562" s="990"/>
      <c r="T3562" s="990"/>
      <c r="U3562" s="990"/>
      <c r="V3562" s="990"/>
      <c r="W3562" s="990"/>
      <c r="X3562" s="990"/>
    </row>
    <row r="3563" spans="1:24" s="896" customFormat="1">
      <c r="A3563" s="987">
        <f t="shared" si="56"/>
        <v>3489</v>
      </c>
      <c r="B3563" s="988">
        <v>37395</v>
      </c>
      <c r="C3563" s="899" t="s">
        <v>12889</v>
      </c>
      <c r="D3563" s="988" t="s">
        <v>2679</v>
      </c>
      <c r="E3563" s="989">
        <v>40.33</v>
      </c>
      <c r="F3563" s="990"/>
      <c r="G3563" s="990"/>
      <c r="H3563" s="990"/>
      <c r="I3563" s="990"/>
      <c r="J3563" s="990"/>
      <c r="K3563" s="990"/>
      <c r="L3563" s="990"/>
      <c r="M3563" s="990"/>
      <c r="N3563" s="990"/>
      <c r="O3563" s="990"/>
      <c r="P3563" s="990"/>
      <c r="Q3563" s="990"/>
      <c r="R3563" s="990"/>
      <c r="S3563" s="990"/>
      <c r="T3563" s="990"/>
      <c r="U3563" s="990"/>
      <c r="V3563" s="990"/>
      <c r="W3563" s="990"/>
      <c r="X3563" s="990"/>
    </row>
    <row r="3564" spans="1:24" s="896" customFormat="1" ht="25.5">
      <c r="A3564" s="987">
        <f t="shared" si="56"/>
        <v>3490</v>
      </c>
      <c r="B3564" s="988">
        <v>14147</v>
      </c>
      <c r="C3564" s="899" t="s">
        <v>12890</v>
      </c>
      <c r="D3564" s="988" t="s">
        <v>2679</v>
      </c>
      <c r="E3564" s="989">
        <v>53.5</v>
      </c>
      <c r="F3564" s="990"/>
      <c r="G3564" s="990"/>
      <c r="H3564" s="990"/>
      <c r="I3564" s="990"/>
      <c r="J3564" s="990"/>
      <c r="K3564" s="990"/>
      <c r="L3564" s="990"/>
      <c r="M3564" s="990"/>
      <c r="N3564" s="990"/>
      <c r="O3564" s="990"/>
      <c r="P3564" s="990"/>
      <c r="Q3564" s="990"/>
      <c r="R3564" s="990"/>
      <c r="S3564" s="990"/>
      <c r="T3564" s="990"/>
      <c r="U3564" s="990"/>
      <c r="V3564" s="990"/>
      <c r="W3564" s="990"/>
      <c r="X3564" s="990"/>
    </row>
    <row r="3565" spans="1:24" s="896" customFormat="1">
      <c r="A3565" s="987">
        <f t="shared" si="56"/>
        <v>3491</v>
      </c>
      <c r="B3565" s="988">
        <v>37396</v>
      </c>
      <c r="C3565" s="899" t="s">
        <v>12891</v>
      </c>
      <c r="D3565" s="988" t="s">
        <v>2679</v>
      </c>
      <c r="E3565" s="989">
        <v>33</v>
      </c>
      <c r="F3565" s="990"/>
      <c r="G3565" s="990"/>
      <c r="H3565" s="990"/>
      <c r="I3565" s="990"/>
      <c r="J3565" s="990"/>
      <c r="K3565" s="990"/>
      <c r="L3565" s="990"/>
      <c r="M3565" s="990"/>
      <c r="N3565" s="990"/>
      <c r="O3565" s="990"/>
      <c r="P3565" s="990"/>
      <c r="Q3565" s="990"/>
      <c r="R3565" s="990"/>
      <c r="S3565" s="990"/>
      <c r="T3565" s="990"/>
      <c r="U3565" s="990"/>
      <c r="V3565" s="990"/>
      <c r="W3565" s="990"/>
      <c r="X3565" s="990"/>
    </row>
    <row r="3566" spans="1:24" s="896" customFormat="1">
      <c r="A3566" s="987">
        <f t="shared" si="56"/>
        <v>3492</v>
      </c>
      <c r="B3566" s="988">
        <v>37397</v>
      </c>
      <c r="C3566" s="899" t="s">
        <v>12892</v>
      </c>
      <c r="D3566" s="988" t="s">
        <v>2679</v>
      </c>
      <c r="E3566" s="989">
        <v>34.57</v>
      </c>
      <c r="F3566" s="990"/>
      <c r="G3566" s="990"/>
      <c r="H3566" s="990"/>
      <c r="I3566" s="990"/>
      <c r="J3566" s="990"/>
      <c r="K3566" s="990"/>
      <c r="L3566" s="990"/>
      <c r="M3566" s="990"/>
      <c r="N3566" s="990"/>
      <c r="O3566" s="990"/>
      <c r="P3566" s="990"/>
      <c r="Q3566" s="990"/>
      <c r="R3566" s="990"/>
      <c r="S3566" s="990"/>
      <c r="T3566" s="990"/>
      <c r="U3566" s="990"/>
      <c r="V3566" s="990"/>
      <c r="W3566" s="990"/>
      <c r="X3566" s="990"/>
    </row>
    <row r="3567" spans="1:24" s="896" customFormat="1" ht="25.5">
      <c r="A3567" s="987">
        <f t="shared" si="56"/>
        <v>3493</v>
      </c>
      <c r="B3567" s="988">
        <v>43606</v>
      </c>
      <c r="C3567" s="899" t="s">
        <v>12893</v>
      </c>
      <c r="D3567" s="988" t="s">
        <v>2666</v>
      </c>
      <c r="E3567" s="989">
        <v>8.58</v>
      </c>
      <c r="F3567" s="990"/>
      <c r="G3567" s="990"/>
      <c r="H3567" s="990"/>
      <c r="I3567" s="990"/>
      <c r="J3567" s="990"/>
      <c r="K3567" s="990"/>
      <c r="L3567" s="990"/>
      <c r="M3567" s="990"/>
      <c r="N3567" s="990"/>
      <c r="O3567" s="990"/>
      <c r="P3567" s="990"/>
      <c r="Q3567" s="990"/>
      <c r="R3567" s="990"/>
      <c r="S3567" s="990"/>
      <c r="T3567" s="990"/>
      <c r="U3567" s="990"/>
      <c r="V3567" s="990"/>
      <c r="W3567" s="990"/>
      <c r="X3567" s="990"/>
    </row>
    <row r="3568" spans="1:24" s="896" customFormat="1" ht="25.5">
      <c r="A3568" s="987">
        <f t="shared" si="56"/>
        <v>3494</v>
      </c>
      <c r="B3568" s="988">
        <v>444</v>
      </c>
      <c r="C3568" s="899" t="s">
        <v>12894</v>
      </c>
      <c r="D3568" s="988" t="s">
        <v>2666</v>
      </c>
      <c r="E3568" s="989">
        <v>17.2</v>
      </c>
      <c r="F3568" s="990"/>
      <c r="G3568" s="990"/>
      <c r="H3568" s="990"/>
      <c r="I3568" s="990"/>
      <c r="J3568" s="990"/>
      <c r="K3568" s="990"/>
      <c r="L3568" s="990"/>
      <c r="M3568" s="990"/>
      <c r="N3568" s="990"/>
      <c r="O3568" s="990"/>
      <c r="P3568" s="990"/>
      <c r="Q3568" s="990"/>
      <c r="R3568" s="990"/>
      <c r="S3568" s="990"/>
      <c r="T3568" s="990"/>
      <c r="U3568" s="990"/>
      <c r="V3568" s="990"/>
      <c r="W3568" s="990"/>
      <c r="X3568" s="990"/>
    </row>
    <row r="3569" spans="1:24" s="896" customFormat="1" ht="25.5">
      <c r="A3569" s="987">
        <f t="shared" si="56"/>
        <v>3495</v>
      </c>
      <c r="B3569" s="988">
        <v>445</v>
      </c>
      <c r="C3569" s="899" t="s">
        <v>12895</v>
      </c>
      <c r="D3569" s="988" t="s">
        <v>2666</v>
      </c>
      <c r="E3569" s="989">
        <v>23.54</v>
      </c>
      <c r="F3569" s="990"/>
      <c r="G3569" s="990"/>
      <c r="H3569" s="990"/>
      <c r="I3569" s="990"/>
      <c r="J3569" s="990"/>
      <c r="K3569" s="990"/>
      <c r="L3569" s="990"/>
      <c r="M3569" s="990"/>
      <c r="N3569" s="990"/>
      <c r="O3569" s="990"/>
      <c r="P3569" s="990"/>
      <c r="Q3569" s="990"/>
      <c r="R3569" s="990"/>
      <c r="S3569" s="990"/>
      <c r="T3569" s="990"/>
      <c r="U3569" s="990"/>
      <c r="V3569" s="990"/>
      <c r="W3569" s="990"/>
      <c r="X3569" s="990"/>
    </row>
    <row r="3570" spans="1:24" s="896" customFormat="1">
      <c r="A3570" s="987">
        <f t="shared" si="56"/>
        <v>3496</v>
      </c>
      <c r="B3570" s="988">
        <v>4783</v>
      </c>
      <c r="C3570" s="899" t="s">
        <v>12896</v>
      </c>
      <c r="D3570" s="988" t="s">
        <v>2665</v>
      </c>
      <c r="E3570" s="989">
        <v>23.94</v>
      </c>
      <c r="F3570" s="990"/>
      <c r="G3570" s="990"/>
      <c r="H3570" s="990"/>
      <c r="I3570" s="990"/>
      <c r="J3570" s="990"/>
      <c r="K3570" s="990"/>
      <c r="L3570" s="990"/>
      <c r="M3570" s="990"/>
      <c r="N3570" s="990"/>
      <c r="O3570" s="990"/>
      <c r="P3570" s="990"/>
      <c r="Q3570" s="990"/>
      <c r="R3570" s="990"/>
      <c r="S3570" s="990"/>
      <c r="T3570" s="990"/>
      <c r="U3570" s="990"/>
      <c r="V3570" s="990"/>
      <c r="W3570" s="990"/>
      <c r="X3570" s="990"/>
    </row>
    <row r="3571" spans="1:24" s="896" customFormat="1">
      <c r="A3571" s="987">
        <f t="shared" si="56"/>
        <v>3497</v>
      </c>
      <c r="B3571" s="988">
        <v>41079</v>
      </c>
      <c r="C3571" s="899" t="s">
        <v>12897</v>
      </c>
      <c r="D3571" s="988" t="s">
        <v>2672</v>
      </c>
      <c r="E3571" s="989">
        <v>4207.42</v>
      </c>
      <c r="F3571" s="990"/>
      <c r="G3571" s="990"/>
      <c r="H3571" s="990"/>
      <c r="I3571" s="990"/>
      <c r="J3571" s="990"/>
      <c r="K3571" s="990"/>
      <c r="L3571" s="990"/>
      <c r="M3571" s="990"/>
      <c r="N3571" s="990"/>
      <c r="O3571" s="990"/>
      <c r="P3571" s="990"/>
      <c r="Q3571" s="990"/>
      <c r="R3571" s="990"/>
      <c r="S3571" s="990"/>
      <c r="T3571" s="990"/>
      <c r="U3571" s="990"/>
      <c r="V3571" s="990"/>
      <c r="W3571" s="990"/>
      <c r="X3571" s="990"/>
    </row>
    <row r="3572" spans="1:24" s="896" customFormat="1">
      <c r="A3572" s="987">
        <f t="shared" si="56"/>
        <v>3498</v>
      </c>
      <c r="B3572" s="988">
        <v>12874</v>
      </c>
      <c r="C3572" s="899" t="s">
        <v>12898</v>
      </c>
      <c r="D3572" s="988" t="s">
        <v>2665</v>
      </c>
      <c r="E3572" s="989">
        <v>23.23</v>
      </c>
      <c r="F3572" s="990"/>
      <c r="G3572" s="990"/>
      <c r="H3572" s="990"/>
      <c r="I3572" s="990"/>
      <c r="J3572" s="990"/>
      <c r="K3572" s="990"/>
      <c r="L3572" s="990"/>
      <c r="M3572" s="990"/>
      <c r="N3572" s="990"/>
      <c r="O3572" s="990"/>
      <c r="P3572" s="990"/>
      <c r="Q3572" s="990"/>
      <c r="R3572" s="990"/>
      <c r="S3572" s="990"/>
      <c r="T3572" s="990"/>
      <c r="U3572" s="990"/>
      <c r="V3572" s="990"/>
      <c r="W3572" s="990"/>
      <c r="X3572" s="990"/>
    </row>
    <row r="3573" spans="1:24" s="896" customFormat="1">
      <c r="A3573" s="987">
        <f t="shared" si="56"/>
        <v>3499</v>
      </c>
      <c r="B3573" s="988">
        <v>41082</v>
      </c>
      <c r="C3573" s="899" t="s">
        <v>12899</v>
      </c>
      <c r="D3573" s="988" t="s">
        <v>2672</v>
      </c>
      <c r="E3573" s="989">
        <v>4085.68</v>
      </c>
      <c r="F3573" s="990"/>
      <c r="G3573" s="990"/>
      <c r="H3573" s="990"/>
      <c r="I3573" s="990"/>
      <c r="J3573" s="990"/>
      <c r="K3573" s="990"/>
      <c r="L3573" s="990"/>
      <c r="M3573" s="990"/>
      <c r="N3573" s="990"/>
      <c r="O3573" s="990"/>
      <c r="P3573" s="990"/>
      <c r="Q3573" s="990"/>
      <c r="R3573" s="990"/>
      <c r="S3573" s="990"/>
      <c r="T3573" s="990"/>
      <c r="U3573" s="990"/>
      <c r="V3573" s="990"/>
      <c r="W3573" s="990"/>
      <c r="X3573" s="990"/>
    </row>
    <row r="3574" spans="1:24" s="896" customFormat="1">
      <c r="A3574" s="987">
        <f t="shared" si="56"/>
        <v>3500</v>
      </c>
      <c r="B3574" s="988">
        <v>4785</v>
      </c>
      <c r="C3574" s="899" t="s">
        <v>12900</v>
      </c>
      <c r="D3574" s="988" t="s">
        <v>2665</v>
      </c>
      <c r="E3574" s="989">
        <v>23.94</v>
      </c>
      <c r="F3574" s="990"/>
      <c r="G3574" s="990"/>
      <c r="H3574" s="990"/>
      <c r="I3574" s="990"/>
      <c r="J3574" s="990"/>
      <c r="K3574" s="990"/>
      <c r="L3574" s="990"/>
      <c r="M3574" s="990"/>
      <c r="N3574" s="990"/>
      <c r="O3574" s="990"/>
      <c r="P3574" s="990"/>
      <c r="Q3574" s="990"/>
      <c r="R3574" s="990"/>
      <c r="S3574" s="990"/>
      <c r="T3574" s="990"/>
      <c r="U3574" s="990"/>
      <c r="V3574" s="990"/>
      <c r="W3574" s="990"/>
      <c r="X3574" s="990"/>
    </row>
    <row r="3575" spans="1:24" s="896" customFormat="1">
      <c r="A3575" s="987">
        <f t="shared" si="56"/>
        <v>3501</v>
      </c>
      <c r="B3575" s="988">
        <v>41081</v>
      </c>
      <c r="C3575" s="899" t="s">
        <v>12901</v>
      </c>
      <c r="D3575" s="988" t="s">
        <v>2672</v>
      </c>
      <c r="E3575" s="989">
        <v>4207.42</v>
      </c>
      <c r="F3575" s="990"/>
      <c r="G3575" s="990"/>
      <c r="H3575" s="990"/>
      <c r="I3575" s="990"/>
      <c r="J3575" s="990"/>
      <c r="K3575" s="990"/>
      <c r="L3575" s="990"/>
      <c r="M3575" s="990"/>
      <c r="N3575" s="990"/>
      <c r="O3575" s="990"/>
      <c r="P3575" s="990"/>
      <c r="Q3575" s="990"/>
      <c r="R3575" s="990"/>
      <c r="S3575" s="990"/>
      <c r="T3575" s="990"/>
      <c r="U3575" s="990"/>
      <c r="V3575" s="990"/>
      <c r="W3575" s="990"/>
      <c r="X3575" s="990"/>
    </row>
    <row r="3576" spans="1:24" s="896" customFormat="1">
      <c r="A3576" s="987">
        <f t="shared" si="56"/>
        <v>3502</v>
      </c>
      <c r="B3576" s="988">
        <v>4801</v>
      </c>
      <c r="C3576" s="899" t="s">
        <v>12902</v>
      </c>
      <c r="D3576" s="988" t="s">
        <v>2667</v>
      </c>
      <c r="E3576" s="989">
        <v>90.24</v>
      </c>
      <c r="F3576" s="990"/>
      <c r="G3576" s="990"/>
      <c r="H3576" s="990"/>
      <c r="I3576" s="990"/>
      <c r="J3576" s="990"/>
      <c r="K3576" s="990"/>
      <c r="L3576" s="990"/>
      <c r="M3576" s="990"/>
      <c r="N3576" s="990"/>
      <c r="O3576" s="990"/>
      <c r="P3576" s="990"/>
      <c r="Q3576" s="990"/>
      <c r="R3576" s="990"/>
      <c r="S3576" s="990"/>
      <c r="T3576" s="990"/>
      <c r="U3576" s="990"/>
      <c r="V3576" s="990"/>
      <c r="W3576" s="990"/>
      <c r="X3576" s="990"/>
    </row>
    <row r="3577" spans="1:24" s="896" customFormat="1" ht="25.5">
      <c r="A3577" s="987">
        <f t="shared" si="56"/>
        <v>3503</v>
      </c>
      <c r="B3577" s="988">
        <v>4794</v>
      </c>
      <c r="C3577" s="899" t="s">
        <v>12903</v>
      </c>
      <c r="D3577" s="988" t="s">
        <v>2667</v>
      </c>
      <c r="E3577" s="989">
        <v>410.99</v>
      </c>
      <c r="F3577" s="990"/>
      <c r="G3577" s="990"/>
      <c r="H3577" s="990"/>
      <c r="I3577" s="990"/>
      <c r="J3577" s="990"/>
      <c r="K3577" s="990"/>
      <c r="L3577" s="990"/>
      <c r="M3577" s="990"/>
      <c r="N3577" s="990"/>
      <c r="O3577" s="990"/>
      <c r="P3577" s="990"/>
      <c r="Q3577" s="990"/>
      <c r="R3577" s="990"/>
      <c r="S3577" s="990"/>
      <c r="T3577" s="990"/>
      <c r="U3577" s="990"/>
      <c r="V3577" s="990"/>
      <c r="W3577" s="990"/>
      <c r="X3577" s="990"/>
    </row>
    <row r="3578" spans="1:24" s="896" customFormat="1" ht="25.5">
      <c r="A3578" s="987">
        <f t="shared" si="56"/>
        <v>3504</v>
      </c>
      <c r="B3578" s="988">
        <v>4796</v>
      </c>
      <c r="C3578" s="899" t="s">
        <v>12904</v>
      </c>
      <c r="D3578" s="988" t="s">
        <v>2667</v>
      </c>
      <c r="E3578" s="989">
        <v>249.63</v>
      </c>
      <c r="F3578" s="990"/>
      <c r="G3578" s="990"/>
      <c r="H3578" s="990"/>
      <c r="I3578" s="990"/>
      <c r="J3578" s="990"/>
      <c r="K3578" s="990"/>
      <c r="L3578" s="990"/>
      <c r="M3578" s="990"/>
      <c r="N3578" s="990"/>
      <c r="O3578" s="990"/>
      <c r="P3578" s="990"/>
      <c r="Q3578" s="990"/>
      <c r="R3578" s="990"/>
      <c r="S3578" s="990"/>
      <c r="T3578" s="990"/>
      <c r="U3578" s="990"/>
      <c r="V3578" s="990"/>
      <c r="W3578" s="990"/>
      <c r="X3578" s="990"/>
    </row>
    <row r="3579" spans="1:24" s="896" customFormat="1">
      <c r="A3579" s="987">
        <f t="shared" si="56"/>
        <v>3505</v>
      </c>
      <c r="B3579" s="988">
        <v>4800</v>
      </c>
      <c r="C3579" s="899" t="s">
        <v>12905</v>
      </c>
      <c r="D3579" s="988" t="s">
        <v>2667</v>
      </c>
      <c r="E3579" s="989">
        <v>68.650000000000006</v>
      </c>
      <c r="F3579" s="990"/>
      <c r="G3579" s="990"/>
      <c r="H3579" s="990"/>
      <c r="I3579" s="990"/>
      <c r="J3579" s="990"/>
      <c r="K3579" s="990"/>
      <c r="L3579" s="990"/>
      <c r="M3579" s="990"/>
      <c r="N3579" s="990"/>
      <c r="O3579" s="990"/>
      <c r="P3579" s="990"/>
      <c r="Q3579" s="990"/>
      <c r="R3579" s="990"/>
      <c r="S3579" s="990"/>
      <c r="T3579" s="990"/>
      <c r="U3579" s="990"/>
      <c r="V3579" s="990"/>
      <c r="W3579" s="990"/>
      <c r="X3579" s="990"/>
    </row>
    <row r="3580" spans="1:24" s="896" customFormat="1" ht="25.5">
      <c r="A3580" s="987">
        <f t="shared" si="56"/>
        <v>3506</v>
      </c>
      <c r="B3580" s="988">
        <v>4795</v>
      </c>
      <c r="C3580" s="899" t="s">
        <v>12906</v>
      </c>
      <c r="D3580" s="988" t="s">
        <v>2667</v>
      </c>
      <c r="E3580" s="989">
        <v>400.08</v>
      </c>
      <c r="F3580" s="990"/>
      <c r="G3580" s="990"/>
      <c r="H3580" s="990"/>
      <c r="I3580" s="990"/>
      <c r="J3580" s="990"/>
      <c r="K3580" s="990"/>
      <c r="L3580" s="990"/>
      <c r="M3580" s="990"/>
      <c r="N3580" s="990"/>
      <c r="O3580" s="990"/>
      <c r="P3580" s="990"/>
      <c r="Q3580" s="990"/>
      <c r="R3580" s="990"/>
      <c r="S3580" s="990"/>
      <c r="T3580" s="990"/>
      <c r="U3580" s="990"/>
      <c r="V3580" s="990"/>
      <c r="W3580" s="990"/>
      <c r="X3580" s="990"/>
    </row>
    <row r="3581" spans="1:24" s="896" customFormat="1" ht="38.25">
      <c r="A3581" s="987">
        <f t="shared" si="56"/>
        <v>3507</v>
      </c>
      <c r="B3581" s="988">
        <v>39694</v>
      </c>
      <c r="C3581" s="899" t="s">
        <v>12907</v>
      </c>
      <c r="D3581" s="988" t="s">
        <v>2667</v>
      </c>
      <c r="E3581" s="989">
        <v>454.71</v>
      </c>
      <c r="F3581" s="990"/>
      <c r="G3581" s="990"/>
      <c r="H3581" s="990"/>
      <c r="I3581" s="990"/>
      <c r="J3581" s="990"/>
      <c r="K3581" s="990"/>
      <c r="L3581" s="990"/>
      <c r="M3581" s="990"/>
      <c r="N3581" s="990"/>
      <c r="O3581" s="990"/>
      <c r="P3581" s="990"/>
      <c r="Q3581" s="990"/>
      <c r="R3581" s="990"/>
      <c r="S3581" s="990"/>
      <c r="T3581" s="990"/>
      <c r="U3581" s="990"/>
      <c r="V3581" s="990"/>
      <c r="W3581" s="990"/>
      <c r="X3581" s="990"/>
    </row>
    <row r="3582" spans="1:24" s="896" customFormat="1" ht="25.5">
      <c r="A3582" s="987">
        <f t="shared" si="56"/>
        <v>3508</v>
      </c>
      <c r="B3582" s="988">
        <v>1292</v>
      </c>
      <c r="C3582" s="899" t="s">
        <v>12908</v>
      </c>
      <c r="D3582" s="988" t="s">
        <v>2667</v>
      </c>
      <c r="E3582" s="989">
        <v>63.19</v>
      </c>
      <c r="F3582" s="990"/>
      <c r="G3582" s="990"/>
      <c r="H3582" s="990"/>
      <c r="I3582" s="990"/>
      <c r="J3582" s="990"/>
      <c r="K3582" s="990"/>
      <c r="L3582" s="990"/>
      <c r="M3582" s="990"/>
      <c r="N3582" s="990"/>
      <c r="O3582" s="990"/>
      <c r="P3582" s="990"/>
      <c r="Q3582" s="990"/>
      <c r="R3582" s="990"/>
      <c r="S3582" s="990"/>
      <c r="T3582" s="990"/>
      <c r="U3582" s="990"/>
      <c r="V3582" s="990"/>
      <c r="W3582" s="990"/>
      <c r="X3582" s="990"/>
    </row>
    <row r="3583" spans="1:24" s="896" customFormat="1" ht="25.5">
      <c r="A3583" s="987">
        <f t="shared" si="56"/>
        <v>3509</v>
      </c>
      <c r="B3583" s="988">
        <v>1287</v>
      </c>
      <c r="C3583" s="899" t="s">
        <v>12909</v>
      </c>
      <c r="D3583" s="988" t="s">
        <v>2667</v>
      </c>
      <c r="E3583" s="989">
        <v>31</v>
      </c>
      <c r="F3583" s="990"/>
      <c r="G3583" s="990"/>
      <c r="H3583" s="990"/>
      <c r="I3583" s="990"/>
      <c r="J3583" s="990"/>
      <c r="K3583" s="990"/>
      <c r="L3583" s="990"/>
      <c r="M3583" s="990"/>
      <c r="N3583" s="990"/>
      <c r="O3583" s="990"/>
      <c r="P3583" s="990"/>
      <c r="Q3583" s="990"/>
      <c r="R3583" s="990"/>
      <c r="S3583" s="990"/>
      <c r="T3583" s="990"/>
      <c r="U3583" s="990"/>
      <c r="V3583" s="990"/>
      <c r="W3583" s="990"/>
      <c r="X3583" s="990"/>
    </row>
    <row r="3584" spans="1:24" s="896" customFormat="1" ht="25.5">
      <c r="A3584" s="987">
        <f t="shared" si="56"/>
        <v>3510</v>
      </c>
      <c r="B3584" s="988">
        <v>1297</v>
      </c>
      <c r="C3584" s="899" t="s">
        <v>12910</v>
      </c>
      <c r="D3584" s="988" t="s">
        <v>2667</v>
      </c>
      <c r="E3584" s="989">
        <v>25.71</v>
      </c>
      <c r="F3584" s="990"/>
      <c r="G3584" s="990"/>
      <c r="H3584" s="990"/>
      <c r="I3584" s="990"/>
      <c r="J3584" s="990"/>
      <c r="K3584" s="990"/>
      <c r="L3584" s="990"/>
      <c r="M3584" s="990"/>
      <c r="N3584" s="990"/>
      <c r="O3584" s="990"/>
      <c r="P3584" s="990"/>
      <c r="Q3584" s="990"/>
      <c r="R3584" s="990"/>
      <c r="S3584" s="990"/>
      <c r="T3584" s="990"/>
      <c r="U3584" s="990"/>
      <c r="V3584" s="990"/>
      <c r="W3584" s="990"/>
      <c r="X3584" s="990"/>
    </row>
    <row r="3585" spans="1:24" s="896" customFormat="1" ht="25.5">
      <c r="A3585" s="987">
        <f t="shared" si="56"/>
        <v>3511</v>
      </c>
      <c r="B3585" s="988">
        <v>4786</v>
      </c>
      <c r="C3585" s="899" t="s">
        <v>12911</v>
      </c>
      <c r="D3585" s="988" t="s">
        <v>2667</v>
      </c>
      <c r="E3585" s="989">
        <v>93.5</v>
      </c>
      <c r="F3585" s="990"/>
      <c r="G3585" s="990"/>
      <c r="H3585" s="990"/>
      <c r="I3585" s="990"/>
      <c r="J3585" s="990"/>
      <c r="K3585" s="990"/>
      <c r="L3585" s="990"/>
      <c r="M3585" s="990"/>
      <c r="N3585" s="990"/>
      <c r="O3585" s="990"/>
      <c r="P3585" s="990"/>
      <c r="Q3585" s="990"/>
      <c r="R3585" s="990"/>
      <c r="S3585" s="990"/>
      <c r="T3585" s="990"/>
      <c r="U3585" s="990"/>
      <c r="V3585" s="990"/>
      <c r="W3585" s="990"/>
      <c r="X3585" s="990"/>
    </row>
    <row r="3586" spans="1:24" s="896" customFormat="1" ht="38.25">
      <c r="A3586" s="987">
        <f t="shared" si="56"/>
        <v>3512</v>
      </c>
      <c r="B3586" s="988">
        <v>10840</v>
      </c>
      <c r="C3586" s="899" t="s">
        <v>12912</v>
      </c>
      <c r="D3586" s="988" t="s">
        <v>2667</v>
      </c>
      <c r="E3586" s="989">
        <v>465</v>
      </c>
      <c r="F3586" s="990"/>
      <c r="G3586" s="990"/>
      <c r="H3586" s="990"/>
      <c r="I3586" s="990"/>
      <c r="J3586" s="990"/>
      <c r="K3586" s="990"/>
      <c r="L3586" s="990"/>
      <c r="M3586" s="990"/>
      <c r="N3586" s="990"/>
      <c r="O3586" s="990"/>
      <c r="P3586" s="990"/>
      <c r="Q3586" s="990"/>
      <c r="R3586" s="990"/>
      <c r="S3586" s="990"/>
      <c r="T3586" s="990"/>
      <c r="U3586" s="990"/>
      <c r="V3586" s="990"/>
      <c r="W3586" s="990"/>
      <c r="X3586" s="990"/>
    </row>
    <row r="3587" spans="1:24" s="896" customFormat="1" ht="25.5">
      <c r="A3587" s="987">
        <f t="shared" si="56"/>
        <v>3513</v>
      </c>
      <c r="B3587" s="988">
        <v>10841</v>
      </c>
      <c r="C3587" s="899" t="s">
        <v>12913</v>
      </c>
      <c r="D3587" s="988" t="s">
        <v>2667</v>
      </c>
      <c r="E3587" s="989">
        <v>350.94</v>
      </c>
      <c r="F3587" s="990"/>
      <c r="G3587" s="990"/>
      <c r="H3587" s="990"/>
      <c r="I3587" s="990"/>
      <c r="J3587" s="990"/>
      <c r="K3587" s="990"/>
      <c r="L3587" s="990"/>
      <c r="M3587" s="990"/>
      <c r="N3587" s="990"/>
      <c r="O3587" s="990"/>
      <c r="P3587" s="990"/>
      <c r="Q3587" s="990"/>
      <c r="R3587" s="990"/>
      <c r="S3587" s="990"/>
      <c r="T3587" s="990"/>
      <c r="U3587" s="990"/>
      <c r="V3587" s="990"/>
      <c r="W3587" s="990"/>
      <c r="X3587" s="990"/>
    </row>
    <row r="3588" spans="1:24" s="896" customFormat="1" ht="25.5">
      <c r="A3588" s="987">
        <f t="shared" si="56"/>
        <v>3514</v>
      </c>
      <c r="B3588" s="988">
        <v>44540</v>
      </c>
      <c r="C3588" s="899" t="s">
        <v>12914</v>
      </c>
      <c r="D3588" s="988" t="s">
        <v>2667</v>
      </c>
      <c r="E3588" s="989">
        <v>448.42</v>
      </c>
      <c r="F3588" s="990"/>
      <c r="G3588" s="990"/>
      <c r="H3588" s="990"/>
      <c r="I3588" s="990"/>
      <c r="J3588" s="990"/>
      <c r="K3588" s="990"/>
      <c r="L3588" s="990"/>
      <c r="M3588" s="990"/>
      <c r="N3588" s="990"/>
      <c r="O3588" s="990"/>
      <c r="P3588" s="990"/>
      <c r="Q3588" s="990"/>
      <c r="R3588" s="990"/>
      <c r="S3588" s="990"/>
      <c r="T3588" s="990"/>
      <c r="U3588" s="990"/>
      <c r="V3588" s="990"/>
      <c r="W3588" s="990"/>
      <c r="X3588" s="990"/>
    </row>
    <row r="3589" spans="1:24" s="896" customFormat="1" ht="25.5">
      <c r="A3589" s="987">
        <f t="shared" si="56"/>
        <v>3515</v>
      </c>
      <c r="B3589" s="988">
        <v>10842</v>
      </c>
      <c r="C3589" s="899" t="s">
        <v>12915</v>
      </c>
      <c r="D3589" s="988" t="s">
        <v>2667</v>
      </c>
      <c r="E3589" s="989">
        <v>506.91</v>
      </c>
      <c r="F3589" s="990"/>
      <c r="G3589" s="990"/>
      <c r="H3589" s="990"/>
      <c r="I3589" s="990"/>
      <c r="J3589" s="990"/>
      <c r="K3589" s="990"/>
      <c r="L3589" s="990"/>
      <c r="M3589" s="990"/>
      <c r="N3589" s="990"/>
      <c r="O3589" s="990"/>
      <c r="P3589" s="990"/>
      <c r="Q3589" s="990"/>
      <c r="R3589" s="990"/>
      <c r="S3589" s="990"/>
      <c r="T3589" s="990"/>
      <c r="U3589" s="990"/>
      <c r="V3589" s="990"/>
      <c r="W3589" s="990"/>
      <c r="X3589" s="990"/>
    </row>
    <row r="3590" spans="1:24" s="896" customFormat="1">
      <c r="A3590" s="987">
        <f t="shared" si="56"/>
        <v>3516</v>
      </c>
      <c r="B3590" s="988">
        <v>21108</v>
      </c>
      <c r="C3590" s="899" t="s">
        <v>12916</v>
      </c>
      <c r="D3590" s="988" t="s">
        <v>2667</v>
      </c>
      <c r="E3590" s="989">
        <v>84.22</v>
      </c>
      <c r="F3590" s="990"/>
      <c r="G3590" s="990"/>
      <c r="H3590" s="990"/>
      <c r="I3590" s="990"/>
      <c r="J3590" s="990"/>
      <c r="K3590" s="990"/>
      <c r="L3590" s="990"/>
      <c r="M3590" s="990"/>
      <c r="N3590" s="990"/>
      <c r="O3590" s="990"/>
      <c r="P3590" s="990"/>
      <c r="Q3590" s="990"/>
      <c r="R3590" s="990"/>
      <c r="S3590" s="990"/>
      <c r="T3590" s="990"/>
      <c r="U3590" s="990"/>
      <c r="V3590" s="990"/>
      <c r="W3590" s="990"/>
      <c r="X3590" s="990"/>
    </row>
    <row r="3591" spans="1:24" s="896" customFormat="1">
      <c r="A3591" s="987">
        <f t="shared" si="56"/>
        <v>3517</v>
      </c>
      <c r="B3591" s="988">
        <v>38180</v>
      </c>
      <c r="C3591" s="899" t="s">
        <v>12917</v>
      </c>
      <c r="D3591" s="988" t="s">
        <v>2667</v>
      </c>
      <c r="E3591" s="989">
        <v>200.98</v>
      </c>
      <c r="F3591" s="990"/>
      <c r="G3591" s="990"/>
      <c r="H3591" s="990"/>
      <c r="I3591" s="990"/>
      <c r="J3591" s="990"/>
      <c r="K3591" s="990"/>
      <c r="L3591" s="990"/>
      <c r="M3591" s="990"/>
      <c r="N3591" s="990"/>
      <c r="O3591" s="990"/>
      <c r="P3591" s="990"/>
      <c r="Q3591" s="990"/>
      <c r="R3591" s="990"/>
      <c r="S3591" s="990"/>
      <c r="T3591" s="990"/>
      <c r="U3591" s="990"/>
      <c r="V3591" s="990"/>
      <c r="W3591" s="990"/>
      <c r="X3591" s="990"/>
    </row>
    <row r="3592" spans="1:24" s="896" customFormat="1">
      <c r="A3592" s="987">
        <f t="shared" si="56"/>
        <v>3518</v>
      </c>
      <c r="B3592" s="988">
        <v>40648</v>
      </c>
      <c r="C3592" s="899" t="s">
        <v>12918</v>
      </c>
      <c r="D3592" s="988" t="s">
        <v>2667</v>
      </c>
      <c r="E3592" s="989">
        <v>179.52</v>
      </c>
      <c r="F3592" s="990"/>
      <c r="G3592" s="990"/>
      <c r="H3592" s="990"/>
      <c r="I3592" s="990"/>
      <c r="J3592" s="990"/>
      <c r="K3592" s="990"/>
      <c r="L3592" s="990"/>
      <c r="M3592" s="990"/>
      <c r="N3592" s="990"/>
      <c r="O3592" s="990"/>
      <c r="P3592" s="990"/>
      <c r="Q3592" s="990"/>
      <c r="R3592" s="990"/>
      <c r="S3592" s="990"/>
      <c r="T3592" s="990"/>
      <c r="U3592" s="990"/>
      <c r="V3592" s="990"/>
      <c r="W3592" s="990"/>
      <c r="X3592" s="990"/>
    </row>
    <row r="3593" spans="1:24" s="896" customFormat="1">
      <c r="A3593" s="987">
        <f t="shared" si="56"/>
        <v>3519</v>
      </c>
      <c r="B3593" s="988">
        <v>40649</v>
      </c>
      <c r="C3593" s="899" t="s">
        <v>12919</v>
      </c>
      <c r="D3593" s="988" t="s">
        <v>2667</v>
      </c>
      <c r="E3593" s="989">
        <v>104.57</v>
      </c>
      <c r="F3593" s="990"/>
      <c r="G3593" s="990"/>
      <c r="H3593" s="990"/>
      <c r="I3593" s="990"/>
      <c r="J3593" s="990"/>
      <c r="K3593" s="990"/>
      <c r="L3593" s="990"/>
      <c r="M3593" s="990"/>
      <c r="N3593" s="990"/>
      <c r="O3593" s="990"/>
      <c r="P3593" s="990"/>
      <c r="Q3593" s="990"/>
      <c r="R3593" s="990"/>
      <c r="S3593" s="990"/>
      <c r="T3593" s="990"/>
      <c r="U3593" s="990"/>
      <c r="V3593" s="990"/>
      <c r="W3593" s="990"/>
      <c r="X3593" s="990"/>
    </row>
    <row r="3594" spans="1:24" s="896" customFormat="1" ht="25.5">
      <c r="A3594" s="987">
        <f t="shared" si="56"/>
        <v>3520</v>
      </c>
      <c r="B3594" s="988">
        <v>40650</v>
      </c>
      <c r="C3594" s="899" t="s">
        <v>12920</v>
      </c>
      <c r="D3594" s="988" t="s">
        <v>2667</v>
      </c>
      <c r="E3594" s="989">
        <v>134.63999999999999</v>
      </c>
      <c r="F3594" s="990"/>
      <c r="G3594" s="990"/>
      <c r="H3594" s="990"/>
      <c r="I3594" s="990"/>
      <c r="J3594" s="990"/>
      <c r="K3594" s="990"/>
      <c r="L3594" s="990"/>
      <c r="M3594" s="990"/>
      <c r="N3594" s="990"/>
      <c r="O3594" s="990"/>
      <c r="P3594" s="990"/>
      <c r="Q3594" s="990"/>
      <c r="R3594" s="990"/>
      <c r="S3594" s="990"/>
      <c r="T3594" s="990"/>
      <c r="U3594" s="990"/>
      <c r="V3594" s="990"/>
      <c r="W3594" s="990"/>
      <c r="X3594" s="990"/>
    </row>
    <row r="3595" spans="1:24" s="896" customFormat="1" ht="25.5">
      <c r="A3595" s="987">
        <f t="shared" si="56"/>
        <v>3521</v>
      </c>
      <c r="B3595" s="988">
        <v>40651</v>
      </c>
      <c r="C3595" s="899" t="s">
        <v>12921</v>
      </c>
      <c r="D3595" s="988" t="s">
        <v>2667</v>
      </c>
      <c r="E3595" s="989">
        <v>248.33</v>
      </c>
      <c r="F3595" s="990"/>
      <c r="G3595" s="990"/>
      <c r="H3595" s="990"/>
      <c r="I3595" s="990"/>
      <c r="J3595" s="990"/>
      <c r="K3595" s="990"/>
      <c r="L3595" s="990"/>
      <c r="M3595" s="990"/>
      <c r="N3595" s="990"/>
      <c r="O3595" s="990"/>
      <c r="P3595" s="990"/>
      <c r="Q3595" s="990"/>
      <c r="R3595" s="990"/>
      <c r="S3595" s="990"/>
      <c r="T3595" s="990"/>
      <c r="U3595" s="990"/>
      <c r="V3595" s="990"/>
      <c r="W3595" s="990"/>
      <c r="X3595" s="990"/>
    </row>
    <row r="3596" spans="1:24" s="896" customFormat="1">
      <c r="A3596" s="987">
        <f t="shared" ref="A3596:A3659" si="57">A3595+1</f>
        <v>3522</v>
      </c>
      <c r="B3596" s="988">
        <v>40652</v>
      </c>
      <c r="C3596" s="899" t="s">
        <v>12922</v>
      </c>
      <c r="D3596" s="988" t="s">
        <v>2667</v>
      </c>
      <c r="E3596" s="989">
        <v>133.13999999999999</v>
      </c>
      <c r="F3596" s="990"/>
      <c r="G3596" s="990"/>
      <c r="H3596" s="990"/>
      <c r="I3596" s="990"/>
      <c r="J3596" s="990"/>
      <c r="K3596" s="990"/>
      <c r="L3596" s="990"/>
      <c r="M3596" s="990"/>
      <c r="N3596" s="990"/>
      <c r="O3596" s="990"/>
      <c r="P3596" s="990"/>
      <c r="Q3596" s="990"/>
      <c r="R3596" s="990"/>
      <c r="S3596" s="990"/>
      <c r="T3596" s="990"/>
      <c r="U3596" s="990"/>
      <c r="V3596" s="990"/>
      <c r="W3596" s="990"/>
      <c r="X3596" s="990"/>
    </row>
    <row r="3597" spans="1:24" s="896" customFormat="1" ht="25.5">
      <c r="A3597" s="987">
        <f t="shared" si="57"/>
        <v>3523</v>
      </c>
      <c r="B3597" s="988">
        <v>40647</v>
      </c>
      <c r="C3597" s="899" t="s">
        <v>12923</v>
      </c>
      <c r="D3597" s="988" t="s">
        <v>2667</v>
      </c>
      <c r="E3597" s="989">
        <v>146.6</v>
      </c>
      <c r="F3597" s="990"/>
      <c r="G3597" s="990"/>
      <c r="H3597" s="990"/>
      <c r="I3597" s="990"/>
      <c r="J3597" s="990"/>
      <c r="K3597" s="990"/>
      <c r="L3597" s="990"/>
      <c r="M3597" s="990"/>
      <c r="N3597" s="990"/>
      <c r="O3597" s="990"/>
      <c r="P3597" s="990"/>
      <c r="Q3597" s="990"/>
      <c r="R3597" s="990"/>
      <c r="S3597" s="990"/>
      <c r="T3597" s="990"/>
      <c r="U3597" s="990"/>
      <c r="V3597" s="990"/>
      <c r="W3597" s="990"/>
      <c r="X3597" s="990"/>
    </row>
    <row r="3598" spans="1:24" s="896" customFormat="1">
      <c r="A3598" s="987">
        <f t="shared" si="57"/>
        <v>3524</v>
      </c>
      <c r="B3598" s="988">
        <v>40653</v>
      </c>
      <c r="C3598" s="899" t="s">
        <v>12924</v>
      </c>
      <c r="D3598" s="988" t="s">
        <v>2667</v>
      </c>
      <c r="E3598" s="989">
        <v>112.2</v>
      </c>
      <c r="F3598" s="990"/>
      <c r="G3598" s="990"/>
      <c r="H3598" s="990"/>
      <c r="I3598" s="990"/>
      <c r="J3598" s="990"/>
      <c r="K3598" s="990"/>
      <c r="L3598" s="990"/>
      <c r="M3598" s="990"/>
      <c r="N3598" s="990"/>
      <c r="O3598" s="990"/>
      <c r="P3598" s="990"/>
      <c r="Q3598" s="990"/>
      <c r="R3598" s="990"/>
      <c r="S3598" s="990"/>
      <c r="T3598" s="990"/>
      <c r="U3598" s="990"/>
      <c r="V3598" s="990"/>
      <c r="W3598" s="990"/>
      <c r="X3598" s="990"/>
    </row>
    <row r="3599" spans="1:24" s="896" customFormat="1">
      <c r="A3599" s="987">
        <f t="shared" si="57"/>
        <v>3525</v>
      </c>
      <c r="B3599" s="988">
        <v>36178</v>
      </c>
      <c r="C3599" s="899" t="s">
        <v>12925</v>
      </c>
      <c r="D3599" s="988" t="s">
        <v>2666</v>
      </c>
      <c r="E3599" s="989">
        <v>9.43</v>
      </c>
      <c r="F3599" s="990"/>
      <c r="G3599" s="990"/>
      <c r="H3599" s="990"/>
      <c r="I3599" s="990"/>
      <c r="J3599" s="990"/>
      <c r="K3599" s="990"/>
      <c r="L3599" s="990"/>
      <c r="M3599" s="990"/>
      <c r="N3599" s="990"/>
      <c r="O3599" s="990"/>
      <c r="P3599" s="990"/>
      <c r="Q3599" s="990"/>
      <c r="R3599" s="990"/>
      <c r="S3599" s="990"/>
      <c r="T3599" s="990"/>
      <c r="U3599" s="990"/>
      <c r="V3599" s="990"/>
      <c r="W3599" s="990"/>
      <c r="X3599" s="990"/>
    </row>
    <row r="3600" spans="1:24" s="896" customFormat="1">
      <c r="A3600" s="987">
        <f t="shared" si="57"/>
        <v>3526</v>
      </c>
      <c r="B3600" s="988">
        <v>38195</v>
      </c>
      <c r="C3600" s="899" t="s">
        <v>12926</v>
      </c>
      <c r="D3600" s="988" t="s">
        <v>2667</v>
      </c>
      <c r="E3600" s="989">
        <v>99.47</v>
      </c>
      <c r="F3600" s="990"/>
      <c r="G3600" s="990"/>
      <c r="H3600" s="990"/>
      <c r="I3600" s="990"/>
      <c r="J3600" s="990"/>
      <c r="K3600" s="990"/>
      <c r="L3600" s="990"/>
      <c r="M3600" s="990"/>
      <c r="N3600" s="990"/>
      <c r="O3600" s="990"/>
      <c r="P3600" s="990"/>
      <c r="Q3600" s="990"/>
      <c r="R3600" s="990"/>
      <c r="S3600" s="990"/>
      <c r="T3600" s="990"/>
      <c r="U3600" s="990"/>
      <c r="V3600" s="990"/>
      <c r="W3600" s="990"/>
      <c r="X3600" s="990"/>
    </row>
    <row r="3601" spans="1:24" s="896" customFormat="1" ht="25.5">
      <c r="A3601" s="987">
        <f t="shared" si="57"/>
        <v>3527</v>
      </c>
      <c r="B3601" s="988">
        <v>38181</v>
      </c>
      <c r="C3601" s="899" t="s">
        <v>12927</v>
      </c>
      <c r="D3601" s="988" t="s">
        <v>2667</v>
      </c>
      <c r="E3601" s="989">
        <v>274.37</v>
      </c>
      <c r="F3601" s="990"/>
      <c r="G3601" s="990"/>
      <c r="H3601" s="990"/>
      <c r="I3601" s="990"/>
      <c r="J3601" s="990"/>
      <c r="K3601" s="990"/>
      <c r="L3601" s="990"/>
      <c r="M3601" s="990"/>
      <c r="N3601" s="990"/>
      <c r="O3601" s="990"/>
      <c r="P3601" s="990"/>
      <c r="Q3601" s="990"/>
      <c r="R3601" s="990"/>
      <c r="S3601" s="990"/>
      <c r="T3601" s="990"/>
      <c r="U3601" s="990"/>
      <c r="V3601" s="990"/>
      <c r="W3601" s="990"/>
      <c r="X3601" s="990"/>
    </row>
    <row r="3602" spans="1:24" s="896" customFormat="1" ht="25.5">
      <c r="A3602" s="987">
        <f t="shared" si="57"/>
        <v>3528</v>
      </c>
      <c r="B3602" s="988">
        <v>38182</v>
      </c>
      <c r="C3602" s="899" t="s">
        <v>12928</v>
      </c>
      <c r="D3602" s="988" t="s">
        <v>2667</v>
      </c>
      <c r="E3602" s="989">
        <v>261.35000000000002</v>
      </c>
      <c r="F3602" s="990"/>
      <c r="G3602" s="990"/>
      <c r="H3602" s="990"/>
      <c r="I3602" s="990"/>
      <c r="J3602" s="990"/>
      <c r="K3602" s="990"/>
      <c r="L3602" s="990"/>
      <c r="M3602" s="990"/>
      <c r="N3602" s="990"/>
      <c r="O3602" s="990"/>
      <c r="P3602" s="990"/>
      <c r="Q3602" s="990"/>
      <c r="R3602" s="990"/>
      <c r="S3602" s="990"/>
      <c r="T3602" s="990"/>
      <c r="U3602" s="990"/>
      <c r="V3602" s="990"/>
      <c r="W3602" s="990"/>
      <c r="X3602" s="990"/>
    </row>
    <row r="3603" spans="1:24" s="896" customFormat="1" ht="25.5">
      <c r="A3603" s="987">
        <f t="shared" si="57"/>
        <v>3529</v>
      </c>
      <c r="B3603" s="988">
        <v>38186</v>
      </c>
      <c r="C3603" s="899" t="s">
        <v>12929</v>
      </c>
      <c r="D3603" s="988" t="s">
        <v>2667</v>
      </c>
      <c r="E3603" s="989">
        <v>679.34</v>
      </c>
      <c r="F3603" s="990"/>
      <c r="G3603" s="990"/>
      <c r="H3603" s="990"/>
      <c r="I3603" s="990"/>
      <c r="J3603" s="990"/>
      <c r="K3603" s="990"/>
      <c r="L3603" s="990"/>
      <c r="M3603" s="990"/>
      <c r="N3603" s="990"/>
      <c r="O3603" s="990"/>
      <c r="P3603" s="990"/>
      <c r="Q3603" s="990"/>
      <c r="R3603" s="990"/>
      <c r="S3603" s="990"/>
      <c r="T3603" s="990"/>
      <c r="U3603" s="990"/>
      <c r="V3603" s="990"/>
      <c r="W3603" s="990"/>
      <c r="X3603" s="990"/>
    </row>
    <row r="3604" spans="1:24" s="896" customFormat="1" ht="25.5">
      <c r="A3604" s="987">
        <f t="shared" si="57"/>
        <v>3530</v>
      </c>
      <c r="B3604" s="988">
        <v>38185</v>
      </c>
      <c r="C3604" s="899" t="s">
        <v>12930</v>
      </c>
      <c r="D3604" s="988" t="s">
        <v>2667</v>
      </c>
      <c r="E3604" s="989">
        <v>604.85</v>
      </c>
      <c r="F3604" s="990"/>
      <c r="G3604" s="990"/>
      <c r="H3604" s="990"/>
      <c r="I3604" s="990"/>
      <c r="J3604" s="990"/>
      <c r="K3604" s="990"/>
      <c r="L3604" s="990"/>
      <c r="M3604" s="990"/>
      <c r="N3604" s="990"/>
      <c r="O3604" s="990"/>
      <c r="P3604" s="990"/>
      <c r="Q3604" s="990"/>
      <c r="R3604" s="990"/>
      <c r="S3604" s="990"/>
      <c r="T3604" s="990"/>
      <c r="U3604" s="990"/>
      <c r="V3604" s="990"/>
      <c r="W3604" s="990"/>
      <c r="X3604" s="990"/>
    </row>
    <row r="3605" spans="1:24" s="896" customFormat="1" ht="25.5">
      <c r="A3605" s="987">
        <f t="shared" si="57"/>
        <v>3531</v>
      </c>
      <c r="B3605" s="988">
        <v>40654</v>
      </c>
      <c r="C3605" s="899" t="s">
        <v>12931</v>
      </c>
      <c r="D3605" s="988" t="s">
        <v>2667</v>
      </c>
      <c r="E3605" s="989">
        <v>174.28</v>
      </c>
      <c r="F3605" s="990"/>
      <c r="G3605" s="990"/>
      <c r="H3605" s="990"/>
      <c r="I3605" s="990"/>
      <c r="J3605" s="990"/>
      <c r="K3605" s="990"/>
      <c r="L3605" s="990"/>
      <c r="M3605" s="990"/>
      <c r="N3605" s="990"/>
      <c r="O3605" s="990"/>
      <c r="P3605" s="990"/>
      <c r="Q3605" s="990"/>
      <c r="R3605" s="990"/>
      <c r="S3605" s="990"/>
      <c r="T3605" s="990"/>
      <c r="U3605" s="990"/>
      <c r="V3605" s="990"/>
      <c r="W3605" s="990"/>
      <c r="X3605" s="990"/>
    </row>
    <row r="3606" spans="1:24" s="896" customFormat="1" ht="38.25">
      <c r="A3606" s="987">
        <f t="shared" si="57"/>
        <v>3532</v>
      </c>
      <c r="B3606" s="988">
        <v>44541</v>
      </c>
      <c r="C3606" s="899" t="s">
        <v>12932</v>
      </c>
      <c r="D3606" s="988" t="s">
        <v>2667</v>
      </c>
      <c r="E3606" s="989">
        <v>370.44</v>
      </c>
      <c r="F3606" s="990"/>
      <c r="G3606" s="990"/>
      <c r="H3606" s="990"/>
      <c r="I3606" s="990"/>
      <c r="J3606" s="990"/>
      <c r="K3606" s="990"/>
      <c r="L3606" s="990"/>
      <c r="M3606" s="990"/>
      <c r="N3606" s="990"/>
      <c r="O3606" s="990"/>
      <c r="P3606" s="990"/>
      <c r="Q3606" s="990"/>
      <c r="R3606" s="990"/>
      <c r="S3606" s="990"/>
      <c r="T3606" s="990"/>
      <c r="U3606" s="990"/>
      <c r="V3606" s="990"/>
      <c r="W3606" s="990"/>
      <c r="X3606" s="990"/>
    </row>
    <row r="3607" spans="1:24" s="896" customFormat="1" ht="25.5">
      <c r="A3607" s="987">
        <f t="shared" si="57"/>
        <v>3533</v>
      </c>
      <c r="B3607" s="988">
        <v>4822</v>
      </c>
      <c r="C3607" s="899" t="s">
        <v>12933</v>
      </c>
      <c r="D3607" s="988" t="s">
        <v>2667</v>
      </c>
      <c r="E3607" s="989">
        <v>563.29999999999995</v>
      </c>
      <c r="F3607" s="990"/>
      <c r="G3607" s="990"/>
      <c r="H3607" s="990"/>
      <c r="I3607" s="990"/>
      <c r="J3607" s="990"/>
      <c r="K3607" s="990"/>
      <c r="L3607" s="990"/>
      <c r="M3607" s="990"/>
      <c r="N3607" s="990"/>
      <c r="O3607" s="990"/>
      <c r="P3607" s="990"/>
      <c r="Q3607" s="990"/>
      <c r="R3607" s="990"/>
      <c r="S3607" s="990"/>
      <c r="T3607" s="990"/>
      <c r="U3607" s="990"/>
      <c r="V3607" s="990"/>
      <c r="W3607" s="990"/>
      <c r="X3607" s="990"/>
    </row>
    <row r="3608" spans="1:24" s="896" customFormat="1" ht="25.5">
      <c r="A3608" s="987">
        <f t="shared" si="57"/>
        <v>3534</v>
      </c>
      <c r="B3608" s="988">
        <v>4818</v>
      </c>
      <c r="C3608" s="899" t="s">
        <v>12934</v>
      </c>
      <c r="D3608" s="988" t="s">
        <v>2667</v>
      </c>
      <c r="E3608" s="989">
        <v>579</v>
      </c>
      <c r="F3608" s="990"/>
      <c r="G3608" s="990"/>
      <c r="H3608" s="990"/>
      <c r="I3608" s="990"/>
      <c r="J3608" s="990"/>
      <c r="K3608" s="990"/>
      <c r="L3608" s="990"/>
      <c r="M3608" s="990"/>
      <c r="N3608" s="990"/>
      <c r="O3608" s="990"/>
      <c r="P3608" s="990"/>
      <c r="Q3608" s="990"/>
      <c r="R3608" s="990"/>
      <c r="S3608" s="990"/>
      <c r="T3608" s="990"/>
      <c r="U3608" s="990"/>
      <c r="V3608" s="990"/>
      <c r="W3608" s="990"/>
      <c r="X3608" s="990"/>
    </row>
    <row r="3609" spans="1:24" s="896" customFormat="1" ht="38.25">
      <c r="A3609" s="987">
        <f t="shared" si="57"/>
        <v>3535</v>
      </c>
      <c r="B3609" s="988">
        <v>39567</v>
      </c>
      <c r="C3609" s="899" t="s">
        <v>12935</v>
      </c>
      <c r="D3609" s="988" t="s">
        <v>2667</v>
      </c>
      <c r="E3609" s="989">
        <v>40.92</v>
      </c>
      <c r="F3609" s="990"/>
      <c r="G3609" s="990"/>
      <c r="H3609" s="990"/>
      <c r="I3609" s="990"/>
      <c r="J3609" s="990"/>
      <c r="K3609" s="990"/>
      <c r="L3609" s="990"/>
      <c r="M3609" s="990"/>
      <c r="N3609" s="990"/>
      <c r="O3609" s="990"/>
      <c r="P3609" s="990"/>
      <c r="Q3609" s="990"/>
      <c r="R3609" s="990"/>
      <c r="S3609" s="990"/>
      <c r="T3609" s="990"/>
      <c r="U3609" s="990"/>
      <c r="V3609" s="990"/>
      <c r="W3609" s="990"/>
      <c r="X3609" s="990"/>
    </row>
    <row r="3610" spans="1:24" s="896" customFormat="1" ht="38.25">
      <c r="A3610" s="987">
        <f t="shared" si="57"/>
        <v>3536</v>
      </c>
      <c r="B3610" s="988">
        <v>39566</v>
      </c>
      <c r="C3610" s="899" t="s">
        <v>12936</v>
      </c>
      <c r="D3610" s="988" t="s">
        <v>2667</v>
      </c>
      <c r="E3610" s="989">
        <v>43.32</v>
      </c>
      <c r="F3610" s="990"/>
      <c r="G3610" s="990"/>
      <c r="H3610" s="990"/>
      <c r="I3610" s="990"/>
      <c r="J3610" s="990"/>
      <c r="K3610" s="990"/>
      <c r="L3610" s="990"/>
      <c r="M3610" s="990"/>
      <c r="N3610" s="990"/>
      <c r="O3610" s="990"/>
      <c r="P3610" s="990"/>
      <c r="Q3610" s="990"/>
      <c r="R3610" s="990"/>
      <c r="S3610" s="990"/>
      <c r="T3610" s="990"/>
      <c r="U3610" s="990"/>
      <c r="V3610" s="990"/>
      <c r="W3610" s="990"/>
      <c r="X3610" s="990"/>
    </row>
    <row r="3611" spans="1:24" s="896" customFormat="1" ht="25.5">
      <c r="A3611" s="987">
        <f t="shared" si="57"/>
        <v>3537</v>
      </c>
      <c r="B3611" s="988">
        <v>39416</v>
      </c>
      <c r="C3611" s="899" t="s">
        <v>12937</v>
      </c>
      <c r="D3611" s="988" t="s">
        <v>2667</v>
      </c>
      <c r="E3611" s="989">
        <v>26.4</v>
      </c>
      <c r="F3611" s="990"/>
      <c r="G3611" s="990"/>
      <c r="H3611" s="990"/>
      <c r="I3611" s="990"/>
      <c r="J3611" s="990"/>
      <c r="K3611" s="990"/>
      <c r="L3611" s="990"/>
      <c r="M3611" s="990"/>
      <c r="N3611" s="990"/>
      <c r="O3611" s="990"/>
      <c r="P3611" s="990"/>
      <c r="Q3611" s="990"/>
      <c r="R3611" s="990"/>
      <c r="S3611" s="990"/>
      <c r="T3611" s="990"/>
      <c r="U3611" s="990"/>
      <c r="V3611" s="990"/>
      <c r="W3611" s="990"/>
      <c r="X3611" s="990"/>
    </row>
    <row r="3612" spans="1:24" s="896" customFormat="1" ht="25.5">
      <c r="A3612" s="987">
        <f t="shared" si="57"/>
        <v>3538</v>
      </c>
      <c r="B3612" s="988">
        <v>39417</v>
      </c>
      <c r="C3612" s="899" t="s">
        <v>12938</v>
      </c>
      <c r="D3612" s="988" t="s">
        <v>2667</v>
      </c>
      <c r="E3612" s="989">
        <v>25.75</v>
      </c>
      <c r="F3612" s="990"/>
      <c r="G3612" s="990"/>
      <c r="H3612" s="990"/>
      <c r="I3612" s="990"/>
      <c r="J3612" s="990"/>
      <c r="K3612" s="990"/>
      <c r="L3612" s="990"/>
      <c r="M3612" s="990"/>
      <c r="N3612" s="990"/>
      <c r="O3612" s="990"/>
      <c r="P3612" s="990"/>
      <c r="Q3612" s="990"/>
      <c r="R3612" s="990"/>
      <c r="S3612" s="990"/>
      <c r="T3612" s="990"/>
      <c r="U3612" s="990"/>
      <c r="V3612" s="990"/>
      <c r="W3612" s="990"/>
      <c r="X3612" s="990"/>
    </row>
    <row r="3613" spans="1:24" s="896" customFormat="1" ht="25.5">
      <c r="A3613" s="987">
        <f t="shared" si="57"/>
        <v>3539</v>
      </c>
      <c r="B3613" s="988">
        <v>43742</v>
      </c>
      <c r="C3613" s="899" t="s">
        <v>12939</v>
      </c>
      <c r="D3613" s="988" t="s">
        <v>2667</v>
      </c>
      <c r="E3613" s="989">
        <v>27.77</v>
      </c>
      <c r="F3613" s="990"/>
      <c r="G3613" s="990"/>
      <c r="H3613" s="990"/>
      <c r="I3613" s="990"/>
      <c r="J3613" s="990"/>
      <c r="K3613" s="990"/>
      <c r="L3613" s="990"/>
      <c r="M3613" s="990"/>
      <c r="N3613" s="990"/>
      <c r="O3613" s="990"/>
      <c r="P3613" s="990"/>
      <c r="Q3613" s="990"/>
      <c r="R3613" s="990"/>
      <c r="S3613" s="990"/>
      <c r="T3613" s="990"/>
      <c r="U3613" s="990"/>
      <c r="V3613" s="990"/>
      <c r="W3613" s="990"/>
      <c r="X3613" s="990"/>
    </row>
    <row r="3614" spans="1:24" s="896" customFormat="1" ht="25.5">
      <c r="A3614" s="987">
        <f t="shared" si="57"/>
        <v>3540</v>
      </c>
      <c r="B3614" s="988">
        <v>39414</v>
      </c>
      <c r="C3614" s="899" t="s">
        <v>12940</v>
      </c>
      <c r="D3614" s="988" t="s">
        <v>2667</v>
      </c>
      <c r="E3614" s="989">
        <v>25</v>
      </c>
      <c r="F3614" s="990"/>
      <c r="G3614" s="990"/>
      <c r="H3614" s="990"/>
      <c r="I3614" s="990"/>
      <c r="J3614" s="990"/>
      <c r="K3614" s="990"/>
      <c r="L3614" s="990"/>
      <c r="M3614" s="990"/>
      <c r="N3614" s="990"/>
      <c r="O3614" s="990"/>
      <c r="P3614" s="990"/>
      <c r="Q3614" s="990"/>
      <c r="R3614" s="990"/>
      <c r="S3614" s="990"/>
      <c r="T3614" s="990"/>
      <c r="U3614" s="990"/>
      <c r="V3614" s="990"/>
      <c r="W3614" s="990"/>
      <c r="X3614" s="990"/>
    </row>
    <row r="3615" spans="1:24" s="896" customFormat="1" ht="25.5">
      <c r="A3615" s="987">
        <f t="shared" si="57"/>
        <v>3541</v>
      </c>
      <c r="B3615" s="988">
        <v>39415</v>
      </c>
      <c r="C3615" s="899" t="s">
        <v>12941</v>
      </c>
      <c r="D3615" s="988" t="s">
        <v>2667</v>
      </c>
      <c r="E3615" s="989">
        <v>21.55</v>
      </c>
      <c r="F3615" s="990"/>
      <c r="G3615" s="990"/>
      <c r="H3615" s="990"/>
      <c r="I3615" s="990"/>
      <c r="J3615" s="990"/>
      <c r="K3615" s="990"/>
      <c r="L3615" s="990"/>
      <c r="M3615" s="990"/>
      <c r="N3615" s="990"/>
      <c r="O3615" s="990"/>
      <c r="P3615" s="990"/>
      <c r="Q3615" s="990"/>
      <c r="R3615" s="990"/>
      <c r="S3615" s="990"/>
      <c r="T3615" s="990"/>
      <c r="U3615" s="990"/>
      <c r="V3615" s="990"/>
      <c r="W3615" s="990"/>
      <c r="X3615" s="990"/>
    </row>
    <row r="3616" spans="1:24" s="896" customFormat="1" ht="25.5">
      <c r="A3616" s="987">
        <f t="shared" si="57"/>
        <v>3542</v>
      </c>
      <c r="B3616" s="988">
        <v>43740</v>
      </c>
      <c r="C3616" s="899" t="s">
        <v>12942</v>
      </c>
      <c r="D3616" s="988" t="s">
        <v>2667</v>
      </c>
      <c r="E3616" s="989">
        <v>26.32</v>
      </c>
      <c r="F3616" s="990"/>
      <c r="G3616" s="990"/>
      <c r="H3616" s="990"/>
      <c r="I3616" s="990"/>
      <c r="J3616" s="990"/>
      <c r="K3616" s="990"/>
      <c r="L3616" s="990"/>
      <c r="M3616" s="990"/>
      <c r="N3616" s="990"/>
      <c r="O3616" s="990"/>
      <c r="P3616" s="990"/>
      <c r="Q3616" s="990"/>
      <c r="R3616" s="990"/>
      <c r="S3616" s="990"/>
      <c r="T3616" s="990"/>
      <c r="U3616" s="990"/>
      <c r="V3616" s="990"/>
      <c r="W3616" s="990"/>
      <c r="X3616" s="990"/>
    </row>
    <row r="3617" spans="1:24" s="896" customFormat="1" ht="25.5">
      <c r="A3617" s="987">
        <f t="shared" si="57"/>
        <v>3543</v>
      </c>
      <c r="B3617" s="988">
        <v>39412</v>
      </c>
      <c r="C3617" s="899" t="s">
        <v>12943</v>
      </c>
      <c r="D3617" s="988" t="s">
        <v>2667</v>
      </c>
      <c r="E3617" s="989">
        <v>18.05</v>
      </c>
      <c r="F3617" s="990"/>
      <c r="G3617" s="990"/>
      <c r="H3617" s="990"/>
      <c r="I3617" s="990"/>
      <c r="J3617" s="990"/>
      <c r="K3617" s="990"/>
      <c r="L3617" s="990"/>
      <c r="M3617" s="990"/>
      <c r="N3617" s="990"/>
      <c r="O3617" s="990"/>
      <c r="P3617" s="990"/>
      <c r="Q3617" s="990"/>
      <c r="R3617" s="990"/>
      <c r="S3617" s="990"/>
      <c r="T3617" s="990"/>
      <c r="U3617" s="990"/>
      <c r="V3617" s="990"/>
      <c r="W3617" s="990"/>
      <c r="X3617" s="990"/>
    </row>
    <row r="3618" spans="1:24" s="896" customFormat="1" ht="25.5">
      <c r="A3618" s="987">
        <f t="shared" si="57"/>
        <v>3544</v>
      </c>
      <c r="B3618" s="988">
        <v>39413</v>
      </c>
      <c r="C3618" s="899" t="s">
        <v>12944</v>
      </c>
      <c r="D3618" s="988" t="s">
        <v>2667</v>
      </c>
      <c r="E3618" s="989">
        <v>19.52</v>
      </c>
      <c r="F3618" s="990"/>
      <c r="G3618" s="990"/>
      <c r="H3618" s="990"/>
      <c r="I3618" s="990"/>
      <c r="J3618" s="990"/>
      <c r="K3618" s="990"/>
      <c r="L3618" s="990"/>
      <c r="M3618" s="990"/>
      <c r="N3618" s="990"/>
      <c r="O3618" s="990"/>
      <c r="P3618" s="990"/>
      <c r="Q3618" s="990"/>
      <c r="R3618" s="990"/>
      <c r="S3618" s="990"/>
      <c r="T3618" s="990"/>
      <c r="U3618" s="990"/>
      <c r="V3618" s="990"/>
      <c r="W3618" s="990"/>
      <c r="X3618" s="990"/>
    </row>
    <row r="3619" spans="1:24" s="896" customFormat="1" ht="25.5">
      <c r="A3619" s="987">
        <f t="shared" si="57"/>
        <v>3545</v>
      </c>
      <c r="B3619" s="988">
        <v>43741</v>
      </c>
      <c r="C3619" s="899" t="s">
        <v>12945</v>
      </c>
      <c r="D3619" s="988" t="s">
        <v>2667</v>
      </c>
      <c r="E3619" s="989">
        <v>20.81</v>
      </c>
      <c r="F3619" s="990"/>
      <c r="G3619" s="990"/>
      <c r="H3619" s="990"/>
      <c r="I3619" s="990"/>
      <c r="J3619" s="990"/>
      <c r="K3619" s="990"/>
      <c r="L3619" s="990"/>
      <c r="M3619" s="990"/>
      <c r="N3619" s="990"/>
      <c r="O3619" s="990"/>
      <c r="P3619" s="990"/>
      <c r="Q3619" s="990"/>
      <c r="R3619" s="990"/>
      <c r="S3619" s="990"/>
      <c r="T3619" s="990"/>
      <c r="U3619" s="990"/>
      <c r="V3619" s="990"/>
      <c r="W3619" s="990"/>
      <c r="X3619" s="990"/>
    </row>
    <row r="3620" spans="1:24" s="896" customFormat="1">
      <c r="A3620" s="987">
        <f t="shared" si="57"/>
        <v>3546</v>
      </c>
      <c r="B3620" s="988">
        <v>11062</v>
      </c>
      <c r="C3620" s="899" t="s">
        <v>12946</v>
      </c>
      <c r="D3620" s="988" t="s">
        <v>2667</v>
      </c>
      <c r="E3620" s="989">
        <v>51.61</v>
      </c>
      <c r="F3620" s="990"/>
      <c r="G3620" s="990"/>
      <c r="H3620" s="990"/>
      <c r="I3620" s="990"/>
      <c r="J3620" s="990"/>
      <c r="K3620" s="990"/>
      <c r="L3620" s="990"/>
      <c r="M3620" s="990"/>
      <c r="N3620" s="990"/>
      <c r="O3620" s="990"/>
      <c r="P3620" s="990"/>
      <c r="Q3620" s="990"/>
      <c r="R3620" s="990"/>
      <c r="S3620" s="990"/>
      <c r="T3620" s="990"/>
      <c r="U3620" s="990"/>
      <c r="V3620" s="990"/>
      <c r="W3620" s="990"/>
      <c r="X3620" s="990"/>
    </row>
    <row r="3621" spans="1:24" s="896" customFormat="1">
      <c r="A3621" s="987">
        <f t="shared" si="57"/>
        <v>3547</v>
      </c>
      <c r="B3621" s="988">
        <v>11063</v>
      </c>
      <c r="C3621" s="899" t="s">
        <v>12947</v>
      </c>
      <c r="D3621" s="988" t="s">
        <v>2667</v>
      </c>
      <c r="E3621" s="989">
        <v>31.59</v>
      </c>
      <c r="F3621" s="990"/>
      <c r="G3621" s="990"/>
      <c r="H3621" s="990"/>
      <c r="I3621" s="990"/>
      <c r="J3621" s="990"/>
      <c r="K3621" s="990"/>
      <c r="L3621" s="990"/>
      <c r="M3621" s="990"/>
      <c r="N3621" s="990"/>
      <c r="O3621" s="990"/>
      <c r="P3621" s="990"/>
      <c r="Q3621" s="990"/>
      <c r="R3621" s="990"/>
      <c r="S3621" s="990"/>
      <c r="T3621" s="990"/>
      <c r="U3621" s="990"/>
      <c r="V3621" s="990"/>
      <c r="W3621" s="990"/>
      <c r="X3621" s="990"/>
    </row>
    <row r="3622" spans="1:24" s="896" customFormat="1">
      <c r="A3622" s="987">
        <f t="shared" si="57"/>
        <v>3548</v>
      </c>
      <c r="B3622" s="988">
        <v>13521</v>
      </c>
      <c r="C3622" s="899" t="s">
        <v>12948</v>
      </c>
      <c r="D3622" s="988" t="s">
        <v>2666</v>
      </c>
      <c r="E3622" s="989">
        <v>146.85</v>
      </c>
      <c r="F3622" s="990"/>
      <c r="G3622" s="990"/>
      <c r="H3622" s="990"/>
      <c r="I3622" s="990"/>
      <c r="J3622" s="990"/>
      <c r="K3622" s="990"/>
      <c r="L3622" s="990"/>
      <c r="M3622" s="990"/>
      <c r="N3622" s="990"/>
      <c r="O3622" s="990"/>
      <c r="P3622" s="990"/>
      <c r="Q3622" s="990"/>
      <c r="R3622" s="990"/>
      <c r="S3622" s="990"/>
      <c r="T3622" s="990"/>
      <c r="U3622" s="990"/>
      <c r="V3622" s="990"/>
      <c r="W3622" s="990"/>
      <c r="X3622" s="990"/>
    </row>
    <row r="3623" spans="1:24" s="896" customFormat="1" ht="25.5">
      <c r="A3623" s="987">
        <f t="shared" si="57"/>
        <v>3549</v>
      </c>
      <c r="B3623" s="988">
        <v>10851</v>
      </c>
      <c r="C3623" s="899" t="s">
        <v>12949</v>
      </c>
      <c r="D3623" s="988" t="s">
        <v>2666</v>
      </c>
      <c r="E3623" s="989">
        <v>82.49</v>
      </c>
      <c r="F3623" s="990"/>
      <c r="G3623" s="990"/>
      <c r="H3623" s="990"/>
      <c r="I3623" s="990"/>
      <c r="J3623" s="990"/>
      <c r="K3623" s="990"/>
      <c r="L3623" s="990"/>
      <c r="M3623" s="990"/>
      <c r="N3623" s="990"/>
      <c r="O3623" s="990"/>
      <c r="P3623" s="990"/>
      <c r="Q3623" s="990"/>
      <c r="R3623" s="990"/>
      <c r="S3623" s="990"/>
      <c r="T3623" s="990"/>
      <c r="U3623" s="990"/>
      <c r="V3623" s="990"/>
      <c r="W3623" s="990"/>
      <c r="X3623" s="990"/>
    </row>
    <row r="3624" spans="1:24" s="896" customFormat="1" ht="25.5">
      <c r="A3624" s="987">
        <f t="shared" si="57"/>
        <v>3550</v>
      </c>
      <c r="B3624" s="988">
        <v>39515</v>
      </c>
      <c r="C3624" s="899" t="s">
        <v>12950</v>
      </c>
      <c r="D3624" s="988" t="s">
        <v>2666</v>
      </c>
      <c r="E3624" s="989">
        <v>38.130000000000003</v>
      </c>
      <c r="F3624" s="990"/>
      <c r="G3624" s="990"/>
      <c r="H3624" s="990"/>
      <c r="I3624" s="990"/>
      <c r="J3624" s="990"/>
      <c r="K3624" s="990"/>
      <c r="L3624" s="990"/>
      <c r="M3624" s="990"/>
      <c r="N3624" s="990"/>
      <c r="O3624" s="990"/>
      <c r="P3624" s="990"/>
      <c r="Q3624" s="990"/>
      <c r="R3624" s="990"/>
      <c r="S3624" s="990"/>
      <c r="T3624" s="990"/>
      <c r="U3624" s="990"/>
      <c r="V3624" s="990"/>
      <c r="W3624" s="990"/>
      <c r="X3624" s="990"/>
    </row>
    <row r="3625" spans="1:24" s="896" customFormat="1" ht="25.5">
      <c r="A3625" s="987">
        <f t="shared" si="57"/>
        <v>3551</v>
      </c>
      <c r="B3625" s="988">
        <v>39516</v>
      </c>
      <c r="C3625" s="899" t="s">
        <v>12951</v>
      </c>
      <c r="D3625" s="988" t="s">
        <v>2666</v>
      </c>
      <c r="E3625" s="989">
        <v>32.14</v>
      </c>
      <c r="F3625" s="990"/>
      <c r="G3625" s="990"/>
      <c r="H3625" s="990"/>
      <c r="I3625" s="990"/>
      <c r="J3625" s="990"/>
      <c r="K3625" s="990"/>
      <c r="L3625" s="990"/>
      <c r="M3625" s="990"/>
      <c r="N3625" s="990"/>
      <c r="O3625" s="990"/>
      <c r="P3625" s="990"/>
      <c r="Q3625" s="990"/>
      <c r="R3625" s="990"/>
      <c r="S3625" s="990"/>
      <c r="T3625" s="990"/>
      <c r="U3625" s="990"/>
      <c r="V3625" s="990"/>
      <c r="W3625" s="990"/>
      <c r="X3625" s="990"/>
    </row>
    <row r="3626" spans="1:24" s="896" customFormat="1" ht="25.5">
      <c r="A3626" s="987">
        <f t="shared" si="57"/>
        <v>3552</v>
      </c>
      <c r="B3626" s="988">
        <v>39514</v>
      </c>
      <c r="C3626" s="899" t="s">
        <v>12952</v>
      </c>
      <c r="D3626" s="988" t="s">
        <v>2666</v>
      </c>
      <c r="E3626" s="989">
        <v>20</v>
      </c>
      <c r="F3626" s="990"/>
      <c r="G3626" s="990"/>
      <c r="H3626" s="990"/>
      <c r="I3626" s="990"/>
      <c r="J3626" s="990"/>
      <c r="K3626" s="990"/>
      <c r="L3626" s="990"/>
      <c r="M3626" s="990"/>
      <c r="N3626" s="990"/>
      <c r="O3626" s="990"/>
      <c r="P3626" s="990"/>
      <c r="Q3626" s="990"/>
      <c r="R3626" s="990"/>
      <c r="S3626" s="990"/>
      <c r="T3626" s="990"/>
      <c r="U3626" s="990"/>
      <c r="V3626" s="990"/>
      <c r="W3626" s="990"/>
      <c r="X3626" s="990"/>
    </row>
    <row r="3627" spans="1:24" s="896" customFormat="1">
      <c r="A3627" s="987">
        <f t="shared" si="57"/>
        <v>3553</v>
      </c>
      <c r="B3627" s="988">
        <v>4812</v>
      </c>
      <c r="C3627" s="899" t="s">
        <v>12953</v>
      </c>
      <c r="D3627" s="988" t="s">
        <v>2667</v>
      </c>
      <c r="E3627" s="989">
        <v>10.83</v>
      </c>
      <c r="F3627" s="990"/>
      <c r="G3627" s="990"/>
      <c r="H3627" s="990"/>
      <c r="I3627" s="990"/>
      <c r="J3627" s="990"/>
      <c r="K3627" s="990"/>
      <c r="L3627" s="990"/>
      <c r="M3627" s="990"/>
      <c r="N3627" s="990"/>
      <c r="O3627" s="990"/>
      <c r="P3627" s="990"/>
      <c r="Q3627" s="990"/>
      <c r="R3627" s="990"/>
      <c r="S3627" s="990"/>
      <c r="T3627" s="990"/>
      <c r="U3627" s="990"/>
      <c r="V3627" s="990"/>
      <c r="W3627" s="990"/>
      <c r="X3627" s="990"/>
    </row>
    <row r="3628" spans="1:24" s="896" customFormat="1">
      <c r="A3628" s="987">
        <f t="shared" si="57"/>
        <v>3554</v>
      </c>
      <c r="B3628" s="988">
        <v>10849</v>
      </c>
      <c r="C3628" s="899" t="s">
        <v>12954</v>
      </c>
      <c r="D3628" s="988" t="s">
        <v>2666</v>
      </c>
      <c r="E3628" s="989">
        <v>2136.02</v>
      </c>
      <c r="F3628" s="990"/>
      <c r="G3628" s="990"/>
      <c r="H3628" s="990"/>
      <c r="I3628" s="990"/>
      <c r="J3628" s="990"/>
      <c r="K3628" s="990"/>
      <c r="L3628" s="990"/>
      <c r="M3628" s="990"/>
      <c r="N3628" s="990"/>
      <c r="O3628" s="990"/>
      <c r="P3628" s="990"/>
      <c r="Q3628" s="990"/>
      <c r="R3628" s="990"/>
      <c r="S3628" s="990"/>
      <c r="T3628" s="990"/>
      <c r="U3628" s="990"/>
      <c r="V3628" s="990"/>
      <c r="W3628" s="990"/>
      <c r="X3628" s="990"/>
    </row>
    <row r="3629" spans="1:24" s="896" customFormat="1">
      <c r="A3629" s="987">
        <f t="shared" si="57"/>
        <v>3555</v>
      </c>
      <c r="B3629" s="988">
        <v>10848</v>
      </c>
      <c r="C3629" s="899" t="s">
        <v>12955</v>
      </c>
      <c r="D3629" s="988" t="s">
        <v>2666</v>
      </c>
      <c r="E3629" s="989">
        <v>1341.68</v>
      </c>
      <c r="F3629" s="990"/>
      <c r="G3629" s="990"/>
      <c r="H3629" s="990"/>
      <c r="I3629" s="990"/>
      <c r="J3629" s="990"/>
      <c r="K3629" s="990"/>
      <c r="L3629" s="990"/>
      <c r="M3629" s="990"/>
      <c r="N3629" s="990"/>
      <c r="O3629" s="990"/>
      <c r="P3629" s="990"/>
      <c r="Q3629" s="990"/>
      <c r="R3629" s="990"/>
      <c r="S3629" s="990"/>
      <c r="T3629" s="990"/>
      <c r="U3629" s="990"/>
      <c r="V3629" s="990"/>
      <c r="W3629" s="990"/>
      <c r="X3629" s="990"/>
    </row>
    <row r="3630" spans="1:24" s="896" customFormat="1" ht="25.5">
      <c r="A3630" s="987">
        <f t="shared" si="57"/>
        <v>3556</v>
      </c>
      <c r="B3630" s="988">
        <v>4813</v>
      </c>
      <c r="C3630" s="899" t="s">
        <v>12956</v>
      </c>
      <c r="D3630" s="988" t="s">
        <v>2667</v>
      </c>
      <c r="E3630" s="989">
        <v>445</v>
      </c>
      <c r="F3630" s="990"/>
      <c r="G3630" s="990"/>
      <c r="H3630" s="990"/>
      <c r="I3630" s="990"/>
      <c r="J3630" s="990"/>
      <c r="K3630" s="990"/>
      <c r="L3630" s="990"/>
      <c r="M3630" s="990"/>
      <c r="N3630" s="990"/>
      <c r="O3630" s="990"/>
      <c r="P3630" s="990"/>
      <c r="Q3630" s="990"/>
      <c r="R3630" s="990"/>
      <c r="S3630" s="990"/>
      <c r="T3630" s="990"/>
      <c r="U3630" s="990"/>
      <c r="V3630" s="990"/>
      <c r="W3630" s="990"/>
      <c r="X3630" s="990"/>
    </row>
    <row r="3631" spans="1:24" s="896" customFormat="1" ht="38.25">
      <c r="A3631" s="987">
        <f t="shared" si="57"/>
        <v>3557</v>
      </c>
      <c r="B3631" s="988">
        <v>37560</v>
      </c>
      <c r="C3631" s="899" t="s">
        <v>12957</v>
      </c>
      <c r="D3631" s="988" t="s">
        <v>2666</v>
      </c>
      <c r="E3631" s="989">
        <v>21.65</v>
      </c>
      <c r="F3631" s="990"/>
      <c r="G3631" s="990"/>
      <c r="H3631" s="990"/>
      <c r="I3631" s="990"/>
      <c r="J3631" s="990"/>
      <c r="K3631" s="990"/>
      <c r="L3631" s="990"/>
      <c r="M3631" s="990"/>
      <c r="N3631" s="990"/>
      <c r="O3631" s="990"/>
      <c r="P3631" s="990"/>
      <c r="Q3631" s="990"/>
      <c r="R3631" s="990"/>
      <c r="S3631" s="990"/>
      <c r="T3631" s="990"/>
      <c r="U3631" s="990"/>
      <c r="V3631" s="990"/>
      <c r="W3631" s="990"/>
      <c r="X3631" s="990"/>
    </row>
    <row r="3632" spans="1:24" s="896" customFormat="1" ht="38.25">
      <c r="A3632" s="987">
        <f t="shared" si="57"/>
        <v>3558</v>
      </c>
      <c r="B3632" s="988">
        <v>37557</v>
      </c>
      <c r="C3632" s="899" t="s">
        <v>12958</v>
      </c>
      <c r="D3632" s="988" t="s">
        <v>2666</v>
      </c>
      <c r="E3632" s="989">
        <v>6.57</v>
      </c>
      <c r="F3632" s="990"/>
      <c r="G3632" s="990"/>
      <c r="H3632" s="990"/>
      <c r="I3632" s="990"/>
      <c r="J3632" s="990"/>
      <c r="K3632" s="990"/>
      <c r="L3632" s="990"/>
      <c r="M3632" s="990"/>
      <c r="N3632" s="990"/>
      <c r="O3632" s="990"/>
      <c r="P3632" s="990"/>
      <c r="Q3632" s="990"/>
      <c r="R3632" s="990"/>
      <c r="S3632" s="990"/>
      <c r="T3632" s="990"/>
      <c r="U3632" s="990"/>
      <c r="V3632" s="990"/>
      <c r="W3632" s="990"/>
      <c r="X3632" s="990"/>
    </row>
    <row r="3633" spans="1:24" s="896" customFormat="1" ht="38.25">
      <c r="A3633" s="987">
        <f t="shared" si="57"/>
        <v>3559</v>
      </c>
      <c r="B3633" s="988">
        <v>37556</v>
      </c>
      <c r="C3633" s="899" t="s">
        <v>12959</v>
      </c>
      <c r="D3633" s="988" t="s">
        <v>2666</v>
      </c>
      <c r="E3633" s="989">
        <v>12.72</v>
      </c>
      <c r="F3633" s="990"/>
      <c r="G3633" s="990"/>
      <c r="H3633" s="990"/>
      <c r="I3633" s="990"/>
      <c r="J3633" s="990"/>
      <c r="K3633" s="990"/>
      <c r="L3633" s="990"/>
      <c r="M3633" s="990"/>
      <c r="N3633" s="990"/>
      <c r="O3633" s="990"/>
      <c r="P3633" s="990"/>
      <c r="Q3633" s="990"/>
      <c r="R3633" s="990"/>
      <c r="S3633" s="990"/>
      <c r="T3633" s="990"/>
      <c r="U3633" s="990"/>
      <c r="V3633" s="990"/>
      <c r="W3633" s="990"/>
      <c r="X3633" s="990"/>
    </row>
    <row r="3634" spans="1:24" s="896" customFormat="1" ht="38.25">
      <c r="A3634" s="987">
        <f t="shared" si="57"/>
        <v>3560</v>
      </c>
      <c r="B3634" s="988">
        <v>37559</v>
      </c>
      <c r="C3634" s="899" t="s">
        <v>12960</v>
      </c>
      <c r="D3634" s="988" t="s">
        <v>2666</v>
      </c>
      <c r="E3634" s="989">
        <v>15.6</v>
      </c>
      <c r="F3634" s="990"/>
      <c r="G3634" s="990"/>
      <c r="H3634" s="990"/>
      <c r="I3634" s="990"/>
      <c r="J3634" s="990"/>
      <c r="K3634" s="990"/>
      <c r="L3634" s="990"/>
      <c r="M3634" s="990"/>
      <c r="N3634" s="990"/>
      <c r="O3634" s="990"/>
      <c r="P3634" s="990"/>
      <c r="Q3634" s="990"/>
      <c r="R3634" s="990"/>
      <c r="S3634" s="990"/>
      <c r="T3634" s="990"/>
      <c r="U3634" s="990"/>
      <c r="V3634" s="990"/>
      <c r="W3634" s="990"/>
      <c r="X3634" s="990"/>
    </row>
    <row r="3635" spans="1:24" s="896" customFormat="1" ht="38.25">
      <c r="A3635" s="987">
        <f t="shared" si="57"/>
        <v>3561</v>
      </c>
      <c r="B3635" s="988">
        <v>37539</v>
      </c>
      <c r="C3635" s="899" t="s">
        <v>12961</v>
      </c>
      <c r="D3635" s="988" t="s">
        <v>2666</v>
      </c>
      <c r="E3635" s="989">
        <v>11</v>
      </c>
      <c r="F3635" s="990"/>
      <c r="G3635" s="990"/>
      <c r="H3635" s="990"/>
      <c r="I3635" s="990"/>
      <c r="J3635" s="990"/>
      <c r="K3635" s="990"/>
      <c r="L3635" s="990"/>
      <c r="M3635" s="990"/>
      <c r="N3635" s="990"/>
      <c r="O3635" s="990"/>
      <c r="P3635" s="990"/>
      <c r="Q3635" s="990"/>
      <c r="R3635" s="990"/>
      <c r="S3635" s="990"/>
      <c r="T3635" s="990"/>
      <c r="U3635" s="990"/>
      <c r="V3635" s="990"/>
      <c r="W3635" s="990"/>
      <c r="X3635" s="990"/>
    </row>
    <row r="3636" spans="1:24" s="896" customFormat="1" ht="38.25">
      <c r="A3636" s="987">
        <f t="shared" si="57"/>
        <v>3562</v>
      </c>
      <c r="B3636" s="988">
        <v>37558</v>
      </c>
      <c r="C3636" s="899" t="s">
        <v>12962</v>
      </c>
      <c r="D3636" s="988" t="s">
        <v>2666</v>
      </c>
      <c r="E3636" s="989">
        <v>20.51</v>
      </c>
      <c r="F3636" s="990"/>
      <c r="G3636" s="990"/>
      <c r="H3636" s="990"/>
      <c r="I3636" s="990"/>
      <c r="J3636" s="990"/>
      <c r="K3636" s="990"/>
      <c r="L3636" s="990"/>
      <c r="M3636" s="990"/>
      <c r="N3636" s="990"/>
      <c r="O3636" s="990"/>
      <c r="P3636" s="990"/>
      <c r="Q3636" s="990"/>
      <c r="R3636" s="990"/>
      <c r="S3636" s="990"/>
      <c r="T3636" s="990"/>
      <c r="U3636" s="990"/>
      <c r="V3636" s="990"/>
      <c r="W3636" s="990"/>
      <c r="X3636" s="990"/>
    </row>
    <row r="3637" spans="1:24" s="896" customFormat="1">
      <c r="A3637" s="987">
        <f t="shared" si="57"/>
        <v>3563</v>
      </c>
      <c r="B3637" s="988">
        <v>34723</v>
      </c>
      <c r="C3637" s="899" t="s">
        <v>12963</v>
      </c>
      <c r="D3637" s="988" t="s">
        <v>2667</v>
      </c>
      <c r="E3637" s="989">
        <v>1027.96</v>
      </c>
      <c r="F3637" s="990"/>
      <c r="G3637" s="990"/>
      <c r="H3637" s="990"/>
      <c r="I3637" s="990"/>
      <c r="J3637" s="990"/>
      <c r="K3637" s="990"/>
      <c r="L3637" s="990"/>
      <c r="M3637" s="990"/>
      <c r="N3637" s="990"/>
      <c r="O3637" s="990"/>
      <c r="P3637" s="990"/>
      <c r="Q3637" s="990"/>
      <c r="R3637" s="990"/>
      <c r="S3637" s="990"/>
      <c r="T3637" s="990"/>
      <c r="U3637" s="990"/>
      <c r="V3637" s="990"/>
      <c r="W3637" s="990"/>
      <c r="X3637" s="990"/>
    </row>
    <row r="3638" spans="1:24" s="896" customFormat="1">
      <c r="A3638" s="987">
        <f t="shared" si="57"/>
        <v>3564</v>
      </c>
      <c r="B3638" s="988">
        <v>34721</v>
      </c>
      <c r="C3638" s="899" t="s">
        <v>12964</v>
      </c>
      <c r="D3638" s="988" t="s">
        <v>2667</v>
      </c>
      <c r="E3638" s="989">
        <v>1281.6099999999999</v>
      </c>
      <c r="F3638" s="990"/>
      <c r="G3638" s="990"/>
      <c r="H3638" s="990"/>
      <c r="I3638" s="990"/>
      <c r="J3638" s="990"/>
      <c r="K3638" s="990"/>
      <c r="L3638" s="990"/>
      <c r="M3638" s="990"/>
      <c r="N3638" s="990"/>
      <c r="O3638" s="990"/>
      <c r="P3638" s="990"/>
      <c r="Q3638" s="990"/>
      <c r="R3638" s="990"/>
      <c r="S3638" s="990"/>
      <c r="T3638" s="990"/>
      <c r="U3638" s="990"/>
      <c r="V3638" s="990"/>
      <c r="W3638" s="990"/>
      <c r="X3638" s="990"/>
    </row>
    <row r="3639" spans="1:24" s="896" customFormat="1">
      <c r="A3639" s="987">
        <f t="shared" si="57"/>
        <v>3565</v>
      </c>
      <c r="B3639" s="988">
        <v>4309</v>
      </c>
      <c r="C3639" s="899" t="s">
        <v>12965</v>
      </c>
      <c r="D3639" s="988" t="s">
        <v>2666</v>
      </c>
      <c r="E3639" s="989">
        <v>5.91</v>
      </c>
      <c r="F3639" s="990"/>
      <c r="G3639" s="990"/>
      <c r="H3639" s="990"/>
      <c r="I3639" s="990"/>
      <c r="J3639" s="990"/>
      <c r="K3639" s="990"/>
      <c r="L3639" s="990"/>
      <c r="M3639" s="990"/>
      <c r="N3639" s="990"/>
      <c r="O3639" s="990"/>
      <c r="P3639" s="990"/>
      <c r="Q3639" s="990"/>
      <c r="R3639" s="990"/>
      <c r="S3639" s="990"/>
      <c r="T3639" s="990"/>
      <c r="U3639" s="990"/>
      <c r="V3639" s="990"/>
      <c r="W3639" s="990"/>
      <c r="X3639" s="990"/>
    </row>
    <row r="3640" spans="1:24" s="896" customFormat="1">
      <c r="A3640" s="987">
        <f t="shared" si="57"/>
        <v>3566</v>
      </c>
      <c r="B3640" s="988">
        <v>4307</v>
      </c>
      <c r="C3640" s="899" t="s">
        <v>12966</v>
      </c>
      <c r="D3640" s="988" t="s">
        <v>2666</v>
      </c>
      <c r="E3640" s="989">
        <v>10.11</v>
      </c>
      <c r="F3640" s="990"/>
      <c r="G3640" s="990"/>
      <c r="H3640" s="990"/>
      <c r="I3640" s="990"/>
      <c r="J3640" s="990"/>
      <c r="K3640" s="990"/>
      <c r="L3640" s="990"/>
      <c r="M3640" s="990"/>
      <c r="N3640" s="990"/>
      <c r="O3640" s="990"/>
      <c r="P3640" s="990"/>
      <c r="Q3640" s="990"/>
      <c r="R3640" s="990"/>
      <c r="S3640" s="990"/>
      <c r="T3640" s="990"/>
      <c r="U3640" s="990"/>
      <c r="V3640" s="990"/>
      <c r="W3640" s="990"/>
      <c r="X3640" s="990"/>
    </row>
    <row r="3641" spans="1:24" s="896" customFormat="1">
      <c r="A3641" s="987">
        <f t="shared" si="57"/>
        <v>3567</v>
      </c>
      <c r="B3641" s="988">
        <v>10850</v>
      </c>
      <c r="C3641" s="899" t="s">
        <v>12967</v>
      </c>
      <c r="D3641" s="988" t="s">
        <v>2666</v>
      </c>
      <c r="E3641" s="989">
        <v>66.75</v>
      </c>
      <c r="F3641" s="990"/>
      <c r="G3641" s="990"/>
      <c r="H3641" s="990"/>
      <c r="I3641" s="990"/>
      <c r="J3641" s="990"/>
      <c r="K3641" s="990"/>
      <c r="L3641" s="990"/>
      <c r="M3641" s="990"/>
      <c r="N3641" s="990"/>
      <c r="O3641" s="990"/>
      <c r="P3641" s="990"/>
      <c r="Q3641" s="990"/>
      <c r="R3641" s="990"/>
      <c r="S3641" s="990"/>
      <c r="T3641" s="990"/>
      <c r="U3641" s="990"/>
      <c r="V3641" s="990"/>
      <c r="W3641" s="990"/>
      <c r="X3641" s="990"/>
    </row>
    <row r="3642" spans="1:24" s="896" customFormat="1" ht="38.25">
      <c r="A3642" s="987">
        <f t="shared" si="57"/>
        <v>3568</v>
      </c>
      <c r="B3642" s="988">
        <v>42438</v>
      </c>
      <c r="C3642" s="899" t="s">
        <v>12968</v>
      </c>
      <c r="D3642" s="988" t="s">
        <v>2666</v>
      </c>
      <c r="E3642" s="989">
        <v>2072.34</v>
      </c>
      <c r="F3642" s="990"/>
      <c r="G3642" s="990"/>
      <c r="H3642" s="990"/>
      <c r="I3642" s="990"/>
      <c r="J3642" s="990"/>
      <c r="K3642" s="990"/>
      <c r="L3642" s="990"/>
      <c r="M3642" s="990"/>
      <c r="N3642" s="990"/>
      <c r="O3642" s="990"/>
      <c r="P3642" s="990"/>
      <c r="Q3642" s="990"/>
      <c r="R3642" s="990"/>
      <c r="S3642" s="990"/>
      <c r="T3642" s="990"/>
      <c r="U3642" s="990"/>
      <c r="V3642" s="990"/>
      <c r="W3642" s="990"/>
      <c r="X3642" s="990"/>
    </row>
    <row r="3643" spans="1:24" s="896" customFormat="1">
      <c r="A3643" s="987">
        <f t="shared" si="57"/>
        <v>3569</v>
      </c>
      <c r="B3643" s="988">
        <v>4792</v>
      </c>
      <c r="C3643" s="899" t="s">
        <v>12969</v>
      </c>
      <c r="D3643" s="988" t="s">
        <v>2667</v>
      </c>
      <c r="E3643" s="989">
        <v>192.93</v>
      </c>
      <c r="F3643" s="990"/>
      <c r="G3643" s="990"/>
      <c r="H3643" s="990"/>
      <c r="I3643" s="990"/>
      <c r="J3643" s="990"/>
      <c r="K3643" s="990"/>
      <c r="L3643" s="990"/>
      <c r="M3643" s="990"/>
      <c r="N3643" s="990"/>
      <c r="O3643" s="990"/>
      <c r="P3643" s="990"/>
      <c r="Q3643" s="990"/>
      <c r="R3643" s="990"/>
      <c r="S3643" s="990"/>
      <c r="T3643" s="990"/>
      <c r="U3643" s="990"/>
      <c r="V3643" s="990"/>
      <c r="W3643" s="990"/>
      <c r="X3643" s="990"/>
    </row>
    <row r="3644" spans="1:24" s="896" customFormat="1" ht="25.5">
      <c r="A3644" s="987">
        <f t="shared" si="57"/>
        <v>3570</v>
      </c>
      <c r="B3644" s="988">
        <v>4790</v>
      </c>
      <c r="C3644" s="899" t="s">
        <v>12970</v>
      </c>
      <c r="D3644" s="988" t="s">
        <v>2667</v>
      </c>
      <c r="E3644" s="989">
        <v>116</v>
      </c>
      <c r="F3644" s="990"/>
      <c r="G3644" s="990"/>
      <c r="H3644" s="990"/>
      <c r="I3644" s="990"/>
      <c r="J3644" s="990"/>
      <c r="K3644" s="990"/>
      <c r="L3644" s="990"/>
      <c r="M3644" s="990"/>
      <c r="N3644" s="990"/>
      <c r="O3644" s="990"/>
      <c r="P3644" s="990"/>
      <c r="Q3644" s="990"/>
      <c r="R3644" s="990"/>
      <c r="S3644" s="990"/>
      <c r="T3644" s="990"/>
      <c r="U3644" s="990"/>
      <c r="V3644" s="990"/>
      <c r="W3644" s="990"/>
      <c r="X3644" s="990"/>
    </row>
    <row r="3645" spans="1:24" s="896" customFormat="1" ht="25.5">
      <c r="A3645" s="987">
        <f t="shared" si="57"/>
        <v>3571</v>
      </c>
      <c r="B3645" s="988">
        <v>40671</v>
      </c>
      <c r="C3645" s="899" t="s">
        <v>12971</v>
      </c>
      <c r="D3645" s="988" t="s">
        <v>2667</v>
      </c>
      <c r="E3645" s="989">
        <v>61.9</v>
      </c>
      <c r="F3645" s="990"/>
      <c r="G3645" s="990"/>
      <c r="H3645" s="990"/>
      <c r="I3645" s="990"/>
      <c r="J3645" s="990"/>
      <c r="K3645" s="990"/>
      <c r="L3645" s="990"/>
      <c r="M3645" s="990"/>
      <c r="N3645" s="990"/>
      <c r="O3645" s="990"/>
      <c r="P3645" s="990"/>
      <c r="Q3645" s="990"/>
      <c r="R3645" s="990"/>
      <c r="S3645" s="990"/>
      <c r="T3645" s="990"/>
      <c r="U3645" s="990"/>
      <c r="V3645" s="990"/>
      <c r="W3645" s="990"/>
      <c r="X3645" s="990"/>
    </row>
    <row r="3646" spans="1:24" s="896" customFormat="1">
      <c r="A3646" s="987">
        <f t="shared" si="57"/>
        <v>3572</v>
      </c>
      <c r="B3646" s="988">
        <v>7552</v>
      </c>
      <c r="C3646" s="899" t="s">
        <v>12972</v>
      </c>
      <c r="D3646" s="988" t="s">
        <v>2666</v>
      </c>
      <c r="E3646" s="989">
        <v>34.75</v>
      </c>
      <c r="F3646" s="990"/>
      <c r="G3646" s="990"/>
      <c r="H3646" s="990"/>
      <c r="I3646" s="990"/>
      <c r="J3646" s="990"/>
      <c r="K3646" s="990"/>
      <c r="L3646" s="990"/>
      <c r="M3646" s="990"/>
      <c r="N3646" s="990"/>
      <c r="O3646" s="990"/>
      <c r="P3646" s="990"/>
      <c r="Q3646" s="990"/>
      <c r="R3646" s="990"/>
      <c r="S3646" s="990"/>
      <c r="T3646" s="990"/>
      <c r="U3646" s="990"/>
      <c r="V3646" s="990"/>
      <c r="W3646" s="990"/>
      <c r="X3646" s="990"/>
    </row>
    <row r="3647" spans="1:24" s="896" customFormat="1">
      <c r="A3647" s="987">
        <f t="shared" si="57"/>
        <v>3573</v>
      </c>
      <c r="B3647" s="988">
        <v>4893</v>
      </c>
      <c r="C3647" s="899" t="s">
        <v>12973</v>
      </c>
      <c r="D3647" s="988" t="s">
        <v>2666</v>
      </c>
      <c r="E3647" s="989">
        <v>14.78</v>
      </c>
      <c r="F3647" s="990"/>
      <c r="G3647" s="990"/>
      <c r="H3647" s="990"/>
      <c r="I3647" s="990"/>
      <c r="J3647" s="990"/>
      <c r="K3647" s="990"/>
      <c r="L3647" s="990"/>
      <c r="M3647" s="990"/>
      <c r="N3647" s="990"/>
      <c r="O3647" s="990"/>
      <c r="P3647" s="990"/>
      <c r="Q3647" s="990"/>
      <c r="R3647" s="990"/>
      <c r="S3647" s="990"/>
      <c r="T3647" s="990"/>
      <c r="U3647" s="990"/>
      <c r="V3647" s="990"/>
      <c r="W3647" s="990"/>
      <c r="X3647" s="990"/>
    </row>
    <row r="3648" spans="1:24" s="896" customFormat="1">
      <c r="A3648" s="987">
        <f t="shared" si="57"/>
        <v>3574</v>
      </c>
      <c r="B3648" s="988">
        <v>4894</v>
      </c>
      <c r="C3648" s="899" t="s">
        <v>12974</v>
      </c>
      <c r="D3648" s="988" t="s">
        <v>2666</v>
      </c>
      <c r="E3648" s="989">
        <v>12.68</v>
      </c>
      <c r="F3648" s="990"/>
      <c r="G3648" s="990"/>
      <c r="H3648" s="990"/>
      <c r="I3648" s="990"/>
      <c r="J3648" s="990"/>
      <c r="K3648" s="990"/>
      <c r="L3648" s="990"/>
      <c r="M3648" s="990"/>
      <c r="N3648" s="990"/>
      <c r="O3648" s="990"/>
      <c r="P3648" s="990"/>
      <c r="Q3648" s="990"/>
      <c r="R3648" s="990"/>
      <c r="S3648" s="990"/>
      <c r="T3648" s="990"/>
      <c r="U3648" s="990"/>
      <c r="V3648" s="990"/>
      <c r="W3648" s="990"/>
      <c r="X3648" s="990"/>
    </row>
    <row r="3649" spans="1:24" s="896" customFormat="1">
      <c r="A3649" s="987">
        <f t="shared" si="57"/>
        <v>3575</v>
      </c>
      <c r="B3649" s="988">
        <v>4888</v>
      </c>
      <c r="C3649" s="899" t="s">
        <v>12975</v>
      </c>
      <c r="D3649" s="988" t="s">
        <v>2666</v>
      </c>
      <c r="E3649" s="989">
        <v>4.32</v>
      </c>
      <c r="F3649" s="990"/>
      <c r="G3649" s="990"/>
      <c r="H3649" s="990"/>
      <c r="I3649" s="990"/>
      <c r="J3649" s="990"/>
      <c r="K3649" s="990"/>
      <c r="L3649" s="990"/>
      <c r="M3649" s="990"/>
      <c r="N3649" s="990"/>
      <c r="O3649" s="990"/>
      <c r="P3649" s="990"/>
      <c r="Q3649" s="990"/>
      <c r="R3649" s="990"/>
      <c r="S3649" s="990"/>
      <c r="T3649" s="990"/>
      <c r="U3649" s="990"/>
      <c r="V3649" s="990"/>
      <c r="W3649" s="990"/>
      <c r="X3649" s="990"/>
    </row>
    <row r="3650" spans="1:24" s="896" customFormat="1">
      <c r="A3650" s="987">
        <f t="shared" si="57"/>
        <v>3576</v>
      </c>
      <c r="B3650" s="988">
        <v>4890</v>
      </c>
      <c r="C3650" s="899" t="s">
        <v>12976</v>
      </c>
      <c r="D3650" s="988" t="s">
        <v>2666</v>
      </c>
      <c r="E3650" s="989">
        <v>8.11</v>
      </c>
      <c r="F3650" s="990"/>
      <c r="G3650" s="990"/>
      <c r="H3650" s="990"/>
      <c r="I3650" s="990"/>
      <c r="J3650" s="990"/>
      <c r="K3650" s="990"/>
      <c r="L3650" s="990"/>
      <c r="M3650" s="990"/>
      <c r="N3650" s="990"/>
      <c r="O3650" s="990"/>
      <c r="P3650" s="990"/>
      <c r="Q3650" s="990"/>
      <c r="R3650" s="990"/>
      <c r="S3650" s="990"/>
      <c r="T3650" s="990"/>
      <c r="U3650" s="990"/>
      <c r="V3650" s="990"/>
      <c r="W3650" s="990"/>
      <c r="X3650" s="990"/>
    </row>
    <row r="3651" spans="1:24" s="896" customFormat="1">
      <c r="A3651" s="987">
        <f t="shared" si="57"/>
        <v>3577</v>
      </c>
      <c r="B3651" s="988">
        <v>12411</v>
      </c>
      <c r="C3651" s="899" t="s">
        <v>12977</v>
      </c>
      <c r="D3651" s="988" t="s">
        <v>2666</v>
      </c>
      <c r="E3651" s="989">
        <v>43.71</v>
      </c>
      <c r="F3651" s="990"/>
      <c r="G3651" s="990"/>
      <c r="H3651" s="990"/>
      <c r="I3651" s="990"/>
      <c r="J3651" s="990"/>
      <c r="K3651" s="990"/>
      <c r="L3651" s="990"/>
      <c r="M3651" s="990"/>
      <c r="N3651" s="990"/>
      <c r="O3651" s="990"/>
      <c r="P3651" s="990"/>
      <c r="Q3651" s="990"/>
      <c r="R3651" s="990"/>
      <c r="S3651" s="990"/>
      <c r="T3651" s="990"/>
      <c r="U3651" s="990"/>
      <c r="V3651" s="990"/>
      <c r="W3651" s="990"/>
      <c r="X3651" s="990"/>
    </row>
    <row r="3652" spans="1:24" s="896" customFormat="1">
      <c r="A3652" s="987">
        <f t="shared" si="57"/>
        <v>3578</v>
      </c>
      <c r="B3652" s="988">
        <v>4891</v>
      </c>
      <c r="C3652" s="899" t="s">
        <v>12978</v>
      </c>
      <c r="D3652" s="988" t="s">
        <v>2666</v>
      </c>
      <c r="E3652" s="989">
        <v>21.85</v>
      </c>
      <c r="F3652" s="990"/>
      <c r="G3652" s="990"/>
      <c r="H3652" s="990"/>
      <c r="I3652" s="990"/>
      <c r="J3652" s="990"/>
      <c r="K3652" s="990"/>
      <c r="L3652" s="990"/>
      <c r="M3652" s="990"/>
      <c r="N3652" s="990"/>
      <c r="O3652" s="990"/>
      <c r="P3652" s="990"/>
      <c r="Q3652" s="990"/>
      <c r="R3652" s="990"/>
      <c r="S3652" s="990"/>
      <c r="T3652" s="990"/>
      <c r="U3652" s="990"/>
      <c r="V3652" s="990"/>
      <c r="W3652" s="990"/>
      <c r="X3652" s="990"/>
    </row>
    <row r="3653" spans="1:24" s="896" customFormat="1">
      <c r="A3653" s="987">
        <f t="shared" si="57"/>
        <v>3579</v>
      </c>
      <c r="B3653" s="988">
        <v>4889</v>
      </c>
      <c r="C3653" s="899" t="s">
        <v>12979</v>
      </c>
      <c r="D3653" s="988" t="s">
        <v>2666</v>
      </c>
      <c r="E3653" s="989">
        <v>5.84</v>
      </c>
      <c r="F3653" s="990"/>
      <c r="G3653" s="990"/>
      <c r="H3653" s="990"/>
      <c r="I3653" s="990"/>
      <c r="J3653" s="990"/>
      <c r="K3653" s="990"/>
      <c r="L3653" s="990"/>
      <c r="M3653" s="990"/>
      <c r="N3653" s="990"/>
      <c r="O3653" s="990"/>
      <c r="P3653" s="990"/>
      <c r="Q3653" s="990"/>
      <c r="R3653" s="990"/>
      <c r="S3653" s="990"/>
      <c r="T3653" s="990"/>
      <c r="U3653" s="990"/>
      <c r="V3653" s="990"/>
      <c r="W3653" s="990"/>
      <c r="X3653" s="990"/>
    </row>
    <row r="3654" spans="1:24" s="896" customFormat="1">
      <c r="A3654" s="987">
        <f t="shared" si="57"/>
        <v>3580</v>
      </c>
      <c r="B3654" s="988">
        <v>4892</v>
      </c>
      <c r="C3654" s="899" t="s">
        <v>12980</v>
      </c>
      <c r="D3654" s="988" t="s">
        <v>2666</v>
      </c>
      <c r="E3654" s="989">
        <v>61.2</v>
      </c>
      <c r="F3654" s="990"/>
      <c r="G3654" s="990"/>
      <c r="H3654" s="990"/>
      <c r="I3654" s="990"/>
      <c r="J3654" s="990"/>
      <c r="K3654" s="990"/>
      <c r="L3654" s="990"/>
      <c r="M3654" s="990"/>
      <c r="N3654" s="990"/>
      <c r="O3654" s="990"/>
      <c r="P3654" s="990"/>
      <c r="Q3654" s="990"/>
      <c r="R3654" s="990"/>
      <c r="S3654" s="990"/>
      <c r="T3654" s="990"/>
      <c r="U3654" s="990"/>
      <c r="V3654" s="990"/>
      <c r="W3654" s="990"/>
      <c r="X3654" s="990"/>
    </row>
    <row r="3655" spans="1:24" s="896" customFormat="1">
      <c r="A3655" s="987">
        <f t="shared" si="57"/>
        <v>3581</v>
      </c>
      <c r="B3655" s="988">
        <v>12412</v>
      </c>
      <c r="C3655" s="899" t="s">
        <v>12981</v>
      </c>
      <c r="D3655" s="988" t="s">
        <v>2666</v>
      </c>
      <c r="E3655" s="989">
        <v>113.74</v>
      </c>
      <c r="F3655" s="990"/>
      <c r="G3655" s="990"/>
      <c r="H3655" s="990"/>
      <c r="I3655" s="990"/>
      <c r="J3655" s="990"/>
      <c r="K3655" s="990"/>
      <c r="L3655" s="990"/>
      <c r="M3655" s="990"/>
      <c r="N3655" s="990"/>
      <c r="O3655" s="990"/>
      <c r="P3655" s="990"/>
      <c r="Q3655" s="990"/>
      <c r="R3655" s="990"/>
      <c r="S3655" s="990"/>
      <c r="T3655" s="990"/>
      <c r="U3655" s="990"/>
      <c r="V3655" s="990"/>
      <c r="W3655" s="990"/>
      <c r="X3655" s="990"/>
    </row>
    <row r="3656" spans="1:24" s="896" customFormat="1">
      <c r="A3656" s="987">
        <f t="shared" si="57"/>
        <v>3582</v>
      </c>
      <c r="B3656" s="988">
        <v>11073</v>
      </c>
      <c r="C3656" s="899" t="s">
        <v>12982</v>
      </c>
      <c r="D3656" s="988" t="s">
        <v>2666</v>
      </c>
      <c r="E3656" s="989">
        <v>7.39</v>
      </c>
      <c r="F3656" s="990"/>
      <c r="G3656" s="990"/>
      <c r="H3656" s="990"/>
      <c r="I3656" s="990"/>
      <c r="J3656" s="990"/>
      <c r="K3656" s="990"/>
      <c r="L3656" s="990"/>
      <c r="M3656" s="990"/>
      <c r="N3656" s="990"/>
      <c r="O3656" s="990"/>
      <c r="P3656" s="990"/>
      <c r="Q3656" s="990"/>
      <c r="R3656" s="990"/>
      <c r="S3656" s="990"/>
      <c r="T3656" s="990"/>
      <c r="U3656" s="990"/>
      <c r="V3656" s="990"/>
      <c r="W3656" s="990"/>
      <c r="X3656" s="990"/>
    </row>
    <row r="3657" spans="1:24" s="896" customFormat="1">
      <c r="A3657" s="987">
        <f t="shared" si="57"/>
        <v>3583</v>
      </c>
      <c r="B3657" s="988">
        <v>11071</v>
      </c>
      <c r="C3657" s="899" t="s">
        <v>12983</v>
      </c>
      <c r="D3657" s="988" t="s">
        <v>2666</v>
      </c>
      <c r="E3657" s="989">
        <v>11.97</v>
      </c>
      <c r="F3657" s="990"/>
      <c r="G3657" s="990"/>
      <c r="H3657" s="990"/>
      <c r="I3657" s="990"/>
      <c r="J3657" s="990"/>
      <c r="K3657" s="990"/>
      <c r="L3657" s="990"/>
      <c r="M3657" s="990"/>
      <c r="N3657" s="990"/>
      <c r="O3657" s="990"/>
      <c r="P3657" s="990"/>
      <c r="Q3657" s="990"/>
      <c r="R3657" s="990"/>
      <c r="S3657" s="990"/>
      <c r="T3657" s="990"/>
      <c r="U3657" s="990"/>
      <c r="V3657" s="990"/>
      <c r="W3657" s="990"/>
      <c r="X3657" s="990"/>
    </row>
    <row r="3658" spans="1:24" s="896" customFormat="1">
      <c r="A3658" s="987">
        <f t="shared" si="57"/>
        <v>3584</v>
      </c>
      <c r="B3658" s="988">
        <v>11072</v>
      </c>
      <c r="C3658" s="899" t="s">
        <v>12984</v>
      </c>
      <c r="D3658" s="988" t="s">
        <v>2666</v>
      </c>
      <c r="E3658" s="989">
        <v>4.18</v>
      </c>
      <c r="F3658" s="990"/>
      <c r="G3658" s="990"/>
      <c r="H3658" s="990"/>
      <c r="I3658" s="990"/>
      <c r="J3658" s="990"/>
      <c r="K3658" s="990"/>
      <c r="L3658" s="990"/>
      <c r="M3658" s="990"/>
      <c r="N3658" s="990"/>
      <c r="O3658" s="990"/>
      <c r="P3658" s="990"/>
      <c r="Q3658" s="990"/>
      <c r="R3658" s="990"/>
      <c r="S3658" s="990"/>
      <c r="T3658" s="990"/>
      <c r="U3658" s="990"/>
      <c r="V3658" s="990"/>
      <c r="W3658" s="990"/>
      <c r="X3658" s="990"/>
    </row>
    <row r="3659" spans="1:24" s="896" customFormat="1">
      <c r="A3659" s="987">
        <f t="shared" si="57"/>
        <v>3585</v>
      </c>
      <c r="B3659" s="988">
        <v>4895</v>
      </c>
      <c r="C3659" s="899" t="s">
        <v>12985</v>
      </c>
      <c r="D3659" s="988" t="s">
        <v>2666</v>
      </c>
      <c r="E3659" s="989">
        <v>0.7</v>
      </c>
      <c r="F3659" s="990"/>
      <c r="G3659" s="990"/>
      <c r="H3659" s="990"/>
      <c r="I3659" s="990"/>
      <c r="J3659" s="990"/>
      <c r="K3659" s="990"/>
      <c r="L3659" s="990"/>
      <c r="M3659" s="990"/>
      <c r="N3659" s="990"/>
      <c r="O3659" s="990"/>
      <c r="P3659" s="990"/>
      <c r="Q3659" s="990"/>
      <c r="R3659" s="990"/>
      <c r="S3659" s="990"/>
      <c r="T3659" s="990"/>
      <c r="U3659" s="990"/>
      <c r="V3659" s="990"/>
      <c r="W3659" s="990"/>
      <c r="X3659" s="990"/>
    </row>
    <row r="3660" spans="1:24" s="896" customFormat="1">
      <c r="A3660" s="987">
        <f t="shared" ref="A3660:A3723" si="58">A3659+1</f>
        <v>3586</v>
      </c>
      <c r="B3660" s="988">
        <v>4907</v>
      </c>
      <c r="C3660" s="899" t="s">
        <v>12986</v>
      </c>
      <c r="D3660" s="988" t="s">
        <v>2666</v>
      </c>
      <c r="E3660" s="989">
        <v>28.92</v>
      </c>
      <c r="F3660" s="990"/>
      <c r="G3660" s="990"/>
      <c r="H3660" s="990"/>
      <c r="I3660" s="990"/>
      <c r="J3660" s="990"/>
      <c r="K3660" s="990"/>
      <c r="L3660" s="990"/>
      <c r="M3660" s="990"/>
      <c r="N3660" s="990"/>
      <c r="O3660" s="990"/>
      <c r="P3660" s="990"/>
      <c r="Q3660" s="990"/>
      <c r="R3660" s="990"/>
      <c r="S3660" s="990"/>
      <c r="T3660" s="990"/>
      <c r="U3660" s="990"/>
      <c r="V3660" s="990"/>
      <c r="W3660" s="990"/>
      <c r="X3660" s="990"/>
    </row>
    <row r="3661" spans="1:24" s="896" customFormat="1">
      <c r="A3661" s="987">
        <f t="shared" si="58"/>
        <v>3587</v>
      </c>
      <c r="B3661" s="988">
        <v>4902</v>
      </c>
      <c r="C3661" s="899" t="s">
        <v>12987</v>
      </c>
      <c r="D3661" s="988" t="s">
        <v>2666</v>
      </c>
      <c r="E3661" s="989">
        <v>65.459999999999994</v>
      </c>
      <c r="F3661" s="990"/>
      <c r="G3661" s="990"/>
      <c r="H3661" s="990"/>
      <c r="I3661" s="990"/>
      <c r="J3661" s="990"/>
      <c r="K3661" s="990"/>
      <c r="L3661" s="990"/>
      <c r="M3661" s="990"/>
      <c r="N3661" s="990"/>
      <c r="O3661" s="990"/>
      <c r="P3661" s="990"/>
      <c r="Q3661" s="990"/>
      <c r="R3661" s="990"/>
      <c r="S3661" s="990"/>
      <c r="T3661" s="990"/>
      <c r="U3661" s="990"/>
      <c r="V3661" s="990"/>
      <c r="W3661" s="990"/>
      <c r="X3661" s="990"/>
    </row>
    <row r="3662" spans="1:24" s="896" customFormat="1">
      <c r="A3662" s="987">
        <f t="shared" si="58"/>
        <v>3588</v>
      </c>
      <c r="B3662" s="988">
        <v>4908</v>
      </c>
      <c r="C3662" s="899" t="s">
        <v>12988</v>
      </c>
      <c r="D3662" s="988" t="s">
        <v>2666</v>
      </c>
      <c r="E3662" s="989">
        <v>132.93</v>
      </c>
      <c r="F3662" s="990"/>
      <c r="G3662" s="990"/>
      <c r="H3662" s="990"/>
      <c r="I3662" s="990"/>
      <c r="J3662" s="990"/>
      <c r="K3662" s="990"/>
      <c r="L3662" s="990"/>
      <c r="M3662" s="990"/>
      <c r="N3662" s="990"/>
      <c r="O3662" s="990"/>
      <c r="P3662" s="990"/>
      <c r="Q3662" s="990"/>
      <c r="R3662" s="990"/>
      <c r="S3662" s="990"/>
      <c r="T3662" s="990"/>
      <c r="U3662" s="990"/>
      <c r="V3662" s="990"/>
      <c r="W3662" s="990"/>
      <c r="X3662" s="990"/>
    </row>
    <row r="3663" spans="1:24" s="896" customFormat="1">
      <c r="A3663" s="987">
        <f t="shared" si="58"/>
        <v>3589</v>
      </c>
      <c r="B3663" s="988">
        <v>4909</v>
      </c>
      <c r="C3663" s="899" t="s">
        <v>12989</v>
      </c>
      <c r="D3663" s="988" t="s">
        <v>2666</v>
      </c>
      <c r="E3663" s="989">
        <v>256.73</v>
      </c>
      <c r="F3663" s="990"/>
      <c r="G3663" s="990"/>
      <c r="H3663" s="990"/>
      <c r="I3663" s="990"/>
      <c r="J3663" s="990"/>
      <c r="K3663" s="990"/>
      <c r="L3663" s="990"/>
      <c r="M3663" s="990"/>
      <c r="N3663" s="990"/>
      <c r="O3663" s="990"/>
      <c r="P3663" s="990"/>
      <c r="Q3663" s="990"/>
      <c r="R3663" s="990"/>
      <c r="S3663" s="990"/>
      <c r="T3663" s="990"/>
      <c r="U3663" s="990"/>
      <c r="V3663" s="990"/>
      <c r="W3663" s="990"/>
      <c r="X3663" s="990"/>
    </row>
    <row r="3664" spans="1:24" s="896" customFormat="1">
      <c r="A3664" s="987">
        <f t="shared" si="58"/>
        <v>3590</v>
      </c>
      <c r="B3664" s="988">
        <v>4903</v>
      </c>
      <c r="C3664" s="899" t="s">
        <v>12990</v>
      </c>
      <c r="D3664" s="988" t="s">
        <v>2666</v>
      </c>
      <c r="E3664" s="989">
        <v>754.88</v>
      </c>
      <c r="F3664" s="990"/>
      <c r="G3664" s="990"/>
      <c r="H3664" s="990"/>
      <c r="I3664" s="990"/>
      <c r="J3664" s="990"/>
      <c r="K3664" s="990"/>
      <c r="L3664" s="990"/>
      <c r="M3664" s="990"/>
      <c r="N3664" s="990"/>
      <c r="O3664" s="990"/>
      <c r="P3664" s="990"/>
      <c r="Q3664" s="990"/>
      <c r="R3664" s="990"/>
      <c r="S3664" s="990"/>
      <c r="T3664" s="990"/>
      <c r="U3664" s="990"/>
      <c r="V3664" s="990"/>
      <c r="W3664" s="990"/>
      <c r="X3664" s="990"/>
    </row>
    <row r="3665" spans="1:24" s="896" customFormat="1">
      <c r="A3665" s="987">
        <f t="shared" si="58"/>
        <v>3591</v>
      </c>
      <c r="B3665" s="988">
        <v>4897</v>
      </c>
      <c r="C3665" s="899" t="s">
        <v>12991</v>
      </c>
      <c r="D3665" s="988" t="s">
        <v>2666</v>
      </c>
      <c r="E3665" s="989">
        <v>2.98</v>
      </c>
      <c r="F3665" s="990"/>
      <c r="G3665" s="990"/>
      <c r="H3665" s="990"/>
      <c r="I3665" s="990"/>
      <c r="J3665" s="990"/>
      <c r="K3665" s="990"/>
      <c r="L3665" s="990"/>
      <c r="M3665" s="990"/>
      <c r="N3665" s="990"/>
      <c r="O3665" s="990"/>
      <c r="P3665" s="990"/>
      <c r="Q3665" s="990"/>
      <c r="R3665" s="990"/>
      <c r="S3665" s="990"/>
      <c r="T3665" s="990"/>
      <c r="U3665" s="990"/>
      <c r="V3665" s="990"/>
      <c r="W3665" s="990"/>
      <c r="X3665" s="990"/>
    </row>
    <row r="3666" spans="1:24" s="896" customFormat="1">
      <c r="A3666" s="987">
        <f t="shared" si="58"/>
        <v>3592</v>
      </c>
      <c r="B3666" s="988">
        <v>4896</v>
      </c>
      <c r="C3666" s="899" t="s">
        <v>12992</v>
      </c>
      <c r="D3666" s="988" t="s">
        <v>2666</v>
      </c>
      <c r="E3666" s="989">
        <v>1.06</v>
      </c>
      <c r="F3666" s="990"/>
      <c r="G3666" s="990"/>
      <c r="H3666" s="990"/>
      <c r="I3666" s="990"/>
      <c r="J3666" s="990"/>
      <c r="K3666" s="990"/>
      <c r="L3666" s="990"/>
      <c r="M3666" s="990"/>
      <c r="N3666" s="990"/>
      <c r="O3666" s="990"/>
      <c r="P3666" s="990"/>
      <c r="Q3666" s="990"/>
      <c r="R3666" s="990"/>
      <c r="S3666" s="990"/>
      <c r="T3666" s="990"/>
      <c r="U3666" s="990"/>
      <c r="V3666" s="990"/>
      <c r="W3666" s="990"/>
      <c r="X3666" s="990"/>
    </row>
    <row r="3667" spans="1:24" s="993" customFormat="1">
      <c r="A3667" s="987">
        <f t="shared" si="58"/>
        <v>3593</v>
      </c>
      <c r="B3667" s="988">
        <v>4900</v>
      </c>
      <c r="C3667" s="899" t="s">
        <v>12993</v>
      </c>
      <c r="D3667" s="988" t="s">
        <v>2666</v>
      </c>
      <c r="E3667" s="989">
        <v>8.86</v>
      </c>
      <c r="F3667" s="992"/>
      <c r="G3667" s="992"/>
      <c r="H3667" s="992"/>
      <c r="I3667" s="992"/>
      <c r="J3667" s="992"/>
      <c r="K3667" s="992"/>
      <c r="L3667" s="992"/>
      <c r="M3667" s="992"/>
      <c r="N3667" s="992"/>
      <c r="O3667" s="992"/>
      <c r="P3667" s="992"/>
      <c r="Q3667" s="992"/>
      <c r="R3667" s="992"/>
      <c r="S3667" s="992"/>
      <c r="T3667" s="992"/>
      <c r="U3667" s="992"/>
      <c r="V3667" s="992"/>
      <c r="W3667" s="992"/>
      <c r="X3667" s="992"/>
    </row>
    <row r="3668" spans="1:24" s="896" customFormat="1">
      <c r="A3668" s="987">
        <f t="shared" si="58"/>
        <v>3594</v>
      </c>
      <c r="B3668" s="988">
        <v>4898</v>
      </c>
      <c r="C3668" s="899" t="s">
        <v>12994</v>
      </c>
      <c r="D3668" s="988" t="s">
        <v>2666</v>
      </c>
      <c r="E3668" s="989">
        <v>3.31</v>
      </c>
      <c r="F3668" s="990"/>
      <c r="G3668" s="990"/>
      <c r="H3668" s="990"/>
      <c r="I3668" s="990"/>
      <c r="J3668" s="990"/>
      <c r="K3668" s="990"/>
      <c r="L3668" s="990"/>
      <c r="M3668" s="990"/>
      <c r="N3668" s="990"/>
      <c r="O3668" s="990"/>
      <c r="P3668" s="990"/>
      <c r="Q3668" s="990"/>
      <c r="R3668" s="990"/>
      <c r="S3668" s="990"/>
      <c r="T3668" s="990"/>
      <c r="U3668" s="990"/>
      <c r="V3668" s="990"/>
      <c r="W3668" s="990"/>
      <c r="X3668" s="990"/>
    </row>
    <row r="3669" spans="1:24" s="896" customFormat="1">
      <c r="A3669" s="987">
        <f t="shared" si="58"/>
        <v>3595</v>
      </c>
      <c r="B3669" s="988">
        <v>4899</v>
      </c>
      <c r="C3669" s="899" t="s">
        <v>12995</v>
      </c>
      <c r="D3669" s="988" t="s">
        <v>2666</v>
      </c>
      <c r="E3669" s="989">
        <v>12.16</v>
      </c>
      <c r="F3669" s="990"/>
      <c r="G3669" s="990"/>
      <c r="H3669" s="990"/>
      <c r="I3669" s="990"/>
      <c r="J3669" s="990"/>
      <c r="K3669" s="990"/>
      <c r="L3669" s="990"/>
      <c r="M3669" s="990"/>
      <c r="N3669" s="990"/>
      <c r="O3669" s="990"/>
      <c r="P3669" s="990"/>
      <c r="Q3669" s="990"/>
      <c r="R3669" s="990"/>
      <c r="S3669" s="990"/>
      <c r="T3669" s="990"/>
      <c r="U3669" s="990"/>
      <c r="V3669" s="990"/>
      <c r="W3669" s="990"/>
      <c r="X3669" s="990"/>
    </row>
    <row r="3670" spans="1:24" s="896" customFormat="1">
      <c r="A3670" s="987">
        <f t="shared" si="58"/>
        <v>3596</v>
      </c>
      <c r="B3670" s="988">
        <v>11096</v>
      </c>
      <c r="C3670" s="899" t="s">
        <v>12996</v>
      </c>
      <c r="D3670" s="988" t="s">
        <v>2670</v>
      </c>
      <c r="E3670" s="989">
        <v>0.76</v>
      </c>
      <c r="F3670" s="990"/>
      <c r="G3670" s="990"/>
      <c r="H3670" s="990"/>
      <c r="I3670" s="990"/>
      <c r="J3670" s="990"/>
      <c r="K3670" s="990"/>
      <c r="L3670" s="990"/>
      <c r="M3670" s="990"/>
      <c r="N3670" s="990"/>
      <c r="O3670" s="990"/>
      <c r="P3670" s="990"/>
      <c r="Q3670" s="990"/>
      <c r="R3670" s="990"/>
      <c r="S3670" s="990"/>
      <c r="T3670" s="990"/>
      <c r="U3670" s="990"/>
      <c r="V3670" s="990"/>
      <c r="W3670" s="990"/>
      <c r="X3670" s="990"/>
    </row>
    <row r="3671" spans="1:24" s="896" customFormat="1">
      <c r="A3671" s="987">
        <f t="shared" si="58"/>
        <v>3597</v>
      </c>
      <c r="B3671" s="988">
        <v>4741</v>
      </c>
      <c r="C3671" s="899" t="s">
        <v>12997</v>
      </c>
      <c r="D3671" s="988" t="s">
        <v>2668</v>
      </c>
      <c r="E3671" s="989">
        <v>52.62</v>
      </c>
      <c r="F3671" s="990"/>
      <c r="G3671" s="990"/>
      <c r="H3671" s="990"/>
      <c r="I3671" s="990"/>
      <c r="J3671" s="990"/>
      <c r="K3671" s="990"/>
      <c r="L3671" s="990"/>
      <c r="M3671" s="990"/>
      <c r="N3671" s="990"/>
      <c r="O3671" s="990"/>
      <c r="P3671" s="990"/>
      <c r="Q3671" s="990"/>
      <c r="R3671" s="990"/>
      <c r="S3671" s="990"/>
      <c r="T3671" s="990"/>
      <c r="U3671" s="990"/>
      <c r="V3671" s="990"/>
      <c r="W3671" s="990"/>
      <c r="X3671" s="990"/>
    </row>
    <row r="3672" spans="1:24" s="896" customFormat="1">
      <c r="A3672" s="987">
        <f t="shared" si="58"/>
        <v>3598</v>
      </c>
      <c r="B3672" s="988">
        <v>4752</v>
      </c>
      <c r="C3672" s="899" t="s">
        <v>12998</v>
      </c>
      <c r="D3672" s="988" t="s">
        <v>2665</v>
      </c>
      <c r="E3672" s="989">
        <v>17.59</v>
      </c>
      <c r="F3672" s="990"/>
      <c r="G3672" s="990"/>
      <c r="H3672" s="990"/>
      <c r="I3672" s="990"/>
      <c r="J3672" s="990"/>
      <c r="K3672" s="990"/>
      <c r="L3672" s="990"/>
      <c r="M3672" s="990"/>
      <c r="N3672" s="990"/>
      <c r="O3672" s="990"/>
      <c r="P3672" s="990"/>
      <c r="Q3672" s="990"/>
      <c r="R3672" s="990"/>
      <c r="S3672" s="990"/>
      <c r="T3672" s="990"/>
      <c r="U3672" s="990"/>
      <c r="V3672" s="990"/>
      <c r="W3672" s="990"/>
      <c r="X3672" s="990"/>
    </row>
    <row r="3673" spans="1:24" s="896" customFormat="1">
      <c r="A3673" s="987">
        <f t="shared" si="58"/>
        <v>3599</v>
      </c>
      <c r="B3673" s="988">
        <v>41091</v>
      </c>
      <c r="C3673" s="899" t="s">
        <v>12999</v>
      </c>
      <c r="D3673" s="988" t="s">
        <v>2672</v>
      </c>
      <c r="E3673" s="989">
        <v>3092.49</v>
      </c>
      <c r="F3673" s="990"/>
      <c r="G3673" s="990"/>
      <c r="H3673" s="990"/>
      <c r="I3673" s="990"/>
      <c r="J3673" s="990"/>
      <c r="K3673" s="990"/>
      <c r="L3673" s="990"/>
      <c r="M3673" s="990"/>
      <c r="N3673" s="990"/>
      <c r="O3673" s="990"/>
      <c r="P3673" s="990"/>
      <c r="Q3673" s="990"/>
      <c r="R3673" s="990"/>
      <c r="S3673" s="990"/>
      <c r="T3673" s="990"/>
      <c r="U3673" s="990"/>
      <c r="V3673" s="990"/>
      <c r="W3673" s="990"/>
      <c r="X3673" s="990"/>
    </row>
    <row r="3674" spans="1:24" s="896" customFormat="1" ht="25.5">
      <c r="A3674" s="987">
        <f t="shared" si="58"/>
        <v>3600</v>
      </c>
      <c r="B3674" s="988">
        <v>13954</v>
      </c>
      <c r="C3674" s="899" t="s">
        <v>13000</v>
      </c>
      <c r="D3674" s="988" t="s">
        <v>2666</v>
      </c>
      <c r="E3674" s="989">
        <v>7146.79</v>
      </c>
      <c r="F3674" s="990"/>
      <c r="G3674" s="990"/>
      <c r="H3674" s="990"/>
      <c r="I3674" s="990"/>
      <c r="J3674" s="990"/>
      <c r="K3674" s="990"/>
      <c r="L3674" s="990"/>
      <c r="M3674" s="990"/>
      <c r="N3674" s="990"/>
      <c r="O3674" s="990"/>
      <c r="P3674" s="990"/>
      <c r="Q3674" s="990"/>
      <c r="R3674" s="990"/>
      <c r="S3674" s="990"/>
      <c r="T3674" s="990"/>
      <c r="U3674" s="990"/>
      <c r="V3674" s="990"/>
      <c r="W3674" s="990"/>
      <c r="X3674" s="990"/>
    </row>
    <row r="3675" spans="1:24" s="896" customFormat="1">
      <c r="A3675" s="987">
        <f t="shared" si="58"/>
        <v>3601</v>
      </c>
      <c r="B3675" s="988">
        <v>3411</v>
      </c>
      <c r="C3675" s="899" t="s">
        <v>13001</v>
      </c>
      <c r="D3675" s="988" t="s">
        <v>2670</v>
      </c>
      <c r="E3675" s="989">
        <v>44.43</v>
      </c>
      <c r="F3675" s="990"/>
      <c r="G3675" s="990"/>
      <c r="H3675" s="990"/>
      <c r="I3675" s="990"/>
      <c r="J3675" s="990"/>
      <c r="K3675" s="990"/>
      <c r="L3675" s="990"/>
      <c r="M3675" s="990"/>
      <c r="N3675" s="990"/>
      <c r="O3675" s="990"/>
      <c r="P3675" s="990"/>
      <c r="Q3675" s="990"/>
      <c r="R3675" s="990"/>
      <c r="S3675" s="990"/>
      <c r="T3675" s="990"/>
      <c r="U3675" s="990"/>
      <c r="V3675" s="990"/>
      <c r="W3675" s="990"/>
      <c r="X3675" s="990"/>
    </row>
    <row r="3676" spans="1:24" s="896" customFormat="1">
      <c r="A3676" s="987">
        <f t="shared" si="58"/>
        <v>3602</v>
      </c>
      <c r="B3676" s="988">
        <v>39995</v>
      </c>
      <c r="C3676" s="899" t="s">
        <v>13002</v>
      </c>
      <c r="D3676" s="988" t="s">
        <v>2668</v>
      </c>
      <c r="E3676" s="989">
        <v>341.81</v>
      </c>
      <c r="F3676" s="990"/>
      <c r="G3676" s="990"/>
      <c r="H3676" s="990"/>
      <c r="I3676" s="990"/>
      <c r="J3676" s="990"/>
      <c r="K3676" s="990"/>
      <c r="L3676" s="990"/>
      <c r="M3676" s="990"/>
      <c r="N3676" s="990"/>
      <c r="O3676" s="990"/>
      <c r="P3676" s="990"/>
      <c r="Q3676" s="990"/>
      <c r="R3676" s="990"/>
      <c r="S3676" s="990"/>
      <c r="T3676" s="990"/>
      <c r="U3676" s="990"/>
      <c r="V3676" s="990"/>
      <c r="W3676" s="990"/>
      <c r="X3676" s="990"/>
    </row>
    <row r="3677" spans="1:24" s="896" customFormat="1" ht="25.5">
      <c r="A3677" s="987">
        <f t="shared" si="58"/>
        <v>3603</v>
      </c>
      <c r="B3677" s="988">
        <v>11615</v>
      </c>
      <c r="C3677" s="899" t="s">
        <v>13003</v>
      </c>
      <c r="D3677" s="988" t="s">
        <v>2667</v>
      </c>
      <c r="E3677" s="989">
        <v>2.9</v>
      </c>
      <c r="F3677" s="990"/>
      <c r="G3677" s="990"/>
      <c r="H3677" s="990"/>
      <c r="I3677" s="990"/>
      <c r="J3677" s="990"/>
      <c r="K3677" s="990"/>
      <c r="L3677" s="990"/>
      <c r="M3677" s="990"/>
      <c r="N3677" s="990"/>
      <c r="O3677" s="990"/>
      <c r="P3677" s="990"/>
      <c r="Q3677" s="990"/>
      <c r="R3677" s="990"/>
      <c r="S3677" s="990"/>
      <c r="T3677" s="990"/>
      <c r="U3677" s="990"/>
      <c r="V3677" s="990"/>
      <c r="W3677" s="990"/>
      <c r="X3677" s="990"/>
    </row>
    <row r="3678" spans="1:24" s="896" customFormat="1" ht="25.5">
      <c r="A3678" s="987">
        <f t="shared" si="58"/>
        <v>3604</v>
      </c>
      <c r="B3678" s="988">
        <v>3408</v>
      </c>
      <c r="C3678" s="899" t="s">
        <v>13004</v>
      </c>
      <c r="D3678" s="988" t="s">
        <v>2667</v>
      </c>
      <c r="E3678" s="989">
        <v>7.7</v>
      </c>
      <c r="F3678" s="990"/>
      <c r="G3678" s="990"/>
      <c r="H3678" s="990"/>
      <c r="I3678" s="990"/>
      <c r="J3678" s="990"/>
      <c r="K3678" s="990"/>
      <c r="L3678" s="990"/>
      <c r="M3678" s="990"/>
      <c r="N3678" s="990"/>
      <c r="O3678" s="990"/>
      <c r="P3678" s="990"/>
      <c r="Q3678" s="990"/>
      <c r="R3678" s="990"/>
      <c r="S3678" s="990"/>
      <c r="T3678" s="990"/>
      <c r="U3678" s="990"/>
      <c r="V3678" s="990"/>
      <c r="W3678" s="990"/>
      <c r="X3678" s="990"/>
    </row>
    <row r="3679" spans="1:24" s="896" customFormat="1" ht="25.5">
      <c r="A3679" s="987">
        <f t="shared" si="58"/>
        <v>3605</v>
      </c>
      <c r="B3679" s="988">
        <v>3409</v>
      </c>
      <c r="C3679" s="899" t="s">
        <v>13005</v>
      </c>
      <c r="D3679" s="988" t="s">
        <v>2667</v>
      </c>
      <c r="E3679" s="989">
        <v>19.25</v>
      </c>
      <c r="F3679" s="990"/>
      <c r="G3679" s="990"/>
      <c r="H3679" s="990"/>
      <c r="I3679" s="990"/>
      <c r="J3679" s="990"/>
      <c r="K3679" s="990"/>
      <c r="L3679" s="990"/>
      <c r="M3679" s="990"/>
      <c r="N3679" s="990"/>
      <c r="O3679" s="990"/>
      <c r="P3679" s="990"/>
      <c r="Q3679" s="990"/>
      <c r="R3679" s="990"/>
      <c r="S3679" s="990"/>
      <c r="T3679" s="990"/>
      <c r="U3679" s="990"/>
      <c r="V3679" s="990"/>
      <c r="W3679" s="990"/>
      <c r="X3679" s="990"/>
    </row>
    <row r="3680" spans="1:24" s="896" customFormat="1">
      <c r="A3680" s="987">
        <f t="shared" si="58"/>
        <v>3606</v>
      </c>
      <c r="B3680" s="988">
        <v>11427</v>
      </c>
      <c r="C3680" s="899" t="s">
        <v>13006</v>
      </c>
      <c r="D3680" s="988" t="s">
        <v>2670</v>
      </c>
      <c r="E3680" s="989">
        <v>110.86</v>
      </c>
      <c r="F3680" s="990"/>
      <c r="G3680" s="990"/>
      <c r="H3680" s="990"/>
      <c r="I3680" s="990"/>
      <c r="J3680" s="990"/>
      <c r="K3680" s="990"/>
      <c r="L3680" s="990"/>
      <c r="M3680" s="990"/>
      <c r="N3680" s="990"/>
      <c r="O3680" s="990"/>
      <c r="P3680" s="990"/>
      <c r="Q3680" s="990"/>
      <c r="R3680" s="990"/>
      <c r="S3680" s="990"/>
      <c r="T3680" s="990"/>
      <c r="U3680" s="990"/>
      <c r="V3680" s="990"/>
      <c r="W3680" s="990"/>
      <c r="X3680" s="990"/>
    </row>
    <row r="3681" spans="1:24" s="896" customFormat="1">
      <c r="A3681" s="987">
        <f t="shared" si="58"/>
        <v>3607</v>
      </c>
      <c r="B3681" s="988">
        <v>4491</v>
      </c>
      <c r="C3681" s="899" t="s">
        <v>13007</v>
      </c>
      <c r="D3681" s="988" t="s">
        <v>2669</v>
      </c>
      <c r="E3681" s="989">
        <v>6.97</v>
      </c>
      <c r="F3681" s="990"/>
      <c r="G3681" s="990"/>
      <c r="H3681" s="990"/>
      <c r="I3681" s="990"/>
      <c r="J3681" s="990"/>
      <c r="K3681" s="990"/>
      <c r="L3681" s="990"/>
      <c r="M3681" s="990"/>
      <c r="N3681" s="990"/>
      <c r="O3681" s="990"/>
      <c r="P3681" s="990"/>
      <c r="Q3681" s="990"/>
      <c r="R3681" s="990"/>
      <c r="S3681" s="990"/>
      <c r="T3681" s="990"/>
      <c r="U3681" s="990"/>
      <c r="V3681" s="990"/>
      <c r="W3681" s="990"/>
      <c r="X3681" s="990"/>
    </row>
    <row r="3682" spans="1:24" s="896" customFormat="1" ht="25.5">
      <c r="A3682" s="987">
        <f t="shared" si="58"/>
        <v>3608</v>
      </c>
      <c r="B3682" s="988">
        <v>2745</v>
      </c>
      <c r="C3682" s="899" t="s">
        <v>13008</v>
      </c>
      <c r="D3682" s="988" t="s">
        <v>2669</v>
      </c>
      <c r="E3682" s="989">
        <v>3.51</v>
      </c>
      <c r="F3682" s="990"/>
      <c r="G3682" s="990"/>
      <c r="H3682" s="990"/>
      <c r="I3682" s="990"/>
      <c r="J3682" s="990"/>
      <c r="K3682" s="990"/>
      <c r="L3682" s="990"/>
      <c r="M3682" s="990"/>
      <c r="N3682" s="990"/>
      <c r="O3682" s="990"/>
      <c r="P3682" s="990"/>
      <c r="Q3682" s="990"/>
      <c r="R3682" s="990"/>
      <c r="S3682" s="990"/>
      <c r="T3682" s="990"/>
      <c r="U3682" s="990"/>
      <c r="V3682" s="990"/>
      <c r="W3682" s="990"/>
      <c r="X3682" s="990"/>
    </row>
    <row r="3683" spans="1:24" s="896" customFormat="1" ht="25.5">
      <c r="A3683" s="987">
        <f t="shared" si="58"/>
        <v>3609</v>
      </c>
      <c r="B3683" s="988">
        <v>14439</v>
      </c>
      <c r="C3683" s="899" t="s">
        <v>13009</v>
      </c>
      <c r="D3683" s="988" t="s">
        <v>2669</v>
      </c>
      <c r="E3683" s="989">
        <v>4.3499999999999996</v>
      </c>
      <c r="F3683" s="990"/>
      <c r="G3683" s="990"/>
      <c r="H3683" s="990"/>
      <c r="I3683" s="990"/>
      <c r="J3683" s="990"/>
      <c r="K3683" s="990"/>
      <c r="L3683" s="990"/>
      <c r="M3683" s="990"/>
      <c r="N3683" s="990"/>
      <c r="O3683" s="990"/>
      <c r="P3683" s="990"/>
      <c r="Q3683" s="990"/>
      <c r="R3683" s="990"/>
      <c r="S3683" s="990"/>
      <c r="T3683" s="990"/>
      <c r="U3683" s="990"/>
      <c r="V3683" s="990"/>
      <c r="W3683" s="990"/>
      <c r="X3683" s="990"/>
    </row>
    <row r="3684" spans="1:24" s="896" customFormat="1" ht="25.5">
      <c r="A3684" s="987">
        <f t="shared" si="58"/>
        <v>3610</v>
      </c>
      <c r="B3684" s="988">
        <v>44496</v>
      </c>
      <c r="C3684" s="899" t="s">
        <v>13010</v>
      </c>
      <c r="D3684" s="988" t="s">
        <v>2666</v>
      </c>
      <c r="E3684" s="989">
        <v>143.05000000000001</v>
      </c>
      <c r="F3684" s="990"/>
      <c r="G3684" s="990"/>
      <c r="H3684" s="990"/>
      <c r="I3684" s="990"/>
      <c r="J3684" s="990"/>
      <c r="K3684" s="990"/>
      <c r="L3684" s="990"/>
      <c r="M3684" s="990"/>
      <c r="N3684" s="990"/>
      <c r="O3684" s="990"/>
      <c r="P3684" s="990"/>
      <c r="Q3684" s="990"/>
      <c r="R3684" s="990"/>
      <c r="S3684" s="990"/>
      <c r="T3684" s="990"/>
      <c r="U3684" s="990"/>
      <c r="V3684" s="990"/>
      <c r="W3684" s="990"/>
      <c r="X3684" s="990"/>
    </row>
    <row r="3685" spans="1:24" s="896" customFormat="1">
      <c r="A3685" s="987">
        <f t="shared" si="58"/>
        <v>3611</v>
      </c>
      <c r="B3685" s="988">
        <v>12362</v>
      </c>
      <c r="C3685" s="899" t="s">
        <v>13011</v>
      </c>
      <c r="D3685" s="988" t="s">
        <v>2666</v>
      </c>
      <c r="E3685" s="989">
        <v>9.34</v>
      </c>
      <c r="F3685" s="990"/>
      <c r="G3685" s="990"/>
      <c r="H3685" s="990"/>
      <c r="I3685" s="990"/>
      <c r="J3685" s="990"/>
      <c r="K3685" s="990"/>
      <c r="L3685" s="990"/>
      <c r="M3685" s="990"/>
      <c r="N3685" s="990"/>
      <c r="O3685" s="990"/>
      <c r="P3685" s="990"/>
      <c r="Q3685" s="990"/>
      <c r="R3685" s="990"/>
      <c r="S3685" s="990"/>
      <c r="T3685" s="990"/>
      <c r="U3685" s="990"/>
      <c r="V3685" s="990"/>
      <c r="W3685" s="990"/>
      <c r="X3685" s="990"/>
    </row>
    <row r="3686" spans="1:24" s="896" customFormat="1">
      <c r="A3686" s="987">
        <f t="shared" si="58"/>
        <v>3612</v>
      </c>
      <c r="B3686" s="988">
        <v>421</v>
      </c>
      <c r="C3686" s="899" t="s">
        <v>13012</v>
      </c>
      <c r="D3686" s="988" t="s">
        <v>2666</v>
      </c>
      <c r="E3686" s="989">
        <v>16.45</v>
      </c>
      <c r="F3686" s="990"/>
      <c r="G3686" s="990"/>
      <c r="H3686" s="990"/>
      <c r="I3686" s="990"/>
      <c r="J3686" s="990"/>
      <c r="K3686" s="990"/>
      <c r="L3686" s="990"/>
      <c r="M3686" s="990"/>
      <c r="N3686" s="990"/>
      <c r="O3686" s="990"/>
      <c r="P3686" s="990"/>
      <c r="Q3686" s="990"/>
      <c r="R3686" s="990"/>
      <c r="S3686" s="990"/>
      <c r="T3686" s="990"/>
      <c r="U3686" s="990"/>
      <c r="V3686" s="990"/>
      <c r="W3686" s="990"/>
      <c r="X3686" s="990"/>
    </row>
    <row r="3687" spans="1:24" s="896" customFormat="1">
      <c r="A3687" s="987">
        <f t="shared" si="58"/>
        <v>3613</v>
      </c>
      <c r="B3687" s="988">
        <v>14148</v>
      </c>
      <c r="C3687" s="899" t="s">
        <v>13013</v>
      </c>
      <c r="D3687" s="988" t="s">
        <v>2666</v>
      </c>
      <c r="E3687" s="989">
        <v>0.91</v>
      </c>
      <c r="F3687" s="990"/>
      <c r="G3687" s="990"/>
      <c r="H3687" s="990"/>
      <c r="I3687" s="990"/>
      <c r="J3687" s="990"/>
      <c r="K3687" s="990"/>
      <c r="L3687" s="990"/>
      <c r="M3687" s="990"/>
      <c r="N3687" s="990"/>
      <c r="O3687" s="990"/>
      <c r="P3687" s="990"/>
      <c r="Q3687" s="990"/>
      <c r="R3687" s="990"/>
      <c r="S3687" s="990"/>
      <c r="T3687" s="990"/>
      <c r="U3687" s="990"/>
      <c r="V3687" s="990"/>
      <c r="W3687" s="990"/>
      <c r="X3687" s="990"/>
    </row>
    <row r="3688" spans="1:24" s="896" customFormat="1">
      <c r="A3688" s="987">
        <f t="shared" si="58"/>
        <v>3614</v>
      </c>
      <c r="B3688" s="988">
        <v>4341</v>
      </c>
      <c r="C3688" s="899" t="s">
        <v>13014</v>
      </c>
      <c r="D3688" s="988" t="s">
        <v>2666</v>
      </c>
      <c r="E3688" s="989">
        <v>0.89</v>
      </c>
      <c r="F3688" s="990"/>
      <c r="G3688" s="990"/>
      <c r="H3688" s="990"/>
      <c r="I3688" s="990"/>
      <c r="J3688" s="990"/>
      <c r="K3688" s="990"/>
      <c r="L3688" s="990"/>
      <c r="M3688" s="990"/>
      <c r="N3688" s="990"/>
      <c r="O3688" s="990"/>
      <c r="P3688" s="990"/>
      <c r="Q3688" s="990"/>
      <c r="R3688" s="990"/>
      <c r="S3688" s="990"/>
      <c r="T3688" s="990"/>
      <c r="U3688" s="990"/>
      <c r="V3688" s="990"/>
      <c r="W3688" s="990"/>
      <c r="X3688" s="990"/>
    </row>
    <row r="3689" spans="1:24" s="896" customFormat="1">
      <c r="A3689" s="987">
        <f t="shared" si="58"/>
        <v>3615</v>
      </c>
      <c r="B3689" s="988">
        <v>4337</v>
      </c>
      <c r="C3689" s="899" t="s">
        <v>13015</v>
      </c>
      <c r="D3689" s="988" t="s">
        <v>2666</v>
      </c>
      <c r="E3689" s="989">
        <v>2.2400000000000002</v>
      </c>
      <c r="F3689" s="990"/>
      <c r="G3689" s="990"/>
      <c r="H3689" s="990"/>
      <c r="I3689" s="990"/>
      <c r="J3689" s="990"/>
      <c r="K3689" s="990"/>
      <c r="L3689" s="990"/>
      <c r="M3689" s="990"/>
      <c r="N3689" s="990"/>
      <c r="O3689" s="990"/>
      <c r="P3689" s="990"/>
      <c r="Q3689" s="990"/>
      <c r="R3689" s="990"/>
      <c r="S3689" s="990"/>
      <c r="T3689" s="990"/>
      <c r="U3689" s="990"/>
      <c r="V3689" s="990"/>
      <c r="W3689" s="990"/>
      <c r="X3689" s="990"/>
    </row>
    <row r="3690" spans="1:24" s="896" customFormat="1">
      <c r="A3690" s="987">
        <f t="shared" si="58"/>
        <v>3616</v>
      </c>
      <c r="B3690" s="988">
        <v>4339</v>
      </c>
      <c r="C3690" s="899" t="s">
        <v>13016</v>
      </c>
      <c r="D3690" s="988" t="s">
        <v>2666</v>
      </c>
      <c r="E3690" s="989">
        <v>0.47</v>
      </c>
      <c r="F3690" s="990"/>
      <c r="G3690" s="990"/>
      <c r="H3690" s="990"/>
      <c r="I3690" s="990"/>
      <c r="J3690" s="990"/>
      <c r="K3690" s="990"/>
      <c r="L3690" s="990"/>
      <c r="M3690" s="990"/>
      <c r="N3690" s="990"/>
      <c r="O3690" s="990"/>
      <c r="P3690" s="990"/>
      <c r="Q3690" s="990"/>
      <c r="R3690" s="990"/>
      <c r="S3690" s="990"/>
      <c r="T3690" s="990"/>
      <c r="U3690" s="990"/>
      <c r="V3690" s="990"/>
      <c r="W3690" s="990"/>
      <c r="X3690" s="990"/>
    </row>
    <row r="3691" spans="1:24" s="896" customFormat="1">
      <c r="A3691" s="987">
        <f t="shared" si="58"/>
        <v>3617</v>
      </c>
      <c r="B3691" s="988">
        <v>39997</v>
      </c>
      <c r="C3691" s="899" t="s">
        <v>13017</v>
      </c>
      <c r="D3691" s="988" t="s">
        <v>2666</v>
      </c>
      <c r="E3691" s="989">
        <v>0.26</v>
      </c>
      <c r="F3691" s="990"/>
      <c r="G3691" s="990"/>
      <c r="H3691" s="990"/>
      <c r="I3691" s="990"/>
      <c r="J3691" s="990"/>
      <c r="K3691" s="990"/>
      <c r="L3691" s="990"/>
      <c r="M3691" s="990"/>
      <c r="N3691" s="990"/>
      <c r="O3691" s="990"/>
      <c r="P3691" s="990"/>
      <c r="Q3691" s="990"/>
      <c r="R3691" s="990"/>
      <c r="S3691" s="990"/>
      <c r="T3691" s="990"/>
      <c r="U3691" s="990"/>
      <c r="V3691" s="990"/>
      <c r="W3691" s="990"/>
      <c r="X3691" s="990"/>
    </row>
    <row r="3692" spans="1:24" s="896" customFormat="1">
      <c r="A3692" s="987">
        <f t="shared" si="58"/>
        <v>3618</v>
      </c>
      <c r="B3692" s="988">
        <v>11971</v>
      </c>
      <c r="C3692" s="899" t="s">
        <v>13018</v>
      </c>
      <c r="D3692" s="988" t="s">
        <v>2666</v>
      </c>
      <c r="E3692" s="989">
        <v>3.71</v>
      </c>
      <c r="F3692" s="990"/>
      <c r="G3692" s="990"/>
      <c r="H3692" s="990"/>
      <c r="I3692" s="990"/>
      <c r="J3692" s="990"/>
      <c r="K3692" s="990"/>
      <c r="L3692" s="990"/>
      <c r="M3692" s="990"/>
      <c r="N3692" s="990"/>
      <c r="O3692" s="990"/>
      <c r="P3692" s="990"/>
      <c r="Q3692" s="990"/>
      <c r="R3692" s="990"/>
      <c r="S3692" s="990"/>
      <c r="T3692" s="990"/>
      <c r="U3692" s="990"/>
      <c r="V3692" s="990"/>
      <c r="W3692" s="990"/>
      <c r="X3692" s="990"/>
    </row>
    <row r="3693" spans="1:24" s="896" customFormat="1">
      <c r="A3693" s="987">
        <f t="shared" si="58"/>
        <v>3619</v>
      </c>
      <c r="B3693" s="988">
        <v>4342</v>
      </c>
      <c r="C3693" s="899" t="s">
        <v>13019</v>
      </c>
      <c r="D3693" s="988" t="s">
        <v>2666</v>
      </c>
      <c r="E3693" s="989">
        <v>0.19</v>
      </c>
      <c r="F3693" s="990"/>
      <c r="G3693" s="990"/>
      <c r="H3693" s="990"/>
      <c r="I3693" s="990"/>
      <c r="J3693" s="990"/>
      <c r="K3693" s="990"/>
      <c r="L3693" s="990"/>
      <c r="M3693" s="990"/>
      <c r="N3693" s="990"/>
      <c r="O3693" s="990"/>
      <c r="P3693" s="990"/>
      <c r="Q3693" s="990"/>
      <c r="R3693" s="990"/>
      <c r="S3693" s="990"/>
      <c r="T3693" s="990"/>
      <c r="U3693" s="990"/>
      <c r="V3693" s="990"/>
      <c r="W3693" s="990"/>
      <c r="X3693" s="990"/>
    </row>
    <row r="3694" spans="1:24" s="896" customFormat="1">
      <c r="A3694" s="987">
        <f t="shared" si="58"/>
        <v>3620</v>
      </c>
      <c r="B3694" s="988">
        <v>4330</v>
      </c>
      <c r="C3694" s="899" t="s">
        <v>13020</v>
      </c>
      <c r="D3694" s="988" t="s">
        <v>2666</v>
      </c>
      <c r="E3694" s="989">
        <v>0.13</v>
      </c>
      <c r="F3694" s="990"/>
      <c r="G3694" s="990"/>
      <c r="H3694" s="990"/>
      <c r="I3694" s="990"/>
      <c r="J3694" s="990"/>
      <c r="K3694" s="990"/>
      <c r="L3694" s="990"/>
      <c r="M3694" s="990"/>
      <c r="N3694" s="990"/>
      <c r="O3694" s="990"/>
      <c r="P3694" s="990"/>
      <c r="Q3694" s="990"/>
      <c r="R3694" s="990"/>
      <c r="S3694" s="990"/>
      <c r="T3694" s="990"/>
      <c r="U3694" s="990"/>
      <c r="V3694" s="990"/>
      <c r="W3694" s="990"/>
      <c r="X3694" s="990"/>
    </row>
    <row r="3695" spans="1:24" s="896" customFormat="1">
      <c r="A3695" s="987">
        <f t="shared" si="58"/>
        <v>3621</v>
      </c>
      <c r="B3695" s="988">
        <v>4340</v>
      </c>
      <c r="C3695" s="899" t="s">
        <v>13021</v>
      </c>
      <c r="D3695" s="988" t="s">
        <v>2666</v>
      </c>
      <c r="E3695" s="989">
        <v>1.04</v>
      </c>
      <c r="F3695" s="990"/>
      <c r="G3695" s="990"/>
      <c r="H3695" s="990"/>
      <c r="I3695" s="990"/>
      <c r="J3695" s="990"/>
      <c r="K3695" s="990"/>
      <c r="L3695" s="990"/>
      <c r="M3695" s="990"/>
      <c r="N3695" s="990"/>
      <c r="O3695" s="990"/>
      <c r="P3695" s="990"/>
      <c r="Q3695" s="990"/>
      <c r="R3695" s="990"/>
      <c r="S3695" s="990"/>
      <c r="T3695" s="990"/>
      <c r="U3695" s="990"/>
      <c r="V3695" s="990"/>
      <c r="W3695" s="990"/>
      <c r="X3695" s="990"/>
    </row>
    <row r="3696" spans="1:24" s="896" customFormat="1">
      <c r="A3696" s="987">
        <f t="shared" si="58"/>
        <v>3622</v>
      </c>
      <c r="B3696" s="988">
        <v>5088</v>
      </c>
      <c r="C3696" s="899" t="s">
        <v>13022</v>
      </c>
      <c r="D3696" s="988" t="s">
        <v>2666</v>
      </c>
      <c r="E3696" s="989">
        <v>6.7</v>
      </c>
      <c r="F3696" s="990"/>
      <c r="G3696" s="990"/>
      <c r="H3696" s="990"/>
      <c r="I3696" s="990"/>
      <c r="J3696" s="990"/>
      <c r="K3696" s="990"/>
      <c r="L3696" s="990"/>
      <c r="M3696" s="990"/>
      <c r="N3696" s="990"/>
      <c r="O3696" s="990"/>
      <c r="P3696" s="990"/>
      <c r="Q3696" s="990"/>
      <c r="R3696" s="990"/>
      <c r="S3696" s="990"/>
      <c r="T3696" s="990"/>
      <c r="U3696" s="990"/>
      <c r="V3696" s="990"/>
      <c r="W3696" s="990"/>
      <c r="X3696" s="990"/>
    </row>
    <row r="3697" spans="1:24" s="896" customFormat="1" ht="25.5">
      <c r="A3697" s="987">
        <f t="shared" si="58"/>
        <v>3623</v>
      </c>
      <c r="B3697" s="988">
        <v>11154</v>
      </c>
      <c r="C3697" s="899" t="s">
        <v>13023</v>
      </c>
      <c r="D3697" s="988" t="s">
        <v>2666</v>
      </c>
      <c r="E3697" s="989">
        <v>2404.46</v>
      </c>
      <c r="F3697" s="990"/>
      <c r="G3697" s="990"/>
      <c r="H3697" s="990"/>
      <c r="I3697" s="990"/>
      <c r="J3697" s="990"/>
      <c r="K3697" s="990"/>
      <c r="L3697" s="990"/>
      <c r="M3697" s="990"/>
      <c r="N3697" s="990"/>
      <c r="O3697" s="990"/>
      <c r="P3697" s="990"/>
      <c r="Q3697" s="990"/>
      <c r="R3697" s="990"/>
      <c r="S3697" s="990"/>
      <c r="T3697" s="990"/>
      <c r="U3697" s="990"/>
      <c r="V3697" s="990"/>
      <c r="W3697" s="990"/>
      <c r="X3697" s="990"/>
    </row>
    <row r="3698" spans="1:24" s="896" customFormat="1" ht="38.25">
      <c r="A3698" s="987">
        <f t="shared" si="58"/>
        <v>3624</v>
      </c>
      <c r="B3698" s="988">
        <v>4989</v>
      </c>
      <c r="C3698" s="899" t="s">
        <v>13024</v>
      </c>
      <c r="D3698" s="988" t="s">
        <v>2666</v>
      </c>
      <c r="E3698" s="989">
        <v>316.62</v>
      </c>
      <c r="F3698" s="990"/>
      <c r="G3698" s="990"/>
      <c r="H3698" s="990"/>
      <c r="I3698" s="990"/>
      <c r="J3698" s="990"/>
      <c r="K3698" s="990"/>
      <c r="L3698" s="990"/>
      <c r="M3698" s="990"/>
      <c r="N3698" s="990"/>
      <c r="O3698" s="990"/>
      <c r="P3698" s="990"/>
      <c r="Q3698" s="990"/>
      <c r="R3698" s="990"/>
      <c r="S3698" s="990"/>
      <c r="T3698" s="990"/>
      <c r="U3698" s="990"/>
      <c r="V3698" s="990"/>
      <c r="W3698" s="990"/>
      <c r="X3698" s="990"/>
    </row>
    <row r="3699" spans="1:24" s="896" customFormat="1" ht="38.25">
      <c r="A3699" s="987">
        <f t="shared" si="58"/>
        <v>3625</v>
      </c>
      <c r="B3699" s="988">
        <v>4982</v>
      </c>
      <c r="C3699" s="899" t="s">
        <v>13025</v>
      </c>
      <c r="D3699" s="988" t="s">
        <v>2666</v>
      </c>
      <c r="E3699" s="989">
        <v>296.98</v>
      </c>
      <c r="F3699" s="990"/>
      <c r="G3699" s="990"/>
      <c r="H3699" s="990"/>
      <c r="I3699" s="990"/>
      <c r="J3699" s="990"/>
      <c r="K3699" s="990"/>
      <c r="L3699" s="990"/>
      <c r="M3699" s="990"/>
      <c r="N3699" s="990"/>
      <c r="O3699" s="990"/>
      <c r="P3699" s="990"/>
      <c r="Q3699" s="990"/>
      <c r="R3699" s="990"/>
      <c r="S3699" s="990"/>
      <c r="T3699" s="990"/>
      <c r="U3699" s="990"/>
      <c r="V3699" s="990"/>
      <c r="W3699" s="990"/>
      <c r="X3699" s="990"/>
    </row>
    <row r="3700" spans="1:24" s="896" customFormat="1" ht="38.25">
      <c r="A3700" s="987">
        <f t="shared" si="58"/>
        <v>3626</v>
      </c>
      <c r="B3700" s="988">
        <v>4962</v>
      </c>
      <c r="C3700" s="899" t="s">
        <v>13026</v>
      </c>
      <c r="D3700" s="988" t="s">
        <v>2666</v>
      </c>
      <c r="E3700" s="989">
        <v>234.2</v>
      </c>
      <c r="F3700" s="990"/>
      <c r="G3700" s="990"/>
      <c r="H3700" s="990"/>
      <c r="I3700" s="990"/>
      <c r="J3700" s="990"/>
      <c r="K3700" s="990"/>
      <c r="L3700" s="990"/>
      <c r="M3700" s="990"/>
      <c r="N3700" s="990"/>
      <c r="O3700" s="990"/>
      <c r="P3700" s="990"/>
      <c r="Q3700" s="990"/>
      <c r="R3700" s="990"/>
      <c r="S3700" s="990"/>
      <c r="T3700" s="990"/>
      <c r="U3700" s="990"/>
      <c r="V3700" s="990"/>
      <c r="W3700" s="990"/>
      <c r="X3700" s="990"/>
    </row>
    <row r="3701" spans="1:24" s="896" customFormat="1" ht="38.25">
      <c r="A3701" s="987">
        <f t="shared" si="58"/>
        <v>3627</v>
      </c>
      <c r="B3701" s="988">
        <v>4981</v>
      </c>
      <c r="C3701" s="899" t="s">
        <v>13027</v>
      </c>
      <c r="D3701" s="988" t="s">
        <v>2666</v>
      </c>
      <c r="E3701" s="989">
        <v>208.5</v>
      </c>
      <c r="F3701" s="990"/>
      <c r="G3701" s="990"/>
      <c r="H3701" s="990"/>
      <c r="I3701" s="990"/>
      <c r="J3701" s="990"/>
      <c r="K3701" s="990"/>
      <c r="L3701" s="990"/>
      <c r="M3701" s="990"/>
      <c r="N3701" s="990"/>
      <c r="O3701" s="990"/>
      <c r="P3701" s="990"/>
      <c r="Q3701" s="990"/>
      <c r="R3701" s="990"/>
      <c r="S3701" s="990"/>
      <c r="T3701" s="990"/>
      <c r="U3701" s="990"/>
      <c r="V3701" s="990"/>
      <c r="W3701" s="990"/>
      <c r="X3701" s="990"/>
    </row>
    <row r="3702" spans="1:24" s="896" customFormat="1" ht="38.25">
      <c r="A3702" s="987">
        <f t="shared" si="58"/>
        <v>3628</v>
      </c>
      <c r="B3702" s="988">
        <v>4964</v>
      </c>
      <c r="C3702" s="899" t="s">
        <v>13028</v>
      </c>
      <c r="D3702" s="988" t="s">
        <v>2666</v>
      </c>
      <c r="E3702" s="989">
        <v>264.51</v>
      </c>
      <c r="F3702" s="990"/>
      <c r="G3702" s="990"/>
      <c r="H3702" s="990"/>
      <c r="I3702" s="990"/>
      <c r="J3702" s="990"/>
      <c r="K3702" s="990"/>
      <c r="L3702" s="990"/>
      <c r="M3702" s="990"/>
      <c r="N3702" s="990"/>
      <c r="O3702" s="990"/>
      <c r="P3702" s="990"/>
      <c r="Q3702" s="990"/>
      <c r="R3702" s="990"/>
      <c r="S3702" s="990"/>
      <c r="T3702" s="990"/>
      <c r="U3702" s="990"/>
      <c r="V3702" s="990"/>
      <c r="W3702" s="990"/>
      <c r="X3702" s="990"/>
    </row>
    <row r="3703" spans="1:24" s="896" customFormat="1" ht="38.25">
      <c r="A3703" s="987">
        <f t="shared" si="58"/>
        <v>3629</v>
      </c>
      <c r="B3703" s="988">
        <v>4992</v>
      </c>
      <c r="C3703" s="899" t="s">
        <v>13029</v>
      </c>
      <c r="D3703" s="988" t="s">
        <v>2666</v>
      </c>
      <c r="E3703" s="989">
        <v>258.38</v>
      </c>
      <c r="F3703" s="990"/>
      <c r="G3703" s="990"/>
      <c r="H3703" s="990"/>
      <c r="I3703" s="990"/>
      <c r="J3703" s="990"/>
      <c r="K3703" s="990"/>
      <c r="L3703" s="990"/>
      <c r="M3703" s="990"/>
      <c r="N3703" s="990"/>
      <c r="O3703" s="990"/>
      <c r="P3703" s="990"/>
      <c r="Q3703" s="990"/>
      <c r="R3703" s="990"/>
      <c r="S3703" s="990"/>
      <c r="T3703" s="990"/>
      <c r="U3703" s="990"/>
      <c r="V3703" s="990"/>
      <c r="W3703" s="990"/>
      <c r="X3703" s="990"/>
    </row>
    <row r="3704" spans="1:24" s="896" customFormat="1" ht="38.25">
      <c r="A3704" s="987">
        <f t="shared" si="58"/>
        <v>3630</v>
      </c>
      <c r="B3704" s="988">
        <v>4987</v>
      </c>
      <c r="C3704" s="899" t="s">
        <v>13030</v>
      </c>
      <c r="D3704" s="988" t="s">
        <v>2666</v>
      </c>
      <c r="E3704" s="989">
        <v>295.60000000000002</v>
      </c>
      <c r="F3704" s="990"/>
      <c r="G3704" s="990"/>
      <c r="H3704" s="990"/>
      <c r="I3704" s="990"/>
      <c r="J3704" s="990"/>
      <c r="K3704" s="990"/>
      <c r="L3704" s="990"/>
      <c r="M3704" s="990"/>
      <c r="N3704" s="990"/>
      <c r="O3704" s="990"/>
      <c r="P3704" s="990"/>
      <c r="Q3704" s="990"/>
      <c r="R3704" s="990"/>
      <c r="S3704" s="990"/>
      <c r="T3704" s="990"/>
      <c r="U3704" s="990"/>
      <c r="V3704" s="990"/>
      <c r="W3704" s="990"/>
      <c r="X3704" s="990"/>
    </row>
    <row r="3705" spans="1:24" s="896" customFormat="1" ht="25.5">
      <c r="A3705" s="987">
        <f t="shared" si="58"/>
        <v>3631</v>
      </c>
      <c r="B3705" s="988">
        <v>4930</v>
      </c>
      <c r="C3705" s="899" t="s">
        <v>13031</v>
      </c>
      <c r="D3705" s="988" t="s">
        <v>2667</v>
      </c>
      <c r="E3705" s="989">
        <v>1018.44</v>
      </c>
      <c r="F3705" s="990"/>
      <c r="G3705" s="990"/>
      <c r="H3705" s="990"/>
      <c r="I3705" s="990"/>
      <c r="J3705" s="990"/>
      <c r="K3705" s="990"/>
      <c r="L3705" s="990"/>
      <c r="M3705" s="990"/>
      <c r="N3705" s="990"/>
      <c r="O3705" s="990"/>
      <c r="P3705" s="990"/>
      <c r="Q3705" s="990"/>
      <c r="R3705" s="990"/>
      <c r="S3705" s="990"/>
      <c r="T3705" s="990"/>
      <c r="U3705" s="990"/>
      <c r="V3705" s="990"/>
      <c r="W3705" s="990"/>
      <c r="X3705" s="990"/>
    </row>
    <row r="3706" spans="1:24" s="896" customFormat="1" ht="38.25">
      <c r="A3706" s="987">
        <f t="shared" si="58"/>
        <v>3632</v>
      </c>
      <c r="B3706" s="988">
        <v>39021</v>
      </c>
      <c r="C3706" s="899" t="s">
        <v>13032</v>
      </c>
      <c r="D3706" s="988" t="s">
        <v>2666</v>
      </c>
      <c r="E3706" s="989">
        <v>1082.8599999999999</v>
      </c>
      <c r="F3706" s="990"/>
      <c r="G3706" s="990"/>
      <c r="H3706" s="990"/>
      <c r="I3706" s="990"/>
      <c r="J3706" s="990"/>
      <c r="K3706" s="990"/>
      <c r="L3706" s="990"/>
      <c r="M3706" s="990"/>
      <c r="N3706" s="990"/>
      <c r="O3706" s="990"/>
      <c r="P3706" s="990"/>
      <c r="Q3706" s="990"/>
      <c r="R3706" s="990"/>
      <c r="S3706" s="990"/>
      <c r="T3706" s="990"/>
      <c r="U3706" s="990"/>
      <c r="V3706" s="990"/>
      <c r="W3706" s="990"/>
      <c r="X3706" s="990"/>
    </row>
    <row r="3707" spans="1:24" s="896" customFormat="1" ht="25.5">
      <c r="A3707" s="987">
        <f t="shared" si="58"/>
        <v>3633</v>
      </c>
      <c r="B3707" s="988">
        <v>39022</v>
      </c>
      <c r="C3707" s="899" t="s">
        <v>13033</v>
      </c>
      <c r="D3707" s="988" t="s">
        <v>2666</v>
      </c>
      <c r="E3707" s="989">
        <v>969.95</v>
      </c>
      <c r="F3707" s="990"/>
      <c r="G3707" s="990"/>
      <c r="H3707" s="990"/>
      <c r="I3707" s="990"/>
      <c r="J3707" s="990"/>
      <c r="K3707" s="990"/>
      <c r="L3707" s="990"/>
      <c r="M3707" s="990"/>
      <c r="N3707" s="990"/>
      <c r="O3707" s="990"/>
      <c r="P3707" s="990"/>
      <c r="Q3707" s="990"/>
      <c r="R3707" s="990"/>
      <c r="S3707" s="990"/>
      <c r="T3707" s="990"/>
      <c r="U3707" s="990"/>
      <c r="V3707" s="990"/>
      <c r="W3707" s="990"/>
      <c r="X3707" s="990"/>
    </row>
    <row r="3708" spans="1:24" s="896" customFormat="1" ht="25.5">
      <c r="A3708" s="987">
        <f t="shared" si="58"/>
        <v>3634</v>
      </c>
      <c r="B3708" s="988">
        <v>39024</v>
      </c>
      <c r="C3708" s="899" t="s">
        <v>13034</v>
      </c>
      <c r="D3708" s="988" t="s">
        <v>2666</v>
      </c>
      <c r="E3708" s="989">
        <v>1195.92</v>
      </c>
      <c r="F3708" s="990"/>
      <c r="G3708" s="990"/>
      <c r="H3708" s="990"/>
      <c r="I3708" s="990"/>
      <c r="J3708" s="990"/>
      <c r="K3708" s="990"/>
      <c r="L3708" s="990"/>
      <c r="M3708" s="990"/>
      <c r="N3708" s="990"/>
      <c r="O3708" s="990"/>
      <c r="P3708" s="990"/>
      <c r="Q3708" s="990"/>
      <c r="R3708" s="990"/>
      <c r="S3708" s="990"/>
      <c r="T3708" s="990"/>
      <c r="U3708" s="990"/>
      <c r="V3708" s="990"/>
      <c r="W3708" s="990"/>
      <c r="X3708" s="990"/>
    </row>
    <row r="3709" spans="1:24" s="896" customFormat="1" ht="25.5">
      <c r="A3709" s="987">
        <f t="shared" si="58"/>
        <v>3635</v>
      </c>
      <c r="B3709" s="988">
        <v>4914</v>
      </c>
      <c r="C3709" s="899" t="s">
        <v>13035</v>
      </c>
      <c r="D3709" s="988" t="s">
        <v>2667</v>
      </c>
      <c r="E3709" s="989">
        <v>969.68</v>
      </c>
      <c r="F3709" s="990"/>
      <c r="G3709" s="990"/>
      <c r="H3709" s="990"/>
      <c r="I3709" s="990"/>
      <c r="J3709" s="990"/>
      <c r="K3709" s="990"/>
      <c r="L3709" s="990"/>
      <c r="M3709" s="990"/>
      <c r="N3709" s="990"/>
      <c r="O3709" s="990"/>
      <c r="P3709" s="990"/>
      <c r="Q3709" s="990"/>
      <c r="R3709" s="990"/>
      <c r="S3709" s="990"/>
      <c r="T3709" s="990"/>
      <c r="U3709" s="990"/>
      <c r="V3709" s="990"/>
      <c r="W3709" s="990"/>
      <c r="X3709" s="990"/>
    </row>
    <row r="3710" spans="1:24" s="896" customFormat="1" ht="25.5">
      <c r="A3710" s="987">
        <f t="shared" si="58"/>
        <v>3636</v>
      </c>
      <c r="B3710" s="988">
        <v>4917</v>
      </c>
      <c r="C3710" s="899" t="s">
        <v>13036</v>
      </c>
      <c r="D3710" s="988" t="s">
        <v>2667</v>
      </c>
      <c r="E3710" s="989">
        <v>669.67</v>
      </c>
      <c r="F3710" s="990"/>
      <c r="G3710" s="990"/>
      <c r="H3710" s="990"/>
      <c r="I3710" s="990"/>
      <c r="J3710" s="990"/>
      <c r="K3710" s="990"/>
      <c r="L3710" s="990"/>
      <c r="M3710" s="990"/>
      <c r="N3710" s="990"/>
      <c r="O3710" s="990"/>
      <c r="P3710" s="990"/>
      <c r="Q3710" s="990"/>
      <c r="R3710" s="990"/>
      <c r="S3710" s="990"/>
      <c r="T3710" s="990"/>
      <c r="U3710" s="990"/>
      <c r="V3710" s="990"/>
      <c r="W3710" s="990"/>
      <c r="X3710" s="990"/>
    </row>
    <row r="3711" spans="1:24" s="896" customFormat="1" ht="25.5">
      <c r="A3711" s="987">
        <f t="shared" si="58"/>
        <v>3637</v>
      </c>
      <c r="B3711" s="988">
        <v>39025</v>
      </c>
      <c r="C3711" s="899" t="s">
        <v>13037</v>
      </c>
      <c r="D3711" s="988" t="s">
        <v>2666</v>
      </c>
      <c r="E3711" s="989">
        <v>1226.29</v>
      </c>
      <c r="F3711" s="990"/>
      <c r="G3711" s="990"/>
      <c r="H3711" s="990"/>
      <c r="I3711" s="990"/>
      <c r="J3711" s="990"/>
      <c r="K3711" s="990"/>
      <c r="L3711" s="990"/>
      <c r="M3711" s="990"/>
      <c r="N3711" s="990"/>
      <c r="O3711" s="990"/>
      <c r="P3711" s="990"/>
      <c r="Q3711" s="990"/>
      <c r="R3711" s="990"/>
      <c r="S3711" s="990"/>
      <c r="T3711" s="990"/>
      <c r="U3711" s="990"/>
      <c r="V3711" s="990"/>
      <c r="W3711" s="990"/>
      <c r="X3711" s="990"/>
    </row>
    <row r="3712" spans="1:24" s="896" customFormat="1" ht="25.5">
      <c r="A3712" s="987">
        <f t="shared" si="58"/>
        <v>3638</v>
      </c>
      <c r="B3712" s="988">
        <v>4922</v>
      </c>
      <c r="C3712" s="899" t="s">
        <v>13038</v>
      </c>
      <c r="D3712" s="988" t="s">
        <v>2667</v>
      </c>
      <c r="E3712" s="989">
        <v>621.17999999999995</v>
      </c>
      <c r="F3712" s="990"/>
      <c r="G3712" s="990"/>
      <c r="H3712" s="990"/>
      <c r="I3712" s="990"/>
      <c r="J3712" s="990"/>
      <c r="K3712" s="990"/>
      <c r="L3712" s="990"/>
      <c r="M3712" s="990"/>
      <c r="N3712" s="990"/>
      <c r="O3712" s="990"/>
      <c r="P3712" s="990"/>
      <c r="Q3712" s="990"/>
      <c r="R3712" s="990"/>
      <c r="S3712" s="990"/>
      <c r="T3712" s="990"/>
      <c r="U3712" s="990"/>
      <c r="V3712" s="990"/>
      <c r="W3712" s="990"/>
      <c r="X3712" s="990"/>
    </row>
    <row r="3713" spans="1:24" s="896" customFormat="1" ht="25.5">
      <c r="A3713" s="987">
        <f t="shared" si="58"/>
        <v>3639</v>
      </c>
      <c r="B3713" s="988">
        <v>4911</v>
      </c>
      <c r="C3713" s="899" t="s">
        <v>13039</v>
      </c>
      <c r="D3713" s="988" t="s">
        <v>2667</v>
      </c>
      <c r="E3713" s="989">
        <v>440.72</v>
      </c>
      <c r="F3713" s="990"/>
      <c r="G3713" s="990"/>
      <c r="H3713" s="990"/>
      <c r="I3713" s="990"/>
      <c r="J3713" s="990"/>
      <c r="K3713" s="990"/>
      <c r="L3713" s="990"/>
      <c r="M3713" s="990"/>
      <c r="N3713" s="990"/>
      <c r="O3713" s="990"/>
      <c r="P3713" s="990"/>
      <c r="Q3713" s="990"/>
      <c r="R3713" s="990"/>
      <c r="S3713" s="990"/>
      <c r="T3713" s="990"/>
      <c r="U3713" s="990"/>
      <c r="V3713" s="990"/>
      <c r="W3713" s="990"/>
      <c r="X3713" s="990"/>
    </row>
    <row r="3714" spans="1:24" s="896" customFormat="1" ht="25.5">
      <c r="A3714" s="987">
        <f t="shared" si="58"/>
        <v>3640</v>
      </c>
      <c r="B3714" s="988">
        <v>37518</v>
      </c>
      <c r="C3714" s="899" t="s">
        <v>13040</v>
      </c>
      <c r="D3714" s="988" t="s">
        <v>2667</v>
      </c>
      <c r="E3714" s="989">
        <v>716.17</v>
      </c>
      <c r="F3714" s="990"/>
      <c r="G3714" s="990"/>
      <c r="H3714" s="990"/>
      <c r="I3714" s="990"/>
      <c r="J3714" s="990"/>
      <c r="K3714" s="990"/>
      <c r="L3714" s="990"/>
      <c r="M3714" s="990"/>
      <c r="N3714" s="990"/>
      <c r="O3714" s="990"/>
      <c r="P3714" s="990"/>
      <c r="Q3714" s="990"/>
      <c r="R3714" s="990"/>
      <c r="S3714" s="990"/>
      <c r="T3714" s="990"/>
      <c r="U3714" s="990"/>
      <c r="V3714" s="990"/>
      <c r="W3714" s="990"/>
      <c r="X3714" s="990"/>
    </row>
    <row r="3715" spans="1:24" s="896" customFormat="1" ht="25.5">
      <c r="A3715" s="987">
        <f t="shared" si="58"/>
        <v>3641</v>
      </c>
      <c r="B3715" s="988">
        <v>4910</v>
      </c>
      <c r="C3715" s="899" t="s">
        <v>13041</v>
      </c>
      <c r="D3715" s="988" t="s">
        <v>2667</v>
      </c>
      <c r="E3715" s="989">
        <v>603.74</v>
      </c>
      <c r="F3715" s="990"/>
      <c r="G3715" s="990"/>
      <c r="H3715" s="990"/>
      <c r="I3715" s="990"/>
      <c r="J3715" s="990"/>
      <c r="K3715" s="990"/>
      <c r="L3715" s="990"/>
      <c r="M3715" s="990"/>
      <c r="N3715" s="990"/>
      <c r="O3715" s="990"/>
      <c r="P3715" s="990"/>
      <c r="Q3715" s="990"/>
      <c r="R3715" s="990"/>
      <c r="S3715" s="990"/>
      <c r="T3715" s="990"/>
      <c r="U3715" s="990"/>
      <c r="V3715" s="990"/>
      <c r="W3715" s="990"/>
      <c r="X3715" s="990"/>
    </row>
    <row r="3716" spans="1:24" s="896" customFormat="1" ht="25.5">
      <c r="A3716" s="987">
        <f t="shared" si="58"/>
        <v>3642</v>
      </c>
      <c r="B3716" s="988">
        <v>4943</v>
      </c>
      <c r="C3716" s="899" t="s">
        <v>13042</v>
      </c>
      <c r="D3716" s="988" t="s">
        <v>2667</v>
      </c>
      <c r="E3716" s="989">
        <v>899.42</v>
      </c>
      <c r="F3716" s="990"/>
      <c r="G3716" s="990"/>
      <c r="H3716" s="990"/>
      <c r="I3716" s="990"/>
      <c r="J3716" s="990"/>
      <c r="K3716" s="990"/>
      <c r="L3716" s="990"/>
      <c r="M3716" s="990"/>
      <c r="N3716" s="990"/>
      <c r="O3716" s="990"/>
      <c r="P3716" s="990"/>
      <c r="Q3716" s="990"/>
      <c r="R3716" s="990"/>
      <c r="S3716" s="990"/>
      <c r="T3716" s="990"/>
      <c r="U3716" s="990"/>
      <c r="V3716" s="990"/>
      <c r="W3716" s="990"/>
      <c r="X3716" s="990"/>
    </row>
    <row r="3717" spans="1:24" s="896" customFormat="1" ht="25.5">
      <c r="A3717" s="987">
        <f t="shared" si="58"/>
        <v>3643</v>
      </c>
      <c r="B3717" s="988">
        <v>5002</v>
      </c>
      <c r="C3717" s="899" t="s">
        <v>13043</v>
      </c>
      <c r="D3717" s="988" t="s">
        <v>2667</v>
      </c>
      <c r="E3717" s="989">
        <v>468.16</v>
      </c>
      <c r="F3717" s="990"/>
      <c r="G3717" s="990"/>
      <c r="H3717" s="990"/>
      <c r="I3717" s="990"/>
      <c r="J3717" s="990"/>
      <c r="K3717" s="990"/>
      <c r="L3717" s="990"/>
      <c r="M3717" s="990"/>
      <c r="N3717" s="990"/>
      <c r="O3717" s="990"/>
      <c r="P3717" s="990"/>
      <c r="Q3717" s="990"/>
      <c r="R3717" s="990"/>
      <c r="S3717" s="990"/>
      <c r="T3717" s="990"/>
      <c r="U3717" s="990"/>
      <c r="V3717" s="990"/>
      <c r="W3717" s="990"/>
      <c r="X3717" s="990"/>
    </row>
    <row r="3718" spans="1:24" s="896" customFormat="1" ht="25.5">
      <c r="A3718" s="987">
        <f t="shared" si="58"/>
        <v>3644</v>
      </c>
      <c r="B3718" s="988">
        <v>4977</v>
      </c>
      <c r="C3718" s="899" t="s">
        <v>13044</v>
      </c>
      <c r="D3718" s="988" t="s">
        <v>2667</v>
      </c>
      <c r="E3718" s="989">
        <v>316.02999999999997</v>
      </c>
      <c r="F3718" s="990"/>
      <c r="G3718" s="990"/>
      <c r="H3718" s="990"/>
      <c r="I3718" s="990"/>
      <c r="J3718" s="990"/>
      <c r="K3718" s="990"/>
      <c r="L3718" s="990"/>
      <c r="M3718" s="990"/>
      <c r="N3718" s="990"/>
      <c r="O3718" s="990"/>
      <c r="P3718" s="990"/>
      <c r="Q3718" s="990"/>
      <c r="R3718" s="990"/>
      <c r="S3718" s="990"/>
      <c r="T3718" s="990"/>
      <c r="U3718" s="990"/>
      <c r="V3718" s="990"/>
      <c r="W3718" s="990"/>
      <c r="X3718" s="990"/>
    </row>
    <row r="3719" spans="1:24" s="896" customFormat="1" ht="25.5">
      <c r="A3719" s="987">
        <f t="shared" si="58"/>
        <v>3645</v>
      </c>
      <c r="B3719" s="988">
        <v>5028</v>
      </c>
      <c r="C3719" s="899" t="s">
        <v>13045</v>
      </c>
      <c r="D3719" s="988" t="s">
        <v>2667</v>
      </c>
      <c r="E3719" s="989">
        <v>773.27</v>
      </c>
      <c r="F3719" s="990"/>
      <c r="G3719" s="990"/>
      <c r="H3719" s="990"/>
      <c r="I3719" s="990"/>
      <c r="J3719" s="990"/>
      <c r="K3719" s="990"/>
      <c r="L3719" s="990"/>
      <c r="M3719" s="990"/>
      <c r="N3719" s="990"/>
      <c r="O3719" s="990"/>
      <c r="P3719" s="990"/>
      <c r="Q3719" s="990"/>
      <c r="R3719" s="990"/>
      <c r="S3719" s="990"/>
      <c r="T3719" s="990"/>
      <c r="U3719" s="990"/>
      <c r="V3719" s="990"/>
      <c r="W3719" s="990"/>
      <c r="X3719" s="990"/>
    </row>
    <row r="3720" spans="1:24" s="896" customFormat="1" ht="25.5">
      <c r="A3720" s="987">
        <f t="shared" si="58"/>
        <v>3646</v>
      </c>
      <c r="B3720" s="988">
        <v>4998</v>
      </c>
      <c r="C3720" s="899" t="s">
        <v>13046</v>
      </c>
      <c r="D3720" s="988" t="s">
        <v>2667</v>
      </c>
      <c r="E3720" s="989">
        <v>642.22</v>
      </c>
      <c r="F3720" s="990"/>
      <c r="G3720" s="990"/>
      <c r="H3720" s="990"/>
      <c r="I3720" s="990"/>
      <c r="J3720" s="990"/>
      <c r="K3720" s="990"/>
      <c r="L3720" s="990"/>
      <c r="M3720" s="990"/>
      <c r="N3720" s="990"/>
      <c r="O3720" s="990"/>
      <c r="P3720" s="990"/>
      <c r="Q3720" s="990"/>
      <c r="R3720" s="990"/>
      <c r="S3720" s="990"/>
      <c r="T3720" s="990"/>
      <c r="U3720" s="990"/>
      <c r="V3720" s="990"/>
      <c r="W3720" s="990"/>
      <c r="X3720" s="990"/>
    </row>
    <row r="3721" spans="1:24" s="896" customFormat="1" ht="25.5">
      <c r="A3721" s="987">
        <f t="shared" si="58"/>
        <v>3647</v>
      </c>
      <c r="B3721" s="988">
        <v>4969</v>
      </c>
      <c r="C3721" s="899" t="s">
        <v>13047</v>
      </c>
      <c r="D3721" s="988" t="s">
        <v>2667</v>
      </c>
      <c r="E3721" s="989">
        <v>446.96</v>
      </c>
      <c r="F3721" s="990"/>
      <c r="G3721" s="990"/>
      <c r="H3721" s="990"/>
      <c r="I3721" s="990"/>
      <c r="J3721" s="990"/>
      <c r="K3721" s="990"/>
      <c r="L3721" s="990"/>
      <c r="M3721" s="990"/>
      <c r="N3721" s="990"/>
      <c r="O3721" s="990"/>
      <c r="P3721" s="990"/>
      <c r="Q3721" s="990"/>
      <c r="R3721" s="990"/>
      <c r="S3721" s="990"/>
      <c r="T3721" s="990"/>
      <c r="U3721" s="990"/>
      <c r="V3721" s="990"/>
      <c r="W3721" s="990"/>
      <c r="X3721" s="990"/>
    </row>
    <row r="3722" spans="1:24" s="896" customFormat="1" ht="25.5">
      <c r="A3722" s="987">
        <f t="shared" si="58"/>
        <v>3648</v>
      </c>
      <c r="B3722" s="988">
        <v>11364</v>
      </c>
      <c r="C3722" s="899" t="s">
        <v>13048</v>
      </c>
      <c r="D3722" s="988" t="s">
        <v>2666</v>
      </c>
      <c r="E3722" s="989">
        <v>179.12</v>
      </c>
      <c r="F3722" s="990"/>
      <c r="G3722" s="990"/>
      <c r="H3722" s="990"/>
      <c r="I3722" s="990"/>
      <c r="J3722" s="990"/>
      <c r="K3722" s="990"/>
      <c r="L3722" s="990"/>
      <c r="M3722" s="990"/>
      <c r="N3722" s="990"/>
      <c r="O3722" s="990"/>
      <c r="P3722" s="990"/>
      <c r="Q3722" s="990"/>
      <c r="R3722" s="990"/>
      <c r="S3722" s="990"/>
      <c r="T3722" s="990"/>
      <c r="U3722" s="990"/>
      <c r="V3722" s="990"/>
      <c r="W3722" s="990"/>
      <c r="X3722" s="990"/>
    </row>
    <row r="3723" spans="1:24" s="896" customFormat="1" ht="25.5">
      <c r="A3723" s="987">
        <f t="shared" si="58"/>
        <v>3649</v>
      </c>
      <c r="B3723" s="988">
        <v>11365</v>
      </c>
      <c r="C3723" s="899" t="s">
        <v>13049</v>
      </c>
      <c r="D3723" s="988" t="s">
        <v>2666</v>
      </c>
      <c r="E3723" s="989">
        <v>185.88</v>
      </c>
      <c r="F3723" s="990"/>
      <c r="G3723" s="990"/>
      <c r="H3723" s="990"/>
      <c r="I3723" s="990"/>
      <c r="J3723" s="990"/>
      <c r="K3723" s="990"/>
      <c r="L3723" s="990"/>
      <c r="M3723" s="990"/>
      <c r="N3723" s="990"/>
      <c r="O3723" s="990"/>
      <c r="P3723" s="990"/>
      <c r="Q3723" s="990"/>
      <c r="R3723" s="990"/>
      <c r="S3723" s="990"/>
      <c r="T3723" s="990"/>
      <c r="U3723" s="990"/>
      <c r="V3723" s="990"/>
      <c r="W3723" s="990"/>
      <c r="X3723" s="990"/>
    </row>
    <row r="3724" spans="1:24" s="896" customFormat="1" ht="25.5">
      <c r="A3724" s="987">
        <f t="shared" ref="A3724:A3787" si="59">A3723+1</f>
        <v>3650</v>
      </c>
      <c r="B3724" s="988">
        <v>11366</v>
      </c>
      <c r="C3724" s="899" t="s">
        <v>13050</v>
      </c>
      <c r="D3724" s="988" t="s">
        <v>2666</v>
      </c>
      <c r="E3724" s="989">
        <v>197.59</v>
      </c>
      <c r="F3724" s="990"/>
      <c r="G3724" s="990"/>
      <c r="H3724" s="990"/>
      <c r="I3724" s="990"/>
      <c r="J3724" s="990"/>
      <c r="K3724" s="990"/>
      <c r="L3724" s="990"/>
      <c r="M3724" s="990"/>
      <c r="N3724" s="990"/>
      <c r="O3724" s="990"/>
      <c r="P3724" s="990"/>
      <c r="Q3724" s="990"/>
      <c r="R3724" s="990"/>
      <c r="S3724" s="990"/>
      <c r="T3724" s="990"/>
      <c r="U3724" s="990"/>
      <c r="V3724" s="990"/>
      <c r="W3724" s="990"/>
      <c r="X3724" s="990"/>
    </row>
    <row r="3725" spans="1:24" s="896" customFormat="1" ht="25.5">
      <c r="A3725" s="987">
        <f t="shared" si="59"/>
        <v>3651</v>
      </c>
      <c r="B3725" s="988">
        <v>43777</v>
      </c>
      <c r="C3725" s="899" t="s">
        <v>13051</v>
      </c>
      <c r="D3725" s="988" t="s">
        <v>2666</v>
      </c>
      <c r="E3725" s="989">
        <v>232.1</v>
      </c>
      <c r="F3725" s="990"/>
      <c r="G3725" s="990"/>
      <c r="H3725" s="990"/>
      <c r="I3725" s="990"/>
      <c r="J3725" s="990"/>
      <c r="K3725" s="990"/>
      <c r="L3725" s="990"/>
      <c r="M3725" s="990"/>
      <c r="N3725" s="990"/>
      <c r="O3725" s="990"/>
      <c r="P3725" s="990"/>
      <c r="Q3725" s="990"/>
      <c r="R3725" s="990"/>
      <c r="S3725" s="990"/>
      <c r="T3725" s="990"/>
      <c r="U3725" s="990"/>
      <c r="V3725" s="990"/>
      <c r="W3725" s="990"/>
      <c r="X3725" s="990"/>
    </row>
    <row r="3726" spans="1:24" s="896" customFormat="1" ht="38.25">
      <c r="A3726" s="987">
        <f t="shared" si="59"/>
        <v>3652</v>
      </c>
      <c r="B3726" s="988">
        <v>20322</v>
      </c>
      <c r="C3726" s="899" t="s">
        <v>13052</v>
      </c>
      <c r="D3726" s="988" t="s">
        <v>2666</v>
      </c>
      <c r="E3726" s="989">
        <v>215.46</v>
      </c>
      <c r="F3726" s="990"/>
      <c r="G3726" s="990"/>
      <c r="H3726" s="990"/>
      <c r="I3726" s="990"/>
      <c r="J3726" s="990"/>
      <c r="K3726" s="990"/>
      <c r="L3726" s="990"/>
      <c r="M3726" s="990"/>
      <c r="N3726" s="990"/>
      <c r="O3726" s="990"/>
      <c r="P3726" s="990"/>
      <c r="Q3726" s="990"/>
      <c r="R3726" s="990"/>
      <c r="S3726" s="990"/>
      <c r="T3726" s="990"/>
      <c r="U3726" s="990"/>
      <c r="V3726" s="990"/>
      <c r="W3726" s="990"/>
      <c r="X3726" s="990"/>
    </row>
    <row r="3727" spans="1:24" s="896" customFormat="1" ht="38.25">
      <c r="A3727" s="987">
        <f t="shared" si="59"/>
        <v>3653</v>
      </c>
      <c r="B3727" s="988">
        <v>10553</v>
      </c>
      <c r="C3727" s="899" t="s">
        <v>13053</v>
      </c>
      <c r="D3727" s="988" t="s">
        <v>2666</v>
      </c>
      <c r="E3727" s="989">
        <v>195.64</v>
      </c>
      <c r="F3727" s="990"/>
      <c r="G3727" s="990"/>
      <c r="H3727" s="990"/>
      <c r="I3727" s="990"/>
      <c r="J3727" s="990"/>
      <c r="K3727" s="990"/>
      <c r="L3727" s="990"/>
      <c r="M3727" s="990"/>
      <c r="N3727" s="990"/>
      <c r="O3727" s="990"/>
      <c r="P3727" s="990"/>
      <c r="Q3727" s="990"/>
      <c r="R3727" s="990"/>
      <c r="S3727" s="990"/>
      <c r="T3727" s="990"/>
      <c r="U3727" s="990"/>
      <c r="V3727" s="990"/>
      <c r="W3727" s="990"/>
      <c r="X3727" s="990"/>
    </row>
    <row r="3728" spans="1:24" s="896" customFormat="1" ht="38.25">
      <c r="A3728" s="987">
        <f t="shared" si="59"/>
        <v>3654</v>
      </c>
      <c r="B3728" s="988">
        <v>5020</v>
      </c>
      <c r="C3728" s="899" t="s">
        <v>13054</v>
      </c>
      <c r="D3728" s="988" t="s">
        <v>2666</v>
      </c>
      <c r="E3728" s="989">
        <v>206.26</v>
      </c>
      <c r="F3728" s="990"/>
      <c r="G3728" s="990"/>
      <c r="H3728" s="990"/>
      <c r="I3728" s="990"/>
      <c r="J3728" s="990"/>
      <c r="K3728" s="990"/>
      <c r="L3728" s="990"/>
      <c r="M3728" s="990"/>
      <c r="N3728" s="990"/>
      <c r="O3728" s="990"/>
      <c r="P3728" s="990"/>
      <c r="Q3728" s="990"/>
      <c r="R3728" s="990"/>
      <c r="S3728" s="990"/>
      <c r="T3728" s="990"/>
      <c r="U3728" s="990"/>
      <c r="V3728" s="990"/>
      <c r="W3728" s="990"/>
      <c r="X3728" s="990"/>
    </row>
    <row r="3729" spans="1:24" s="896" customFormat="1" ht="38.25">
      <c r="A3729" s="987">
        <f t="shared" si="59"/>
        <v>3655</v>
      </c>
      <c r="B3729" s="988">
        <v>10554</v>
      </c>
      <c r="C3729" s="899" t="s">
        <v>13055</v>
      </c>
      <c r="D3729" s="988" t="s">
        <v>2666</v>
      </c>
      <c r="E3729" s="989">
        <v>197.37</v>
      </c>
      <c r="F3729" s="990"/>
      <c r="G3729" s="990"/>
      <c r="H3729" s="990"/>
      <c r="I3729" s="990"/>
      <c r="J3729" s="990"/>
      <c r="K3729" s="990"/>
      <c r="L3729" s="990"/>
      <c r="M3729" s="990"/>
      <c r="N3729" s="990"/>
      <c r="O3729" s="990"/>
      <c r="P3729" s="990"/>
      <c r="Q3729" s="990"/>
      <c r="R3729" s="990"/>
      <c r="S3729" s="990"/>
      <c r="T3729" s="990"/>
      <c r="U3729" s="990"/>
      <c r="V3729" s="990"/>
      <c r="W3729" s="990"/>
      <c r="X3729" s="990"/>
    </row>
    <row r="3730" spans="1:24" s="896" customFormat="1" ht="38.25">
      <c r="A3730" s="987">
        <f t="shared" si="59"/>
        <v>3656</v>
      </c>
      <c r="B3730" s="988">
        <v>10555</v>
      </c>
      <c r="C3730" s="899" t="s">
        <v>13056</v>
      </c>
      <c r="D3730" s="988" t="s">
        <v>2666</v>
      </c>
      <c r="E3730" s="989">
        <v>215.24</v>
      </c>
      <c r="F3730" s="990"/>
      <c r="G3730" s="990"/>
      <c r="H3730" s="990"/>
      <c r="I3730" s="990"/>
      <c r="J3730" s="990"/>
      <c r="K3730" s="990"/>
      <c r="L3730" s="990"/>
      <c r="M3730" s="990"/>
      <c r="N3730" s="990"/>
      <c r="O3730" s="990"/>
      <c r="P3730" s="990"/>
      <c r="Q3730" s="990"/>
      <c r="R3730" s="990"/>
      <c r="S3730" s="990"/>
      <c r="T3730" s="990"/>
      <c r="U3730" s="990"/>
      <c r="V3730" s="990"/>
      <c r="W3730" s="990"/>
      <c r="X3730" s="990"/>
    </row>
    <row r="3731" spans="1:24" s="896" customFormat="1" ht="38.25">
      <c r="A3731" s="987">
        <f t="shared" si="59"/>
        <v>3657</v>
      </c>
      <c r="B3731" s="988">
        <v>10556</v>
      </c>
      <c r="C3731" s="899" t="s">
        <v>13057</v>
      </c>
      <c r="D3731" s="988" t="s">
        <v>2666</v>
      </c>
      <c r="E3731" s="989">
        <v>286.18</v>
      </c>
      <c r="F3731" s="990"/>
      <c r="G3731" s="990"/>
      <c r="H3731" s="990"/>
      <c r="I3731" s="990"/>
      <c r="J3731" s="990"/>
      <c r="K3731" s="990"/>
      <c r="L3731" s="990"/>
      <c r="M3731" s="990"/>
      <c r="N3731" s="990"/>
      <c r="O3731" s="990"/>
      <c r="P3731" s="990"/>
      <c r="Q3731" s="990"/>
      <c r="R3731" s="990"/>
      <c r="S3731" s="990"/>
      <c r="T3731" s="990"/>
      <c r="U3731" s="990"/>
      <c r="V3731" s="990"/>
      <c r="W3731" s="990"/>
      <c r="X3731" s="990"/>
    </row>
    <row r="3732" spans="1:24" s="896" customFormat="1" ht="38.25">
      <c r="A3732" s="987">
        <f t="shared" si="59"/>
        <v>3658</v>
      </c>
      <c r="B3732" s="988">
        <v>39502</v>
      </c>
      <c r="C3732" s="899" t="s">
        <v>13058</v>
      </c>
      <c r="D3732" s="988" t="s">
        <v>2666</v>
      </c>
      <c r="E3732" s="989">
        <v>401.87</v>
      </c>
      <c r="F3732" s="990"/>
      <c r="G3732" s="990"/>
      <c r="H3732" s="990"/>
      <c r="I3732" s="990"/>
      <c r="J3732" s="990"/>
      <c r="K3732" s="990"/>
      <c r="L3732" s="990"/>
      <c r="M3732" s="990"/>
      <c r="N3732" s="990"/>
      <c r="O3732" s="990"/>
      <c r="P3732" s="990"/>
      <c r="Q3732" s="990"/>
      <c r="R3732" s="990"/>
      <c r="S3732" s="990"/>
      <c r="T3732" s="990"/>
      <c r="U3732" s="990"/>
      <c r="V3732" s="990"/>
      <c r="W3732" s="990"/>
      <c r="X3732" s="990"/>
    </row>
    <row r="3733" spans="1:24" s="896" customFormat="1" ht="38.25">
      <c r="A3733" s="987">
        <f t="shared" si="59"/>
        <v>3659</v>
      </c>
      <c r="B3733" s="988">
        <v>39504</v>
      </c>
      <c r="C3733" s="899" t="s">
        <v>13059</v>
      </c>
      <c r="D3733" s="988" t="s">
        <v>2666</v>
      </c>
      <c r="E3733" s="989">
        <v>444.39</v>
      </c>
      <c r="F3733" s="990"/>
      <c r="G3733" s="990"/>
      <c r="H3733" s="990"/>
      <c r="I3733" s="990"/>
      <c r="J3733" s="990"/>
      <c r="K3733" s="990"/>
      <c r="L3733" s="990"/>
      <c r="M3733" s="990"/>
      <c r="N3733" s="990"/>
      <c r="O3733" s="990"/>
      <c r="P3733" s="990"/>
      <c r="Q3733" s="990"/>
      <c r="R3733" s="990"/>
      <c r="S3733" s="990"/>
      <c r="T3733" s="990"/>
      <c r="U3733" s="990"/>
      <c r="V3733" s="990"/>
      <c r="W3733" s="990"/>
      <c r="X3733" s="990"/>
    </row>
    <row r="3734" spans="1:24" s="896" customFormat="1" ht="38.25">
      <c r="A3734" s="987">
        <f t="shared" si="59"/>
        <v>3660</v>
      </c>
      <c r="B3734" s="988">
        <v>39503</v>
      </c>
      <c r="C3734" s="899" t="s">
        <v>13060</v>
      </c>
      <c r="D3734" s="988" t="s">
        <v>2666</v>
      </c>
      <c r="E3734" s="989">
        <v>467.71</v>
      </c>
      <c r="F3734" s="990"/>
      <c r="G3734" s="990"/>
      <c r="H3734" s="990"/>
      <c r="I3734" s="990"/>
      <c r="J3734" s="990"/>
      <c r="K3734" s="990"/>
      <c r="L3734" s="990"/>
      <c r="M3734" s="990"/>
      <c r="N3734" s="990"/>
      <c r="O3734" s="990"/>
      <c r="P3734" s="990"/>
      <c r="Q3734" s="990"/>
      <c r="R3734" s="990"/>
      <c r="S3734" s="990"/>
      <c r="T3734" s="990"/>
      <c r="U3734" s="990"/>
      <c r="V3734" s="990"/>
      <c r="W3734" s="990"/>
      <c r="X3734" s="990"/>
    </row>
    <row r="3735" spans="1:24" s="896" customFormat="1" ht="38.25">
      <c r="A3735" s="987">
        <f t="shared" si="59"/>
        <v>3661</v>
      </c>
      <c r="B3735" s="988">
        <v>39505</v>
      </c>
      <c r="C3735" s="899" t="s">
        <v>13061</v>
      </c>
      <c r="D3735" s="988" t="s">
        <v>2666</v>
      </c>
      <c r="E3735" s="989">
        <v>504.02</v>
      </c>
      <c r="F3735" s="990"/>
      <c r="G3735" s="990"/>
      <c r="H3735" s="990"/>
      <c r="I3735" s="990"/>
      <c r="J3735" s="990"/>
      <c r="K3735" s="990"/>
      <c r="L3735" s="990"/>
      <c r="M3735" s="990"/>
      <c r="N3735" s="990"/>
      <c r="O3735" s="990"/>
      <c r="P3735" s="990"/>
      <c r="Q3735" s="990"/>
      <c r="R3735" s="990"/>
      <c r="S3735" s="990"/>
      <c r="T3735" s="990"/>
      <c r="U3735" s="990"/>
      <c r="V3735" s="990"/>
      <c r="W3735" s="990"/>
      <c r="X3735" s="990"/>
    </row>
    <row r="3736" spans="1:24" s="896" customFormat="1">
      <c r="A3736" s="987">
        <f t="shared" si="59"/>
        <v>3662</v>
      </c>
      <c r="B3736" s="988">
        <v>44471</v>
      </c>
      <c r="C3736" s="899" t="s">
        <v>13062</v>
      </c>
      <c r="D3736" s="988" t="s">
        <v>2666</v>
      </c>
      <c r="E3736" s="989">
        <v>598.65</v>
      </c>
      <c r="F3736" s="990"/>
      <c r="G3736" s="990"/>
      <c r="H3736" s="990"/>
      <c r="I3736" s="990"/>
      <c r="J3736" s="990"/>
      <c r="K3736" s="990"/>
      <c r="L3736" s="990"/>
      <c r="M3736" s="990"/>
      <c r="N3736" s="990"/>
      <c r="O3736" s="990"/>
      <c r="P3736" s="990"/>
      <c r="Q3736" s="990"/>
      <c r="R3736" s="990"/>
      <c r="S3736" s="990"/>
      <c r="T3736" s="990"/>
      <c r="U3736" s="990"/>
      <c r="V3736" s="990"/>
      <c r="W3736" s="990"/>
      <c r="X3736" s="990"/>
    </row>
    <row r="3737" spans="1:24" s="896" customFormat="1" ht="25.5">
      <c r="A3737" s="987">
        <f t="shared" si="59"/>
        <v>3663</v>
      </c>
      <c r="B3737" s="988">
        <v>4944</v>
      </c>
      <c r="C3737" s="899" t="s">
        <v>13063</v>
      </c>
      <c r="D3737" s="988" t="s">
        <v>2667</v>
      </c>
      <c r="E3737" s="989">
        <v>1344.64</v>
      </c>
      <c r="F3737" s="990"/>
      <c r="G3737" s="990"/>
      <c r="H3737" s="990"/>
      <c r="I3737" s="990"/>
      <c r="J3737" s="990"/>
      <c r="K3737" s="990"/>
      <c r="L3737" s="990"/>
      <c r="M3737" s="990"/>
      <c r="N3737" s="990"/>
      <c r="O3737" s="990"/>
      <c r="P3737" s="990"/>
      <c r="Q3737" s="990"/>
      <c r="R3737" s="990"/>
      <c r="S3737" s="990"/>
      <c r="T3737" s="990"/>
      <c r="U3737" s="990"/>
      <c r="V3737" s="990"/>
      <c r="W3737" s="990"/>
      <c r="X3737" s="990"/>
    </row>
    <row r="3738" spans="1:24" s="896" customFormat="1">
      <c r="A3738" s="987">
        <f t="shared" si="59"/>
        <v>3664</v>
      </c>
      <c r="B3738" s="988">
        <v>21102</v>
      </c>
      <c r="C3738" s="899" t="s">
        <v>13064</v>
      </c>
      <c r="D3738" s="988" t="s">
        <v>2666</v>
      </c>
      <c r="E3738" s="989">
        <v>70.83</v>
      </c>
      <c r="F3738" s="990"/>
      <c r="G3738" s="990"/>
      <c r="H3738" s="990"/>
      <c r="I3738" s="990"/>
      <c r="J3738" s="990"/>
      <c r="K3738" s="990"/>
      <c r="L3738" s="990"/>
      <c r="M3738" s="990"/>
      <c r="N3738" s="990"/>
      <c r="O3738" s="990"/>
      <c r="P3738" s="990"/>
      <c r="Q3738" s="990"/>
      <c r="R3738" s="990"/>
      <c r="S3738" s="990"/>
      <c r="T3738" s="990"/>
      <c r="U3738" s="990"/>
      <c r="V3738" s="990"/>
      <c r="W3738" s="990"/>
      <c r="X3738" s="990"/>
    </row>
    <row r="3739" spans="1:24" s="896" customFormat="1">
      <c r="A3739" s="987">
        <f t="shared" si="59"/>
        <v>3665</v>
      </c>
      <c r="B3739" s="988">
        <v>21101</v>
      </c>
      <c r="C3739" s="899" t="s">
        <v>13065</v>
      </c>
      <c r="D3739" s="988" t="s">
        <v>2666</v>
      </c>
      <c r="E3739" s="989">
        <v>45.48</v>
      </c>
      <c r="F3739" s="990"/>
      <c r="G3739" s="990"/>
      <c r="H3739" s="990"/>
      <c r="I3739" s="990"/>
      <c r="J3739" s="990"/>
      <c r="K3739" s="990"/>
      <c r="L3739" s="990"/>
      <c r="M3739" s="990"/>
      <c r="N3739" s="990"/>
      <c r="O3739" s="990"/>
      <c r="P3739" s="990"/>
      <c r="Q3739" s="990"/>
      <c r="R3739" s="990"/>
      <c r="S3739" s="990"/>
      <c r="T3739" s="990"/>
      <c r="U3739" s="990"/>
      <c r="V3739" s="990"/>
      <c r="W3739" s="990"/>
      <c r="X3739" s="990"/>
    </row>
    <row r="3740" spans="1:24" s="896" customFormat="1" ht="25.5">
      <c r="A3740" s="987">
        <f t="shared" si="59"/>
        <v>3666</v>
      </c>
      <c r="B3740" s="988">
        <v>34713</v>
      </c>
      <c r="C3740" s="899" t="s">
        <v>13066</v>
      </c>
      <c r="D3740" s="988" t="s">
        <v>2667</v>
      </c>
      <c r="E3740" s="989">
        <v>379.19</v>
      </c>
      <c r="F3740" s="990"/>
      <c r="G3740" s="990"/>
      <c r="H3740" s="990"/>
      <c r="I3740" s="990"/>
      <c r="J3740" s="990"/>
      <c r="K3740" s="990"/>
      <c r="L3740" s="990"/>
      <c r="M3740" s="990"/>
      <c r="N3740" s="990"/>
      <c r="O3740" s="990"/>
      <c r="P3740" s="990"/>
      <c r="Q3740" s="990"/>
      <c r="R3740" s="990"/>
      <c r="S3740" s="990"/>
      <c r="T3740" s="990"/>
      <c r="U3740" s="990"/>
      <c r="V3740" s="990"/>
      <c r="W3740" s="990"/>
      <c r="X3740" s="990"/>
    </row>
    <row r="3741" spans="1:24" s="896" customFormat="1" ht="25.5">
      <c r="A3741" s="987">
        <f t="shared" si="59"/>
        <v>3667</v>
      </c>
      <c r="B3741" s="988">
        <v>37563</v>
      </c>
      <c r="C3741" s="899" t="s">
        <v>13067</v>
      </c>
      <c r="D3741" s="988" t="s">
        <v>2667</v>
      </c>
      <c r="E3741" s="989">
        <v>1120.6600000000001</v>
      </c>
      <c r="F3741" s="990"/>
      <c r="G3741" s="990"/>
      <c r="H3741" s="990"/>
      <c r="I3741" s="990"/>
      <c r="J3741" s="990"/>
      <c r="K3741" s="990"/>
      <c r="L3741" s="990"/>
      <c r="M3741" s="990"/>
      <c r="N3741" s="990"/>
      <c r="O3741" s="990"/>
      <c r="P3741" s="990"/>
      <c r="Q3741" s="990"/>
      <c r="R3741" s="990"/>
      <c r="S3741" s="990"/>
      <c r="T3741" s="990"/>
      <c r="U3741" s="990"/>
      <c r="V3741" s="990"/>
      <c r="W3741" s="990"/>
      <c r="X3741" s="990"/>
    </row>
    <row r="3742" spans="1:24" s="896" customFormat="1" ht="25.5">
      <c r="A3742" s="987">
        <f t="shared" si="59"/>
        <v>3668</v>
      </c>
      <c r="B3742" s="988">
        <v>4948</v>
      </c>
      <c r="C3742" s="899" t="s">
        <v>13068</v>
      </c>
      <c r="D3742" s="988" t="s">
        <v>2667</v>
      </c>
      <c r="E3742" s="989">
        <v>975</v>
      </c>
      <c r="F3742" s="990"/>
      <c r="G3742" s="990"/>
      <c r="H3742" s="990"/>
      <c r="I3742" s="990"/>
      <c r="J3742" s="990"/>
      <c r="K3742" s="990"/>
      <c r="L3742" s="990"/>
      <c r="M3742" s="990"/>
      <c r="N3742" s="990"/>
      <c r="O3742" s="990"/>
      <c r="P3742" s="990"/>
      <c r="Q3742" s="990"/>
      <c r="R3742" s="990"/>
      <c r="S3742" s="990"/>
      <c r="T3742" s="990"/>
      <c r="U3742" s="990"/>
      <c r="V3742" s="990"/>
      <c r="W3742" s="990"/>
      <c r="X3742" s="990"/>
    </row>
    <row r="3743" spans="1:24" s="896" customFormat="1" ht="25.5">
      <c r="A3743" s="987">
        <f t="shared" si="59"/>
        <v>3669</v>
      </c>
      <c r="B3743" s="988">
        <v>37561</v>
      </c>
      <c r="C3743" s="899" t="s">
        <v>13069</v>
      </c>
      <c r="D3743" s="988" t="s">
        <v>2667</v>
      </c>
      <c r="E3743" s="989">
        <v>909.32</v>
      </c>
      <c r="F3743" s="990"/>
      <c r="G3743" s="990"/>
      <c r="H3743" s="990"/>
      <c r="I3743" s="990"/>
      <c r="J3743" s="990"/>
      <c r="K3743" s="990"/>
      <c r="L3743" s="990"/>
      <c r="M3743" s="990"/>
      <c r="N3743" s="990"/>
      <c r="O3743" s="990"/>
      <c r="P3743" s="990"/>
      <c r="Q3743" s="990"/>
      <c r="R3743" s="990"/>
      <c r="S3743" s="990"/>
      <c r="T3743" s="990"/>
      <c r="U3743" s="990"/>
      <c r="V3743" s="990"/>
      <c r="W3743" s="990"/>
      <c r="X3743" s="990"/>
    </row>
    <row r="3744" spans="1:24" s="896" customFormat="1" ht="25.5">
      <c r="A3744" s="987">
        <f t="shared" si="59"/>
        <v>3670</v>
      </c>
      <c r="B3744" s="988">
        <v>37562</v>
      </c>
      <c r="C3744" s="899" t="s">
        <v>13070</v>
      </c>
      <c r="D3744" s="988" t="s">
        <v>2667</v>
      </c>
      <c r="E3744" s="989">
        <v>1192.23</v>
      </c>
      <c r="F3744" s="990"/>
      <c r="G3744" s="990"/>
      <c r="H3744" s="990"/>
      <c r="I3744" s="990"/>
      <c r="J3744" s="990"/>
      <c r="K3744" s="990"/>
      <c r="L3744" s="990"/>
      <c r="M3744" s="990"/>
      <c r="N3744" s="990"/>
      <c r="O3744" s="990"/>
      <c r="P3744" s="990"/>
      <c r="Q3744" s="990"/>
      <c r="R3744" s="990"/>
      <c r="S3744" s="990"/>
      <c r="T3744" s="990"/>
      <c r="U3744" s="990"/>
      <c r="V3744" s="990"/>
      <c r="W3744" s="990"/>
      <c r="X3744" s="990"/>
    </row>
    <row r="3745" spans="1:24" s="896" customFormat="1" ht="25.5">
      <c r="A3745" s="987">
        <f t="shared" si="59"/>
        <v>3671</v>
      </c>
      <c r="B3745" s="988">
        <v>14164</v>
      </c>
      <c r="C3745" s="899" t="s">
        <v>13071</v>
      </c>
      <c r="D3745" s="988" t="s">
        <v>2666</v>
      </c>
      <c r="E3745" s="989">
        <v>2134.14</v>
      </c>
      <c r="F3745" s="990"/>
      <c r="G3745" s="990"/>
      <c r="H3745" s="990"/>
      <c r="I3745" s="990"/>
      <c r="J3745" s="990"/>
      <c r="K3745" s="990"/>
      <c r="L3745" s="990"/>
      <c r="M3745" s="990"/>
      <c r="N3745" s="990"/>
      <c r="O3745" s="990"/>
      <c r="P3745" s="990"/>
      <c r="Q3745" s="990"/>
      <c r="R3745" s="990"/>
      <c r="S3745" s="990"/>
      <c r="T3745" s="990"/>
      <c r="U3745" s="990"/>
      <c r="V3745" s="990"/>
      <c r="W3745" s="990"/>
      <c r="X3745" s="990"/>
    </row>
    <row r="3746" spans="1:24" s="896" customFormat="1" ht="25.5">
      <c r="A3746" s="987">
        <f t="shared" si="59"/>
        <v>3672</v>
      </c>
      <c r="B3746" s="988">
        <v>14163</v>
      </c>
      <c r="C3746" s="899" t="s">
        <v>13072</v>
      </c>
      <c r="D3746" s="988" t="s">
        <v>2666</v>
      </c>
      <c r="E3746" s="989">
        <v>2425.58</v>
      </c>
      <c r="F3746" s="990"/>
      <c r="G3746" s="990"/>
      <c r="H3746" s="990"/>
      <c r="I3746" s="990"/>
      <c r="J3746" s="990"/>
      <c r="K3746" s="990"/>
      <c r="L3746" s="990"/>
      <c r="M3746" s="990"/>
      <c r="N3746" s="990"/>
      <c r="O3746" s="990"/>
      <c r="P3746" s="990"/>
      <c r="Q3746" s="990"/>
      <c r="R3746" s="990"/>
      <c r="S3746" s="990"/>
      <c r="T3746" s="990"/>
      <c r="U3746" s="990"/>
      <c r="V3746" s="990"/>
      <c r="W3746" s="990"/>
      <c r="X3746" s="990"/>
    </row>
    <row r="3747" spans="1:24" s="896" customFormat="1" ht="25.5">
      <c r="A3747" s="987">
        <f t="shared" si="59"/>
        <v>3673</v>
      </c>
      <c r="B3747" s="988">
        <v>5051</v>
      </c>
      <c r="C3747" s="899" t="s">
        <v>13073</v>
      </c>
      <c r="D3747" s="988" t="s">
        <v>2666</v>
      </c>
      <c r="E3747" s="989">
        <v>2062.9299999999998</v>
      </c>
      <c r="F3747" s="990"/>
      <c r="G3747" s="990"/>
      <c r="H3747" s="990"/>
      <c r="I3747" s="990"/>
      <c r="J3747" s="990"/>
      <c r="K3747" s="990"/>
      <c r="L3747" s="990"/>
      <c r="M3747" s="990"/>
      <c r="N3747" s="990"/>
      <c r="O3747" s="990"/>
      <c r="P3747" s="990"/>
      <c r="Q3747" s="990"/>
      <c r="R3747" s="990"/>
      <c r="S3747" s="990"/>
      <c r="T3747" s="990"/>
      <c r="U3747" s="990"/>
      <c r="V3747" s="990"/>
      <c r="W3747" s="990"/>
      <c r="X3747" s="990"/>
    </row>
    <row r="3748" spans="1:24" s="896" customFormat="1" ht="25.5">
      <c r="A3748" s="987">
        <f t="shared" si="59"/>
        <v>3674</v>
      </c>
      <c r="B3748" s="988">
        <v>14162</v>
      </c>
      <c r="C3748" s="899" t="s">
        <v>13074</v>
      </c>
      <c r="D3748" s="988" t="s">
        <v>2666</v>
      </c>
      <c r="E3748" s="989">
        <v>2059.9299999999998</v>
      </c>
      <c r="F3748" s="990"/>
      <c r="G3748" s="990"/>
      <c r="H3748" s="990"/>
      <c r="I3748" s="990"/>
      <c r="J3748" s="990"/>
      <c r="K3748" s="990"/>
      <c r="L3748" s="990"/>
      <c r="M3748" s="990"/>
      <c r="N3748" s="990"/>
      <c r="O3748" s="990"/>
      <c r="P3748" s="990"/>
      <c r="Q3748" s="990"/>
      <c r="R3748" s="990"/>
      <c r="S3748" s="990"/>
      <c r="T3748" s="990"/>
      <c r="U3748" s="990"/>
      <c r="V3748" s="990"/>
      <c r="W3748" s="990"/>
      <c r="X3748" s="990"/>
    </row>
    <row r="3749" spans="1:24" s="896" customFormat="1" ht="25.5">
      <c r="A3749" s="987">
        <f t="shared" si="59"/>
        <v>3675</v>
      </c>
      <c r="B3749" s="988">
        <v>5052</v>
      </c>
      <c r="C3749" s="899" t="s">
        <v>13075</v>
      </c>
      <c r="D3749" s="988" t="s">
        <v>2666</v>
      </c>
      <c r="E3749" s="989">
        <v>1537</v>
      </c>
      <c r="F3749" s="990"/>
      <c r="G3749" s="990"/>
      <c r="H3749" s="990"/>
      <c r="I3749" s="990"/>
      <c r="J3749" s="990"/>
      <c r="K3749" s="990"/>
      <c r="L3749" s="990"/>
      <c r="M3749" s="990"/>
      <c r="N3749" s="990"/>
      <c r="O3749" s="990"/>
      <c r="P3749" s="990"/>
      <c r="Q3749" s="990"/>
      <c r="R3749" s="990"/>
      <c r="S3749" s="990"/>
      <c r="T3749" s="990"/>
      <c r="U3749" s="990"/>
      <c r="V3749" s="990"/>
      <c r="W3749" s="990"/>
      <c r="X3749" s="990"/>
    </row>
    <row r="3750" spans="1:24" s="896" customFormat="1" ht="25.5">
      <c r="A3750" s="987">
        <f t="shared" si="59"/>
        <v>3676</v>
      </c>
      <c r="B3750" s="988">
        <v>14166</v>
      </c>
      <c r="C3750" s="899" t="s">
        <v>13076</v>
      </c>
      <c r="D3750" s="988" t="s">
        <v>2666</v>
      </c>
      <c r="E3750" s="989">
        <v>1556.51</v>
      </c>
      <c r="F3750" s="990"/>
      <c r="G3750" s="990"/>
      <c r="H3750" s="990"/>
      <c r="I3750" s="990"/>
      <c r="J3750" s="990"/>
      <c r="K3750" s="990"/>
      <c r="L3750" s="990"/>
      <c r="M3750" s="990"/>
      <c r="N3750" s="990"/>
      <c r="O3750" s="990"/>
      <c r="P3750" s="990"/>
      <c r="Q3750" s="990"/>
      <c r="R3750" s="990"/>
      <c r="S3750" s="990"/>
      <c r="T3750" s="990"/>
      <c r="U3750" s="990"/>
      <c r="V3750" s="990"/>
      <c r="W3750" s="990"/>
      <c r="X3750" s="990"/>
    </row>
    <row r="3751" spans="1:24" s="896" customFormat="1" ht="25.5">
      <c r="A3751" s="987">
        <f t="shared" si="59"/>
        <v>3677</v>
      </c>
      <c r="B3751" s="988">
        <v>14165</v>
      </c>
      <c r="C3751" s="899" t="s">
        <v>13077</v>
      </c>
      <c r="D3751" s="988" t="s">
        <v>2666</v>
      </c>
      <c r="E3751" s="989">
        <v>2156.34</v>
      </c>
      <c r="F3751" s="990"/>
      <c r="G3751" s="990"/>
      <c r="H3751" s="990"/>
      <c r="I3751" s="990"/>
      <c r="J3751" s="990"/>
      <c r="K3751" s="990"/>
      <c r="L3751" s="990"/>
      <c r="M3751" s="990"/>
      <c r="N3751" s="990"/>
      <c r="O3751" s="990"/>
      <c r="P3751" s="990"/>
      <c r="Q3751" s="990"/>
      <c r="R3751" s="990"/>
      <c r="S3751" s="990"/>
      <c r="T3751" s="990"/>
      <c r="U3751" s="990"/>
      <c r="V3751" s="990"/>
      <c r="W3751" s="990"/>
      <c r="X3751" s="990"/>
    </row>
    <row r="3752" spans="1:24" s="896" customFormat="1" ht="25.5">
      <c r="A3752" s="987">
        <f t="shared" si="59"/>
        <v>3678</v>
      </c>
      <c r="B3752" s="988">
        <v>5050</v>
      </c>
      <c r="C3752" s="899" t="s">
        <v>13078</v>
      </c>
      <c r="D3752" s="988" t="s">
        <v>2666</v>
      </c>
      <c r="E3752" s="989">
        <v>530.72</v>
      </c>
      <c r="F3752" s="990"/>
      <c r="G3752" s="990"/>
      <c r="H3752" s="990"/>
      <c r="I3752" s="990"/>
      <c r="J3752" s="990"/>
      <c r="K3752" s="990"/>
      <c r="L3752" s="990"/>
      <c r="M3752" s="990"/>
      <c r="N3752" s="990"/>
      <c r="O3752" s="990"/>
      <c r="P3752" s="990"/>
      <c r="Q3752" s="990"/>
      <c r="R3752" s="990"/>
      <c r="S3752" s="990"/>
      <c r="T3752" s="990"/>
      <c r="U3752" s="990"/>
      <c r="V3752" s="990"/>
      <c r="W3752" s="990"/>
      <c r="X3752" s="990"/>
    </row>
    <row r="3753" spans="1:24" s="896" customFormat="1" ht="25.5">
      <c r="A3753" s="987">
        <f t="shared" si="59"/>
        <v>3679</v>
      </c>
      <c r="B3753" s="988">
        <v>12366</v>
      </c>
      <c r="C3753" s="899" t="s">
        <v>13079</v>
      </c>
      <c r="D3753" s="988" t="s">
        <v>2666</v>
      </c>
      <c r="E3753" s="989">
        <v>1124.3599999999999</v>
      </c>
      <c r="F3753" s="990"/>
      <c r="G3753" s="990"/>
      <c r="H3753" s="990"/>
      <c r="I3753" s="990"/>
      <c r="J3753" s="990"/>
      <c r="K3753" s="990"/>
      <c r="L3753" s="990"/>
      <c r="M3753" s="990"/>
      <c r="N3753" s="990"/>
      <c r="O3753" s="990"/>
      <c r="P3753" s="990"/>
      <c r="Q3753" s="990"/>
      <c r="R3753" s="990"/>
      <c r="S3753" s="990"/>
      <c r="T3753" s="990"/>
      <c r="U3753" s="990"/>
      <c r="V3753" s="990"/>
      <c r="W3753" s="990"/>
      <c r="X3753" s="990"/>
    </row>
    <row r="3754" spans="1:24" s="896" customFormat="1" ht="25.5">
      <c r="A3754" s="987">
        <f t="shared" si="59"/>
        <v>3680</v>
      </c>
      <c r="B3754" s="988">
        <v>5045</v>
      </c>
      <c r="C3754" s="899" t="s">
        <v>13080</v>
      </c>
      <c r="D3754" s="988" t="s">
        <v>2666</v>
      </c>
      <c r="E3754" s="989">
        <v>1785.85</v>
      </c>
      <c r="F3754" s="990"/>
      <c r="G3754" s="990"/>
      <c r="H3754" s="990"/>
      <c r="I3754" s="990"/>
      <c r="J3754" s="990"/>
      <c r="K3754" s="990"/>
      <c r="L3754" s="990"/>
      <c r="M3754" s="990"/>
      <c r="N3754" s="990"/>
      <c r="O3754" s="990"/>
      <c r="P3754" s="990"/>
      <c r="Q3754" s="990"/>
      <c r="R3754" s="990"/>
      <c r="S3754" s="990"/>
      <c r="T3754" s="990"/>
      <c r="U3754" s="990"/>
      <c r="V3754" s="990"/>
      <c r="W3754" s="990"/>
      <c r="X3754" s="990"/>
    </row>
    <row r="3755" spans="1:24" s="896" customFormat="1" ht="25.5">
      <c r="A3755" s="987">
        <f t="shared" si="59"/>
        <v>3681</v>
      </c>
      <c r="B3755" s="988">
        <v>5035</v>
      </c>
      <c r="C3755" s="899" t="s">
        <v>13081</v>
      </c>
      <c r="D3755" s="988" t="s">
        <v>2666</v>
      </c>
      <c r="E3755" s="989">
        <v>2739.82</v>
      </c>
      <c r="F3755" s="990"/>
      <c r="G3755" s="990"/>
      <c r="H3755" s="990"/>
      <c r="I3755" s="990"/>
      <c r="J3755" s="990"/>
      <c r="K3755" s="990"/>
      <c r="L3755" s="990"/>
      <c r="M3755" s="990"/>
      <c r="N3755" s="990"/>
      <c r="O3755" s="990"/>
      <c r="P3755" s="990"/>
      <c r="Q3755" s="990"/>
      <c r="R3755" s="990"/>
      <c r="S3755" s="990"/>
      <c r="T3755" s="990"/>
      <c r="U3755" s="990"/>
      <c r="V3755" s="990"/>
      <c r="W3755" s="990"/>
      <c r="X3755" s="990"/>
    </row>
    <row r="3756" spans="1:24" s="896" customFormat="1" ht="25.5">
      <c r="A3756" s="987">
        <f t="shared" si="59"/>
        <v>3682</v>
      </c>
      <c r="B3756" s="988">
        <v>41180</v>
      </c>
      <c r="C3756" s="899" t="s">
        <v>13082</v>
      </c>
      <c r="D3756" s="988" t="s">
        <v>2666</v>
      </c>
      <c r="E3756" s="989">
        <v>4014.57</v>
      </c>
      <c r="F3756" s="990"/>
      <c r="G3756" s="990"/>
      <c r="H3756" s="990"/>
      <c r="I3756" s="990"/>
      <c r="J3756" s="990"/>
      <c r="K3756" s="990"/>
      <c r="L3756" s="990"/>
      <c r="M3756" s="990"/>
      <c r="N3756" s="990"/>
      <c r="O3756" s="990"/>
      <c r="P3756" s="990"/>
      <c r="Q3756" s="990"/>
      <c r="R3756" s="990"/>
      <c r="S3756" s="990"/>
      <c r="T3756" s="990"/>
      <c r="U3756" s="990"/>
      <c r="V3756" s="990"/>
      <c r="W3756" s="990"/>
      <c r="X3756" s="990"/>
    </row>
    <row r="3757" spans="1:24" s="896" customFormat="1" ht="25.5">
      <c r="A3757" s="987">
        <f t="shared" si="59"/>
        <v>3683</v>
      </c>
      <c r="B3757" s="988">
        <v>41181</v>
      </c>
      <c r="C3757" s="899" t="s">
        <v>13083</v>
      </c>
      <c r="D3757" s="988" t="s">
        <v>2666</v>
      </c>
      <c r="E3757" s="989">
        <v>5315.16</v>
      </c>
      <c r="F3757" s="990"/>
      <c r="G3757" s="990"/>
      <c r="H3757" s="990"/>
      <c r="I3757" s="990"/>
      <c r="J3757" s="990"/>
      <c r="K3757" s="990"/>
      <c r="L3757" s="990"/>
      <c r="M3757" s="990"/>
      <c r="N3757" s="990"/>
      <c r="O3757" s="990"/>
      <c r="P3757" s="990"/>
      <c r="Q3757" s="990"/>
      <c r="R3757" s="990"/>
      <c r="S3757" s="990"/>
      <c r="T3757" s="990"/>
      <c r="U3757" s="990"/>
      <c r="V3757" s="990"/>
      <c r="W3757" s="990"/>
      <c r="X3757" s="990"/>
    </row>
    <row r="3758" spans="1:24" s="896" customFormat="1" ht="25.5">
      <c r="A3758" s="987">
        <f t="shared" si="59"/>
        <v>3684</v>
      </c>
      <c r="B3758" s="988">
        <v>41182</v>
      </c>
      <c r="C3758" s="899" t="s">
        <v>13084</v>
      </c>
      <c r="D3758" s="988" t="s">
        <v>2666</v>
      </c>
      <c r="E3758" s="989">
        <v>7625.04</v>
      </c>
      <c r="F3758" s="990"/>
      <c r="G3758" s="990"/>
      <c r="H3758" s="990"/>
      <c r="I3758" s="990"/>
      <c r="J3758" s="990"/>
      <c r="K3758" s="990"/>
      <c r="L3758" s="990"/>
      <c r="M3758" s="990"/>
      <c r="N3758" s="990"/>
      <c r="O3758" s="990"/>
      <c r="P3758" s="990"/>
      <c r="Q3758" s="990"/>
      <c r="R3758" s="990"/>
      <c r="S3758" s="990"/>
      <c r="T3758" s="990"/>
      <c r="U3758" s="990"/>
      <c r="V3758" s="990"/>
      <c r="W3758" s="990"/>
      <c r="X3758" s="990"/>
    </row>
    <row r="3759" spans="1:24" s="896" customFormat="1" ht="25.5">
      <c r="A3759" s="987">
        <f t="shared" si="59"/>
        <v>3685</v>
      </c>
      <c r="B3759" s="988">
        <v>41183</v>
      </c>
      <c r="C3759" s="899" t="s">
        <v>13085</v>
      </c>
      <c r="D3759" s="988" t="s">
        <v>2666</v>
      </c>
      <c r="E3759" s="989">
        <v>9520.02</v>
      </c>
      <c r="F3759" s="990"/>
      <c r="G3759" s="990"/>
      <c r="H3759" s="990"/>
      <c r="I3759" s="990"/>
      <c r="J3759" s="990"/>
      <c r="K3759" s="990"/>
      <c r="L3759" s="990"/>
      <c r="M3759" s="990"/>
      <c r="N3759" s="990"/>
      <c r="O3759" s="990"/>
      <c r="P3759" s="990"/>
      <c r="Q3759" s="990"/>
      <c r="R3759" s="990"/>
      <c r="S3759" s="990"/>
      <c r="T3759" s="990"/>
      <c r="U3759" s="990"/>
      <c r="V3759" s="990"/>
      <c r="W3759" s="990"/>
      <c r="X3759" s="990"/>
    </row>
    <row r="3760" spans="1:24" s="896" customFormat="1" ht="25.5">
      <c r="A3760" s="987">
        <f t="shared" si="59"/>
        <v>3686</v>
      </c>
      <c r="B3760" s="988">
        <v>41184</v>
      </c>
      <c r="C3760" s="899" t="s">
        <v>13086</v>
      </c>
      <c r="D3760" s="988" t="s">
        <v>2666</v>
      </c>
      <c r="E3760" s="989">
        <v>14494.81</v>
      </c>
      <c r="F3760" s="990"/>
      <c r="G3760" s="990"/>
      <c r="H3760" s="990"/>
      <c r="I3760" s="990"/>
      <c r="J3760" s="990"/>
      <c r="K3760" s="990"/>
      <c r="L3760" s="990"/>
      <c r="M3760" s="990"/>
      <c r="N3760" s="990"/>
      <c r="O3760" s="990"/>
      <c r="P3760" s="990"/>
      <c r="Q3760" s="990"/>
      <c r="R3760" s="990"/>
      <c r="S3760" s="990"/>
      <c r="T3760" s="990"/>
      <c r="U3760" s="990"/>
      <c r="V3760" s="990"/>
      <c r="W3760" s="990"/>
      <c r="X3760" s="990"/>
    </row>
    <row r="3761" spans="1:24" s="896" customFormat="1" ht="25.5">
      <c r="A3761" s="987">
        <f t="shared" si="59"/>
        <v>3687</v>
      </c>
      <c r="B3761" s="988">
        <v>41185</v>
      </c>
      <c r="C3761" s="899" t="s">
        <v>13087</v>
      </c>
      <c r="D3761" s="988" t="s">
        <v>2666</v>
      </c>
      <c r="E3761" s="989">
        <v>5375.33</v>
      </c>
      <c r="F3761" s="990"/>
      <c r="G3761" s="990"/>
      <c r="H3761" s="990"/>
      <c r="I3761" s="990"/>
      <c r="J3761" s="990"/>
      <c r="K3761" s="990"/>
      <c r="L3761" s="990"/>
      <c r="M3761" s="990"/>
      <c r="N3761" s="990"/>
      <c r="O3761" s="990"/>
      <c r="P3761" s="990"/>
      <c r="Q3761" s="990"/>
      <c r="R3761" s="990"/>
      <c r="S3761" s="990"/>
      <c r="T3761" s="990"/>
      <c r="U3761" s="990"/>
      <c r="V3761" s="990"/>
      <c r="W3761" s="990"/>
      <c r="X3761" s="990"/>
    </row>
    <row r="3762" spans="1:24" s="896" customFormat="1" ht="25.5">
      <c r="A3762" s="987">
        <f t="shared" si="59"/>
        <v>3688</v>
      </c>
      <c r="B3762" s="988">
        <v>41186</v>
      </c>
      <c r="C3762" s="899" t="s">
        <v>13088</v>
      </c>
      <c r="D3762" s="988" t="s">
        <v>2666</v>
      </c>
      <c r="E3762" s="989">
        <v>7532.9</v>
      </c>
      <c r="F3762" s="990"/>
      <c r="G3762" s="990"/>
      <c r="H3762" s="990"/>
      <c r="I3762" s="990"/>
      <c r="J3762" s="990"/>
      <c r="K3762" s="990"/>
      <c r="L3762" s="990"/>
      <c r="M3762" s="990"/>
      <c r="N3762" s="990"/>
      <c r="O3762" s="990"/>
      <c r="P3762" s="990"/>
      <c r="Q3762" s="990"/>
      <c r="R3762" s="990"/>
      <c r="S3762" s="990"/>
      <c r="T3762" s="990"/>
      <c r="U3762" s="990"/>
      <c r="V3762" s="990"/>
      <c r="W3762" s="990"/>
      <c r="X3762" s="990"/>
    </row>
    <row r="3763" spans="1:24" s="896" customFormat="1" ht="25.5">
      <c r="A3763" s="987">
        <f t="shared" si="59"/>
        <v>3689</v>
      </c>
      <c r="B3763" s="988">
        <v>41187</v>
      </c>
      <c r="C3763" s="899" t="s">
        <v>13089</v>
      </c>
      <c r="D3763" s="988" t="s">
        <v>2666</v>
      </c>
      <c r="E3763" s="989">
        <v>10102.24</v>
      </c>
      <c r="F3763" s="990"/>
      <c r="G3763" s="990"/>
      <c r="H3763" s="990"/>
      <c r="I3763" s="990"/>
      <c r="J3763" s="990"/>
      <c r="K3763" s="990"/>
      <c r="L3763" s="990"/>
      <c r="M3763" s="990"/>
      <c r="N3763" s="990"/>
      <c r="O3763" s="990"/>
      <c r="P3763" s="990"/>
      <c r="Q3763" s="990"/>
      <c r="R3763" s="990"/>
      <c r="S3763" s="990"/>
      <c r="T3763" s="990"/>
      <c r="U3763" s="990"/>
      <c r="V3763" s="990"/>
      <c r="W3763" s="990"/>
      <c r="X3763" s="990"/>
    </row>
    <row r="3764" spans="1:24" s="896" customFormat="1" ht="25.5">
      <c r="A3764" s="987">
        <f t="shared" si="59"/>
        <v>3690</v>
      </c>
      <c r="B3764" s="988">
        <v>41188</v>
      </c>
      <c r="C3764" s="899" t="s">
        <v>13090</v>
      </c>
      <c r="D3764" s="988" t="s">
        <v>2666</v>
      </c>
      <c r="E3764" s="989">
        <v>12918.51</v>
      </c>
      <c r="F3764" s="990"/>
      <c r="G3764" s="990"/>
      <c r="H3764" s="990"/>
      <c r="I3764" s="990"/>
      <c r="J3764" s="990"/>
      <c r="K3764" s="990"/>
      <c r="L3764" s="990"/>
      <c r="M3764" s="990"/>
      <c r="N3764" s="990"/>
      <c r="O3764" s="990"/>
      <c r="P3764" s="990"/>
      <c r="Q3764" s="990"/>
      <c r="R3764" s="990"/>
      <c r="S3764" s="990"/>
      <c r="T3764" s="990"/>
      <c r="U3764" s="990"/>
      <c r="V3764" s="990"/>
      <c r="W3764" s="990"/>
      <c r="X3764" s="990"/>
    </row>
    <row r="3765" spans="1:24" s="896" customFormat="1" ht="25.5">
      <c r="A3765" s="987">
        <f t="shared" si="59"/>
        <v>3691</v>
      </c>
      <c r="B3765" s="988">
        <v>5036</v>
      </c>
      <c r="C3765" s="899" t="s">
        <v>13091</v>
      </c>
      <c r="D3765" s="988" t="s">
        <v>2666</v>
      </c>
      <c r="E3765" s="989">
        <v>968.69</v>
      </c>
      <c r="F3765" s="990"/>
      <c r="G3765" s="990"/>
      <c r="H3765" s="990"/>
      <c r="I3765" s="990"/>
      <c r="J3765" s="990"/>
      <c r="K3765" s="990"/>
      <c r="L3765" s="990"/>
      <c r="M3765" s="990"/>
      <c r="N3765" s="990"/>
      <c r="O3765" s="990"/>
      <c r="P3765" s="990"/>
      <c r="Q3765" s="990"/>
      <c r="R3765" s="990"/>
      <c r="S3765" s="990"/>
      <c r="T3765" s="990"/>
      <c r="U3765" s="990"/>
      <c r="V3765" s="990"/>
      <c r="W3765" s="990"/>
      <c r="X3765" s="990"/>
    </row>
    <row r="3766" spans="1:24" s="896" customFormat="1" ht="25.5">
      <c r="A3766" s="987">
        <f t="shared" si="59"/>
        <v>3692</v>
      </c>
      <c r="B3766" s="988">
        <v>41189</v>
      </c>
      <c r="C3766" s="899" t="s">
        <v>13092</v>
      </c>
      <c r="D3766" s="988" t="s">
        <v>2666</v>
      </c>
      <c r="E3766" s="989">
        <v>16608.099999999999</v>
      </c>
      <c r="F3766" s="990"/>
      <c r="G3766" s="990"/>
      <c r="H3766" s="990"/>
      <c r="I3766" s="990"/>
      <c r="J3766" s="990"/>
      <c r="K3766" s="990"/>
      <c r="L3766" s="990"/>
      <c r="M3766" s="990"/>
      <c r="N3766" s="990"/>
      <c r="O3766" s="990"/>
      <c r="P3766" s="990"/>
      <c r="Q3766" s="990"/>
      <c r="R3766" s="990"/>
      <c r="S3766" s="990"/>
      <c r="T3766" s="990"/>
      <c r="U3766" s="990"/>
      <c r="V3766" s="990"/>
      <c r="W3766" s="990"/>
      <c r="X3766" s="990"/>
    </row>
    <row r="3767" spans="1:24" s="896" customFormat="1" ht="25.5">
      <c r="A3767" s="987">
        <f t="shared" si="59"/>
        <v>3693</v>
      </c>
      <c r="B3767" s="988">
        <v>41190</v>
      </c>
      <c r="C3767" s="899" t="s">
        <v>13093</v>
      </c>
      <c r="D3767" s="988" t="s">
        <v>2666</v>
      </c>
      <c r="E3767" s="989">
        <v>5775.71</v>
      </c>
      <c r="F3767" s="990"/>
      <c r="G3767" s="990"/>
      <c r="H3767" s="990"/>
      <c r="I3767" s="990"/>
      <c r="J3767" s="990"/>
      <c r="K3767" s="990"/>
      <c r="L3767" s="990"/>
      <c r="M3767" s="990"/>
      <c r="N3767" s="990"/>
      <c r="O3767" s="990"/>
      <c r="P3767" s="990"/>
      <c r="Q3767" s="990"/>
      <c r="R3767" s="990"/>
      <c r="S3767" s="990"/>
      <c r="T3767" s="990"/>
      <c r="U3767" s="990"/>
      <c r="V3767" s="990"/>
      <c r="W3767" s="990"/>
      <c r="X3767" s="990"/>
    </row>
    <row r="3768" spans="1:24" s="896" customFormat="1" ht="25.5">
      <c r="A3768" s="987">
        <f t="shared" si="59"/>
        <v>3694</v>
      </c>
      <c r="B3768" s="988">
        <v>41191</v>
      </c>
      <c r="C3768" s="899" t="s">
        <v>13094</v>
      </c>
      <c r="D3768" s="988" t="s">
        <v>2666</v>
      </c>
      <c r="E3768" s="989">
        <v>8856.84</v>
      </c>
      <c r="F3768" s="990"/>
      <c r="G3768" s="990"/>
      <c r="H3768" s="990"/>
      <c r="I3768" s="990"/>
      <c r="J3768" s="990"/>
      <c r="K3768" s="990"/>
      <c r="L3768" s="990"/>
      <c r="M3768" s="990"/>
      <c r="N3768" s="990"/>
      <c r="O3768" s="990"/>
      <c r="P3768" s="990"/>
      <c r="Q3768" s="990"/>
      <c r="R3768" s="990"/>
      <c r="S3768" s="990"/>
      <c r="T3768" s="990"/>
      <c r="U3768" s="990"/>
      <c r="V3768" s="990"/>
      <c r="W3768" s="990"/>
      <c r="X3768" s="990"/>
    </row>
    <row r="3769" spans="1:24" s="896" customFormat="1" ht="25.5">
      <c r="A3769" s="987">
        <f t="shared" si="59"/>
        <v>3695</v>
      </c>
      <c r="B3769" s="988">
        <v>41192</v>
      </c>
      <c r="C3769" s="899" t="s">
        <v>13095</v>
      </c>
      <c r="D3769" s="988" t="s">
        <v>2666</v>
      </c>
      <c r="E3769" s="989">
        <v>9233.19</v>
      </c>
      <c r="F3769" s="990"/>
      <c r="G3769" s="990"/>
      <c r="H3769" s="990"/>
      <c r="I3769" s="990"/>
      <c r="J3769" s="990"/>
      <c r="K3769" s="990"/>
      <c r="L3769" s="990"/>
      <c r="M3769" s="990"/>
      <c r="N3769" s="990"/>
      <c r="O3769" s="990"/>
      <c r="P3769" s="990"/>
      <c r="Q3769" s="990"/>
      <c r="R3769" s="990"/>
      <c r="S3769" s="990"/>
      <c r="T3769" s="990"/>
      <c r="U3769" s="990"/>
      <c r="V3769" s="990"/>
      <c r="W3769" s="990"/>
      <c r="X3769" s="990"/>
    </row>
    <row r="3770" spans="1:24" s="896" customFormat="1" ht="25.5">
      <c r="A3770" s="987">
        <f t="shared" si="59"/>
        <v>3696</v>
      </c>
      <c r="B3770" s="988">
        <v>41193</v>
      </c>
      <c r="C3770" s="899" t="s">
        <v>13096</v>
      </c>
      <c r="D3770" s="988" t="s">
        <v>2666</v>
      </c>
      <c r="E3770" s="989">
        <v>15086.73</v>
      </c>
      <c r="F3770" s="990"/>
      <c r="G3770" s="990"/>
      <c r="H3770" s="990"/>
      <c r="I3770" s="990"/>
      <c r="J3770" s="990"/>
      <c r="K3770" s="990"/>
      <c r="L3770" s="990"/>
      <c r="M3770" s="990"/>
      <c r="N3770" s="990"/>
      <c r="O3770" s="990"/>
      <c r="P3770" s="990"/>
      <c r="Q3770" s="990"/>
      <c r="R3770" s="990"/>
      <c r="S3770" s="990"/>
      <c r="T3770" s="990"/>
      <c r="U3770" s="990"/>
      <c r="V3770" s="990"/>
      <c r="W3770" s="990"/>
      <c r="X3770" s="990"/>
    </row>
    <row r="3771" spans="1:24" s="896" customFormat="1" ht="25.5">
      <c r="A3771" s="987">
        <f t="shared" si="59"/>
        <v>3697</v>
      </c>
      <c r="B3771" s="988">
        <v>41194</v>
      </c>
      <c r="C3771" s="899" t="s">
        <v>13097</v>
      </c>
      <c r="D3771" s="988" t="s">
        <v>2666</v>
      </c>
      <c r="E3771" s="989">
        <v>18001.89</v>
      </c>
      <c r="F3771" s="990"/>
      <c r="G3771" s="990"/>
      <c r="H3771" s="990"/>
      <c r="I3771" s="990"/>
      <c r="J3771" s="990"/>
      <c r="K3771" s="990"/>
      <c r="L3771" s="990"/>
      <c r="M3771" s="990"/>
      <c r="N3771" s="990"/>
      <c r="O3771" s="990"/>
      <c r="P3771" s="990"/>
      <c r="Q3771" s="990"/>
      <c r="R3771" s="990"/>
      <c r="S3771" s="990"/>
      <c r="T3771" s="990"/>
      <c r="U3771" s="990"/>
      <c r="V3771" s="990"/>
      <c r="W3771" s="990"/>
      <c r="X3771" s="990"/>
    </row>
    <row r="3772" spans="1:24" s="896" customFormat="1" ht="25.5">
      <c r="A3772" s="987">
        <f t="shared" si="59"/>
        <v>3698</v>
      </c>
      <c r="B3772" s="988">
        <v>5044</v>
      </c>
      <c r="C3772" s="899" t="s">
        <v>13098</v>
      </c>
      <c r="D3772" s="988" t="s">
        <v>2666</v>
      </c>
      <c r="E3772" s="989">
        <v>1553.24</v>
      </c>
      <c r="F3772" s="990"/>
      <c r="G3772" s="990"/>
      <c r="H3772" s="990"/>
      <c r="I3772" s="990"/>
      <c r="J3772" s="990"/>
      <c r="K3772" s="990"/>
      <c r="L3772" s="990"/>
      <c r="M3772" s="990"/>
      <c r="N3772" s="990"/>
      <c r="O3772" s="990"/>
      <c r="P3772" s="990"/>
      <c r="Q3772" s="990"/>
      <c r="R3772" s="990"/>
      <c r="S3772" s="990"/>
      <c r="T3772" s="990"/>
      <c r="U3772" s="990"/>
      <c r="V3772" s="990"/>
      <c r="W3772" s="990"/>
      <c r="X3772" s="990"/>
    </row>
    <row r="3773" spans="1:24" s="896" customFormat="1" ht="25.5">
      <c r="A3773" s="987">
        <f t="shared" si="59"/>
        <v>3699</v>
      </c>
      <c r="B3773" s="988">
        <v>5059</v>
      </c>
      <c r="C3773" s="899" t="s">
        <v>13099</v>
      </c>
      <c r="D3773" s="988" t="s">
        <v>2666</v>
      </c>
      <c r="E3773" s="989">
        <v>1158.43</v>
      </c>
      <c r="F3773" s="990"/>
      <c r="G3773" s="990"/>
      <c r="H3773" s="990"/>
      <c r="I3773" s="990"/>
      <c r="J3773" s="990"/>
      <c r="K3773" s="990"/>
      <c r="L3773" s="990"/>
      <c r="M3773" s="990"/>
      <c r="N3773" s="990"/>
      <c r="O3773" s="990"/>
      <c r="P3773" s="990"/>
      <c r="Q3773" s="990"/>
      <c r="R3773" s="990"/>
      <c r="S3773" s="990"/>
      <c r="T3773" s="990"/>
      <c r="U3773" s="990"/>
      <c r="V3773" s="990"/>
      <c r="W3773" s="990"/>
      <c r="X3773" s="990"/>
    </row>
    <row r="3774" spans="1:24" s="896" customFormat="1" ht="25.5">
      <c r="A3774" s="987">
        <f t="shared" si="59"/>
        <v>3700</v>
      </c>
      <c r="B3774" s="988">
        <v>41201</v>
      </c>
      <c r="C3774" s="899" t="s">
        <v>13100</v>
      </c>
      <c r="D3774" s="988" t="s">
        <v>2666</v>
      </c>
      <c r="E3774" s="989">
        <v>2350.9299999999998</v>
      </c>
      <c r="F3774" s="990"/>
      <c r="G3774" s="990"/>
      <c r="H3774" s="990"/>
      <c r="I3774" s="990"/>
      <c r="J3774" s="990"/>
      <c r="K3774" s="990"/>
      <c r="L3774" s="990"/>
      <c r="M3774" s="990"/>
      <c r="N3774" s="990"/>
      <c r="O3774" s="990"/>
      <c r="P3774" s="990"/>
      <c r="Q3774" s="990"/>
      <c r="R3774" s="990"/>
      <c r="S3774" s="990"/>
      <c r="T3774" s="990"/>
      <c r="U3774" s="990"/>
      <c r="V3774" s="990"/>
      <c r="W3774" s="990"/>
      <c r="X3774" s="990"/>
    </row>
    <row r="3775" spans="1:24" s="896" customFormat="1" ht="25.5">
      <c r="A3775" s="987">
        <f t="shared" si="59"/>
        <v>3701</v>
      </c>
      <c r="B3775" s="988">
        <v>41199</v>
      </c>
      <c r="C3775" s="899" t="s">
        <v>13101</v>
      </c>
      <c r="D3775" s="988" t="s">
        <v>2666</v>
      </c>
      <c r="E3775" s="989">
        <v>755.44</v>
      </c>
      <c r="F3775" s="990"/>
      <c r="G3775" s="990"/>
      <c r="H3775" s="990"/>
      <c r="I3775" s="990"/>
      <c r="J3775" s="990"/>
      <c r="K3775" s="990"/>
      <c r="L3775" s="990"/>
      <c r="M3775" s="990"/>
      <c r="N3775" s="990"/>
      <c r="O3775" s="990"/>
      <c r="P3775" s="990"/>
      <c r="Q3775" s="990"/>
      <c r="R3775" s="990"/>
      <c r="S3775" s="990"/>
      <c r="T3775" s="990"/>
      <c r="U3775" s="990"/>
      <c r="V3775" s="990"/>
      <c r="W3775" s="990"/>
      <c r="X3775" s="990"/>
    </row>
    <row r="3776" spans="1:24" s="896" customFormat="1" ht="25.5">
      <c r="A3776" s="987">
        <f t="shared" si="59"/>
        <v>3702</v>
      </c>
      <c r="B3776" s="988">
        <v>5057</v>
      </c>
      <c r="C3776" s="899" t="s">
        <v>13102</v>
      </c>
      <c r="D3776" s="988" t="s">
        <v>2666</v>
      </c>
      <c r="E3776" s="989">
        <v>1022.73</v>
      </c>
      <c r="F3776" s="990"/>
      <c r="G3776" s="990"/>
      <c r="H3776" s="990"/>
      <c r="I3776" s="990"/>
      <c r="J3776" s="990"/>
      <c r="K3776" s="990"/>
      <c r="L3776" s="990"/>
      <c r="M3776" s="990"/>
      <c r="N3776" s="990"/>
      <c r="O3776" s="990"/>
      <c r="P3776" s="990"/>
      <c r="Q3776" s="990"/>
      <c r="R3776" s="990"/>
      <c r="S3776" s="990"/>
      <c r="T3776" s="990"/>
      <c r="U3776" s="990"/>
      <c r="V3776" s="990"/>
      <c r="W3776" s="990"/>
      <c r="X3776" s="990"/>
    </row>
    <row r="3777" spans="1:24" s="896" customFormat="1" ht="25.5">
      <c r="A3777" s="987">
        <f t="shared" si="59"/>
        <v>3703</v>
      </c>
      <c r="B3777" s="988">
        <v>41200</v>
      </c>
      <c r="C3777" s="899" t="s">
        <v>13103</v>
      </c>
      <c r="D3777" s="988" t="s">
        <v>2666</v>
      </c>
      <c r="E3777" s="989">
        <v>1470.36</v>
      </c>
      <c r="F3777" s="990"/>
      <c r="G3777" s="990"/>
      <c r="H3777" s="990"/>
      <c r="I3777" s="990"/>
      <c r="J3777" s="990"/>
      <c r="K3777" s="990"/>
      <c r="L3777" s="990"/>
      <c r="M3777" s="990"/>
      <c r="N3777" s="990"/>
      <c r="O3777" s="990"/>
      <c r="P3777" s="990"/>
      <c r="Q3777" s="990"/>
      <c r="R3777" s="990"/>
      <c r="S3777" s="990"/>
      <c r="T3777" s="990"/>
      <c r="U3777" s="990"/>
      <c r="V3777" s="990"/>
      <c r="W3777" s="990"/>
      <c r="X3777" s="990"/>
    </row>
    <row r="3778" spans="1:24" s="896" customFormat="1" ht="25.5">
      <c r="A3778" s="987">
        <f t="shared" si="59"/>
        <v>3704</v>
      </c>
      <c r="B3778" s="988">
        <v>41205</v>
      </c>
      <c r="C3778" s="899" t="s">
        <v>13104</v>
      </c>
      <c r="D3778" s="988" t="s">
        <v>2666</v>
      </c>
      <c r="E3778" s="989">
        <v>2724.55</v>
      </c>
      <c r="F3778" s="990"/>
      <c r="G3778" s="990"/>
      <c r="H3778" s="990"/>
      <c r="I3778" s="990"/>
      <c r="J3778" s="990"/>
      <c r="K3778" s="990"/>
      <c r="L3778" s="990"/>
      <c r="M3778" s="990"/>
      <c r="N3778" s="990"/>
      <c r="O3778" s="990"/>
      <c r="P3778" s="990"/>
      <c r="Q3778" s="990"/>
      <c r="R3778" s="990"/>
      <c r="S3778" s="990"/>
      <c r="T3778" s="990"/>
      <c r="U3778" s="990"/>
      <c r="V3778" s="990"/>
      <c r="W3778" s="990"/>
      <c r="X3778" s="990"/>
    </row>
    <row r="3779" spans="1:24" s="896" customFormat="1" ht="25.5">
      <c r="A3779" s="987">
        <f t="shared" si="59"/>
        <v>3705</v>
      </c>
      <c r="B3779" s="988">
        <v>41202</v>
      </c>
      <c r="C3779" s="899" t="s">
        <v>13105</v>
      </c>
      <c r="D3779" s="988" t="s">
        <v>2666</v>
      </c>
      <c r="E3779" s="989">
        <v>795.04</v>
      </c>
      <c r="F3779" s="990"/>
      <c r="G3779" s="990"/>
      <c r="H3779" s="990"/>
      <c r="I3779" s="990"/>
      <c r="J3779" s="990"/>
      <c r="K3779" s="990"/>
      <c r="L3779" s="990"/>
      <c r="M3779" s="990"/>
      <c r="N3779" s="990"/>
      <c r="O3779" s="990"/>
      <c r="P3779" s="990"/>
      <c r="Q3779" s="990"/>
      <c r="R3779" s="990"/>
      <c r="S3779" s="990"/>
      <c r="T3779" s="990"/>
      <c r="U3779" s="990"/>
      <c r="V3779" s="990"/>
      <c r="W3779" s="990"/>
      <c r="X3779" s="990"/>
    </row>
    <row r="3780" spans="1:24" s="896" customFormat="1" ht="25.5">
      <c r="A3780" s="987">
        <f t="shared" si="59"/>
        <v>3706</v>
      </c>
      <c r="B3780" s="988">
        <v>41206</v>
      </c>
      <c r="C3780" s="899" t="s">
        <v>13106</v>
      </c>
      <c r="D3780" s="988" t="s">
        <v>2666</v>
      </c>
      <c r="E3780" s="989">
        <v>3592.2</v>
      </c>
      <c r="F3780" s="990"/>
      <c r="G3780" s="990"/>
      <c r="H3780" s="990"/>
      <c r="I3780" s="990"/>
      <c r="J3780" s="990"/>
      <c r="K3780" s="990"/>
      <c r="L3780" s="990"/>
      <c r="M3780" s="990"/>
      <c r="N3780" s="990"/>
      <c r="O3780" s="990"/>
      <c r="P3780" s="990"/>
      <c r="Q3780" s="990"/>
      <c r="R3780" s="990"/>
      <c r="S3780" s="990"/>
      <c r="T3780" s="990"/>
      <c r="U3780" s="990"/>
      <c r="V3780" s="990"/>
      <c r="W3780" s="990"/>
      <c r="X3780" s="990"/>
    </row>
    <row r="3781" spans="1:24" s="896" customFormat="1" ht="25.5">
      <c r="A3781" s="987">
        <f t="shared" si="59"/>
        <v>3707</v>
      </c>
      <c r="B3781" s="988">
        <v>12372</v>
      </c>
      <c r="C3781" s="899" t="s">
        <v>13107</v>
      </c>
      <c r="D3781" s="988" t="s">
        <v>2666</v>
      </c>
      <c r="E3781" s="989">
        <v>834.8</v>
      </c>
      <c r="F3781" s="990"/>
      <c r="G3781" s="990"/>
      <c r="H3781" s="990"/>
      <c r="I3781" s="990"/>
      <c r="J3781" s="990"/>
      <c r="K3781" s="990"/>
      <c r="L3781" s="990"/>
      <c r="M3781" s="990"/>
      <c r="N3781" s="990"/>
      <c r="O3781" s="990"/>
      <c r="P3781" s="990"/>
      <c r="Q3781" s="990"/>
      <c r="R3781" s="990"/>
      <c r="S3781" s="990"/>
      <c r="T3781" s="990"/>
      <c r="U3781" s="990"/>
      <c r="V3781" s="990"/>
      <c r="W3781" s="990"/>
      <c r="X3781" s="990"/>
    </row>
    <row r="3782" spans="1:24" s="896" customFormat="1" ht="25.5">
      <c r="A3782" s="987">
        <f t="shared" si="59"/>
        <v>3708</v>
      </c>
      <c r="B3782" s="988">
        <v>41207</v>
      </c>
      <c r="C3782" s="899" t="s">
        <v>13108</v>
      </c>
      <c r="D3782" s="988" t="s">
        <v>2666</v>
      </c>
      <c r="E3782" s="989">
        <v>4835.8100000000004</v>
      </c>
      <c r="F3782" s="990"/>
      <c r="G3782" s="990"/>
      <c r="H3782" s="990"/>
      <c r="I3782" s="990"/>
      <c r="J3782" s="990"/>
      <c r="K3782" s="990"/>
      <c r="L3782" s="990"/>
      <c r="M3782" s="990"/>
      <c r="N3782" s="990"/>
      <c r="O3782" s="990"/>
      <c r="P3782" s="990"/>
      <c r="Q3782" s="990"/>
      <c r="R3782" s="990"/>
      <c r="S3782" s="990"/>
      <c r="T3782" s="990"/>
      <c r="U3782" s="990"/>
      <c r="V3782" s="990"/>
      <c r="W3782" s="990"/>
      <c r="X3782" s="990"/>
    </row>
    <row r="3783" spans="1:24" s="896" customFormat="1" ht="25.5">
      <c r="A3783" s="987">
        <f t="shared" si="59"/>
        <v>3709</v>
      </c>
      <c r="B3783" s="988">
        <v>41203</v>
      </c>
      <c r="C3783" s="899" t="s">
        <v>13109</v>
      </c>
      <c r="D3783" s="988" t="s">
        <v>2666</v>
      </c>
      <c r="E3783" s="989">
        <v>1273.57</v>
      </c>
      <c r="F3783" s="990"/>
      <c r="G3783" s="990"/>
      <c r="H3783" s="990"/>
      <c r="I3783" s="990"/>
      <c r="J3783" s="990"/>
      <c r="K3783" s="990"/>
      <c r="L3783" s="990"/>
      <c r="M3783" s="990"/>
      <c r="N3783" s="990"/>
      <c r="O3783" s="990"/>
      <c r="P3783" s="990"/>
      <c r="Q3783" s="990"/>
      <c r="R3783" s="990"/>
      <c r="S3783" s="990"/>
      <c r="T3783" s="990"/>
      <c r="U3783" s="990"/>
      <c r="V3783" s="990"/>
      <c r="W3783" s="990"/>
      <c r="X3783" s="990"/>
    </row>
    <row r="3784" spans="1:24" s="896" customFormat="1" ht="25.5">
      <c r="A3784" s="987">
        <f t="shared" si="59"/>
        <v>3710</v>
      </c>
      <c r="B3784" s="988">
        <v>41204</v>
      </c>
      <c r="C3784" s="899" t="s">
        <v>13110</v>
      </c>
      <c r="D3784" s="988" t="s">
        <v>2666</v>
      </c>
      <c r="E3784" s="989">
        <v>1800.5</v>
      </c>
      <c r="F3784" s="990"/>
      <c r="G3784" s="990"/>
      <c r="H3784" s="990"/>
      <c r="I3784" s="990"/>
      <c r="J3784" s="990"/>
      <c r="K3784" s="990"/>
      <c r="L3784" s="990"/>
      <c r="M3784" s="990"/>
      <c r="N3784" s="990"/>
      <c r="O3784" s="990"/>
      <c r="P3784" s="990"/>
      <c r="Q3784" s="990"/>
      <c r="R3784" s="990"/>
      <c r="S3784" s="990"/>
      <c r="T3784" s="990"/>
      <c r="U3784" s="990"/>
      <c r="V3784" s="990"/>
      <c r="W3784" s="990"/>
      <c r="X3784" s="990"/>
    </row>
    <row r="3785" spans="1:24" s="896" customFormat="1" ht="25.5">
      <c r="A3785" s="987">
        <f t="shared" si="59"/>
        <v>3711</v>
      </c>
      <c r="B3785" s="988">
        <v>41210</v>
      </c>
      <c r="C3785" s="899" t="s">
        <v>13111</v>
      </c>
      <c r="D3785" s="988" t="s">
        <v>2666</v>
      </c>
      <c r="E3785" s="989">
        <v>3007.69</v>
      </c>
      <c r="F3785" s="990"/>
      <c r="G3785" s="990"/>
      <c r="H3785" s="990"/>
      <c r="I3785" s="990"/>
      <c r="J3785" s="990"/>
      <c r="K3785" s="990"/>
      <c r="L3785" s="990"/>
      <c r="M3785" s="990"/>
      <c r="N3785" s="990"/>
      <c r="O3785" s="990"/>
      <c r="P3785" s="990"/>
      <c r="Q3785" s="990"/>
      <c r="R3785" s="990"/>
      <c r="S3785" s="990"/>
      <c r="T3785" s="990"/>
      <c r="U3785" s="990"/>
      <c r="V3785" s="990"/>
      <c r="W3785" s="990"/>
      <c r="X3785" s="990"/>
    </row>
    <row r="3786" spans="1:24" s="896" customFormat="1" ht="25.5">
      <c r="A3786" s="987">
        <f t="shared" si="59"/>
        <v>3712</v>
      </c>
      <c r="B3786" s="988">
        <v>41208</v>
      </c>
      <c r="C3786" s="899" t="s">
        <v>13112</v>
      </c>
      <c r="D3786" s="988" t="s">
        <v>2666</v>
      </c>
      <c r="E3786" s="989">
        <v>1052.8699999999999</v>
      </c>
      <c r="F3786" s="990"/>
      <c r="G3786" s="990"/>
      <c r="H3786" s="990"/>
      <c r="I3786" s="990"/>
      <c r="J3786" s="990"/>
      <c r="K3786" s="990"/>
      <c r="L3786" s="990"/>
      <c r="M3786" s="990"/>
      <c r="N3786" s="990"/>
      <c r="O3786" s="990"/>
      <c r="P3786" s="990"/>
      <c r="Q3786" s="990"/>
      <c r="R3786" s="990"/>
      <c r="S3786" s="990"/>
      <c r="T3786" s="990"/>
      <c r="U3786" s="990"/>
      <c r="V3786" s="990"/>
      <c r="W3786" s="990"/>
      <c r="X3786" s="990"/>
    </row>
    <row r="3787" spans="1:24" s="896" customFormat="1" ht="25.5">
      <c r="A3787" s="987">
        <f t="shared" si="59"/>
        <v>3713</v>
      </c>
      <c r="B3787" s="988">
        <v>41211</v>
      </c>
      <c r="C3787" s="899" t="s">
        <v>13113</v>
      </c>
      <c r="D3787" s="988" t="s">
        <v>2666</v>
      </c>
      <c r="E3787" s="989">
        <v>4237.79</v>
      </c>
      <c r="F3787" s="990"/>
      <c r="G3787" s="990"/>
      <c r="H3787" s="990"/>
      <c r="I3787" s="990"/>
      <c r="J3787" s="990"/>
      <c r="K3787" s="990"/>
      <c r="L3787" s="990"/>
      <c r="M3787" s="990"/>
      <c r="N3787" s="990"/>
      <c r="O3787" s="990"/>
      <c r="P3787" s="990"/>
      <c r="Q3787" s="990"/>
      <c r="R3787" s="990"/>
      <c r="S3787" s="990"/>
      <c r="T3787" s="990"/>
      <c r="U3787" s="990"/>
      <c r="V3787" s="990"/>
      <c r="W3787" s="990"/>
      <c r="X3787" s="990"/>
    </row>
    <row r="3788" spans="1:24" s="896" customFormat="1" ht="25.5">
      <c r="A3788" s="987">
        <f t="shared" ref="A3788:A3851" si="60">A3787+1</f>
        <v>3714</v>
      </c>
      <c r="B3788" s="988">
        <v>13339</v>
      </c>
      <c r="C3788" s="899" t="s">
        <v>13114</v>
      </c>
      <c r="D3788" s="988" t="s">
        <v>2666</v>
      </c>
      <c r="E3788" s="989">
        <v>1426.89</v>
      </c>
      <c r="F3788" s="990"/>
      <c r="G3788" s="990"/>
      <c r="H3788" s="990"/>
      <c r="I3788" s="990"/>
      <c r="J3788" s="990"/>
      <c r="K3788" s="990"/>
      <c r="L3788" s="990"/>
      <c r="M3788" s="990"/>
      <c r="N3788" s="990"/>
      <c r="O3788" s="990"/>
      <c r="P3788" s="990"/>
      <c r="Q3788" s="990"/>
      <c r="R3788" s="990"/>
      <c r="S3788" s="990"/>
      <c r="T3788" s="990"/>
      <c r="U3788" s="990"/>
      <c r="V3788" s="990"/>
      <c r="W3788" s="990"/>
      <c r="X3788" s="990"/>
    </row>
    <row r="3789" spans="1:24" s="896" customFormat="1" ht="25.5">
      <c r="A3789" s="987">
        <f t="shared" si="60"/>
        <v>3715</v>
      </c>
      <c r="B3789" s="988">
        <v>41213</v>
      </c>
      <c r="C3789" s="899" t="s">
        <v>13115</v>
      </c>
      <c r="D3789" s="988" t="s">
        <v>2666</v>
      </c>
      <c r="E3789" s="989">
        <v>8783.91</v>
      </c>
      <c r="F3789" s="990"/>
      <c r="G3789" s="990"/>
      <c r="H3789" s="990"/>
      <c r="I3789" s="990"/>
      <c r="J3789" s="990"/>
      <c r="K3789" s="990"/>
      <c r="L3789" s="990"/>
      <c r="M3789" s="990"/>
      <c r="N3789" s="990"/>
      <c r="O3789" s="990"/>
      <c r="P3789" s="990"/>
      <c r="Q3789" s="990"/>
      <c r="R3789" s="990"/>
      <c r="S3789" s="990"/>
      <c r="T3789" s="990"/>
      <c r="U3789" s="990"/>
      <c r="V3789" s="990"/>
      <c r="W3789" s="990"/>
      <c r="X3789" s="990"/>
    </row>
    <row r="3790" spans="1:24" s="896" customFormat="1" ht="25.5">
      <c r="A3790" s="987">
        <f t="shared" si="60"/>
        <v>3716</v>
      </c>
      <c r="B3790" s="988">
        <v>41209</v>
      </c>
      <c r="C3790" s="899" t="s">
        <v>13116</v>
      </c>
      <c r="D3790" s="988" t="s">
        <v>2666</v>
      </c>
      <c r="E3790" s="989">
        <v>1963.22</v>
      </c>
      <c r="F3790" s="990"/>
      <c r="G3790" s="990"/>
      <c r="H3790" s="990"/>
      <c r="I3790" s="990"/>
      <c r="J3790" s="990"/>
      <c r="K3790" s="990"/>
      <c r="L3790" s="990"/>
      <c r="M3790" s="990"/>
      <c r="N3790" s="990"/>
      <c r="O3790" s="990"/>
      <c r="P3790" s="990"/>
      <c r="Q3790" s="990"/>
      <c r="R3790" s="990"/>
      <c r="S3790" s="990"/>
      <c r="T3790" s="990"/>
      <c r="U3790" s="990"/>
      <c r="V3790" s="990"/>
      <c r="W3790" s="990"/>
      <c r="X3790" s="990"/>
    </row>
    <row r="3791" spans="1:24" s="896" customFormat="1" ht="25.5">
      <c r="A3791" s="987">
        <f t="shared" si="60"/>
        <v>3717</v>
      </c>
      <c r="B3791" s="988">
        <v>41216</v>
      </c>
      <c r="C3791" s="899" t="s">
        <v>13117</v>
      </c>
      <c r="D3791" s="988" t="s">
        <v>2666</v>
      </c>
      <c r="E3791" s="989">
        <v>3677.38</v>
      </c>
      <c r="F3791" s="990"/>
      <c r="G3791" s="990"/>
      <c r="H3791" s="990"/>
      <c r="I3791" s="990"/>
      <c r="J3791" s="990"/>
      <c r="K3791" s="990"/>
      <c r="L3791" s="990"/>
      <c r="M3791" s="990"/>
      <c r="N3791" s="990"/>
      <c r="O3791" s="990"/>
      <c r="P3791" s="990"/>
      <c r="Q3791" s="990"/>
      <c r="R3791" s="990"/>
      <c r="S3791" s="990"/>
      <c r="T3791" s="990"/>
      <c r="U3791" s="990"/>
      <c r="V3791" s="990"/>
      <c r="W3791" s="990"/>
      <c r="X3791" s="990"/>
    </row>
    <row r="3792" spans="1:24" s="896" customFormat="1" ht="25.5">
      <c r="A3792" s="987">
        <f t="shared" si="60"/>
        <v>3718</v>
      </c>
      <c r="B3792" s="988">
        <v>41217</v>
      </c>
      <c r="C3792" s="899" t="s">
        <v>13118</v>
      </c>
      <c r="D3792" s="988" t="s">
        <v>2666</v>
      </c>
      <c r="E3792" s="989">
        <v>5896.14</v>
      </c>
      <c r="F3792" s="990"/>
      <c r="G3792" s="990"/>
      <c r="H3792" s="990"/>
      <c r="I3792" s="990"/>
      <c r="J3792" s="990"/>
      <c r="K3792" s="990"/>
      <c r="L3792" s="990"/>
      <c r="M3792" s="990"/>
      <c r="N3792" s="990"/>
      <c r="O3792" s="990"/>
      <c r="P3792" s="990"/>
      <c r="Q3792" s="990"/>
      <c r="R3792" s="990"/>
      <c r="S3792" s="990"/>
      <c r="T3792" s="990"/>
      <c r="U3792" s="990"/>
      <c r="V3792" s="990"/>
      <c r="W3792" s="990"/>
      <c r="X3792" s="990"/>
    </row>
    <row r="3793" spans="1:24" s="896" customFormat="1" ht="25.5">
      <c r="A3793" s="987">
        <f t="shared" si="60"/>
        <v>3719</v>
      </c>
      <c r="B3793" s="988">
        <v>41218</v>
      </c>
      <c r="C3793" s="899" t="s">
        <v>13119</v>
      </c>
      <c r="D3793" s="988" t="s">
        <v>2666</v>
      </c>
      <c r="E3793" s="989">
        <v>7906.9</v>
      </c>
      <c r="F3793" s="990"/>
      <c r="G3793" s="990"/>
      <c r="H3793" s="990"/>
      <c r="I3793" s="990"/>
      <c r="J3793" s="990"/>
      <c r="K3793" s="990"/>
      <c r="L3793" s="990"/>
      <c r="M3793" s="990"/>
      <c r="N3793" s="990"/>
      <c r="O3793" s="990"/>
      <c r="P3793" s="990"/>
      <c r="Q3793" s="990"/>
      <c r="R3793" s="990"/>
      <c r="S3793" s="990"/>
      <c r="T3793" s="990"/>
      <c r="U3793" s="990"/>
      <c r="V3793" s="990"/>
      <c r="W3793" s="990"/>
      <c r="X3793" s="990"/>
    </row>
    <row r="3794" spans="1:24" s="896" customFormat="1" ht="25.5">
      <c r="A3794" s="987">
        <f t="shared" si="60"/>
        <v>3720</v>
      </c>
      <c r="B3794" s="988">
        <v>41214</v>
      </c>
      <c r="C3794" s="899" t="s">
        <v>13120</v>
      </c>
      <c r="D3794" s="988" t="s">
        <v>2666</v>
      </c>
      <c r="E3794" s="989">
        <v>1667.15</v>
      </c>
      <c r="F3794" s="990"/>
      <c r="G3794" s="990"/>
      <c r="H3794" s="990"/>
      <c r="I3794" s="990"/>
      <c r="J3794" s="990"/>
      <c r="K3794" s="990"/>
      <c r="L3794" s="990"/>
      <c r="M3794" s="990"/>
      <c r="N3794" s="990"/>
      <c r="O3794" s="990"/>
      <c r="P3794" s="990"/>
      <c r="Q3794" s="990"/>
      <c r="R3794" s="990"/>
      <c r="S3794" s="990"/>
      <c r="T3794" s="990"/>
      <c r="U3794" s="990"/>
      <c r="V3794" s="990"/>
      <c r="W3794" s="990"/>
      <c r="X3794" s="990"/>
    </row>
    <row r="3795" spans="1:24" s="896" customFormat="1" ht="25.5">
      <c r="A3795" s="987">
        <f t="shared" si="60"/>
        <v>3721</v>
      </c>
      <c r="B3795" s="988">
        <v>41215</v>
      </c>
      <c r="C3795" s="899" t="s">
        <v>13121</v>
      </c>
      <c r="D3795" s="988" t="s">
        <v>2666</v>
      </c>
      <c r="E3795" s="989">
        <v>2510.13</v>
      </c>
      <c r="F3795" s="990"/>
      <c r="G3795" s="990"/>
      <c r="H3795" s="990"/>
      <c r="I3795" s="990"/>
      <c r="J3795" s="990"/>
      <c r="K3795" s="990"/>
      <c r="L3795" s="990"/>
      <c r="M3795" s="990"/>
      <c r="N3795" s="990"/>
      <c r="O3795" s="990"/>
      <c r="P3795" s="990"/>
      <c r="Q3795" s="990"/>
      <c r="R3795" s="990"/>
      <c r="S3795" s="990"/>
      <c r="T3795" s="990"/>
      <c r="U3795" s="990"/>
      <c r="V3795" s="990"/>
      <c r="W3795" s="990"/>
      <c r="X3795" s="990"/>
    </row>
    <row r="3796" spans="1:24" s="896" customFormat="1" ht="25.5">
      <c r="A3796" s="987">
        <f t="shared" si="60"/>
        <v>3722</v>
      </c>
      <c r="B3796" s="988">
        <v>41221</v>
      </c>
      <c r="C3796" s="899" t="s">
        <v>13122</v>
      </c>
      <c r="D3796" s="988" t="s">
        <v>2666</v>
      </c>
      <c r="E3796" s="989">
        <v>7268.12</v>
      </c>
      <c r="F3796" s="990"/>
      <c r="G3796" s="990"/>
      <c r="H3796" s="990"/>
      <c r="I3796" s="990"/>
      <c r="J3796" s="990"/>
      <c r="K3796" s="990"/>
      <c r="L3796" s="990"/>
      <c r="M3796" s="990"/>
      <c r="N3796" s="990"/>
      <c r="O3796" s="990"/>
      <c r="P3796" s="990"/>
      <c r="Q3796" s="990"/>
      <c r="R3796" s="990"/>
      <c r="S3796" s="990"/>
      <c r="T3796" s="990"/>
      <c r="U3796" s="990"/>
      <c r="V3796" s="990"/>
      <c r="W3796" s="990"/>
      <c r="X3796" s="990"/>
    </row>
    <row r="3797" spans="1:24" s="896" customFormat="1" ht="25.5">
      <c r="A3797" s="987">
        <f t="shared" si="60"/>
        <v>3723</v>
      </c>
      <c r="B3797" s="988">
        <v>41222</v>
      </c>
      <c r="C3797" s="899" t="s">
        <v>13123</v>
      </c>
      <c r="D3797" s="988" t="s">
        <v>2666</v>
      </c>
      <c r="E3797" s="989">
        <v>10400.77</v>
      </c>
      <c r="F3797" s="990"/>
      <c r="G3797" s="990"/>
      <c r="H3797" s="990"/>
      <c r="I3797" s="990"/>
      <c r="J3797" s="990"/>
      <c r="K3797" s="990"/>
      <c r="L3797" s="990"/>
      <c r="M3797" s="990"/>
      <c r="N3797" s="990"/>
      <c r="O3797" s="990"/>
      <c r="P3797" s="990"/>
      <c r="Q3797" s="990"/>
      <c r="R3797" s="990"/>
      <c r="S3797" s="990"/>
      <c r="T3797" s="990"/>
      <c r="U3797" s="990"/>
      <c r="V3797" s="990"/>
      <c r="W3797" s="990"/>
      <c r="X3797" s="990"/>
    </row>
    <row r="3798" spans="1:24" s="896" customFormat="1" ht="25.5">
      <c r="A3798" s="987">
        <f t="shared" si="60"/>
        <v>3724</v>
      </c>
      <c r="B3798" s="988">
        <v>41195</v>
      </c>
      <c r="C3798" s="899" t="s">
        <v>13124</v>
      </c>
      <c r="D3798" s="988" t="s">
        <v>2666</v>
      </c>
      <c r="E3798" s="989">
        <v>534.57000000000005</v>
      </c>
      <c r="F3798" s="990"/>
      <c r="G3798" s="990"/>
      <c r="H3798" s="990"/>
      <c r="I3798" s="990"/>
      <c r="J3798" s="990"/>
      <c r="K3798" s="990"/>
      <c r="L3798" s="990"/>
      <c r="M3798" s="990"/>
      <c r="N3798" s="990"/>
      <c r="O3798" s="990"/>
      <c r="P3798" s="990"/>
      <c r="Q3798" s="990"/>
      <c r="R3798" s="990"/>
      <c r="S3798" s="990"/>
      <c r="T3798" s="990"/>
      <c r="U3798" s="990"/>
      <c r="V3798" s="990"/>
      <c r="W3798" s="990"/>
      <c r="X3798" s="990"/>
    </row>
    <row r="3799" spans="1:24" s="896" customFormat="1" ht="25.5">
      <c r="A3799" s="987">
        <f t="shared" si="60"/>
        <v>3725</v>
      </c>
      <c r="B3799" s="988">
        <v>41198</v>
      </c>
      <c r="C3799" s="899" t="s">
        <v>13125</v>
      </c>
      <c r="D3799" s="988" t="s">
        <v>2666</v>
      </c>
      <c r="E3799" s="989">
        <v>2088.9699999999998</v>
      </c>
      <c r="F3799" s="990"/>
      <c r="G3799" s="990"/>
      <c r="H3799" s="990"/>
      <c r="I3799" s="990"/>
      <c r="J3799" s="990"/>
      <c r="K3799" s="990"/>
      <c r="L3799" s="990"/>
      <c r="M3799" s="990"/>
      <c r="N3799" s="990"/>
      <c r="O3799" s="990"/>
      <c r="P3799" s="990"/>
      <c r="Q3799" s="990"/>
      <c r="R3799" s="990"/>
      <c r="S3799" s="990"/>
      <c r="T3799" s="990"/>
      <c r="U3799" s="990"/>
      <c r="V3799" s="990"/>
      <c r="W3799" s="990"/>
      <c r="X3799" s="990"/>
    </row>
    <row r="3800" spans="1:24" s="896" customFormat="1" ht="25.5">
      <c r="A3800" s="987">
        <f t="shared" si="60"/>
        <v>3726</v>
      </c>
      <c r="B3800" s="988">
        <v>41196</v>
      </c>
      <c r="C3800" s="899" t="s">
        <v>13126</v>
      </c>
      <c r="D3800" s="988" t="s">
        <v>2666</v>
      </c>
      <c r="E3800" s="989">
        <v>662.63</v>
      </c>
      <c r="F3800" s="990"/>
      <c r="G3800" s="990"/>
      <c r="H3800" s="990"/>
      <c r="I3800" s="990"/>
      <c r="J3800" s="990"/>
      <c r="K3800" s="990"/>
      <c r="L3800" s="990"/>
      <c r="M3800" s="990"/>
      <c r="N3800" s="990"/>
      <c r="O3800" s="990"/>
      <c r="P3800" s="990"/>
      <c r="Q3800" s="990"/>
      <c r="R3800" s="990"/>
      <c r="S3800" s="990"/>
      <c r="T3800" s="990"/>
      <c r="U3800" s="990"/>
      <c r="V3800" s="990"/>
      <c r="W3800" s="990"/>
      <c r="X3800" s="990"/>
    </row>
    <row r="3801" spans="1:24" s="896" customFormat="1" ht="25.5">
      <c r="A3801" s="987">
        <f t="shared" si="60"/>
        <v>3727</v>
      </c>
      <c r="B3801" s="988">
        <v>5033</v>
      </c>
      <c r="C3801" s="899" t="s">
        <v>13127</v>
      </c>
      <c r="D3801" s="988" t="s">
        <v>2666</v>
      </c>
      <c r="E3801" s="989">
        <v>870</v>
      </c>
      <c r="F3801" s="990"/>
      <c r="G3801" s="990"/>
      <c r="H3801" s="990"/>
      <c r="I3801" s="990"/>
      <c r="J3801" s="990"/>
      <c r="K3801" s="990"/>
      <c r="L3801" s="990"/>
      <c r="M3801" s="990"/>
      <c r="N3801" s="990"/>
      <c r="O3801" s="990"/>
      <c r="P3801" s="990"/>
      <c r="Q3801" s="990"/>
      <c r="R3801" s="990"/>
      <c r="S3801" s="990"/>
      <c r="T3801" s="990"/>
      <c r="U3801" s="990"/>
      <c r="V3801" s="990"/>
      <c r="W3801" s="990"/>
      <c r="X3801" s="990"/>
    </row>
    <row r="3802" spans="1:24" s="896" customFormat="1" ht="25.5">
      <c r="A3802" s="987">
        <f t="shared" si="60"/>
        <v>3728</v>
      </c>
      <c r="B3802" s="988">
        <v>41197</v>
      </c>
      <c r="C3802" s="899" t="s">
        <v>13128</v>
      </c>
      <c r="D3802" s="988" t="s">
        <v>2666</v>
      </c>
      <c r="E3802" s="989">
        <v>1292.27</v>
      </c>
      <c r="F3802" s="990"/>
      <c r="G3802" s="990"/>
      <c r="H3802" s="990"/>
      <c r="I3802" s="990"/>
      <c r="J3802" s="990"/>
      <c r="K3802" s="990"/>
      <c r="L3802" s="990"/>
      <c r="M3802" s="990"/>
      <c r="N3802" s="990"/>
      <c r="O3802" s="990"/>
      <c r="P3802" s="990"/>
      <c r="Q3802" s="990"/>
      <c r="R3802" s="990"/>
      <c r="S3802" s="990"/>
      <c r="T3802" s="990"/>
      <c r="U3802" s="990"/>
      <c r="V3802" s="990"/>
      <c r="W3802" s="990"/>
      <c r="X3802" s="990"/>
    </row>
    <row r="3803" spans="1:24" s="896" customFormat="1">
      <c r="A3803" s="987">
        <f t="shared" si="60"/>
        <v>3729</v>
      </c>
      <c r="B3803" s="988">
        <v>12388</v>
      </c>
      <c r="C3803" s="899" t="s">
        <v>13129</v>
      </c>
      <c r="D3803" s="988" t="s">
        <v>2666</v>
      </c>
      <c r="E3803" s="989">
        <v>314.14999999999998</v>
      </c>
      <c r="F3803" s="990"/>
      <c r="G3803" s="990"/>
      <c r="H3803" s="990"/>
      <c r="I3803" s="990"/>
      <c r="J3803" s="990"/>
      <c r="K3803" s="990"/>
      <c r="L3803" s="990"/>
      <c r="M3803" s="990"/>
      <c r="N3803" s="990"/>
      <c r="O3803" s="990"/>
      <c r="P3803" s="990"/>
      <c r="Q3803" s="990"/>
      <c r="R3803" s="990"/>
      <c r="S3803" s="990"/>
      <c r="T3803" s="990"/>
      <c r="U3803" s="990"/>
      <c r="V3803" s="990"/>
      <c r="W3803" s="990"/>
      <c r="X3803" s="990"/>
    </row>
    <row r="3804" spans="1:24" s="896" customFormat="1" ht="25.5">
      <c r="A3804" s="987">
        <f t="shared" si="60"/>
        <v>3730</v>
      </c>
      <c r="B3804" s="988">
        <v>2731</v>
      </c>
      <c r="C3804" s="899" t="s">
        <v>13130</v>
      </c>
      <c r="D3804" s="988" t="s">
        <v>2669</v>
      </c>
      <c r="E3804" s="989">
        <v>100.25</v>
      </c>
      <c r="F3804" s="990"/>
      <c r="G3804" s="990"/>
      <c r="H3804" s="990"/>
      <c r="I3804" s="990"/>
      <c r="J3804" s="990"/>
      <c r="K3804" s="990"/>
      <c r="L3804" s="990"/>
      <c r="M3804" s="990"/>
      <c r="N3804" s="990"/>
      <c r="O3804" s="990"/>
      <c r="P3804" s="990"/>
      <c r="Q3804" s="990"/>
      <c r="R3804" s="990"/>
      <c r="S3804" s="990"/>
      <c r="T3804" s="990"/>
      <c r="U3804" s="990"/>
      <c r="V3804" s="990"/>
      <c r="W3804" s="990"/>
      <c r="X3804" s="990"/>
    </row>
    <row r="3805" spans="1:24" s="896" customFormat="1" ht="25.5">
      <c r="A3805" s="987">
        <f t="shared" si="60"/>
        <v>3731</v>
      </c>
      <c r="B3805" s="988">
        <v>41457</v>
      </c>
      <c r="C3805" s="899" t="s">
        <v>13131</v>
      </c>
      <c r="D3805" s="988" t="s">
        <v>2666</v>
      </c>
      <c r="E3805" s="989">
        <v>1736.83</v>
      </c>
      <c r="F3805" s="990"/>
      <c r="G3805" s="990"/>
      <c r="H3805" s="990"/>
      <c r="I3805" s="990"/>
      <c r="J3805" s="990"/>
      <c r="K3805" s="990"/>
      <c r="L3805" s="990"/>
      <c r="M3805" s="990"/>
      <c r="N3805" s="990"/>
      <c r="O3805" s="990"/>
      <c r="P3805" s="990"/>
      <c r="Q3805" s="990"/>
      <c r="R3805" s="990"/>
      <c r="S3805" s="990"/>
      <c r="T3805" s="990"/>
      <c r="U3805" s="990"/>
      <c r="V3805" s="990"/>
      <c r="W3805" s="990"/>
      <c r="X3805" s="990"/>
    </row>
    <row r="3806" spans="1:24" s="896" customFormat="1" ht="25.5">
      <c r="A3806" s="987">
        <f t="shared" si="60"/>
        <v>3732</v>
      </c>
      <c r="B3806" s="988">
        <v>41458</v>
      </c>
      <c r="C3806" s="899" t="s">
        <v>13132</v>
      </c>
      <c r="D3806" s="988" t="s">
        <v>2666</v>
      </c>
      <c r="E3806" s="989">
        <v>2424.6999999999998</v>
      </c>
      <c r="F3806" s="990"/>
      <c r="G3806" s="990"/>
      <c r="H3806" s="990"/>
      <c r="I3806" s="990"/>
      <c r="J3806" s="990"/>
      <c r="K3806" s="990"/>
      <c r="L3806" s="990"/>
      <c r="M3806" s="990"/>
      <c r="N3806" s="990"/>
      <c r="O3806" s="990"/>
      <c r="P3806" s="990"/>
      <c r="Q3806" s="990"/>
      <c r="R3806" s="990"/>
      <c r="S3806" s="990"/>
      <c r="T3806" s="990"/>
      <c r="U3806" s="990"/>
      <c r="V3806" s="990"/>
      <c r="W3806" s="990"/>
      <c r="X3806" s="990"/>
    </row>
    <row r="3807" spans="1:24" s="896" customFormat="1" ht="25.5">
      <c r="A3807" s="987">
        <f t="shared" si="60"/>
        <v>3733</v>
      </c>
      <c r="B3807" s="988">
        <v>41459</v>
      </c>
      <c r="C3807" s="899" t="s">
        <v>13133</v>
      </c>
      <c r="D3807" s="988" t="s">
        <v>2666</v>
      </c>
      <c r="E3807" s="989">
        <v>3382.27</v>
      </c>
      <c r="F3807" s="990"/>
      <c r="G3807" s="990"/>
      <c r="H3807" s="990"/>
      <c r="I3807" s="990"/>
      <c r="J3807" s="990"/>
      <c r="K3807" s="990"/>
      <c r="L3807" s="990"/>
      <c r="M3807" s="990"/>
      <c r="N3807" s="990"/>
      <c r="O3807" s="990"/>
      <c r="P3807" s="990"/>
      <c r="Q3807" s="990"/>
      <c r="R3807" s="990"/>
      <c r="S3807" s="990"/>
      <c r="T3807" s="990"/>
      <c r="U3807" s="990"/>
      <c r="V3807" s="990"/>
      <c r="W3807" s="990"/>
      <c r="X3807" s="990"/>
    </row>
    <row r="3808" spans="1:24" s="896" customFormat="1" ht="25.5">
      <c r="A3808" s="987">
        <f t="shared" si="60"/>
        <v>3734</v>
      </c>
      <c r="B3808" s="988">
        <v>41461</v>
      </c>
      <c r="C3808" s="899" t="s">
        <v>13134</v>
      </c>
      <c r="D3808" s="988" t="s">
        <v>2666</v>
      </c>
      <c r="E3808" s="989">
        <v>4611.5600000000004</v>
      </c>
      <c r="F3808" s="990"/>
      <c r="G3808" s="990"/>
      <c r="H3808" s="990"/>
      <c r="I3808" s="990"/>
      <c r="J3808" s="990"/>
      <c r="K3808" s="990"/>
      <c r="L3808" s="990"/>
      <c r="M3808" s="990"/>
      <c r="N3808" s="990"/>
      <c r="O3808" s="990"/>
      <c r="P3808" s="990"/>
      <c r="Q3808" s="990"/>
      <c r="R3808" s="990"/>
      <c r="S3808" s="990"/>
      <c r="T3808" s="990"/>
      <c r="U3808" s="990"/>
      <c r="V3808" s="990"/>
      <c r="W3808" s="990"/>
      <c r="X3808" s="990"/>
    </row>
    <row r="3809" spans="1:24" s="896" customFormat="1">
      <c r="A3809" s="987">
        <f t="shared" si="60"/>
        <v>3735</v>
      </c>
      <c r="B3809" s="988">
        <v>44537</v>
      </c>
      <c r="C3809" s="899" t="s">
        <v>13135</v>
      </c>
      <c r="D3809" s="988" t="s">
        <v>2676</v>
      </c>
      <c r="E3809" s="989">
        <v>332.63</v>
      </c>
      <c r="F3809" s="990"/>
      <c r="G3809" s="990"/>
      <c r="H3809" s="990"/>
      <c r="I3809" s="990"/>
      <c r="J3809" s="990"/>
      <c r="K3809" s="990"/>
      <c r="L3809" s="990"/>
      <c r="M3809" s="990"/>
      <c r="N3809" s="990"/>
      <c r="O3809" s="990"/>
      <c r="P3809" s="990"/>
      <c r="Q3809" s="990"/>
      <c r="R3809" s="990"/>
      <c r="S3809" s="990"/>
      <c r="T3809" s="990"/>
      <c r="U3809" s="990"/>
      <c r="V3809" s="990"/>
      <c r="W3809" s="990"/>
      <c r="X3809" s="990"/>
    </row>
    <row r="3810" spans="1:24" s="896" customFormat="1" ht="25.5">
      <c r="A3810" s="987">
        <f t="shared" si="60"/>
        <v>3736</v>
      </c>
      <c r="B3810" s="988">
        <v>11844</v>
      </c>
      <c r="C3810" s="899" t="s">
        <v>13136</v>
      </c>
      <c r="D3810" s="988" t="s">
        <v>2669</v>
      </c>
      <c r="E3810" s="989">
        <v>68.95</v>
      </c>
      <c r="F3810" s="990"/>
      <c r="G3810" s="990"/>
      <c r="H3810" s="990"/>
      <c r="I3810" s="990"/>
      <c r="J3810" s="990"/>
      <c r="K3810" s="990"/>
      <c r="L3810" s="990"/>
      <c r="M3810" s="990"/>
      <c r="N3810" s="990"/>
      <c r="O3810" s="990"/>
      <c r="P3810" s="990"/>
      <c r="Q3810" s="990"/>
      <c r="R3810" s="990"/>
      <c r="S3810" s="990"/>
      <c r="T3810" s="990"/>
      <c r="U3810" s="990"/>
      <c r="V3810" s="990"/>
      <c r="W3810" s="990"/>
      <c r="X3810" s="990"/>
    </row>
    <row r="3811" spans="1:24" s="896" customFormat="1" ht="25.5">
      <c r="A3811" s="987">
        <f t="shared" si="60"/>
        <v>3737</v>
      </c>
      <c r="B3811" s="988">
        <v>4465</v>
      </c>
      <c r="C3811" s="899" t="s">
        <v>13137</v>
      </c>
      <c r="D3811" s="988" t="s">
        <v>2669</v>
      </c>
      <c r="E3811" s="989">
        <v>57.3</v>
      </c>
      <c r="F3811" s="990"/>
      <c r="G3811" s="990"/>
      <c r="H3811" s="990"/>
      <c r="I3811" s="990"/>
      <c r="J3811" s="990"/>
      <c r="K3811" s="990"/>
      <c r="L3811" s="990"/>
      <c r="M3811" s="990"/>
      <c r="N3811" s="990"/>
      <c r="O3811" s="990"/>
      <c r="P3811" s="990"/>
      <c r="Q3811" s="990"/>
      <c r="R3811" s="990"/>
      <c r="S3811" s="990"/>
      <c r="T3811" s="990"/>
      <c r="U3811" s="990"/>
      <c r="V3811" s="990"/>
      <c r="W3811" s="990"/>
      <c r="X3811" s="990"/>
    </row>
    <row r="3812" spans="1:24" s="896" customFormat="1" ht="25.5">
      <c r="A3812" s="987">
        <f t="shared" si="60"/>
        <v>3738</v>
      </c>
      <c r="B3812" s="988">
        <v>35273</v>
      </c>
      <c r="C3812" s="899" t="s">
        <v>13138</v>
      </c>
      <c r="D3812" s="988" t="s">
        <v>2669</v>
      </c>
      <c r="E3812" s="989">
        <v>68.72</v>
      </c>
      <c r="F3812" s="990"/>
      <c r="G3812" s="990"/>
      <c r="H3812" s="990"/>
      <c r="I3812" s="990"/>
      <c r="J3812" s="990"/>
      <c r="K3812" s="990"/>
      <c r="L3812" s="990"/>
      <c r="M3812" s="990"/>
      <c r="N3812" s="990"/>
      <c r="O3812" s="990"/>
      <c r="P3812" s="990"/>
      <c r="Q3812" s="990"/>
      <c r="R3812" s="990"/>
      <c r="S3812" s="990"/>
      <c r="T3812" s="990"/>
      <c r="U3812" s="990"/>
      <c r="V3812" s="990"/>
      <c r="W3812" s="990"/>
      <c r="X3812" s="990"/>
    </row>
    <row r="3813" spans="1:24" s="896" customFormat="1" ht="25.5">
      <c r="A3813" s="987">
        <f t="shared" si="60"/>
        <v>3739</v>
      </c>
      <c r="B3813" s="988">
        <v>4470</v>
      </c>
      <c r="C3813" s="899" t="s">
        <v>13139</v>
      </c>
      <c r="D3813" s="988" t="s">
        <v>2669</v>
      </c>
      <c r="E3813" s="989">
        <v>158.59</v>
      </c>
      <c r="F3813" s="990"/>
      <c r="G3813" s="990"/>
      <c r="H3813" s="990"/>
      <c r="I3813" s="990"/>
      <c r="J3813" s="990"/>
      <c r="K3813" s="990"/>
      <c r="L3813" s="990"/>
      <c r="M3813" s="990"/>
      <c r="N3813" s="990"/>
      <c r="O3813" s="990"/>
      <c r="P3813" s="990"/>
      <c r="Q3813" s="990"/>
      <c r="R3813" s="990"/>
      <c r="S3813" s="990"/>
      <c r="T3813" s="990"/>
      <c r="U3813" s="990"/>
      <c r="V3813" s="990"/>
      <c r="W3813" s="990"/>
      <c r="X3813" s="990"/>
    </row>
    <row r="3814" spans="1:24" s="896" customFormat="1" ht="25.5">
      <c r="A3814" s="987">
        <f t="shared" si="60"/>
        <v>3740</v>
      </c>
      <c r="B3814" s="988">
        <v>20208</v>
      </c>
      <c r="C3814" s="899" t="s">
        <v>13140</v>
      </c>
      <c r="D3814" s="988" t="s">
        <v>2669</v>
      </c>
      <c r="E3814" s="989">
        <v>142.72999999999999</v>
      </c>
      <c r="F3814" s="990"/>
      <c r="G3814" s="990"/>
      <c r="H3814" s="990"/>
      <c r="I3814" s="990"/>
      <c r="J3814" s="990"/>
      <c r="K3814" s="990"/>
      <c r="L3814" s="990"/>
      <c r="M3814" s="990"/>
      <c r="N3814" s="990"/>
      <c r="O3814" s="990"/>
      <c r="P3814" s="990"/>
      <c r="Q3814" s="990"/>
      <c r="R3814" s="990"/>
      <c r="S3814" s="990"/>
      <c r="T3814" s="990"/>
      <c r="U3814" s="990"/>
      <c r="V3814" s="990"/>
      <c r="W3814" s="990"/>
      <c r="X3814" s="990"/>
    </row>
    <row r="3815" spans="1:24" s="896" customFormat="1" ht="25.5">
      <c r="A3815" s="987">
        <f t="shared" si="60"/>
        <v>3741</v>
      </c>
      <c r="B3815" s="988">
        <v>20204</v>
      </c>
      <c r="C3815" s="899" t="s">
        <v>13141</v>
      </c>
      <c r="D3815" s="988" t="s">
        <v>2669</v>
      </c>
      <c r="E3815" s="989">
        <v>105.72</v>
      </c>
      <c r="F3815" s="990"/>
      <c r="G3815" s="990"/>
      <c r="H3815" s="990"/>
      <c r="I3815" s="990"/>
      <c r="J3815" s="990"/>
      <c r="K3815" s="990"/>
      <c r="L3815" s="990"/>
      <c r="M3815" s="990"/>
      <c r="N3815" s="990"/>
      <c r="O3815" s="990"/>
      <c r="P3815" s="990"/>
      <c r="Q3815" s="990"/>
      <c r="R3815" s="990"/>
      <c r="S3815" s="990"/>
      <c r="T3815" s="990"/>
      <c r="U3815" s="990"/>
      <c r="V3815" s="990"/>
      <c r="W3815" s="990"/>
      <c r="X3815" s="990"/>
    </row>
    <row r="3816" spans="1:24" s="896" customFormat="1" ht="25.5">
      <c r="A3816" s="987">
        <f t="shared" si="60"/>
        <v>3742</v>
      </c>
      <c r="B3816" s="988">
        <v>4437</v>
      </c>
      <c r="C3816" s="899" t="s">
        <v>13142</v>
      </c>
      <c r="D3816" s="988" t="s">
        <v>2669</v>
      </c>
      <c r="E3816" s="989">
        <v>118.94</v>
      </c>
      <c r="F3816" s="990"/>
      <c r="G3816" s="990"/>
      <c r="H3816" s="990"/>
      <c r="I3816" s="990"/>
      <c r="J3816" s="990"/>
      <c r="K3816" s="990"/>
      <c r="L3816" s="990"/>
      <c r="M3816" s="990"/>
      <c r="N3816" s="990"/>
      <c r="O3816" s="990"/>
      <c r="P3816" s="990"/>
      <c r="Q3816" s="990"/>
      <c r="R3816" s="990"/>
      <c r="S3816" s="990"/>
      <c r="T3816" s="990"/>
      <c r="U3816" s="990"/>
      <c r="V3816" s="990"/>
      <c r="W3816" s="990"/>
      <c r="X3816" s="990"/>
    </row>
    <row r="3817" spans="1:24" s="896" customFormat="1" ht="25.5">
      <c r="A3817" s="987">
        <f t="shared" si="60"/>
        <v>3743</v>
      </c>
      <c r="B3817" s="988">
        <v>14580</v>
      </c>
      <c r="C3817" s="899" t="s">
        <v>13143</v>
      </c>
      <c r="D3817" s="988" t="s">
        <v>2669</v>
      </c>
      <c r="E3817" s="989">
        <v>118.94</v>
      </c>
      <c r="F3817" s="990"/>
      <c r="G3817" s="990"/>
      <c r="H3817" s="990"/>
      <c r="I3817" s="990"/>
      <c r="J3817" s="990"/>
      <c r="K3817" s="990"/>
      <c r="L3817" s="990"/>
      <c r="M3817" s="990"/>
      <c r="N3817" s="990"/>
      <c r="O3817" s="990"/>
      <c r="P3817" s="990"/>
      <c r="Q3817" s="990"/>
      <c r="R3817" s="990"/>
      <c r="S3817" s="990"/>
      <c r="T3817" s="990"/>
      <c r="U3817" s="990"/>
      <c r="V3817" s="990"/>
      <c r="W3817" s="990"/>
      <c r="X3817" s="990"/>
    </row>
    <row r="3818" spans="1:24" s="896" customFormat="1">
      <c r="A3818" s="987">
        <f t="shared" si="60"/>
        <v>3744</v>
      </c>
      <c r="B3818" s="988">
        <v>40304</v>
      </c>
      <c r="C3818" s="899" t="s">
        <v>13144</v>
      </c>
      <c r="D3818" s="988" t="s">
        <v>2670</v>
      </c>
      <c r="E3818" s="989">
        <v>25.95</v>
      </c>
      <c r="F3818" s="990"/>
      <c r="G3818" s="990"/>
      <c r="H3818" s="990"/>
      <c r="I3818" s="990"/>
      <c r="J3818" s="990"/>
      <c r="K3818" s="990"/>
      <c r="L3818" s="990"/>
      <c r="M3818" s="990"/>
      <c r="N3818" s="990"/>
      <c r="O3818" s="990"/>
      <c r="P3818" s="990"/>
      <c r="Q3818" s="990"/>
      <c r="R3818" s="990"/>
      <c r="S3818" s="990"/>
      <c r="T3818" s="990"/>
      <c r="U3818" s="990"/>
      <c r="V3818" s="990"/>
      <c r="W3818" s="990"/>
      <c r="X3818" s="990"/>
    </row>
    <row r="3819" spans="1:24" s="896" customFormat="1">
      <c r="A3819" s="987">
        <f t="shared" si="60"/>
        <v>3745</v>
      </c>
      <c r="B3819" s="988">
        <v>5065</v>
      </c>
      <c r="C3819" s="899" t="s">
        <v>13145</v>
      </c>
      <c r="D3819" s="988" t="s">
        <v>2670</v>
      </c>
      <c r="E3819" s="989">
        <v>40</v>
      </c>
      <c r="F3819" s="990"/>
      <c r="G3819" s="990"/>
      <c r="H3819" s="990"/>
      <c r="I3819" s="990"/>
      <c r="J3819" s="990"/>
      <c r="K3819" s="990"/>
      <c r="L3819" s="990"/>
      <c r="M3819" s="990"/>
      <c r="N3819" s="990"/>
      <c r="O3819" s="990"/>
      <c r="P3819" s="990"/>
      <c r="Q3819" s="990"/>
      <c r="R3819" s="990"/>
      <c r="S3819" s="990"/>
      <c r="T3819" s="990"/>
      <c r="U3819" s="990"/>
      <c r="V3819" s="990"/>
      <c r="W3819" s="990"/>
      <c r="X3819" s="990"/>
    </row>
    <row r="3820" spans="1:24" s="896" customFormat="1">
      <c r="A3820" s="987">
        <f t="shared" si="60"/>
        <v>3746</v>
      </c>
      <c r="B3820" s="988">
        <v>5072</v>
      </c>
      <c r="C3820" s="899" t="s">
        <v>13146</v>
      </c>
      <c r="D3820" s="988" t="s">
        <v>2670</v>
      </c>
      <c r="E3820" s="989">
        <v>37</v>
      </c>
      <c r="F3820" s="990"/>
      <c r="G3820" s="990"/>
      <c r="H3820" s="990"/>
      <c r="I3820" s="990"/>
      <c r="J3820" s="990"/>
      <c r="K3820" s="990"/>
      <c r="L3820" s="990"/>
      <c r="M3820" s="990"/>
      <c r="N3820" s="990"/>
      <c r="O3820" s="990"/>
      <c r="P3820" s="990"/>
      <c r="Q3820" s="990"/>
      <c r="R3820" s="990"/>
      <c r="S3820" s="990"/>
      <c r="T3820" s="990"/>
      <c r="U3820" s="990"/>
      <c r="V3820" s="990"/>
      <c r="W3820" s="990"/>
      <c r="X3820" s="990"/>
    </row>
    <row r="3821" spans="1:24" s="896" customFormat="1">
      <c r="A3821" s="987">
        <f t="shared" si="60"/>
        <v>3747</v>
      </c>
      <c r="B3821" s="988">
        <v>5066</v>
      </c>
      <c r="C3821" s="899" t="s">
        <v>13147</v>
      </c>
      <c r="D3821" s="988" t="s">
        <v>2670</v>
      </c>
      <c r="E3821" s="989">
        <v>27.7</v>
      </c>
      <c r="F3821" s="990"/>
      <c r="G3821" s="990"/>
      <c r="H3821" s="990"/>
      <c r="I3821" s="990"/>
      <c r="J3821" s="990"/>
      <c r="K3821" s="990"/>
      <c r="L3821" s="990"/>
      <c r="M3821" s="990"/>
      <c r="N3821" s="990"/>
      <c r="O3821" s="990"/>
      <c r="P3821" s="990"/>
      <c r="Q3821" s="990"/>
      <c r="R3821" s="990"/>
      <c r="S3821" s="990"/>
      <c r="T3821" s="990"/>
      <c r="U3821" s="990"/>
      <c r="V3821" s="990"/>
      <c r="W3821" s="990"/>
      <c r="X3821" s="990"/>
    </row>
    <row r="3822" spans="1:24" s="896" customFormat="1">
      <c r="A3822" s="987">
        <f t="shared" si="60"/>
        <v>3748</v>
      </c>
      <c r="B3822" s="988">
        <v>5063</v>
      </c>
      <c r="C3822" s="899" t="s">
        <v>13148</v>
      </c>
      <c r="D3822" s="988" t="s">
        <v>2670</v>
      </c>
      <c r="E3822" s="989">
        <v>25.09</v>
      </c>
      <c r="F3822" s="990"/>
      <c r="G3822" s="990"/>
      <c r="H3822" s="990"/>
      <c r="I3822" s="990"/>
      <c r="J3822" s="990"/>
      <c r="K3822" s="990"/>
      <c r="L3822" s="990"/>
      <c r="M3822" s="990"/>
      <c r="N3822" s="990"/>
      <c r="O3822" s="990"/>
      <c r="P3822" s="990"/>
      <c r="Q3822" s="990"/>
      <c r="R3822" s="990"/>
      <c r="S3822" s="990"/>
      <c r="T3822" s="990"/>
      <c r="U3822" s="990"/>
      <c r="V3822" s="990"/>
      <c r="W3822" s="990"/>
      <c r="X3822" s="990"/>
    </row>
    <row r="3823" spans="1:24" s="896" customFormat="1">
      <c r="A3823" s="987">
        <f t="shared" si="60"/>
        <v>3749</v>
      </c>
      <c r="B3823" s="988">
        <v>20247</v>
      </c>
      <c r="C3823" s="899" t="s">
        <v>13149</v>
      </c>
      <c r="D3823" s="988" t="s">
        <v>2670</v>
      </c>
      <c r="E3823" s="989">
        <v>23.28</v>
      </c>
      <c r="F3823" s="990"/>
      <c r="G3823" s="990"/>
      <c r="H3823" s="990"/>
      <c r="I3823" s="990"/>
      <c r="J3823" s="990"/>
      <c r="K3823" s="990"/>
      <c r="L3823" s="990"/>
      <c r="M3823" s="990"/>
      <c r="N3823" s="990"/>
      <c r="O3823" s="990"/>
      <c r="P3823" s="990"/>
      <c r="Q3823" s="990"/>
      <c r="R3823" s="990"/>
      <c r="S3823" s="990"/>
      <c r="T3823" s="990"/>
      <c r="U3823" s="990"/>
      <c r="V3823" s="990"/>
      <c r="W3823" s="990"/>
      <c r="X3823" s="990"/>
    </row>
    <row r="3824" spans="1:24" s="896" customFormat="1">
      <c r="A3824" s="987">
        <f t="shared" si="60"/>
        <v>3750</v>
      </c>
      <c r="B3824" s="988">
        <v>5074</v>
      </c>
      <c r="C3824" s="899" t="s">
        <v>13150</v>
      </c>
      <c r="D3824" s="988" t="s">
        <v>2670</v>
      </c>
      <c r="E3824" s="989">
        <v>23.56</v>
      </c>
      <c r="F3824" s="990"/>
      <c r="G3824" s="990"/>
      <c r="H3824" s="990"/>
      <c r="I3824" s="990"/>
      <c r="J3824" s="990"/>
      <c r="K3824" s="990"/>
      <c r="L3824" s="990"/>
      <c r="M3824" s="990"/>
      <c r="N3824" s="990"/>
      <c r="O3824" s="990"/>
      <c r="P3824" s="990"/>
      <c r="Q3824" s="990"/>
      <c r="R3824" s="990"/>
      <c r="S3824" s="990"/>
      <c r="T3824" s="990"/>
      <c r="U3824" s="990"/>
      <c r="V3824" s="990"/>
      <c r="W3824" s="990"/>
      <c r="X3824" s="990"/>
    </row>
    <row r="3825" spans="1:24" s="896" customFormat="1">
      <c r="A3825" s="987">
        <f t="shared" si="60"/>
        <v>3751</v>
      </c>
      <c r="B3825" s="988">
        <v>5067</v>
      </c>
      <c r="C3825" s="899" t="s">
        <v>13151</v>
      </c>
      <c r="D3825" s="988" t="s">
        <v>2670</v>
      </c>
      <c r="E3825" s="989">
        <v>22.41</v>
      </c>
      <c r="F3825" s="990"/>
      <c r="G3825" s="990"/>
      <c r="H3825" s="990"/>
      <c r="I3825" s="990"/>
      <c r="J3825" s="990"/>
      <c r="K3825" s="990"/>
      <c r="L3825" s="990"/>
      <c r="M3825" s="990"/>
      <c r="N3825" s="990"/>
      <c r="O3825" s="990"/>
      <c r="P3825" s="990"/>
      <c r="Q3825" s="990"/>
      <c r="R3825" s="990"/>
      <c r="S3825" s="990"/>
      <c r="T3825" s="990"/>
      <c r="U3825" s="990"/>
      <c r="V3825" s="990"/>
      <c r="W3825" s="990"/>
      <c r="X3825" s="990"/>
    </row>
    <row r="3826" spans="1:24" s="896" customFormat="1">
      <c r="A3826" s="987">
        <f t="shared" si="60"/>
        <v>3752</v>
      </c>
      <c r="B3826" s="988">
        <v>5078</v>
      </c>
      <c r="C3826" s="899" t="s">
        <v>13152</v>
      </c>
      <c r="D3826" s="988" t="s">
        <v>2670</v>
      </c>
      <c r="E3826" s="989">
        <v>22.15</v>
      </c>
      <c r="F3826" s="990"/>
      <c r="G3826" s="990"/>
      <c r="H3826" s="990"/>
      <c r="I3826" s="990"/>
      <c r="J3826" s="990"/>
      <c r="K3826" s="990"/>
      <c r="L3826" s="990"/>
      <c r="M3826" s="990"/>
      <c r="N3826" s="990"/>
      <c r="O3826" s="990"/>
      <c r="P3826" s="990"/>
      <c r="Q3826" s="990"/>
      <c r="R3826" s="990"/>
      <c r="S3826" s="990"/>
      <c r="T3826" s="990"/>
      <c r="U3826" s="990"/>
      <c r="V3826" s="990"/>
      <c r="W3826" s="990"/>
      <c r="X3826" s="990"/>
    </row>
    <row r="3827" spans="1:24" s="896" customFormat="1">
      <c r="A3827" s="987">
        <f t="shared" si="60"/>
        <v>3753</v>
      </c>
      <c r="B3827" s="988">
        <v>5068</v>
      </c>
      <c r="C3827" s="899" t="s">
        <v>13153</v>
      </c>
      <c r="D3827" s="988" t="s">
        <v>2670</v>
      </c>
      <c r="E3827" s="989">
        <v>21.03</v>
      </c>
      <c r="F3827" s="990"/>
      <c r="G3827" s="990"/>
      <c r="H3827" s="990"/>
      <c r="I3827" s="990"/>
      <c r="J3827" s="990"/>
      <c r="K3827" s="990"/>
      <c r="L3827" s="990"/>
      <c r="M3827" s="990"/>
      <c r="N3827" s="990"/>
      <c r="O3827" s="990"/>
      <c r="P3827" s="990"/>
      <c r="Q3827" s="990"/>
      <c r="R3827" s="990"/>
      <c r="S3827" s="990"/>
      <c r="T3827" s="990"/>
      <c r="U3827" s="990"/>
      <c r="V3827" s="990"/>
      <c r="W3827" s="990"/>
      <c r="X3827" s="990"/>
    </row>
    <row r="3828" spans="1:24" s="896" customFormat="1">
      <c r="A3828" s="987">
        <f t="shared" si="60"/>
        <v>3754</v>
      </c>
      <c r="B3828" s="988">
        <v>5073</v>
      </c>
      <c r="C3828" s="899" t="s">
        <v>13154</v>
      </c>
      <c r="D3828" s="988" t="s">
        <v>2670</v>
      </c>
      <c r="E3828" s="989">
        <v>21.43</v>
      </c>
      <c r="F3828" s="990"/>
      <c r="G3828" s="990"/>
      <c r="H3828" s="990"/>
      <c r="I3828" s="990"/>
      <c r="J3828" s="990"/>
      <c r="K3828" s="990"/>
      <c r="L3828" s="990"/>
      <c r="M3828" s="990"/>
      <c r="N3828" s="990"/>
      <c r="O3828" s="990"/>
      <c r="P3828" s="990"/>
      <c r="Q3828" s="990"/>
      <c r="R3828" s="990"/>
      <c r="S3828" s="990"/>
      <c r="T3828" s="990"/>
      <c r="U3828" s="990"/>
      <c r="V3828" s="990"/>
      <c r="W3828" s="990"/>
      <c r="X3828" s="990"/>
    </row>
    <row r="3829" spans="1:24" s="896" customFormat="1">
      <c r="A3829" s="987">
        <f t="shared" si="60"/>
        <v>3755</v>
      </c>
      <c r="B3829" s="988">
        <v>5069</v>
      </c>
      <c r="C3829" s="899" t="s">
        <v>13155</v>
      </c>
      <c r="D3829" s="988" t="s">
        <v>2670</v>
      </c>
      <c r="E3829" s="989">
        <v>21.43</v>
      </c>
      <c r="F3829" s="990"/>
      <c r="G3829" s="990"/>
      <c r="H3829" s="990"/>
      <c r="I3829" s="990"/>
      <c r="J3829" s="990"/>
      <c r="K3829" s="990"/>
      <c r="L3829" s="990"/>
      <c r="M3829" s="990"/>
      <c r="N3829" s="990"/>
      <c r="O3829" s="990"/>
      <c r="P3829" s="990"/>
      <c r="Q3829" s="990"/>
      <c r="R3829" s="990"/>
      <c r="S3829" s="990"/>
      <c r="T3829" s="990"/>
      <c r="U3829" s="990"/>
      <c r="V3829" s="990"/>
      <c r="W3829" s="990"/>
      <c r="X3829" s="990"/>
    </row>
    <row r="3830" spans="1:24" s="896" customFormat="1">
      <c r="A3830" s="987">
        <f t="shared" si="60"/>
        <v>3756</v>
      </c>
      <c r="B3830" s="988">
        <v>5070</v>
      </c>
      <c r="C3830" s="899" t="s">
        <v>13156</v>
      </c>
      <c r="D3830" s="988" t="s">
        <v>2670</v>
      </c>
      <c r="E3830" s="989">
        <v>21.66</v>
      </c>
      <c r="F3830" s="990"/>
      <c r="G3830" s="990"/>
      <c r="H3830" s="990"/>
      <c r="I3830" s="990"/>
      <c r="J3830" s="990"/>
      <c r="K3830" s="990"/>
      <c r="L3830" s="990"/>
      <c r="M3830" s="990"/>
      <c r="N3830" s="990"/>
      <c r="O3830" s="990"/>
      <c r="P3830" s="990"/>
      <c r="Q3830" s="990"/>
      <c r="R3830" s="990"/>
      <c r="S3830" s="990"/>
      <c r="T3830" s="990"/>
      <c r="U3830" s="990"/>
      <c r="V3830" s="990"/>
      <c r="W3830" s="990"/>
      <c r="X3830" s="990"/>
    </row>
    <row r="3831" spans="1:24" s="896" customFormat="1">
      <c r="A3831" s="987">
        <f t="shared" si="60"/>
        <v>3757</v>
      </c>
      <c r="B3831" s="988">
        <v>5071</v>
      </c>
      <c r="C3831" s="899" t="s">
        <v>13157</v>
      </c>
      <c r="D3831" s="988" t="s">
        <v>2670</v>
      </c>
      <c r="E3831" s="989">
        <v>21.03</v>
      </c>
      <c r="F3831" s="990"/>
      <c r="G3831" s="990"/>
      <c r="H3831" s="990"/>
      <c r="I3831" s="990"/>
      <c r="J3831" s="990"/>
      <c r="K3831" s="990"/>
      <c r="L3831" s="990"/>
      <c r="M3831" s="990"/>
      <c r="N3831" s="990"/>
      <c r="O3831" s="990"/>
      <c r="P3831" s="990"/>
      <c r="Q3831" s="990"/>
      <c r="R3831" s="990"/>
      <c r="S3831" s="990"/>
      <c r="T3831" s="990"/>
      <c r="U3831" s="990"/>
      <c r="V3831" s="990"/>
      <c r="W3831" s="990"/>
      <c r="X3831" s="990"/>
    </row>
    <row r="3832" spans="1:24" s="896" customFormat="1">
      <c r="A3832" s="987">
        <f t="shared" si="60"/>
        <v>3758</v>
      </c>
      <c r="B3832" s="988">
        <v>5061</v>
      </c>
      <c r="C3832" s="899" t="s">
        <v>13158</v>
      </c>
      <c r="D3832" s="988" t="s">
        <v>2670</v>
      </c>
      <c r="E3832" s="989">
        <v>20.67</v>
      </c>
      <c r="F3832" s="990"/>
      <c r="G3832" s="990"/>
      <c r="H3832" s="990"/>
      <c r="I3832" s="990"/>
      <c r="J3832" s="990"/>
      <c r="K3832" s="990"/>
      <c r="L3832" s="990"/>
      <c r="M3832" s="990"/>
      <c r="N3832" s="990"/>
      <c r="O3832" s="990"/>
      <c r="P3832" s="990"/>
      <c r="Q3832" s="990"/>
      <c r="R3832" s="990"/>
      <c r="S3832" s="990"/>
      <c r="T3832" s="990"/>
      <c r="U3832" s="990"/>
      <c r="V3832" s="990"/>
      <c r="W3832" s="990"/>
      <c r="X3832" s="990"/>
    </row>
    <row r="3833" spans="1:24" s="896" customFormat="1">
      <c r="A3833" s="987">
        <f t="shared" si="60"/>
        <v>3759</v>
      </c>
      <c r="B3833" s="988">
        <v>5075</v>
      </c>
      <c r="C3833" s="899" t="s">
        <v>13159</v>
      </c>
      <c r="D3833" s="988" t="s">
        <v>2670</v>
      </c>
      <c r="E3833" s="989">
        <v>21.03</v>
      </c>
      <c r="F3833" s="990"/>
      <c r="G3833" s="990"/>
      <c r="H3833" s="990"/>
      <c r="I3833" s="990"/>
      <c r="J3833" s="990"/>
      <c r="K3833" s="990"/>
      <c r="L3833" s="990"/>
      <c r="M3833" s="990"/>
      <c r="N3833" s="990"/>
      <c r="O3833" s="990"/>
      <c r="P3833" s="990"/>
      <c r="Q3833" s="990"/>
      <c r="R3833" s="990"/>
      <c r="S3833" s="990"/>
      <c r="T3833" s="990"/>
      <c r="U3833" s="990"/>
      <c r="V3833" s="990"/>
      <c r="W3833" s="990"/>
      <c r="X3833" s="990"/>
    </row>
    <row r="3834" spans="1:24" s="896" customFormat="1">
      <c r="A3834" s="987">
        <f t="shared" si="60"/>
        <v>3760</v>
      </c>
      <c r="B3834" s="988">
        <v>39027</v>
      </c>
      <c r="C3834" s="899" t="s">
        <v>13160</v>
      </c>
      <c r="D3834" s="988" t="s">
        <v>2670</v>
      </c>
      <c r="E3834" s="989">
        <v>21.01</v>
      </c>
      <c r="F3834" s="990"/>
      <c r="G3834" s="990"/>
      <c r="H3834" s="990"/>
      <c r="I3834" s="990"/>
      <c r="J3834" s="990"/>
      <c r="K3834" s="990"/>
      <c r="L3834" s="990"/>
      <c r="M3834" s="990"/>
      <c r="N3834" s="990"/>
      <c r="O3834" s="990"/>
      <c r="P3834" s="990"/>
      <c r="Q3834" s="990"/>
      <c r="R3834" s="990"/>
      <c r="S3834" s="990"/>
      <c r="T3834" s="990"/>
      <c r="U3834" s="990"/>
      <c r="V3834" s="990"/>
      <c r="W3834" s="990"/>
      <c r="X3834" s="990"/>
    </row>
    <row r="3835" spans="1:24" s="896" customFormat="1">
      <c r="A3835" s="987">
        <f t="shared" si="60"/>
        <v>3761</v>
      </c>
      <c r="B3835" s="988">
        <v>5062</v>
      </c>
      <c r="C3835" s="899" t="s">
        <v>13161</v>
      </c>
      <c r="D3835" s="988" t="s">
        <v>2670</v>
      </c>
      <c r="E3835" s="989">
        <v>21.3</v>
      </c>
      <c r="F3835" s="990"/>
      <c r="G3835" s="990"/>
      <c r="H3835" s="990"/>
      <c r="I3835" s="990"/>
      <c r="J3835" s="990"/>
      <c r="K3835" s="990"/>
      <c r="L3835" s="990"/>
      <c r="M3835" s="990"/>
      <c r="N3835" s="990"/>
      <c r="O3835" s="990"/>
      <c r="P3835" s="990"/>
      <c r="Q3835" s="990"/>
      <c r="R3835" s="990"/>
      <c r="S3835" s="990"/>
      <c r="T3835" s="990"/>
      <c r="U3835" s="990"/>
      <c r="V3835" s="990"/>
      <c r="W3835" s="990"/>
      <c r="X3835" s="990"/>
    </row>
    <row r="3836" spans="1:24" s="896" customFormat="1">
      <c r="A3836" s="987">
        <f t="shared" si="60"/>
        <v>3762</v>
      </c>
      <c r="B3836" s="988">
        <v>40568</v>
      </c>
      <c r="C3836" s="899" t="s">
        <v>13162</v>
      </c>
      <c r="D3836" s="988" t="s">
        <v>2670</v>
      </c>
      <c r="E3836" s="989">
        <v>21.18</v>
      </c>
      <c r="F3836" s="990"/>
      <c r="G3836" s="990"/>
      <c r="H3836" s="990"/>
      <c r="I3836" s="990"/>
      <c r="J3836" s="990"/>
      <c r="K3836" s="990"/>
      <c r="L3836" s="990"/>
      <c r="M3836" s="990"/>
      <c r="N3836" s="990"/>
      <c r="O3836" s="990"/>
      <c r="P3836" s="990"/>
      <c r="Q3836" s="990"/>
      <c r="R3836" s="990"/>
      <c r="S3836" s="990"/>
      <c r="T3836" s="990"/>
      <c r="U3836" s="990"/>
      <c r="V3836" s="990"/>
      <c r="W3836" s="990"/>
      <c r="X3836" s="990"/>
    </row>
    <row r="3837" spans="1:24" s="896" customFormat="1">
      <c r="A3837" s="987">
        <f t="shared" si="60"/>
        <v>3763</v>
      </c>
      <c r="B3837" s="988">
        <v>39026</v>
      </c>
      <c r="C3837" s="899" t="s">
        <v>13163</v>
      </c>
      <c r="D3837" s="988" t="s">
        <v>2670</v>
      </c>
      <c r="E3837" s="989">
        <v>23.64</v>
      </c>
      <c r="F3837" s="990"/>
      <c r="G3837" s="990"/>
      <c r="H3837" s="990"/>
      <c r="I3837" s="990"/>
      <c r="J3837" s="990"/>
      <c r="K3837" s="990"/>
      <c r="L3837" s="990"/>
      <c r="M3837" s="990"/>
      <c r="N3837" s="990"/>
      <c r="O3837" s="990"/>
      <c r="P3837" s="990"/>
      <c r="Q3837" s="990"/>
      <c r="R3837" s="990"/>
      <c r="S3837" s="990"/>
      <c r="T3837" s="990"/>
      <c r="U3837" s="990"/>
      <c r="V3837" s="990"/>
      <c r="W3837" s="990"/>
      <c r="X3837" s="990"/>
    </row>
    <row r="3838" spans="1:24" s="896" customFormat="1" ht="38.25">
      <c r="A3838" s="987">
        <f t="shared" si="60"/>
        <v>3764</v>
      </c>
      <c r="B3838" s="988">
        <v>42431</v>
      </c>
      <c r="C3838" s="899" t="s">
        <v>13164</v>
      </c>
      <c r="D3838" s="988" t="s">
        <v>2666</v>
      </c>
      <c r="E3838" s="989">
        <v>3922.99</v>
      </c>
      <c r="F3838" s="990"/>
      <c r="G3838" s="990"/>
      <c r="H3838" s="990"/>
      <c r="I3838" s="990"/>
      <c r="J3838" s="990"/>
      <c r="K3838" s="990"/>
      <c r="L3838" s="990"/>
      <c r="M3838" s="990"/>
      <c r="N3838" s="990"/>
      <c r="O3838" s="990"/>
      <c r="P3838" s="990"/>
      <c r="Q3838" s="990"/>
      <c r="R3838" s="990"/>
      <c r="S3838" s="990"/>
      <c r="T3838" s="990"/>
      <c r="U3838" s="990"/>
      <c r="V3838" s="990"/>
      <c r="W3838" s="990"/>
      <c r="X3838" s="990"/>
    </row>
    <row r="3839" spans="1:24" s="896" customFormat="1">
      <c r="A3839" s="987">
        <f t="shared" si="60"/>
        <v>3765</v>
      </c>
      <c r="B3839" s="988">
        <v>44074</v>
      </c>
      <c r="C3839" s="899" t="s">
        <v>13165</v>
      </c>
      <c r="D3839" s="988" t="s">
        <v>2671</v>
      </c>
      <c r="E3839" s="989">
        <v>531.30999999999995</v>
      </c>
      <c r="F3839" s="990"/>
      <c r="G3839" s="990"/>
      <c r="H3839" s="990"/>
      <c r="I3839" s="990"/>
      <c r="J3839" s="990"/>
      <c r="K3839" s="990"/>
      <c r="L3839" s="990"/>
      <c r="M3839" s="990"/>
      <c r="N3839" s="990"/>
      <c r="O3839" s="990"/>
      <c r="P3839" s="990"/>
      <c r="Q3839" s="990"/>
      <c r="R3839" s="990"/>
      <c r="S3839" s="990"/>
      <c r="T3839" s="990"/>
      <c r="U3839" s="990"/>
      <c r="V3839" s="990"/>
      <c r="W3839" s="990"/>
      <c r="X3839" s="990"/>
    </row>
    <row r="3840" spans="1:24" s="896" customFormat="1">
      <c r="A3840" s="987">
        <f t="shared" si="60"/>
        <v>3766</v>
      </c>
      <c r="B3840" s="988">
        <v>44072</v>
      </c>
      <c r="C3840" s="899" t="s">
        <v>13166</v>
      </c>
      <c r="D3840" s="988" t="s">
        <v>2671</v>
      </c>
      <c r="E3840" s="989">
        <v>107.88</v>
      </c>
      <c r="F3840" s="990"/>
      <c r="G3840" s="990"/>
      <c r="H3840" s="990"/>
      <c r="I3840" s="990"/>
      <c r="J3840" s="990"/>
      <c r="K3840" s="990"/>
      <c r="L3840" s="990"/>
      <c r="M3840" s="990"/>
      <c r="N3840" s="990"/>
      <c r="O3840" s="990"/>
      <c r="P3840" s="990"/>
      <c r="Q3840" s="990"/>
      <c r="R3840" s="990"/>
      <c r="S3840" s="990"/>
      <c r="T3840" s="990"/>
      <c r="U3840" s="990"/>
      <c r="V3840" s="990"/>
      <c r="W3840" s="990"/>
      <c r="X3840" s="990"/>
    </row>
    <row r="3841" spans="1:24" s="896" customFormat="1" ht="25.5">
      <c r="A3841" s="987">
        <f t="shared" si="60"/>
        <v>3767</v>
      </c>
      <c r="B3841" s="988">
        <v>511</v>
      </c>
      <c r="C3841" s="899" t="s">
        <v>13167</v>
      </c>
      <c r="D3841" s="988" t="s">
        <v>2671</v>
      </c>
      <c r="E3841" s="989">
        <v>14.45</v>
      </c>
      <c r="F3841" s="990"/>
      <c r="G3841" s="990"/>
      <c r="H3841" s="990"/>
      <c r="I3841" s="990"/>
      <c r="J3841" s="990"/>
      <c r="K3841" s="990"/>
      <c r="L3841" s="990"/>
      <c r="M3841" s="990"/>
      <c r="N3841" s="990"/>
      <c r="O3841" s="990"/>
      <c r="P3841" s="990"/>
      <c r="Q3841" s="990"/>
      <c r="R3841" s="990"/>
      <c r="S3841" s="990"/>
      <c r="T3841" s="990"/>
      <c r="U3841" s="990"/>
      <c r="V3841" s="990"/>
      <c r="W3841" s="990"/>
      <c r="X3841" s="990"/>
    </row>
    <row r="3842" spans="1:24" s="896" customFormat="1" ht="25.5">
      <c r="A3842" s="987">
        <f t="shared" si="60"/>
        <v>3768</v>
      </c>
      <c r="B3842" s="988">
        <v>37540</v>
      </c>
      <c r="C3842" s="899" t="s">
        <v>13168</v>
      </c>
      <c r="D3842" s="988" t="s">
        <v>2666</v>
      </c>
      <c r="E3842" s="989">
        <v>78021.05</v>
      </c>
      <c r="F3842" s="990"/>
      <c r="G3842" s="990"/>
      <c r="H3842" s="990"/>
      <c r="I3842" s="990"/>
      <c r="J3842" s="990"/>
      <c r="K3842" s="990"/>
      <c r="L3842" s="990"/>
      <c r="M3842" s="990"/>
      <c r="N3842" s="990"/>
      <c r="O3842" s="990"/>
      <c r="P3842" s="990"/>
      <c r="Q3842" s="990"/>
      <c r="R3842" s="990"/>
      <c r="S3842" s="990"/>
      <c r="T3842" s="990"/>
      <c r="U3842" s="990"/>
      <c r="V3842" s="990"/>
      <c r="W3842" s="990"/>
      <c r="X3842" s="990"/>
    </row>
    <row r="3843" spans="1:24" s="896" customFormat="1" ht="25.5">
      <c r="A3843" s="987">
        <f t="shared" si="60"/>
        <v>3769</v>
      </c>
      <c r="B3843" s="988">
        <v>37548</v>
      </c>
      <c r="C3843" s="899" t="s">
        <v>13169</v>
      </c>
      <c r="D3843" s="988" t="s">
        <v>2666</v>
      </c>
      <c r="E3843" s="989">
        <v>103416.5</v>
      </c>
      <c r="F3843" s="990"/>
      <c r="G3843" s="990"/>
      <c r="H3843" s="990"/>
      <c r="I3843" s="990"/>
      <c r="J3843" s="990"/>
      <c r="K3843" s="990"/>
      <c r="L3843" s="990"/>
      <c r="M3843" s="990"/>
      <c r="N3843" s="990"/>
      <c r="O3843" s="990"/>
      <c r="P3843" s="990"/>
      <c r="Q3843" s="990"/>
      <c r="R3843" s="990"/>
      <c r="S3843" s="990"/>
      <c r="T3843" s="990"/>
      <c r="U3843" s="990"/>
      <c r="V3843" s="990"/>
      <c r="W3843" s="990"/>
      <c r="X3843" s="990"/>
    </row>
    <row r="3844" spans="1:24" s="896" customFormat="1" ht="25.5">
      <c r="A3844" s="987">
        <f t="shared" si="60"/>
        <v>3770</v>
      </c>
      <c r="B3844" s="988">
        <v>39828</v>
      </c>
      <c r="C3844" s="899" t="s">
        <v>13170</v>
      </c>
      <c r="D3844" s="988" t="s">
        <v>2666</v>
      </c>
      <c r="E3844" s="989">
        <v>620.4</v>
      </c>
      <c r="F3844" s="990"/>
      <c r="G3844" s="990"/>
      <c r="H3844" s="990"/>
      <c r="I3844" s="990"/>
      <c r="J3844" s="990"/>
      <c r="K3844" s="990"/>
      <c r="L3844" s="990"/>
      <c r="M3844" s="990"/>
      <c r="N3844" s="990"/>
      <c r="O3844" s="990"/>
      <c r="P3844" s="990"/>
      <c r="Q3844" s="990"/>
      <c r="R3844" s="990"/>
      <c r="S3844" s="990"/>
      <c r="T3844" s="990"/>
      <c r="U3844" s="990"/>
      <c r="V3844" s="990"/>
      <c r="W3844" s="990"/>
      <c r="X3844" s="990"/>
    </row>
    <row r="3845" spans="1:24" s="896" customFormat="1" ht="38.25">
      <c r="A3845" s="987">
        <f t="shared" si="60"/>
        <v>3771</v>
      </c>
      <c r="B3845" s="988">
        <v>12273</v>
      </c>
      <c r="C3845" s="899" t="s">
        <v>13171</v>
      </c>
      <c r="D3845" s="988" t="s">
        <v>2666</v>
      </c>
      <c r="E3845" s="989">
        <v>134.6</v>
      </c>
      <c r="F3845" s="990"/>
      <c r="G3845" s="990"/>
      <c r="H3845" s="990"/>
      <c r="I3845" s="990"/>
      <c r="J3845" s="990"/>
      <c r="K3845" s="990"/>
      <c r="L3845" s="990"/>
      <c r="M3845" s="990"/>
      <c r="N3845" s="990"/>
      <c r="O3845" s="990"/>
      <c r="P3845" s="990"/>
      <c r="Q3845" s="990"/>
      <c r="R3845" s="990"/>
      <c r="S3845" s="990"/>
      <c r="T3845" s="990"/>
      <c r="U3845" s="990"/>
      <c r="V3845" s="990"/>
      <c r="W3845" s="990"/>
      <c r="X3845" s="990"/>
    </row>
    <row r="3846" spans="1:24" s="896" customFormat="1">
      <c r="A3846" s="987">
        <f t="shared" si="60"/>
        <v>3772</v>
      </c>
      <c r="B3846" s="988">
        <v>38392</v>
      </c>
      <c r="C3846" s="899" t="s">
        <v>13172</v>
      </c>
      <c r="D3846" s="988" t="s">
        <v>2666</v>
      </c>
      <c r="E3846" s="989">
        <v>49.98</v>
      </c>
      <c r="F3846" s="990"/>
      <c r="G3846" s="990"/>
      <c r="H3846" s="990"/>
      <c r="I3846" s="990"/>
      <c r="J3846" s="990"/>
      <c r="K3846" s="990"/>
      <c r="L3846" s="990"/>
      <c r="M3846" s="990"/>
      <c r="N3846" s="990"/>
      <c r="O3846" s="990"/>
      <c r="P3846" s="990"/>
      <c r="Q3846" s="990"/>
      <c r="R3846" s="990"/>
      <c r="S3846" s="990"/>
      <c r="T3846" s="990"/>
      <c r="U3846" s="990"/>
      <c r="V3846" s="990"/>
      <c r="W3846" s="990"/>
      <c r="X3846" s="990"/>
    </row>
    <row r="3847" spans="1:24" s="896" customFormat="1" ht="25.5">
      <c r="A3847" s="987">
        <f t="shared" si="60"/>
        <v>3773</v>
      </c>
      <c r="B3847" s="988">
        <v>11735</v>
      </c>
      <c r="C3847" s="899" t="s">
        <v>13173</v>
      </c>
      <c r="D3847" s="988" t="s">
        <v>2666</v>
      </c>
      <c r="E3847" s="989">
        <v>8.39</v>
      </c>
      <c r="F3847" s="990"/>
      <c r="G3847" s="990"/>
      <c r="H3847" s="990"/>
      <c r="I3847" s="990"/>
      <c r="J3847" s="990"/>
      <c r="K3847" s="990"/>
      <c r="L3847" s="990"/>
      <c r="M3847" s="990"/>
      <c r="N3847" s="990"/>
      <c r="O3847" s="990"/>
      <c r="P3847" s="990"/>
      <c r="Q3847" s="990"/>
      <c r="R3847" s="990"/>
      <c r="S3847" s="990"/>
      <c r="T3847" s="990"/>
      <c r="U3847" s="990"/>
      <c r="V3847" s="990"/>
      <c r="W3847" s="990"/>
      <c r="X3847" s="990"/>
    </row>
    <row r="3848" spans="1:24" s="896" customFormat="1" ht="25.5">
      <c r="A3848" s="987">
        <f t="shared" si="60"/>
        <v>3774</v>
      </c>
      <c r="B3848" s="988">
        <v>11737</v>
      </c>
      <c r="C3848" s="899" t="s">
        <v>13174</v>
      </c>
      <c r="D3848" s="988" t="s">
        <v>2666</v>
      </c>
      <c r="E3848" s="989">
        <v>11.9</v>
      </c>
      <c r="F3848" s="990"/>
      <c r="G3848" s="990"/>
      <c r="H3848" s="990"/>
      <c r="I3848" s="990"/>
      <c r="J3848" s="990"/>
      <c r="K3848" s="990"/>
      <c r="L3848" s="990"/>
      <c r="M3848" s="990"/>
      <c r="N3848" s="990"/>
      <c r="O3848" s="990"/>
      <c r="P3848" s="990"/>
      <c r="Q3848" s="990"/>
      <c r="R3848" s="990"/>
      <c r="S3848" s="990"/>
      <c r="T3848" s="990"/>
      <c r="U3848" s="990"/>
      <c r="V3848" s="990"/>
      <c r="W3848" s="990"/>
      <c r="X3848" s="990"/>
    </row>
    <row r="3849" spans="1:24" s="896" customFormat="1" ht="25.5">
      <c r="A3849" s="987">
        <f t="shared" si="60"/>
        <v>3775</v>
      </c>
      <c r="B3849" s="988">
        <v>11738</v>
      </c>
      <c r="C3849" s="899" t="s">
        <v>13175</v>
      </c>
      <c r="D3849" s="988" t="s">
        <v>2666</v>
      </c>
      <c r="E3849" s="989">
        <v>15</v>
      </c>
      <c r="F3849" s="990"/>
      <c r="G3849" s="990"/>
      <c r="H3849" s="990"/>
      <c r="I3849" s="990"/>
      <c r="J3849" s="990"/>
      <c r="K3849" s="990"/>
      <c r="L3849" s="990"/>
      <c r="M3849" s="990"/>
      <c r="N3849" s="990"/>
      <c r="O3849" s="990"/>
      <c r="P3849" s="990"/>
      <c r="Q3849" s="990"/>
      <c r="R3849" s="990"/>
      <c r="S3849" s="990"/>
      <c r="T3849" s="990"/>
      <c r="U3849" s="990"/>
      <c r="V3849" s="990"/>
      <c r="W3849" s="990"/>
      <c r="X3849" s="990"/>
    </row>
    <row r="3850" spans="1:24" s="896" customFormat="1" ht="25.5">
      <c r="A3850" s="987">
        <f t="shared" si="60"/>
        <v>3776</v>
      </c>
      <c r="B3850" s="988">
        <v>36143</v>
      </c>
      <c r="C3850" s="899" t="s">
        <v>13176</v>
      </c>
      <c r="D3850" s="988" t="s">
        <v>2666</v>
      </c>
      <c r="E3850" s="989">
        <v>41</v>
      </c>
      <c r="F3850" s="990"/>
      <c r="G3850" s="990"/>
      <c r="H3850" s="990"/>
      <c r="I3850" s="990"/>
      <c r="J3850" s="990"/>
      <c r="K3850" s="990"/>
      <c r="L3850" s="990"/>
      <c r="M3850" s="990"/>
      <c r="N3850" s="990"/>
      <c r="O3850" s="990"/>
      <c r="P3850" s="990"/>
      <c r="Q3850" s="990"/>
      <c r="R3850" s="990"/>
      <c r="S3850" s="990"/>
      <c r="T3850" s="990"/>
      <c r="U3850" s="990"/>
      <c r="V3850" s="990"/>
      <c r="W3850" s="990"/>
      <c r="X3850" s="990"/>
    </row>
    <row r="3851" spans="1:24" s="896" customFormat="1" ht="25.5">
      <c r="A3851" s="987">
        <f t="shared" si="60"/>
        <v>3777</v>
      </c>
      <c r="B3851" s="988">
        <v>36142</v>
      </c>
      <c r="C3851" s="899" t="s">
        <v>13177</v>
      </c>
      <c r="D3851" s="988" t="s">
        <v>2666</v>
      </c>
      <c r="E3851" s="989">
        <v>3</v>
      </c>
      <c r="F3851" s="990"/>
      <c r="G3851" s="990"/>
      <c r="H3851" s="990"/>
      <c r="I3851" s="990"/>
      <c r="J3851" s="990"/>
      <c r="K3851" s="990"/>
      <c r="L3851" s="990"/>
      <c r="M3851" s="990"/>
      <c r="N3851" s="990"/>
      <c r="O3851" s="990"/>
      <c r="P3851" s="990"/>
      <c r="Q3851" s="990"/>
      <c r="R3851" s="990"/>
      <c r="S3851" s="990"/>
      <c r="T3851" s="990"/>
      <c r="U3851" s="990"/>
      <c r="V3851" s="990"/>
      <c r="W3851" s="990"/>
      <c r="X3851" s="990"/>
    </row>
    <row r="3852" spans="1:24" s="896" customFormat="1">
      <c r="A3852" s="987">
        <f t="shared" ref="A3852:A3915" si="61">A3851+1</f>
        <v>3778</v>
      </c>
      <c r="B3852" s="988">
        <v>36146</v>
      </c>
      <c r="C3852" s="899" t="s">
        <v>13178</v>
      </c>
      <c r="D3852" s="988" t="s">
        <v>2666</v>
      </c>
      <c r="E3852" s="989">
        <v>340</v>
      </c>
      <c r="F3852" s="990"/>
      <c r="G3852" s="990"/>
      <c r="H3852" s="990"/>
      <c r="I3852" s="990"/>
      <c r="J3852" s="990"/>
      <c r="K3852" s="990"/>
      <c r="L3852" s="990"/>
      <c r="M3852" s="990"/>
      <c r="N3852" s="990"/>
      <c r="O3852" s="990"/>
      <c r="P3852" s="990"/>
      <c r="Q3852" s="990"/>
      <c r="R3852" s="990"/>
      <c r="S3852" s="990"/>
      <c r="T3852" s="990"/>
      <c r="U3852" s="990"/>
      <c r="V3852" s="990"/>
      <c r="W3852" s="990"/>
      <c r="X3852" s="990"/>
    </row>
    <row r="3853" spans="1:24" s="896" customFormat="1" ht="25.5">
      <c r="A3853" s="987">
        <f t="shared" si="61"/>
        <v>3779</v>
      </c>
      <c r="B3853" s="988">
        <v>39015</v>
      </c>
      <c r="C3853" s="899" t="s">
        <v>13179</v>
      </c>
      <c r="D3853" s="988" t="s">
        <v>2666</v>
      </c>
      <c r="E3853" s="989">
        <v>0.85</v>
      </c>
      <c r="F3853" s="990"/>
      <c r="G3853" s="990"/>
      <c r="H3853" s="990"/>
      <c r="I3853" s="990"/>
      <c r="J3853" s="990"/>
      <c r="K3853" s="990"/>
      <c r="L3853" s="990"/>
      <c r="M3853" s="990"/>
      <c r="N3853" s="990"/>
      <c r="O3853" s="990"/>
      <c r="P3853" s="990"/>
      <c r="Q3853" s="990"/>
      <c r="R3853" s="990"/>
      <c r="S3853" s="990"/>
      <c r="T3853" s="990"/>
      <c r="U3853" s="990"/>
      <c r="V3853" s="990"/>
      <c r="W3853" s="990"/>
      <c r="X3853" s="990"/>
    </row>
    <row r="3854" spans="1:24" s="896" customFormat="1">
      <c r="A3854" s="987">
        <f t="shared" si="61"/>
        <v>3780</v>
      </c>
      <c r="B3854" s="988">
        <v>38377</v>
      </c>
      <c r="C3854" s="899" t="s">
        <v>13180</v>
      </c>
      <c r="D3854" s="988" t="s">
        <v>2666</v>
      </c>
      <c r="E3854" s="989">
        <v>34.15</v>
      </c>
      <c r="F3854" s="990"/>
      <c r="G3854" s="990"/>
      <c r="H3854" s="990"/>
      <c r="I3854" s="990"/>
      <c r="J3854" s="990"/>
      <c r="K3854" s="990"/>
      <c r="L3854" s="990"/>
      <c r="M3854" s="990"/>
      <c r="N3854" s="990"/>
      <c r="O3854" s="990"/>
      <c r="P3854" s="990"/>
      <c r="Q3854" s="990"/>
      <c r="R3854" s="990"/>
      <c r="S3854" s="990"/>
      <c r="T3854" s="990"/>
      <c r="U3854" s="990"/>
      <c r="V3854" s="990"/>
      <c r="W3854" s="990"/>
      <c r="X3854" s="990"/>
    </row>
    <row r="3855" spans="1:24" s="896" customFormat="1">
      <c r="A3855" s="987">
        <f t="shared" si="61"/>
        <v>3781</v>
      </c>
      <c r="B3855" s="988">
        <v>38376</v>
      </c>
      <c r="C3855" s="899" t="s">
        <v>13181</v>
      </c>
      <c r="D3855" s="988" t="s">
        <v>2666</v>
      </c>
      <c r="E3855" s="989">
        <v>38.94</v>
      </c>
      <c r="F3855" s="990"/>
      <c r="G3855" s="990"/>
      <c r="H3855" s="990"/>
      <c r="I3855" s="990"/>
      <c r="J3855" s="990"/>
      <c r="K3855" s="990"/>
      <c r="L3855" s="990"/>
      <c r="M3855" s="990"/>
      <c r="N3855" s="990"/>
      <c r="O3855" s="990"/>
      <c r="P3855" s="990"/>
      <c r="Q3855" s="990"/>
      <c r="R3855" s="990"/>
      <c r="S3855" s="990"/>
      <c r="T3855" s="990"/>
      <c r="U3855" s="990"/>
      <c r="V3855" s="990"/>
      <c r="W3855" s="990"/>
      <c r="X3855" s="990"/>
    </row>
    <row r="3856" spans="1:24" s="896" customFormat="1">
      <c r="A3856" s="987">
        <f t="shared" si="61"/>
        <v>3782</v>
      </c>
      <c r="B3856" s="988">
        <v>38116</v>
      </c>
      <c r="C3856" s="899" t="s">
        <v>13182</v>
      </c>
      <c r="D3856" s="988" t="s">
        <v>2666</v>
      </c>
      <c r="E3856" s="989">
        <v>7.17</v>
      </c>
      <c r="F3856" s="990"/>
      <c r="G3856" s="990"/>
      <c r="H3856" s="990"/>
      <c r="I3856" s="990"/>
      <c r="J3856" s="990"/>
      <c r="K3856" s="990"/>
      <c r="L3856" s="990"/>
      <c r="M3856" s="990"/>
      <c r="N3856" s="990"/>
      <c r="O3856" s="990"/>
      <c r="P3856" s="990"/>
      <c r="Q3856" s="990"/>
      <c r="R3856" s="990"/>
      <c r="S3856" s="990"/>
      <c r="T3856" s="990"/>
      <c r="U3856" s="990"/>
      <c r="V3856" s="990"/>
      <c r="W3856" s="990"/>
      <c r="X3856" s="990"/>
    </row>
    <row r="3857" spans="1:24" s="896" customFormat="1" ht="25.5">
      <c r="A3857" s="987">
        <f t="shared" si="61"/>
        <v>3783</v>
      </c>
      <c r="B3857" s="988">
        <v>38066</v>
      </c>
      <c r="C3857" s="899" t="s">
        <v>13183</v>
      </c>
      <c r="D3857" s="988" t="s">
        <v>2666</v>
      </c>
      <c r="E3857" s="989">
        <v>11.84</v>
      </c>
      <c r="F3857" s="990"/>
      <c r="G3857" s="990"/>
      <c r="H3857" s="990"/>
      <c r="I3857" s="990"/>
      <c r="J3857" s="990"/>
      <c r="K3857" s="990"/>
      <c r="L3857" s="990"/>
      <c r="M3857" s="990"/>
      <c r="N3857" s="990"/>
      <c r="O3857" s="990"/>
      <c r="P3857" s="990"/>
      <c r="Q3857" s="990"/>
      <c r="R3857" s="990"/>
      <c r="S3857" s="990"/>
      <c r="T3857" s="990"/>
      <c r="U3857" s="990"/>
      <c r="V3857" s="990"/>
      <c r="W3857" s="990"/>
      <c r="X3857" s="990"/>
    </row>
    <row r="3858" spans="1:24" s="896" customFormat="1">
      <c r="A3858" s="987">
        <f t="shared" si="61"/>
        <v>3784</v>
      </c>
      <c r="B3858" s="988">
        <v>38117</v>
      </c>
      <c r="C3858" s="899" t="s">
        <v>13184</v>
      </c>
      <c r="D3858" s="988" t="s">
        <v>2666</v>
      </c>
      <c r="E3858" s="989">
        <v>12.21</v>
      </c>
      <c r="F3858" s="990"/>
      <c r="G3858" s="990"/>
      <c r="H3858" s="990"/>
      <c r="I3858" s="990"/>
      <c r="J3858" s="990"/>
      <c r="K3858" s="990"/>
      <c r="L3858" s="990"/>
      <c r="M3858" s="990"/>
      <c r="N3858" s="990"/>
      <c r="O3858" s="990"/>
      <c r="P3858" s="990"/>
      <c r="Q3858" s="990"/>
      <c r="R3858" s="990"/>
      <c r="S3858" s="990"/>
      <c r="T3858" s="990"/>
      <c r="U3858" s="990"/>
      <c r="V3858" s="990"/>
      <c r="W3858" s="990"/>
      <c r="X3858" s="990"/>
    </row>
    <row r="3859" spans="1:24" s="896" customFormat="1" ht="25.5">
      <c r="A3859" s="987">
        <f t="shared" si="61"/>
        <v>3785</v>
      </c>
      <c r="B3859" s="988">
        <v>38067</v>
      </c>
      <c r="C3859" s="899" t="s">
        <v>13185</v>
      </c>
      <c r="D3859" s="988" t="s">
        <v>2666</v>
      </c>
      <c r="E3859" s="989">
        <v>16.670000000000002</v>
      </c>
      <c r="F3859" s="990"/>
      <c r="G3859" s="990"/>
      <c r="H3859" s="990"/>
      <c r="I3859" s="990"/>
      <c r="J3859" s="990"/>
      <c r="K3859" s="990"/>
      <c r="L3859" s="990"/>
      <c r="M3859" s="990"/>
      <c r="N3859" s="990"/>
      <c r="O3859" s="990"/>
      <c r="P3859" s="990"/>
      <c r="Q3859" s="990"/>
      <c r="R3859" s="990"/>
      <c r="S3859" s="990"/>
      <c r="T3859" s="990"/>
      <c r="U3859" s="990"/>
      <c r="V3859" s="990"/>
      <c r="W3859" s="990"/>
      <c r="X3859" s="990"/>
    </row>
    <row r="3860" spans="1:24" s="896" customFormat="1" ht="25.5">
      <c r="A3860" s="987">
        <f t="shared" si="61"/>
        <v>3786</v>
      </c>
      <c r="B3860" s="988">
        <v>11522</v>
      </c>
      <c r="C3860" s="899" t="s">
        <v>13186</v>
      </c>
      <c r="D3860" s="988" t="s">
        <v>2666</v>
      </c>
      <c r="E3860" s="989">
        <v>12.98</v>
      </c>
      <c r="F3860" s="990"/>
      <c r="G3860" s="990"/>
      <c r="H3860" s="990"/>
      <c r="I3860" s="990"/>
      <c r="J3860" s="990"/>
      <c r="K3860" s="990"/>
      <c r="L3860" s="990"/>
      <c r="M3860" s="990"/>
      <c r="N3860" s="990"/>
      <c r="O3860" s="990"/>
      <c r="P3860" s="990"/>
      <c r="Q3860" s="990"/>
      <c r="R3860" s="990"/>
      <c r="S3860" s="990"/>
      <c r="T3860" s="990"/>
      <c r="U3860" s="990"/>
      <c r="V3860" s="990"/>
      <c r="W3860" s="990"/>
      <c r="X3860" s="990"/>
    </row>
    <row r="3861" spans="1:24" s="896" customFormat="1" ht="25.5">
      <c r="A3861" s="987">
        <f t="shared" si="61"/>
        <v>3787</v>
      </c>
      <c r="B3861" s="988">
        <v>43600</v>
      </c>
      <c r="C3861" s="899" t="s">
        <v>13187</v>
      </c>
      <c r="D3861" s="988" t="s">
        <v>2666</v>
      </c>
      <c r="E3861" s="989">
        <v>52.02</v>
      </c>
      <c r="F3861" s="990"/>
      <c r="G3861" s="990"/>
      <c r="H3861" s="990"/>
      <c r="I3861" s="990"/>
      <c r="J3861" s="990"/>
      <c r="K3861" s="990"/>
      <c r="L3861" s="990"/>
      <c r="M3861" s="990"/>
      <c r="N3861" s="990"/>
      <c r="O3861" s="990"/>
      <c r="P3861" s="990"/>
      <c r="Q3861" s="990"/>
      <c r="R3861" s="990"/>
      <c r="S3861" s="990"/>
      <c r="T3861" s="990"/>
      <c r="U3861" s="990"/>
      <c r="V3861" s="990"/>
      <c r="W3861" s="990"/>
      <c r="X3861" s="990"/>
    </row>
    <row r="3862" spans="1:24" s="896" customFormat="1" ht="25.5">
      <c r="A3862" s="987">
        <f t="shared" si="61"/>
        <v>3788</v>
      </c>
      <c r="B3862" s="988">
        <v>5080</v>
      </c>
      <c r="C3862" s="899" t="s">
        <v>13188</v>
      </c>
      <c r="D3862" s="988" t="s">
        <v>2666</v>
      </c>
      <c r="E3862" s="989">
        <v>20.28</v>
      </c>
      <c r="F3862" s="990"/>
      <c r="G3862" s="990"/>
      <c r="H3862" s="990"/>
      <c r="I3862" s="990"/>
      <c r="J3862" s="990"/>
      <c r="K3862" s="990"/>
      <c r="L3862" s="990"/>
      <c r="M3862" s="990"/>
      <c r="N3862" s="990"/>
      <c r="O3862" s="990"/>
      <c r="P3862" s="990"/>
      <c r="Q3862" s="990"/>
      <c r="R3862" s="990"/>
      <c r="S3862" s="990"/>
      <c r="T3862" s="990"/>
      <c r="U3862" s="990"/>
      <c r="V3862" s="990"/>
      <c r="W3862" s="990"/>
      <c r="X3862" s="990"/>
    </row>
    <row r="3863" spans="1:24" s="896" customFormat="1" ht="25.5">
      <c r="A3863" s="987">
        <f t="shared" si="61"/>
        <v>3789</v>
      </c>
      <c r="B3863" s="988">
        <v>38168</v>
      </c>
      <c r="C3863" s="899" t="s">
        <v>13189</v>
      </c>
      <c r="D3863" s="988" t="s">
        <v>2666</v>
      </c>
      <c r="E3863" s="989">
        <v>141.62</v>
      </c>
      <c r="F3863" s="990"/>
      <c r="G3863" s="990"/>
      <c r="H3863" s="990"/>
      <c r="I3863" s="990"/>
      <c r="J3863" s="990"/>
      <c r="K3863" s="990"/>
      <c r="L3863" s="990"/>
      <c r="M3863" s="990"/>
      <c r="N3863" s="990"/>
      <c r="O3863" s="990"/>
      <c r="P3863" s="990"/>
      <c r="Q3863" s="990"/>
      <c r="R3863" s="990"/>
      <c r="S3863" s="990"/>
      <c r="T3863" s="990"/>
      <c r="U3863" s="990"/>
      <c r="V3863" s="990"/>
      <c r="W3863" s="990"/>
      <c r="X3863" s="990"/>
    </row>
    <row r="3864" spans="1:24" s="896" customFormat="1" ht="25.5">
      <c r="A3864" s="987">
        <f t="shared" si="61"/>
        <v>3790</v>
      </c>
      <c r="B3864" s="988">
        <v>43601</v>
      </c>
      <c r="C3864" s="899" t="s">
        <v>13190</v>
      </c>
      <c r="D3864" s="988" t="s">
        <v>2666</v>
      </c>
      <c r="E3864" s="989">
        <v>70.81</v>
      </c>
      <c r="F3864" s="990"/>
      <c r="G3864" s="990"/>
      <c r="H3864" s="990"/>
      <c r="I3864" s="990"/>
      <c r="J3864" s="990"/>
      <c r="K3864" s="990"/>
      <c r="L3864" s="990"/>
      <c r="M3864" s="990"/>
      <c r="N3864" s="990"/>
      <c r="O3864" s="990"/>
      <c r="P3864" s="990"/>
      <c r="Q3864" s="990"/>
      <c r="R3864" s="990"/>
      <c r="S3864" s="990"/>
      <c r="T3864" s="990"/>
      <c r="U3864" s="990"/>
      <c r="V3864" s="990"/>
      <c r="W3864" s="990"/>
      <c r="X3864" s="990"/>
    </row>
    <row r="3865" spans="1:24" s="896" customFormat="1" ht="25.5">
      <c r="A3865" s="987">
        <f t="shared" si="61"/>
        <v>3791</v>
      </c>
      <c r="B3865" s="988">
        <v>13393</v>
      </c>
      <c r="C3865" s="899" t="s">
        <v>13191</v>
      </c>
      <c r="D3865" s="988" t="s">
        <v>2666</v>
      </c>
      <c r="E3865" s="989">
        <v>457.29</v>
      </c>
      <c r="F3865" s="990"/>
      <c r="G3865" s="990"/>
      <c r="H3865" s="990"/>
      <c r="I3865" s="990"/>
      <c r="J3865" s="990"/>
      <c r="K3865" s="990"/>
      <c r="L3865" s="990"/>
      <c r="M3865" s="990"/>
      <c r="N3865" s="990"/>
      <c r="O3865" s="990"/>
      <c r="P3865" s="990"/>
      <c r="Q3865" s="990"/>
      <c r="R3865" s="990"/>
      <c r="S3865" s="990"/>
      <c r="T3865" s="990"/>
      <c r="U3865" s="990"/>
      <c r="V3865" s="990"/>
      <c r="W3865" s="990"/>
      <c r="X3865" s="990"/>
    </row>
    <row r="3866" spans="1:24" s="896" customFormat="1" ht="25.5">
      <c r="A3866" s="987">
        <f t="shared" si="61"/>
        <v>3792</v>
      </c>
      <c r="B3866" s="988">
        <v>13395</v>
      </c>
      <c r="C3866" s="899" t="s">
        <v>13192</v>
      </c>
      <c r="D3866" s="988" t="s">
        <v>2666</v>
      </c>
      <c r="E3866" s="989">
        <v>640.84</v>
      </c>
      <c r="F3866" s="990"/>
      <c r="G3866" s="990"/>
      <c r="H3866" s="990"/>
      <c r="I3866" s="990"/>
      <c r="J3866" s="990"/>
      <c r="K3866" s="990"/>
      <c r="L3866" s="990"/>
      <c r="M3866" s="990"/>
      <c r="N3866" s="990"/>
      <c r="O3866" s="990"/>
      <c r="P3866" s="990"/>
      <c r="Q3866" s="990"/>
      <c r="R3866" s="990"/>
      <c r="S3866" s="990"/>
      <c r="T3866" s="990"/>
      <c r="U3866" s="990"/>
      <c r="V3866" s="990"/>
      <c r="W3866" s="990"/>
      <c r="X3866" s="990"/>
    </row>
    <row r="3867" spans="1:24" s="896" customFormat="1" ht="25.5">
      <c r="A3867" s="987">
        <f t="shared" si="61"/>
        <v>3793</v>
      </c>
      <c r="B3867" s="988">
        <v>12039</v>
      </c>
      <c r="C3867" s="899" t="s">
        <v>13193</v>
      </c>
      <c r="D3867" s="988" t="s">
        <v>2666</v>
      </c>
      <c r="E3867" s="989">
        <v>673.45</v>
      </c>
      <c r="F3867" s="990"/>
      <c r="G3867" s="990"/>
      <c r="H3867" s="990"/>
      <c r="I3867" s="990"/>
      <c r="J3867" s="990"/>
      <c r="K3867" s="990"/>
      <c r="L3867" s="990"/>
      <c r="M3867" s="990"/>
      <c r="N3867" s="990"/>
      <c r="O3867" s="990"/>
      <c r="P3867" s="990"/>
      <c r="Q3867" s="990"/>
      <c r="R3867" s="990"/>
      <c r="S3867" s="990"/>
      <c r="T3867" s="990"/>
      <c r="U3867" s="990"/>
      <c r="V3867" s="990"/>
      <c r="W3867" s="990"/>
      <c r="X3867" s="990"/>
    </row>
    <row r="3868" spans="1:24" s="896" customFormat="1" ht="25.5">
      <c r="A3868" s="987">
        <f t="shared" si="61"/>
        <v>3794</v>
      </c>
      <c r="B3868" s="988">
        <v>13396</v>
      </c>
      <c r="C3868" s="899" t="s">
        <v>13194</v>
      </c>
      <c r="D3868" s="988" t="s">
        <v>2666</v>
      </c>
      <c r="E3868" s="989">
        <v>945.82</v>
      </c>
      <c r="F3868" s="990"/>
      <c r="G3868" s="990"/>
      <c r="H3868" s="990"/>
      <c r="I3868" s="990"/>
      <c r="J3868" s="990"/>
      <c r="K3868" s="990"/>
      <c r="L3868" s="990"/>
      <c r="M3868" s="990"/>
      <c r="N3868" s="990"/>
      <c r="O3868" s="990"/>
      <c r="P3868" s="990"/>
      <c r="Q3868" s="990"/>
      <c r="R3868" s="990"/>
      <c r="S3868" s="990"/>
      <c r="T3868" s="990"/>
      <c r="U3868" s="990"/>
      <c r="V3868" s="990"/>
      <c r="W3868" s="990"/>
      <c r="X3868" s="990"/>
    </row>
    <row r="3869" spans="1:24" s="896" customFormat="1" ht="25.5">
      <c r="A3869" s="987">
        <f t="shared" si="61"/>
        <v>3795</v>
      </c>
      <c r="B3869" s="988">
        <v>12041</v>
      </c>
      <c r="C3869" s="899" t="s">
        <v>13195</v>
      </c>
      <c r="D3869" s="988" t="s">
        <v>2666</v>
      </c>
      <c r="E3869" s="989">
        <v>772.32</v>
      </c>
      <c r="F3869" s="990"/>
      <c r="G3869" s="990"/>
      <c r="H3869" s="990"/>
      <c r="I3869" s="990"/>
      <c r="J3869" s="990"/>
      <c r="K3869" s="990"/>
      <c r="L3869" s="990"/>
      <c r="M3869" s="990"/>
      <c r="N3869" s="990"/>
      <c r="O3869" s="990"/>
      <c r="P3869" s="990"/>
      <c r="Q3869" s="990"/>
      <c r="R3869" s="990"/>
      <c r="S3869" s="990"/>
      <c r="T3869" s="990"/>
      <c r="U3869" s="990"/>
      <c r="V3869" s="990"/>
      <c r="W3869" s="990"/>
      <c r="X3869" s="990"/>
    </row>
    <row r="3870" spans="1:24" s="896" customFormat="1" ht="25.5">
      <c r="A3870" s="987">
        <f t="shared" si="61"/>
        <v>3796</v>
      </c>
      <c r="B3870" s="988">
        <v>12043</v>
      </c>
      <c r="C3870" s="899" t="s">
        <v>13196</v>
      </c>
      <c r="D3870" s="988" t="s">
        <v>2666</v>
      </c>
      <c r="E3870" s="989">
        <v>1630.64</v>
      </c>
      <c r="F3870" s="990"/>
      <c r="G3870" s="990"/>
      <c r="H3870" s="990"/>
      <c r="I3870" s="990"/>
      <c r="J3870" s="990"/>
      <c r="K3870" s="990"/>
      <c r="L3870" s="990"/>
      <c r="M3870" s="990"/>
      <c r="N3870" s="990"/>
      <c r="O3870" s="990"/>
      <c r="P3870" s="990"/>
      <c r="Q3870" s="990"/>
      <c r="R3870" s="990"/>
      <c r="S3870" s="990"/>
      <c r="T3870" s="990"/>
      <c r="U3870" s="990"/>
      <c r="V3870" s="990"/>
      <c r="W3870" s="990"/>
      <c r="X3870" s="990"/>
    </row>
    <row r="3871" spans="1:24" s="896" customFormat="1" ht="25.5">
      <c r="A3871" s="987">
        <f t="shared" si="61"/>
        <v>3797</v>
      </c>
      <c r="B3871" s="988">
        <v>39762</v>
      </c>
      <c r="C3871" s="899" t="s">
        <v>13197</v>
      </c>
      <c r="D3871" s="988" t="s">
        <v>2666</v>
      </c>
      <c r="E3871" s="989">
        <v>776.22</v>
      </c>
      <c r="F3871" s="990"/>
      <c r="G3871" s="990"/>
      <c r="H3871" s="990"/>
      <c r="I3871" s="990"/>
      <c r="J3871" s="990"/>
      <c r="K3871" s="990"/>
      <c r="L3871" s="990"/>
      <c r="M3871" s="990"/>
      <c r="N3871" s="990"/>
      <c r="O3871" s="990"/>
      <c r="P3871" s="990"/>
      <c r="Q3871" s="990"/>
      <c r="R3871" s="990"/>
      <c r="S3871" s="990"/>
      <c r="T3871" s="990"/>
      <c r="U3871" s="990"/>
      <c r="V3871" s="990"/>
      <c r="W3871" s="990"/>
      <c r="X3871" s="990"/>
    </row>
    <row r="3872" spans="1:24" s="896" customFormat="1" ht="25.5">
      <c r="A3872" s="987">
        <f t="shared" si="61"/>
        <v>3798</v>
      </c>
      <c r="B3872" s="988">
        <v>12042</v>
      </c>
      <c r="C3872" s="899" t="s">
        <v>13198</v>
      </c>
      <c r="D3872" s="988" t="s">
        <v>2666</v>
      </c>
      <c r="E3872" s="989">
        <v>1133.26</v>
      </c>
      <c r="F3872" s="990"/>
      <c r="G3872" s="990"/>
      <c r="H3872" s="990"/>
      <c r="I3872" s="990"/>
      <c r="J3872" s="990"/>
      <c r="K3872" s="990"/>
      <c r="L3872" s="990"/>
      <c r="M3872" s="990"/>
      <c r="N3872" s="990"/>
      <c r="O3872" s="990"/>
      <c r="P3872" s="990"/>
      <c r="Q3872" s="990"/>
      <c r="R3872" s="990"/>
      <c r="S3872" s="990"/>
      <c r="T3872" s="990"/>
      <c r="U3872" s="990"/>
      <c r="V3872" s="990"/>
      <c r="W3872" s="990"/>
      <c r="X3872" s="990"/>
    </row>
    <row r="3873" spans="1:24" s="896" customFormat="1" ht="25.5">
      <c r="A3873" s="987">
        <f t="shared" si="61"/>
        <v>3799</v>
      </c>
      <c r="B3873" s="988">
        <v>39763</v>
      </c>
      <c r="C3873" s="899" t="s">
        <v>13199</v>
      </c>
      <c r="D3873" s="988" t="s">
        <v>2666</v>
      </c>
      <c r="E3873" s="989">
        <v>1326.34</v>
      </c>
      <c r="F3873" s="990"/>
      <c r="G3873" s="990"/>
      <c r="H3873" s="990"/>
      <c r="I3873" s="990"/>
      <c r="J3873" s="990"/>
      <c r="K3873" s="990"/>
      <c r="L3873" s="990"/>
      <c r="M3873" s="990"/>
      <c r="N3873" s="990"/>
      <c r="O3873" s="990"/>
      <c r="P3873" s="990"/>
      <c r="Q3873" s="990"/>
      <c r="R3873" s="990"/>
      <c r="S3873" s="990"/>
      <c r="T3873" s="990"/>
      <c r="U3873" s="990"/>
      <c r="V3873" s="990"/>
      <c r="W3873" s="990"/>
      <c r="X3873" s="990"/>
    </row>
    <row r="3874" spans="1:24" s="896" customFormat="1" ht="25.5">
      <c r="A3874" s="987">
        <f t="shared" si="61"/>
        <v>3800</v>
      </c>
      <c r="B3874" s="988">
        <v>39760</v>
      </c>
      <c r="C3874" s="899" t="s">
        <v>13200</v>
      </c>
      <c r="D3874" s="988" t="s">
        <v>2666</v>
      </c>
      <c r="E3874" s="989">
        <v>1321.98</v>
      </c>
      <c r="F3874" s="990"/>
      <c r="G3874" s="990"/>
      <c r="H3874" s="990"/>
      <c r="I3874" s="990"/>
      <c r="J3874" s="990"/>
      <c r="K3874" s="990"/>
      <c r="L3874" s="990"/>
      <c r="M3874" s="990"/>
      <c r="N3874" s="990"/>
      <c r="O3874" s="990"/>
      <c r="P3874" s="990"/>
      <c r="Q3874" s="990"/>
      <c r="R3874" s="990"/>
      <c r="S3874" s="990"/>
      <c r="T3874" s="990"/>
      <c r="U3874" s="990"/>
      <c r="V3874" s="990"/>
      <c r="W3874" s="990"/>
      <c r="X3874" s="990"/>
    </row>
    <row r="3875" spans="1:24" s="896" customFormat="1" ht="25.5">
      <c r="A3875" s="987">
        <f t="shared" si="61"/>
        <v>3801</v>
      </c>
      <c r="B3875" s="988">
        <v>39756</v>
      </c>
      <c r="C3875" s="899" t="s">
        <v>13201</v>
      </c>
      <c r="D3875" s="988" t="s">
        <v>2666</v>
      </c>
      <c r="E3875" s="989">
        <v>474.67</v>
      </c>
      <c r="F3875" s="990"/>
      <c r="G3875" s="990"/>
      <c r="H3875" s="990"/>
      <c r="I3875" s="990"/>
      <c r="J3875" s="990"/>
      <c r="K3875" s="990"/>
      <c r="L3875" s="990"/>
      <c r="M3875" s="990"/>
      <c r="N3875" s="990"/>
      <c r="O3875" s="990"/>
      <c r="P3875" s="990"/>
      <c r="Q3875" s="990"/>
      <c r="R3875" s="990"/>
      <c r="S3875" s="990"/>
      <c r="T3875" s="990"/>
      <c r="U3875" s="990"/>
      <c r="V3875" s="990"/>
      <c r="W3875" s="990"/>
      <c r="X3875" s="990"/>
    </row>
    <row r="3876" spans="1:24" s="896" customFormat="1" ht="25.5">
      <c r="A3876" s="987">
        <f t="shared" si="61"/>
        <v>3802</v>
      </c>
      <c r="B3876" s="988">
        <v>12038</v>
      </c>
      <c r="C3876" s="899" t="s">
        <v>13202</v>
      </c>
      <c r="D3876" s="988" t="s">
        <v>2666</v>
      </c>
      <c r="E3876" s="989">
        <v>593.11</v>
      </c>
      <c r="F3876" s="990"/>
      <c r="G3876" s="990"/>
      <c r="H3876" s="990"/>
      <c r="I3876" s="990"/>
      <c r="J3876" s="990"/>
      <c r="K3876" s="990"/>
      <c r="L3876" s="990"/>
      <c r="M3876" s="990"/>
      <c r="N3876" s="990"/>
      <c r="O3876" s="990"/>
      <c r="P3876" s="990"/>
      <c r="Q3876" s="990"/>
      <c r="R3876" s="990"/>
      <c r="S3876" s="990"/>
      <c r="T3876" s="990"/>
      <c r="U3876" s="990"/>
      <c r="V3876" s="990"/>
      <c r="W3876" s="990"/>
      <c r="X3876" s="990"/>
    </row>
    <row r="3877" spans="1:24" s="896" customFormat="1" ht="25.5">
      <c r="A3877" s="987">
        <f t="shared" si="61"/>
        <v>3803</v>
      </c>
      <c r="B3877" s="988">
        <v>39757</v>
      </c>
      <c r="C3877" s="899" t="s">
        <v>13203</v>
      </c>
      <c r="D3877" s="988" t="s">
        <v>2666</v>
      </c>
      <c r="E3877" s="989">
        <v>548.44000000000005</v>
      </c>
      <c r="F3877" s="990"/>
      <c r="G3877" s="990"/>
      <c r="H3877" s="990"/>
      <c r="I3877" s="990"/>
      <c r="J3877" s="990"/>
      <c r="K3877" s="990"/>
      <c r="L3877" s="990"/>
      <c r="M3877" s="990"/>
      <c r="N3877" s="990"/>
      <c r="O3877" s="990"/>
      <c r="P3877" s="990"/>
      <c r="Q3877" s="990"/>
      <c r="R3877" s="990"/>
      <c r="S3877" s="990"/>
      <c r="T3877" s="990"/>
      <c r="U3877" s="990"/>
      <c r="V3877" s="990"/>
      <c r="W3877" s="990"/>
      <c r="X3877" s="990"/>
    </row>
    <row r="3878" spans="1:24" s="896" customFormat="1" ht="25.5">
      <c r="A3878" s="987">
        <f t="shared" si="61"/>
        <v>3804</v>
      </c>
      <c r="B3878" s="988">
        <v>39758</v>
      </c>
      <c r="C3878" s="899" t="s">
        <v>13204</v>
      </c>
      <c r="D3878" s="988" t="s">
        <v>2666</v>
      </c>
      <c r="E3878" s="989">
        <v>799.28</v>
      </c>
      <c r="F3878" s="990"/>
      <c r="G3878" s="990"/>
      <c r="H3878" s="990"/>
      <c r="I3878" s="990"/>
      <c r="J3878" s="990"/>
      <c r="K3878" s="990"/>
      <c r="L3878" s="990"/>
      <c r="M3878" s="990"/>
      <c r="N3878" s="990"/>
      <c r="O3878" s="990"/>
      <c r="P3878" s="990"/>
      <c r="Q3878" s="990"/>
      <c r="R3878" s="990"/>
      <c r="S3878" s="990"/>
      <c r="T3878" s="990"/>
      <c r="U3878" s="990"/>
      <c r="V3878" s="990"/>
      <c r="W3878" s="990"/>
      <c r="X3878" s="990"/>
    </row>
    <row r="3879" spans="1:24" s="896" customFormat="1" ht="25.5">
      <c r="A3879" s="987">
        <f t="shared" si="61"/>
        <v>3805</v>
      </c>
      <c r="B3879" s="988">
        <v>39759</v>
      </c>
      <c r="C3879" s="899" t="s">
        <v>13205</v>
      </c>
      <c r="D3879" s="988" t="s">
        <v>2666</v>
      </c>
      <c r="E3879" s="989">
        <v>987.12</v>
      </c>
      <c r="F3879" s="990"/>
      <c r="G3879" s="990"/>
      <c r="H3879" s="990"/>
      <c r="I3879" s="990"/>
      <c r="J3879" s="990"/>
      <c r="K3879" s="990"/>
      <c r="L3879" s="990"/>
      <c r="M3879" s="990"/>
      <c r="N3879" s="990"/>
      <c r="O3879" s="990"/>
      <c r="P3879" s="990"/>
      <c r="Q3879" s="990"/>
      <c r="R3879" s="990"/>
      <c r="S3879" s="990"/>
      <c r="T3879" s="990"/>
      <c r="U3879" s="990"/>
      <c r="V3879" s="990"/>
      <c r="W3879" s="990"/>
      <c r="X3879" s="990"/>
    </row>
    <row r="3880" spans="1:24" s="896" customFormat="1" ht="25.5">
      <c r="A3880" s="987">
        <f t="shared" si="61"/>
        <v>3806</v>
      </c>
      <c r="B3880" s="988">
        <v>39761</v>
      </c>
      <c r="C3880" s="899" t="s">
        <v>13206</v>
      </c>
      <c r="D3880" s="988" t="s">
        <v>2666</v>
      </c>
      <c r="E3880" s="989">
        <v>1186.54</v>
      </c>
      <c r="F3880" s="990"/>
      <c r="G3880" s="990"/>
      <c r="H3880" s="990"/>
      <c r="I3880" s="990"/>
      <c r="J3880" s="990"/>
      <c r="K3880" s="990"/>
      <c r="L3880" s="990"/>
      <c r="M3880" s="990"/>
      <c r="N3880" s="990"/>
      <c r="O3880" s="990"/>
      <c r="P3880" s="990"/>
      <c r="Q3880" s="990"/>
      <c r="R3880" s="990"/>
      <c r="S3880" s="990"/>
      <c r="T3880" s="990"/>
      <c r="U3880" s="990"/>
      <c r="V3880" s="990"/>
      <c r="W3880" s="990"/>
      <c r="X3880" s="990"/>
    </row>
    <row r="3881" spans="1:24" s="896" customFormat="1" ht="25.5">
      <c r="A3881" s="987">
        <f t="shared" si="61"/>
        <v>3807</v>
      </c>
      <c r="B3881" s="988">
        <v>39805</v>
      </c>
      <c r="C3881" s="899" t="s">
        <v>13207</v>
      </c>
      <c r="D3881" s="988" t="s">
        <v>2666</v>
      </c>
      <c r="E3881" s="989">
        <v>173.45</v>
      </c>
      <c r="F3881" s="990"/>
      <c r="G3881" s="990"/>
      <c r="H3881" s="990"/>
      <c r="I3881" s="990"/>
      <c r="J3881" s="990"/>
      <c r="K3881" s="990"/>
      <c r="L3881" s="990"/>
      <c r="M3881" s="990"/>
      <c r="N3881" s="990"/>
      <c r="O3881" s="990"/>
      <c r="P3881" s="990"/>
      <c r="Q3881" s="990"/>
      <c r="R3881" s="990"/>
      <c r="S3881" s="990"/>
      <c r="T3881" s="990"/>
      <c r="U3881" s="990"/>
      <c r="V3881" s="990"/>
      <c r="W3881" s="990"/>
      <c r="X3881" s="990"/>
    </row>
    <row r="3882" spans="1:24" s="896" customFormat="1" ht="25.5">
      <c r="A3882" s="987">
        <f t="shared" si="61"/>
        <v>3808</v>
      </c>
      <c r="B3882" s="988">
        <v>39806</v>
      </c>
      <c r="C3882" s="899" t="s">
        <v>13208</v>
      </c>
      <c r="D3882" s="988" t="s">
        <v>2666</v>
      </c>
      <c r="E3882" s="989">
        <v>321.36</v>
      </c>
      <c r="F3882" s="990"/>
      <c r="G3882" s="990"/>
      <c r="H3882" s="990"/>
      <c r="I3882" s="990"/>
      <c r="J3882" s="990"/>
      <c r="K3882" s="990"/>
      <c r="L3882" s="990"/>
      <c r="M3882" s="990"/>
      <c r="N3882" s="990"/>
      <c r="O3882" s="990"/>
      <c r="P3882" s="990"/>
      <c r="Q3882" s="990"/>
      <c r="R3882" s="990"/>
      <c r="S3882" s="990"/>
      <c r="T3882" s="990"/>
      <c r="U3882" s="990"/>
      <c r="V3882" s="990"/>
      <c r="W3882" s="990"/>
      <c r="X3882" s="990"/>
    </row>
    <row r="3883" spans="1:24" s="896" customFormat="1" ht="25.5">
      <c r="A3883" s="987">
        <f t="shared" si="61"/>
        <v>3809</v>
      </c>
      <c r="B3883" s="988">
        <v>39807</v>
      </c>
      <c r="C3883" s="899" t="s">
        <v>13209</v>
      </c>
      <c r="D3883" s="988" t="s">
        <v>2666</v>
      </c>
      <c r="E3883" s="989">
        <v>696.46</v>
      </c>
      <c r="F3883" s="990"/>
      <c r="G3883" s="990"/>
      <c r="H3883" s="990"/>
      <c r="I3883" s="990"/>
      <c r="J3883" s="990"/>
      <c r="K3883" s="990"/>
      <c r="L3883" s="990"/>
      <c r="M3883" s="990"/>
      <c r="N3883" s="990"/>
      <c r="O3883" s="990"/>
      <c r="P3883" s="990"/>
      <c r="Q3883" s="990"/>
      <c r="R3883" s="990"/>
      <c r="S3883" s="990"/>
      <c r="T3883" s="990"/>
      <c r="U3883" s="990"/>
      <c r="V3883" s="990"/>
      <c r="W3883" s="990"/>
      <c r="X3883" s="990"/>
    </row>
    <row r="3884" spans="1:24" s="896" customFormat="1" ht="25.5">
      <c r="A3884" s="987">
        <f t="shared" si="61"/>
        <v>3810</v>
      </c>
      <c r="B3884" s="988">
        <v>43100</v>
      </c>
      <c r="C3884" s="899" t="s">
        <v>13210</v>
      </c>
      <c r="D3884" s="988" t="s">
        <v>2666</v>
      </c>
      <c r="E3884" s="989">
        <v>544.48</v>
      </c>
      <c r="F3884" s="990"/>
      <c r="G3884" s="990"/>
      <c r="H3884" s="990"/>
      <c r="I3884" s="990"/>
      <c r="J3884" s="990"/>
      <c r="K3884" s="990"/>
      <c r="L3884" s="990"/>
      <c r="M3884" s="990"/>
      <c r="N3884" s="990"/>
      <c r="O3884" s="990"/>
      <c r="P3884" s="990"/>
      <c r="Q3884" s="990"/>
      <c r="R3884" s="990"/>
      <c r="S3884" s="990"/>
      <c r="T3884" s="990"/>
      <c r="U3884" s="990"/>
      <c r="V3884" s="990"/>
      <c r="W3884" s="990"/>
      <c r="X3884" s="990"/>
    </row>
    <row r="3885" spans="1:24" s="896" customFormat="1" ht="25.5">
      <c r="A3885" s="987">
        <f t="shared" si="61"/>
        <v>3811</v>
      </c>
      <c r="B3885" s="988">
        <v>39804</v>
      </c>
      <c r="C3885" s="899" t="s">
        <v>13211</v>
      </c>
      <c r="D3885" s="988" t="s">
        <v>2666</v>
      </c>
      <c r="E3885" s="989">
        <v>101.85</v>
      </c>
      <c r="F3885" s="990"/>
      <c r="G3885" s="990"/>
      <c r="H3885" s="990"/>
      <c r="I3885" s="990"/>
      <c r="J3885" s="990"/>
      <c r="K3885" s="990"/>
      <c r="L3885" s="990"/>
      <c r="M3885" s="990"/>
      <c r="N3885" s="990"/>
      <c r="O3885" s="990"/>
      <c r="P3885" s="990"/>
      <c r="Q3885" s="990"/>
      <c r="R3885" s="990"/>
      <c r="S3885" s="990"/>
      <c r="T3885" s="990"/>
      <c r="U3885" s="990"/>
      <c r="V3885" s="990"/>
      <c r="W3885" s="990"/>
      <c r="X3885" s="990"/>
    </row>
    <row r="3886" spans="1:24" s="896" customFormat="1" ht="25.5">
      <c r="A3886" s="987">
        <f t="shared" si="61"/>
        <v>3812</v>
      </c>
      <c r="B3886" s="988">
        <v>39796</v>
      </c>
      <c r="C3886" s="899" t="s">
        <v>13212</v>
      </c>
      <c r="D3886" s="988" t="s">
        <v>2666</v>
      </c>
      <c r="E3886" s="989">
        <v>105.49</v>
      </c>
      <c r="F3886" s="990"/>
      <c r="G3886" s="990"/>
      <c r="H3886" s="990"/>
      <c r="I3886" s="990"/>
      <c r="J3886" s="990"/>
      <c r="K3886" s="990"/>
      <c r="L3886" s="990"/>
      <c r="M3886" s="990"/>
      <c r="N3886" s="990"/>
      <c r="O3886" s="990"/>
      <c r="P3886" s="990"/>
      <c r="Q3886" s="990"/>
      <c r="R3886" s="990"/>
      <c r="S3886" s="990"/>
      <c r="T3886" s="990"/>
      <c r="U3886" s="990"/>
      <c r="V3886" s="990"/>
      <c r="W3886" s="990"/>
      <c r="X3886" s="990"/>
    </row>
    <row r="3887" spans="1:24" s="896" customFormat="1" ht="25.5">
      <c r="A3887" s="987">
        <f t="shared" si="61"/>
        <v>3813</v>
      </c>
      <c r="B3887" s="988">
        <v>39797</v>
      </c>
      <c r="C3887" s="899" t="s">
        <v>13213</v>
      </c>
      <c r="D3887" s="988" t="s">
        <v>2666</v>
      </c>
      <c r="E3887" s="989">
        <v>165.6</v>
      </c>
      <c r="F3887" s="990"/>
      <c r="G3887" s="990"/>
      <c r="H3887" s="990"/>
      <c r="I3887" s="990"/>
      <c r="J3887" s="990"/>
      <c r="K3887" s="990"/>
      <c r="L3887" s="990"/>
      <c r="M3887" s="990"/>
      <c r="N3887" s="990"/>
      <c r="O3887" s="990"/>
      <c r="P3887" s="990"/>
      <c r="Q3887" s="990"/>
      <c r="R3887" s="990"/>
      <c r="S3887" s="990"/>
      <c r="T3887" s="990"/>
      <c r="U3887" s="990"/>
      <c r="V3887" s="990"/>
      <c r="W3887" s="990"/>
      <c r="X3887" s="990"/>
    </row>
    <row r="3888" spans="1:24" s="896" customFormat="1" ht="25.5">
      <c r="A3888" s="987">
        <f t="shared" si="61"/>
        <v>3814</v>
      </c>
      <c r="B3888" s="988">
        <v>39798</v>
      </c>
      <c r="C3888" s="899" t="s">
        <v>13214</v>
      </c>
      <c r="D3888" s="988" t="s">
        <v>2666</v>
      </c>
      <c r="E3888" s="989">
        <v>284.06</v>
      </c>
      <c r="F3888" s="990"/>
      <c r="G3888" s="990"/>
      <c r="H3888" s="990"/>
      <c r="I3888" s="990"/>
      <c r="J3888" s="990"/>
      <c r="K3888" s="990"/>
      <c r="L3888" s="990"/>
      <c r="M3888" s="990"/>
      <c r="N3888" s="990"/>
      <c r="O3888" s="990"/>
      <c r="P3888" s="990"/>
      <c r="Q3888" s="990"/>
      <c r="R3888" s="990"/>
      <c r="S3888" s="990"/>
      <c r="T3888" s="990"/>
      <c r="U3888" s="990"/>
      <c r="V3888" s="990"/>
      <c r="W3888" s="990"/>
      <c r="X3888" s="990"/>
    </row>
    <row r="3889" spans="1:24" s="896" customFormat="1" ht="25.5">
      <c r="A3889" s="987">
        <f t="shared" si="61"/>
        <v>3815</v>
      </c>
      <c r="B3889" s="988">
        <v>39794</v>
      </c>
      <c r="C3889" s="899" t="s">
        <v>13215</v>
      </c>
      <c r="D3889" s="988" t="s">
        <v>2666</v>
      </c>
      <c r="E3889" s="989">
        <v>44.78</v>
      </c>
      <c r="F3889" s="990"/>
      <c r="G3889" s="990"/>
      <c r="H3889" s="990"/>
      <c r="I3889" s="990"/>
      <c r="J3889" s="990"/>
      <c r="K3889" s="990"/>
      <c r="L3889" s="990"/>
      <c r="M3889" s="990"/>
      <c r="N3889" s="990"/>
      <c r="O3889" s="990"/>
      <c r="P3889" s="990"/>
      <c r="Q3889" s="990"/>
      <c r="R3889" s="990"/>
      <c r="S3889" s="990"/>
      <c r="T3889" s="990"/>
      <c r="U3889" s="990"/>
      <c r="V3889" s="990"/>
      <c r="W3889" s="990"/>
      <c r="X3889" s="990"/>
    </row>
    <row r="3890" spans="1:24" s="896" customFormat="1" ht="25.5">
      <c r="A3890" s="987">
        <f t="shared" si="61"/>
        <v>3816</v>
      </c>
      <c r="B3890" s="988">
        <v>39795</v>
      </c>
      <c r="C3890" s="899" t="s">
        <v>13216</v>
      </c>
      <c r="D3890" s="988" t="s">
        <v>2666</v>
      </c>
      <c r="E3890" s="989">
        <v>70.739999999999995</v>
      </c>
      <c r="F3890" s="990"/>
      <c r="G3890" s="990"/>
      <c r="H3890" s="990"/>
      <c r="I3890" s="990"/>
      <c r="J3890" s="990"/>
      <c r="K3890" s="990"/>
      <c r="L3890" s="990"/>
      <c r="M3890" s="990"/>
      <c r="N3890" s="990"/>
      <c r="O3890" s="990"/>
      <c r="P3890" s="990"/>
      <c r="Q3890" s="990"/>
      <c r="R3890" s="990"/>
      <c r="S3890" s="990"/>
      <c r="T3890" s="990"/>
      <c r="U3890" s="990"/>
      <c r="V3890" s="990"/>
      <c r="W3890" s="990"/>
      <c r="X3890" s="990"/>
    </row>
    <row r="3891" spans="1:24" s="896" customFormat="1" ht="25.5">
      <c r="A3891" s="987">
        <f t="shared" si="61"/>
        <v>3817</v>
      </c>
      <c r="B3891" s="988">
        <v>39799</v>
      </c>
      <c r="C3891" s="899" t="s">
        <v>13217</v>
      </c>
      <c r="D3891" s="988" t="s">
        <v>2666</v>
      </c>
      <c r="E3891" s="989">
        <v>52.19</v>
      </c>
      <c r="F3891" s="990"/>
      <c r="G3891" s="990"/>
      <c r="H3891" s="990"/>
      <c r="I3891" s="990"/>
      <c r="J3891" s="990"/>
      <c r="K3891" s="990"/>
      <c r="L3891" s="990"/>
      <c r="M3891" s="990"/>
      <c r="N3891" s="990"/>
      <c r="O3891" s="990"/>
      <c r="P3891" s="990"/>
      <c r="Q3891" s="990"/>
      <c r="R3891" s="990"/>
      <c r="S3891" s="990"/>
      <c r="T3891" s="990"/>
      <c r="U3891" s="990"/>
      <c r="V3891" s="990"/>
      <c r="W3891" s="990"/>
      <c r="X3891" s="990"/>
    </row>
    <row r="3892" spans="1:24" s="896" customFormat="1" ht="25.5">
      <c r="A3892" s="987">
        <f t="shared" si="61"/>
        <v>3818</v>
      </c>
      <c r="B3892" s="988">
        <v>39801</v>
      </c>
      <c r="C3892" s="899" t="s">
        <v>13218</v>
      </c>
      <c r="D3892" s="988" t="s">
        <v>2666</v>
      </c>
      <c r="E3892" s="989">
        <v>149.38</v>
      </c>
      <c r="F3892" s="990"/>
      <c r="G3892" s="990"/>
      <c r="H3892" s="990"/>
      <c r="I3892" s="990"/>
      <c r="J3892" s="990"/>
      <c r="K3892" s="990"/>
      <c r="L3892" s="990"/>
      <c r="M3892" s="990"/>
      <c r="N3892" s="990"/>
      <c r="O3892" s="990"/>
      <c r="P3892" s="990"/>
      <c r="Q3892" s="990"/>
      <c r="R3892" s="990"/>
      <c r="S3892" s="990"/>
      <c r="T3892" s="990"/>
      <c r="U3892" s="990"/>
      <c r="V3892" s="990"/>
      <c r="W3892" s="990"/>
      <c r="X3892" s="990"/>
    </row>
    <row r="3893" spans="1:24" s="896" customFormat="1" ht="25.5">
      <c r="A3893" s="987">
        <f t="shared" si="61"/>
        <v>3819</v>
      </c>
      <c r="B3893" s="988">
        <v>39802</v>
      </c>
      <c r="C3893" s="899" t="s">
        <v>13219</v>
      </c>
      <c r="D3893" s="988" t="s">
        <v>2666</v>
      </c>
      <c r="E3893" s="989">
        <v>218.97</v>
      </c>
      <c r="F3893" s="990"/>
      <c r="G3893" s="990"/>
      <c r="H3893" s="990"/>
      <c r="I3893" s="990"/>
      <c r="J3893" s="990"/>
      <c r="K3893" s="990"/>
      <c r="L3893" s="990"/>
      <c r="M3893" s="990"/>
      <c r="N3893" s="990"/>
      <c r="O3893" s="990"/>
      <c r="P3893" s="990"/>
      <c r="Q3893" s="990"/>
      <c r="R3893" s="990"/>
      <c r="S3893" s="990"/>
      <c r="T3893" s="990"/>
      <c r="U3893" s="990"/>
      <c r="V3893" s="990"/>
      <c r="W3893" s="990"/>
      <c r="X3893" s="990"/>
    </row>
    <row r="3894" spans="1:24" s="896" customFormat="1" ht="25.5">
      <c r="A3894" s="987">
        <f t="shared" si="61"/>
        <v>3820</v>
      </c>
      <c r="B3894" s="988">
        <v>39803</v>
      </c>
      <c r="C3894" s="899" t="s">
        <v>13220</v>
      </c>
      <c r="D3894" s="988" t="s">
        <v>2666</v>
      </c>
      <c r="E3894" s="989">
        <v>305.45999999999998</v>
      </c>
      <c r="F3894" s="990"/>
      <c r="G3894" s="990"/>
      <c r="H3894" s="990"/>
      <c r="I3894" s="990"/>
      <c r="J3894" s="990"/>
      <c r="K3894" s="990"/>
      <c r="L3894" s="990"/>
      <c r="M3894" s="990"/>
      <c r="N3894" s="990"/>
      <c r="O3894" s="990"/>
      <c r="P3894" s="990"/>
      <c r="Q3894" s="990"/>
      <c r="R3894" s="990"/>
      <c r="S3894" s="990"/>
      <c r="T3894" s="990"/>
      <c r="U3894" s="990"/>
      <c r="V3894" s="990"/>
      <c r="W3894" s="990"/>
      <c r="X3894" s="990"/>
    </row>
    <row r="3895" spans="1:24" s="896" customFormat="1" ht="25.5">
      <c r="A3895" s="987">
        <f t="shared" si="61"/>
        <v>3821</v>
      </c>
      <c r="B3895" s="988">
        <v>39800</v>
      </c>
      <c r="C3895" s="899" t="s">
        <v>13221</v>
      </c>
      <c r="D3895" s="988" t="s">
        <v>2666</v>
      </c>
      <c r="E3895" s="989">
        <v>88.91</v>
      </c>
      <c r="F3895" s="990"/>
      <c r="G3895" s="990"/>
      <c r="H3895" s="990"/>
      <c r="I3895" s="990"/>
      <c r="J3895" s="990"/>
      <c r="K3895" s="990"/>
      <c r="L3895" s="990"/>
      <c r="M3895" s="990"/>
      <c r="N3895" s="990"/>
      <c r="O3895" s="990"/>
      <c r="P3895" s="990"/>
      <c r="Q3895" s="990"/>
      <c r="R3895" s="990"/>
      <c r="S3895" s="990"/>
      <c r="T3895" s="990"/>
      <c r="U3895" s="990"/>
      <c r="V3895" s="990"/>
      <c r="W3895" s="990"/>
      <c r="X3895" s="990"/>
    </row>
    <row r="3896" spans="1:24" s="896" customFormat="1">
      <c r="A3896" s="987">
        <f t="shared" si="61"/>
        <v>3822</v>
      </c>
      <c r="B3896" s="988">
        <v>43837</v>
      </c>
      <c r="C3896" s="899" t="s">
        <v>13222</v>
      </c>
      <c r="D3896" s="988" t="s">
        <v>2666</v>
      </c>
      <c r="E3896" s="989">
        <v>1261.29</v>
      </c>
      <c r="F3896" s="990"/>
      <c r="G3896" s="990"/>
      <c r="H3896" s="990"/>
      <c r="I3896" s="990"/>
      <c r="J3896" s="990"/>
      <c r="K3896" s="990"/>
      <c r="L3896" s="990"/>
      <c r="M3896" s="990"/>
      <c r="N3896" s="990"/>
      <c r="O3896" s="990"/>
      <c r="P3896" s="990"/>
      <c r="Q3896" s="990"/>
      <c r="R3896" s="990"/>
      <c r="S3896" s="990"/>
      <c r="T3896" s="990"/>
      <c r="U3896" s="990"/>
      <c r="V3896" s="990"/>
      <c r="W3896" s="990"/>
      <c r="X3896" s="990"/>
    </row>
    <row r="3897" spans="1:24" s="896" customFormat="1">
      <c r="A3897" s="987">
        <f t="shared" si="61"/>
        <v>3823</v>
      </c>
      <c r="B3897" s="988">
        <v>43836</v>
      </c>
      <c r="C3897" s="899" t="s">
        <v>13223</v>
      </c>
      <c r="D3897" s="988" t="s">
        <v>2666</v>
      </c>
      <c r="E3897" s="989">
        <v>2566.5</v>
      </c>
      <c r="F3897" s="990"/>
      <c r="G3897" s="990"/>
      <c r="H3897" s="990"/>
      <c r="I3897" s="990"/>
      <c r="J3897" s="990"/>
      <c r="K3897" s="990"/>
      <c r="L3897" s="990"/>
      <c r="M3897" s="990"/>
      <c r="N3897" s="990"/>
      <c r="O3897" s="990"/>
      <c r="P3897" s="990"/>
      <c r="Q3897" s="990"/>
      <c r="R3897" s="990"/>
      <c r="S3897" s="990"/>
      <c r="T3897" s="990"/>
      <c r="U3897" s="990"/>
      <c r="V3897" s="990"/>
      <c r="W3897" s="990"/>
      <c r="X3897" s="990"/>
    </row>
    <row r="3898" spans="1:24" s="896" customFormat="1">
      <c r="A3898" s="987">
        <f t="shared" si="61"/>
        <v>3824</v>
      </c>
      <c r="B3898" s="988">
        <v>21059</v>
      </c>
      <c r="C3898" s="899" t="s">
        <v>13224</v>
      </c>
      <c r="D3898" s="988" t="s">
        <v>2666</v>
      </c>
      <c r="E3898" s="989">
        <v>65.680000000000007</v>
      </c>
      <c r="F3898" s="990"/>
      <c r="G3898" s="990"/>
      <c r="H3898" s="990"/>
      <c r="I3898" s="990"/>
      <c r="J3898" s="990"/>
      <c r="K3898" s="990"/>
      <c r="L3898" s="990"/>
      <c r="M3898" s="990"/>
      <c r="N3898" s="990"/>
      <c r="O3898" s="990"/>
      <c r="P3898" s="990"/>
      <c r="Q3898" s="990"/>
      <c r="R3898" s="990"/>
      <c r="S3898" s="990"/>
      <c r="T3898" s="990"/>
      <c r="U3898" s="990"/>
      <c r="V3898" s="990"/>
      <c r="W3898" s="990"/>
      <c r="X3898" s="990"/>
    </row>
    <row r="3899" spans="1:24" s="896" customFormat="1">
      <c r="A3899" s="987">
        <f t="shared" si="61"/>
        <v>3825</v>
      </c>
      <c r="B3899" s="988">
        <v>11234</v>
      </c>
      <c r="C3899" s="899" t="s">
        <v>13225</v>
      </c>
      <c r="D3899" s="988" t="s">
        <v>2666</v>
      </c>
      <c r="E3899" s="989">
        <v>99</v>
      </c>
      <c r="F3899" s="990"/>
      <c r="G3899" s="990"/>
      <c r="H3899" s="990"/>
      <c r="I3899" s="990"/>
      <c r="J3899" s="990"/>
      <c r="K3899" s="990"/>
      <c r="L3899" s="990"/>
      <c r="M3899" s="990"/>
      <c r="N3899" s="990"/>
      <c r="O3899" s="990"/>
      <c r="P3899" s="990"/>
      <c r="Q3899" s="990"/>
      <c r="R3899" s="990"/>
      <c r="S3899" s="990"/>
      <c r="T3899" s="990"/>
      <c r="U3899" s="990"/>
      <c r="V3899" s="990"/>
      <c r="W3899" s="990"/>
      <c r="X3899" s="990"/>
    </row>
    <row r="3900" spans="1:24" s="896" customFormat="1">
      <c r="A3900" s="987">
        <f t="shared" si="61"/>
        <v>3826</v>
      </c>
      <c r="B3900" s="988">
        <v>21060</v>
      </c>
      <c r="C3900" s="899" t="s">
        <v>13226</v>
      </c>
      <c r="D3900" s="988" t="s">
        <v>2666</v>
      </c>
      <c r="E3900" s="989">
        <v>121.84</v>
      </c>
      <c r="F3900" s="990"/>
      <c r="G3900" s="990"/>
      <c r="H3900" s="990"/>
      <c r="I3900" s="990"/>
      <c r="J3900" s="990"/>
      <c r="K3900" s="990"/>
      <c r="L3900" s="990"/>
      <c r="M3900" s="990"/>
      <c r="N3900" s="990"/>
      <c r="O3900" s="990"/>
      <c r="P3900" s="990"/>
      <c r="Q3900" s="990"/>
      <c r="R3900" s="990"/>
      <c r="S3900" s="990"/>
      <c r="T3900" s="990"/>
      <c r="U3900" s="990"/>
      <c r="V3900" s="990"/>
      <c r="W3900" s="990"/>
      <c r="X3900" s="990"/>
    </row>
    <row r="3901" spans="1:24" s="896" customFormat="1">
      <c r="A3901" s="987">
        <f t="shared" si="61"/>
        <v>3827</v>
      </c>
      <c r="B3901" s="988">
        <v>21061</v>
      </c>
      <c r="C3901" s="899" t="s">
        <v>13227</v>
      </c>
      <c r="D3901" s="988" t="s">
        <v>2666</v>
      </c>
      <c r="E3901" s="989">
        <v>152.31</v>
      </c>
      <c r="F3901" s="990"/>
      <c r="G3901" s="990"/>
      <c r="H3901" s="990"/>
      <c r="I3901" s="990"/>
      <c r="J3901" s="990"/>
      <c r="K3901" s="990"/>
      <c r="L3901" s="990"/>
      <c r="M3901" s="990"/>
      <c r="N3901" s="990"/>
      <c r="O3901" s="990"/>
      <c r="P3901" s="990"/>
      <c r="Q3901" s="990"/>
      <c r="R3901" s="990"/>
      <c r="S3901" s="990"/>
      <c r="T3901" s="990"/>
      <c r="U3901" s="990"/>
      <c r="V3901" s="990"/>
      <c r="W3901" s="990"/>
      <c r="X3901" s="990"/>
    </row>
    <row r="3902" spans="1:24" s="896" customFormat="1">
      <c r="A3902" s="987">
        <f t="shared" si="61"/>
        <v>3828</v>
      </c>
      <c r="B3902" s="988">
        <v>21062</v>
      </c>
      <c r="C3902" s="899" t="s">
        <v>13228</v>
      </c>
      <c r="D3902" s="988" t="s">
        <v>2666</v>
      </c>
      <c r="E3902" s="989">
        <v>239.88</v>
      </c>
      <c r="F3902" s="990"/>
      <c r="G3902" s="990"/>
      <c r="H3902" s="990"/>
      <c r="I3902" s="990"/>
      <c r="J3902" s="990"/>
      <c r="K3902" s="990"/>
      <c r="L3902" s="990"/>
      <c r="M3902" s="990"/>
      <c r="N3902" s="990"/>
      <c r="O3902" s="990"/>
      <c r="P3902" s="990"/>
      <c r="Q3902" s="990"/>
      <c r="R3902" s="990"/>
      <c r="S3902" s="990"/>
      <c r="T3902" s="990"/>
      <c r="U3902" s="990"/>
      <c r="V3902" s="990"/>
      <c r="W3902" s="990"/>
      <c r="X3902" s="990"/>
    </row>
    <row r="3903" spans="1:24" s="896" customFormat="1">
      <c r="A3903" s="987">
        <f t="shared" si="61"/>
        <v>3829</v>
      </c>
      <c r="B3903" s="988">
        <v>11708</v>
      </c>
      <c r="C3903" s="899" t="s">
        <v>13229</v>
      </c>
      <c r="D3903" s="988" t="s">
        <v>2666</v>
      </c>
      <c r="E3903" s="989">
        <v>26.17</v>
      </c>
      <c r="F3903" s="990"/>
      <c r="G3903" s="990"/>
      <c r="H3903" s="990"/>
      <c r="I3903" s="990"/>
      <c r="J3903" s="990"/>
      <c r="K3903" s="990"/>
      <c r="L3903" s="990"/>
      <c r="M3903" s="990"/>
      <c r="N3903" s="990"/>
      <c r="O3903" s="990"/>
      <c r="P3903" s="990"/>
      <c r="Q3903" s="990"/>
      <c r="R3903" s="990"/>
      <c r="S3903" s="990"/>
      <c r="T3903" s="990"/>
      <c r="U3903" s="990"/>
      <c r="V3903" s="990"/>
      <c r="W3903" s="990"/>
      <c r="X3903" s="990"/>
    </row>
    <row r="3904" spans="1:24" s="896" customFormat="1">
      <c r="A3904" s="987">
        <f t="shared" si="61"/>
        <v>3830</v>
      </c>
      <c r="B3904" s="988">
        <v>11709</v>
      </c>
      <c r="C3904" s="899" t="s">
        <v>13230</v>
      </c>
      <c r="D3904" s="988" t="s">
        <v>2666</v>
      </c>
      <c r="E3904" s="989">
        <v>61.49</v>
      </c>
      <c r="F3904" s="990"/>
      <c r="G3904" s="990"/>
      <c r="H3904" s="990"/>
      <c r="I3904" s="990"/>
      <c r="J3904" s="990"/>
      <c r="K3904" s="990"/>
      <c r="L3904" s="990"/>
      <c r="M3904" s="990"/>
      <c r="N3904" s="990"/>
      <c r="O3904" s="990"/>
      <c r="P3904" s="990"/>
      <c r="Q3904" s="990"/>
      <c r="R3904" s="990"/>
      <c r="S3904" s="990"/>
      <c r="T3904" s="990"/>
      <c r="U3904" s="990"/>
      <c r="V3904" s="990"/>
      <c r="W3904" s="990"/>
      <c r="X3904" s="990"/>
    </row>
    <row r="3905" spans="1:24" s="896" customFormat="1">
      <c r="A3905" s="987">
        <f t="shared" si="61"/>
        <v>3831</v>
      </c>
      <c r="B3905" s="988">
        <v>11710</v>
      </c>
      <c r="C3905" s="899" t="s">
        <v>13231</v>
      </c>
      <c r="D3905" s="988" t="s">
        <v>2666</v>
      </c>
      <c r="E3905" s="989">
        <v>141.36000000000001</v>
      </c>
      <c r="F3905" s="990"/>
      <c r="G3905" s="990"/>
      <c r="H3905" s="990"/>
      <c r="I3905" s="990"/>
      <c r="J3905" s="990"/>
      <c r="K3905" s="990"/>
      <c r="L3905" s="990"/>
      <c r="M3905" s="990"/>
      <c r="N3905" s="990"/>
      <c r="O3905" s="990"/>
      <c r="P3905" s="990"/>
      <c r="Q3905" s="990"/>
      <c r="R3905" s="990"/>
      <c r="S3905" s="990"/>
      <c r="T3905" s="990"/>
      <c r="U3905" s="990"/>
      <c r="V3905" s="990"/>
      <c r="W3905" s="990"/>
      <c r="X3905" s="990"/>
    </row>
    <row r="3906" spans="1:24" s="896" customFormat="1">
      <c r="A3906" s="987">
        <f t="shared" si="61"/>
        <v>3832</v>
      </c>
      <c r="B3906" s="988">
        <v>11707</v>
      </c>
      <c r="C3906" s="899" t="s">
        <v>13232</v>
      </c>
      <c r="D3906" s="988" t="s">
        <v>2666</v>
      </c>
      <c r="E3906" s="989">
        <v>19.600000000000001</v>
      </c>
      <c r="F3906" s="990"/>
      <c r="G3906" s="990"/>
      <c r="H3906" s="990"/>
      <c r="I3906" s="990"/>
      <c r="J3906" s="990"/>
      <c r="K3906" s="990"/>
      <c r="L3906" s="990"/>
      <c r="M3906" s="990"/>
      <c r="N3906" s="990"/>
      <c r="O3906" s="990"/>
      <c r="P3906" s="990"/>
      <c r="Q3906" s="990"/>
      <c r="R3906" s="990"/>
      <c r="S3906" s="990"/>
      <c r="T3906" s="990"/>
      <c r="U3906" s="990"/>
      <c r="V3906" s="990"/>
      <c r="W3906" s="990"/>
      <c r="X3906" s="990"/>
    </row>
    <row r="3907" spans="1:24" s="896" customFormat="1" ht="25.5">
      <c r="A3907" s="987">
        <f t="shared" si="61"/>
        <v>3833</v>
      </c>
      <c r="B3907" s="988">
        <v>5102</v>
      </c>
      <c r="C3907" s="899" t="s">
        <v>13233</v>
      </c>
      <c r="D3907" s="988" t="s">
        <v>2666</v>
      </c>
      <c r="E3907" s="989">
        <v>11.79</v>
      </c>
      <c r="F3907" s="990"/>
      <c r="G3907" s="990"/>
      <c r="H3907" s="990"/>
      <c r="I3907" s="990"/>
      <c r="J3907" s="990"/>
      <c r="K3907" s="990"/>
      <c r="L3907" s="990"/>
      <c r="M3907" s="990"/>
      <c r="N3907" s="990"/>
      <c r="O3907" s="990"/>
      <c r="P3907" s="990"/>
      <c r="Q3907" s="990"/>
      <c r="R3907" s="990"/>
      <c r="S3907" s="990"/>
      <c r="T3907" s="990"/>
      <c r="U3907" s="990"/>
      <c r="V3907" s="990"/>
      <c r="W3907" s="990"/>
      <c r="X3907" s="990"/>
    </row>
    <row r="3908" spans="1:24" s="896" customFormat="1">
      <c r="A3908" s="987">
        <f t="shared" si="61"/>
        <v>3834</v>
      </c>
      <c r="B3908" s="988">
        <v>11739</v>
      </c>
      <c r="C3908" s="899" t="s">
        <v>13234</v>
      </c>
      <c r="D3908" s="988" t="s">
        <v>2666</v>
      </c>
      <c r="E3908" s="989">
        <v>8.4</v>
      </c>
      <c r="F3908" s="990"/>
      <c r="G3908" s="990"/>
      <c r="H3908" s="990"/>
      <c r="I3908" s="990"/>
      <c r="J3908" s="990"/>
      <c r="K3908" s="990"/>
      <c r="L3908" s="990"/>
      <c r="M3908" s="990"/>
      <c r="N3908" s="990"/>
      <c r="O3908" s="990"/>
      <c r="P3908" s="990"/>
      <c r="Q3908" s="990"/>
      <c r="R3908" s="990"/>
      <c r="S3908" s="990"/>
      <c r="T3908" s="990"/>
      <c r="U3908" s="990"/>
      <c r="V3908" s="990"/>
      <c r="W3908" s="990"/>
      <c r="X3908" s="990"/>
    </row>
    <row r="3909" spans="1:24" s="896" customFormat="1">
      <c r="A3909" s="987">
        <f t="shared" si="61"/>
        <v>3835</v>
      </c>
      <c r="B3909" s="988">
        <v>11711</v>
      </c>
      <c r="C3909" s="899" t="s">
        <v>13235</v>
      </c>
      <c r="D3909" s="988" t="s">
        <v>2666</v>
      </c>
      <c r="E3909" s="989">
        <v>9.82</v>
      </c>
      <c r="F3909" s="990"/>
      <c r="G3909" s="990"/>
      <c r="H3909" s="990"/>
      <c r="I3909" s="990"/>
      <c r="J3909" s="990"/>
      <c r="K3909" s="990"/>
      <c r="L3909" s="990"/>
      <c r="M3909" s="990"/>
      <c r="N3909" s="990"/>
      <c r="O3909" s="990"/>
      <c r="P3909" s="990"/>
      <c r="Q3909" s="990"/>
      <c r="R3909" s="990"/>
      <c r="S3909" s="990"/>
      <c r="T3909" s="990"/>
      <c r="U3909" s="990"/>
      <c r="V3909" s="990"/>
      <c r="W3909" s="990"/>
      <c r="X3909" s="990"/>
    </row>
    <row r="3910" spans="1:24" s="896" customFormat="1">
      <c r="A3910" s="987">
        <f t="shared" si="61"/>
        <v>3836</v>
      </c>
      <c r="B3910" s="988">
        <v>11741</v>
      </c>
      <c r="C3910" s="899" t="s">
        <v>13236</v>
      </c>
      <c r="D3910" s="988" t="s">
        <v>2666</v>
      </c>
      <c r="E3910" s="989">
        <v>10.69</v>
      </c>
      <c r="F3910" s="990"/>
      <c r="G3910" s="990"/>
      <c r="H3910" s="990"/>
      <c r="I3910" s="990"/>
      <c r="J3910" s="990"/>
      <c r="K3910" s="990"/>
      <c r="L3910" s="990"/>
      <c r="M3910" s="990"/>
      <c r="N3910" s="990"/>
      <c r="O3910" s="990"/>
      <c r="P3910" s="990"/>
      <c r="Q3910" s="990"/>
      <c r="R3910" s="990"/>
      <c r="S3910" s="990"/>
      <c r="T3910" s="990"/>
      <c r="U3910" s="990"/>
      <c r="V3910" s="990"/>
      <c r="W3910" s="990"/>
      <c r="X3910" s="990"/>
    </row>
    <row r="3911" spans="1:24" s="896" customFormat="1" ht="25.5">
      <c r="A3911" s="987">
        <f t="shared" si="61"/>
        <v>3837</v>
      </c>
      <c r="B3911" s="988">
        <v>11745</v>
      </c>
      <c r="C3911" s="899" t="s">
        <v>13237</v>
      </c>
      <c r="D3911" s="988" t="s">
        <v>2666</v>
      </c>
      <c r="E3911" s="989">
        <v>14.09</v>
      </c>
      <c r="F3911" s="990"/>
      <c r="G3911" s="990"/>
      <c r="H3911" s="990"/>
      <c r="I3911" s="990"/>
      <c r="J3911" s="990"/>
      <c r="K3911" s="990"/>
      <c r="L3911" s="990"/>
      <c r="M3911" s="990"/>
      <c r="N3911" s="990"/>
      <c r="O3911" s="990"/>
      <c r="P3911" s="990"/>
      <c r="Q3911" s="990"/>
      <c r="R3911" s="990"/>
      <c r="S3911" s="990"/>
      <c r="T3911" s="990"/>
      <c r="U3911" s="990"/>
      <c r="V3911" s="990"/>
      <c r="W3911" s="990"/>
      <c r="X3911" s="990"/>
    </row>
    <row r="3912" spans="1:24" s="896" customFormat="1">
      <c r="A3912" s="987">
        <f t="shared" si="61"/>
        <v>3838</v>
      </c>
      <c r="B3912" s="988">
        <v>11743</v>
      </c>
      <c r="C3912" s="899" t="s">
        <v>13238</v>
      </c>
      <c r="D3912" s="988" t="s">
        <v>2666</v>
      </c>
      <c r="E3912" s="989">
        <v>8.98</v>
      </c>
      <c r="F3912" s="990"/>
      <c r="G3912" s="990"/>
      <c r="H3912" s="990"/>
      <c r="I3912" s="990"/>
      <c r="J3912" s="990"/>
      <c r="K3912" s="990"/>
      <c r="L3912" s="990"/>
      <c r="M3912" s="990"/>
      <c r="N3912" s="990"/>
      <c r="O3912" s="990"/>
      <c r="P3912" s="990"/>
      <c r="Q3912" s="990"/>
      <c r="R3912" s="990"/>
      <c r="S3912" s="990"/>
      <c r="T3912" s="990"/>
      <c r="U3912" s="990"/>
      <c r="V3912" s="990"/>
      <c r="W3912" s="990"/>
      <c r="X3912" s="990"/>
    </row>
    <row r="3913" spans="1:24" s="896" customFormat="1">
      <c r="A3913" s="987">
        <f t="shared" si="61"/>
        <v>3839</v>
      </c>
      <c r="B3913" s="988">
        <v>40985</v>
      </c>
      <c r="C3913" s="899" t="s">
        <v>13239</v>
      </c>
      <c r="D3913" s="988" t="s">
        <v>2672</v>
      </c>
      <c r="E3913" s="989">
        <v>2781.75</v>
      </c>
      <c r="F3913" s="990"/>
      <c r="G3913" s="990"/>
      <c r="H3913" s="990"/>
      <c r="I3913" s="990"/>
      <c r="J3913" s="990"/>
      <c r="K3913" s="990"/>
      <c r="L3913" s="990"/>
      <c r="M3913" s="990"/>
      <c r="N3913" s="990"/>
      <c r="O3913" s="990"/>
      <c r="P3913" s="990"/>
      <c r="Q3913" s="990"/>
      <c r="R3913" s="990"/>
      <c r="S3913" s="990"/>
      <c r="T3913" s="990"/>
      <c r="U3913" s="990"/>
      <c r="V3913" s="990"/>
      <c r="W3913" s="990"/>
      <c r="X3913" s="990"/>
    </row>
    <row r="3914" spans="1:24" s="896" customFormat="1">
      <c r="A3914" s="987">
        <f t="shared" si="61"/>
        <v>3840</v>
      </c>
      <c r="B3914" s="988">
        <v>44502</v>
      </c>
      <c r="C3914" s="899" t="s">
        <v>13240</v>
      </c>
      <c r="D3914" s="988" t="s">
        <v>2665</v>
      </c>
      <c r="E3914" s="989">
        <v>15.81</v>
      </c>
      <c r="F3914" s="990"/>
      <c r="G3914" s="990"/>
      <c r="H3914" s="990"/>
      <c r="I3914" s="990"/>
      <c r="J3914" s="990"/>
      <c r="K3914" s="990"/>
      <c r="L3914" s="990"/>
      <c r="M3914" s="990"/>
      <c r="N3914" s="990"/>
      <c r="O3914" s="990"/>
      <c r="P3914" s="990"/>
      <c r="Q3914" s="990"/>
      <c r="R3914" s="990"/>
      <c r="S3914" s="990"/>
      <c r="T3914" s="990"/>
      <c r="U3914" s="990"/>
      <c r="V3914" s="990"/>
      <c r="W3914" s="990"/>
      <c r="X3914" s="990"/>
    </row>
    <row r="3915" spans="1:24" s="896" customFormat="1">
      <c r="A3915" s="987">
        <f t="shared" si="61"/>
        <v>3841</v>
      </c>
      <c r="B3915" s="988">
        <v>1088</v>
      </c>
      <c r="C3915" s="899" t="s">
        <v>13241</v>
      </c>
      <c r="D3915" s="988" t="s">
        <v>2666</v>
      </c>
      <c r="E3915" s="989">
        <v>35.76</v>
      </c>
      <c r="F3915" s="990"/>
      <c r="G3915" s="990"/>
      <c r="H3915" s="990"/>
      <c r="I3915" s="990"/>
      <c r="J3915" s="990"/>
      <c r="K3915" s="990"/>
      <c r="L3915" s="990"/>
      <c r="M3915" s="990"/>
      <c r="N3915" s="990"/>
      <c r="O3915" s="990"/>
      <c r="P3915" s="990"/>
      <c r="Q3915" s="990"/>
      <c r="R3915" s="990"/>
      <c r="S3915" s="990"/>
      <c r="T3915" s="990"/>
      <c r="U3915" s="990"/>
      <c r="V3915" s="990"/>
      <c r="W3915" s="990"/>
      <c r="X3915" s="990"/>
    </row>
    <row r="3916" spans="1:24" s="896" customFormat="1">
      <c r="A3916" s="987">
        <f t="shared" ref="A3916:A3979" si="62">A3915+1</f>
        <v>3842</v>
      </c>
      <c r="B3916" s="988">
        <v>1087</v>
      </c>
      <c r="C3916" s="899" t="s">
        <v>13242</v>
      </c>
      <c r="D3916" s="988" t="s">
        <v>2666</v>
      </c>
      <c r="E3916" s="989">
        <v>44.67</v>
      </c>
      <c r="F3916" s="990"/>
      <c r="G3916" s="990"/>
      <c r="H3916" s="990"/>
      <c r="I3916" s="990"/>
      <c r="J3916" s="990"/>
      <c r="K3916" s="990"/>
      <c r="L3916" s="990"/>
      <c r="M3916" s="990"/>
      <c r="N3916" s="990"/>
      <c r="O3916" s="990"/>
      <c r="P3916" s="990"/>
      <c r="Q3916" s="990"/>
      <c r="R3916" s="990"/>
      <c r="S3916" s="990"/>
      <c r="T3916" s="990"/>
      <c r="U3916" s="990"/>
      <c r="V3916" s="990"/>
      <c r="W3916" s="990"/>
      <c r="X3916" s="990"/>
    </row>
    <row r="3917" spans="1:24" s="896" customFormat="1">
      <c r="A3917" s="987">
        <f t="shared" si="62"/>
        <v>3843</v>
      </c>
      <c r="B3917" s="988">
        <v>38777</v>
      </c>
      <c r="C3917" s="899" t="s">
        <v>13243</v>
      </c>
      <c r="D3917" s="988" t="s">
        <v>2666</v>
      </c>
      <c r="E3917" s="989">
        <v>88.97</v>
      </c>
      <c r="F3917" s="990"/>
      <c r="G3917" s="990"/>
      <c r="H3917" s="990"/>
      <c r="I3917" s="990"/>
      <c r="J3917" s="990"/>
      <c r="K3917" s="990"/>
      <c r="L3917" s="990"/>
      <c r="M3917" s="990"/>
      <c r="N3917" s="990"/>
      <c r="O3917" s="990"/>
      <c r="P3917" s="990"/>
      <c r="Q3917" s="990"/>
      <c r="R3917" s="990"/>
      <c r="S3917" s="990"/>
      <c r="T3917" s="990"/>
      <c r="U3917" s="990"/>
      <c r="V3917" s="990"/>
      <c r="W3917" s="990"/>
      <c r="X3917" s="990"/>
    </row>
    <row r="3918" spans="1:24" s="896" customFormat="1">
      <c r="A3918" s="987">
        <f t="shared" si="62"/>
        <v>3844</v>
      </c>
      <c r="B3918" s="988">
        <v>1086</v>
      </c>
      <c r="C3918" s="899" t="s">
        <v>13244</v>
      </c>
      <c r="D3918" s="988" t="s">
        <v>2666</v>
      </c>
      <c r="E3918" s="989">
        <v>46.95</v>
      </c>
      <c r="F3918" s="990"/>
      <c r="G3918" s="990"/>
      <c r="H3918" s="990"/>
      <c r="I3918" s="990"/>
      <c r="J3918" s="990"/>
      <c r="K3918" s="990"/>
      <c r="L3918" s="990"/>
      <c r="M3918" s="990"/>
      <c r="N3918" s="990"/>
      <c r="O3918" s="990"/>
      <c r="P3918" s="990"/>
      <c r="Q3918" s="990"/>
      <c r="R3918" s="990"/>
      <c r="S3918" s="990"/>
      <c r="T3918" s="990"/>
      <c r="U3918" s="990"/>
      <c r="V3918" s="990"/>
      <c r="W3918" s="990"/>
      <c r="X3918" s="990"/>
    </row>
    <row r="3919" spans="1:24" s="896" customFormat="1">
      <c r="A3919" s="987">
        <f t="shared" si="62"/>
        <v>3845</v>
      </c>
      <c r="B3919" s="988">
        <v>1079</v>
      </c>
      <c r="C3919" s="899" t="s">
        <v>13245</v>
      </c>
      <c r="D3919" s="988" t="s">
        <v>2666</v>
      </c>
      <c r="E3919" s="989">
        <v>48.53</v>
      </c>
      <c r="F3919" s="990"/>
      <c r="G3919" s="990"/>
      <c r="H3919" s="990"/>
      <c r="I3919" s="990"/>
      <c r="J3919" s="990"/>
      <c r="K3919" s="990"/>
      <c r="L3919" s="990"/>
      <c r="M3919" s="990"/>
      <c r="N3919" s="990"/>
      <c r="O3919" s="990"/>
      <c r="P3919" s="990"/>
      <c r="Q3919" s="990"/>
      <c r="R3919" s="990"/>
      <c r="S3919" s="990"/>
      <c r="T3919" s="990"/>
      <c r="U3919" s="990"/>
      <c r="V3919" s="990"/>
      <c r="W3919" s="990"/>
      <c r="X3919" s="990"/>
    </row>
    <row r="3920" spans="1:24" s="896" customFormat="1" ht="25.5">
      <c r="A3920" s="987">
        <f t="shared" si="62"/>
        <v>3846</v>
      </c>
      <c r="B3920" s="988">
        <v>39374</v>
      </c>
      <c r="C3920" s="899" t="s">
        <v>13246</v>
      </c>
      <c r="D3920" s="988" t="s">
        <v>2666</v>
      </c>
      <c r="E3920" s="989">
        <v>98.54</v>
      </c>
      <c r="F3920" s="990"/>
      <c r="G3920" s="990"/>
      <c r="H3920" s="990"/>
      <c r="I3920" s="990"/>
      <c r="J3920" s="990"/>
      <c r="K3920" s="990"/>
      <c r="L3920" s="990"/>
      <c r="M3920" s="990"/>
      <c r="N3920" s="990"/>
      <c r="O3920" s="990"/>
      <c r="P3920" s="990"/>
      <c r="Q3920" s="990"/>
      <c r="R3920" s="990"/>
      <c r="S3920" s="990"/>
      <c r="T3920" s="990"/>
      <c r="U3920" s="990"/>
      <c r="V3920" s="990"/>
      <c r="W3920" s="990"/>
      <c r="X3920" s="990"/>
    </row>
    <row r="3921" spans="1:24" s="896" customFormat="1">
      <c r="A3921" s="987">
        <f t="shared" si="62"/>
        <v>3847</v>
      </c>
      <c r="B3921" s="988">
        <v>1082</v>
      </c>
      <c r="C3921" s="899" t="s">
        <v>13247</v>
      </c>
      <c r="D3921" s="988" t="s">
        <v>2666</v>
      </c>
      <c r="E3921" s="989">
        <v>305.10000000000002</v>
      </c>
      <c r="F3921" s="990"/>
      <c r="G3921" s="990"/>
      <c r="H3921" s="990"/>
      <c r="I3921" s="990"/>
      <c r="J3921" s="990"/>
      <c r="K3921" s="990"/>
      <c r="L3921" s="990"/>
      <c r="M3921" s="990"/>
      <c r="N3921" s="990"/>
      <c r="O3921" s="990"/>
      <c r="P3921" s="990"/>
      <c r="Q3921" s="990"/>
      <c r="R3921" s="990"/>
      <c r="S3921" s="990"/>
      <c r="T3921" s="990"/>
      <c r="U3921" s="990"/>
      <c r="V3921" s="990"/>
      <c r="W3921" s="990"/>
      <c r="X3921" s="990"/>
    </row>
    <row r="3922" spans="1:24" s="896" customFormat="1">
      <c r="A3922" s="987">
        <f t="shared" si="62"/>
        <v>3848</v>
      </c>
      <c r="B3922" s="988">
        <v>12316</v>
      </c>
      <c r="C3922" s="899" t="s">
        <v>13248</v>
      </c>
      <c r="D3922" s="988" t="s">
        <v>2666</v>
      </c>
      <c r="E3922" s="989">
        <v>139.84</v>
      </c>
      <c r="F3922" s="990"/>
      <c r="G3922" s="990"/>
      <c r="H3922" s="990"/>
      <c r="I3922" s="990"/>
      <c r="J3922" s="990"/>
      <c r="K3922" s="990"/>
      <c r="L3922" s="990"/>
      <c r="M3922" s="990"/>
      <c r="N3922" s="990"/>
      <c r="O3922" s="990"/>
      <c r="P3922" s="990"/>
      <c r="Q3922" s="990"/>
      <c r="R3922" s="990"/>
      <c r="S3922" s="990"/>
      <c r="T3922" s="990"/>
      <c r="U3922" s="990"/>
      <c r="V3922" s="990"/>
      <c r="W3922" s="990"/>
      <c r="X3922" s="990"/>
    </row>
    <row r="3923" spans="1:24" s="896" customFormat="1">
      <c r="A3923" s="987">
        <f t="shared" si="62"/>
        <v>3849</v>
      </c>
      <c r="B3923" s="988">
        <v>12317</v>
      </c>
      <c r="C3923" s="899" t="s">
        <v>13249</v>
      </c>
      <c r="D3923" s="988" t="s">
        <v>2666</v>
      </c>
      <c r="E3923" s="989">
        <v>166.76</v>
      </c>
      <c r="F3923" s="990"/>
      <c r="G3923" s="990"/>
      <c r="H3923" s="990"/>
      <c r="I3923" s="990"/>
      <c r="J3923" s="990"/>
      <c r="K3923" s="990"/>
      <c r="L3923" s="990"/>
      <c r="M3923" s="990"/>
      <c r="N3923" s="990"/>
      <c r="O3923" s="990"/>
      <c r="P3923" s="990"/>
      <c r="Q3923" s="990"/>
      <c r="R3923" s="990"/>
      <c r="S3923" s="990"/>
      <c r="T3923" s="990"/>
      <c r="U3923" s="990"/>
      <c r="V3923" s="990"/>
      <c r="W3923" s="990"/>
      <c r="X3923" s="990"/>
    </row>
    <row r="3924" spans="1:24" s="896" customFormat="1">
      <c r="A3924" s="987">
        <f t="shared" si="62"/>
        <v>3850</v>
      </c>
      <c r="B3924" s="988">
        <v>12318</v>
      </c>
      <c r="C3924" s="899" t="s">
        <v>13250</v>
      </c>
      <c r="D3924" s="988" t="s">
        <v>2666</v>
      </c>
      <c r="E3924" s="989">
        <v>192.11</v>
      </c>
      <c r="F3924" s="990"/>
      <c r="G3924" s="990"/>
      <c r="H3924" s="990"/>
      <c r="I3924" s="990"/>
      <c r="J3924" s="990"/>
      <c r="K3924" s="990"/>
      <c r="L3924" s="990"/>
      <c r="M3924" s="990"/>
      <c r="N3924" s="990"/>
      <c r="O3924" s="990"/>
      <c r="P3924" s="990"/>
      <c r="Q3924" s="990"/>
      <c r="R3924" s="990"/>
      <c r="S3924" s="990"/>
      <c r="T3924" s="990"/>
      <c r="U3924" s="990"/>
      <c r="V3924" s="990"/>
      <c r="W3924" s="990"/>
      <c r="X3924" s="990"/>
    </row>
    <row r="3925" spans="1:24" s="896" customFormat="1">
      <c r="A3925" s="987">
        <f t="shared" si="62"/>
        <v>3851</v>
      </c>
      <c r="B3925" s="988">
        <v>5104</v>
      </c>
      <c r="C3925" s="899" t="s">
        <v>13251</v>
      </c>
      <c r="D3925" s="988" t="s">
        <v>2670</v>
      </c>
      <c r="E3925" s="989">
        <v>74.69</v>
      </c>
      <c r="F3925" s="990"/>
      <c r="G3925" s="990"/>
      <c r="H3925" s="990"/>
      <c r="I3925" s="990"/>
      <c r="J3925" s="990"/>
      <c r="K3925" s="990"/>
      <c r="L3925" s="990"/>
      <c r="M3925" s="990"/>
      <c r="N3925" s="990"/>
      <c r="O3925" s="990"/>
      <c r="P3925" s="990"/>
      <c r="Q3925" s="990"/>
      <c r="R3925" s="990"/>
      <c r="S3925" s="990"/>
      <c r="T3925" s="990"/>
      <c r="U3925" s="990"/>
      <c r="V3925" s="990"/>
      <c r="W3925" s="990"/>
      <c r="X3925" s="990"/>
    </row>
    <row r="3926" spans="1:24" s="896" customFormat="1">
      <c r="A3926" s="987">
        <f t="shared" si="62"/>
        <v>3852</v>
      </c>
      <c r="B3926" s="988">
        <v>44530</v>
      </c>
      <c r="C3926" s="899" t="s">
        <v>13252</v>
      </c>
      <c r="D3926" s="988" t="s">
        <v>2666</v>
      </c>
      <c r="E3926" s="989">
        <v>50.81</v>
      </c>
      <c r="F3926" s="990"/>
      <c r="G3926" s="990"/>
      <c r="H3926" s="990"/>
      <c r="I3926" s="990"/>
      <c r="J3926" s="990"/>
      <c r="K3926" s="990"/>
      <c r="L3926" s="990"/>
      <c r="M3926" s="990"/>
      <c r="N3926" s="990"/>
      <c r="O3926" s="990"/>
      <c r="P3926" s="990"/>
      <c r="Q3926" s="990"/>
      <c r="R3926" s="990"/>
      <c r="S3926" s="990"/>
      <c r="T3926" s="990"/>
      <c r="U3926" s="990"/>
      <c r="V3926" s="990"/>
      <c r="W3926" s="990"/>
      <c r="X3926" s="990"/>
    </row>
    <row r="3927" spans="1:24" s="896" customFormat="1">
      <c r="A3927" s="987">
        <f t="shared" si="62"/>
        <v>3853</v>
      </c>
      <c r="B3927" s="988">
        <v>2710</v>
      </c>
      <c r="C3927" s="899" t="s">
        <v>13253</v>
      </c>
      <c r="D3927" s="988" t="s">
        <v>2666</v>
      </c>
      <c r="E3927" s="989">
        <v>40.58</v>
      </c>
      <c r="F3927" s="990"/>
      <c r="G3927" s="990"/>
      <c r="H3927" s="990"/>
      <c r="I3927" s="990"/>
      <c r="J3927" s="990"/>
      <c r="K3927" s="990"/>
      <c r="L3927" s="990"/>
      <c r="M3927" s="990"/>
      <c r="N3927" s="990"/>
      <c r="O3927" s="990"/>
      <c r="P3927" s="990"/>
      <c r="Q3927" s="990"/>
      <c r="R3927" s="990"/>
      <c r="S3927" s="990"/>
      <c r="T3927" s="990"/>
      <c r="U3927" s="990"/>
      <c r="V3927" s="990"/>
      <c r="W3927" s="990"/>
      <c r="X3927" s="990"/>
    </row>
    <row r="3928" spans="1:24" s="896" customFormat="1" ht="25.5">
      <c r="A3928" s="987">
        <f t="shared" si="62"/>
        <v>3854</v>
      </c>
      <c r="B3928" s="988">
        <v>14575</v>
      </c>
      <c r="C3928" s="899" t="s">
        <v>13254</v>
      </c>
      <c r="D3928" s="988" t="s">
        <v>2666</v>
      </c>
      <c r="E3928" s="989">
        <v>6046805.6799999997</v>
      </c>
      <c r="F3928" s="990"/>
      <c r="G3928" s="990"/>
      <c r="H3928" s="990"/>
      <c r="I3928" s="990"/>
      <c r="J3928" s="990"/>
      <c r="K3928" s="990"/>
      <c r="L3928" s="990"/>
      <c r="M3928" s="990"/>
      <c r="N3928" s="990"/>
      <c r="O3928" s="990"/>
      <c r="P3928" s="990"/>
      <c r="Q3928" s="990"/>
      <c r="R3928" s="990"/>
      <c r="S3928" s="990"/>
      <c r="T3928" s="990"/>
      <c r="U3928" s="990"/>
      <c r="V3928" s="990"/>
      <c r="W3928" s="990"/>
      <c r="X3928" s="990"/>
    </row>
    <row r="3929" spans="1:24" s="896" customFormat="1">
      <c r="A3929" s="987">
        <f t="shared" si="62"/>
        <v>3855</v>
      </c>
      <c r="B3929" s="988">
        <v>20034</v>
      </c>
      <c r="C3929" s="899" t="s">
        <v>13255</v>
      </c>
      <c r="D3929" s="988" t="s">
        <v>2666</v>
      </c>
      <c r="E3929" s="989">
        <v>94.57</v>
      </c>
      <c r="F3929" s="990"/>
      <c r="G3929" s="990"/>
      <c r="H3929" s="990"/>
      <c r="I3929" s="990"/>
      <c r="J3929" s="990"/>
      <c r="K3929" s="990"/>
      <c r="L3929" s="990"/>
      <c r="M3929" s="990"/>
      <c r="N3929" s="990"/>
      <c r="O3929" s="990"/>
      <c r="P3929" s="990"/>
      <c r="Q3929" s="990"/>
      <c r="R3929" s="990"/>
      <c r="S3929" s="990"/>
      <c r="T3929" s="990"/>
      <c r="U3929" s="990"/>
      <c r="V3929" s="990"/>
      <c r="W3929" s="990"/>
      <c r="X3929" s="990"/>
    </row>
    <row r="3930" spans="1:24" s="896" customFormat="1">
      <c r="A3930" s="987">
        <f t="shared" si="62"/>
        <v>3856</v>
      </c>
      <c r="B3930" s="988">
        <v>20036</v>
      </c>
      <c r="C3930" s="899" t="s">
        <v>13256</v>
      </c>
      <c r="D3930" s="988" t="s">
        <v>2666</v>
      </c>
      <c r="E3930" s="989">
        <v>181.92</v>
      </c>
      <c r="F3930" s="990"/>
      <c r="G3930" s="990"/>
      <c r="H3930" s="990"/>
      <c r="I3930" s="990"/>
      <c r="J3930" s="990"/>
      <c r="K3930" s="990"/>
      <c r="L3930" s="990"/>
      <c r="M3930" s="990"/>
      <c r="N3930" s="990"/>
      <c r="O3930" s="990"/>
      <c r="P3930" s="990"/>
      <c r="Q3930" s="990"/>
      <c r="R3930" s="990"/>
      <c r="S3930" s="990"/>
      <c r="T3930" s="990"/>
      <c r="U3930" s="990"/>
      <c r="V3930" s="990"/>
      <c r="W3930" s="990"/>
      <c r="X3930" s="990"/>
    </row>
    <row r="3931" spans="1:24" s="896" customFormat="1">
      <c r="A3931" s="987">
        <f t="shared" si="62"/>
        <v>3857</v>
      </c>
      <c r="B3931" s="988">
        <v>20037</v>
      </c>
      <c r="C3931" s="899" t="s">
        <v>13257</v>
      </c>
      <c r="D3931" s="988" t="s">
        <v>2666</v>
      </c>
      <c r="E3931" s="989">
        <v>343.14</v>
      </c>
      <c r="F3931" s="990"/>
      <c r="G3931" s="990"/>
      <c r="H3931" s="990"/>
      <c r="I3931" s="990"/>
      <c r="J3931" s="990"/>
      <c r="K3931" s="990"/>
      <c r="L3931" s="990"/>
      <c r="M3931" s="990"/>
      <c r="N3931" s="990"/>
      <c r="O3931" s="990"/>
      <c r="P3931" s="990"/>
      <c r="Q3931" s="990"/>
      <c r="R3931" s="990"/>
      <c r="S3931" s="990"/>
      <c r="T3931" s="990"/>
      <c r="U3931" s="990"/>
      <c r="V3931" s="990"/>
      <c r="W3931" s="990"/>
      <c r="X3931" s="990"/>
    </row>
    <row r="3932" spans="1:24" s="896" customFormat="1">
      <c r="A3932" s="987">
        <f t="shared" si="62"/>
        <v>3858</v>
      </c>
      <c r="B3932" s="988">
        <v>20043</v>
      </c>
      <c r="C3932" s="899" t="s">
        <v>13258</v>
      </c>
      <c r="D3932" s="988" t="s">
        <v>2666</v>
      </c>
      <c r="E3932" s="989">
        <v>10.039999999999999</v>
      </c>
      <c r="F3932" s="990"/>
      <c r="G3932" s="990"/>
      <c r="H3932" s="990"/>
      <c r="I3932" s="990"/>
      <c r="J3932" s="990"/>
      <c r="K3932" s="990"/>
      <c r="L3932" s="990"/>
      <c r="M3932" s="990"/>
      <c r="N3932" s="990"/>
      <c r="O3932" s="990"/>
      <c r="P3932" s="990"/>
      <c r="Q3932" s="990"/>
      <c r="R3932" s="990"/>
      <c r="S3932" s="990"/>
      <c r="T3932" s="990"/>
      <c r="U3932" s="990"/>
      <c r="V3932" s="990"/>
      <c r="W3932" s="990"/>
      <c r="X3932" s="990"/>
    </row>
    <row r="3933" spans="1:24" s="896" customFormat="1">
      <c r="A3933" s="987">
        <f t="shared" si="62"/>
        <v>3859</v>
      </c>
      <c r="B3933" s="988">
        <v>20044</v>
      </c>
      <c r="C3933" s="899" t="s">
        <v>13259</v>
      </c>
      <c r="D3933" s="988" t="s">
        <v>2666</v>
      </c>
      <c r="E3933" s="989">
        <v>11.73</v>
      </c>
      <c r="F3933" s="990"/>
      <c r="G3933" s="990"/>
      <c r="H3933" s="990"/>
      <c r="I3933" s="990"/>
      <c r="J3933" s="990"/>
      <c r="K3933" s="990"/>
      <c r="L3933" s="990"/>
      <c r="M3933" s="990"/>
      <c r="N3933" s="990"/>
      <c r="O3933" s="990"/>
      <c r="P3933" s="990"/>
      <c r="Q3933" s="990"/>
      <c r="R3933" s="990"/>
      <c r="S3933" s="990"/>
      <c r="T3933" s="990"/>
      <c r="U3933" s="990"/>
      <c r="V3933" s="990"/>
      <c r="W3933" s="990"/>
      <c r="X3933" s="990"/>
    </row>
    <row r="3934" spans="1:24" s="896" customFormat="1">
      <c r="A3934" s="987">
        <f t="shared" si="62"/>
        <v>3860</v>
      </c>
      <c r="B3934" s="988">
        <v>20042</v>
      </c>
      <c r="C3934" s="899" t="s">
        <v>13260</v>
      </c>
      <c r="D3934" s="988" t="s">
        <v>2666</v>
      </c>
      <c r="E3934" s="989">
        <v>8.5</v>
      </c>
      <c r="F3934" s="990"/>
      <c r="G3934" s="990"/>
      <c r="H3934" s="990"/>
      <c r="I3934" s="990"/>
      <c r="J3934" s="990"/>
      <c r="K3934" s="990"/>
      <c r="L3934" s="990"/>
      <c r="M3934" s="990"/>
      <c r="N3934" s="990"/>
      <c r="O3934" s="990"/>
      <c r="P3934" s="990"/>
      <c r="Q3934" s="990"/>
      <c r="R3934" s="990"/>
      <c r="S3934" s="990"/>
      <c r="T3934" s="990"/>
      <c r="U3934" s="990"/>
      <c r="V3934" s="990"/>
      <c r="W3934" s="990"/>
      <c r="X3934" s="990"/>
    </row>
    <row r="3935" spans="1:24" s="896" customFormat="1" ht="25.5">
      <c r="A3935" s="987">
        <f t="shared" si="62"/>
        <v>3861</v>
      </c>
      <c r="B3935" s="988">
        <v>20046</v>
      </c>
      <c r="C3935" s="899" t="s">
        <v>13261</v>
      </c>
      <c r="D3935" s="988" t="s">
        <v>2666</v>
      </c>
      <c r="E3935" s="989">
        <v>24.9</v>
      </c>
      <c r="F3935" s="990"/>
      <c r="G3935" s="990"/>
      <c r="H3935" s="990"/>
      <c r="I3935" s="990"/>
      <c r="J3935" s="990"/>
      <c r="K3935" s="990"/>
      <c r="L3935" s="990"/>
      <c r="M3935" s="990"/>
      <c r="N3935" s="990"/>
      <c r="O3935" s="990"/>
      <c r="P3935" s="990"/>
      <c r="Q3935" s="990"/>
      <c r="R3935" s="990"/>
      <c r="S3935" s="990"/>
      <c r="T3935" s="990"/>
      <c r="U3935" s="990"/>
      <c r="V3935" s="990"/>
      <c r="W3935" s="990"/>
      <c r="X3935" s="990"/>
    </row>
    <row r="3936" spans="1:24" s="896" customFormat="1" ht="25.5">
      <c r="A3936" s="987">
        <f t="shared" si="62"/>
        <v>3862</v>
      </c>
      <c r="B3936" s="988">
        <v>20047</v>
      </c>
      <c r="C3936" s="899" t="s">
        <v>13262</v>
      </c>
      <c r="D3936" s="988" t="s">
        <v>2666</v>
      </c>
      <c r="E3936" s="989">
        <v>68.05</v>
      </c>
      <c r="F3936" s="990"/>
      <c r="G3936" s="990"/>
      <c r="H3936" s="990"/>
      <c r="I3936" s="990"/>
      <c r="J3936" s="990"/>
      <c r="K3936" s="990"/>
      <c r="L3936" s="990"/>
      <c r="M3936" s="990"/>
      <c r="N3936" s="990"/>
      <c r="O3936" s="990"/>
      <c r="P3936" s="990"/>
      <c r="Q3936" s="990"/>
      <c r="R3936" s="990"/>
      <c r="S3936" s="990"/>
      <c r="T3936" s="990"/>
      <c r="U3936" s="990"/>
      <c r="V3936" s="990"/>
      <c r="W3936" s="990"/>
      <c r="X3936" s="990"/>
    </row>
    <row r="3937" spans="1:24" s="896" customFormat="1" ht="25.5">
      <c r="A3937" s="987">
        <f t="shared" si="62"/>
        <v>3863</v>
      </c>
      <c r="B3937" s="988">
        <v>20045</v>
      </c>
      <c r="C3937" s="899" t="s">
        <v>13263</v>
      </c>
      <c r="D3937" s="988" t="s">
        <v>2666</v>
      </c>
      <c r="E3937" s="989">
        <v>10.24</v>
      </c>
      <c r="F3937" s="990"/>
      <c r="G3937" s="990"/>
      <c r="H3937" s="990"/>
      <c r="I3937" s="990"/>
      <c r="J3937" s="990"/>
      <c r="K3937" s="990"/>
      <c r="L3937" s="990"/>
      <c r="M3937" s="990"/>
      <c r="N3937" s="990"/>
      <c r="O3937" s="990"/>
      <c r="P3937" s="990"/>
      <c r="Q3937" s="990"/>
      <c r="R3937" s="990"/>
      <c r="S3937" s="990"/>
      <c r="T3937" s="990"/>
      <c r="U3937" s="990"/>
      <c r="V3937" s="990"/>
      <c r="W3937" s="990"/>
      <c r="X3937" s="990"/>
    </row>
    <row r="3938" spans="1:24" s="896" customFormat="1" ht="25.5">
      <c r="A3938" s="987">
        <f t="shared" si="62"/>
        <v>3864</v>
      </c>
      <c r="B3938" s="988">
        <v>20972</v>
      </c>
      <c r="C3938" s="899" t="s">
        <v>13264</v>
      </c>
      <c r="D3938" s="988" t="s">
        <v>2666</v>
      </c>
      <c r="E3938" s="989">
        <v>162.85</v>
      </c>
      <c r="F3938" s="990"/>
      <c r="G3938" s="990"/>
      <c r="H3938" s="990"/>
      <c r="I3938" s="990"/>
      <c r="J3938" s="990"/>
      <c r="K3938" s="990"/>
      <c r="L3938" s="990"/>
      <c r="M3938" s="990"/>
      <c r="N3938" s="990"/>
      <c r="O3938" s="990"/>
      <c r="P3938" s="990"/>
      <c r="Q3938" s="990"/>
      <c r="R3938" s="990"/>
      <c r="S3938" s="990"/>
      <c r="T3938" s="990"/>
      <c r="U3938" s="990"/>
      <c r="V3938" s="990"/>
      <c r="W3938" s="990"/>
      <c r="X3938" s="990"/>
    </row>
    <row r="3939" spans="1:24" s="896" customFormat="1">
      <c r="A3939" s="987">
        <f t="shared" si="62"/>
        <v>3865</v>
      </c>
      <c r="B3939" s="988">
        <v>20032</v>
      </c>
      <c r="C3939" s="899" t="s">
        <v>13265</v>
      </c>
      <c r="D3939" s="988" t="s">
        <v>2666</v>
      </c>
      <c r="E3939" s="989">
        <v>78.77</v>
      </c>
      <c r="F3939" s="990"/>
      <c r="G3939" s="990"/>
      <c r="H3939" s="990"/>
      <c r="I3939" s="990"/>
      <c r="J3939" s="990"/>
      <c r="K3939" s="990"/>
      <c r="L3939" s="990"/>
      <c r="M3939" s="990"/>
      <c r="N3939" s="990"/>
      <c r="O3939" s="990"/>
      <c r="P3939" s="990"/>
      <c r="Q3939" s="990"/>
      <c r="R3939" s="990"/>
      <c r="S3939" s="990"/>
      <c r="T3939" s="990"/>
      <c r="U3939" s="990"/>
      <c r="V3939" s="990"/>
      <c r="W3939" s="990"/>
      <c r="X3939" s="990"/>
    </row>
    <row r="3940" spans="1:24" s="896" customFormat="1">
      <c r="A3940" s="987">
        <f t="shared" si="62"/>
        <v>3866</v>
      </c>
      <c r="B3940" s="988">
        <v>11321</v>
      </c>
      <c r="C3940" s="899" t="s">
        <v>13266</v>
      </c>
      <c r="D3940" s="988" t="s">
        <v>2666</v>
      </c>
      <c r="E3940" s="989">
        <v>35.909999999999997</v>
      </c>
      <c r="F3940" s="990"/>
      <c r="G3940" s="990"/>
      <c r="H3940" s="990"/>
      <c r="I3940" s="990"/>
      <c r="J3940" s="990"/>
      <c r="K3940" s="990"/>
      <c r="L3940" s="990"/>
      <c r="M3940" s="990"/>
      <c r="N3940" s="990"/>
      <c r="O3940" s="990"/>
      <c r="P3940" s="990"/>
      <c r="Q3940" s="990"/>
      <c r="R3940" s="990"/>
      <c r="S3940" s="990"/>
      <c r="T3940" s="990"/>
      <c r="U3940" s="990"/>
      <c r="V3940" s="990"/>
      <c r="W3940" s="990"/>
      <c r="X3940" s="990"/>
    </row>
    <row r="3941" spans="1:24" s="896" customFormat="1">
      <c r="A3941" s="987">
        <f t="shared" si="62"/>
        <v>3867</v>
      </c>
      <c r="B3941" s="988">
        <v>11323</v>
      </c>
      <c r="C3941" s="899" t="s">
        <v>13267</v>
      </c>
      <c r="D3941" s="988" t="s">
        <v>2666</v>
      </c>
      <c r="E3941" s="989">
        <v>41.3</v>
      </c>
      <c r="F3941" s="990"/>
      <c r="G3941" s="990"/>
      <c r="H3941" s="990"/>
      <c r="I3941" s="990"/>
      <c r="J3941" s="990"/>
      <c r="K3941" s="990"/>
      <c r="L3941" s="990"/>
      <c r="M3941" s="990"/>
      <c r="N3941" s="990"/>
      <c r="O3941" s="990"/>
      <c r="P3941" s="990"/>
      <c r="Q3941" s="990"/>
      <c r="R3941" s="990"/>
      <c r="S3941" s="990"/>
      <c r="T3941" s="990"/>
      <c r="U3941" s="990"/>
      <c r="V3941" s="990"/>
      <c r="W3941" s="990"/>
      <c r="X3941" s="990"/>
    </row>
    <row r="3942" spans="1:24" s="896" customFormat="1">
      <c r="A3942" s="987">
        <f t="shared" si="62"/>
        <v>3868</v>
      </c>
      <c r="B3942" s="988">
        <v>20327</v>
      </c>
      <c r="C3942" s="899" t="s">
        <v>13268</v>
      </c>
      <c r="D3942" s="988" t="s">
        <v>2666</v>
      </c>
      <c r="E3942" s="989">
        <v>23.44</v>
      </c>
      <c r="F3942" s="990"/>
      <c r="G3942" s="990"/>
      <c r="H3942" s="990"/>
      <c r="I3942" s="990"/>
      <c r="J3942" s="990"/>
      <c r="K3942" s="990"/>
      <c r="L3942" s="990"/>
      <c r="M3942" s="990"/>
      <c r="N3942" s="990"/>
      <c r="O3942" s="990"/>
      <c r="P3942" s="990"/>
      <c r="Q3942" s="990"/>
      <c r="R3942" s="990"/>
      <c r="S3942" s="990"/>
      <c r="T3942" s="990"/>
      <c r="U3942" s="990"/>
      <c r="V3942" s="990"/>
      <c r="W3942" s="990"/>
      <c r="X3942" s="990"/>
    </row>
    <row r="3943" spans="1:24" s="896" customFormat="1" ht="38.25">
      <c r="A3943" s="987">
        <f t="shared" si="62"/>
        <v>3869</v>
      </c>
      <c r="B3943" s="988">
        <v>13390</v>
      </c>
      <c r="C3943" s="899" t="s">
        <v>13269</v>
      </c>
      <c r="D3943" s="988" t="s">
        <v>2666</v>
      </c>
      <c r="E3943" s="989">
        <v>176.48</v>
      </c>
      <c r="F3943" s="990"/>
      <c r="G3943" s="990"/>
      <c r="H3943" s="990"/>
      <c r="I3943" s="990"/>
      <c r="J3943" s="990"/>
      <c r="K3943" s="990"/>
      <c r="L3943" s="990"/>
      <c r="M3943" s="990"/>
      <c r="N3943" s="990"/>
      <c r="O3943" s="990"/>
      <c r="P3943" s="990"/>
      <c r="Q3943" s="990"/>
      <c r="R3943" s="990"/>
      <c r="S3943" s="990"/>
      <c r="T3943" s="990"/>
      <c r="U3943" s="990"/>
      <c r="V3943" s="990"/>
      <c r="W3943" s="990"/>
      <c r="X3943" s="990"/>
    </row>
    <row r="3944" spans="1:24" s="896" customFormat="1">
      <c r="A3944" s="987">
        <f t="shared" si="62"/>
        <v>3870</v>
      </c>
      <c r="B3944" s="988">
        <v>6034</v>
      </c>
      <c r="C3944" s="899" t="s">
        <v>13270</v>
      </c>
      <c r="D3944" s="988" t="s">
        <v>2666</v>
      </c>
      <c r="E3944" s="989">
        <v>13.06</v>
      </c>
      <c r="F3944" s="990"/>
      <c r="G3944" s="990"/>
      <c r="H3944" s="990"/>
      <c r="I3944" s="990"/>
      <c r="J3944" s="990"/>
      <c r="K3944" s="990"/>
      <c r="L3944" s="990"/>
      <c r="M3944" s="990"/>
      <c r="N3944" s="990"/>
      <c r="O3944" s="990"/>
      <c r="P3944" s="990"/>
      <c r="Q3944" s="990"/>
      <c r="R3944" s="990"/>
      <c r="S3944" s="990"/>
      <c r="T3944" s="990"/>
      <c r="U3944" s="990"/>
      <c r="V3944" s="990"/>
      <c r="W3944" s="990"/>
      <c r="X3944" s="990"/>
    </row>
    <row r="3945" spans="1:24" s="896" customFormat="1">
      <c r="A3945" s="987">
        <f t="shared" si="62"/>
        <v>3871</v>
      </c>
      <c r="B3945" s="988">
        <v>6036</v>
      </c>
      <c r="C3945" s="899" t="s">
        <v>13271</v>
      </c>
      <c r="D3945" s="988" t="s">
        <v>2666</v>
      </c>
      <c r="E3945" s="989">
        <v>17.78</v>
      </c>
      <c r="F3945" s="990"/>
      <c r="G3945" s="990"/>
      <c r="H3945" s="990"/>
      <c r="I3945" s="990"/>
      <c r="J3945" s="990"/>
      <c r="K3945" s="990"/>
      <c r="L3945" s="990"/>
      <c r="M3945" s="990"/>
      <c r="N3945" s="990"/>
      <c r="O3945" s="990"/>
      <c r="P3945" s="990"/>
      <c r="Q3945" s="990"/>
      <c r="R3945" s="990"/>
      <c r="S3945" s="990"/>
      <c r="T3945" s="990"/>
      <c r="U3945" s="990"/>
      <c r="V3945" s="990"/>
      <c r="W3945" s="990"/>
      <c r="X3945" s="990"/>
    </row>
    <row r="3946" spans="1:24" s="896" customFormat="1">
      <c r="A3946" s="987">
        <f t="shared" si="62"/>
        <v>3872</v>
      </c>
      <c r="B3946" s="988">
        <v>6031</v>
      </c>
      <c r="C3946" s="899" t="s">
        <v>13272</v>
      </c>
      <c r="D3946" s="988" t="s">
        <v>2666</v>
      </c>
      <c r="E3946" s="989">
        <v>20.9</v>
      </c>
      <c r="F3946" s="990"/>
      <c r="G3946" s="990"/>
      <c r="H3946" s="990"/>
      <c r="I3946" s="990"/>
      <c r="J3946" s="990"/>
      <c r="K3946" s="990"/>
      <c r="L3946" s="990"/>
      <c r="M3946" s="990"/>
      <c r="N3946" s="990"/>
      <c r="O3946" s="990"/>
      <c r="P3946" s="990"/>
      <c r="Q3946" s="990"/>
      <c r="R3946" s="990"/>
      <c r="S3946" s="990"/>
      <c r="T3946" s="990"/>
      <c r="U3946" s="990"/>
      <c r="V3946" s="990"/>
      <c r="W3946" s="990"/>
      <c r="X3946" s="990"/>
    </row>
    <row r="3947" spans="1:24" s="896" customFormat="1">
      <c r="A3947" s="987">
        <f t="shared" si="62"/>
        <v>3873</v>
      </c>
      <c r="B3947" s="988">
        <v>6029</v>
      </c>
      <c r="C3947" s="899" t="s">
        <v>13273</v>
      </c>
      <c r="D3947" s="988" t="s">
        <v>2666</v>
      </c>
      <c r="E3947" s="989">
        <v>21.12</v>
      </c>
      <c r="F3947" s="990"/>
      <c r="G3947" s="990"/>
      <c r="H3947" s="990"/>
      <c r="I3947" s="990"/>
      <c r="J3947" s="990"/>
      <c r="K3947" s="990"/>
      <c r="L3947" s="990"/>
      <c r="M3947" s="990"/>
      <c r="N3947" s="990"/>
      <c r="O3947" s="990"/>
      <c r="P3947" s="990"/>
      <c r="Q3947" s="990"/>
      <c r="R3947" s="990"/>
      <c r="S3947" s="990"/>
      <c r="T3947" s="990"/>
      <c r="U3947" s="990"/>
      <c r="V3947" s="990"/>
      <c r="W3947" s="990"/>
      <c r="X3947" s="990"/>
    </row>
    <row r="3948" spans="1:24" s="896" customFormat="1">
      <c r="A3948" s="987">
        <f t="shared" si="62"/>
        <v>3874</v>
      </c>
      <c r="B3948" s="988">
        <v>6033</v>
      </c>
      <c r="C3948" s="899" t="s">
        <v>13274</v>
      </c>
      <c r="D3948" s="988" t="s">
        <v>2666</v>
      </c>
      <c r="E3948" s="989">
        <v>27.84</v>
      </c>
      <c r="F3948" s="990"/>
      <c r="G3948" s="990"/>
      <c r="H3948" s="990"/>
      <c r="I3948" s="990"/>
      <c r="J3948" s="990"/>
      <c r="K3948" s="990"/>
      <c r="L3948" s="990"/>
      <c r="M3948" s="990"/>
      <c r="N3948" s="990"/>
      <c r="O3948" s="990"/>
      <c r="P3948" s="990"/>
      <c r="Q3948" s="990"/>
      <c r="R3948" s="990"/>
      <c r="S3948" s="990"/>
      <c r="T3948" s="990"/>
      <c r="U3948" s="990"/>
      <c r="V3948" s="990"/>
      <c r="W3948" s="990"/>
      <c r="X3948" s="990"/>
    </row>
    <row r="3949" spans="1:24" s="896" customFormat="1">
      <c r="A3949" s="987">
        <f t="shared" si="62"/>
        <v>3875</v>
      </c>
      <c r="B3949" s="988">
        <v>11672</v>
      </c>
      <c r="C3949" s="899" t="s">
        <v>13275</v>
      </c>
      <c r="D3949" s="988" t="s">
        <v>2666</v>
      </c>
      <c r="E3949" s="989">
        <v>60.56</v>
      </c>
      <c r="F3949" s="990"/>
      <c r="G3949" s="990"/>
      <c r="H3949" s="990"/>
      <c r="I3949" s="990"/>
      <c r="J3949" s="990"/>
      <c r="K3949" s="990"/>
      <c r="L3949" s="990"/>
      <c r="M3949" s="990"/>
      <c r="N3949" s="990"/>
      <c r="O3949" s="990"/>
      <c r="P3949" s="990"/>
      <c r="Q3949" s="990"/>
      <c r="R3949" s="990"/>
      <c r="S3949" s="990"/>
      <c r="T3949" s="990"/>
      <c r="U3949" s="990"/>
      <c r="V3949" s="990"/>
      <c r="W3949" s="990"/>
      <c r="X3949" s="990"/>
    </row>
    <row r="3950" spans="1:24" s="896" customFormat="1">
      <c r="A3950" s="987">
        <f t="shared" si="62"/>
        <v>3876</v>
      </c>
      <c r="B3950" s="988">
        <v>11669</v>
      </c>
      <c r="C3950" s="899" t="s">
        <v>13276</v>
      </c>
      <c r="D3950" s="988" t="s">
        <v>2666</v>
      </c>
      <c r="E3950" s="989">
        <v>57.67</v>
      </c>
      <c r="F3950" s="990"/>
      <c r="G3950" s="990"/>
      <c r="H3950" s="990"/>
      <c r="I3950" s="990"/>
      <c r="J3950" s="990"/>
      <c r="K3950" s="990"/>
      <c r="L3950" s="990"/>
      <c r="M3950" s="990"/>
      <c r="N3950" s="990"/>
      <c r="O3950" s="990"/>
      <c r="P3950" s="990"/>
      <c r="Q3950" s="990"/>
      <c r="R3950" s="990"/>
      <c r="S3950" s="990"/>
      <c r="T3950" s="990"/>
      <c r="U3950" s="990"/>
      <c r="V3950" s="990"/>
      <c r="W3950" s="990"/>
      <c r="X3950" s="990"/>
    </row>
    <row r="3951" spans="1:24" s="896" customFormat="1">
      <c r="A3951" s="987">
        <f t="shared" si="62"/>
        <v>3877</v>
      </c>
      <c r="B3951" s="988">
        <v>11670</v>
      </c>
      <c r="C3951" s="899" t="s">
        <v>13277</v>
      </c>
      <c r="D3951" s="988" t="s">
        <v>2666</v>
      </c>
      <c r="E3951" s="989">
        <v>22.09</v>
      </c>
      <c r="F3951" s="990"/>
      <c r="G3951" s="990"/>
      <c r="H3951" s="990"/>
      <c r="I3951" s="990"/>
      <c r="J3951" s="990"/>
      <c r="K3951" s="990"/>
      <c r="L3951" s="990"/>
      <c r="M3951" s="990"/>
      <c r="N3951" s="990"/>
      <c r="O3951" s="990"/>
      <c r="P3951" s="990"/>
      <c r="Q3951" s="990"/>
      <c r="R3951" s="990"/>
      <c r="S3951" s="990"/>
      <c r="T3951" s="990"/>
      <c r="U3951" s="990"/>
      <c r="V3951" s="990"/>
      <c r="W3951" s="990"/>
      <c r="X3951" s="990"/>
    </row>
    <row r="3952" spans="1:24" s="896" customFormat="1">
      <c r="A3952" s="987">
        <f t="shared" si="62"/>
        <v>3878</v>
      </c>
      <c r="B3952" s="988">
        <v>20055</v>
      </c>
      <c r="C3952" s="899" t="s">
        <v>13278</v>
      </c>
      <c r="D3952" s="988" t="s">
        <v>2666</v>
      </c>
      <c r="E3952" s="989">
        <v>43.19</v>
      </c>
      <c r="F3952" s="990"/>
      <c r="G3952" s="990"/>
      <c r="H3952" s="990"/>
      <c r="I3952" s="990"/>
      <c r="J3952" s="990"/>
      <c r="K3952" s="990"/>
      <c r="L3952" s="990"/>
      <c r="M3952" s="990"/>
      <c r="N3952" s="990"/>
      <c r="O3952" s="990"/>
      <c r="P3952" s="990"/>
      <c r="Q3952" s="990"/>
      <c r="R3952" s="990"/>
      <c r="S3952" s="990"/>
      <c r="T3952" s="990"/>
      <c r="U3952" s="990"/>
      <c r="V3952" s="990"/>
      <c r="W3952" s="990"/>
      <c r="X3952" s="990"/>
    </row>
    <row r="3953" spans="1:24" s="896" customFormat="1">
      <c r="A3953" s="987">
        <f t="shared" si="62"/>
        <v>3879</v>
      </c>
      <c r="B3953" s="988">
        <v>11671</v>
      </c>
      <c r="C3953" s="899" t="s">
        <v>13279</v>
      </c>
      <c r="D3953" s="988" t="s">
        <v>2666</v>
      </c>
      <c r="E3953" s="989">
        <v>92.68</v>
      </c>
      <c r="F3953" s="990"/>
      <c r="G3953" s="990"/>
      <c r="H3953" s="990"/>
      <c r="I3953" s="990"/>
      <c r="J3953" s="990"/>
      <c r="K3953" s="990"/>
      <c r="L3953" s="990"/>
      <c r="M3953" s="990"/>
      <c r="N3953" s="990"/>
      <c r="O3953" s="990"/>
      <c r="P3953" s="990"/>
      <c r="Q3953" s="990"/>
      <c r="R3953" s="990"/>
      <c r="S3953" s="990"/>
      <c r="T3953" s="990"/>
      <c r="U3953" s="990"/>
      <c r="V3953" s="990"/>
      <c r="W3953" s="990"/>
      <c r="X3953" s="990"/>
    </row>
    <row r="3954" spans="1:24" s="896" customFormat="1">
      <c r="A3954" s="987">
        <f t="shared" si="62"/>
        <v>3880</v>
      </c>
      <c r="B3954" s="988">
        <v>6032</v>
      </c>
      <c r="C3954" s="899" t="s">
        <v>13280</v>
      </c>
      <c r="D3954" s="988" t="s">
        <v>2666</v>
      </c>
      <c r="E3954" s="989">
        <v>26.47</v>
      </c>
      <c r="F3954" s="990"/>
      <c r="G3954" s="990"/>
      <c r="H3954" s="990"/>
      <c r="I3954" s="990"/>
      <c r="J3954" s="990"/>
      <c r="K3954" s="990"/>
      <c r="L3954" s="990"/>
      <c r="M3954" s="990"/>
      <c r="N3954" s="990"/>
      <c r="O3954" s="990"/>
      <c r="P3954" s="990"/>
      <c r="Q3954" s="990"/>
      <c r="R3954" s="990"/>
      <c r="S3954" s="990"/>
      <c r="T3954" s="990"/>
      <c r="U3954" s="990"/>
      <c r="V3954" s="990"/>
      <c r="W3954" s="990"/>
      <c r="X3954" s="990"/>
    </row>
    <row r="3955" spans="1:24" s="896" customFormat="1" ht="25.5">
      <c r="A3955" s="987">
        <f t="shared" si="62"/>
        <v>3881</v>
      </c>
      <c r="B3955" s="988">
        <v>11673</v>
      </c>
      <c r="C3955" s="899" t="s">
        <v>13281</v>
      </c>
      <c r="D3955" s="988" t="s">
        <v>2666</v>
      </c>
      <c r="E3955" s="989">
        <v>20.85</v>
      </c>
      <c r="F3955" s="990"/>
      <c r="G3955" s="990"/>
      <c r="H3955" s="990"/>
      <c r="I3955" s="990"/>
      <c r="J3955" s="990"/>
      <c r="K3955" s="990"/>
      <c r="L3955" s="990"/>
      <c r="M3955" s="990"/>
      <c r="N3955" s="990"/>
      <c r="O3955" s="990"/>
      <c r="P3955" s="990"/>
      <c r="Q3955" s="990"/>
      <c r="R3955" s="990"/>
      <c r="S3955" s="990"/>
      <c r="T3955" s="990"/>
      <c r="U3955" s="990"/>
      <c r="V3955" s="990"/>
      <c r="W3955" s="990"/>
      <c r="X3955" s="990"/>
    </row>
    <row r="3956" spans="1:24" s="896" customFormat="1" ht="25.5">
      <c r="A3956" s="987">
        <f t="shared" si="62"/>
        <v>3882</v>
      </c>
      <c r="B3956" s="988">
        <v>11674</v>
      </c>
      <c r="C3956" s="899" t="s">
        <v>13282</v>
      </c>
      <c r="D3956" s="988" t="s">
        <v>2666</v>
      </c>
      <c r="E3956" s="989">
        <v>26.84</v>
      </c>
      <c r="F3956" s="990"/>
      <c r="G3956" s="990"/>
      <c r="H3956" s="990"/>
      <c r="I3956" s="990"/>
      <c r="J3956" s="990"/>
      <c r="K3956" s="990"/>
      <c r="L3956" s="990"/>
      <c r="M3956" s="990"/>
      <c r="N3956" s="990"/>
      <c r="O3956" s="990"/>
      <c r="P3956" s="990"/>
      <c r="Q3956" s="990"/>
      <c r="R3956" s="990"/>
      <c r="S3956" s="990"/>
      <c r="T3956" s="990"/>
      <c r="U3956" s="990"/>
      <c r="V3956" s="990"/>
      <c r="W3956" s="990"/>
      <c r="X3956" s="990"/>
    </row>
    <row r="3957" spans="1:24" s="896" customFormat="1" ht="25.5">
      <c r="A3957" s="987">
        <f t="shared" si="62"/>
        <v>3883</v>
      </c>
      <c r="B3957" s="988">
        <v>11675</v>
      </c>
      <c r="C3957" s="899" t="s">
        <v>13283</v>
      </c>
      <c r="D3957" s="988" t="s">
        <v>2666</v>
      </c>
      <c r="E3957" s="989">
        <v>42.62</v>
      </c>
      <c r="F3957" s="990"/>
      <c r="G3957" s="990"/>
      <c r="H3957" s="990"/>
      <c r="I3957" s="990"/>
      <c r="J3957" s="990"/>
      <c r="K3957" s="990"/>
      <c r="L3957" s="990"/>
      <c r="M3957" s="990"/>
      <c r="N3957" s="990"/>
      <c r="O3957" s="990"/>
      <c r="P3957" s="990"/>
      <c r="Q3957" s="990"/>
      <c r="R3957" s="990"/>
      <c r="S3957" s="990"/>
      <c r="T3957" s="990"/>
      <c r="U3957" s="990"/>
      <c r="V3957" s="990"/>
      <c r="W3957" s="990"/>
      <c r="X3957" s="990"/>
    </row>
    <row r="3958" spans="1:24" s="896" customFormat="1" ht="25.5">
      <c r="A3958" s="987">
        <f t="shared" si="62"/>
        <v>3884</v>
      </c>
      <c r="B3958" s="988">
        <v>11676</v>
      </c>
      <c r="C3958" s="899" t="s">
        <v>13284</v>
      </c>
      <c r="D3958" s="988" t="s">
        <v>2666</v>
      </c>
      <c r="E3958" s="989">
        <v>57</v>
      </c>
      <c r="F3958" s="990"/>
      <c r="G3958" s="990"/>
      <c r="H3958" s="990"/>
      <c r="I3958" s="990"/>
      <c r="J3958" s="990"/>
      <c r="K3958" s="990"/>
      <c r="L3958" s="990"/>
      <c r="M3958" s="990"/>
      <c r="N3958" s="990"/>
      <c r="O3958" s="990"/>
      <c r="P3958" s="990"/>
      <c r="Q3958" s="990"/>
      <c r="R3958" s="990"/>
      <c r="S3958" s="990"/>
      <c r="T3958" s="990"/>
      <c r="U3958" s="990"/>
      <c r="V3958" s="990"/>
      <c r="W3958" s="990"/>
      <c r="X3958" s="990"/>
    </row>
    <row r="3959" spans="1:24" s="896" customFormat="1" ht="25.5">
      <c r="A3959" s="987">
        <f t="shared" si="62"/>
        <v>3885</v>
      </c>
      <c r="B3959" s="988">
        <v>11677</v>
      </c>
      <c r="C3959" s="899" t="s">
        <v>13285</v>
      </c>
      <c r="D3959" s="988" t="s">
        <v>2666</v>
      </c>
      <c r="E3959" s="989">
        <v>58.86</v>
      </c>
      <c r="F3959" s="990"/>
      <c r="G3959" s="990"/>
      <c r="H3959" s="990"/>
      <c r="I3959" s="990"/>
      <c r="J3959" s="990"/>
      <c r="K3959" s="990"/>
      <c r="L3959" s="990"/>
      <c r="M3959" s="990"/>
      <c r="N3959" s="990"/>
      <c r="O3959" s="990"/>
      <c r="P3959" s="990"/>
      <c r="Q3959" s="990"/>
      <c r="R3959" s="990"/>
      <c r="S3959" s="990"/>
      <c r="T3959" s="990"/>
      <c r="U3959" s="990"/>
      <c r="V3959" s="990"/>
      <c r="W3959" s="990"/>
      <c r="X3959" s="990"/>
    </row>
    <row r="3960" spans="1:24" s="896" customFormat="1" ht="25.5">
      <c r="A3960" s="987">
        <f t="shared" si="62"/>
        <v>3886</v>
      </c>
      <c r="B3960" s="988">
        <v>11678</v>
      </c>
      <c r="C3960" s="899" t="s">
        <v>13286</v>
      </c>
      <c r="D3960" s="988" t="s">
        <v>2666</v>
      </c>
      <c r="E3960" s="989">
        <v>107.8</v>
      </c>
      <c r="F3960" s="990"/>
      <c r="G3960" s="990"/>
      <c r="H3960" s="990"/>
      <c r="I3960" s="990"/>
      <c r="J3960" s="990"/>
      <c r="K3960" s="990"/>
      <c r="L3960" s="990"/>
      <c r="M3960" s="990"/>
      <c r="N3960" s="990"/>
      <c r="O3960" s="990"/>
      <c r="P3960" s="990"/>
      <c r="Q3960" s="990"/>
      <c r="R3960" s="990"/>
      <c r="S3960" s="990"/>
      <c r="T3960" s="990"/>
      <c r="U3960" s="990"/>
      <c r="V3960" s="990"/>
      <c r="W3960" s="990"/>
      <c r="X3960" s="990"/>
    </row>
    <row r="3961" spans="1:24" s="896" customFormat="1">
      <c r="A3961" s="987">
        <f t="shared" si="62"/>
        <v>3887</v>
      </c>
      <c r="B3961" s="988">
        <v>6038</v>
      </c>
      <c r="C3961" s="899" t="s">
        <v>13287</v>
      </c>
      <c r="D3961" s="988" t="s">
        <v>2666</v>
      </c>
      <c r="E3961" s="989">
        <v>6.84</v>
      </c>
      <c r="F3961" s="990"/>
      <c r="G3961" s="990"/>
      <c r="H3961" s="990"/>
      <c r="I3961" s="990"/>
      <c r="J3961" s="990"/>
      <c r="K3961" s="990"/>
      <c r="L3961" s="990"/>
      <c r="M3961" s="990"/>
      <c r="N3961" s="990"/>
      <c r="O3961" s="990"/>
      <c r="P3961" s="990"/>
      <c r="Q3961" s="990"/>
      <c r="R3961" s="990"/>
      <c r="S3961" s="990"/>
      <c r="T3961" s="990"/>
      <c r="U3961" s="990"/>
      <c r="V3961" s="990"/>
      <c r="W3961" s="990"/>
      <c r="X3961" s="990"/>
    </row>
    <row r="3962" spans="1:24" s="896" customFormat="1">
      <c r="A3962" s="987">
        <f t="shared" si="62"/>
        <v>3888</v>
      </c>
      <c r="B3962" s="988">
        <v>11718</v>
      </c>
      <c r="C3962" s="899" t="s">
        <v>13288</v>
      </c>
      <c r="D3962" s="988" t="s">
        <v>2666</v>
      </c>
      <c r="E3962" s="989">
        <v>19.5</v>
      </c>
      <c r="F3962" s="990"/>
      <c r="G3962" s="990"/>
      <c r="H3962" s="990"/>
      <c r="I3962" s="990"/>
      <c r="J3962" s="990"/>
      <c r="K3962" s="990"/>
      <c r="L3962" s="990"/>
      <c r="M3962" s="990"/>
      <c r="N3962" s="990"/>
      <c r="O3962" s="990"/>
      <c r="P3962" s="990"/>
      <c r="Q3962" s="990"/>
      <c r="R3962" s="990"/>
      <c r="S3962" s="990"/>
      <c r="T3962" s="990"/>
      <c r="U3962" s="990"/>
      <c r="V3962" s="990"/>
      <c r="W3962" s="990"/>
      <c r="X3962" s="990"/>
    </row>
    <row r="3963" spans="1:24" s="896" customFormat="1">
      <c r="A3963" s="987">
        <f t="shared" si="62"/>
        <v>3889</v>
      </c>
      <c r="B3963" s="988">
        <v>6037</v>
      </c>
      <c r="C3963" s="899" t="s">
        <v>13289</v>
      </c>
      <c r="D3963" s="988" t="s">
        <v>2666</v>
      </c>
      <c r="E3963" s="989">
        <v>14.23</v>
      </c>
      <c r="F3963" s="990"/>
      <c r="G3963" s="990"/>
      <c r="H3963" s="990"/>
      <c r="I3963" s="990"/>
      <c r="J3963" s="990"/>
      <c r="K3963" s="990"/>
      <c r="L3963" s="990"/>
      <c r="M3963" s="990"/>
      <c r="N3963" s="990"/>
      <c r="O3963" s="990"/>
      <c r="P3963" s="990"/>
      <c r="Q3963" s="990"/>
      <c r="R3963" s="990"/>
      <c r="S3963" s="990"/>
      <c r="T3963" s="990"/>
      <c r="U3963" s="990"/>
      <c r="V3963" s="990"/>
      <c r="W3963" s="990"/>
      <c r="X3963" s="990"/>
    </row>
    <row r="3964" spans="1:24" s="896" customFormat="1">
      <c r="A3964" s="987">
        <f t="shared" si="62"/>
        <v>3890</v>
      </c>
      <c r="B3964" s="988">
        <v>11719</v>
      </c>
      <c r="C3964" s="899" t="s">
        <v>13290</v>
      </c>
      <c r="D3964" s="988" t="s">
        <v>2666</v>
      </c>
      <c r="E3964" s="989">
        <v>15.82</v>
      </c>
      <c r="F3964" s="990"/>
      <c r="G3964" s="990"/>
      <c r="H3964" s="990"/>
      <c r="I3964" s="990"/>
      <c r="J3964" s="990"/>
      <c r="K3964" s="990"/>
      <c r="L3964" s="990"/>
      <c r="M3964" s="990"/>
      <c r="N3964" s="990"/>
      <c r="O3964" s="990"/>
      <c r="P3964" s="990"/>
      <c r="Q3964" s="990"/>
      <c r="R3964" s="990"/>
      <c r="S3964" s="990"/>
      <c r="T3964" s="990"/>
      <c r="U3964" s="990"/>
      <c r="V3964" s="990"/>
      <c r="W3964" s="990"/>
      <c r="X3964" s="990"/>
    </row>
    <row r="3965" spans="1:24" s="896" customFormat="1">
      <c r="A3965" s="987">
        <f t="shared" si="62"/>
        <v>3891</v>
      </c>
      <c r="B3965" s="988">
        <v>6019</v>
      </c>
      <c r="C3965" s="899" t="s">
        <v>13291</v>
      </c>
      <c r="D3965" s="988" t="s">
        <v>2666</v>
      </c>
      <c r="E3965" s="989">
        <v>51.69</v>
      </c>
      <c r="F3965" s="990"/>
      <c r="G3965" s="990"/>
      <c r="H3965" s="990"/>
      <c r="I3965" s="990"/>
      <c r="J3965" s="990"/>
      <c r="K3965" s="990"/>
      <c r="L3965" s="990"/>
      <c r="M3965" s="990"/>
      <c r="N3965" s="990"/>
      <c r="O3965" s="990"/>
      <c r="P3965" s="990"/>
      <c r="Q3965" s="990"/>
      <c r="R3965" s="990"/>
      <c r="S3965" s="990"/>
      <c r="T3965" s="990"/>
      <c r="U3965" s="990"/>
      <c r="V3965" s="990"/>
      <c r="W3965" s="990"/>
      <c r="X3965" s="990"/>
    </row>
    <row r="3966" spans="1:24" s="896" customFormat="1">
      <c r="A3966" s="987">
        <f t="shared" si="62"/>
        <v>3892</v>
      </c>
      <c r="B3966" s="988">
        <v>6010</v>
      </c>
      <c r="C3966" s="899" t="s">
        <v>13292</v>
      </c>
      <c r="D3966" s="988" t="s">
        <v>2666</v>
      </c>
      <c r="E3966" s="989">
        <v>88.95</v>
      </c>
      <c r="F3966" s="990"/>
      <c r="G3966" s="990"/>
      <c r="H3966" s="990"/>
      <c r="I3966" s="990"/>
      <c r="J3966" s="990"/>
      <c r="K3966" s="990"/>
      <c r="L3966" s="990"/>
      <c r="M3966" s="990"/>
      <c r="N3966" s="990"/>
      <c r="O3966" s="990"/>
      <c r="P3966" s="990"/>
      <c r="Q3966" s="990"/>
      <c r="R3966" s="990"/>
      <c r="S3966" s="990"/>
      <c r="T3966" s="990"/>
      <c r="U3966" s="990"/>
      <c r="V3966" s="990"/>
      <c r="W3966" s="990"/>
      <c r="X3966" s="990"/>
    </row>
    <row r="3967" spans="1:24" s="896" customFormat="1">
      <c r="A3967" s="987">
        <f t="shared" si="62"/>
        <v>3893</v>
      </c>
      <c r="B3967" s="988">
        <v>6017</v>
      </c>
      <c r="C3967" s="899" t="s">
        <v>13293</v>
      </c>
      <c r="D3967" s="988" t="s">
        <v>2666</v>
      </c>
      <c r="E3967" s="989">
        <v>70.45</v>
      </c>
      <c r="F3967" s="990"/>
      <c r="G3967" s="990"/>
      <c r="H3967" s="990"/>
      <c r="I3967" s="990"/>
      <c r="J3967" s="990"/>
      <c r="K3967" s="990"/>
      <c r="L3967" s="990"/>
      <c r="M3967" s="990"/>
      <c r="N3967" s="990"/>
      <c r="O3967" s="990"/>
      <c r="P3967" s="990"/>
      <c r="Q3967" s="990"/>
      <c r="R3967" s="990"/>
      <c r="S3967" s="990"/>
      <c r="T3967" s="990"/>
      <c r="U3967" s="990"/>
      <c r="V3967" s="990"/>
      <c r="W3967" s="990"/>
      <c r="X3967" s="990"/>
    </row>
    <row r="3968" spans="1:24" s="896" customFormat="1">
      <c r="A3968" s="987">
        <f t="shared" si="62"/>
        <v>3894</v>
      </c>
      <c r="B3968" s="988">
        <v>6020</v>
      </c>
      <c r="C3968" s="899" t="s">
        <v>13294</v>
      </c>
      <c r="D3968" s="988" t="s">
        <v>2666</v>
      </c>
      <c r="E3968" s="989">
        <v>31.05</v>
      </c>
      <c r="F3968" s="990"/>
      <c r="G3968" s="990"/>
      <c r="H3968" s="990"/>
      <c r="I3968" s="990"/>
      <c r="J3968" s="990"/>
      <c r="K3968" s="990"/>
      <c r="L3968" s="990"/>
      <c r="M3968" s="990"/>
      <c r="N3968" s="990"/>
      <c r="O3968" s="990"/>
      <c r="P3968" s="990"/>
      <c r="Q3968" s="990"/>
      <c r="R3968" s="990"/>
      <c r="S3968" s="990"/>
      <c r="T3968" s="990"/>
      <c r="U3968" s="990"/>
      <c r="V3968" s="990"/>
      <c r="W3968" s="990"/>
      <c r="X3968" s="990"/>
    </row>
    <row r="3969" spans="1:24" s="896" customFormat="1">
      <c r="A3969" s="987">
        <f t="shared" si="62"/>
        <v>3895</v>
      </c>
      <c r="B3969" s="988">
        <v>6028</v>
      </c>
      <c r="C3969" s="899" t="s">
        <v>13295</v>
      </c>
      <c r="D3969" s="988" t="s">
        <v>2666</v>
      </c>
      <c r="E3969" s="989">
        <v>123.89</v>
      </c>
      <c r="F3969" s="990"/>
      <c r="G3969" s="990"/>
      <c r="H3969" s="990"/>
      <c r="I3969" s="990"/>
      <c r="J3969" s="990"/>
      <c r="K3969" s="990"/>
      <c r="L3969" s="990"/>
      <c r="M3969" s="990"/>
      <c r="N3969" s="990"/>
      <c r="O3969" s="990"/>
      <c r="P3969" s="990"/>
      <c r="Q3969" s="990"/>
      <c r="R3969" s="990"/>
      <c r="S3969" s="990"/>
      <c r="T3969" s="990"/>
      <c r="U3969" s="990"/>
      <c r="V3969" s="990"/>
      <c r="W3969" s="990"/>
      <c r="X3969" s="990"/>
    </row>
    <row r="3970" spans="1:24" s="896" customFormat="1">
      <c r="A3970" s="987">
        <f t="shared" si="62"/>
        <v>3896</v>
      </c>
      <c r="B3970" s="988">
        <v>6011</v>
      </c>
      <c r="C3970" s="899" t="s">
        <v>13296</v>
      </c>
      <c r="D3970" s="988" t="s">
        <v>2666</v>
      </c>
      <c r="E3970" s="989">
        <v>256.95</v>
      </c>
      <c r="F3970" s="990"/>
      <c r="G3970" s="990"/>
      <c r="H3970" s="990"/>
      <c r="I3970" s="990"/>
      <c r="J3970" s="990"/>
      <c r="K3970" s="990"/>
      <c r="L3970" s="990"/>
      <c r="M3970" s="990"/>
      <c r="N3970" s="990"/>
      <c r="O3970" s="990"/>
      <c r="P3970" s="990"/>
      <c r="Q3970" s="990"/>
      <c r="R3970" s="990"/>
      <c r="S3970" s="990"/>
      <c r="T3970" s="990"/>
      <c r="U3970" s="990"/>
      <c r="V3970" s="990"/>
      <c r="W3970" s="990"/>
      <c r="X3970" s="990"/>
    </row>
    <row r="3971" spans="1:24" s="896" customFormat="1">
      <c r="A3971" s="987">
        <f t="shared" si="62"/>
        <v>3897</v>
      </c>
      <c r="B3971" s="988">
        <v>6012</v>
      </c>
      <c r="C3971" s="899" t="s">
        <v>13297</v>
      </c>
      <c r="D3971" s="988" t="s">
        <v>2666</v>
      </c>
      <c r="E3971" s="989">
        <v>311.08</v>
      </c>
      <c r="F3971" s="990"/>
      <c r="G3971" s="990"/>
      <c r="H3971" s="990"/>
      <c r="I3971" s="990"/>
      <c r="J3971" s="990"/>
      <c r="K3971" s="990"/>
      <c r="L3971" s="990"/>
      <c r="M3971" s="990"/>
      <c r="N3971" s="990"/>
      <c r="O3971" s="990"/>
      <c r="P3971" s="990"/>
      <c r="Q3971" s="990"/>
      <c r="R3971" s="990"/>
      <c r="S3971" s="990"/>
      <c r="T3971" s="990"/>
      <c r="U3971" s="990"/>
      <c r="V3971" s="990"/>
      <c r="W3971" s="990"/>
      <c r="X3971" s="990"/>
    </row>
    <row r="3972" spans="1:24" s="896" customFormat="1">
      <c r="A3972" s="987">
        <f t="shared" si="62"/>
        <v>3898</v>
      </c>
      <c r="B3972" s="988">
        <v>6016</v>
      </c>
      <c r="C3972" s="899" t="s">
        <v>13298</v>
      </c>
      <c r="D3972" s="988" t="s">
        <v>2666</v>
      </c>
      <c r="E3972" s="989">
        <v>32.75</v>
      </c>
      <c r="F3972" s="990"/>
      <c r="G3972" s="990"/>
      <c r="H3972" s="990"/>
      <c r="I3972" s="990"/>
      <c r="J3972" s="990"/>
      <c r="K3972" s="990"/>
      <c r="L3972" s="990"/>
      <c r="M3972" s="990"/>
      <c r="N3972" s="990"/>
      <c r="O3972" s="990"/>
      <c r="P3972" s="990"/>
      <c r="Q3972" s="990"/>
      <c r="R3972" s="990"/>
      <c r="S3972" s="990"/>
      <c r="T3972" s="990"/>
      <c r="U3972" s="990"/>
      <c r="V3972" s="990"/>
      <c r="W3972" s="990"/>
      <c r="X3972" s="990"/>
    </row>
    <row r="3973" spans="1:24" s="896" customFormat="1">
      <c r="A3973" s="987">
        <f t="shared" si="62"/>
        <v>3899</v>
      </c>
      <c r="B3973" s="988">
        <v>6027</v>
      </c>
      <c r="C3973" s="899" t="s">
        <v>13299</v>
      </c>
      <c r="D3973" s="988" t="s">
        <v>2666</v>
      </c>
      <c r="E3973" s="989">
        <v>648.17999999999995</v>
      </c>
      <c r="F3973" s="990"/>
      <c r="G3973" s="990"/>
      <c r="H3973" s="990"/>
      <c r="I3973" s="990"/>
      <c r="J3973" s="990"/>
      <c r="K3973" s="990"/>
      <c r="L3973" s="990"/>
      <c r="M3973" s="990"/>
      <c r="N3973" s="990"/>
      <c r="O3973" s="990"/>
      <c r="P3973" s="990"/>
      <c r="Q3973" s="990"/>
      <c r="R3973" s="990"/>
      <c r="S3973" s="990"/>
      <c r="T3973" s="990"/>
      <c r="U3973" s="990"/>
      <c r="V3973" s="990"/>
      <c r="W3973" s="990"/>
      <c r="X3973" s="990"/>
    </row>
    <row r="3974" spans="1:24" s="896" customFormat="1" ht="25.5">
      <c r="A3974" s="987">
        <f t="shared" si="62"/>
        <v>3900</v>
      </c>
      <c r="B3974" s="988">
        <v>6013</v>
      </c>
      <c r="C3974" s="899" t="s">
        <v>13300</v>
      </c>
      <c r="D3974" s="988" t="s">
        <v>2666</v>
      </c>
      <c r="E3974" s="989">
        <v>97.81</v>
      </c>
      <c r="F3974" s="990"/>
      <c r="G3974" s="990"/>
      <c r="H3974" s="990"/>
      <c r="I3974" s="990"/>
      <c r="J3974" s="990"/>
      <c r="K3974" s="990"/>
      <c r="L3974" s="990"/>
      <c r="M3974" s="990"/>
      <c r="N3974" s="990"/>
      <c r="O3974" s="990"/>
      <c r="P3974" s="990"/>
      <c r="Q3974" s="990"/>
      <c r="R3974" s="990"/>
      <c r="S3974" s="990"/>
      <c r="T3974" s="990"/>
      <c r="U3974" s="990"/>
      <c r="V3974" s="990"/>
      <c r="W3974" s="990"/>
      <c r="X3974" s="990"/>
    </row>
    <row r="3975" spans="1:24" s="896" customFormat="1" ht="25.5">
      <c r="A3975" s="987">
        <f t="shared" si="62"/>
        <v>3901</v>
      </c>
      <c r="B3975" s="988">
        <v>6015</v>
      </c>
      <c r="C3975" s="899" t="s">
        <v>13301</v>
      </c>
      <c r="D3975" s="988" t="s">
        <v>2666</v>
      </c>
      <c r="E3975" s="989">
        <v>142.22999999999999</v>
      </c>
      <c r="F3975" s="990"/>
      <c r="G3975" s="990"/>
      <c r="H3975" s="990"/>
      <c r="I3975" s="990"/>
      <c r="J3975" s="990"/>
      <c r="K3975" s="990"/>
      <c r="L3975" s="990"/>
      <c r="M3975" s="990"/>
      <c r="N3975" s="990"/>
      <c r="O3975" s="990"/>
      <c r="P3975" s="990"/>
      <c r="Q3975" s="990"/>
      <c r="R3975" s="990"/>
      <c r="S3975" s="990"/>
      <c r="T3975" s="990"/>
      <c r="U3975" s="990"/>
      <c r="V3975" s="990"/>
      <c r="W3975" s="990"/>
      <c r="X3975" s="990"/>
    </row>
    <row r="3976" spans="1:24" s="896" customFormat="1" ht="25.5">
      <c r="A3976" s="987">
        <f t="shared" si="62"/>
        <v>3902</v>
      </c>
      <c r="B3976" s="988">
        <v>6014</v>
      </c>
      <c r="C3976" s="899" t="s">
        <v>13302</v>
      </c>
      <c r="D3976" s="988" t="s">
        <v>2666</v>
      </c>
      <c r="E3976" s="989">
        <v>135.99</v>
      </c>
      <c r="F3976" s="990"/>
      <c r="G3976" s="990"/>
      <c r="H3976" s="990"/>
      <c r="I3976" s="990"/>
      <c r="J3976" s="990"/>
      <c r="K3976" s="990"/>
      <c r="L3976" s="990"/>
      <c r="M3976" s="990"/>
      <c r="N3976" s="990"/>
      <c r="O3976" s="990"/>
      <c r="P3976" s="990"/>
      <c r="Q3976" s="990"/>
      <c r="R3976" s="990"/>
      <c r="S3976" s="990"/>
      <c r="T3976" s="990"/>
      <c r="U3976" s="990"/>
      <c r="V3976" s="990"/>
      <c r="W3976" s="990"/>
      <c r="X3976" s="990"/>
    </row>
    <row r="3977" spans="1:24" s="896" customFormat="1" ht="25.5">
      <c r="A3977" s="987">
        <f t="shared" si="62"/>
        <v>3903</v>
      </c>
      <c r="B3977" s="988">
        <v>6006</v>
      </c>
      <c r="C3977" s="899" t="s">
        <v>13303</v>
      </c>
      <c r="D3977" s="988" t="s">
        <v>2666</v>
      </c>
      <c r="E3977" s="989">
        <v>70.83</v>
      </c>
      <c r="F3977" s="990"/>
      <c r="G3977" s="990"/>
      <c r="H3977" s="990"/>
      <c r="I3977" s="990"/>
      <c r="J3977" s="990"/>
      <c r="K3977" s="990"/>
      <c r="L3977" s="990"/>
      <c r="M3977" s="990"/>
      <c r="N3977" s="990"/>
      <c r="O3977" s="990"/>
      <c r="P3977" s="990"/>
      <c r="Q3977" s="990"/>
      <c r="R3977" s="990"/>
      <c r="S3977" s="990"/>
      <c r="T3977" s="990"/>
      <c r="U3977" s="990"/>
      <c r="V3977" s="990"/>
      <c r="W3977" s="990"/>
      <c r="X3977" s="990"/>
    </row>
    <row r="3978" spans="1:24" s="896" customFormat="1" ht="25.5">
      <c r="A3978" s="987">
        <f t="shared" si="62"/>
        <v>3904</v>
      </c>
      <c r="B3978" s="988">
        <v>6005</v>
      </c>
      <c r="C3978" s="899" t="s">
        <v>13304</v>
      </c>
      <c r="D3978" s="988" t="s">
        <v>2666</v>
      </c>
      <c r="E3978" s="989">
        <v>79.900000000000006</v>
      </c>
      <c r="F3978" s="990"/>
      <c r="G3978" s="990"/>
      <c r="H3978" s="990"/>
      <c r="I3978" s="990"/>
      <c r="J3978" s="990"/>
      <c r="K3978" s="990"/>
      <c r="L3978" s="990"/>
      <c r="M3978" s="990"/>
      <c r="N3978" s="990"/>
      <c r="O3978" s="990"/>
      <c r="P3978" s="990"/>
      <c r="Q3978" s="990"/>
      <c r="R3978" s="990"/>
      <c r="S3978" s="990"/>
      <c r="T3978" s="990"/>
      <c r="U3978" s="990"/>
      <c r="V3978" s="990"/>
      <c r="W3978" s="990"/>
      <c r="X3978" s="990"/>
    </row>
    <row r="3979" spans="1:24" s="896" customFormat="1">
      <c r="A3979" s="987">
        <f t="shared" si="62"/>
        <v>3905</v>
      </c>
      <c r="B3979" s="988">
        <v>11756</v>
      </c>
      <c r="C3979" s="899" t="s">
        <v>13305</v>
      </c>
      <c r="D3979" s="988" t="s">
        <v>2666</v>
      </c>
      <c r="E3979" s="989">
        <v>38.159999999999997</v>
      </c>
      <c r="F3979" s="990"/>
      <c r="G3979" s="990"/>
      <c r="H3979" s="990"/>
      <c r="I3979" s="990"/>
      <c r="J3979" s="990"/>
      <c r="K3979" s="990"/>
      <c r="L3979" s="990"/>
      <c r="M3979" s="990"/>
      <c r="N3979" s="990"/>
      <c r="O3979" s="990"/>
      <c r="P3979" s="990"/>
      <c r="Q3979" s="990"/>
      <c r="R3979" s="990"/>
      <c r="S3979" s="990"/>
      <c r="T3979" s="990"/>
      <c r="U3979" s="990"/>
      <c r="V3979" s="990"/>
      <c r="W3979" s="990"/>
      <c r="X3979" s="990"/>
    </row>
    <row r="3980" spans="1:24" s="896" customFormat="1" ht="38.25">
      <c r="A3980" s="987">
        <f t="shared" ref="A3980:A4043" si="63">A3979+1</f>
        <v>3906</v>
      </c>
      <c r="B3980" s="988">
        <v>10904</v>
      </c>
      <c r="C3980" s="899" t="s">
        <v>13306</v>
      </c>
      <c r="D3980" s="988" t="s">
        <v>2666</v>
      </c>
      <c r="E3980" s="989">
        <v>228</v>
      </c>
      <c r="F3980" s="990"/>
      <c r="G3980" s="990"/>
      <c r="H3980" s="990"/>
      <c r="I3980" s="990"/>
      <c r="J3980" s="990"/>
      <c r="K3980" s="990"/>
      <c r="L3980" s="990"/>
      <c r="M3980" s="990"/>
      <c r="N3980" s="990"/>
      <c r="O3980" s="990"/>
      <c r="P3980" s="990"/>
      <c r="Q3980" s="990"/>
      <c r="R3980" s="990"/>
      <c r="S3980" s="990"/>
      <c r="T3980" s="990"/>
      <c r="U3980" s="990"/>
      <c r="V3980" s="990"/>
      <c r="W3980" s="990"/>
      <c r="X3980" s="990"/>
    </row>
    <row r="3981" spans="1:24" s="896" customFormat="1">
      <c r="A3981" s="987">
        <f t="shared" si="63"/>
        <v>3907</v>
      </c>
      <c r="B3981" s="988">
        <v>11752</v>
      </c>
      <c r="C3981" s="899" t="s">
        <v>13307</v>
      </c>
      <c r="D3981" s="988" t="s">
        <v>2666</v>
      </c>
      <c r="E3981" s="989">
        <v>22</v>
      </c>
      <c r="F3981" s="990"/>
      <c r="G3981" s="990"/>
      <c r="H3981" s="990"/>
      <c r="I3981" s="990"/>
      <c r="J3981" s="990"/>
      <c r="K3981" s="990"/>
      <c r="L3981" s="990"/>
      <c r="M3981" s="990"/>
      <c r="N3981" s="990"/>
      <c r="O3981" s="990"/>
      <c r="P3981" s="990"/>
      <c r="Q3981" s="990"/>
      <c r="R3981" s="990"/>
      <c r="S3981" s="990"/>
      <c r="T3981" s="990"/>
      <c r="U3981" s="990"/>
      <c r="V3981" s="990"/>
      <c r="W3981" s="990"/>
      <c r="X3981" s="990"/>
    </row>
    <row r="3982" spans="1:24" s="896" customFormat="1">
      <c r="A3982" s="987">
        <f t="shared" si="63"/>
        <v>3908</v>
      </c>
      <c r="B3982" s="988">
        <v>11753</v>
      </c>
      <c r="C3982" s="899" t="s">
        <v>13308</v>
      </c>
      <c r="D3982" s="988" t="s">
        <v>2666</v>
      </c>
      <c r="E3982" s="989">
        <v>26.27</v>
      </c>
      <c r="F3982" s="990"/>
      <c r="G3982" s="990"/>
      <c r="H3982" s="990"/>
      <c r="I3982" s="990"/>
      <c r="J3982" s="990"/>
      <c r="K3982" s="990"/>
      <c r="L3982" s="990"/>
      <c r="M3982" s="990"/>
      <c r="N3982" s="990"/>
      <c r="O3982" s="990"/>
      <c r="P3982" s="990"/>
      <c r="Q3982" s="990"/>
      <c r="R3982" s="990"/>
      <c r="S3982" s="990"/>
      <c r="T3982" s="990"/>
      <c r="U3982" s="990"/>
      <c r="V3982" s="990"/>
      <c r="W3982" s="990"/>
      <c r="X3982" s="990"/>
    </row>
    <row r="3983" spans="1:24" s="896" customFormat="1" ht="25.5">
      <c r="A3983" s="987">
        <f t="shared" si="63"/>
        <v>3909</v>
      </c>
      <c r="B3983" s="988">
        <v>6021</v>
      </c>
      <c r="C3983" s="899" t="s">
        <v>13309</v>
      </c>
      <c r="D3983" s="988" t="s">
        <v>2666</v>
      </c>
      <c r="E3983" s="989">
        <v>72.900000000000006</v>
      </c>
      <c r="F3983" s="990"/>
      <c r="G3983" s="990"/>
      <c r="H3983" s="990"/>
      <c r="I3983" s="990"/>
      <c r="J3983" s="990"/>
      <c r="K3983" s="990"/>
      <c r="L3983" s="990"/>
      <c r="M3983" s="990"/>
      <c r="N3983" s="990"/>
      <c r="O3983" s="990"/>
      <c r="P3983" s="990"/>
      <c r="Q3983" s="990"/>
      <c r="R3983" s="990"/>
      <c r="S3983" s="990"/>
      <c r="T3983" s="990"/>
      <c r="U3983" s="990"/>
      <c r="V3983" s="990"/>
      <c r="W3983" s="990"/>
      <c r="X3983" s="990"/>
    </row>
    <row r="3984" spans="1:24" s="896" customFormat="1" ht="25.5">
      <c r="A3984" s="987">
        <f t="shared" si="63"/>
        <v>3910</v>
      </c>
      <c r="B3984" s="988">
        <v>6024</v>
      </c>
      <c r="C3984" s="899" t="s">
        <v>13310</v>
      </c>
      <c r="D3984" s="988" t="s">
        <v>2666</v>
      </c>
      <c r="E3984" s="989">
        <v>75.36</v>
      </c>
      <c r="F3984" s="990"/>
      <c r="G3984" s="990"/>
      <c r="H3984" s="990"/>
      <c r="I3984" s="990"/>
      <c r="J3984" s="990"/>
      <c r="K3984" s="990"/>
      <c r="L3984" s="990"/>
      <c r="M3984" s="990"/>
      <c r="N3984" s="990"/>
      <c r="O3984" s="990"/>
      <c r="P3984" s="990"/>
      <c r="Q3984" s="990"/>
      <c r="R3984" s="990"/>
      <c r="S3984" s="990"/>
      <c r="T3984" s="990"/>
      <c r="U3984" s="990"/>
      <c r="V3984" s="990"/>
      <c r="W3984" s="990"/>
      <c r="X3984" s="990"/>
    </row>
    <row r="3985" spans="1:24" s="896" customFormat="1">
      <c r="A3985" s="987">
        <f t="shared" si="63"/>
        <v>3911</v>
      </c>
      <c r="B3985" s="988">
        <v>38379</v>
      </c>
      <c r="C3985" s="899" t="s">
        <v>13311</v>
      </c>
      <c r="D3985" s="988" t="s">
        <v>2669</v>
      </c>
      <c r="E3985" s="989">
        <v>45.69</v>
      </c>
      <c r="F3985" s="990"/>
      <c r="G3985" s="990"/>
      <c r="H3985" s="990"/>
      <c r="I3985" s="990"/>
      <c r="J3985" s="990"/>
      <c r="K3985" s="990"/>
      <c r="L3985" s="990"/>
      <c r="M3985" s="990"/>
      <c r="N3985" s="990"/>
      <c r="O3985" s="990"/>
      <c r="P3985" s="990"/>
      <c r="Q3985" s="990"/>
      <c r="R3985" s="990"/>
      <c r="S3985" s="990"/>
      <c r="T3985" s="990"/>
      <c r="U3985" s="990"/>
      <c r="V3985" s="990"/>
      <c r="W3985" s="990"/>
      <c r="X3985" s="990"/>
    </row>
    <row r="3986" spans="1:24" s="896" customFormat="1" ht="25.5">
      <c r="A3986" s="987">
        <f t="shared" si="63"/>
        <v>3912</v>
      </c>
      <c r="B3986" s="988">
        <v>13897</v>
      </c>
      <c r="C3986" s="899" t="s">
        <v>13312</v>
      </c>
      <c r="D3986" s="988" t="s">
        <v>2666</v>
      </c>
      <c r="E3986" s="989">
        <v>6517.88</v>
      </c>
      <c r="F3986" s="990"/>
      <c r="G3986" s="990"/>
      <c r="H3986" s="990"/>
      <c r="I3986" s="990"/>
      <c r="J3986" s="990"/>
      <c r="K3986" s="990"/>
      <c r="L3986" s="990"/>
      <c r="M3986" s="990"/>
      <c r="N3986" s="990"/>
      <c r="O3986" s="990"/>
      <c r="P3986" s="990"/>
      <c r="Q3986" s="990"/>
      <c r="R3986" s="990"/>
      <c r="S3986" s="990"/>
      <c r="T3986" s="990"/>
      <c r="U3986" s="990"/>
      <c r="V3986" s="990"/>
      <c r="W3986" s="990"/>
      <c r="X3986" s="990"/>
    </row>
    <row r="3987" spans="1:24" s="896" customFormat="1" ht="25.5">
      <c r="A3987" s="987">
        <f t="shared" si="63"/>
        <v>3913</v>
      </c>
      <c r="B3987" s="988">
        <v>10640</v>
      </c>
      <c r="C3987" s="899" t="s">
        <v>13313</v>
      </c>
      <c r="D3987" s="988" t="s">
        <v>2666</v>
      </c>
      <c r="E3987" s="989">
        <v>14116.35</v>
      </c>
      <c r="F3987" s="990"/>
      <c r="G3987" s="990"/>
      <c r="H3987" s="990"/>
      <c r="I3987" s="990"/>
      <c r="J3987" s="990"/>
      <c r="K3987" s="990"/>
      <c r="L3987" s="990"/>
      <c r="M3987" s="990"/>
      <c r="N3987" s="990"/>
      <c r="O3987" s="990"/>
      <c r="P3987" s="990"/>
      <c r="Q3987" s="990"/>
      <c r="R3987" s="990"/>
      <c r="S3987" s="990"/>
      <c r="T3987" s="990"/>
      <c r="U3987" s="990"/>
      <c r="V3987" s="990"/>
      <c r="W3987" s="990"/>
      <c r="X3987" s="990"/>
    </row>
    <row r="3988" spans="1:24" s="896" customFormat="1">
      <c r="A3988" s="987">
        <f t="shared" si="63"/>
        <v>3914</v>
      </c>
      <c r="B3988" s="988">
        <v>34357</v>
      </c>
      <c r="C3988" s="899" t="s">
        <v>13314</v>
      </c>
      <c r="D3988" s="988" t="s">
        <v>2670</v>
      </c>
      <c r="E3988" s="989">
        <v>4.1100000000000003</v>
      </c>
      <c r="F3988" s="990"/>
      <c r="G3988" s="990"/>
      <c r="H3988" s="990"/>
      <c r="I3988" s="990"/>
      <c r="J3988" s="990"/>
      <c r="K3988" s="990"/>
      <c r="L3988" s="990"/>
      <c r="M3988" s="990"/>
      <c r="N3988" s="990"/>
      <c r="O3988" s="990"/>
      <c r="P3988" s="990"/>
      <c r="Q3988" s="990"/>
      <c r="R3988" s="990"/>
      <c r="S3988" s="990"/>
      <c r="T3988" s="990"/>
      <c r="U3988" s="990"/>
      <c r="V3988" s="990"/>
      <c r="W3988" s="990"/>
      <c r="X3988" s="990"/>
    </row>
    <row r="3989" spans="1:24" s="896" customFormat="1">
      <c r="A3989" s="987">
        <f t="shared" si="63"/>
        <v>3915</v>
      </c>
      <c r="B3989" s="988">
        <v>37329</v>
      </c>
      <c r="C3989" s="899" t="s">
        <v>13315</v>
      </c>
      <c r="D3989" s="988" t="s">
        <v>2670</v>
      </c>
      <c r="E3989" s="989">
        <v>86.57</v>
      </c>
      <c r="F3989" s="990"/>
      <c r="G3989" s="990"/>
      <c r="H3989" s="990"/>
      <c r="I3989" s="990"/>
      <c r="J3989" s="990"/>
      <c r="K3989" s="990"/>
      <c r="L3989" s="990"/>
      <c r="M3989" s="990"/>
      <c r="N3989" s="990"/>
      <c r="O3989" s="990"/>
      <c r="P3989" s="990"/>
      <c r="Q3989" s="990"/>
      <c r="R3989" s="990"/>
      <c r="S3989" s="990"/>
      <c r="T3989" s="990"/>
      <c r="U3989" s="990"/>
      <c r="V3989" s="990"/>
      <c r="W3989" s="990"/>
      <c r="X3989" s="990"/>
    </row>
    <row r="3990" spans="1:24" s="896" customFormat="1">
      <c r="A3990" s="987">
        <f t="shared" si="63"/>
        <v>3916</v>
      </c>
      <c r="B3990" s="988">
        <v>2510</v>
      </c>
      <c r="C3990" s="899" t="s">
        <v>13316</v>
      </c>
      <c r="D3990" s="988" t="s">
        <v>2666</v>
      </c>
      <c r="E3990" s="989">
        <v>44.2</v>
      </c>
      <c r="F3990" s="990"/>
      <c r="G3990" s="990"/>
      <c r="H3990" s="990"/>
      <c r="I3990" s="990"/>
      <c r="J3990" s="990"/>
      <c r="K3990" s="990"/>
      <c r="L3990" s="990"/>
      <c r="M3990" s="990"/>
      <c r="N3990" s="990"/>
      <c r="O3990" s="990"/>
      <c r="P3990" s="990"/>
      <c r="Q3990" s="990"/>
      <c r="R3990" s="990"/>
      <c r="S3990" s="990"/>
      <c r="T3990" s="990"/>
      <c r="U3990" s="990"/>
      <c r="V3990" s="990"/>
      <c r="W3990" s="990"/>
      <c r="X3990" s="990"/>
    </row>
    <row r="3991" spans="1:24" s="896" customFormat="1" ht="25.5">
      <c r="A3991" s="987">
        <f t="shared" si="63"/>
        <v>3917</v>
      </c>
      <c r="B3991" s="988">
        <v>12359</v>
      </c>
      <c r="C3991" s="899" t="s">
        <v>13317</v>
      </c>
      <c r="D3991" s="988" t="s">
        <v>2666</v>
      </c>
      <c r="E3991" s="989">
        <v>132.07</v>
      </c>
      <c r="F3991" s="990"/>
      <c r="G3991" s="990"/>
      <c r="H3991" s="990"/>
      <c r="I3991" s="990"/>
      <c r="J3991" s="990"/>
      <c r="K3991" s="990"/>
      <c r="L3991" s="990"/>
      <c r="M3991" s="990"/>
      <c r="N3991" s="990"/>
      <c r="O3991" s="990"/>
      <c r="P3991" s="990"/>
      <c r="Q3991" s="990"/>
      <c r="R3991" s="990"/>
      <c r="S3991" s="990"/>
      <c r="T3991" s="990"/>
      <c r="U3991" s="990"/>
      <c r="V3991" s="990"/>
      <c r="W3991" s="990"/>
      <c r="X3991" s="990"/>
    </row>
    <row r="3992" spans="1:24" s="896" customFormat="1">
      <c r="A3992" s="987">
        <f t="shared" si="63"/>
        <v>3918</v>
      </c>
      <c r="B3992" s="988">
        <v>7353</v>
      </c>
      <c r="C3992" s="899" t="s">
        <v>13318</v>
      </c>
      <c r="D3992" s="988" t="s">
        <v>2671</v>
      </c>
      <c r="E3992" s="989">
        <v>29.1</v>
      </c>
      <c r="F3992" s="990"/>
      <c r="G3992" s="990"/>
      <c r="H3992" s="990"/>
      <c r="I3992" s="990"/>
      <c r="J3992" s="990"/>
      <c r="K3992" s="990"/>
      <c r="L3992" s="990"/>
      <c r="M3992" s="990"/>
      <c r="N3992" s="990"/>
      <c r="O3992" s="990"/>
      <c r="P3992" s="990"/>
      <c r="Q3992" s="990"/>
      <c r="R3992" s="990"/>
      <c r="S3992" s="990"/>
      <c r="T3992" s="990"/>
      <c r="U3992" s="990"/>
      <c r="V3992" s="990"/>
      <c r="W3992" s="990"/>
      <c r="X3992" s="990"/>
    </row>
    <row r="3993" spans="1:24" s="896" customFormat="1">
      <c r="A3993" s="987">
        <f t="shared" si="63"/>
        <v>3919</v>
      </c>
      <c r="B3993" s="988">
        <v>36144</v>
      </c>
      <c r="C3993" s="899" t="s">
        <v>13319</v>
      </c>
      <c r="D3993" s="988" t="s">
        <v>2666</v>
      </c>
      <c r="E3993" s="989">
        <v>2.2400000000000002</v>
      </c>
      <c r="F3993" s="990"/>
      <c r="G3993" s="990"/>
      <c r="H3993" s="990"/>
      <c r="I3993" s="990"/>
      <c r="J3993" s="990"/>
      <c r="K3993" s="990"/>
      <c r="L3993" s="990"/>
      <c r="M3993" s="990"/>
      <c r="N3993" s="990"/>
      <c r="O3993" s="990"/>
      <c r="P3993" s="990"/>
      <c r="Q3993" s="990"/>
      <c r="R3993" s="990"/>
      <c r="S3993" s="990"/>
      <c r="T3993" s="990"/>
      <c r="U3993" s="990"/>
      <c r="V3993" s="990"/>
      <c r="W3993" s="990"/>
      <c r="X3993" s="990"/>
    </row>
    <row r="3994" spans="1:24" s="896" customFormat="1">
      <c r="A3994" s="987">
        <f t="shared" si="63"/>
        <v>3920</v>
      </c>
      <c r="B3994" s="988">
        <v>10518</v>
      </c>
      <c r="C3994" s="899" t="s">
        <v>13320</v>
      </c>
      <c r="D3994" s="988" t="s">
        <v>2666</v>
      </c>
      <c r="E3994" s="989">
        <v>126.02</v>
      </c>
      <c r="F3994" s="990"/>
      <c r="G3994" s="990"/>
      <c r="H3994" s="990"/>
      <c r="I3994" s="990"/>
      <c r="J3994" s="990"/>
      <c r="K3994" s="990"/>
      <c r="L3994" s="990"/>
      <c r="M3994" s="990"/>
      <c r="N3994" s="990"/>
      <c r="O3994" s="990"/>
      <c r="P3994" s="990"/>
      <c r="Q3994" s="990"/>
      <c r="R3994" s="990"/>
      <c r="S3994" s="990"/>
      <c r="T3994" s="990"/>
      <c r="U3994" s="990"/>
      <c r="V3994" s="990"/>
      <c r="W3994" s="990"/>
      <c r="X3994" s="990"/>
    </row>
    <row r="3995" spans="1:24" s="896" customFormat="1" ht="51">
      <c r="A3995" s="987">
        <f t="shared" si="63"/>
        <v>3921</v>
      </c>
      <c r="B3995" s="988">
        <v>36530</v>
      </c>
      <c r="C3995" s="899" t="s">
        <v>13321</v>
      </c>
      <c r="D3995" s="988" t="s">
        <v>2666</v>
      </c>
      <c r="E3995" s="989">
        <v>444380.47</v>
      </c>
      <c r="F3995" s="990"/>
      <c r="G3995" s="990"/>
      <c r="H3995" s="990"/>
      <c r="I3995" s="990"/>
      <c r="J3995" s="990"/>
      <c r="K3995" s="990"/>
      <c r="L3995" s="990"/>
      <c r="M3995" s="990"/>
      <c r="N3995" s="990"/>
      <c r="O3995" s="990"/>
      <c r="P3995" s="990"/>
      <c r="Q3995" s="990"/>
      <c r="R3995" s="990"/>
      <c r="S3995" s="990"/>
      <c r="T3995" s="990"/>
      <c r="U3995" s="990"/>
      <c r="V3995" s="990"/>
      <c r="W3995" s="990"/>
      <c r="X3995" s="990"/>
    </row>
    <row r="3996" spans="1:24" s="896" customFormat="1" ht="51">
      <c r="A3996" s="987">
        <f t="shared" si="63"/>
        <v>3922</v>
      </c>
      <c r="B3996" s="988">
        <v>6046</v>
      </c>
      <c r="C3996" s="899" t="s">
        <v>13322</v>
      </c>
      <c r="D3996" s="988" t="s">
        <v>2666</v>
      </c>
      <c r="E3996" s="989">
        <v>482000</v>
      </c>
      <c r="F3996" s="990"/>
      <c r="G3996" s="990"/>
      <c r="H3996" s="990"/>
      <c r="I3996" s="990"/>
      <c r="J3996" s="990"/>
      <c r="K3996" s="990"/>
      <c r="L3996" s="990"/>
      <c r="M3996" s="990"/>
      <c r="N3996" s="990"/>
      <c r="O3996" s="990"/>
      <c r="P3996" s="990"/>
      <c r="Q3996" s="990"/>
      <c r="R3996" s="990"/>
      <c r="S3996" s="990"/>
      <c r="T3996" s="990"/>
      <c r="U3996" s="990"/>
      <c r="V3996" s="990"/>
      <c r="W3996" s="990"/>
      <c r="X3996" s="990"/>
    </row>
    <row r="3997" spans="1:24" s="896" customFormat="1" ht="51">
      <c r="A3997" s="987">
        <f t="shared" si="63"/>
        <v>3923</v>
      </c>
      <c r="B3997" s="988">
        <v>36531</v>
      </c>
      <c r="C3997" s="899" t="s">
        <v>13323</v>
      </c>
      <c r="D3997" s="988" t="s">
        <v>2666</v>
      </c>
      <c r="E3997" s="989">
        <v>499634.11</v>
      </c>
      <c r="F3997" s="990"/>
      <c r="G3997" s="990"/>
      <c r="H3997" s="990"/>
      <c r="I3997" s="990"/>
      <c r="J3997" s="990"/>
      <c r="K3997" s="990"/>
      <c r="L3997" s="990"/>
      <c r="M3997" s="990"/>
      <c r="N3997" s="990"/>
      <c r="O3997" s="990"/>
      <c r="P3997" s="990"/>
      <c r="Q3997" s="990"/>
      <c r="R3997" s="990"/>
      <c r="S3997" s="990"/>
      <c r="T3997" s="990"/>
      <c r="U3997" s="990"/>
      <c r="V3997" s="990"/>
      <c r="W3997" s="990"/>
      <c r="X3997" s="990"/>
    </row>
    <row r="3998" spans="1:24" s="896" customFormat="1" ht="25.5">
      <c r="A3998" s="987">
        <f t="shared" si="63"/>
        <v>3924</v>
      </c>
      <c r="B3998" s="988">
        <v>34684</v>
      </c>
      <c r="C3998" s="899" t="s">
        <v>13324</v>
      </c>
      <c r="D3998" s="988" t="s">
        <v>2667</v>
      </c>
      <c r="E3998" s="989">
        <v>221.14</v>
      </c>
      <c r="F3998" s="990"/>
      <c r="G3998" s="990"/>
      <c r="H3998" s="990"/>
      <c r="I3998" s="990"/>
      <c r="J3998" s="990"/>
      <c r="K3998" s="990"/>
      <c r="L3998" s="990"/>
      <c r="M3998" s="990"/>
      <c r="N3998" s="990"/>
      <c r="O3998" s="990"/>
      <c r="P3998" s="990"/>
      <c r="Q3998" s="990"/>
      <c r="R3998" s="990"/>
      <c r="S3998" s="990"/>
      <c r="T3998" s="990"/>
      <c r="U3998" s="990"/>
      <c r="V3998" s="990"/>
      <c r="W3998" s="990"/>
      <c r="X3998" s="990"/>
    </row>
    <row r="3999" spans="1:24" s="896" customFormat="1" ht="25.5">
      <c r="A3999" s="987">
        <f t="shared" si="63"/>
        <v>3925</v>
      </c>
      <c r="B3999" s="988">
        <v>34683</v>
      </c>
      <c r="C3999" s="899" t="s">
        <v>13325</v>
      </c>
      <c r="D3999" s="988" t="s">
        <v>2667</v>
      </c>
      <c r="E3999" s="989">
        <v>138.21</v>
      </c>
      <c r="F3999" s="990"/>
      <c r="G3999" s="990"/>
      <c r="H3999" s="990"/>
      <c r="I3999" s="990"/>
      <c r="J3999" s="990"/>
      <c r="K3999" s="990"/>
      <c r="L3999" s="990"/>
      <c r="M3999" s="990"/>
      <c r="N3999" s="990"/>
      <c r="O3999" s="990"/>
      <c r="P3999" s="990"/>
      <c r="Q3999" s="990"/>
      <c r="R3999" s="990"/>
      <c r="S3999" s="990"/>
      <c r="T3999" s="990"/>
      <c r="U3999" s="990"/>
      <c r="V3999" s="990"/>
      <c r="W3999" s="990"/>
      <c r="X3999" s="990"/>
    </row>
    <row r="4000" spans="1:24" s="896" customFormat="1" ht="25.5">
      <c r="A4000" s="987">
        <f t="shared" si="63"/>
        <v>3926</v>
      </c>
      <c r="B4000" s="988">
        <v>533</v>
      </c>
      <c r="C4000" s="899" t="s">
        <v>13326</v>
      </c>
      <c r="D4000" s="988" t="s">
        <v>2667</v>
      </c>
      <c r="E4000" s="989">
        <v>24.98</v>
      </c>
      <c r="F4000" s="990"/>
      <c r="G4000" s="990"/>
      <c r="H4000" s="990"/>
      <c r="I4000" s="990"/>
      <c r="J4000" s="990"/>
      <c r="K4000" s="990"/>
      <c r="L4000" s="990"/>
      <c r="M4000" s="990"/>
      <c r="N4000" s="990"/>
      <c r="O4000" s="990"/>
      <c r="P4000" s="990"/>
      <c r="Q4000" s="990"/>
      <c r="R4000" s="990"/>
      <c r="S4000" s="990"/>
      <c r="T4000" s="990"/>
      <c r="U4000" s="990"/>
      <c r="V4000" s="990"/>
      <c r="W4000" s="990"/>
      <c r="X4000" s="990"/>
    </row>
    <row r="4001" spans="1:24" s="896" customFormat="1" ht="25.5">
      <c r="A4001" s="987">
        <f t="shared" si="63"/>
        <v>3927</v>
      </c>
      <c r="B4001" s="988">
        <v>10515</v>
      </c>
      <c r="C4001" s="899" t="s">
        <v>13327</v>
      </c>
      <c r="D4001" s="988" t="s">
        <v>2667</v>
      </c>
      <c r="E4001" s="989">
        <v>47.12</v>
      </c>
      <c r="F4001" s="990"/>
      <c r="G4001" s="990"/>
      <c r="H4001" s="990"/>
      <c r="I4001" s="990"/>
      <c r="J4001" s="990"/>
      <c r="K4001" s="990"/>
      <c r="L4001" s="990"/>
      <c r="M4001" s="990"/>
      <c r="N4001" s="990"/>
      <c r="O4001" s="990"/>
      <c r="P4001" s="990"/>
      <c r="Q4001" s="990"/>
      <c r="R4001" s="990"/>
      <c r="S4001" s="990"/>
      <c r="T4001" s="990"/>
      <c r="U4001" s="990"/>
      <c r="V4001" s="990"/>
      <c r="W4001" s="990"/>
      <c r="X4001" s="990"/>
    </row>
    <row r="4002" spans="1:24" s="896" customFormat="1" ht="25.5">
      <c r="A4002" s="987">
        <f t="shared" si="63"/>
        <v>3928</v>
      </c>
      <c r="B4002" s="988">
        <v>536</v>
      </c>
      <c r="C4002" s="899" t="s">
        <v>13328</v>
      </c>
      <c r="D4002" s="988" t="s">
        <v>2667</v>
      </c>
      <c r="E4002" s="989">
        <v>34.090000000000003</v>
      </c>
      <c r="F4002" s="990"/>
      <c r="G4002" s="990"/>
      <c r="H4002" s="990"/>
      <c r="I4002" s="990"/>
      <c r="J4002" s="990"/>
      <c r="K4002" s="990"/>
      <c r="L4002" s="990"/>
      <c r="M4002" s="990"/>
      <c r="N4002" s="990"/>
      <c r="O4002" s="990"/>
      <c r="P4002" s="990"/>
      <c r="Q4002" s="990"/>
      <c r="R4002" s="990"/>
      <c r="S4002" s="990"/>
      <c r="T4002" s="990"/>
      <c r="U4002" s="990"/>
      <c r="V4002" s="990"/>
      <c r="W4002" s="990"/>
      <c r="X4002" s="990"/>
    </row>
    <row r="4003" spans="1:24" s="896" customFormat="1" ht="25.5">
      <c r="A4003" s="987">
        <f t="shared" si="63"/>
        <v>3929</v>
      </c>
      <c r="B4003" s="988">
        <v>153</v>
      </c>
      <c r="C4003" s="899" t="s">
        <v>13329</v>
      </c>
      <c r="D4003" s="988" t="s">
        <v>2671</v>
      </c>
      <c r="E4003" s="989">
        <v>92.12</v>
      </c>
      <c r="F4003" s="990"/>
      <c r="G4003" s="990"/>
      <c r="H4003" s="990"/>
      <c r="I4003" s="990"/>
      <c r="J4003" s="990"/>
      <c r="K4003" s="990"/>
      <c r="L4003" s="990"/>
      <c r="M4003" s="990"/>
      <c r="N4003" s="990"/>
      <c r="O4003" s="990"/>
      <c r="P4003" s="990"/>
      <c r="Q4003" s="990"/>
      <c r="R4003" s="990"/>
      <c r="S4003" s="990"/>
      <c r="T4003" s="990"/>
      <c r="U4003" s="990"/>
      <c r="V4003" s="990"/>
      <c r="W4003" s="990"/>
      <c r="X4003" s="990"/>
    </row>
    <row r="4004" spans="1:24" s="896" customFormat="1" ht="25.5">
      <c r="A4004" s="987">
        <f t="shared" si="63"/>
        <v>3930</v>
      </c>
      <c r="B4004" s="988">
        <v>34682</v>
      </c>
      <c r="C4004" s="899" t="s">
        <v>13330</v>
      </c>
      <c r="D4004" s="988" t="s">
        <v>2667</v>
      </c>
      <c r="E4004" s="989">
        <v>105.69</v>
      </c>
      <c r="F4004" s="990"/>
      <c r="G4004" s="990"/>
      <c r="H4004" s="990"/>
      <c r="I4004" s="990"/>
      <c r="J4004" s="990"/>
      <c r="K4004" s="990"/>
      <c r="L4004" s="990"/>
      <c r="M4004" s="990"/>
      <c r="N4004" s="990"/>
      <c r="O4004" s="990"/>
      <c r="P4004" s="990"/>
      <c r="Q4004" s="990"/>
      <c r="R4004" s="990"/>
      <c r="S4004" s="990"/>
      <c r="T4004" s="990"/>
      <c r="U4004" s="990"/>
      <c r="V4004" s="990"/>
      <c r="W4004" s="990"/>
      <c r="X4004" s="990"/>
    </row>
    <row r="4005" spans="1:24" s="896" customFormat="1" ht="25.5">
      <c r="A4005" s="987">
        <f t="shared" si="63"/>
        <v>3931</v>
      </c>
      <c r="B4005" s="988">
        <v>20205</v>
      </c>
      <c r="C4005" s="899" t="s">
        <v>13331</v>
      </c>
      <c r="D4005" s="988" t="s">
        <v>2669</v>
      </c>
      <c r="E4005" s="989">
        <v>4.4000000000000004</v>
      </c>
      <c r="F4005" s="990"/>
      <c r="G4005" s="990"/>
      <c r="H4005" s="990"/>
      <c r="I4005" s="990"/>
      <c r="J4005" s="990"/>
      <c r="K4005" s="990"/>
      <c r="L4005" s="990"/>
      <c r="M4005" s="990"/>
      <c r="N4005" s="990"/>
      <c r="O4005" s="990"/>
      <c r="P4005" s="990"/>
      <c r="Q4005" s="990"/>
      <c r="R4005" s="990"/>
      <c r="S4005" s="990"/>
      <c r="T4005" s="990"/>
      <c r="U4005" s="990"/>
      <c r="V4005" s="990"/>
      <c r="W4005" s="990"/>
      <c r="X4005" s="990"/>
    </row>
    <row r="4006" spans="1:24" s="896" customFormat="1" ht="25.5">
      <c r="A4006" s="987">
        <f t="shared" si="63"/>
        <v>3932</v>
      </c>
      <c r="B4006" s="988">
        <v>4412</v>
      </c>
      <c r="C4006" s="899" t="s">
        <v>13332</v>
      </c>
      <c r="D4006" s="988" t="s">
        <v>2669</v>
      </c>
      <c r="E4006" s="989">
        <v>2.64</v>
      </c>
      <c r="F4006" s="990"/>
      <c r="G4006" s="990"/>
      <c r="H4006" s="990"/>
      <c r="I4006" s="990"/>
      <c r="J4006" s="990"/>
      <c r="K4006" s="990"/>
      <c r="L4006" s="990"/>
      <c r="M4006" s="990"/>
      <c r="N4006" s="990"/>
      <c r="O4006" s="990"/>
      <c r="P4006" s="990"/>
      <c r="Q4006" s="990"/>
      <c r="R4006" s="990"/>
      <c r="S4006" s="990"/>
      <c r="T4006" s="990"/>
      <c r="U4006" s="990"/>
      <c r="V4006" s="990"/>
      <c r="W4006" s="990"/>
      <c r="X4006" s="990"/>
    </row>
    <row r="4007" spans="1:24" s="896" customFormat="1" ht="25.5">
      <c r="A4007" s="987">
        <f t="shared" si="63"/>
        <v>3933</v>
      </c>
      <c r="B4007" s="988">
        <v>4408</v>
      </c>
      <c r="C4007" s="899" t="s">
        <v>13333</v>
      </c>
      <c r="D4007" s="988" t="s">
        <v>2669</v>
      </c>
      <c r="E4007" s="989">
        <v>3.29</v>
      </c>
      <c r="F4007" s="990"/>
      <c r="G4007" s="990"/>
      <c r="H4007" s="990"/>
      <c r="I4007" s="990"/>
      <c r="J4007" s="990"/>
      <c r="K4007" s="990"/>
      <c r="L4007" s="990"/>
      <c r="M4007" s="990"/>
      <c r="N4007" s="990"/>
      <c r="O4007" s="990"/>
      <c r="P4007" s="990"/>
      <c r="Q4007" s="990"/>
      <c r="R4007" s="990"/>
      <c r="S4007" s="990"/>
      <c r="T4007" s="990"/>
      <c r="U4007" s="990"/>
      <c r="V4007" s="990"/>
      <c r="W4007" s="990"/>
      <c r="X4007" s="990"/>
    </row>
    <row r="4008" spans="1:24" s="896" customFormat="1">
      <c r="A4008" s="987">
        <f t="shared" si="63"/>
        <v>3934</v>
      </c>
      <c r="B4008" s="988">
        <v>36250</v>
      </c>
      <c r="C4008" s="899" t="s">
        <v>13334</v>
      </c>
      <c r="D4008" s="988" t="s">
        <v>2669</v>
      </c>
      <c r="E4008" s="989">
        <v>5.38</v>
      </c>
      <c r="F4008" s="990"/>
      <c r="G4008" s="990"/>
      <c r="H4008" s="990"/>
      <c r="I4008" s="990"/>
      <c r="J4008" s="990"/>
      <c r="K4008" s="990"/>
      <c r="L4008" s="990"/>
      <c r="M4008" s="990"/>
      <c r="N4008" s="990"/>
      <c r="O4008" s="990"/>
      <c r="P4008" s="990"/>
      <c r="Q4008" s="990"/>
      <c r="R4008" s="990"/>
      <c r="S4008" s="990"/>
      <c r="T4008" s="990"/>
      <c r="U4008" s="990"/>
      <c r="V4008" s="990"/>
      <c r="W4008" s="990"/>
      <c r="X4008" s="990"/>
    </row>
    <row r="4009" spans="1:24" s="896" customFormat="1">
      <c r="A4009" s="987">
        <f t="shared" si="63"/>
        <v>3935</v>
      </c>
      <c r="B4009" s="988">
        <v>10857</v>
      </c>
      <c r="C4009" s="899" t="s">
        <v>13335</v>
      </c>
      <c r="D4009" s="988" t="s">
        <v>2669</v>
      </c>
      <c r="E4009" s="989">
        <v>12.85</v>
      </c>
      <c r="F4009" s="990"/>
      <c r="G4009" s="990"/>
      <c r="H4009" s="990"/>
      <c r="I4009" s="990"/>
      <c r="J4009" s="990"/>
      <c r="K4009" s="990"/>
      <c r="L4009" s="990"/>
      <c r="M4009" s="990"/>
      <c r="N4009" s="990"/>
      <c r="O4009" s="990"/>
      <c r="P4009" s="990"/>
      <c r="Q4009" s="990"/>
      <c r="R4009" s="990"/>
      <c r="S4009" s="990"/>
      <c r="T4009" s="990"/>
      <c r="U4009" s="990"/>
      <c r="V4009" s="990"/>
      <c r="W4009" s="990"/>
      <c r="X4009" s="990"/>
    </row>
    <row r="4010" spans="1:24" s="896" customFormat="1">
      <c r="A4010" s="987">
        <f t="shared" si="63"/>
        <v>3936</v>
      </c>
      <c r="B4010" s="988">
        <v>4803</v>
      </c>
      <c r="C4010" s="899" t="s">
        <v>13336</v>
      </c>
      <c r="D4010" s="988" t="s">
        <v>2669</v>
      </c>
      <c r="E4010" s="989">
        <v>36.69</v>
      </c>
      <c r="F4010" s="990"/>
      <c r="G4010" s="990"/>
      <c r="H4010" s="990"/>
      <c r="I4010" s="990"/>
      <c r="J4010" s="990"/>
      <c r="K4010" s="990"/>
      <c r="L4010" s="990"/>
      <c r="M4010" s="990"/>
      <c r="N4010" s="990"/>
      <c r="O4010" s="990"/>
      <c r="P4010" s="990"/>
      <c r="Q4010" s="990"/>
      <c r="R4010" s="990"/>
      <c r="S4010" s="990"/>
      <c r="T4010" s="990"/>
      <c r="U4010" s="990"/>
      <c r="V4010" s="990"/>
      <c r="W4010" s="990"/>
      <c r="X4010" s="990"/>
    </row>
    <row r="4011" spans="1:24" s="896" customFormat="1" ht="25.5">
      <c r="A4011" s="987">
        <f t="shared" si="63"/>
        <v>3937</v>
      </c>
      <c r="B4011" s="988">
        <v>6186</v>
      </c>
      <c r="C4011" s="899" t="s">
        <v>13337</v>
      </c>
      <c r="D4011" s="988" t="s">
        <v>2669</v>
      </c>
      <c r="E4011" s="989">
        <v>12.22</v>
      </c>
      <c r="F4011" s="990"/>
      <c r="G4011" s="990"/>
      <c r="H4011" s="990"/>
      <c r="I4011" s="990"/>
      <c r="J4011" s="990"/>
      <c r="K4011" s="990"/>
      <c r="L4011" s="990"/>
      <c r="M4011" s="990"/>
      <c r="N4011" s="990"/>
      <c r="O4011" s="990"/>
      <c r="P4011" s="990"/>
      <c r="Q4011" s="990"/>
      <c r="R4011" s="990"/>
      <c r="S4011" s="990"/>
      <c r="T4011" s="990"/>
      <c r="U4011" s="990"/>
      <c r="V4011" s="990"/>
      <c r="W4011" s="990"/>
      <c r="X4011" s="990"/>
    </row>
    <row r="4012" spans="1:24" s="896" customFormat="1">
      <c r="A4012" s="987">
        <f t="shared" si="63"/>
        <v>3938</v>
      </c>
      <c r="B4012" s="988">
        <v>4829</v>
      </c>
      <c r="C4012" s="899" t="s">
        <v>13338</v>
      </c>
      <c r="D4012" s="988" t="s">
        <v>2669</v>
      </c>
      <c r="E4012" s="989">
        <v>68.930000000000007</v>
      </c>
      <c r="F4012" s="990"/>
      <c r="G4012" s="990"/>
      <c r="H4012" s="990"/>
      <c r="I4012" s="990"/>
      <c r="J4012" s="990"/>
      <c r="K4012" s="990"/>
      <c r="L4012" s="990"/>
      <c r="M4012" s="990"/>
      <c r="N4012" s="990"/>
      <c r="O4012" s="990"/>
      <c r="P4012" s="990"/>
      <c r="Q4012" s="990"/>
      <c r="R4012" s="990"/>
      <c r="S4012" s="990"/>
      <c r="T4012" s="990"/>
      <c r="U4012" s="990"/>
      <c r="V4012" s="990"/>
      <c r="W4012" s="990"/>
      <c r="X4012" s="990"/>
    </row>
    <row r="4013" spans="1:24" s="896" customFormat="1">
      <c r="A4013" s="987">
        <f t="shared" si="63"/>
        <v>3939</v>
      </c>
      <c r="B4013" s="988">
        <v>39829</v>
      </c>
      <c r="C4013" s="899" t="s">
        <v>13339</v>
      </c>
      <c r="D4013" s="988" t="s">
        <v>2669</v>
      </c>
      <c r="E4013" s="989">
        <v>29.33</v>
      </c>
      <c r="F4013" s="990"/>
      <c r="G4013" s="990"/>
      <c r="H4013" s="990"/>
      <c r="I4013" s="990"/>
      <c r="J4013" s="990"/>
      <c r="K4013" s="990"/>
      <c r="L4013" s="990"/>
      <c r="M4013" s="990"/>
      <c r="N4013" s="990"/>
      <c r="O4013" s="990"/>
      <c r="P4013" s="990"/>
      <c r="Q4013" s="990"/>
      <c r="R4013" s="990"/>
      <c r="S4013" s="990"/>
      <c r="T4013" s="990"/>
      <c r="U4013" s="990"/>
      <c r="V4013" s="990"/>
      <c r="W4013" s="990"/>
      <c r="X4013" s="990"/>
    </row>
    <row r="4014" spans="1:24" s="896" customFormat="1" ht="25.5">
      <c r="A4014" s="987">
        <f t="shared" si="63"/>
        <v>3940</v>
      </c>
      <c r="B4014" s="988">
        <v>20231</v>
      </c>
      <c r="C4014" s="899" t="s">
        <v>13340</v>
      </c>
      <c r="D4014" s="988" t="s">
        <v>2669</v>
      </c>
      <c r="E4014" s="989">
        <v>69.209999999999994</v>
      </c>
      <c r="F4014" s="990"/>
      <c r="G4014" s="990"/>
      <c r="H4014" s="990"/>
      <c r="I4014" s="990"/>
      <c r="J4014" s="990"/>
      <c r="K4014" s="990"/>
      <c r="L4014" s="990"/>
      <c r="M4014" s="990"/>
      <c r="N4014" s="990"/>
      <c r="O4014" s="990"/>
      <c r="P4014" s="990"/>
      <c r="Q4014" s="990"/>
      <c r="R4014" s="990"/>
      <c r="S4014" s="990"/>
      <c r="T4014" s="990"/>
      <c r="U4014" s="990"/>
      <c r="V4014" s="990"/>
      <c r="W4014" s="990"/>
      <c r="X4014" s="990"/>
    </row>
    <row r="4015" spans="1:24" s="896" customFormat="1">
      <c r="A4015" s="987">
        <f t="shared" si="63"/>
        <v>3941</v>
      </c>
      <c r="B4015" s="988">
        <v>4804</v>
      </c>
      <c r="C4015" s="899" t="s">
        <v>13341</v>
      </c>
      <c r="D4015" s="988" t="s">
        <v>2669</v>
      </c>
      <c r="E4015" s="989">
        <v>28.17</v>
      </c>
      <c r="F4015" s="990"/>
      <c r="G4015" s="990"/>
      <c r="H4015" s="990"/>
      <c r="I4015" s="990"/>
      <c r="J4015" s="990"/>
      <c r="K4015" s="990"/>
      <c r="L4015" s="990"/>
      <c r="M4015" s="990"/>
      <c r="N4015" s="990"/>
      <c r="O4015" s="990"/>
      <c r="P4015" s="990"/>
      <c r="Q4015" s="990"/>
      <c r="R4015" s="990"/>
      <c r="S4015" s="990"/>
      <c r="T4015" s="990"/>
      <c r="U4015" s="990"/>
      <c r="V4015" s="990"/>
      <c r="W4015" s="990"/>
      <c r="X4015" s="990"/>
    </row>
    <row r="4016" spans="1:24" s="896" customFormat="1">
      <c r="A4016" s="987">
        <f t="shared" si="63"/>
        <v>3942</v>
      </c>
      <c r="B4016" s="988">
        <v>34680</v>
      </c>
      <c r="C4016" s="899" t="s">
        <v>13342</v>
      </c>
      <c r="D4016" s="988" t="s">
        <v>2669</v>
      </c>
      <c r="E4016" s="989">
        <v>32.520000000000003</v>
      </c>
      <c r="F4016" s="990"/>
      <c r="G4016" s="990"/>
      <c r="H4016" s="990"/>
      <c r="I4016" s="990"/>
      <c r="J4016" s="990"/>
      <c r="K4016" s="990"/>
      <c r="L4016" s="990"/>
      <c r="M4016" s="990"/>
      <c r="N4016" s="990"/>
      <c r="O4016" s="990"/>
      <c r="P4016" s="990"/>
      <c r="Q4016" s="990"/>
      <c r="R4016" s="990"/>
      <c r="S4016" s="990"/>
      <c r="T4016" s="990"/>
      <c r="U4016" s="990"/>
      <c r="V4016" s="990"/>
      <c r="W4016" s="990"/>
      <c r="X4016" s="990"/>
    </row>
    <row r="4017" spans="1:24" s="896" customFormat="1" ht="25.5">
      <c r="A4017" s="987">
        <f t="shared" si="63"/>
        <v>3943</v>
      </c>
      <c r="B4017" s="988">
        <v>11573</v>
      </c>
      <c r="C4017" s="899" t="s">
        <v>13343</v>
      </c>
      <c r="D4017" s="988" t="s">
        <v>2666</v>
      </c>
      <c r="E4017" s="989">
        <v>5.81</v>
      </c>
      <c r="F4017" s="990"/>
      <c r="G4017" s="990"/>
      <c r="H4017" s="990"/>
      <c r="I4017" s="990"/>
      <c r="J4017" s="990"/>
      <c r="K4017" s="990"/>
      <c r="L4017" s="990"/>
      <c r="M4017" s="990"/>
      <c r="N4017" s="990"/>
      <c r="O4017" s="990"/>
      <c r="P4017" s="990"/>
      <c r="Q4017" s="990"/>
      <c r="R4017" s="990"/>
      <c r="S4017" s="990"/>
      <c r="T4017" s="990"/>
      <c r="U4017" s="990"/>
      <c r="V4017" s="990"/>
      <c r="W4017" s="990"/>
      <c r="X4017" s="990"/>
    </row>
    <row r="4018" spans="1:24" s="896" customFormat="1">
      <c r="A4018" s="987">
        <f t="shared" si="63"/>
        <v>3944</v>
      </c>
      <c r="B4018" s="988">
        <v>38401</v>
      </c>
      <c r="C4018" s="899" t="s">
        <v>13344</v>
      </c>
      <c r="D4018" s="988" t="s">
        <v>2666</v>
      </c>
      <c r="E4018" s="989">
        <v>14.4</v>
      </c>
      <c r="F4018" s="990"/>
      <c r="G4018" s="990"/>
      <c r="H4018" s="990"/>
      <c r="I4018" s="990"/>
      <c r="J4018" s="990"/>
      <c r="K4018" s="990"/>
      <c r="L4018" s="990"/>
      <c r="M4018" s="990"/>
      <c r="N4018" s="990"/>
      <c r="O4018" s="990"/>
      <c r="P4018" s="990"/>
      <c r="Q4018" s="990"/>
      <c r="R4018" s="990"/>
      <c r="S4018" s="990"/>
      <c r="T4018" s="990"/>
      <c r="U4018" s="990"/>
      <c r="V4018" s="990"/>
      <c r="W4018" s="990"/>
      <c r="X4018" s="990"/>
    </row>
    <row r="4019" spans="1:24" s="896" customFormat="1" ht="25.5">
      <c r="A4019" s="987">
        <f t="shared" si="63"/>
        <v>3945</v>
      </c>
      <c r="B4019" s="988">
        <v>11575</v>
      </c>
      <c r="C4019" s="899" t="s">
        <v>13345</v>
      </c>
      <c r="D4019" s="988" t="s">
        <v>2666</v>
      </c>
      <c r="E4019" s="989">
        <v>56.02</v>
      </c>
      <c r="F4019" s="990"/>
      <c r="G4019" s="990"/>
      <c r="H4019" s="990"/>
      <c r="I4019" s="990"/>
      <c r="J4019" s="990"/>
      <c r="K4019" s="990"/>
      <c r="L4019" s="990"/>
      <c r="M4019" s="990"/>
      <c r="N4019" s="990"/>
      <c r="O4019" s="990"/>
      <c r="P4019" s="990"/>
      <c r="Q4019" s="990"/>
      <c r="R4019" s="990"/>
      <c r="S4019" s="990"/>
      <c r="T4019" s="990"/>
      <c r="U4019" s="990"/>
      <c r="V4019" s="990"/>
      <c r="W4019" s="990"/>
      <c r="X4019" s="990"/>
    </row>
    <row r="4020" spans="1:24" s="896" customFormat="1" ht="25.5">
      <c r="A4020" s="987">
        <f t="shared" si="63"/>
        <v>3946</v>
      </c>
      <c r="B4020" s="988">
        <v>38179</v>
      </c>
      <c r="C4020" s="899" t="s">
        <v>13346</v>
      </c>
      <c r="D4020" s="988" t="s">
        <v>2666</v>
      </c>
      <c r="E4020" s="989">
        <v>46.32</v>
      </c>
      <c r="F4020" s="990"/>
      <c r="G4020" s="990"/>
      <c r="H4020" s="990"/>
      <c r="I4020" s="990"/>
      <c r="J4020" s="990"/>
      <c r="K4020" s="990"/>
      <c r="L4020" s="990"/>
      <c r="M4020" s="990"/>
      <c r="N4020" s="990"/>
      <c r="O4020" s="990"/>
      <c r="P4020" s="990"/>
      <c r="Q4020" s="990"/>
      <c r="R4020" s="990"/>
      <c r="S4020" s="990"/>
      <c r="T4020" s="990"/>
      <c r="U4020" s="990"/>
      <c r="V4020" s="990"/>
      <c r="W4020" s="990"/>
      <c r="X4020" s="990"/>
    </row>
    <row r="4021" spans="1:24" s="896" customFormat="1" ht="25.5">
      <c r="A4021" s="987">
        <f t="shared" si="63"/>
        <v>3947</v>
      </c>
      <c r="B4021" s="988">
        <v>20256</v>
      </c>
      <c r="C4021" s="899" t="s">
        <v>13347</v>
      </c>
      <c r="D4021" s="988" t="s">
        <v>2666</v>
      </c>
      <c r="E4021" s="989">
        <v>0.41</v>
      </c>
      <c r="F4021" s="990"/>
      <c r="G4021" s="990"/>
      <c r="H4021" s="990"/>
      <c r="I4021" s="990"/>
      <c r="J4021" s="990"/>
      <c r="K4021" s="990"/>
      <c r="L4021" s="990"/>
      <c r="M4021" s="990"/>
      <c r="N4021" s="990"/>
      <c r="O4021" s="990"/>
      <c r="P4021" s="990"/>
      <c r="Q4021" s="990"/>
      <c r="R4021" s="990"/>
      <c r="S4021" s="990"/>
      <c r="T4021" s="990"/>
      <c r="U4021" s="990"/>
      <c r="V4021" s="990"/>
      <c r="W4021" s="990"/>
      <c r="X4021" s="990"/>
    </row>
    <row r="4022" spans="1:24" s="896" customFormat="1" ht="25.5">
      <c r="A4022" s="987">
        <f t="shared" si="63"/>
        <v>3948</v>
      </c>
      <c r="B4022" s="988">
        <v>14511</v>
      </c>
      <c r="C4022" s="899" t="s">
        <v>13348</v>
      </c>
      <c r="D4022" s="988" t="s">
        <v>2666</v>
      </c>
      <c r="E4022" s="989">
        <v>930100.66</v>
      </c>
      <c r="F4022" s="990"/>
      <c r="G4022" s="990"/>
      <c r="H4022" s="990"/>
      <c r="I4022" s="990"/>
      <c r="J4022" s="990"/>
      <c r="K4022" s="990"/>
      <c r="L4022" s="990"/>
      <c r="M4022" s="990"/>
      <c r="N4022" s="990"/>
      <c r="O4022" s="990"/>
      <c r="P4022" s="990"/>
      <c r="Q4022" s="990"/>
      <c r="R4022" s="990"/>
      <c r="S4022" s="990"/>
      <c r="T4022" s="990"/>
      <c r="U4022" s="990"/>
      <c r="V4022" s="990"/>
      <c r="W4022" s="990"/>
      <c r="X4022" s="990"/>
    </row>
    <row r="4023" spans="1:24" s="896" customFormat="1" ht="25.5">
      <c r="A4023" s="987">
        <f t="shared" si="63"/>
        <v>3949</v>
      </c>
      <c r="B4023" s="988">
        <v>10642</v>
      </c>
      <c r="C4023" s="899" t="s">
        <v>13349</v>
      </c>
      <c r="D4023" s="988" t="s">
        <v>2666</v>
      </c>
      <c r="E4023" s="989">
        <v>876200</v>
      </c>
      <c r="F4023" s="990"/>
      <c r="G4023" s="990"/>
      <c r="H4023" s="990"/>
      <c r="I4023" s="990"/>
      <c r="J4023" s="990"/>
      <c r="K4023" s="990"/>
      <c r="L4023" s="990"/>
      <c r="M4023" s="990"/>
      <c r="N4023" s="990"/>
      <c r="O4023" s="990"/>
      <c r="P4023" s="990"/>
      <c r="Q4023" s="990"/>
      <c r="R4023" s="990"/>
      <c r="S4023" s="990"/>
      <c r="T4023" s="990"/>
      <c r="U4023" s="990"/>
      <c r="V4023" s="990"/>
      <c r="W4023" s="990"/>
      <c r="X4023" s="990"/>
    </row>
    <row r="4024" spans="1:24" s="896" customFormat="1" ht="38.25">
      <c r="A4024" s="987">
        <f t="shared" si="63"/>
        <v>3950</v>
      </c>
      <c r="B4024" s="988">
        <v>14489</v>
      </c>
      <c r="C4024" s="899" t="s">
        <v>13350</v>
      </c>
      <c r="D4024" s="988" t="s">
        <v>2666</v>
      </c>
      <c r="E4024" s="989">
        <v>777173.1</v>
      </c>
      <c r="F4024" s="990"/>
      <c r="G4024" s="990"/>
      <c r="H4024" s="990"/>
      <c r="I4024" s="990"/>
      <c r="J4024" s="990"/>
      <c r="K4024" s="990"/>
      <c r="L4024" s="990"/>
      <c r="M4024" s="990"/>
      <c r="N4024" s="990"/>
      <c r="O4024" s="990"/>
      <c r="P4024" s="990"/>
      <c r="Q4024" s="990"/>
      <c r="R4024" s="990"/>
      <c r="S4024" s="990"/>
      <c r="T4024" s="990"/>
      <c r="U4024" s="990"/>
      <c r="V4024" s="990"/>
      <c r="W4024" s="990"/>
      <c r="X4024" s="990"/>
    </row>
    <row r="4025" spans="1:24" s="896" customFormat="1" ht="25.5">
      <c r="A4025" s="987">
        <f t="shared" si="63"/>
        <v>3951</v>
      </c>
      <c r="B4025" s="988">
        <v>14513</v>
      </c>
      <c r="C4025" s="899" t="s">
        <v>13351</v>
      </c>
      <c r="D4025" s="988" t="s">
        <v>2666</v>
      </c>
      <c r="E4025" s="989">
        <v>582898.27</v>
      </c>
      <c r="F4025" s="990"/>
      <c r="G4025" s="990"/>
      <c r="H4025" s="990"/>
      <c r="I4025" s="990"/>
      <c r="J4025" s="990"/>
      <c r="K4025" s="990"/>
      <c r="L4025" s="990"/>
      <c r="M4025" s="990"/>
      <c r="N4025" s="990"/>
      <c r="O4025" s="990"/>
      <c r="P4025" s="990"/>
      <c r="Q4025" s="990"/>
      <c r="R4025" s="990"/>
      <c r="S4025" s="990"/>
      <c r="T4025" s="990"/>
      <c r="U4025" s="990"/>
      <c r="V4025" s="990"/>
      <c r="W4025" s="990"/>
      <c r="X4025" s="990"/>
    </row>
    <row r="4026" spans="1:24" s="896" customFormat="1" ht="38.25">
      <c r="A4026" s="987">
        <f t="shared" si="63"/>
        <v>3952</v>
      </c>
      <c r="B4026" s="988">
        <v>13600</v>
      </c>
      <c r="C4026" s="899" t="s">
        <v>13352</v>
      </c>
      <c r="D4026" s="988" t="s">
        <v>2666</v>
      </c>
      <c r="E4026" s="989">
        <v>752102.91</v>
      </c>
      <c r="F4026" s="990"/>
      <c r="G4026" s="990"/>
      <c r="H4026" s="990"/>
      <c r="I4026" s="990"/>
      <c r="J4026" s="990"/>
      <c r="K4026" s="990"/>
      <c r="L4026" s="990"/>
      <c r="M4026" s="990"/>
      <c r="N4026" s="990"/>
      <c r="O4026" s="990"/>
      <c r="P4026" s="990"/>
      <c r="Q4026" s="990"/>
      <c r="R4026" s="990"/>
      <c r="S4026" s="990"/>
      <c r="T4026" s="990"/>
      <c r="U4026" s="990"/>
      <c r="V4026" s="990"/>
      <c r="W4026" s="990"/>
      <c r="X4026" s="990"/>
    </row>
    <row r="4027" spans="1:24" s="896" customFormat="1" ht="38.25">
      <c r="A4027" s="987">
        <f t="shared" si="63"/>
        <v>3953</v>
      </c>
      <c r="B4027" s="988">
        <v>10646</v>
      </c>
      <c r="C4027" s="899" t="s">
        <v>13353</v>
      </c>
      <c r="D4027" s="988" t="s">
        <v>2666</v>
      </c>
      <c r="E4027" s="989">
        <v>560642.61</v>
      </c>
      <c r="F4027" s="990"/>
      <c r="G4027" s="990"/>
      <c r="H4027" s="990"/>
      <c r="I4027" s="990"/>
      <c r="J4027" s="990"/>
      <c r="K4027" s="990"/>
      <c r="L4027" s="990"/>
      <c r="M4027" s="990"/>
      <c r="N4027" s="990"/>
      <c r="O4027" s="990"/>
      <c r="P4027" s="990"/>
      <c r="Q4027" s="990"/>
      <c r="R4027" s="990"/>
      <c r="S4027" s="990"/>
      <c r="T4027" s="990"/>
      <c r="U4027" s="990"/>
      <c r="V4027" s="990"/>
      <c r="W4027" s="990"/>
      <c r="X4027" s="990"/>
    </row>
    <row r="4028" spans="1:24" s="896" customFormat="1" ht="25.5">
      <c r="A4028" s="987">
        <f t="shared" si="63"/>
        <v>3954</v>
      </c>
      <c r="B4028" s="988">
        <v>6070</v>
      </c>
      <c r="C4028" s="899" t="s">
        <v>13354</v>
      </c>
      <c r="D4028" s="988" t="s">
        <v>2666</v>
      </c>
      <c r="E4028" s="989">
        <v>766049.13</v>
      </c>
      <c r="F4028" s="990"/>
      <c r="G4028" s="990"/>
      <c r="H4028" s="990"/>
      <c r="I4028" s="990"/>
      <c r="J4028" s="990"/>
      <c r="K4028" s="990"/>
      <c r="L4028" s="990"/>
      <c r="M4028" s="990"/>
      <c r="N4028" s="990"/>
      <c r="O4028" s="990"/>
      <c r="P4028" s="990"/>
      <c r="Q4028" s="990"/>
      <c r="R4028" s="990"/>
      <c r="S4028" s="990"/>
      <c r="T4028" s="990"/>
      <c r="U4028" s="990"/>
      <c r="V4028" s="990"/>
      <c r="W4028" s="990"/>
      <c r="X4028" s="990"/>
    </row>
    <row r="4029" spans="1:24" s="896" customFormat="1" ht="38.25">
      <c r="A4029" s="987">
        <f t="shared" si="63"/>
        <v>3955</v>
      </c>
      <c r="B4029" s="988">
        <v>6069</v>
      </c>
      <c r="C4029" s="899" t="s">
        <v>13355</v>
      </c>
      <c r="D4029" s="988" t="s">
        <v>2666</v>
      </c>
      <c r="E4029" s="989">
        <v>169231.8</v>
      </c>
      <c r="F4029" s="990"/>
      <c r="G4029" s="990"/>
      <c r="H4029" s="990"/>
      <c r="I4029" s="990"/>
      <c r="J4029" s="990"/>
      <c r="K4029" s="990"/>
      <c r="L4029" s="990"/>
      <c r="M4029" s="990"/>
      <c r="N4029" s="990"/>
      <c r="O4029" s="990"/>
      <c r="P4029" s="990"/>
      <c r="Q4029" s="990"/>
      <c r="R4029" s="990"/>
      <c r="S4029" s="990"/>
      <c r="T4029" s="990"/>
      <c r="U4029" s="990"/>
      <c r="V4029" s="990"/>
      <c r="W4029" s="990"/>
      <c r="X4029" s="990"/>
    </row>
    <row r="4030" spans="1:24" s="896" customFormat="1" ht="25.5">
      <c r="A4030" s="987">
        <f t="shared" si="63"/>
        <v>3956</v>
      </c>
      <c r="B4030" s="988">
        <v>14626</v>
      </c>
      <c r="C4030" s="899" t="s">
        <v>13356</v>
      </c>
      <c r="D4030" s="988" t="s">
        <v>2666</v>
      </c>
      <c r="E4030" s="989">
        <v>838648.6</v>
      </c>
      <c r="F4030" s="990"/>
      <c r="G4030" s="990"/>
      <c r="H4030" s="990"/>
      <c r="I4030" s="990"/>
      <c r="J4030" s="990"/>
      <c r="K4030" s="990"/>
      <c r="L4030" s="990"/>
      <c r="M4030" s="990"/>
      <c r="N4030" s="990"/>
      <c r="O4030" s="990"/>
      <c r="P4030" s="990"/>
      <c r="Q4030" s="990"/>
      <c r="R4030" s="990"/>
      <c r="S4030" s="990"/>
      <c r="T4030" s="990"/>
      <c r="U4030" s="990"/>
      <c r="V4030" s="990"/>
      <c r="W4030" s="990"/>
      <c r="X4030" s="990"/>
    </row>
    <row r="4031" spans="1:24" s="896" customFormat="1" ht="25.5">
      <c r="A4031" s="987">
        <f t="shared" si="63"/>
        <v>3957</v>
      </c>
      <c r="B4031" s="988">
        <v>6067</v>
      </c>
      <c r="C4031" s="899" t="s">
        <v>13357</v>
      </c>
      <c r="D4031" s="988" t="s">
        <v>2666</v>
      </c>
      <c r="E4031" s="989">
        <v>688442.86</v>
      </c>
      <c r="F4031" s="990"/>
      <c r="G4031" s="990"/>
      <c r="H4031" s="990"/>
      <c r="I4031" s="990"/>
      <c r="J4031" s="990"/>
      <c r="K4031" s="990"/>
      <c r="L4031" s="990"/>
      <c r="M4031" s="990"/>
      <c r="N4031" s="990"/>
      <c r="O4031" s="990"/>
      <c r="P4031" s="990"/>
      <c r="Q4031" s="990"/>
      <c r="R4031" s="990"/>
      <c r="S4031" s="990"/>
      <c r="T4031" s="990"/>
      <c r="U4031" s="990"/>
      <c r="V4031" s="990"/>
      <c r="W4031" s="990"/>
      <c r="X4031" s="990"/>
    </row>
    <row r="4032" spans="1:24" s="896" customFormat="1">
      <c r="A4032" s="987">
        <f t="shared" si="63"/>
        <v>3958</v>
      </c>
      <c r="B4032" s="988">
        <v>38393</v>
      </c>
      <c r="C4032" s="899" t="s">
        <v>13358</v>
      </c>
      <c r="D4032" s="988" t="s">
        <v>2666</v>
      </c>
      <c r="E4032" s="989">
        <v>14</v>
      </c>
      <c r="F4032" s="990"/>
      <c r="G4032" s="990"/>
      <c r="H4032" s="990"/>
      <c r="I4032" s="990"/>
      <c r="J4032" s="990"/>
      <c r="K4032" s="990"/>
      <c r="L4032" s="990"/>
      <c r="M4032" s="990"/>
      <c r="N4032" s="990"/>
      <c r="O4032" s="990"/>
      <c r="P4032" s="990"/>
      <c r="Q4032" s="990"/>
      <c r="R4032" s="990"/>
      <c r="S4032" s="990"/>
      <c r="T4032" s="990"/>
      <c r="U4032" s="990"/>
      <c r="V4032" s="990"/>
      <c r="W4032" s="990"/>
      <c r="X4032" s="990"/>
    </row>
    <row r="4033" spans="1:24" s="896" customFormat="1">
      <c r="A4033" s="987">
        <f t="shared" si="63"/>
        <v>3959</v>
      </c>
      <c r="B4033" s="988">
        <v>38390</v>
      </c>
      <c r="C4033" s="899" t="s">
        <v>13359</v>
      </c>
      <c r="D4033" s="988" t="s">
        <v>2666</v>
      </c>
      <c r="E4033" s="989">
        <v>31.05</v>
      </c>
      <c r="F4033" s="990"/>
      <c r="G4033" s="990"/>
      <c r="H4033" s="990"/>
      <c r="I4033" s="990"/>
      <c r="J4033" s="990"/>
      <c r="K4033" s="990"/>
      <c r="L4033" s="990"/>
      <c r="M4033" s="990"/>
      <c r="N4033" s="990"/>
      <c r="O4033" s="990"/>
      <c r="P4033" s="990"/>
      <c r="Q4033" s="990"/>
      <c r="R4033" s="990"/>
      <c r="S4033" s="990"/>
      <c r="T4033" s="990"/>
      <c r="U4033" s="990"/>
      <c r="V4033" s="990"/>
      <c r="W4033" s="990"/>
      <c r="X4033" s="990"/>
    </row>
    <row r="4034" spans="1:24" s="896" customFormat="1">
      <c r="A4034" s="987">
        <f t="shared" si="63"/>
        <v>3960</v>
      </c>
      <c r="B4034" s="988">
        <v>36532</v>
      </c>
      <c r="C4034" s="899" t="s">
        <v>13360</v>
      </c>
      <c r="D4034" s="988" t="s">
        <v>2666</v>
      </c>
      <c r="E4034" s="989">
        <v>21566.43</v>
      </c>
      <c r="F4034" s="990"/>
      <c r="G4034" s="990"/>
      <c r="H4034" s="990"/>
      <c r="I4034" s="990"/>
      <c r="J4034" s="990"/>
      <c r="K4034" s="990"/>
      <c r="L4034" s="990"/>
      <c r="M4034" s="990"/>
      <c r="N4034" s="990"/>
      <c r="O4034" s="990"/>
      <c r="P4034" s="990"/>
      <c r="Q4034" s="990"/>
      <c r="R4034" s="990"/>
      <c r="S4034" s="990"/>
      <c r="T4034" s="990"/>
      <c r="U4034" s="990"/>
      <c r="V4034" s="990"/>
      <c r="W4034" s="990"/>
      <c r="X4034" s="990"/>
    </row>
    <row r="4035" spans="1:24" s="896" customFormat="1" ht="25.5">
      <c r="A4035" s="987">
        <f t="shared" si="63"/>
        <v>3961</v>
      </c>
      <c r="B4035" s="988">
        <v>11578</v>
      </c>
      <c r="C4035" s="899" t="s">
        <v>13361</v>
      </c>
      <c r="D4035" s="988" t="s">
        <v>2666</v>
      </c>
      <c r="E4035" s="989">
        <v>12.09</v>
      </c>
      <c r="F4035" s="990"/>
      <c r="G4035" s="990"/>
      <c r="H4035" s="990"/>
      <c r="I4035" s="990"/>
      <c r="J4035" s="990"/>
      <c r="K4035" s="990"/>
      <c r="L4035" s="990"/>
      <c r="M4035" s="990"/>
      <c r="N4035" s="990"/>
      <c r="O4035" s="990"/>
      <c r="P4035" s="990"/>
      <c r="Q4035" s="990"/>
      <c r="R4035" s="990"/>
      <c r="S4035" s="990"/>
      <c r="T4035" s="990"/>
      <c r="U4035" s="990"/>
      <c r="V4035" s="990"/>
      <c r="W4035" s="990"/>
      <c r="X4035" s="990"/>
    </row>
    <row r="4036" spans="1:24" s="896" customFormat="1" ht="25.5">
      <c r="A4036" s="987">
        <f t="shared" si="63"/>
        <v>3962</v>
      </c>
      <c r="B4036" s="988">
        <v>11577</v>
      </c>
      <c r="C4036" s="899" t="s">
        <v>13362</v>
      </c>
      <c r="D4036" s="988" t="s">
        <v>2666</v>
      </c>
      <c r="E4036" s="989">
        <v>11.54</v>
      </c>
      <c r="F4036" s="990"/>
      <c r="G4036" s="990"/>
      <c r="H4036" s="990"/>
      <c r="I4036" s="990"/>
      <c r="J4036" s="990"/>
      <c r="K4036" s="990"/>
      <c r="L4036" s="990"/>
      <c r="M4036" s="990"/>
      <c r="N4036" s="990"/>
      <c r="O4036" s="990"/>
      <c r="P4036" s="990"/>
      <c r="Q4036" s="990"/>
      <c r="R4036" s="990"/>
      <c r="S4036" s="990"/>
      <c r="T4036" s="990"/>
      <c r="U4036" s="990"/>
      <c r="V4036" s="990"/>
      <c r="W4036" s="990"/>
      <c r="X4036" s="990"/>
    </row>
    <row r="4037" spans="1:24" s="896" customFormat="1" ht="38.25">
      <c r="A4037" s="987">
        <f t="shared" si="63"/>
        <v>3963</v>
      </c>
      <c r="B4037" s="988">
        <v>42432</v>
      </c>
      <c r="C4037" s="899" t="s">
        <v>13363</v>
      </c>
      <c r="D4037" s="988" t="s">
        <v>2666</v>
      </c>
      <c r="E4037" s="989">
        <v>2403.2800000000002</v>
      </c>
      <c r="F4037" s="990"/>
      <c r="G4037" s="990"/>
      <c r="H4037" s="990"/>
      <c r="I4037" s="990"/>
      <c r="J4037" s="990"/>
      <c r="K4037" s="990"/>
      <c r="L4037" s="990"/>
      <c r="M4037" s="990"/>
      <c r="N4037" s="990"/>
      <c r="O4037" s="990"/>
      <c r="P4037" s="990"/>
      <c r="Q4037" s="990"/>
      <c r="R4037" s="990"/>
      <c r="S4037" s="990"/>
      <c r="T4037" s="990"/>
      <c r="U4037" s="990"/>
      <c r="V4037" s="990"/>
      <c r="W4037" s="990"/>
      <c r="X4037" s="990"/>
    </row>
    <row r="4038" spans="1:24" s="896" customFormat="1" ht="38.25">
      <c r="A4038" s="987">
        <f t="shared" si="63"/>
        <v>3964</v>
      </c>
      <c r="B4038" s="988">
        <v>42437</v>
      </c>
      <c r="C4038" s="899" t="s">
        <v>13364</v>
      </c>
      <c r="D4038" s="988" t="s">
        <v>2666</v>
      </c>
      <c r="E4038" s="989">
        <v>1827.13</v>
      </c>
      <c r="F4038" s="990"/>
      <c r="G4038" s="990"/>
      <c r="H4038" s="990"/>
      <c r="I4038" s="990"/>
      <c r="J4038" s="990"/>
      <c r="K4038" s="990"/>
      <c r="L4038" s="990"/>
      <c r="M4038" s="990"/>
      <c r="N4038" s="990"/>
      <c r="O4038" s="990"/>
      <c r="P4038" s="990"/>
      <c r="Q4038" s="990"/>
      <c r="R4038" s="990"/>
      <c r="S4038" s="990"/>
      <c r="T4038" s="990"/>
      <c r="U4038" s="990"/>
      <c r="V4038" s="990"/>
      <c r="W4038" s="990"/>
      <c r="X4038" s="990"/>
    </row>
    <row r="4039" spans="1:24" s="896" customFormat="1">
      <c r="A4039" s="987">
        <f t="shared" si="63"/>
        <v>3965</v>
      </c>
      <c r="B4039" s="988">
        <v>1116</v>
      </c>
      <c r="C4039" s="899" t="s">
        <v>13365</v>
      </c>
      <c r="D4039" s="988" t="s">
        <v>2669</v>
      </c>
      <c r="E4039" s="989">
        <v>26.27</v>
      </c>
      <c r="F4039" s="990"/>
      <c r="G4039" s="990"/>
      <c r="H4039" s="990"/>
      <c r="I4039" s="990"/>
      <c r="J4039" s="990"/>
      <c r="K4039" s="990"/>
      <c r="L4039" s="990"/>
      <c r="M4039" s="990"/>
      <c r="N4039" s="990"/>
      <c r="O4039" s="990"/>
      <c r="P4039" s="990"/>
      <c r="Q4039" s="990"/>
      <c r="R4039" s="990"/>
      <c r="S4039" s="990"/>
      <c r="T4039" s="990"/>
      <c r="U4039" s="990"/>
      <c r="V4039" s="990"/>
      <c r="W4039" s="990"/>
      <c r="X4039" s="990"/>
    </row>
    <row r="4040" spans="1:24" s="896" customFormat="1">
      <c r="A4040" s="987">
        <f t="shared" si="63"/>
        <v>3966</v>
      </c>
      <c r="B4040" s="988">
        <v>1115</v>
      </c>
      <c r="C4040" s="899" t="s">
        <v>13366</v>
      </c>
      <c r="D4040" s="988" t="s">
        <v>2669</v>
      </c>
      <c r="E4040" s="989">
        <v>31.48</v>
      </c>
      <c r="F4040" s="990"/>
      <c r="G4040" s="990"/>
      <c r="H4040" s="990"/>
      <c r="I4040" s="990"/>
      <c r="J4040" s="990"/>
      <c r="K4040" s="990"/>
      <c r="L4040" s="990"/>
      <c r="M4040" s="990"/>
      <c r="N4040" s="990"/>
      <c r="O4040" s="990"/>
      <c r="P4040" s="990"/>
      <c r="Q4040" s="990"/>
      <c r="R4040" s="990"/>
      <c r="S4040" s="990"/>
      <c r="T4040" s="990"/>
      <c r="U4040" s="990"/>
      <c r="V4040" s="990"/>
      <c r="W4040" s="990"/>
      <c r="X4040" s="990"/>
    </row>
    <row r="4041" spans="1:24" s="896" customFormat="1">
      <c r="A4041" s="987">
        <f t="shared" si="63"/>
        <v>3967</v>
      </c>
      <c r="B4041" s="988">
        <v>1113</v>
      </c>
      <c r="C4041" s="899" t="s">
        <v>13367</v>
      </c>
      <c r="D4041" s="988" t="s">
        <v>2669</v>
      </c>
      <c r="E4041" s="989">
        <v>36.799999999999997</v>
      </c>
      <c r="F4041" s="990"/>
      <c r="G4041" s="990"/>
      <c r="H4041" s="990"/>
      <c r="I4041" s="990"/>
      <c r="J4041" s="990"/>
      <c r="K4041" s="990"/>
      <c r="L4041" s="990"/>
      <c r="M4041" s="990"/>
      <c r="N4041" s="990"/>
      <c r="O4041" s="990"/>
      <c r="P4041" s="990"/>
      <c r="Q4041" s="990"/>
      <c r="R4041" s="990"/>
      <c r="S4041" s="990"/>
      <c r="T4041" s="990"/>
      <c r="U4041" s="990"/>
      <c r="V4041" s="990"/>
      <c r="W4041" s="990"/>
      <c r="X4041" s="990"/>
    </row>
    <row r="4042" spans="1:24" s="896" customFormat="1">
      <c r="A4042" s="987">
        <f t="shared" si="63"/>
        <v>3968</v>
      </c>
      <c r="B4042" s="988">
        <v>1114</v>
      </c>
      <c r="C4042" s="899" t="s">
        <v>13368</v>
      </c>
      <c r="D4042" s="988" t="s">
        <v>2669</v>
      </c>
      <c r="E4042" s="989">
        <v>43.84</v>
      </c>
      <c r="F4042" s="990"/>
      <c r="G4042" s="990"/>
      <c r="H4042" s="990"/>
      <c r="I4042" s="990"/>
      <c r="J4042" s="990"/>
      <c r="K4042" s="990"/>
      <c r="L4042" s="990"/>
      <c r="M4042" s="990"/>
      <c r="N4042" s="990"/>
      <c r="O4042" s="990"/>
      <c r="P4042" s="990"/>
      <c r="Q4042" s="990"/>
      <c r="R4042" s="990"/>
      <c r="S4042" s="990"/>
      <c r="T4042" s="990"/>
      <c r="U4042" s="990"/>
      <c r="V4042" s="990"/>
      <c r="W4042" s="990"/>
      <c r="X4042" s="990"/>
    </row>
    <row r="4043" spans="1:24" s="896" customFormat="1">
      <c r="A4043" s="987">
        <f t="shared" si="63"/>
        <v>3969</v>
      </c>
      <c r="B4043" s="988">
        <v>40873</v>
      </c>
      <c r="C4043" s="899" t="s">
        <v>13369</v>
      </c>
      <c r="D4043" s="988" t="s">
        <v>2669</v>
      </c>
      <c r="E4043" s="989">
        <v>34.31</v>
      </c>
      <c r="F4043" s="990"/>
      <c r="G4043" s="990"/>
      <c r="H4043" s="990"/>
      <c r="I4043" s="990"/>
      <c r="J4043" s="990"/>
      <c r="K4043" s="990"/>
      <c r="L4043" s="990"/>
      <c r="M4043" s="990"/>
      <c r="N4043" s="990"/>
      <c r="O4043" s="990"/>
      <c r="P4043" s="990"/>
      <c r="Q4043" s="990"/>
      <c r="R4043" s="990"/>
      <c r="S4043" s="990"/>
      <c r="T4043" s="990"/>
      <c r="U4043" s="990"/>
      <c r="V4043" s="990"/>
      <c r="W4043" s="990"/>
      <c r="X4043" s="990"/>
    </row>
    <row r="4044" spans="1:24" s="896" customFormat="1">
      <c r="A4044" s="987">
        <f t="shared" ref="A4044:A4107" si="64">A4043+1</f>
        <v>3970</v>
      </c>
      <c r="B4044" s="988">
        <v>20214</v>
      </c>
      <c r="C4044" s="899" t="s">
        <v>13370</v>
      </c>
      <c r="D4044" s="988" t="s">
        <v>2666</v>
      </c>
      <c r="E4044" s="989">
        <v>57.89</v>
      </c>
      <c r="F4044" s="990"/>
      <c r="G4044" s="990"/>
      <c r="H4044" s="990"/>
      <c r="I4044" s="990"/>
      <c r="J4044" s="990"/>
      <c r="K4044" s="990"/>
      <c r="L4044" s="990"/>
      <c r="M4044" s="990"/>
      <c r="N4044" s="990"/>
      <c r="O4044" s="990"/>
      <c r="P4044" s="990"/>
      <c r="Q4044" s="990"/>
      <c r="R4044" s="990"/>
      <c r="S4044" s="990"/>
      <c r="T4044" s="990"/>
      <c r="U4044" s="990"/>
      <c r="V4044" s="990"/>
      <c r="W4044" s="990"/>
      <c r="X4044" s="990"/>
    </row>
    <row r="4045" spans="1:24" s="896" customFormat="1" ht="25.5">
      <c r="A4045" s="987">
        <f t="shared" si="64"/>
        <v>3971</v>
      </c>
      <c r="B4045" s="988">
        <v>7237</v>
      </c>
      <c r="C4045" s="899" t="s">
        <v>13371</v>
      </c>
      <c r="D4045" s="988" t="s">
        <v>2666</v>
      </c>
      <c r="E4045" s="989">
        <v>56.68</v>
      </c>
      <c r="F4045" s="990"/>
      <c r="G4045" s="990"/>
      <c r="H4045" s="990"/>
      <c r="I4045" s="990"/>
      <c r="J4045" s="990"/>
      <c r="K4045" s="990"/>
      <c r="L4045" s="990"/>
      <c r="M4045" s="990"/>
      <c r="N4045" s="990"/>
      <c r="O4045" s="990"/>
      <c r="P4045" s="990"/>
      <c r="Q4045" s="990"/>
      <c r="R4045" s="990"/>
      <c r="S4045" s="990"/>
      <c r="T4045" s="990"/>
      <c r="U4045" s="990"/>
      <c r="V4045" s="990"/>
      <c r="W4045" s="990"/>
      <c r="X4045" s="990"/>
    </row>
    <row r="4046" spans="1:24" s="896" customFormat="1">
      <c r="A4046" s="987">
        <f t="shared" si="64"/>
        <v>3972</v>
      </c>
      <c r="B4046" s="988">
        <v>11757</v>
      </c>
      <c r="C4046" s="899" t="s">
        <v>13372</v>
      </c>
      <c r="D4046" s="988" t="s">
        <v>2666</v>
      </c>
      <c r="E4046" s="989">
        <v>58.04</v>
      </c>
      <c r="F4046" s="990"/>
      <c r="G4046" s="990"/>
      <c r="H4046" s="990"/>
      <c r="I4046" s="990"/>
      <c r="J4046" s="990"/>
      <c r="K4046" s="990"/>
      <c r="L4046" s="990"/>
      <c r="M4046" s="990"/>
      <c r="N4046" s="990"/>
      <c r="O4046" s="990"/>
      <c r="P4046" s="990"/>
      <c r="Q4046" s="990"/>
      <c r="R4046" s="990"/>
      <c r="S4046" s="990"/>
      <c r="T4046" s="990"/>
      <c r="U4046" s="990"/>
      <c r="V4046" s="990"/>
      <c r="W4046" s="990"/>
      <c r="X4046" s="990"/>
    </row>
    <row r="4047" spans="1:24" s="896" customFormat="1" ht="25.5">
      <c r="A4047" s="987">
        <f t="shared" si="64"/>
        <v>3973</v>
      </c>
      <c r="B4047" s="988">
        <v>11758</v>
      </c>
      <c r="C4047" s="899" t="s">
        <v>13373</v>
      </c>
      <c r="D4047" s="988" t="s">
        <v>2666</v>
      </c>
      <c r="E4047" s="989">
        <v>42.4</v>
      </c>
      <c r="F4047" s="990"/>
      <c r="G4047" s="990"/>
      <c r="H4047" s="990"/>
      <c r="I4047" s="990"/>
      <c r="J4047" s="990"/>
      <c r="K4047" s="990"/>
      <c r="L4047" s="990"/>
      <c r="M4047" s="990"/>
      <c r="N4047" s="990"/>
      <c r="O4047" s="990"/>
      <c r="P4047" s="990"/>
      <c r="Q4047" s="990"/>
      <c r="R4047" s="990"/>
      <c r="S4047" s="990"/>
      <c r="T4047" s="990"/>
      <c r="U4047" s="990"/>
      <c r="V4047" s="990"/>
      <c r="W4047" s="990"/>
      <c r="X4047" s="990"/>
    </row>
    <row r="4048" spans="1:24" s="896" customFormat="1">
      <c r="A4048" s="987">
        <f t="shared" si="64"/>
        <v>3974</v>
      </c>
      <c r="B4048" s="988">
        <v>37526</v>
      </c>
      <c r="C4048" s="899" t="s">
        <v>13374</v>
      </c>
      <c r="D4048" s="988" t="s">
        <v>2666</v>
      </c>
      <c r="E4048" s="989">
        <v>3.49</v>
      </c>
      <c r="F4048" s="990"/>
      <c r="G4048" s="990"/>
      <c r="H4048" s="990"/>
      <c r="I4048" s="990"/>
      <c r="J4048" s="990"/>
      <c r="K4048" s="990"/>
      <c r="L4048" s="990"/>
      <c r="M4048" s="990"/>
      <c r="N4048" s="990"/>
      <c r="O4048" s="990"/>
      <c r="P4048" s="990"/>
      <c r="Q4048" s="990"/>
      <c r="R4048" s="990"/>
      <c r="S4048" s="990"/>
      <c r="T4048" s="990"/>
      <c r="U4048" s="990"/>
      <c r="V4048" s="990"/>
      <c r="W4048" s="990"/>
      <c r="X4048" s="990"/>
    </row>
    <row r="4049" spans="1:24" s="896" customFormat="1">
      <c r="A4049" s="987">
        <f t="shared" si="64"/>
        <v>3975</v>
      </c>
      <c r="B4049" s="988">
        <v>6076</v>
      </c>
      <c r="C4049" s="899" t="s">
        <v>13375</v>
      </c>
      <c r="D4049" s="988" t="s">
        <v>2668</v>
      </c>
      <c r="E4049" s="989">
        <v>60</v>
      </c>
      <c r="F4049" s="990"/>
      <c r="G4049" s="990"/>
      <c r="H4049" s="990"/>
      <c r="I4049" s="990"/>
      <c r="J4049" s="990"/>
      <c r="K4049" s="990"/>
      <c r="L4049" s="990"/>
      <c r="M4049" s="990"/>
      <c r="N4049" s="990"/>
      <c r="O4049" s="990"/>
      <c r="P4049" s="990"/>
      <c r="Q4049" s="990"/>
      <c r="R4049" s="990"/>
      <c r="S4049" s="990"/>
      <c r="T4049" s="990"/>
      <c r="U4049" s="990"/>
      <c r="V4049" s="990"/>
      <c r="W4049" s="990"/>
      <c r="X4049" s="990"/>
    </row>
    <row r="4050" spans="1:24" s="896" customFormat="1">
      <c r="A4050" s="987">
        <f t="shared" si="64"/>
        <v>3976</v>
      </c>
      <c r="B4050" s="988">
        <v>13109</v>
      </c>
      <c r="C4050" s="899" t="s">
        <v>13376</v>
      </c>
      <c r="D4050" s="988" t="s">
        <v>2666</v>
      </c>
      <c r="E4050" s="989">
        <v>357.58</v>
      </c>
      <c r="F4050" s="990"/>
      <c r="G4050" s="990"/>
      <c r="H4050" s="990"/>
      <c r="I4050" s="990"/>
      <c r="J4050" s="990"/>
      <c r="K4050" s="990"/>
      <c r="L4050" s="990"/>
      <c r="M4050" s="990"/>
      <c r="N4050" s="990"/>
      <c r="O4050" s="990"/>
      <c r="P4050" s="990"/>
      <c r="Q4050" s="990"/>
      <c r="R4050" s="990"/>
      <c r="S4050" s="990"/>
      <c r="T4050" s="990"/>
      <c r="U4050" s="990"/>
      <c r="V4050" s="990"/>
      <c r="W4050" s="990"/>
      <c r="X4050" s="990"/>
    </row>
    <row r="4051" spans="1:24" s="896" customFormat="1">
      <c r="A4051" s="987">
        <f t="shared" si="64"/>
        <v>3977</v>
      </c>
      <c r="B4051" s="988">
        <v>13110</v>
      </c>
      <c r="C4051" s="899" t="s">
        <v>13377</v>
      </c>
      <c r="D4051" s="988" t="s">
        <v>2666</v>
      </c>
      <c r="E4051" s="989">
        <v>470.59</v>
      </c>
      <c r="F4051" s="990"/>
      <c r="G4051" s="990"/>
      <c r="H4051" s="990"/>
      <c r="I4051" s="990"/>
      <c r="J4051" s="990"/>
      <c r="K4051" s="990"/>
      <c r="L4051" s="990"/>
      <c r="M4051" s="990"/>
      <c r="N4051" s="990"/>
      <c r="O4051" s="990"/>
      <c r="P4051" s="990"/>
      <c r="Q4051" s="990"/>
      <c r="R4051" s="990"/>
      <c r="S4051" s="990"/>
      <c r="T4051" s="990"/>
      <c r="U4051" s="990"/>
      <c r="V4051" s="990"/>
      <c r="W4051" s="990"/>
      <c r="X4051" s="990"/>
    </row>
    <row r="4052" spans="1:24" s="896" customFormat="1">
      <c r="A4052" s="987">
        <f t="shared" si="64"/>
        <v>3978</v>
      </c>
      <c r="B4052" s="988">
        <v>7581</v>
      </c>
      <c r="C4052" s="899" t="s">
        <v>13378</v>
      </c>
      <c r="D4052" s="988" t="s">
        <v>2666</v>
      </c>
      <c r="E4052" s="989">
        <v>2.46</v>
      </c>
      <c r="F4052" s="990"/>
      <c r="G4052" s="990"/>
      <c r="H4052" s="990"/>
      <c r="I4052" s="990"/>
      <c r="J4052" s="990"/>
      <c r="K4052" s="990"/>
      <c r="L4052" s="990"/>
      <c r="M4052" s="990"/>
      <c r="N4052" s="990"/>
      <c r="O4052" s="990"/>
      <c r="P4052" s="990"/>
      <c r="Q4052" s="990"/>
      <c r="R4052" s="990"/>
      <c r="S4052" s="990"/>
      <c r="T4052" s="990"/>
      <c r="U4052" s="990"/>
      <c r="V4052" s="990"/>
      <c r="W4052" s="990"/>
      <c r="X4052" s="990"/>
    </row>
    <row r="4053" spans="1:24" s="896" customFormat="1">
      <c r="A4053" s="987">
        <f t="shared" si="64"/>
        <v>3979</v>
      </c>
      <c r="B4053" s="988">
        <v>4509</v>
      </c>
      <c r="C4053" s="899" t="s">
        <v>13379</v>
      </c>
      <c r="D4053" s="988" t="s">
        <v>2669</v>
      </c>
      <c r="E4053" s="989">
        <v>3.53</v>
      </c>
      <c r="F4053" s="990"/>
      <c r="G4053" s="990"/>
      <c r="H4053" s="990"/>
      <c r="I4053" s="990"/>
      <c r="J4053" s="990"/>
      <c r="K4053" s="990"/>
      <c r="L4053" s="990"/>
      <c r="M4053" s="990"/>
      <c r="N4053" s="990"/>
      <c r="O4053" s="990"/>
      <c r="P4053" s="990"/>
      <c r="Q4053" s="990"/>
      <c r="R4053" s="990"/>
      <c r="S4053" s="990"/>
      <c r="T4053" s="990"/>
      <c r="U4053" s="990"/>
      <c r="V4053" s="990"/>
      <c r="W4053" s="990"/>
      <c r="X4053" s="990"/>
    </row>
    <row r="4054" spans="1:24" s="896" customFormat="1">
      <c r="A4054" s="987">
        <f t="shared" si="64"/>
        <v>3980</v>
      </c>
      <c r="B4054" s="988">
        <v>4512</v>
      </c>
      <c r="C4054" s="899" t="s">
        <v>13380</v>
      </c>
      <c r="D4054" s="988" t="s">
        <v>2669</v>
      </c>
      <c r="E4054" s="989">
        <v>1.69</v>
      </c>
      <c r="F4054" s="990"/>
      <c r="G4054" s="990"/>
      <c r="H4054" s="990"/>
      <c r="I4054" s="990"/>
      <c r="J4054" s="990"/>
      <c r="K4054" s="990"/>
      <c r="L4054" s="990"/>
      <c r="M4054" s="990"/>
      <c r="N4054" s="990"/>
      <c r="O4054" s="990"/>
      <c r="P4054" s="990"/>
      <c r="Q4054" s="990"/>
      <c r="R4054" s="990"/>
      <c r="S4054" s="990"/>
      <c r="T4054" s="990"/>
      <c r="U4054" s="990"/>
      <c r="V4054" s="990"/>
      <c r="W4054" s="990"/>
      <c r="X4054" s="990"/>
    </row>
    <row r="4055" spans="1:24" s="896" customFormat="1">
      <c r="A4055" s="987">
        <f t="shared" si="64"/>
        <v>3981</v>
      </c>
      <c r="B4055" s="988">
        <v>4517</v>
      </c>
      <c r="C4055" s="899" t="s">
        <v>13381</v>
      </c>
      <c r="D4055" s="988" t="s">
        <v>2669</v>
      </c>
      <c r="E4055" s="989">
        <v>2.44</v>
      </c>
      <c r="F4055" s="990"/>
      <c r="G4055" s="990"/>
      <c r="H4055" s="990"/>
      <c r="I4055" s="990"/>
      <c r="J4055" s="990"/>
      <c r="K4055" s="990"/>
      <c r="L4055" s="990"/>
      <c r="M4055" s="990"/>
      <c r="N4055" s="990"/>
      <c r="O4055" s="990"/>
      <c r="P4055" s="990"/>
      <c r="Q4055" s="990"/>
      <c r="R4055" s="990"/>
      <c r="S4055" s="990"/>
      <c r="T4055" s="990"/>
      <c r="U4055" s="990"/>
      <c r="V4055" s="990"/>
      <c r="W4055" s="990"/>
      <c r="X4055" s="990"/>
    </row>
    <row r="4056" spans="1:24" s="896" customFormat="1" ht="25.5">
      <c r="A4056" s="987">
        <f t="shared" si="64"/>
        <v>3982</v>
      </c>
      <c r="B4056" s="988">
        <v>20206</v>
      </c>
      <c r="C4056" s="899" t="s">
        <v>13382</v>
      </c>
      <c r="D4056" s="988" t="s">
        <v>2669</v>
      </c>
      <c r="E4056" s="989">
        <v>11.89</v>
      </c>
      <c r="F4056" s="990"/>
      <c r="G4056" s="990"/>
      <c r="H4056" s="990"/>
      <c r="I4056" s="990"/>
      <c r="J4056" s="990"/>
      <c r="K4056" s="990"/>
      <c r="L4056" s="990"/>
      <c r="M4056" s="990"/>
      <c r="N4056" s="990"/>
      <c r="O4056" s="990"/>
      <c r="P4056" s="990"/>
      <c r="Q4056" s="990"/>
      <c r="R4056" s="990"/>
      <c r="S4056" s="990"/>
      <c r="T4056" s="990"/>
      <c r="U4056" s="990"/>
      <c r="V4056" s="990"/>
      <c r="W4056" s="990"/>
      <c r="X4056" s="990"/>
    </row>
    <row r="4057" spans="1:24" s="896" customFormat="1" ht="25.5">
      <c r="A4057" s="987">
        <f t="shared" si="64"/>
        <v>3983</v>
      </c>
      <c r="B4057" s="988">
        <v>4460</v>
      </c>
      <c r="C4057" s="899" t="s">
        <v>13383</v>
      </c>
      <c r="D4057" s="988" t="s">
        <v>2669</v>
      </c>
      <c r="E4057" s="989">
        <v>12.21</v>
      </c>
      <c r="F4057" s="990"/>
      <c r="G4057" s="990"/>
      <c r="H4057" s="990"/>
      <c r="I4057" s="990"/>
      <c r="J4057" s="990"/>
      <c r="K4057" s="990"/>
      <c r="L4057" s="990"/>
      <c r="M4057" s="990"/>
      <c r="N4057" s="990"/>
      <c r="O4057" s="990"/>
      <c r="P4057" s="990"/>
      <c r="Q4057" s="990"/>
      <c r="R4057" s="990"/>
      <c r="S4057" s="990"/>
      <c r="T4057" s="990"/>
      <c r="U4057" s="990"/>
      <c r="V4057" s="990"/>
      <c r="W4057" s="990"/>
      <c r="X4057" s="990"/>
    </row>
    <row r="4058" spans="1:24" s="896" customFormat="1" ht="25.5">
      <c r="A4058" s="987">
        <f t="shared" si="64"/>
        <v>3984</v>
      </c>
      <c r="B4058" s="988">
        <v>4417</v>
      </c>
      <c r="C4058" s="899" t="s">
        <v>13384</v>
      </c>
      <c r="D4058" s="988" t="s">
        <v>2669</v>
      </c>
      <c r="E4058" s="989">
        <v>9.41</v>
      </c>
      <c r="F4058" s="990"/>
      <c r="G4058" s="990"/>
      <c r="H4058" s="990"/>
      <c r="I4058" s="990"/>
      <c r="J4058" s="990"/>
      <c r="K4058" s="990"/>
      <c r="L4058" s="990"/>
      <c r="M4058" s="990"/>
      <c r="N4058" s="990"/>
      <c r="O4058" s="990"/>
      <c r="P4058" s="990"/>
      <c r="Q4058" s="990"/>
      <c r="R4058" s="990"/>
      <c r="S4058" s="990"/>
      <c r="T4058" s="990"/>
      <c r="U4058" s="990"/>
      <c r="V4058" s="990"/>
      <c r="W4058" s="990"/>
      <c r="X4058" s="990"/>
    </row>
    <row r="4059" spans="1:24" s="896" customFormat="1" ht="25.5">
      <c r="A4059" s="987">
        <f t="shared" si="64"/>
        <v>3985</v>
      </c>
      <c r="B4059" s="988">
        <v>4415</v>
      </c>
      <c r="C4059" s="899" t="s">
        <v>13385</v>
      </c>
      <c r="D4059" s="988" t="s">
        <v>2669</v>
      </c>
      <c r="E4059" s="989">
        <v>6.54</v>
      </c>
      <c r="F4059" s="990"/>
      <c r="G4059" s="990"/>
      <c r="H4059" s="990"/>
      <c r="I4059" s="990"/>
      <c r="J4059" s="990"/>
      <c r="K4059" s="990"/>
      <c r="L4059" s="990"/>
      <c r="M4059" s="990"/>
      <c r="N4059" s="990"/>
      <c r="O4059" s="990"/>
      <c r="P4059" s="990"/>
      <c r="Q4059" s="990"/>
      <c r="R4059" s="990"/>
      <c r="S4059" s="990"/>
      <c r="T4059" s="990"/>
      <c r="U4059" s="990"/>
      <c r="V4059" s="990"/>
      <c r="W4059" s="990"/>
      <c r="X4059" s="990"/>
    </row>
    <row r="4060" spans="1:24" s="896" customFormat="1">
      <c r="A4060" s="987">
        <f t="shared" si="64"/>
        <v>3986</v>
      </c>
      <c r="B4060" s="988">
        <v>37373</v>
      </c>
      <c r="C4060" s="899" t="s">
        <v>13386</v>
      </c>
      <c r="D4060" s="988" t="s">
        <v>2665</v>
      </c>
      <c r="E4060" s="989">
        <v>0.06</v>
      </c>
      <c r="F4060" s="990"/>
      <c r="G4060" s="990"/>
      <c r="H4060" s="990"/>
      <c r="I4060" s="990"/>
      <c r="J4060" s="990"/>
      <c r="K4060" s="990"/>
      <c r="L4060" s="990"/>
      <c r="M4060" s="990"/>
      <c r="N4060" s="990"/>
      <c r="O4060" s="990"/>
      <c r="P4060" s="990"/>
      <c r="Q4060" s="990"/>
      <c r="R4060" s="990"/>
      <c r="S4060" s="990"/>
      <c r="T4060" s="990"/>
      <c r="U4060" s="990"/>
      <c r="V4060" s="990"/>
      <c r="W4060" s="990"/>
      <c r="X4060" s="990"/>
    </row>
    <row r="4061" spans="1:24" s="896" customFormat="1">
      <c r="A4061" s="987">
        <f t="shared" si="64"/>
        <v>3987</v>
      </c>
      <c r="B4061" s="988">
        <v>40864</v>
      </c>
      <c r="C4061" s="899" t="s">
        <v>13387</v>
      </c>
      <c r="D4061" s="988" t="s">
        <v>2672</v>
      </c>
      <c r="E4061" s="989">
        <v>11.8</v>
      </c>
      <c r="F4061" s="990"/>
      <c r="G4061" s="990"/>
      <c r="H4061" s="990"/>
      <c r="I4061" s="990"/>
      <c r="J4061" s="990"/>
      <c r="K4061" s="990"/>
      <c r="L4061" s="990"/>
      <c r="M4061" s="990"/>
      <c r="N4061" s="990"/>
      <c r="O4061" s="990"/>
      <c r="P4061" s="990"/>
      <c r="Q4061" s="990"/>
      <c r="R4061" s="990"/>
      <c r="S4061" s="990"/>
      <c r="T4061" s="990"/>
      <c r="U4061" s="990"/>
      <c r="V4061" s="990"/>
      <c r="W4061" s="990"/>
      <c r="X4061" s="990"/>
    </row>
    <row r="4062" spans="1:24" s="896" customFormat="1" ht="25.5">
      <c r="A4062" s="987">
        <f t="shared" si="64"/>
        <v>3988</v>
      </c>
      <c r="B4062" s="988">
        <v>4734</v>
      </c>
      <c r="C4062" s="899" t="s">
        <v>13388</v>
      </c>
      <c r="D4062" s="988" t="s">
        <v>2668</v>
      </c>
      <c r="E4062" s="989">
        <v>183.12</v>
      </c>
      <c r="F4062" s="990"/>
      <c r="G4062" s="990"/>
      <c r="H4062" s="990"/>
      <c r="I4062" s="990"/>
      <c r="J4062" s="990"/>
      <c r="K4062" s="990"/>
      <c r="L4062" s="990"/>
      <c r="M4062" s="990"/>
      <c r="N4062" s="990"/>
      <c r="O4062" s="990"/>
      <c r="P4062" s="990"/>
      <c r="Q4062" s="990"/>
      <c r="R4062" s="990"/>
      <c r="S4062" s="990"/>
      <c r="T4062" s="990"/>
      <c r="U4062" s="990"/>
      <c r="V4062" s="990"/>
      <c r="W4062" s="990"/>
      <c r="X4062" s="990"/>
    </row>
    <row r="4063" spans="1:24" s="896" customFormat="1">
      <c r="A4063" s="987">
        <f t="shared" si="64"/>
        <v>3989</v>
      </c>
      <c r="B4063" s="988">
        <v>6085</v>
      </c>
      <c r="C4063" s="899" t="s">
        <v>13389</v>
      </c>
      <c r="D4063" s="988" t="s">
        <v>2671</v>
      </c>
      <c r="E4063" s="989">
        <v>10.56</v>
      </c>
      <c r="F4063" s="990"/>
      <c r="G4063" s="990"/>
      <c r="H4063" s="990"/>
      <c r="I4063" s="990"/>
      <c r="J4063" s="990"/>
      <c r="K4063" s="990"/>
      <c r="L4063" s="990"/>
      <c r="M4063" s="990"/>
      <c r="N4063" s="990"/>
      <c r="O4063" s="990"/>
      <c r="P4063" s="990"/>
      <c r="Q4063" s="990"/>
      <c r="R4063" s="990"/>
      <c r="S4063" s="990"/>
      <c r="T4063" s="990"/>
      <c r="U4063" s="990"/>
      <c r="V4063" s="990"/>
      <c r="W4063" s="990"/>
      <c r="X4063" s="990"/>
    </row>
    <row r="4064" spans="1:24" s="896" customFormat="1">
      <c r="A4064" s="987">
        <f t="shared" si="64"/>
        <v>3990</v>
      </c>
      <c r="B4064" s="988">
        <v>38396</v>
      </c>
      <c r="C4064" s="899" t="s">
        <v>13390</v>
      </c>
      <c r="D4064" s="988" t="s">
        <v>2666</v>
      </c>
      <c r="E4064" s="989">
        <v>617.63</v>
      </c>
      <c r="F4064" s="990"/>
      <c r="G4064" s="990"/>
      <c r="H4064" s="990"/>
      <c r="I4064" s="990"/>
      <c r="J4064" s="990"/>
      <c r="K4064" s="990"/>
      <c r="L4064" s="990"/>
      <c r="M4064" s="990"/>
      <c r="N4064" s="990"/>
      <c r="O4064" s="990"/>
      <c r="P4064" s="990"/>
      <c r="Q4064" s="990"/>
      <c r="R4064" s="990"/>
      <c r="S4064" s="990"/>
      <c r="T4064" s="990"/>
      <c r="U4064" s="990"/>
      <c r="V4064" s="990"/>
      <c r="W4064" s="990"/>
      <c r="X4064" s="990"/>
    </row>
    <row r="4065" spans="1:24" s="896" customFormat="1">
      <c r="A4065" s="987">
        <f t="shared" si="64"/>
        <v>3991</v>
      </c>
      <c r="B4065" s="988">
        <v>11622</v>
      </c>
      <c r="C4065" s="899" t="s">
        <v>13391</v>
      </c>
      <c r="D4065" s="988" t="s">
        <v>2670</v>
      </c>
      <c r="E4065" s="989">
        <v>69.42</v>
      </c>
      <c r="F4065" s="990"/>
      <c r="G4065" s="990"/>
      <c r="H4065" s="990"/>
      <c r="I4065" s="990"/>
      <c r="J4065" s="990"/>
      <c r="K4065" s="990"/>
      <c r="L4065" s="990"/>
      <c r="M4065" s="990"/>
      <c r="N4065" s="990"/>
      <c r="O4065" s="990"/>
      <c r="P4065" s="990"/>
      <c r="Q4065" s="990"/>
      <c r="R4065" s="990"/>
      <c r="S4065" s="990"/>
      <c r="T4065" s="990"/>
      <c r="U4065" s="990"/>
      <c r="V4065" s="990"/>
      <c r="W4065" s="990"/>
      <c r="X4065" s="990"/>
    </row>
    <row r="4066" spans="1:24" s="896" customFormat="1" ht="25.5">
      <c r="A4066" s="987">
        <f t="shared" si="64"/>
        <v>3992</v>
      </c>
      <c r="B4066" s="988">
        <v>43143</v>
      </c>
      <c r="C4066" s="899" t="s">
        <v>13392</v>
      </c>
      <c r="D4066" s="988" t="s">
        <v>2671</v>
      </c>
      <c r="E4066" s="989">
        <v>26.22</v>
      </c>
      <c r="F4066" s="990"/>
      <c r="G4066" s="990"/>
      <c r="H4066" s="990"/>
      <c r="I4066" s="990"/>
      <c r="J4066" s="990"/>
      <c r="K4066" s="990"/>
      <c r="L4066" s="990"/>
      <c r="M4066" s="990"/>
      <c r="N4066" s="990"/>
      <c r="O4066" s="990"/>
      <c r="P4066" s="990"/>
      <c r="Q4066" s="990"/>
      <c r="R4066" s="990"/>
      <c r="S4066" s="990"/>
      <c r="T4066" s="990"/>
      <c r="U4066" s="990"/>
      <c r="V4066" s="990"/>
      <c r="W4066" s="990"/>
      <c r="X4066" s="990"/>
    </row>
    <row r="4067" spans="1:24" s="896" customFormat="1">
      <c r="A4067" s="987">
        <f t="shared" si="64"/>
        <v>3993</v>
      </c>
      <c r="B4067" s="988">
        <v>7317</v>
      </c>
      <c r="C4067" s="899" t="s">
        <v>13393</v>
      </c>
      <c r="D4067" s="988" t="s">
        <v>2670</v>
      </c>
      <c r="E4067" s="989">
        <v>39.47</v>
      </c>
      <c r="F4067" s="990"/>
      <c r="G4067" s="990"/>
      <c r="H4067" s="990"/>
      <c r="I4067" s="990"/>
      <c r="J4067" s="990"/>
      <c r="K4067" s="990"/>
      <c r="L4067" s="990"/>
      <c r="M4067" s="990"/>
      <c r="N4067" s="990"/>
      <c r="O4067" s="990"/>
      <c r="P4067" s="990"/>
      <c r="Q4067" s="990"/>
      <c r="R4067" s="990"/>
      <c r="S4067" s="990"/>
      <c r="T4067" s="990"/>
      <c r="U4067" s="990"/>
      <c r="V4067" s="990"/>
      <c r="W4067" s="990"/>
      <c r="X4067" s="990"/>
    </row>
    <row r="4068" spans="1:24" s="896" customFormat="1" ht="25.5">
      <c r="A4068" s="987">
        <f t="shared" si="64"/>
        <v>3994</v>
      </c>
      <c r="B4068" s="988">
        <v>142</v>
      </c>
      <c r="C4068" s="899" t="s">
        <v>13394</v>
      </c>
      <c r="D4068" s="988" t="s">
        <v>2681</v>
      </c>
      <c r="E4068" s="989">
        <v>32.75</v>
      </c>
      <c r="F4068" s="990"/>
      <c r="G4068" s="990"/>
      <c r="H4068" s="990"/>
      <c r="I4068" s="990"/>
      <c r="J4068" s="990"/>
      <c r="K4068" s="990"/>
      <c r="L4068" s="990"/>
      <c r="M4068" s="990"/>
      <c r="N4068" s="990"/>
      <c r="O4068" s="990"/>
      <c r="P4068" s="990"/>
      <c r="Q4068" s="990"/>
      <c r="R4068" s="990"/>
      <c r="S4068" s="990"/>
      <c r="T4068" s="990"/>
      <c r="U4068" s="990"/>
      <c r="V4068" s="990"/>
      <c r="W4068" s="990"/>
      <c r="X4068" s="990"/>
    </row>
    <row r="4069" spans="1:24" s="896" customFormat="1" ht="25.5">
      <c r="A4069" s="987">
        <f t="shared" si="64"/>
        <v>3995</v>
      </c>
      <c r="B4069" s="988">
        <v>43142</v>
      </c>
      <c r="C4069" s="899" t="s">
        <v>13395</v>
      </c>
      <c r="D4069" s="988" t="s">
        <v>2671</v>
      </c>
      <c r="E4069" s="989">
        <v>148.79</v>
      </c>
      <c r="F4069" s="990"/>
      <c r="G4069" s="990"/>
      <c r="H4069" s="990"/>
      <c r="I4069" s="990"/>
      <c r="J4069" s="990"/>
      <c r="K4069" s="990"/>
      <c r="L4069" s="990"/>
      <c r="M4069" s="990"/>
      <c r="N4069" s="990"/>
      <c r="O4069" s="990"/>
      <c r="P4069" s="990"/>
      <c r="Q4069" s="990"/>
      <c r="R4069" s="990"/>
      <c r="S4069" s="990"/>
      <c r="T4069" s="990"/>
      <c r="U4069" s="990"/>
      <c r="V4069" s="990"/>
      <c r="W4069" s="990"/>
      <c r="X4069" s="990"/>
    </row>
    <row r="4070" spans="1:24" s="896" customFormat="1">
      <c r="A4070" s="987">
        <f t="shared" si="64"/>
        <v>3996</v>
      </c>
      <c r="B4070" s="988">
        <v>38123</v>
      </c>
      <c r="C4070" s="899" t="s">
        <v>13396</v>
      </c>
      <c r="D4070" s="988" t="s">
        <v>2670</v>
      </c>
      <c r="E4070" s="989">
        <v>66.760000000000005</v>
      </c>
      <c r="F4070" s="990"/>
      <c r="G4070" s="990"/>
      <c r="H4070" s="990"/>
      <c r="I4070" s="990"/>
      <c r="J4070" s="990"/>
      <c r="K4070" s="990"/>
      <c r="L4070" s="990"/>
      <c r="M4070" s="990"/>
      <c r="N4070" s="990"/>
      <c r="O4070" s="990"/>
      <c r="P4070" s="990"/>
      <c r="Q4070" s="990"/>
      <c r="R4070" s="990"/>
      <c r="S4070" s="990"/>
      <c r="T4070" s="990"/>
      <c r="U4070" s="990"/>
      <c r="V4070" s="990"/>
      <c r="W4070" s="990"/>
      <c r="X4070" s="990"/>
    </row>
    <row r="4071" spans="1:24" s="896" customFormat="1" ht="25.5">
      <c r="A4071" s="987">
        <f t="shared" si="64"/>
        <v>3997</v>
      </c>
      <c r="B4071" s="988">
        <v>42701</v>
      </c>
      <c r="C4071" s="899" t="s">
        <v>13397</v>
      </c>
      <c r="D4071" s="988" t="s">
        <v>2666</v>
      </c>
      <c r="E4071" s="989">
        <v>43.98</v>
      </c>
      <c r="F4071" s="990"/>
      <c r="G4071" s="990"/>
      <c r="H4071" s="990"/>
      <c r="I4071" s="990"/>
      <c r="J4071" s="990"/>
      <c r="K4071" s="990"/>
      <c r="L4071" s="990"/>
      <c r="M4071" s="990"/>
      <c r="N4071" s="990"/>
      <c r="O4071" s="990"/>
      <c r="P4071" s="990"/>
      <c r="Q4071" s="990"/>
      <c r="R4071" s="990"/>
      <c r="S4071" s="990"/>
      <c r="T4071" s="990"/>
      <c r="U4071" s="990"/>
      <c r="V4071" s="990"/>
      <c r="W4071" s="990"/>
      <c r="X4071" s="990"/>
    </row>
    <row r="4072" spans="1:24" s="896" customFormat="1" ht="25.5">
      <c r="A4072" s="987">
        <f t="shared" si="64"/>
        <v>3998</v>
      </c>
      <c r="B4072" s="988">
        <v>42702</v>
      </c>
      <c r="C4072" s="899" t="s">
        <v>13398</v>
      </c>
      <c r="D4072" s="988" t="s">
        <v>2666</v>
      </c>
      <c r="E4072" s="989">
        <v>78.150000000000006</v>
      </c>
      <c r="F4072" s="990"/>
      <c r="G4072" s="990"/>
      <c r="H4072" s="990"/>
      <c r="I4072" s="990"/>
      <c r="J4072" s="990"/>
      <c r="K4072" s="990"/>
      <c r="L4072" s="990"/>
      <c r="M4072" s="990"/>
      <c r="N4072" s="990"/>
      <c r="O4072" s="990"/>
      <c r="P4072" s="990"/>
      <c r="Q4072" s="990"/>
      <c r="R4072" s="990"/>
      <c r="S4072" s="990"/>
      <c r="T4072" s="990"/>
      <c r="U4072" s="990"/>
      <c r="V4072" s="990"/>
      <c r="W4072" s="990"/>
      <c r="X4072" s="990"/>
    </row>
    <row r="4073" spans="1:24" s="896" customFormat="1" ht="25.5">
      <c r="A4073" s="987">
        <f t="shared" si="64"/>
        <v>3999</v>
      </c>
      <c r="B4073" s="988">
        <v>37955</v>
      </c>
      <c r="C4073" s="899" t="s">
        <v>13399</v>
      </c>
      <c r="D4073" s="988" t="s">
        <v>2666</v>
      </c>
      <c r="E4073" s="989">
        <v>101.28</v>
      </c>
      <c r="F4073" s="990"/>
      <c r="G4073" s="990"/>
      <c r="H4073" s="990"/>
      <c r="I4073" s="990"/>
      <c r="J4073" s="990"/>
      <c r="K4073" s="990"/>
      <c r="L4073" s="990"/>
      <c r="M4073" s="990"/>
      <c r="N4073" s="990"/>
      <c r="O4073" s="990"/>
      <c r="P4073" s="990"/>
      <c r="Q4073" s="990"/>
      <c r="R4073" s="990"/>
      <c r="S4073" s="990"/>
      <c r="T4073" s="990"/>
      <c r="U4073" s="990"/>
      <c r="V4073" s="990"/>
      <c r="W4073" s="990"/>
      <c r="X4073" s="990"/>
    </row>
    <row r="4074" spans="1:24" s="896" customFormat="1" ht="25.5">
      <c r="A4074" s="987">
        <f t="shared" si="64"/>
        <v>4000</v>
      </c>
      <c r="B4074" s="988">
        <v>42699</v>
      </c>
      <c r="C4074" s="899" t="s">
        <v>13400</v>
      </c>
      <c r="D4074" s="988" t="s">
        <v>2666</v>
      </c>
      <c r="E4074" s="989">
        <v>26.86</v>
      </c>
      <c r="F4074" s="990"/>
      <c r="G4074" s="990"/>
      <c r="H4074" s="990"/>
      <c r="I4074" s="990"/>
      <c r="J4074" s="990"/>
      <c r="K4074" s="990"/>
      <c r="L4074" s="990"/>
      <c r="M4074" s="990"/>
      <c r="N4074" s="990"/>
      <c r="O4074" s="990"/>
      <c r="P4074" s="990"/>
      <c r="Q4074" s="990"/>
      <c r="R4074" s="990"/>
      <c r="S4074" s="990"/>
      <c r="T4074" s="990"/>
      <c r="U4074" s="990"/>
      <c r="V4074" s="990"/>
      <c r="W4074" s="990"/>
      <c r="X4074" s="990"/>
    </row>
    <row r="4075" spans="1:24" s="896" customFormat="1" ht="25.5">
      <c r="A4075" s="987">
        <f t="shared" si="64"/>
        <v>4001</v>
      </c>
      <c r="B4075" s="988">
        <v>42700</v>
      </c>
      <c r="C4075" s="899" t="s">
        <v>13401</v>
      </c>
      <c r="D4075" s="988" t="s">
        <v>2666</v>
      </c>
      <c r="E4075" s="989">
        <v>76.59</v>
      </c>
      <c r="F4075" s="990"/>
      <c r="G4075" s="990"/>
      <c r="H4075" s="990"/>
      <c r="I4075" s="990"/>
      <c r="J4075" s="990"/>
      <c r="K4075" s="990"/>
      <c r="L4075" s="990"/>
      <c r="M4075" s="990"/>
      <c r="N4075" s="990"/>
      <c r="O4075" s="990"/>
      <c r="P4075" s="990"/>
      <c r="Q4075" s="990"/>
      <c r="R4075" s="990"/>
      <c r="S4075" s="990"/>
      <c r="T4075" s="990"/>
      <c r="U4075" s="990"/>
      <c r="V4075" s="990"/>
      <c r="W4075" s="990"/>
      <c r="X4075" s="990"/>
    </row>
    <row r="4076" spans="1:24" s="896" customFormat="1" ht="25.5">
      <c r="A4076" s="987">
        <f t="shared" si="64"/>
        <v>4002</v>
      </c>
      <c r="B4076" s="988">
        <v>37743</v>
      </c>
      <c r="C4076" s="899" t="s">
        <v>13402</v>
      </c>
      <c r="D4076" s="988" t="s">
        <v>2666</v>
      </c>
      <c r="E4076" s="989">
        <v>247292.3</v>
      </c>
      <c r="F4076" s="990"/>
      <c r="G4076" s="990"/>
      <c r="H4076" s="990"/>
      <c r="I4076" s="990"/>
      <c r="J4076" s="990"/>
      <c r="K4076" s="990"/>
      <c r="L4076" s="990"/>
      <c r="M4076" s="990"/>
      <c r="N4076" s="990"/>
      <c r="O4076" s="990"/>
      <c r="P4076" s="990"/>
      <c r="Q4076" s="990"/>
      <c r="R4076" s="990"/>
      <c r="S4076" s="990"/>
      <c r="T4076" s="990"/>
      <c r="U4076" s="990"/>
      <c r="V4076" s="990"/>
      <c r="W4076" s="990"/>
      <c r="X4076" s="990"/>
    </row>
    <row r="4077" spans="1:24" s="896" customFormat="1" ht="25.5">
      <c r="A4077" s="987">
        <f t="shared" si="64"/>
        <v>4003</v>
      </c>
      <c r="B4077" s="988">
        <v>37744</v>
      </c>
      <c r="C4077" s="899" t="s">
        <v>13403</v>
      </c>
      <c r="D4077" s="988" t="s">
        <v>2666</v>
      </c>
      <c r="E4077" s="989">
        <v>290769.23</v>
      </c>
      <c r="F4077" s="990"/>
      <c r="G4077" s="990"/>
      <c r="H4077" s="990"/>
      <c r="I4077" s="990"/>
      <c r="J4077" s="990"/>
      <c r="K4077" s="990"/>
      <c r="L4077" s="990"/>
      <c r="M4077" s="990"/>
      <c r="N4077" s="990"/>
      <c r="O4077" s="990"/>
      <c r="P4077" s="990"/>
      <c r="Q4077" s="990"/>
      <c r="R4077" s="990"/>
      <c r="S4077" s="990"/>
      <c r="T4077" s="990"/>
      <c r="U4077" s="990"/>
      <c r="V4077" s="990"/>
      <c r="W4077" s="990"/>
      <c r="X4077" s="990"/>
    </row>
    <row r="4078" spans="1:24" s="896" customFormat="1" ht="25.5">
      <c r="A4078" s="987">
        <f t="shared" si="64"/>
        <v>4004</v>
      </c>
      <c r="B4078" s="988">
        <v>37741</v>
      </c>
      <c r="C4078" s="899" t="s">
        <v>13404</v>
      </c>
      <c r="D4078" s="988" t="s">
        <v>2666</v>
      </c>
      <c r="E4078" s="989">
        <v>224861.53</v>
      </c>
      <c r="F4078" s="990"/>
      <c r="G4078" s="990"/>
      <c r="H4078" s="990"/>
      <c r="I4078" s="990"/>
      <c r="J4078" s="990"/>
      <c r="K4078" s="990"/>
      <c r="L4078" s="990"/>
      <c r="M4078" s="990"/>
      <c r="N4078" s="990"/>
      <c r="O4078" s="990"/>
      <c r="P4078" s="990"/>
      <c r="Q4078" s="990"/>
      <c r="R4078" s="990"/>
      <c r="S4078" s="990"/>
      <c r="T4078" s="990"/>
      <c r="U4078" s="990"/>
      <c r="V4078" s="990"/>
      <c r="W4078" s="990"/>
      <c r="X4078" s="990"/>
    </row>
    <row r="4079" spans="1:24" s="896" customFormat="1" ht="25.5">
      <c r="A4079" s="987">
        <f t="shared" si="64"/>
        <v>4005</v>
      </c>
      <c r="B4079" s="988">
        <v>39396</v>
      </c>
      <c r="C4079" s="899" t="s">
        <v>13405</v>
      </c>
      <c r="D4079" s="988" t="s">
        <v>2666</v>
      </c>
      <c r="E4079" s="989">
        <v>86.55</v>
      </c>
      <c r="F4079" s="990"/>
      <c r="G4079" s="990"/>
      <c r="H4079" s="990"/>
      <c r="I4079" s="990"/>
      <c r="J4079" s="990"/>
      <c r="K4079" s="990"/>
      <c r="L4079" s="990"/>
      <c r="M4079" s="990"/>
      <c r="N4079" s="990"/>
      <c r="O4079" s="990"/>
      <c r="P4079" s="990"/>
      <c r="Q4079" s="990"/>
      <c r="R4079" s="990"/>
      <c r="S4079" s="990"/>
      <c r="T4079" s="990"/>
      <c r="U4079" s="990"/>
      <c r="V4079" s="990"/>
      <c r="W4079" s="990"/>
      <c r="X4079" s="990"/>
    </row>
    <row r="4080" spans="1:24" s="896" customFormat="1" ht="25.5">
      <c r="A4080" s="987">
        <f t="shared" si="64"/>
        <v>4006</v>
      </c>
      <c r="B4080" s="988">
        <v>39392</v>
      </c>
      <c r="C4080" s="899" t="s">
        <v>13406</v>
      </c>
      <c r="D4080" s="988" t="s">
        <v>2666</v>
      </c>
      <c r="E4080" s="989">
        <v>97.63</v>
      </c>
      <c r="F4080" s="990"/>
      <c r="G4080" s="990"/>
      <c r="H4080" s="990"/>
      <c r="I4080" s="990"/>
      <c r="J4080" s="990"/>
      <c r="K4080" s="990"/>
      <c r="L4080" s="990"/>
      <c r="M4080" s="990"/>
      <c r="N4080" s="990"/>
      <c r="O4080" s="990"/>
      <c r="P4080" s="990"/>
      <c r="Q4080" s="990"/>
      <c r="R4080" s="990"/>
      <c r="S4080" s="990"/>
      <c r="T4080" s="990"/>
      <c r="U4080" s="990"/>
      <c r="V4080" s="990"/>
      <c r="W4080" s="990"/>
      <c r="X4080" s="990"/>
    </row>
    <row r="4081" spans="1:24" s="896" customFormat="1" ht="25.5">
      <c r="A4081" s="987">
        <f t="shared" si="64"/>
        <v>4007</v>
      </c>
      <c r="B4081" s="988">
        <v>39393</v>
      </c>
      <c r="C4081" s="899" t="s">
        <v>13407</v>
      </c>
      <c r="D4081" s="988" t="s">
        <v>2666</v>
      </c>
      <c r="E4081" s="989">
        <v>60.38</v>
      </c>
      <c r="F4081" s="990"/>
      <c r="G4081" s="990"/>
      <c r="H4081" s="990"/>
      <c r="I4081" s="990"/>
      <c r="J4081" s="990"/>
      <c r="K4081" s="990"/>
      <c r="L4081" s="990"/>
      <c r="M4081" s="990"/>
      <c r="N4081" s="990"/>
      <c r="O4081" s="990"/>
      <c r="P4081" s="990"/>
      <c r="Q4081" s="990"/>
      <c r="R4081" s="990"/>
      <c r="S4081" s="990"/>
      <c r="T4081" s="990"/>
      <c r="U4081" s="990"/>
      <c r="V4081" s="990"/>
      <c r="W4081" s="990"/>
      <c r="X4081" s="990"/>
    </row>
    <row r="4082" spans="1:24" s="896" customFormat="1" ht="25.5">
      <c r="A4082" s="987">
        <f t="shared" si="64"/>
        <v>4008</v>
      </c>
      <c r="B4082" s="988">
        <v>39394</v>
      </c>
      <c r="C4082" s="899" t="s">
        <v>13408</v>
      </c>
      <c r="D4082" s="988" t="s">
        <v>2666</v>
      </c>
      <c r="E4082" s="989">
        <v>67.959999999999994</v>
      </c>
      <c r="F4082" s="990"/>
      <c r="G4082" s="990"/>
      <c r="H4082" s="990"/>
      <c r="I4082" s="990"/>
      <c r="J4082" s="990"/>
      <c r="K4082" s="990"/>
      <c r="L4082" s="990"/>
      <c r="M4082" s="990"/>
      <c r="N4082" s="990"/>
      <c r="O4082" s="990"/>
      <c r="P4082" s="990"/>
      <c r="Q4082" s="990"/>
      <c r="R4082" s="990"/>
      <c r="S4082" s="990"/>
      <c r="T4082" s="990"/>
      <c r="U4082" s="990"/>
      <c r="V4082" s="990"/>
      <c r="W4082" s="990"/>
      <c r="X4082" s="990"/>
    </row>
    <row r="4083" spans="1:24" s="896" customFormat="1" ht="25.5">
      <c r="A4083" s="987">
        <f t="shared" si="64"/>
        <v>4009</v>
      </c>
      <c r="B4083" s="988">
        <v>39395</v>
      </c>
      <c r="C4083" s="899" t="s">
        <v>13409</v>
      </c>
      <c r="D4083" s="988" t="s">
        <v>2666</v>
      </c>
      <c r="E4083" s="989">
        <v>63.19</v>
      </c>
      <c r="F4083" s="990"/>
      <c r="G4083" s="990"/>
      <c r="H4083" s="990"/>
      <c r="I4083" s="990"/>
      <c r="J4083" s="990"/>
      <c r="K4083" s="990"/>
      <c r="L4083" s="990"/>
      <c r="M4083" s="990"/>
      <c r="N4083" s="990"/>
      <c r="O4083" s="990"/>
      <c r="P4083" s="990"/>
      <c r="Q4083" s="990"/>
      <c r="R4083" s="990"/>
      <c r="S4083" s="990"/>
      <c r="T4083" s="990"/>
      <c r="U4083" s="990"/>
      <c r="V4083" s="990"/>
      <c r="W4083" s="990"/>
      <c r="X4083" s="990"/>
    </row>
    <row r="4084" spans="1:24" s="896" customFormat="1" ht="25.5">
      <c r="A4084" s="987">
        <f t="shared" si="64"/>
        <v>4010</v>
      </c>
      <c r="B4084" s="988">
        <v>14618</v>
      </c>
      <c r="C4084" s="899" t="s">
        <v>13410</v>
      </c>
      <c r="D4084" s="988" t="s">
        <v>2666</v>
      </c>
      <c r="E4084" s="989">
        <v>1120.8699999999999</v>
      </c>
      <c r="F4084" s="990"/>
      <c r="G4084" s="990"/>
      <c r="H4084" s="990"/>
      <c r="I4084" s="990"/>
      <c r="J4084" s="990"/>
      <c r="K4084" s="990"/>
      <c r="L4084" s="990"/>
      <c r="M4084" s="990"/>
      <c r="N4084" s="990"/>
      <c r="O4084" s="990"/>
      <c r="P4084" s="990"/>
      <c r="Q4084" s="990"/>
      <c r="R4084" s="990"/>
      <c r="S4084" s="990"/>
      <c r="T4084" s="990"/>
      <c r="U4084" s="990"/>
      <c r="V4084" s="990"/>
      <c r="W4084" s="990"/>
      <c r="X4084" s="990"/>
    </row>
    <row r="4085" spans="1:24" s="896" customFormat="1" ht="25.5">
      <c r="A4085" s="987">
        <f t="shared" si="64"/>
        <v>4011</v>
      </c>
      <c r="B4085" s="988">
        <v>40269</v>
      </c>
      <c r="C4085" s="899" t="s">
        <v>13411</v>
      </c>
      <c r="D4085" s="988" t="s">
        <v>2666</v>
      </c>
      <c r="E4085" s="989">
        <v>4515.8999999999996</v>
      </c>
      <c r="F4085" s="990"/>
      <c r="G4085" s="990"/>
      <c r="H4085" s="990"/>
      <c r="I4085" s="990"/>
      <c r="J4085" s="990"/>
      <c r="K4085" s="990"/>
      <c r="L4085" s="990"/>
      <c r="M4085" s="990"/>
      <c r="N4085" s="990"/>
      <c r="O4085" s="990"/>
      <c r="P4085" s="990"/>
      <c r="Q4085" s="990"/>
      <c r="R4085" s="990"/>
      <c r="S4085" s="990"/>
      <c r="T4085" s="990"/>
      <c r="U4085" s="990"/>
      <c r="V4085" s="990"/>
      <c r="W4085" s="990"/>
      <c r="X4085" s="990"/>
    </row>
    <row r="4086" spans="1:24" s="896" customFormat="1">
      <c r="A4086" s="987">
        <f t="shared" si="64"/>
        <v>4012</v>
      </c>
      <c r="B4086" s="988">
        <v>6110</v>
      </c>
      <c r="C4086" s="899" t="s">
        <v>13412</v>
      </c>
      <c r="D4086" s="988" t="s">
        <v>2665</v>
      </c>
      <c r="E4086" s="989">
        <v>23.94</v>
      </c>
      <c r="F4086" s="990"/>
      <c r="G4086" s="990"/>
      <c r="H4086" s="990"/>
      <c r="I4086" s="990"/>
      <c r="J4086" s="990"/>
      <c r="K4086" s="990"/>
      <c r="L4086" s="990"/>
      <c r="M4086" s="990"/>
      <c r="N4086" s="990"/>
      <c r="O4086" s="990"/>
      <c r="P4086" s="990"/>
      <c r="Q4086" s="990"/>
      <c r="R4086" s="990"/>
      <c r="S4086" s="990"/>
      <c r="T4086" s="990"/>
      <c r="U4086" s="990"/>
      <c r="V4086" s="990"/>
      <c r="W4086" s="990"/>
      <c r="X4086" s="990"/>
    </row>
    <row r="4087" spans="1:24" s="896" customFormat="1">
      <c r="A4087" s="987">
        <f t="shared" si="64"/>
        <v>4013</v>
      </c>
      <c r="B4087" s="988">
        <v>40910</v>
      </c>
      <c r="C4087" s="899" t="s">
        <v>13413</v>
      </c>
      <c r="D4087" s="988" t="s">
        <v>2672</v>
      </c>
      <c r="E4087" s="989">
        <v>4207.42</v>
      </c>
      <c r="F4087" s="990"/>
      <c r="G4087" s="990"/>
      <c r="H4087" s="990"/>
      <c r="I4087" s="990"/>
      <c r="J4087" s="990"/>
      <c r="K4087" s="990"/>
      <c r="L4087" s="990"/>
      <c r="M4087" s="990"/>
      <c r="N4087" s="990"/>
      <c r="O4087" s="990"/>
      <c r="P4087" s="990"/>
      <c r="Q4087" s="990"/>
      <c r="R4087" s="990"/>
      <c r="S4087" s="990"/>
      <c r="T4087" s="990"/>
      <c r="U4087" s="990"/>
      <c r="V4087" s="990"/>
      <c r="W4087" s="990"/>
      <c r="X4087" s="990"/>
    </row>
    <row r="4088" spans="1:24" s="896" customFormat="1">
      <c r="A4088" s="987">
        <f t="shared" si="64"/>
        <v>4014</v>
      </c>
      <c r="B4088" s="988">
        <v>6111</v>
      </c>
      <c r="C4088" s="899" t="s">
        <v>13414</v>
      </c>
      <c r="D4088" s="988" t="s">
        <v>2665</v>
      </c>
      <c r="E4088" s="989">
        <v>16.899999999999999</v>
      </c>
      <c r="F4088" s="990"/>
      <c r="G4088" s="990"/>
      <c r="H4088" s="990"/>
      <c r="I4088" s="990"/>
      <c r="J4088" s="990"/>
      <c r="K4088" s="990"/>
      <c r="L4088" s="990"/>
      <c r="M4088" s="990"/>
      <c r="N4088" s="990"/>
      <c r="O4088" s="990"/>
      <c r="P4088" s="990"/>
      <c r="Q4088" s="990"/>
      <c r="R4088" s="990"/>
      <c r="S4088" s="990"/>
      <c r="T4088" s="990"/>
      <c r="U4088" s="990"/>
      <c r="V4088" s="990"/>
      <c r="W4088" s="990"/>
      <c r="X4088" s="990"/>
    </row>
    <row r="4089" spans="1:24" s="896" customFormat="1">
      <c r="A4089" s="987">
        <f t="shared" si="64"/>
        <v>4015</v>
      </c>
      <c r="B4089" s="988">
        <v>41084</v>
      </c>
      <c r="C4089" s="899" t="s">
        <v>13415</v>
      </c>
      <c r="D4089" s="988" t="s">
        <v>2672</v>
      </c>
      <c r="E4089" s="989">
        <v>2971.28</v>
      </c>
      <c r="F4089" s="990"/>
      <c r="G4089" s="990"/>
      <c r="H4089" s="990"/>
      <c r="I4089" s="990"/>
      <c r="J4089" s="990"/>
      <c r="K4089" s="990"/>
      <c r="L4089" s="990"/>
      <c r="M4089" s="990"/>
      <c r="N4089" s="990"/>
      <c r="O4089" s="990"/>
      <c r="P4089" s="990"/>
      <c r="Q4089" s="990"/>
      <c r="R4089" s="990"/>
      <c r="S4089" s="990"/>
      <c r="T4089" s="990"/>
      <c r="U4089" s="990"/>
      <c r="V4089" s="990"/>
      <c r="W4089" s="990"/>
      <c r="X4089" s="990"/>
    </row>
    <row r="4090" spans="1:24" s="896" customFormat="1">
      <c r="A4090" s="987">
        <f t="shared" si="64"/>
        <v>4016</v>
      </c>
      <c r="B4090" s="988">
        <v>44535</v>
      </c>
      <c r="C4090" s="899" t="s">
        <v>13416</v>
      </c>
      <c r="D4090" s="988" t="s">
        <v>2668</v>
      </c>
      <c r="E4090" s="989">
        <v>39.58</v>
      </c>
      <c r="F4090" s="990"/>
      <c r="G4090" s="990"/>
      <c r="H4090" s="990"/>
      <c r="I4090" s="990"/>
      <c r="J4090" s="990"/>
      <c r="K4090" s="990"/>
      <c r="L4090" s="990"/>
      <c r="M4090" s="990"/>
      <c r="N4090" s="990"/>
      <c r="O4090" s="990"/>
      <c r="P4090" s="990"/>
      <c r="Q4090" s="990"/>
      <c r="R4090" s="990"/>
      <c r="S4090" s="990"/>
      <c r="T4090" s="990"/>
      <c r="U4090" s="990"/>
      <c r="V4090" s="990"/>
      <c r="W4090" s="990"/>
      <c r="X4090" s="990"/>
    </row>
    <row r="4091" spans="1:24" s="896" customFormat="1">
      <c r="A4091" s="987">
        <f t="shared" si="64"/>
        <v>4017</v>
      </c>
      <c r="B4091" s="988">
        <v>38637</v>
      </c>
      <c r="C4091" s="899" t="s">
        <v>13417</v>
      </c>
      <c r="D4091" s="988" t="s">
        <v>2666</v>
      </c>
      <c r="E4091" s="989">
        <v>458.22</v>
      </c>
      <c r="F4091" s="990"/>
      <c r="G4091" s="990"/>
      <c r="H4091" s="990"/>
      <c r="I4091" s="990"/>
      <c r="J4091" s="990"/>
      <c r="K4091" s="990"/>
      <c r="L4091" s="990"/>
      <c r="M4091" s="990"/>
      <c r="N4091" s="990"/>
      <c r="O4091" s="990"/>
      <c r="P4091" s="990"/>
      <c r="Q4091" s="990"/>
      <c r="R4091" s="990"/>
      <c r="S4091" s="990"/>
      <c r="T4091" s="990"/>
      <c r="U4091" s="990"/>
      <c r="V4091" s="990"/>
      <c r="W4091" s="990"/>
      <c r="X4091" s="990"/>
    </row>
    <row r="4092" spans="1:24" s="896" customFormat="1">
      <c r="A4092" s="987">
        <f t="shared" si="64"/>
        <v>4018</v>
      </c>
      <c r="B4092" s="988">
        <v>6150</v>
      </c>
      <c r="C4092" s="899" t="s">
        <v>13418</v>
      </c>
      <c r="D4092" s="988" t="s">
        <v>2666</v>
      </c>
      <c r="E4092" s="989">
        <v>463.83</v>
      </c>
      <c r="F4092" s="990"/>
      <c r="G4092" s="990"/>
      <c r="H4092" s="990"/>
      <c r="I4092" s="990"/>
      <c r="J4092" s="990"/>
      <c r="K4092" s="990"/>
      <c r="L4092" s="990"/>
      <c r="M4092" s="990"/>
      <c r="N4092" s="990"/>
      <c r="O4092" s="990"/>
      <c r="P4092" s="990"/>
      <c r="Q4092" s="990"/>
      <c r="R4092" s="990"/>
      <c r="S4092" s="990"/>
      <c r="T4092" s="990"/>
      <c r="U4092" s="990"/>
      <c r="V4092" s="990"/>
      <c r="W4092" s="990"/>
      <c r="X4092" s="990"/>
    </row>
    <row r="4093" spans="1:24" s="896" customFormat="1">
      <c r="A4093" s="987">
        <f t="shared" si="64"/>
        <v>4019</v>
      </c>
      <c r="B4093" s="988">
        <v>6136</v>
      </c>
      <c r="C4093" s="899" t="s">
        <v>13419</v>
      </c>
      <c r="D4093" s="988" t="s">
        <v>2666</v>
      </c>
      <c r="E4093" s="989">
        <v>364.59</v>
      </c>
      <c r="F4093" s="990"/>
      <c r="G4093" s="990"/>
      <c r="H4093" s="990"/>
      <c r="I4093" s="990"/>
      <c r="J4093" s="990"/>
      <c r="K4093" s="990"/>
      <c r="L4093" s="990"/>
      <c r="M4093" s="990"/>
      <c r="N4093" s="990"/>
      <c r="O4093" s="990"/>
      <c r="P4093" s="990"/>
      <c r="Q4093" s="990"/>
      <c r="R4093" s="990"/>
      <c r="S4093" s="990"/>
      <c r="T4093" s="990"/>
      <c r="U4093" s="990"/>
      <c r="V4093" s="990"/>
      <c r="W4093" s="990"/>
      <c r="X4093" s="990"/>
    </row>
    <row r="4094" spans="1:24" s="896" customFormat="1">
      <c r="A4094" s="987">
        <f t="shared" si="64"/>
        <v>4020</v>
      </c>
      <c r="B4094" s="988">
        <v>38638</v>
      </c>
      <c r="C4094" s="899" t="s">
        <v>13420</v>
      </c>
      <c r="D4094" s="988" t="s">
        <v>2666</v>
      </c>
      <c r="E4094" s="989">
        <v>386.13</v>
      </c>
      <c r="F4094" s="990"/>
      <c r="G4094" s="990"/>
      <c r="H4094" s="990"/>
      <c r="I4094" s="990"/>
      <c r="J4094" s="990"/>
      <c r="K4094" s="990"/>
      <c r="L4094" s="990"/>
      <c r="M4094" s="990"/>
      <c r="N4094" s="990"/>
      <c r="O4094" s="990"/>
      <c r="P4094" s="990"/>
      <c r="Q4094" s="990"/>
      <c r="R4094" s="990"/>
      <c r="S4094" s="990"/>
      <c r="T4094" s="990"/>
      <c r="U4094" s="990"/>
      <c r="V4094" s="990"/>
      <c r="W4094" s="990"/>
      <c r="X4094" s="990"/>
    </row>
    <row r="4095" spans="1:24" s="896" customFormat="1">
      <c r="A4095" s="987">
        <f t="shared" si="64"/>
        <v>4021</v>
      </c>
      <c r="B4095" s="988">
        <v>20262</v>
      </c>
      <c r="C4095" s="899" t="s">
        <v>13421</v>
      </c>
      <c r="D4095" s="988" t="s">
        <v>2666</v>
      </c>
      <c r="E4095" s="989">
        <v>11.88</v>
      </c>
      <c r="F4095" s="990"/>
      <c r="G4095" s="990"/>
      <c r="H4095" s="990"/>
      <c r="I4095" s="990"/>
      <c r="J4095" s="990"/>
      <c r="K4095" s="990"/>
      <c r="L4095" s="990"/>
      <c r="M4095" s="990"/>
      <c r="N4095" s="990"/>
      <c r="O4095" s="990"/>
      <c r="P4095" s="990"/>
      <c r="Q4095" s="990"/>
      <c r="R4095" s="990"/>
      <c r="S4095" s="990"/>
      <c r="T4095" s="990"/>
      <c r="U4095" s="990"/>
      <c r="V4095" s="990"/>
      <c r="W4095" s="990"/>
      <c r="X4095" s="990"/>
    </row>
    <row r="4096" spans="1:24" s="896" customFormat="1">
      <c r="A4096" s="987">
        <f t="shared" si="64"/>
        <v>4022</v>
      </c>
      <c r="B4096" s="988">
        <v>6148</v>
      </c>
      <c r="C4096" s="899" t="s">
        <v>13422</v>
      </c>
      <c r="D4096" s="988" t="s">
        <v>2666</v>
      </c>
      <c r="E4096" s="989">
        <v>8.5</v>
      </c>
      <c r="F4096" s="990"/>
      <c r="G4096" s="990"/>
      <c r="H4096" s="990"/>
      <c r="I4096" s="990"/>
      <c r="J4096" s="990"/>
      <c r="K4096" s="990"/>
      <c r="L4096" s="990"/>
      <c r="M4096" s="990"/>
      <c r="N4096" s="990"/>
      <c r="O4096" s="990"/>
      <c r="P4096" s="990"/>
      <c r="Q4096" s="990"/>
      <c r="R4096" s="990"/>
      <c r="S4096" s="990"/>
      <c r="T4096" s="990"/>
      <c r="U4096" s="990"/>
      <c r="V4096" s="990"/>
      <c r="W4096" s="990"/>
      <c r="X4096" s="990"/>
    </row>
    <row r="4097" spans="1:24" s="896" customFormat="1">
      <c r="A4097" s="987">
        <f t="shared" si="64"/>
        <v>4023</v>
      </c>
      <c r="B4097" s="988">
        <v>6145</v>
      </c>
      <c r="C4097" s="899" t="s">
        <v>13423</v>
      </c>
      <c r="D4097" s="988" t="s">
        <v>2666</v>
      </c>
      <c r="E4097" s="989">
        <v>15.25</v>
      </c>
      <c r="F4097" s="990"/>
      <c r="G4097" s="990"/>
      <c r="H4097" s="990"/>
      <c r="I4097" s="990"/>
      <c r="J4097" s="990"/>
      <c r="K4097" s="990"/>
      <c r="L4097" s="990"/>
      <c r="M4097" s="990"/>
      <c r="N4097" s="990"/>
      <c r="O4097" s="990"/>
      <c r="P4097" s="990"/>
      <c r="Q4097" s="990"/>
      <c r="R4097" s="990"/>
      <c r="S4097" s="990"/>
      <c r="T4097" s="990"/>
      <c r="U4097" s="990"/>
      <c r="V4097" s="990"/>
      <c r="W4097" s="990"/>
      <c r="X4097" s="990"/>
    </row>
    <row r="4098" spans="1:24" s="896" customFormat="1">
      <c r="A4098" s="987">
        <f t="shared" si="64"/>
        <v>4024</v>
      </c>
      <c r="B4098" s="988">
        <v>6149</v>
      </c>
      <c r="C4098" s="899" t="s">
        <v>13424</v>
      </c>
      <c r="D4098" s="988" t="s">
        <v>2666</v>
      </c>
      <c r="E4098" s="989">
        <v>14.4</v>
      </c>
      <c r="F4098" s="990"/>
      <c r="G4098" s="990"/>
      <c r="H4098" s="990"/>
      <c r="I4098" s="990"/>
      <c r="J4098" s="990"/>
      <c r="K4098" s="990"/>
      <c r="L4098" s="990"/>
      <c r="M4098" s="990"/>
      <c r="N4098" s="990"/>
      <c r="O4098" s="990"/>
      <c r="P4098" s="990"/>
      <c r="Q4098" s="990"/>
      <c r="R4098" s="990"/>
      <c r="S4098" s="990"/>
      <c r="T4098" s="990"/>
      <c r="U4098" s="990"/>
      <c r="V4098" s="990"/>
      <c r="W4098" s="990"/>
      <c r="X4098" s="990"/>
    </row>
    <row r="4099" spans="1:24" s="896" customFormat="1">
      <c r="A4099" s="987">
        <f t="shared" si="64"/>
        <v>4025</v>
      </c>
      <c r="B4099" s="988">
        <v>6146</v>
      </c>
      <c r="C4099" s="899" t="s">
        <v>13425</v>
      </c>
      <c r="D4099" s="988" t="s">
        <v>2666</v>
      </c>
      <c r="E4099" s="989">
        <v>15.28</v>
      </c>
      <c r="F4099" s="990"/>
      <c r="G4099" s="990"/>
      <c r="H4099" s="990"/>
      <c r="I4099" s="990"/>
      <c r="J4099" s="990"/>
      <c r="K4099" s="990"/>
      <c r="L4099" s="990"/>
      <c r="M4099" s="990"/>
      <c r="N4099" s="990"/>
      <c r="O4099" s="990"/>
      <c r="P4099" s="990"/>
      <c r="Q4099" s="990"/>
      <c r="R4099" s="990"/>
      <c r="S4099" s="990"/>
      <c r="T4099" s="990"/>
      <c r="U4099" s="990"/>
      <c r="V4099" s="990"/>
      <c r="W4099" s="990"/>
      <c r="X4099" s="990"/>
    </row>
    <row r="4100" spans="1:24" s="896" customFormat="1">
      <c r="A4100" s="987">
        <f t="shared" si="64"/>
        <v>4026</v>
      </c>
      <c r="B4100" s="988">
        <v>44536</v>
      </c>
      <c r="C4100" s="899" t="s">
        <v>13426</v>
      </c>
      <c r="D4100" s="988" t="s">
        <v>2670</v>
      </c>
      <c r="E4100" s="989">
        <v>2.75</v>
      </c>
      <c r="F4100" s="990"/>
      <c r="G4100" s="990"/>
      <c r="H4100" s="990"/>
      <c r="I4100" s="990"/>
      <c r="J4100" s="990"/>
      <c r="K4100" s="990"/>
      <c r="L4100" s="990"/>
      <c r="M4100" s="990"/>
      <c r="N4100" s="990"/>
      <c r="O4100" s="990"/>
      <c r="P4100" s="990"/>
      <c r="Q4100" s="990"/>
      <c r="R4100" s="990"/>
      <c r="S4100" s="990"/>
      <c r="T4100" s="990"/>
      <c r="U4100" s="990"/>
      <c r="V4100" s="990"/>
      <c r="W4100" s="990"/>
      <c r="X4100" s="990"/>
    </row>
    <row r="4101" spans="1:24" s="896" customFormat="1">
      <c r="A4101" s="987">
        <f t="shared" si="64"/>
        <v>4027</v>
      </c>
      <c r="B4101" s="988">
        <v>39961</v>
      </c>
      <c r="C4101" s="899" t="s">
        <v>13427</v>
      </c>
      <c r="D4101" s="988" t="s">
        <v>2666</v>
      </c>
      <c r="E4101" s="989">
        <v>21.64</v>
      </c>
      <c r="F4101" s="990"/>
      <c r="G4101" s="990"/>
      <c r="H4101" s="990"/>
      <c r="I4101" s="990"/>
      <c r="J4101" s="990"/>
      <c r="K4101" s="990"/>
      <c r="L4101" s="990"/>
      <c r="M4101" s="990"/>
      <c r="N4101" s="990"/>
      <c r="O4101" s="990"/>
      <c r="P4101" s="990"/>
      <c r="Q4101" s="990"/>
      <c r="R4101" s="990"/>
      <c r="S4101" s="990"/>
      <c r="T4101" s="990"/>
      <c r="U4101" s="990"/>
      <c r="V4101" s="990"/>
      <c r="W4101" s="990"/>
      <c r="X4101" s="990"/>
    </row>
    <row r="4102" spans="1:24" s="896" customFormat="1" ht="38.25">
      <c r="A4102" s="987">
        <f t="shared" si="64"/>
        <v>4028</v>
      </c>
      <c r="B4102" s="988">
        <v>42433</v>
      </c>
      <c r="C4102" s="899" t="s">
        <v>13428</v>
      </c>
      <c r="D4102" s="988" t="s">
        <v>2666</v>
      </c>
      <c r="E4102" s="989">
        <v>4747</v>
      </c>
      <c r="F4102" s="990"/>
      <c r="G4102" s="990"/>
      <c r="H4102" s="990"/>
      <c r="I4102" s="990"/>
      <c r="J4102" s="990"/>
      <c r="K4102" s="990"/>
      <c r="L4102" s="990"/>
      <c r="M4102" s="990"/>
      <c r="N4102" s="990"/>
      <c r="O4102" s="990"/>
      <c r="P4102" s="990"/>
      <c r="Q4102" s="990"/>
      <c r="R4102" s="990"/>
      <c r="S4102" s="990"/>
      <c r="T4102" s="990"/>
      <c r="U4102" s="990"/>
      <c r="V4102" s="990"/>
      <c r="W4102" s="990"/>
      <c r="X4102" s="990"/>
    </row>
    <row r="4103" spans="1:24" s="896" customFormat="1" ht="38.25">
      <c r="A4103" s="987">
        <f t="shared" si="64"/>
        <v>4029</v>
      </c>
      <c r="B4103" s="988">
        <v>42434</v>
      </c>
      <c r="C4103" s="899" t="s">
        <v>13429</v>
      </c>
      <c r="D4103" s="988" t="s">
        <v>2666</v>
      </c>
      <c r="E4103" s="989">
        <v>5129.83</v>
      </c>
      <c r="F4103" s="990"/>
      <c r="G4103" s="990"/>
      <c r="H4103" s="990"/>
      <c r="I4103" s="990"/>
      <c r="J4103" s="990"/>
      <c r="K4103" s="990"/>
      <c r="L4103" s="990"/>
      <c r="M4103" s="990"/>
      <c r="N4103" s="990"/>
      <c r="O4103" s="990"/>
      <c r="P4103" s="990"/>
      <c r="Q4103" s="990"/>
      <c r="R4103" s="990"/>
      <c r="S4103" s="990"/>
      <c r="T4103" s="990"/>
      <c r="U4103" s="990"/>
      <c r="V4103" s="990"/>
      <c r="W4103" s="990"/>
      <c r="X4103" s="990"/>
    </row>
    <row r="4104" spans="1:24" s="896" customFormat="1" ht="38.25">
      <c r="A4104" s="987">
        <f t="shared" si="64"/>
        <v>4030</v>
      </c>
      <c r="B4104" s="988">
        <v>42435</v>
      </c>
      <c r="C4104" s="899" t="s">
        <v>13430</v>
      </c>
      <c r="D4104" s="988" t="s">
        <v>2666</v>
      </c>
      <c r="E4104" s="989">
        <v>2558.0500000000002</v>
      </c>
      <c r="F4104" s="990"/>
      <c r="G4104" s="990"/>
      <c r="H4104" s="990"/>
      <c r="I4104" s="990"/>
      <c r="J4104" s="990"/>
      <c r="K4104" s="990"/>
      <c r="L4104" s="990"/>
      <c r="M4104" s="990"/>
      <c r="N4104" s="990"/>
      <c r="O4104" s="990"/>
      <c r="P4104" s="990"/>
      <c r="Q4104" s="990"/>
      <c r="R4104" s="990"/>
      <c r="S4104" s="990"/>
      <c r="T4104" s="990"/>
      <c r="U4104" s="990"/>
      <c r="V4104" s="990"/>
      <c r="W4104" s="990"/>
      <c r="X4104" s="990"/>
    </row>
    <row r="4105" spans="1:24" s="896" customFormat="1">
      <c r="A4105" s="987">
        <f t="shared" si="64"/>
        <v>4031</v>
      </c>
      <c r="B4105" s="988">
        <v>38061</v>
      </c>
      <c r="C4105" s="899" t="s">
        <v>13431</v>
      </c>
      <c r="D4105" s="988" t="s">
        <v>2666</v>
      </c>
      <c r="E4105" s="989">
        <v>52.52</v>
      </c>
      <c r="F4105" s="990"/>
      <c r="G4105" s="990"/>
      <c r="H4105" s="990"/>
      <c r="I4105" s="990"/>
      <c r="J4105" s="990"/>
      <c r="K4105" s="990"/>
      <c r="L4105" s="990"/>
      <c r="M4105" s="990"/>
      <c r="N4105" s="990"/>
      <c r="O4105" s="990"/>
      <c r="P4105" s="990"/>
      <c r="Q4105" s="990"/>
      <c r="R4105" s="990"/>
      <c r="S4105" s="990"/>
      <c r="T4105" s="990"/>
      <c r="U4105" s="990"/>
      <c r="V4105" s="990"/>
      <c r="W4105" s="990"/>
      <c r="X4105" s="990"/>
    </row>
    <row r="4106" spans="1:24" s="896" customFormat="1">
      <c r="A4106" s="987">
        <f t="shared" si="64"/>
        <v>4032</v>
      </c>
      <c r="B4106" s="988">
        <v>20250</v>
      </c>
      <c r="C4106" s="899" t="s">
        <v>13432</v>
      </c>
      <c r="D4106" s="988" t="s">
        <v>2670</v>
      </c>
      <c r="E4106" s="989">
        <v>15.75</v>
      </c>
      <c r="F4106" s="990"/>
      <c r="G4106" s="990"/>
      <c r="H4106" s="990"/>
      <c r="I4106" s="990"/>
      <c r="J4106" s="990"/>
      <c r="K4106" s="990"/>
      <c r="L4106" s="990"/>
      <c r="M4106" s="990"/>
      <c r="N4106" s="990"/>
      <c r="O4106" s="990"/>
      <c r="P4106" s="990"/>
      <c r="Q4106" s="990"/>
      <c r="R4106" s="990"/>
      <c r="S4106" s="990"/>
      <c r="T4106" s="990"/>
      <c r="U4106" s="990"/>
      <c r="V4106" s="990"/>
      <c r="W4106" s="990"/>
      <c r="X4106" s="990"/>
    </row>
    <row r="4107" spans="1:24" s="896" customFormat="1">
      <c r="A4107" s="987">
        <f t="shared" si="64"/>
        <v>4033</v>
      </c>
      <c r="B4107" s="988">
        <v>13388</v>
      </c>
      <c r="C4107" s="899" t="s">
        <v>13433</v>
      </c>
      <c r="D4107" s="988" t="s">
        <v>2670</v>
      </c>
      <c r="E4107" s="989">
        <v>227.94</v>
      </c>
      <c r="F4107" s="990"/>
      <c r="G4107" s="990"/>
      <c r="H4107" s="990"/>
      <c r="I4107" s="990"/>
      <c r="J4107" s="990"/>
      <c r="K4107" s="990"/>
      <c r="L4107" s="990"/>
      <c r="M4107" s="990"/>
      <c r="N4107" s="990"/>
      <c r="O4107" s="990"/>
      <c r="P4107" s="990"/>
      <c r="Q4107" s="990"/>
      <c r="R4107" s="990"/>
      <c r="S4107" s="990"/>
      <c r="T4107" s="990"/>
      <c r="U4107" s="990"/>
      <c r="V4107" s="990"/>
      <c r="W4107" s="990"/>
      <c r="X4107" s="990"/>
    </row>
    <row r="4108" spans="1:24" s="896" customFormat="1">
      <c r="A4108" s="987">
        <f t="shared" ref="A4108:A4171" si="65">A4107+1</f>
        <v>4034</v>
      </c>
      <c r="B4108" s="988">
        <v>39914</v>
      </c>
      <c r="C4108" s="899" t="s">
        <v>13434</v>
      </c>
      <c r="D4108" s="988" t="s">
        <v>2670</v>
      </c>
      <c r="E4108" s="989">
        <v>269.58</v>
      </c>
      <c r="F4108" s="990"/>
      <c r="G4108" s="990"/>
      <c r="H4108" s="990"/>
      <c r="I4108" s="990"/>
      <c r="J4108" s="990"/>
      <c r="K4108" s="990"/>
      <c r="L4108" s="990"/>
      <c r="M4108" s="990"/>
      <c r="N4108" s="990"/>
      <c r="O4108" s="990"/>
      <c r="P4108" s="990"/>
      <c r="Q4108" s="990"/>
      <c r="R4108" s="990"/>
      <c r="S4108" s="990"/>
      <c r="T4108" s="990"/>
      <c r="U4108" s="990"/>
      <c r="V4108" s="990"/>
      <c r="W4108" s="990"/>
      <c r="X4108" s="990"/>
    </row>
    <row r="4109" spans="1:24" s="896" customFormat="1" ht="25.5">
      <c r="A4109" s="987">
        <f t="shared" si="65"/>
        <v>4035</v>
      </c>
      <c r="B4109" s="988">
        <v>12732</v>
      </c>
      <c r="C4109" s="899" t="s">
        <v>13435</v>
      </c>
      <c r="D4109" s="988" t="s">
        <v>2666</v>
      </c>
      <c r="E4109" s="989">
        <v>311.06</v>
      </c>
      <c r="F4109" s="990"/>
      <c r="G4109" s="990"/>
      <c r="H4109" s="990"/>
      <c r="I4109" s="990"/>
      <c r="J4109" s="990"/>
      <c r="K4109" s="990"/>
      <c r="L4109" s="990"/>
      <c r="M4109" s="990"/>
      <c r="N4109" s="990"/>
      <c r="O4109" s="990"/>
      <c r="P4109" s="990"/>
      <c r="Q4109" s="990"/>
      <c r="R4109" s="990"/>
      <c r="S4109" s="990"/>
      <c r="T4109" s="990"/>
      <c r="U4109" s="990"/>
      <c r="V4109" s="990"/>
      <c r="W4109" s="990"/>
      <c r="X4109" s="990"/>
    </row>
    <row r="4110" spans="1:24" s="896" customFormat="1">
      <c r="A4110" s="987">
        <f t="shared" si="65"/>
        <v>4036</v>
      </c>
      <c r="B4110" s="988">
        <v>6160</v>
      </c>
      <c r="C4110" s="899" t="s">
        <v>13436</v>
      </c>
      <c r="D4110" s="988" t="s">
        <v>2665</v>
      </c>
      <c r="E4110" s="989">
        <v>24.6</v>
      </c>
      <c r="F4110" s="990"/>
      <c r="G4110" s="990"/>
      <c r="H4110" s="990"/>
      <c r="I4110" s="990"/>
      <c r="J4110" s="990"/>
      <c r="K4110" s="990"/>
      <c r="L4110" s="990"/>
      <c r="M4110" s="990"/>
      <c r="N4110" s="990"/>
      <c r="O4110" s="990"/>
      <c r="P4110" s="990"/>
      <c r="Q4110" s="990"/>
      <c r="R4110" s="990"/>
      <c r="S4110" s="990"/>
      <c r="T4110" s="990"/>
      <c r="U4110" s="990"/>
      <c r="V4110" s="990"/>
      <c r="W4110" s="990"/>
      <c r="X4110" s="990"/>
    </row>
    <row r="4111" spans="1:24" s="896" customFormat="1">
      <c r="A4111" s="987">
        <f t="shared" si="65"/>
        <v>4037</v>
      </c>
      <c r="B4111" s="988">
        <v>41087</v>
      </c>
      <c r="C4111" s="899" t="s">
        <v>13437</v>
      </c>
      <c r="D4111" s="988" t="s">
        <v>2672</v>
      </c>
      <c r="E4111" s="989">
        <v>4324.6099999999997</v>
      </c>
      <c r="F4111" s="990"/>
      <c r="G4111" s="990"/>
      <c r="H4111" s="990"/>
      <c r="I4111" s="990"/>
      <c r="J4111" s="990"/>
      <c r="K4111" s="990"/>
      <c r="L4111" s="990"/>
      <c r="M4111" s="990"/>
      <c r="N4111" s="990"/>
      <c r="O4111" s="990"/>
      <c r="P4111" s="990"/>
      <c r="Q4111" s="990"/>
      <c r="R4111" s="990"/>
      <c r="S4111" s="990"/>
      <c r="T4111" s="990"/>
      <c r="U4111" s="990"/>
      <c r="V4111" s="990"/>
      <c r="W4111" s="990"/>
      <c r="X4111" s="990"/>
    </row>
    <row r="4112" spans="1:24" s="896" customFormat="1">
      <c r="A4112" s="987">
        <f t="shared" si="65"/>
        <v>4038</v>
      </c>
      <c r="B4112" s="988">
        <v>6166</v>
      </c>
      <c r="C4112" s="899" t="s">
        <v>13438</v>
      </c>
      <c r="D4112" s="988" t="s">
        <v>2665</v>
      </c>
      <c r="E4112" s="989">
        <v>19.91</v>
      </c>
      <c r="F4112" s="990"/>
      <c r="G4112" s="990"/>
      <c r="H4112" s="990"/>
      <c r="I4112" s="990"/>
      <c r="J4112" s="990"/>
      <c r="K4112" s="990"/>
      <c r="L4112" s="990"/>
      <c r="M4112" s="990"/>
      <c r="N4112" s="990"/>
      <c r="O4112" s="990"/>
      <c r="P4112" s="990"/>
      <c r="Q4112" s="990"/>
      <c r="R4112" s="990"/>
      <c r="S4112" s="990"/>
      <c r="T4112" s="990"/>
      <c r="U4112" s="990"/>
      <c r="V4112" s="990"/>
      <c r="W4112" s="990"/>
      <c r="X4112" s="990"/>
    </row>
    <row r="4113" spans="1:24" s="896" customFormat="1">
      <c r="A4113" s="987">
        <f t="shared" si="65"/>
        <v>4039</v>
      </c>
      <c r="B4113" s="988">
        <v>41088</v>
      </c>
      <c r="C4113" s="899" t="s">
        <v>13439</v>
      </c>
      <c r="D4113" s="988" t="s">
        <v>2672</v>
      </c>
      <c r="E4113" s="989">
        <v>3500.79</v>
      </c>
      <c r="F4113" s="990"/>
      <c r="G4113" s="990"/>
      <c r="H4113" s="990"/>
      <c r="I4113" s="990"/>
      <c r="J4113" s="990"/>
      <c r="K4113" s="990"/>
      <c r="L4113" s="990"/>
      <c r="M4113" s="990"/>
      <c r="N4113" s="990"/>
      <c r="O4113" s="990"/>
      <c r="P4113" s="990"/>
      <c r="Q4113" s="990"/>
      <c r="R4113" s="990"/>
      <c r="S4113" s="990"/>
      <c r="T4113" s="990"/>
      <c r="U4113" s="990"/>
      <c r="V4113" s="990"/>
      <c r="W4113" s="990"/>
      <c r="X4113" s="990"/>
    </row>
    <row r="4114" spans="1:24" s="896" customFormat="1" ht="25.5">
      <c r="A4114" s="987">
        <f t="shared" si="65"/>
        <v>4040</v>
      </c>
      <c r="B4114" s="988">
        <v>20232</v>
      </c>
      <c r="C4114" s="899" t="s">
        <v>13440</v>
      </c>
      <c r="D4114" s="988" t="s">
        <v>2669</v>
      </c>
      <c r="E4114" s="989">
        <v>97.97</v>
      </c>
      <c r="F4114" s="990"/>
      <c r="G4114" s="990"/>
      <c r="H4114" s="990"/>
      <c r="I4114" s="990"/>
      <c r="J4114" s="990"/>
      <c r="K4114" s="990"/>
      <c r="L4114" s="990"/>
      <c r="M4114" s="990"/>
      <c r="N4114" s="990"/>
      <c r="O4114" s="990"/>
      <c r="P4114" s="990"/>
      <c r="Q4114" s="990"/>
      <c r="R4114" s="990"/>
      <c r="S4114" s="990"/>
      <c r="T4114" s="990"/>
      <c r="U4114" s="990"/>
      <c r="V4114" s="990"/>
      <c r="W4114" s="990"/>
      <c r="X4114" s="990"/>
    </row>
    <row r="4115" spans="1:24" s="896" customFormat="1">
      <c r="A4115" s="987">
        <f t="shared" si="65"/>
        <v>4041</v>
      </c>
      <c r="B4115" s="988">
        <v>10856</v>
      </c>
      <c r="C4115" s="899" t="s">
        <v>13441</v>
      </c>
      <c r="D4115" s="988" t="s">
        <v>2669</v>
      </c>
      <c r="E4115" s="989">
        <v>89.43</v>
      </c>
      <c r="F4115" s="990"/>
      <c r="G4115" s="990"/>
      <c r="H4115" s="990"/>
      <c r="I4115" s="990"/>
      <c r="J4115" s="990"/>
      <c r="K4115" s="990"/>
      <c r="L4115" s="990"/>
      <c r="M4115" s="990"/>
      <c r="N4115" s="990"/>
      <c r="O4115" s="990"/>
      <c r="P4115" s="990"/>
      <c r="Q4115" s="990"/>
      <c r="R4115" s="990"/>
      <c r="S4115" s="990"/>
      <c r="T4115" s="990"/>
      <c r="U4115" s="990"/>
      <c r="V4115" s="990"/>
      <c r="W4115" s="990"/>
      <c r="X4115" s="990"/>
    </row>
    <row r="4116" spans="1:24" s="896" customFormat="1" ht="25.5">
      <c r="A4116" s="987">
        <f t="shared" si="65"/>
        <v>4042</v>
      </c>
      <c r="B4116" s="988">
        <v>4828</v>
      </c>
      <c r="C4116" s="899" t="s">
        <v>13442</v>
      </c>
      <c r="D4116" s="988" t="s">
        <v>2669</v>
      </c>
      <c r="E4116" s="989">
        <v>102.88</v>
      </c>
      <c r="F4116" s="990"/>
      <c r="G4116" s="990"/>
      <c r="H4116" s="990"/>
      <c r="I4116" s="990"/>
      <c r="J4116" s="990"/>
      <c r="K4116" s="990"/>
      <c r="L4116" s="990"/>
      <c r="M4116" s="990"/>
      <c r="N4116" s="990"/>
      <c r="O4116" s="990"/>
      <c r="P4116" s="990"/>
      <c r="Q4116" s="990"/>
      <c r="R4116" s="990"/>
      <c r="S4116" s="990"/>
      <c r="T4116" s="990"/>
      <c r="U4116" s="990"/>
      <c r="V4116" s="990"/>
      <c r="W4116" s="990"/>
      <c r="X4116" s="990"/>
    </row>
    <row r="4117" spans="1:24" s="896" customFormat="1">
      <c r="A4117" s="987">
        <f t="shared" si="65"/>
        <v>4043</v>
      </c>
      <c r="B4117" s="988">
        <v>20249</v>
      </c>
      <c r="C4117" s="899" t="s">
        <v>13443</v>
      </c>
      <c r="D4117" s="988" t="s">
        <v>2669</v>
      </c>
      <c r="E4117" s="989">
        <v>56.34</v>
      </c>
      <c r="F4117" s="990"/>
      <c r="G4117" s="990"/>
      <c r="H4117" s="990"/>
      <c r="I4117" s="990"/>
      <c r="J4117" s="990"/>
      <c r="K4117" s="990"/>
      <c r="L4117" s="990"/>
      <c r="M4117" s="990"/>
      <c r="N4117" s="990"/>
      <c r="O4117" s="990"/>
      <c r="P4117" s="990"/>
      <c r="Q4117" s="990"/>
      <c r="R4117" s="990"/>
      <c r="S4117" s="990"/>
      <c r="T4117" s="990"/>
      <c r="U4117" s="990"/>
      <c r="V4117" s="990"/>
      <c r="W4117" s="990"/>
      <c r="X4117" s="990"/>
    </row>
    <row r="4118" spans="1:24" s="896" customFormat="1">
      <c r="A4118" s="987">
        <f t="shared" si="65"/>
        <v>4044</v>
      </c>
      <c r="B4118" s="988">
        <v>11609</v>
      </c>
      <c r="C4118" s="899" t="s">
        <v>13444</v>
      </c>
      <c r="D4118" s="988" t="s">
        <v>2671</v>
      </c>
      <c r="E4118" s="989">
        <v>11.53</v>
      </c>
      <c r="F4118" s="990"/>
      <c r="G4118" s="990"/>
      <c r="H4118" s="990"/>
      <c r="I4118" s="990"/>
      <c r="J4118" s="990"/>
      <c r="K4118" s="990"/>
      <c r="L4118" s="990"/>
      <c r="M4118" s="990"/>
      <c r="N4118" s="990"/>
      <c r="O4118" s="990"/>
      <c r="P4118" s="990"/>
      <c r="Q4118" s="990"/>
      <c r="R4118" s="990"/>
      <c r="S4118" s="990"/>
      <c r="T4118" s="990"/>
      <c r="U4118" s="990"/>
      <c r="V4118" s="990"/>
      <c r="W4118" s="990"/>
      <c r="X4118" s="990"/>
    </row>
    <row r="4119" spans="1:24" s="896" customFormat="1">
      <c r="A4119" s="987">
        <f t="shared" si="65"/>
        <v>4045</v>
      </c>
      <c r="B4119" s="988">
        <v>20083</v>
      </c>
      <c r="C4119" s="899" t="s">
        <v>13445</v>
      </c>
      <c r="D4119" s="988" t="s">
        <v>2666</v>
      </c>
      <c r="E4119" s="989">
        <v>82.2</v>
      </c>
      <c r="F4119" s="990"/>
      <c r="G4119" s="990"/>
      <c r="H4119" s="990"/>
      <c r="I4119" s="990"/>
      <c r="J4119" s="990"/>
      <c r="K4119" s="990"/>
      <c r="L4119" s="990"/>
      <c r="M4119" s="990"/>
      <c r="N4119" s="990"/>
      <c r="O4119" s="990"/>
      <c r="P4119" s="990"/>
      <c r="Q4119" s="990"/>
      <c r="R4119" s="990"/>
      <c r="S4119" s="990"/>
      <c r="T4119" s="990"/>
      <c r="U4119" s="990"/>
      <c r="V4119" s="990"/>
      <c r="W4119" s="990"/>
      <c r="X4119" s="990"/>
    </row>
    <row r="4120" spans="1:24" s="896" customFormat="1">
      <c r="A4120" s="987">
        <f t="shared" si="65"/>
        <v>4046</v>
      </c>
      <c r="B4120" s="988">
        <v>10691</v>
      </c>
      <c r="C4120" s="899" t="s">
        <v>13446</v>
      </c>
      <c r="D4120" s="988" t="s">
        <v>2671</v>
      </c>
      <c r="E4120" s="989">
        <v>76.88</v>
      </c>
      <c r="F4120" s="990"/>
      <c r="G4120" s="990"/>
      <c r="H4120" s="990"/>
      <c r="I4120" s="990"/>
      <c r="J4120" s="990"/>
      <c r="K4120" s="990"/>
      <c r="L4120" s="990"/>
      <c r="M4120" s="990"/>
      <c r="N4120" s="990"/>
      <c r="O4120" s="990"/>
      <c r="P4120" s="990"/>
      <c r="Q4120" s="990"/>
      <c r="R4120" s="990"/>
      <c r="S4120" s="990"/>
      <c r="T4120" s="990"/>
      <c r="U4120" s="990"/>
      <c r="V4120" s="990"/>
      <c r="W4120" s="990"/>
      <c r="X4120" s="990"/>
    </row>
    <row r="4121" spans="1:24" s="896" customFormat="1">
      <c r="A4121" s="987">
        <f t="shared" si="65"/>
        <v>4047</v>
      </c>
      <c r="B4121" s="988">
        <v>12295</v>
      </c>
      <c r="C4121" s="899" t="s">
        <v>13447</v>
      </c>
      <c r="D4121" s="988" t="s">
        <v>2666</v>
      </c>
      <c r="E4121" s="989">
        <v>3.45</v>
      </c>
      <c r="F4121" s="990"/>
      <c r="G4121" s="990"/>
      <c r="H4121" s="990"/>
      <c r="I4121" s="990"/>
      <c r="J4121" s="990"/>
      <c r="K4121" s="990"/>
      <c r="L4121" s="990"/>
      <c r="M4121" s="990"/>
      <c r="N4121" s="990"/>
      <c r="O4121" s="990"/>
      <c r="P4121" s="990"/>
      <c r="Q4121" s="990"/>
      <c r="R4121" s="990"/>
      <c r="S4121" s="990"/>
      <c r="T4121" s="990"/>
      <c r="U4121" s="990"/>
      <c r="V4121" s="990"/>
      <c r="W4121" s="990"/>
      <c r="X4121" s="990"/>
    </row>
    <row r="4122" spans="1:24" s="896" customFormat="1">
      <c r="A4122" s="987">
        <f t="shared" si="65"/>
        <v>4048</v>
      </c>
      <c r="B4122" s="988">
        <v>12296</v>
      </c>
      <c r="C4122" s="899" t="s">
        <v>13448</v>
      </c>
      <c r="D4122" s="988" t="s">
        <v>2666</v>
      </c>
      <c r="E4122" s="989">
        <v>4.47</v>
      </c>
      <c r="F4122" s="990"/>
      <c r="G4122" s="990"/>
      <c r="H4122" s="990"/>
      <c r="I4122" s="990"/>
      <c r="J4122" s="990"/>
      <c r="K4122" s="990"/>
      <c r="L4122" s="990"/>
      <c r="M4122" s="990"/>
      <c r="N4122" s="990"/>
      <c r="O4122" s="990"/>
      <c r="P4122" s="990"/>
      <c r="Q4122" s="990"/>
      <c r="R4122" s="990"/>
      <c r="S4122" s="990"/>
      <c r="T4122" s="990"/>
      <c r="U4122" s="990"/>
      <c r="V4122" s="990"/>
      <c r="W4122" s="990"/>
      <c r="X4122" s="990"/>
    </row>
    <row r="4123" spans="1:24" s="896" customFormat="1">
      <c r="A4123" s="987">
        <f t="shared" si="65"/>
        <v>4049</v>
      </c>
      <c r="B4123" s="988">
        <v>12294</v>
      </c>
      <c r="C4123" s="899" t="s">
        <v>13449</v>
      </c>
      <c r="D4123" s="988" t="s">
        <v>2666</v>
      </c>
      <c r="E4123" s="989">
        <v>10.74</v>
      </c>
      <c r="F4123" s="990"/>
      <c r="G4123" s="990"/>
      <c r="H4123" s="990"/>
      <c r="I4123" s="990"/>
      <c r="J4123" s="990"/>
      <c r="K4123" s="990"/>
      <c r="L4123" s="990"/>
      <c r="M4123" s="990"/>
      <c r="N4123" s="990"/>
      <c r="O4123" s="990"/>
      <c r="P4123" s="990"/>
      <c r="Q4123" s="990"/>
      <c r="R4123" s="990"/>
      <c r="S4123" s="990"/>
      <c r="T4123" s="990"/>
      <c r="U4123" s="990"/>
      <c r="V4123" s="990"/>
      <c r="W4123" s="990"/>
      <c r="X4123" s="990"/>
    </row>
    <row r="4124" spans="1:24" s="896" customFormat="1">
      <c r="A4124" s="987">
        <f t="shared" si="65"/>
        <v>4050</v>
      </c>
      <c r="B4124" s="988">
        <v>14543</v>
      </c>
      <c r="C4124" s="899" t="s">
        <v>13450</v>
      </c>
      <c r="D4124" s="988" t="s">
        <v>2666</v>
      </c>
      <c r="E4124" s="989">
        <v>7.66</v>
      </c>
      <c r="F4124" s="990"/>
      <c r="G4124" s="990"/>
      <c r="H4124" s="990"/>
      <c r="I4124" s="990"/>
      <c r="J4124" s="990"/>
      <c r="K4124" s="990"/>
      <c r="L4124" s="990"/>
      <c r="M4124" s="990"/>
      <c r="N4124" s="990"/>
      <c r="O4124" s="990"/>
      <c r="P4124" s="990"/>
      <c r="Q4124" s="990"/>
      <c r="R4124" s="990"/>
      <c r="S4124" s="990"/>
      <c r="T4124" s="990"/>
      <c r="U4124" s="990"/>
      <c r="V4124" s="990"/>
      <c r="W4124" s="990"/>
      <c r="X4124" s="990"/>
    </row>
    <row r="4125" spans="1:24" s="896" customFormat="1">
      <c r="A4125" s="987">
        <f t="shared" si="65"/>
        <v>4051</v>
      </c>
      <c r="B4125" s="988">
        <v>13329</v>
      </c>
      <c r="C4125" s="899" t="s">
        <v>13451</v>
      </c>
      <c r="D4125" s="988" t="s">
        <v>2666</v>
      </c>
      <c r="E4125" s="989">
        <v>4.5</v>
      </c>
      <c r="F4125" s="990"/>
      <c r="G4125" s="990"/>
      <c r="H4125" s="990"/>
      <c r="I4125" s="990"/>
      <c r="J4125" s="990"/>
      <c r="K4125" s="990"/>
      <c r="L4125" s="990"/>
      <c r="M4125" s="990"/>
      <c r="N4125" s="990"/>
      <c r="O4125" s="990"/>
      <c r="P4125" s="990"/>
      <c r="Q4125" s="990"/>
      <c r="R4125" s="990"/>
      <c r="S4125" s="990"/>
      <c r="T4125" s="990"/>
      <c r="U4125" s="990"/>
      <c r="V4125" s="990"/>
      <c r="W4125" s="990"/>
      <c r="X4125" s="990"/>
    </row>
    <row r="4126" spans="1:24" s="896" customFormat="1" ht="25.5">
      <c r="A4126" s="987">
        <f t="shared" si="65"/>
        <v>4052</v>
      </c>
      <c r="B4126" s="988">
        <v>21044</v>
      </c>
      <c r="C4126" s="899" t="s">
        <v>13452</v>
      </c>
      <c r="D4126" s="988" t="s">
        <v>2666</v>
      </c>
      <c r="E4126" s="989">
        <v>45.99</v>
      </c>
      <c r="F4126" s="990"/>
      <c r="G4126" s="990"/>
      <c r="H4126" s="990"/>
      <c r="I4126" s="990"/>
      <c r="J4126" s="990"/>
      <c r="K4126" s="990"/>
      <c r="L4126" s="990"/>
      <c r="M4126" s="990"/>
      <c r="N4126" s="990"/>
      <c r="O4126" s="990"/>
      <c r="P4126" s="990"/>
      <c r="Q4126" s="990"/>
      <c r="R4126" s="990"/>
      <c r="S4126" s="990"/>
      <c r="T4126" s="990"/>
      <c r="U4126" s="990"/>
      <c r="V4126" s="990"/>
      <c r="W4126" s="990"/>
      <c r="X4126" s="990"/>
    </row>
    <row r="4127" spans="1:24" s="896" customFormat="1" ht="25.5">
      <c r="A4127" s="987">
        <f t="shared" si="65"/>
        <v>4053</v>
      </c>
      <c r="B4127" s="988">
        <v>21045</v>
      </c>
      <c r="C4127" s="899" t="s">
        <v>13453</v>
      </c>
      <c r="D4127" s="988" t="s">
        <v>2666</v>
      </c>
      <c r="E4127" s="989">
        <v>62.98</v>
      </c>
      <c r="F4127" s="990"/>
      <c r="G4127" s="990"/>
      <c r="H4127" s="990"/>
      <c r="I4127" s="990"/>
      <c r="J4127" s="990"/>
      <c r="K4127" s="990"/>
      <c r="L4127" s="990"/>
      <c r="M4127" s="990"/>
      <c r="N4127" s="990"/>
      <c r="O4127" s="990"/>
      <c r="P4127" s="990"/>
      <c r="Q4127" s="990"/>
      <c r="R4127" s="990"/>
      <c r="S4127" s="990"/>
      <c r="T4127" s="990"/>
      <c r="U4127" s="990"/>
      <c r="V4127" s="990"/>
      <c r="W4127" s="990"/>
      <c r="X4127" s="990"/>
    </row>
    <row r="4128" spans="1:24" s="896" customFormat="1" ht="25.5">
      <c r="A4128" s="987">
        <f t="shared" si="65"/>
        <v>4054</v>
      </c>
      <c r="B4128" s="988">
        <v>21040</v>
      </c>
      <c r="C4128" s="899" t="s">
        <v>13454</v>
      </c>
      <c r="D4128" s="988" t="s">
        <v>2666</v>
      </c>
      <c r="E4128" s="989">
        <v>45</v>
      </c>
      <c r="F4128" s="990"/>
      <c r="G4128" s="990"/>
      <c r="H4128" s="990"/>
      <c r="I4128" s="990"/>
      <c r="J4128" s="990"/>
      <c r="K4128" s="990"/>
      <c r="L4128" s="990"/>
      <c r="M4128" s="990"/>
      <c r="N4128" s="990"/>
      <c r="O4128" s="990"/>
      <c r="P4128" s="990"/>
      <c r="Q4128" s="990"/>
      <c r="R4128" s="990"/>
      <c r="S4128" s="990"/>
      <c r="T4128" s="990"/>
      <c r="U4128" s="990"/>
      <c r="V4128" s="990"/>
      <c r="W4128" s="990"/>
      <c r="X4128" s="990"/>
    </row>
    <row r="4129" spans="1:24" s="896" customFormat="1" ht="25.5">
      <c r="A4129" s="987">
        <f t="shared" si="65"/>
        <v>4055</v>
      </c>
      <c r="B4129" s="988">
        <v>21041</v>
      </c>
      <c r="C4129" s="899" t="s">
        <v>13455</v>
      </c>
      <c r="D4129" s="988" t="s">
        <v>2666</v>
      </c>
      <c r="E4129" s="989">
        <v>54.32</v>
      </c>
      <c r="F4129" s="990"/>
      <c r="G4129" s="990"/>
      <c r="H4129" s="990"/>
      <c r="I4129" s="990"/>
      <c r="J4129" s="990"/>
      <c r="K4129" s="990"/>
      <c r="L4129" s="990"/>
      <c r="M4129" s="990"/>
      <c r="N4129" s="990"/>
      <c r="O4129" s="990"/>
      <c r="P4129" s="990"/>
      <c r="Q4129" s="990"/>
      <c r="R4129" s="990"/>
      <c r="S4129" s="990"/>
      <c r="T4129" s="990"/>
      <c r="U4129" s="990"/>
      <c r="V4129" s="990"/>
      <c r="W4129" s="990"/>
      <c r="X4129" s="990"/>
    </row>
    <row r="4130" spans="1:24" s="896" customFormat="1" ht="25.5">
      <c r="A4130" s="987">
        <f t="shared" si="65"/>
        <v>4056</v>
      </c>
      <c r="B4130" s="988">
        <v>21047</v>
      </c>
      <c r="C4130" s="899" t="s">
        <v>13456</v>
      </c>
      <c r="D4130" s="988" t="s">
        <v>2666</v>
      </c>
      <c r="E4130" s="989">
        <v>67.8</v>
      </c>
      <c r="F4130" s="990"/>
      <c r="G4130" s="990"/>
      <c r="H4130" s="990"/>
      <c r="I4130" s="990"/>
      <c r="J4130" s="990"/>
      <c r="K4130" s="990"/>
      <c r="L4130" s="990"/>
      <c r="M4130" s="990"/>
      <c r="N4130" s="990"/>
      <c r="O4130" s="990"/>
      <c r="P4130" s="990"/>
      <c r="Q4130" s="990"/>
      <c r="R4130" s="990"/>
      <c r="S4130" s="990"/>
      <c r="T4130" s="990"/>
      <c r="U4130" s="990"/>
      <c r="V4130" s="990"/>
      <c r="W4130" s="990"/>
      <c r="X4130" s="990"/>
    </row>
    <row r="4131" spans="1:24" s="896" customFormat="1" ht="25.5">
      <c r="A4131" s="987">
        <f t="shared" si="65"/>
        <v>4057</v>
      </c>
      <c r="B4131" s="988">
        <v>21043</v>
      </c>
      <c r="C4131" s="899" t="s">
        <v>13457</v>
      </c>
      <c r="D4131" s="988" t="s">
        <v>2666</v>
      </c>
      <c r="E4131" s="989">
        <v>66.010000000000005</v>
      </c>
      <c r="F4131" s="990"/>
      <c r="G4131" s="990"/>
      <c r="H4131" s="990"/>
      <c r="I4131" s="990"/>
      <c r="J4131" s="990"/>
      <c r="K4131" s="990"/>
      <c r="L4131" s="990"/>
      <c r="M4131" s="990"/>
      <c r="N4131" s="990"/>
      <c r="O4131" s="990"/>
      <c r="P4131" s="990"/>
      <c r="Q4131" s="990"/>
      <c r="R4131" s="990"/>
      <c r="S4131" s="990"/>
      <c r="T4131" s="990"/>
      <c r="U4131" s="990"/>
      <c r="V4131" s="990"/>
      <c r="W4131" s="990"/>
      <c r="X4131" s="990"/>
    </row>
    <row r="4132" spans="1:24" s="896" customFormat="1" ht="25.5">
      <c r="A4132" s="987">
        <f t="shared" si="65"/>
        <v>4058</v>
      </c>
      <c r="B4132" s="988">
        <v>21042</v>
      </c>
      <c r="C4132" s="899" t="s">
        <v>13458</v>
      </c>
      <c r="D4132" s="988" t="s">
        <v>2666</v>
      </c>
      <c r="E4132" s="989">
        <v>52.26</v>
      </c>
      <c r="F4132" s="990"/>
      <c r="G4132" s="990"/>
      <c r="H4132" s="990"/>
      <c r="I4132" s="990"/>
      <c r="J4132" s="990"/>
      <c r="K4132" s="990"/>
      <c r="L4132" s="990"/>
      <c r="M4132" s="990"/>
      <c r="N4132" s="990"/>
      <c r="O4132" s="990"/>
      <c r="P4132" s="990"/>
      <c r="Q4132" s="990"/>
      <c r="R4132" s="990"/>
      <c r="S4132" s="990"/>
      <c r="T4132" s="990"/>
      <c r="U4132" s="990"/>
      <c r="V4132" s="990"/>
      <c r="W4132" s="990"/>
      <c r="X4132" s="990"/>
    </row>
    <row r="4133" spans="1:24" s="896" customFormat="1">
      <c r="A4133" s="987">
        <f t="shared" si="65"/>
        <v>4059</v>
      </c>
      <c r="B4133" s="988">
        <v>14149</v>
      </c>
      <c r="C4133" s="899" t="s">
        <v>13459</v>
      </c>
      <c r="D4133" s="988" t="s">
        <v>2679</v>
      </c>
      <c r="E4133" s="989">
        <v>190.4</v>
      </c>
      <c r="F4133" s="990"/>
      <c r="G4133" s="990"/>
      <c r="H4133" s="990"/>
      <c r="I4133" s="990"/>
      <c r="J4133" s="990"/>
      <c r="K4133" s="990"/>
      <c r="L4133" s="990"/>
      <c r="M4133" s="990"/>
      <c r="N4133" s="990"/>
      <c r="O4133" s="990"/>
      <c r="P4133" s="990"/>
      <c r="Q4133" s="990"/>
      <c r="R4133" s="990"/>
      <c r="S4133" s="990"/>
      <c r="T4133" s="990"/>
      <c r="U4133" s="990"/>
      <c r="V4133" s="990"/>
      <c r="W4133" s="990"/>
      <c r="X4133" s="990"/>
    </row>
    <row r="4134" spans="1:24" s="896" customFormat="1" ht="25.5">
      <c r="A4134" s="987">
        <f t="shared" si="65"/>
        <v>4060</v>
      </c>
      <c r="B4134" s="988">
        <v>38099</v>
      </c>
      <c r="C4134" s="899" t="s">
        <v>13460</v>
      </c>
      <c r="D4134" s="988" t="s">
        <v>2666</v>
      </c>
      <c r="E4134" s="989">
        <v>1.88</v>
      </c>
      <c r="F4134" s="990"/>
      <c r="G4134" s="990"/>
      <c r="H4134" s="990"/>
      <c r="I4134" s="990"/>
      <c r="J4134" s="990"/>
      <c r="K4134" s="990"/>
      <c r="L4134" s="990"/>
      <c r="M4134" s="990"/>
      <c r="N4134" s="990"/>
      <c r="O4134" s="990"/>
      <c r="P4134" s="990"/>
      <c r="Q4134" s="990"/>
      <c r="R4134" s="990"/>
      <c r="S4134" s="990"/>
      <c r="T4134" s="990"/>
      <c r="U4134" s="990"/>
      <c r="V4134" s="990"/>
      <c r="W4134" s="990"/>
      <c r="X4134" s="990"/>
    </row>
    <row r="4135" spans="1:24" s="896" customFormat="1" ht="25.5">
      <c r="A4135" s="987">
        <f t="shared" si="65"/>
        <v>4061</v>
      </c>
      <c r="B4135" s="988">
        <v>38100</v>
      </c>
      <c r="C4135" s="899" t="s">
        <v>13461</v>
      </c>
      <c r="D4135" s="988" t="s">
        <v>2666</v>
      </c>
      <c r="E4135" s="989">
        <v>3.08</v>
      </c>
      <c r="F4135" s="990"/>
      <c r="G4135" s="990"/>
      <c r="H4135" s="990"/>
      <c r="I4135" s="990"/>
      <c r="J4135" s="990"/>
      <c r="K4135" s="990"/>
      <c r="L4135" s="990"/>
      <c r="M4135" s="990"/>
      <c r="N4135" s="990"/>
      <c r="O4135" s="990"/>
      <c r="P4135" s="990"/>
      <c r="Q4135" s="990"/>
      <c r="R4135" s="990"/>
      <c r="S4135" s="990"/>
      <c r="T4135" s="990"/>
      <c r="U4135" s="990"/>
      <c r="V4135" s="990"/>
      <c r="W4135" s="990"/>
      <c r="X4135" s="990"/>
    </row>
    <row r="4136" spans="1:24" s="896" customFormat="1" ht="25.5">
      <c r="A4136" s="987">
        <f t="shared" si="65"/>
        <v>4062</v>
      </c>
      <c r="B4136" s="988">
        <v>20061</v>
      </c>
      <c r="C4136" s="899" t="s">
        <v>13462</v>
      </c>
      <c r="D4136" s="988" t="s">
        <v>2666</v>
      </c>
      <c r="E4136" s="989">
        <v>3.9</v>
      </c>
      <c r="F4136" s="990"/>
      <c r="G4136" s="990"/>
      <c r="H4136" s="990"/>
      <c r="I4136" s="990"/>
      <c r="J4136" s="990"/>
      <c r="K4136" s="990"/>
      <c r="L4136" s="990"/>
      <c r="M4136" s="990"/>
      <c r="N4136" s="990"/>
      <c r="O4136" s="990"/>
      <c r="P4136" s="990"/>
      <c r="Q4136" s="990"/>
      <c r="R4136" s="990"/>
      <c r="S4136" s="990"/>
      <c r="T4136" s="990"/>
      <c r="U4136" s="990"/>
      <c r="V4136" s="990"/>
      <c r="W4136" s="990"/>
      <c r="X4136" s="990"/>
    </row>
    <row r="4137" spans="1:24" s="896" customFormat="1" ht="25.5">
      <c r="A4137" s="987">
        <f t="shared" si="65"/>
        <v>4063</v>
      </c>
      <c r="B4137" s="988">
        <v>7576</v>
      </c>
      <c r="C4137" s="899" t="s">
        <v>13463</v>
      </c>
      <c r="D4137" s="988" t="s">
        <v>2666</v>
      </c>
      <c r="E4137" s="989">
        <v>101.26</v>
      </c>
      <c r="F4137" s="990"/>
      <c r="G4137" s="990"/>
      <c r="H4137" s="990"/>
      <c r="I4137" s="990"/>
      <c r="J4137" s="990"/>
      <c r="K4137" s="990"/>
      <c r="L4137" s="990"/>
      <c r="M4137" s="990"/>
      <c r="N4137" s="990"/>
      <c r="O4137" s="990"/>
      <c r="P4137" s="990"/>
      <c r="Q4137" s="990"/>
      <c r="R4137" s="990"/>
      <c r="S4137" s="990"/>
      <c r="T4137" s="990"/>
      <c r="U4137" s="990"/>
      <c r="V4137" s="990"/>
      <c r="W4137" s="990"/>
      <c r="X4137" s="990"/>
    </row>
    <row r="4138" spans="1:24" s="896" customFormat="1">
      <c r="A4138" s="987">
        <f t="shared" si="65"/>
        <v>4064</v>
      </c>
      <c r="B4138" s="988">
        <v>3384</v>
      </c>
      <c r="C4138" s="899" t="s">
        <v>13464</v>
      </c>
      <c r="D4138" s="988" t="s">
        <v>2666</v>
      </c>
      <c r="E4138" s="989">
        <v>10.19</v>
      </c>
      <c r="F4138" s="990"/>
      <c r="G4138" s="990"/>
      <c r="H4138" s="990"/>
      <c r="I4138" s="990"/>
      <c r="J4138" s="990"/>
      <c r="K4138" s="990"/>
      <c r="L4138" s="990"/>
      <c r="M4138" s="990"/>
      <c r="N4138" s="990"/>
      <c r="O4138" s="990"/>
      <c r="P4138" s="990"/>
      <c r="Q4138" s="990"/>
      <c r="R4138" s="990"/>
      <c r="S4138" s="990"/>
      <c r="T4138" s="990"/>
      <c r="U4138" s="990"/>
      <c r="V4138" s="990"/>
      <c r="W4138" s="990"/>
      <c r="X4138" s="990"/>
    </row>
    <row r="4139" spans="1:24" s="896" customFormat="1" ht="25.5">
      <c r="A4139" s="987">
        <f t="shared" si="65"/>
        <v>4065</v>
      </c>
      <c r="B4139" s="988">
        <v>7572</v>
      </c>
      <c r="C4139" s="899" t="s">
        <v>13465</v>
      </c>
      <c r="D4139" s="988" t="s">
        <v>2666</v>
      </c>
      <c r="E4139" s="989">
        <v>8.58</v>
      </c>
      <c r="F4139" s="990"/>
      <c r="G4139" s="990"/>
      <c r="H4139" s="990"/>
      <c r="I4139" s="990"/>
      <c r="J4139" s="990"/>
      <c r="K4139" s="990"/>
      <c r="L4139" s="990"/>
      <c r="M4139" s="990"/>
      <c r="N4139" s="990"/>
      <c r="O4139" s="990"/>
      <c r="P4139" s="990"/>
      <c r="Q4139" s="990"/>
      <c r="R4139" s="990"/>
      <c r="S4139" s="990"/>
      <c r="T4139" s="990"/>
      <c r="U4139" s="990"/>
      <c r="V4139" s="990"/>
      <c r="W4139" s="990"/>
      <c r="X4139" s="990"/>
    </row>
    <row r="4140" spans="1:24" s="896" customFormat="1">
      <c r="A4140" s="987">
        <f t="shared" si="65"/>
        <v>4066</v>
      </c>
      <c r="B4140" s="988">
        <v>3396</v>
      </c>
      <c r="C4140" s="899" t="s">
        <v>13466</v>
      </c>
      <c r="D4140" s="988" t="s">
        <v>2666</v>
      </c>
      <c r="E4140" s="989">
        <v>5.8</v>
      </c>
      <c r="F4140" s="990"/>
      <c r="G4140" s="990"/>
      <c r="H4140" s="990"/>
      <c r="I4140" s="990"/>
      <c r="J4140" s="990"/>
      <c r="K4140" s="990"/>
      <c r="L4140" s="990"/>
      <c r="M4140" s="990"/>
      <c r="N4140" s="990"/>
      <c r="O4140" s="990"/>
      <c r="P4140" s="990"/>
      <c r="Q4140" s="990"/>
      <c r="R4140" s="990"/>
      <c r="S4140" s="990"/>
      <c r="T4140" s="990"/>
      <c r="U4140" s="990"/>
      <c r="V4140" s="990"/>
      <c r="W4140" s="990"/>
      <c r="X4140" s="990"/>
    </row>
    <row r="4141" spans="1:24" s="896" customFormat="1" ht="25.5">
      <c r="A4141" s="987">
        <f t="shared" si="65"/>
        <v>4067</v>
      </c>
      <c r="B4141" s="988">
        <v>37590</v>
      </c>
      <c r="C4141" s="899" t="s">
        <v>13467</v>
      </c>
      <c r="D4141" s="988" t="s">
        <v>2666</v>
      </c>
      <c r="E4141" s="989">
        <v>23.61</v>
      </c>
      <c r="F4141" s="990"/>
      <c r="G4141" s="990"/>
      <c r="H4141" s="990"/>
      <c r="I4141" s="990"/>
      <c r="J4141" s="990"/>
      <c r="K4141" s="990"/>
      <c r="L4141" s="990"/>
      <c r="M4141" s="990"/>
      <c r="N4141" s="990"/>
      <c r="O4141" s="990"/>
      <c r="P4141" s="990"/>
      <c r="Q4141" s="990"/>
      <c r="R4141" s="990"/>
      <c r="S4141" s="990"/>
      <c r="T4141" s="990"/>
      <c r="U4141" s="990"/>
      <c r="V4141" s="990"/>
      <c r="W4141" s="990"/>
      <c r="X4141" s="990"/>
    </row>
    <row r="4142" spans="1:24" s="896" customFormat="1" ht="25.5">
      <c r="A4142" s="987">
        <f t="shared" si="65"/>
        <v>4068</v>
      </c>
      <c r="B4142" s="988">
        <v>37591</v>
      </c>
      <c r="C4142" s="899" t="s">
        <v>13468</v>
      </c>
      <c r="D4142" s="988" t="s">
        <v>2666</v>
      </c>
      <c r="E4142" s="989">
        <v>28.37</v>
      </c>
      <c r="F4142" s="990"/>
      <c r="G4142" s="990"/>
      <c r="H4142" s="990"/>
      <c r="I4142" s="990"/>
      <c r="J4142" s="990"/>
      <c r="K4142" s="990"/>
      <c r="L4142" s="990"/>
      <c r="M4142" s="990"/>
      <c r="N4142" s="990"/>
      <c r="O4142" s="990"/>
      <c r="P4142" s="990"/>
      <c r="Q4142" s="990"/>
      <c r="R4142" s="990"/>
      <c r="S4142" s="990"/>
      <c r="T4142" s="990"/>
      <c r="U4142" s="990"/>
      <c r="V4142" s="990"/>
      <c r="W4142" s="990"/>
      <c r="X4142" s="990"/>
    </row>
    <row r="4143" spans="1:24" s="896" customFormat="1" ht="25.5">
      <c r="A4143" s="987">
        <f t="shared" si="65"/>
        <v>4069</v>
      </c>
      <c r="B4143" s="988">
        <v>12626</v>
      </c>
      <c r="C4143" s="899" t="s">
        <v>13469</v>
      </c>
      <c r="D4143" s="988" t="s">
        <v>2666</v>
      </c>
      <c r="E4143" s="989">
        <v>18.71</v>
      </c>
      <c r="F4143" s="990"/>
      <c r="G4143" s="990"/>
      <c r="H4143" s="990"/>
      <c r="I4143" s="990"/>
      <c r="J4143" s="990"/>
      <c r="K4143" s="990"/>
      <c r="L4143" s="990"/>
      <c r="M4143" s="990"/>
      <c r="N4143" s="990"/>
      <c r="O4143" s="990"/>
      <c r="P4143" s="990"/>
      <c r="Q4143" s="990"/>
      <c r="R4143" s="990"/>
      <c r="S4143" s="990"/>
      <c r="T4143" s="990"/>
      <c r="U4143" s="990"/>
      <c r="V4143" s="990"/>
      <c r="W4143" s="990"/>
      <c r="X4143" s="990"/>
    </row>
    <row r="4144" spans="1:24" s="896" customFormat="1">
      <c r="A4144" s="987">
        <f t="shared" si="65"/>
        <v>4070</v>
      </c>
      <c r="B4144" s="988">
        <v>11033</v>
      </c>
      <c r="C4144" s="899" t="s">
        <v>13470</v>
      </c>
      <c r="D4144" s="988" t="s">
        <v>2666</v>
      </c>
      <c r="E4144" s="989">
        <v>5.65</v>
      </c>
      <c r="F4144" s="990"/>
      <c r="G4144" s="990"/>
      <c r="H4144" s="990"/>
      <c r="I4144" s="990"/>
      <c r="J4144" s="990"/>
      <c r="K4144" s="990"/>
      <c r="L4144" s="990"/>
      <c r="M4144" s="990"/>
      <c r="N4144" s="990"/>
      <c r="O4144" s="990"/>
      <c r="P4144" s="990"/>
      <c r="Q4144" s="990"/>
      <c r="R4144" s="990"/>
      <c r="S4144" s="990"/>
      <c r="T4144" s="990"/>
      <c r="U4144" s="990"/>
      <c r="V4144" s="990"/>
      <c r="W4144" s="990"/>
      <c r="X4144" s="990"/>
    </row>
    <row r="4145" spans="1:24" s="896" customFormat="1">
      <c r="A4145" s="987">
        <f t="shared" si="65"/>
        <v>4071</v>
      </c>
      <c r="B4145" s="988">
        <v>390</v>
      </c>
      <c r="C4145" s="899" t="s">
        <v>13471</v>
      </c>
      <c r="D4145" s="988" t="s">
        <v>2666</v>
      </c>
      <c r="E4145" s="989">
        <v>10.5</v>
      </c>
      <c r="F4145" s="990"/>
      <c r="G4145" s="990"/>
      <c r="H4145" s="990"/>
      <c r="I4145" s="990"/>
      <c r="J4145" s="990"/>
      <c r="K4145" s="990"/>
      <c r="L4145" s="990"/>
      <c r="M4145" s="990"/>
      <c r="N4145" s="990"/>
      <c r="O4145" s="990"/>
      <c r="P4145" s="990"/>
      <c r="Q4145" s="990"/>
      <c r="R4145" s="990"/>
      <c r="S4145" s="990"/>
      <c r="T4145" s="990"/>
      <c r="U4145" s="990"/>
      <c r="V4145" s="990"/>
      <c r="W4145" s="990"/>
      <c r="X4145" s="990"/>
    </row>
    <row r="4146" spans="1:24" s="896" customFormat="1" ht="38.25">
      <c r="A4146" s="987">
        <f t="shared" si="65"/>
        <v>4072</v>
      </c>
      <c r="B4146" s="988">
        <v>42436</v>
      </c>
      <c r="C4146" s="899" t="s">
        <v>13472</v>
      </c>
      <c r="D4146" s="988" t="s">
        <v>2666</v>
      </c>
      <c r="E4146" s="989">
        <v>2677.55</v>
      </c>
      <c r="F4146" s="990"/>
      <c r="G4146" s="990"/>
      <c r="H4146" s="990"/>
      <c r="I4146" s="990"/>
      <c r="J4146" s="990"/>
      <c r="K4146" s="990"/>
      <c r="L4146" s="990"/>
      <c r="M4146" s="990"/>
      <c r="N4146" s="990"/>
      <c r="O4146" s="990"/>
      <c r="P4146" s="990"/>
      <c r="Q4146" s="990"/>
      <c r="R4146" s="990"/>
      <c r="S4146" s="990"/>
      <c r="T4146" s="990"/>
      <c r="U4146" s="990"/>
      <c r="V4146" s="990"/>
      <c r="W4146" s="990"/>
      <c r="X4146" s="990"/>
    </row>
    <row r="4147" spans="1:24" s="896" customFormat="1" ht="25.5">
      <c r="A4147" s="987">
        <f t="shared" si="65"/>
        <v>4073</v>
      </c>
      <c r="B4147" s="988">
        <v>6193</v>
      </c>
      <c r="C4147" s="899" t="s">
        <v>13473</v>
      </c>
      <c r="D4147" s="988" t="s">
        <v>2669</v>
      </c>
      <c r="E4147" s="989">
        <v>24.44</v>
      </c>
      <c r="F4147" s="990"/>
      <c r="G4147" s="990"/>
      <c r="H4147" s="990"/>
      <c r="I4147" s="990"/>
      <c r="J4147" s="990"/>
      <c r="K4147" s="990"/>
      <c r="L4147" s="990"/>
      <c r="M4147" s="990"/>
      <c r="N4147" s="990"/>
      <c r="O4147" s="990"/>
      <c r="P4147" s="990"/>
      <c r="Q4147" s="990"/>
      <c r="R4147" s="990"/>
      <c r="S4147" s="990"/>
      <c r="T4147" s="990"/>
      <c r="U4147" s="990"/>
      <c r="V4147" s="990"/>
      <c r="W4147" s="990"/>
      <c r="X4147" s="990"/>
    </row>
    <row r="4148" spans="1:24" s="896" customFormat="1">
      <c r="A4148" s="987">
        <f t="shared" si="65"/>
        <v>4074</v>
      </c>
      <c r="B4148" s="988">
        <v>6194</v>
      </c>
      <c r="C4148" s="899" t="s">
        <v>13474</v>
      </c>
      <c r="D4148" s="988" t="s">
        <v>2669</v>
      </c>
      <c r="E4148" s="989">
        <v>4.97</v>
      </c>
      <c r="F4148" s="990"/>
      <c r="G4148" s="990"/>
      <c r="H4148" s="990"/>
      <c r="I4148" s="990"/>
      <c r="J4148" s="990"/>
      <c r="K4148" s="990"/>
      <c r="L4148" s="990"/>
      <c r="M4148" s="990"/>
      <c r="N4148" s="990"/>
      <c r="O4148" s="990"/>
      <c r="P4148" s="990"/>
      <c r="Q4148" s="990"/>
      <c r="R4148" s="990"/>
      <c r="S4148" s="990"/>
      <c r="T4148" s="990"/>
      <c r="U4148" s="990"/>
      <c r="V4148" s="990"/>
      <c r="W4148" s="990"/>
      <c r="X4148" s="990"/>
    </row>
    <row r="4149" spans="1:24" s="896" customFormat="1">
      <c r="A4149" s="987">
        <f t="shared" si="65"/>
        <v>4075</v>
      </c>
      <c r="B4149" s="988">
        <v>10567</v>
      </c>
      <c r="C4149" s="899" t="s">
        <v>13475</v>
      </c>
      <c r="D4149" s="988" t="s">
        <v>2669</v>
      </c>
      <c r="E4149" s="989">
        <v>7.88</v>
      </c>
      <c r="F4149" s="990"/>
      <c r="G4149" s="990"/>
      <c r="H4149" s="990"/>
      <c r="I4149" s="990"/>
      <c r="J4149" s="990"/>
      <c r="K4149" s="990"/>
      <c r="L4149" s="990"/>
      <c r="M4149" s="990"/>
      <c r="N4149" s="990"/>
      <c r="O4149" s="990"/>
      <c r="P4149" s="990"/>
      <c r="Q4149" s="990"/>
      <c r="R4149" s="990"/>
      <c r="S4149" s="990"/>
      <c r="T4149" s="990"/>
      <c r="U4149" s="990"/>
      <c r="V4149" s="990"/>
      <c r="W4149" s="990"/>
      <c r="X4149" s="990"/>
    </row>
    <row r="4150" spans="1:24" s="896" customFormat="1">
      <c r="A4150" s="987">
        <f t="shared" si="65"/>
        <v>4076</v>
      </c>
      <c r="B4150" s="988">
        <v>6212</v>
      </c>
      <c r="C4150" s="899" t="s">
        <v>13476</v>
      </c>
      <c r="D4150" s="988" t="s">
        <v>2669</v>
      </c>
      <c r="E4150" s="989">
        <v>11.56</v>
      </c>
      <c r="F4150" s="990"/>
      <c r="G4150" s="990"/>
      <c r="H4150" s="990"/>
      <c r="I4150" s="990"/>
      <c r="J4150" s="990"/>
      <c r="K4150" s="990"/>
      <c r="L4150" s="990"/>
      <c r="M4150" s="990"/>
      <c r="N4150" s="990"/>
      <c r="O4150" s="990"/>
      <c r="P4150" s="990"/>
      <c r="Q4150" s="990"/>
      <c r="R4150" s="990"/>
      <c r="S4150" s="990"/>
      <c r="T4150" s="990"/>
      <c r="U4150" s="990"/>
      <c r="V4150" s="990"/>
      <c r="W4150" s="990"/>
      <c r="X4150" s="990"/>
    </row>
    <row r="4151" spans="1:24" s="896" customFormat="1" ht="25.5">
      <c r="A4151" s="987">
        <f t="shared" si="65"/>
        <v>4077</v>
      </c>
      <c r="B4151" s="988">
        <v>3993</v>
      </c>
      <c r="C4151" s="899" t="s">
        <v>13477</v>
      </c>
      <c r="D4151" s="988" t="s">
        <v>2667</v>
      </c>
      <c r="E4151" s="989">
        <v>158.02000000000001</v>
      </c>
      <c r="F4151" s="990"/>
      <c r="G4151" s="990"/>
      <c r="H4151" s="990"/>
      <c r="I4151" s="990"/>
      <c r="J4151" s="990"/>
      <c r="K4151" s="990"/>
      <c r="L4151" s="990"/>
      <c r="M4151" s="990"/>
      <c r="N4151" s="990"/>
      <c r="O4151" s="990"/>
      <c r="P4151" s="990"/>
      <c r="Q4151" s="990"/>
      <c r="R4151" s="990"/>
      <c r="S4151" s="990"/>
      <c r="T4151" s="990"/>
      <c r="U4151" s="990"/>
      <c r="V4151" s="990"/>
      <c r="W4151" s="990"/>
      <c r="X4151" s="990"/>
    </row>
    <row r="4152" spans="1:24" s="896" customFormat="1" ht="25.5">
      <c r="A4152" s="987">
        <f t="shared" si="65"/>
        <v>4078</v>
      </c>
      <c r="B4152" s="988">
        <v>3990</v>
      </c>
      <c r="C4152" s="899" t="s">
        <v>13478</v>
      </c>
      <c r="D4152" s="988" t="s">
        <v>2669</v>
      </c>
      <c r="E4152" s="989">
        <v>29.73</v>
      </c>
      <c r="F4152" s="990"/>
      <c r="G4152" s="990"/>
      <c r="H4152" s="990"/>
      <c r="I4152" s="990"/>
      <c r="J4152" s="990"/>
      <c r="K4152" s="990"/>
      <c r="L4152" s="990"/>
      <c r="M4152" s="990"/>
      <c r="N4152" s="990"/>
      <c r="O4152" s="990"/>
      <c r="P4152" s="990"/>
      <c r="Q4152" s="990"/>
      <c r="R4152" s="990"/>
      <c r="S4152" s="990"/>
      <c r="T4152" s="990"/>
      <c r="U4152" s="990"/>
      <c r="V4152" s="990"/>
      <c r="W4152" s="990"/>
      <c r="X4152" s="990"/>
    </row>
    <row r="4153" spans="1:24" s="896" customFormat="1" ht="25.5">
      <c r="A4153" s="987">
        <f t="shared" si="65"/>
        <v>4079</v>
      </c>
      <c r="B4153" s="988">
        <v>3992</v>
      </c>
      <c r="C4153" s="899" t="s">
        <v>13479</v>
      </c>
      <c r="D4153" s="988" t="s">
        <v>2669</v>
      </c>
      <c r="E4153" s="989">
        <v>40.14</v>
      </c>
      <c r="F4153" s="990"/>
      <c r="G4153" s="990"/>
      <c r="H4153" s="990"/>
      <c r="I4153" s="990"/>
      <c r="J4153" s="990"/>
      <c r="K4153" s="990"/>
      <c r="L4153" s="990"/>
      <c r="M4153" s="990"/>
      <c r="N4153" s="990"/>
      <c r="O4153" s="990"/>
      <c r="P4153" s="990"/>
      <c r="Q4153" s="990"/>
      <c r="R4153" s="990"/>
      <c r="S4153" s="990"/>
      <c r="T4153" s="990"/>
      <c r="U4153" s="990"/>
      <c r="V4153" s="990"/>
      <c r="W4153" s="990"/>
      <c r="X4153" s="990"/>
    </row>
    <row r="4154" spans="1:24" s="896" customFormat="1" ht="25.5">
      <c r="A4154" s="987">
        <f t="shared" si="65"/>
        <v>4080</v>
      </c>
      <c r="B4154" s="988">
        <v>6178</v>
      </c>
      <c r="C4154" s="899" t="s">
        <v>13480</v>
      </c>
      <c r="D4154" s="988" t="s">
        <v>2667</v>
      </c>
      <c r="E4154" s="989">
        <v>203.84</v>
      </c>
      <c r="F4154" s="990"/>
      <c r="G4154" s="990"/>
      <c r="H4154" s="990"/>
      <c r="I4154" s="990"/>
      <c r="J4154" s="990"/>
      <c r="K4154" s="990"/>
      <c r="L4154" s="990"/>
      <c r="M4154" s="990"/>
      <c r="N4154" s="990"/>
      <c r="O4154" s="990"/>
      <c r="P4154" s="990"/>
      <c r="Q4154" s="990"/>
      <c r="R4154" s="990"/>
      <c r="S4154" s="990"/>
      <c r="T4154" s="990"/>
      <c r="U4154" s="990"/>
      <c r="V4154" s="990"/>
      <c r="W4154" s="990"/>
      <c r="X4154" s="990"/>
    </row>
    <row r="4155" spans="1:24" s="896" customFormat="1" ht="25.5">
      <c r="A4155" s="987">
        <f t="shared" si="65"/>
        <v>4081</v>
      </c>
      <c r="B4155" s="988">
        <v>6180</v>
      </c>
      <c r="C4155" s="899" t="s">
        <v>13481</v>
      </c>
      <c r="D4155" s="988" t="s">
        <v>2667</v>
      </c>
      <c r="E4155" s="989">
        <v>220</v>
      </c>
      <c r="F4155" s="990"/>
      <c r="G4155" s="990"/>
      <c r="H4155" s="990"/>
      <c r="I4155" s="990"/>
      <c r="J4155" s="990"/>
      <c r="K4155" s="990"/>
      <c r="L4155" s="990"/>
      <c r="M4155" s="990"/>
      <c r="N4155" s="990"/>
      <c r="O4155" s="990"/>
      <c r="P4155" s="990"/>
      <c r="Q4155" s="990"/>
      <c r="R4155" s="990"/>
      <c r="S4155" s="990"/>
      <c r="T4155" s="990"/>
      <c r="U4155" s="990"/>
      <c r="V4155" s="990"/>
      <c r="W4155" s="990"/>
      <c r="X4155" s="990"/>
    </row>
    <row r="4156" spans="1:24" s="896" customFormat="1" ht="25.5">
      <c r="A4156" s="987">
        <f t="shared" si="65"/>
        <v>4082</v>
      </c>
      <c r="B4156" s="988">
        <v>6182</v>
      </c>
      <c r="C4156" s="899" t="s">
        <v>13482</v>
      </c>
      <c r="D4156" s="988" t="s">
        <v>2667</v>
      </c>
      <c r="E4156" s="989">
        <v>273.07</v>
      </c>
      <c r="F4156" s="990"/>
      <c r="G4156" s="990"/>
      <c r="H4156" s="990"/>
      <c r="I4156" s="990"/>
      <c r="J4156" s="990"/>
      <c r="K4156" s="990"/>
      <c r="L4156" s="990"/>
      <c r="M4156" s="990"/>
      <c r="N4156" s="990"/>
      <c r="O4156" s="990"/>
      <c r="P4156" s="990"/>
      <c r="Q4156" s="990"/>
      <c r="R4156" s="990"/>
      <c r="S4156" s="990"/>
      <c r="T4156" s="990"/>
      <c r="U4156" s="990"/>
      <c r="V4156" s="990"/>
      <c r="W4156" s="990"/>
      <c r="X4156" s="990"/>
    </row>
    <row r="4157" spans="1:24" s="896" customFormat="1" ht="25.5">
      <c r="A4157" s="987">
        <f t="shared" si="65"/>
        <v>4083</v>
      </c>
      <c r="B4157" s="988">
        <v>43614</v>
      </c>
      <c r="C4157" s="899" t="s">
        <v>13483</v>
      </c>
      <c r="D4157" s="988" t="s">
        <v>2669</v>
      </c>
      <c r="E4157" s="989">
        <v>20.079999999999998</v>
      </c>
      <c r="F4157" s="990"/>
      <c r="G4157" s="990"/>
      <c r="H4157" s="990"/>
      <c r="I4157" s="990"/>
      <c r="J4157" s="990"/>
      <c r="K4157" s="990"/>
      <c r="L4157" s="990"/>
      <c r="M4157" s="990"/>
      <c r="N4157" s="990"/>
      <c r="O4157" s="990"/>
      <c r="P4157" s="990"/>
      <c r="Q4157" s="990"/>
      <c r="R4157" s="990"/>
      <c r="S4157" s="990"/>
      <c r="T4157" s="990"/>
      <c r="U4157" s="990"/>
      <c r="V4157" s="990"/>
      <c r="W4157" s="990"/>
      <c r="X4157" s="990"/>
    </row>
    <row r="4158" spans="1:24" s="896" customFormat="1" ht="25.5">
      <c r="A4158" s="987">
        <f t="shared" si="65"/>
        <v>4084</v>
      </c>
      <c r="B4158" s="988">
        <v>6189</v>
      </c>
      <c r="C4158" s="899" t="s">
        <v>13484</v>
      </c>
      <c r="D4158" s="988" t="s">
        <v>2669</v>
      </c>
      <c r="E4158" s="989">
        <v>35.68</v>
      </c>
      <c r="F4158" s="990"/>
      <c r="G4158" s="990"/>
      <c r="H4158" s="990"/>
      <c r="I4158" s="990"/>
      <c r="J4158" s="990"/>
      <c r="K4158" s="990"/>
      <c r="L4158" s="990"/>
      <c r="M4158" s="990"/>
      <c r="N4158" s="990"/>
      <c r="O4158" s="990"/>
      <c r="P4158" s="990"/>
      <c r="Q4158" s="990"/>
      <c r="R4158" s="990"/>
      <c r="S4158" s="990"/>
      <c r="T4158" s="990"/>
      <c r="U4158" s="990"/>
      <c r="V4158" s="990"/>
      <c r="W4158" s="990"/>
      <c r="X4158" s="990"/>
    </row>
    <row r="4159" spans="1:24" s="896" customFormat="1" ht="25.5">
      <c r="A4159" s="987">
        <f t="shared" si="65"/>
        <v>4085</v>
      </c>
      <c r="B4159" s="988">
        <v>6214</v>
      </c>
      <c r="C4159" s="899" t="s">
        <v>13485</v>
      </c>
      <c r="D4159" s="988" t="s">
        <v>2667</v>
      </c>
      <c r="E4159" s="989">
        <v>127.69</v>
      </c>
      <c r="F4159" s="990"/>
      <c r="G4159" s="990"/>
      <c r="H4159" s="990"/>
      <c r="I4159" s="990"/>
      <c r="J4159" s="990"/>
      <c r="K4159" s="990"/>
      <c r="L4159" s="990"/>
      <c r="M4159" s="990"/>
      <c r="N4159" s="990"/>
      <c r="O4159" s="990"/>
      <c r="P4159" s="990"/>
      <c r="Q4159" s="990"/>
      <c r="R4159" s="990"/>
      <c r="S4159" s="990"/>
      <c r="T4159" s="990"/>
      <c r="U4159" s="990"/>
      <c r="V4159" s="990"/>
      <c r="W4159" s="990"/>
      <c r="X4159" s="990"/>
    </row>
    <row r="4160" spans="1:24" s="896" customFormat="1" ht="25.5">
      <c r="A4160" s="987">
        <f t="shared" si="65"/>
        <v>4086</v>
      </c>
      <c r="B4160" s="988">
        <v>36153</v>
      </c>
      <c r="C4160" s="899" t="s">
        <v>13486</v>
      </c>
      <c r="D4160" s="988" t="s">
        <v>2666</v>
      </c>
      <c r="E4160" s="989">
        <v>267.5</v>
      </c>
      <c r="F4160" s="990"/>
      <c r="G4160" s="990"/>
      <c r="H4160" s="990"/>
      <c r="I4160" s="990"/>
      <c r="J4160" s="990"/>
      <c r="K4160" s="990"/>
      <c r="L4160" s="990"/>
      <c r="M4160" s="990"/>
      <c r="N4160" s="990"/>
      <c r="O4160" s="990"/>
      <c r="P4160" s="990"/>
      <c r="Q4160" s="990"/>
      <c r="R4160" s="990"/>
      <c r="S4160" s="990"/>
      <c r="T4160" s="990"/>
      <c r="U4160" s="990"/>
      <c r="V4160" s="990"/>
      <c r="W4160" s="990"/>
      <c r="X4160" s="990"/>
    </row>
    <row r="4161" spans="1:24" s="896" customFormat="1">
      <c r="A4161" s="987">
        <f t="shared" si="65"/>
        <v>4087</v>
      </c>
      <c r="B4161" s="988">
        <v>10740</v>
      </c>
      <c r="C4161" s="899" t="s">
        <v>13487</v>
      </c>
      <c r="D4161" s="988" t="s">
        <v>2666</v>
      </c>
      <c r="E4161" s="989">
        <v>10818.83</v>
      </c>
      <c r="F4161" s="990"/>
      <c r="G4161" s="990"/>
      <c r="H4161" s="990"/>
      <c r="I4161" s="990"/>
      <c r="J4161" s="990"/>
      <c r="K4161" s="990"/>
      <c r="L4161" s="990"/>
      <c r="M4161" s="990"/>
      <c r="N4161" s="990"/>
      <c r="O4161" s="990"/>
      <c r="P4161" s="990"/>
      <c r="Q4161" s="990"/>
      <c r="R4161" s="990"/>
      <c r="S4161" s="990"/>
      <c r="T4161" s="990"/>
      <c r="U4161" s="990"/>
      <c r="V4161" s="990"/>
      <c r="W4161" s="990"/>
      <c r="X4161" s="990"/>
    </row>
    <row r="4162" spans="1:24" s="896" customFormat="1">
      <c r="A4162" s="987">
        <f t="shared" si="65"/>
        <v>4088</v>
      </c>
      <c r="B4162" s="988">
        <v>13914</v>
      </c>
      <c r="C4162" s="899" t="s">
        <v>13488</v>
      </c>
      <c r="D4162" s="988" t="s">
        <v>2666</v>
      </c>
      <c r="E4162" s="989">
        <v>782.78</v>
      </c>
      <c r="F4162" s="990"/>
      <c r="G4162" s="990"/>
      <c r="H4162" s="990"/>
      <c r="I4162" s="990"/>
      <c r="J4162" s="990"/>
      <c r="K4162" s="990"/>
      <c r="L4162" s="990"/>
      <c r="M4162" s="990"/>
      <c r="N4162" s="990"/>
      <c r="O4162" s="990"/>
      <c r="P4162" s="990"/>
      <c r="Q4162" s="990"/>
      <c r="R4162" s="990"/>
      <c r="S4162" s="990"/>
      <c r="T4162" s="990"/>
      <c r="U4162" s="990"/>
      <c r="V4162" s="990"/>
      <c r="W4162" s="990"/>
      <c r="X4162" s="990"/>
    </row>
    <row r="4163" spans="1:24" s="896" customFormat="1">
      <c r="A4163" s="987">
        <f t="shared" si="65"/>
        <v>4089</v>
      </c>
      <c r="B4163" s="988">
        <v>10742</v>
      </c>
      <c r="C4163" s="899" t="s">
        <v>13489</v>
      </c>
      <c r="D4163" s="988" t="s">
        <v>2666</v>
      </c>
      <c r="E4163" s="989">
        <v>1141.7</v>
      </c>
      <c r="F4163" s="990"/>
      <c r="G4163" s="990"/>
      <c r="H4163" s="990"/>
      <c r="I4163" s="990"/>
      <c r="J4163" s="990"/>
      <c r="K4163" s="990"/>
      <c r="L4163" s="990"/>
      <c r="M4163" s="990"/>
      <c r="N4163" s="990"/>
      <c r="O4163" s="990"/>
      <c r="P4163" s="990"/>
      <c r="Q4163" s="990"/>
      <c r="R4163" s="990"/>
      <c r="S4163" s="990"/>
      <c r="T4163" s="990"/>
      <c r="U4163" s="990"/>
      <c r="V4163" s="990"/>
      <c r="W4163" s="990"/>
      <c r="X4163" s="990"/>
    </row>
    <row r="4164" spans="1:24" s="896" customFormat="1">
      <c r="A4164" s="987">
        <f t="shared" si="65"/>
        <v>4090</v>
      </c>
      <c r="B4164" s="988">
        <v>38465</v>
      </c>
      <c r="C4164" s="899" t="s">
        <v>13490</v>
      </c>
      <c r="D4164" s="988" t="s">
        <v>2666</v>
      </c>
      <c r="E4164" s="989">
        <v>37.299999999999997</v>
      </c>
      <c r="F4164" s="990"/>
      <c r="G4164" s="990"/>
      <c r="H4164" s="990"/>
      <c r="I4164" s="990"/>
      <c r="J4164" s="990"/>
      <c r="K4164" s="990"/>
      <c r="L4164" s="990"/>
      <c r="M4164" s="990"/>
      <c r="N4164" s="990"/>
      <c r="O4164" s="990"/>
      <c r="P4164" s="990"/>
      <c r="Q4164" s="990"/>
      <c r="R4164" s="990"/>
      <c r="S4164" s="990"/>
      <c r="T4164" s="990"/>
      <c r="U4164" s="990"/>
      <c r="V4164" s="990"/>
      <c r="W4164" s="990"/>
      <c r="X4164" s="990"/>
    </row>
    <row r="4165" spans="1:24" s="896" customFormat="1">
      <c r="A4165" s="987">
        <f t="shared" si="65"/>
        <v>4091</v>
      </c>
      <c r="B4165" s="988">
        <v>7543</v>
      </c>
      <c r="C4165" s="899" t="s">
        <v>13491</v>
      </c>
      <c r="D4165" s="988" t="s">
        <v>2666</v>
      </c>
      <c r="E4165" s="989">
        <v>7.78</v>
      </c>
      <c r="F4165" s="990"/>
      <c r="G4165" s="990"/>
      <c r="H4165" s="990"/>
      <c r="I4165" s="990"/>
      <c r="J4165" s="990"/>
      <c r="K4165" s="990"/>
      <c r="L4165" s="990"/>
      <c r="M4165" s="990"/>
      <c r="N4165" s="990"/>
      <c r="O4165" s="990"/>
      <c r="P4165" s="990"/>
      <c r="Q4165" s="990"/>
      <c r="R4165" s="990"/>
      <c r="S4165" s="990"/>
      <c r="T4165" s="990"/>
      <c r="U4165" s="990"/>
      <c r="V4165" s="990"/>
      <c r="W4165" s="990"/>
      <c r="X4165" s="990"/>
    </row>
    <row r="4166" spans="1:24" s="896" customFormat="1" ht="25.5">
      <c r="A4166" s="987">
        <f t="shared" si="65"/>
        <v>4092</v>
      </c>
      <c r="B4166" s="988">
        <v>43427</v>
      </c>
      <c r="C4166" s="899" t="s">
        <v>13492</v>
      </c>
      <c r="D4166" s="988" t="s">
        <v>2666</v>
      </c>
      <c r="E4166" s="989">
        <v>1199.54</v>
      </c>
      <c r="F4166" s="990"/>
      <c r="G4166" s="990"/>
      <c r="H4166" s="990"/>
      <c r="I4166" s="990"/>
      <c r="J4166" s="990"/>
      <c r="K4166" s="990"/>
      <c r="L4166" s="990"/>
      <c r="M4166" s="990"/>
      <c r="N4166" s="990"/>
      <c r="O4166" s="990"/>
      <c r="P4166" s="990"/>
      <c r="Q4166" s="990"/>
      <c r="R4166" s="990"/>
      <c r="S4166" s="990"/>
      <c r="T4166" s="990"/>
      <c r="U4166" s="990"/>
      <c r="V4166" s="990"/>
      <c r="W4166" s="990"/>
      <c r="X4166" s="990"/>
    </row>
    <row r="4167" spans="1:24" s="896" customFormat="1">
      <c r="A4167" s="987">
        <f t="shared" si="65"/>
        <v>4093</v>
      </c>
      <c r="B4167" s="988">
        <v>41613</v>
      </c>
      <c r="C4167" s="899" t="s">
        <v>13493</v>
      </c>
      <c r="D4167" s="988" t="s">
        <v>2666</v>
      </c>
      <c r="E4167" s="989">
        <v>77.099999999999994</v>
      </c>
      <c r="F4167" s="990"/>
      <c r="G4167" s="990"/>
      <c r="H4167" s="990"/>
      <c r="I4167" s="990"/>
      <c r="J4167" s="990"/>
      <c r="K4167" s="990"/>
      <c r="L4167" s="990"/>
      <c r="M4167" s="990"/>
      <c r="N4167" s="990"/>
      <c r="O4167" s="990"/>
      <c r="P4167" s="990"/>
      <c r="Q4167" s="990"/>
      <c r="R4167" s="990"/>
      <c r="S4167" s="990"/>
      <c r="T4167" s="990"/>
      <c r="U4167" s="990"/>
      <c r="V4167" s="990"/>
      <c r="W4167" s="990"/>
      <c r="X4167" s="990"/>
    </row>
    <row r="4168" spans="1:24" s="896" customFormat="1">
      <c r="A4168" s="987">
        <f t="shared" si="65"/>
        <v>4094</v>
      </c>
      <c r="B4168" s="988">
        <v>41614</v>
      </c>
      <c r="C4168" s="899" t="s">
        <v>13494</v>
      </c>
      <c r="D4168" s="988" t="s">
        <v>2666</v>
      </c>
      <c r="E4168" s="989">
        <v>98.25</v>
      </c>
      <c r="F4168" s="990"/>
      <c r="G4168" s="990"/>
      <c r="H4168" s="990"/>
      <c r="I4168" s="990"/>
      <c r="J4168" s="990"/>
      <c r="K4168" s="990"/>
      <c r="L4168" s="990"/>
      <c r="M4168" s="990"/>
      <c r="N4168" s="990"/>
      <c r="O4168" s="990"/>
      <c r="P4168" s="990"/>
      <c r="Q4168" s="990"/>
      <c r="R4168" s="990"/>
      <c r="S4168" s="990"/>
      <c r="T4168" s="990"/>
      <c r="U4168" s="990"/>
      <c r="V4168" s="990"/>
      <c r="W4168" s="990"/>
      <c r="X4168" s="990"/>
    </row>
    <row r="4169" spans="1:24" s="896" customFormat="1">
      <c r="A4169" s="987">
        <f t="shared" si="65"/>
        <v>4095</v>
      </c>
      <c r="B4169" s="988">
        <v>41615</v>
      </c>
      <c r="C4169" s="899" t="s">
        <v>13495</v>
      </c>
      <c r="D4169" s="988" t="s">
        <v>2666</v>
      </c>
      <c r="E4169" s="989">
        <v>151.85</v>
      </c>
      <c r="F4169" s="990"/>
      <c r="G4169" s="990"/>
      <c r="H4169" s="990"/>
      <c r="I4169" s="990"/>
      <c r="J4169" s="990"/>
      <c r="K4169" s="990"/>
      <c r="L4169" s="990"/>
      <c r="M4169" s="990"/>
      <c r="N4169" s="990"/>
      <c r="O4169" s="990"/>
      <c r="P4169" s="990"/>
      <c r="Q4169" s="990"/>
      <c r="R4169" s="990"/>
      <c r="S4169" s="990"/>
      <c r="T4169" s="990"/>
      <c r="U4169" s="990"/>
      <c r="V4169" s="990"/>
      <c r="W4169" s="990"/>
      <c r="X4169" s="990"/>
    </row>
    <row r="4170" spans="1:24" s="896" customFormat="1">
      <c r="A4170" s="987">
        <f t="shared" si="65"/>
        <v>4096</v>
      </c>
      <c r="B4170" s="988">
        <v>41616</v>
      </c>
      <c r="C4170" s="899" t="s">
        <v>13496</v>
      </c>
      <c r="D4170" s="988" t="s">
        <v>2666</v>
      </c>
      <c r="E4170" s="989">
        <v>226.89</v>
      </c>
      <c r="F4170" s="990"/>
      <c r="G4170" s="990"/>
      <c r="H4170" s="990"/>
      <c r="I4170" s="990"/>
      <c r="J4170" s="990"/>
      <c r="K4170" s="990"/>
      <c r="L4170" s="990"/>
      <c r="M4170" s="990"/>
      <c r="N4170" s="990"/>
      <c r="O4170" s="990"/>
      <c r="P4170" s="990"/>
      <c r="Q4170" s="990"/>
      <c r="R4170" s="990"/>
      <c r="S4170" s="990"/>
      <c r="T4170" s="990"/>
      <c r="U4170" s="990"/>
      <c r="V4170" s="990"/>
      <c r="W4170" s="990"/>
      <c r="X4170" s="990"/>
    </row>
    <row r="4171" spans="1:24" s="896" customFormat="1">
      <c r="A4171" s="987">
        <f t="shared" si="65"/>
        <v>4097</v>
      </c>
      <c r="B4171" s="988">
        <v>41617</v>
      </c>
      <c r="C4171" s="899" t="s">
        <v>13497</v>
      </c>
      <c r="D4171" s="988" t="s">
        <v>2666</v>
      </c>
      <c r="E4171" s="989">
        <v>451.15</v>
      </c>
      <c r="F4171" s="990"/>
      <c r="G4171" s="990"/>
      <c r="H4171" s="990"/>
      <c r="I4171" s="990"/>
      <c r="J4171" s="990"/>
      <c r="K4171" s="990"/>
      <c r="L4171" s="990"/>
      <c r="M4171" s="990"/>
      <c r="N4171" s="990"/>
      <c r="O4171" s="990"/>
      <c r="P4171" s="990"/>
      <c r="Q4171" s="990"/>
      <c r="R4171" s="990"/>
      <c r="S4171" s="990"/>
      <c r="T4171" s="990"/>
      <c r="U4171" s="990"/>
      <c r="V4171" s="990"/>
      <c r="W4171" s="990"/>
      <c r="X4171" s="990"/>
    </row>
    <row r="4172" spans="1:24" s="896" customFormat="1">
      <c r="A4172" s="987">
        <f t="shared" ref="A4172:A4235" si="66">A4171+1</f>
        <v>4098</v>
      </c>
      <c r="B4172" s="988">
        <v>41618</v>
      </c>
      <c r="C4172" s="899" t="s">
        <v>13498</v>
      </c>
      <c r="D4172" s="988" t="s">
        <v>2666</v>
      </c>
      <c r="E4172" s="989">
        <v>830.54</v>
      </c>
      <c r="F4172" s="990"/>
      <c r="G4172" s="990"/>
      <c r="H4172" s="990"/>
      <c r="I4172" s="990"/>
      <c r="J4172" s="990"/>
      <c r="K4172" s="990"/>
      <c r="L4172" s="990"/>
      <c r="M4172" s="990"/>
      <c r="N4172" s="990"/>
      <c r="O4172" s="990"/>
      <c r="P4172" s="990"/>
      <c r="Q4172" s="990"/>
      <c r="R4172" s="990"/>
      <c r="S4172" s="990"/>
      <c r="T4172" s="990"/>
      <c r="U4172" s="990"/>
      <c r="V4172" s="990"/>
      <c r="W4172" s="990"/>
      <c r="X4172" s="990"/>
    </row>
    <row r="4173" spans="1:24" s="896" customFormat="1" ht="25.5">
      <c r="A4173" s="987">
        <f t="shared" si="66"/>
        <v>4099</v>
      </c>
      <c r="B4173" s="988">
        <v>43428</v>
      </c>
      <c r="C4173" s="899" t="s">
        <v>13499</v>
      </c>
      <c r="D4173" s="988" t="s">
        <v>2666</v>
      </c>
      <c r="E4173" s="989">
        <v>1458.85</v>
      </c>
      <c r="F4173" s="990"/>
      <c r="G4173" s="990"/>
      <c r="H4173" s="990"/>
      <c r="I4173" s="990"/>
      <c r="J4173" s="990"/>
      <c r="K4173" s="990"/>
      <c r="L4173" s="990"/>
      <c r="M4173" s="990"/>
      <c r="N4173" s="990"/>
      <c r="O4173" s="990"/>
      <c r="P4173" s="990"/>
      <c r="Q4173" s="990"/>
      <c r="R4173" s="990"/>
      <c r="S4173" s="990"/>
      <c r="T4173" s="990"/>
      <c r="U4173" s="990"/>
      <c r="V4173" s="990"/>
      <c r="W4173" s="990"/>
      <c r="X4173" s="990"/>
    </row>
    <row r="4174" spans="1:24" s="896" customFormat="1" ht="25.5">
      <c r="A4174" s="987">
        <f t="shared" si="66"/>
        <v>4100</v>
      </c>
      <c r="B4174" s="988">
        <v>41619</v>
      </c>
      <c r="C4174" s="899" t="s">
        <v>13500</v>
      </c>
      <c r="D4174" s="988" t="s">
        <v>2666</v>
      </c>
      <c r="E4174" s="989">
        <v>94.52</v>
      </c>
      <c r="F4174" s="990"/>
      <c r="G4174" s="990"/>
      <c r="H4174" s="990"/>
      <c r="I4174" s="990"/>
      <c r="J4174" s="990"/>
      <c r="K4174" s="990"/>
      <c r="L4174" s="990"/>
      <c r="M4174" s="990"/>
      <c r="N4174" s="990"/>
      <c r="O4174" s="990"/>
      <c r="P4174" s="990"/>
      <c r="Q4174" s="990"/>
      <c r="R4174" s="990"/>
      <c r="S4174" s="990"/>
      <c r="T4174" s="990"/>
      <c r="U4174" s="990"/>
      <c r="V4174" s="990"/>
      <c r="W4174" s="990"/>
      <c r="X4174" s="990"/>
    </row>
    <row r="4175" spans="1:24" s="896" customFormat="1" ht="25.5">
      <c r="A4175" s="987">
        <f t="shared" si="66"/>
        <v>4101</v>
      </c>
      <c r="B4175" s="988">
        <v>41620</v>
      </c>
      <c r="C4175" s="899" t="s">
        <v>13501</v>
      </c>
      <c r="D4175" s="988" t="s">
        <v>2666</v>
      </c>
      <c r="E4175" s="989">
        <v>119.39</v>
      </c>
      <c r="F4175" s="990"/>
      <c r="G4175" s="990"/>
      <c r="H4175" s="990"/>
      <c r="I4175" s="990"/>
      <c r="J4175" s="990"/>
      <c r="K4175" s="990"/>
      <c r="L4175" s="990"/>
      <c r="M4175" s="990"/>
      <c r="N4175" s="990"/>
      <c r="O4175" s="990"/>
      <c r="P4175" s="990"/>
      <c r="Q4175" s="990"/>
      <c r="R4175" s="990"/>
      <c r="S4175" s="990"/>
      <c r="T4175" s="990"/>
      <c r="U4175" s="990"/>
      <c r="V4175" s="990"/>
      <c r="W4175" s="990"/>
      <c r="X4175" s="990"/>
    </row>
    <row r="4176" spans="1:24" s="896" customFormat="1" ht="25.5">
      <c r="A4176" s="987">
        <f t="shared" si="66"/>
        <v>4102</v>
      </c>
      <c r="B4176" s="988">
        <v>41622</v>
      </c>
      <c r="C4176" s="899" t="s">
        <v>13502</v>
      </c>
      <c r="D4176" s="988" t="s">
        <v>2666</v>
      </c>
      <c r="E4176" s="989">
        <v>207.07</v>
      </c>
      <c r="F4176" s="990"/>
      <c r="G4176" s="990"/>
      <c r="H4176" s="990"/>
      <c r="I4176" s="990"/>
      <c r="J4176" s="990"/>
      <c r="K4176" s="990"/>
      <c r="L4176" s="990"/>
      <c r="M4176" s="990"/>
      <c r="N4176" s="990"/>
      <c r="O4176" s="990"/>
      <c r="P4176" s="990"/>
      <c r="Q4176" s="990"/>
      <c r="R4176" s="990"/>
      <c r="S4176" s="990"/>
      <c r="T4176" s="990"/>
      <c r="U4176" s="990"/>
      <c r="V4176" s="990"/>
      <c r="W4176" s="990"/>
      <c r="X4176" s="990"/>
    </row>
    <row r="4177" spans="1:24" s="896" customFormat="1" ht="25.5">
      <c r="A4177" s="987">
        <f t="shared" si="66"/>
        <v>4103</v>
      </c>
      <c r="B4177" s="988">
        <v>41623</v>
      </c>
      <c r="C4177" s="899" t="s">
        <v>13503</v>
      </c>
      <c r="D4177" s="988" t="s">
        <v>2666</v>
      </c>
      <c r="E4177" s="989">
        <v>318.38</v>
      </c>
      <c r="F4177" s="990"/>
      <c r="G4177" s="990"/>
      <c r="H4177" s="990"/>
      <c r="I4177" s="990"/>
      <c r="J4177" s="990"/>
      <c r="K4177" s="990"/>
      <c r="L4177" s="990"/>
      <c r="M4177" s="990"/>
      <c r="N4177" s="990"/>
      <c r="O4177" s="990"/>
      <c r="P4177" s="990"/>
      <c r="Q4177" s="990"/>
      <c r="R4177" s="990"/>
      <c r="S4177" s="990"/>
      <c r="T4177" s="990"/>
      <c r="U4177" s="990"/>
      <c r="V4177" s="990"/>
      <c r="W4177" s="990"/>
      <c r="X4177" s="990"/>
    </row>
    <row r="4178" spans="1:24" s="896" customFormat="1" ht="25.5">
      <c r="A4178" s="987">
        <f t="shared" si="66"/>
        <v>4104</v>
      </c>
      <c r="B4178" s="988">
        <v>41624</v>
      </c>
      <c r="C4178" s="899" t="s">
        <v>13504</v>
      </c>
      <c r="D4178" s="988" t="s">
        <v>2666</v>
      </c>
      <c r="E4178" s="989">
        <v>596.97</v>
      </c>
      <c r="F4178" s="990"/>
      <c r="G4178" s="990"/>
      <c r="H4178" s="990"/>
      <c r="I4178" s="990"/>
      <c r="J4178" s="990"/>
      <c r="K4178" s="990"/>
      <c r="L4178" s="990"/>
      <c r="M4178" s="990"/>
      <c r="N4178" s="990"/>
      <c r="O4178" s="990"/>
      <c r="P4178" s="990"/>
      <c r="Q4178" s="990"/>
      <c r="R4178" s="990"/>
      <c r="S4178" s="990"/>
      <c r="T4178" s="990"/>
      <c r="U4178" s="990"/>
      <c r="V4178" s="990"/>
      <c r="W4178" s="990"/>
      <c r="X4178" s="990"/>
    </row>
    <row r="4179" spans="1:24" s="896" customFormat="1" ht="25.5">
      <c r="A4179" s="987">
        <f t="shared" si="66"/>
        <v>4105</v>
      </c>
      <c r="B4179" s="988">
        <v>41625</v>
      </c>
      <c r="C4179" s="899" t="s">
        <v>13505</v>
      </c>
      <c r="D4179" s="988" t="s">
        <v>2666</v>
      </c>
      <c r="E4179" s="989">
        <v>918.47</v>
      </c>
      <c r="F4179" s="990"/>
      <c r="G4179" s="990"/>
      <c r="H4179" s="990"/>
      <c r="I4179" s="990"/>
      <c r="J4179" s="990"/>
      <c r="K4179" s="990"/>
      <c r="L4179" s="990"/>
      <c r="M4179" s="990"/>
      <c r="N4179" s="990"/>
      <c r="O4179" s="990"/>
      <c r="P4179" s="990"/>
      <c r="Q4179" s="990"/>
      <c r="R4179" s="990"/>
      <c r="S4179" s="990"/>
      <c r="T4179" s="990"/>
      <c r="U4179" s="990"/>
      <c r="V4179" s="990"/>
      <c r="W4179" s="990"/>
      <c r="X4179" s="990"/>
    </row>
    <row r="4180" spans="1:24" s="896" customFormat="1">
      <c r="A4180" s="987">
        <f t="shared" si="66"/>
        <v>4106</v>
      </c>
      <c r="B4180" s="988">
        <v>39352</v>
      </c>
      <c r="C4180" s="899" t="s">
        <v>13506</v>
      </c>
      <c r="D4180" s="988" t="s">
        <v>2666</v>
      </c>
      <c r="E4180" s="989">
        <v>4.8</v>
      </c>
      <c r="F4180" s="990"/>
      <c r="G4180" s="990"/>
      <c r="H4180" s="990"/>
      <c r="I4180" s="990"/>
      <c r="J4180" s="990"/>
      <c r="K4180" s="990"/>
      <c r="L4180" s="990"/>
      <c r="M4180" s="990"/>
      <c r="N4180" s="990"/>
      <c r="O4180" s="990"/>
      <c r="P4180" s="990"/>
      <c r="Q4180" s="990"/>
      <c r="R4180" s="990"/>
      <c r="S4180" s="990"/>
      <c r="T4180" s="990"/>
      <c r="U4180" s="990"/>
      <c r="V4180" s="990"/>
      <c r="W4180" s="990"/>
      <c r="X4180" s="990"/>
    </row>
    <row r="4181" spans="1:24" s="896" customFormat="1">
      <c r="A4181" s="987">
        <f t="shared" si="66"/>
        <v>4107</v>
      </c>
      <c r="B4181" s="988">
        <v>39346</v>
      </c>
      <c r="C4181" s="899" t="s">
        <v>13507</v>
      </c>
      <c r="D4181" s="988" t="s">
        <v>2666</v>
      </c>
      <c r="E4181" s="989">
        <v>4.8</v>
      </c>
      <c r="F4181" s="990"/>
      <c r="G4181" s="990"/>
      <c r="H4181" s="990"/>
      <c r="I4181" s="990"/>
      <c r="J4181" s="990"/>
      <c r="K4181" s="990"/>
      <c r="L4181" s="990"/>
      <c r="M4181" s="990"/>
      <c r="N4181" s="990"/>
      <c r="O4181" s="990"/>
      <c r="P4181" s="990"/>
      <c r="Q4181" s="990"/>
      <c r="R4181" s="990"/>
      <c r="S4181" s="990"/>
      <c r="T4181" s="990"/>
      <c r="U4181" s="990"/>
      <c r="V4181" s="990"/>
      <c r="W4181" s="990"/>
      <c r="X4181" s="990"/>
    </row>
    <row r="4182" spans="1:24" s="896" customFormat="1">
      <c r="A4182" s="987">
        <f t="shared" si="66"/>
        <v>4108</v>
      </c>
      <c r="B4182" s="988">
        <v>39350</v>
      </c>
      <c r="C4182" s="899" t="s">
        <v>13508</v>
      </c>
      <c r="D4182" s="988" t="s">
        <v>2666</v>
      </c>
      <c r="E4182" s="989">
        <v>5.17</v>
      </c>
      <c r="F4182" s="990"/>
      <c r="G4182" s="990"/>
      <c r="H4182" s="990"/>
      <c r="I4182" s="990"/>
      <c r="J4182" s="990"/>
      <c r="K4182" s="990"/>
      <c r="L4182" s="990"/>
      <c r="M4182" s="990"/>
      <c r="N4182" s="990"/>
      <c r="O4182" s="990"/>
      <c r="P4182" s="990"/>
      <c r="Q4182" s="990"/>
      <c r="R4182" s="990"/>
      <c r="S4182" s="990"/>
      <c r="T4182" s="990"/>
      <c r="U4182" s="990"/>
      <c r="V4182" s="990"/>
      <c r="W4182" s="990"/>
      <c r="X4182" s="990"/>
    </row>
    <row r="4183" spans="1:24" s="896" customFormat="1">
      <c r="A4183" s="987">
        <f t="shared" si="66"/>
        <v>4109</v>
      </c>
      <c r="B4183" s="988">
        <v>39351</v>
      </c>
      <c r="C4183" s="899" t="s">
        <v>13509</v>
      </c>
      <c r="D4183" s="988" t="s">
        <v>2666</v>
      </c>
      <c r="E4183" s="989">
        <v>5.98</v>
      </c>
      <c r="F4183" s="990"/>
      <c r="G4183" s="990"/>
      <c r="H4183" s="990"/>
      <c r="I4183" s="990"/>
      <c r="J4183" s="990"/>
      <c r="K4183" s="990"/>
      <c r="L4183" s="990"/>
      <c r="M4183" s="990"/>
      <c r="N4183" s="990"/>
      <c r="O4183" s="990"/>
      <c r="P4183" s="990"/>
      <c r="Q4183" s="990"/>
      <c r="R4183" s="990"/>
      <c r="S4183" s="990"/>
      <c r="T4183" s="990"/>
      <c r="U4183" s="990"/>
      <c r="V4183" s="990"/>
      <c r="W4183" s="990"/>
      <c r="X4183" s="990"/>
    </row>
    <row r="4184" spans="1:24" s="896" customFormat="1">
      <c r="A4184" s="987">
        <f t="shared" si="66"/>
        <v>4110</v>
      </c>
      <c r="B4184" s="988">
        <v>38952</v>
      </c>
      <c r="C4184" s="899" t="s">
        <v>13510</v>
      </c>
      <c r="D4184" s="988" t="s">
        <v>2666</v>
      </c>
      <c r="E4184" s="989">
        <v>2.92</v>
      </c>
      <c r="F4184" s="990"/>
      <c r="G4184" s="990"/>
      <c r="H4184" s="990"/>
      <c r="I4184" s="990"/>
      <c r="J4184" s="990"/>
      <c r="K4184" s="990"/>
      <c r="L4184" s="990"/>
      <c r="M4184" s="990"/>
      <c r="N4184" s="990"/>
      <c r="O4184" s="990"/>
      <c r="P4184" s="990"/>
      <c r="Q4184" s="990"/>
      <c r="R4184" s="990"/>
      <c r="S4184" s="990"/>
      <c r="T4184" s="990"/>
      <c r="U4184" s="990"/>
      <c r="V4184" s="990"/>
      <c r="W4184" s="990"/>
      <c r="X4184" s="990"/>
    </row>
    <row r="4185" spans="1:24" s="896" customFormat="1">
      <c r="A4185" s="987">
        <f t="shared" si="66"/>
        <v>4111</v>
      </c>
      <c r="B4185" s="988">
        <v>38953</v>
      </c>
      <c r="C4185" s="899" t="s">
        <v>13511</v>
      </c>
      <c r="D4185" s="988" t="s">
        <v>2666</v>
      </c>
      <c r="E4185" s="989">
        <v>4.5999999999999996</v>
      </c>
      <c r="F4185" s="990"/>
      <c r="G4185" s="990"/>
      <c r="H4185" s="990"/>
      <c r="I4185" s="990"/>
      <c r="J4185" s="990"/>
      <c r="K4185" s="990"/>
      <c r="L4185" s="990"/>
      <c r="M4185" s="990"/>
      <c r="N4185" s="990"/>
      <c r="O4185" s="990"/>
      <c r="P4185" s="990"/>
      <c r="Q4185" s="990"/>
      <c r="R4185" s="990"/>
      <c r="S4185" s="990"/>
      <c r="T4185" s="990"/>
      <c r="U4185" s="990"/>
      <c r="V4185" s="990"/>
      <c r="W4185" s="990"/>
      <c r="X4185" s="990"/>
    </row>
    <row r="4186" spans="1:24" s="896" customFormat="1">
      <c r="A4186" s="987">
        <f t="shared" si="66"/>
        <v>4112</v>
      </c>
      <c r="B4186" s="988">
        <v>38835</v>
      </c>
      <c r="C4186" s="899" t="s">
        <v>13512</v>
      </c>
      <c r="D4186" s="988" t="s">
        <v>2666</v>
      </c>
      <c r="E4186" s="989">
        <v>4.13</v>
      </c>
      <c r="F4186" s="990"/>
      <c r="G4186" s="990"/>
      <c r="H4186" s="990"/>
      <c r="I4186" s="990"/>
      <c r="J4186" s="990"/>
      <c r="K4186" s="990"/>
      <c r="L4186" s="990"/>
      <c r="M4186" s="990"/>
      <c r="N4186" s="990"/>
      <c r="O4186" s="990"/>
      <c r="P4186" s="990"/>
      <c r="Q4186" s="990"/>
      <c r="R4186" s="990"/>
      <c r="S4186" s="990"/>
      <c r="T4186" s="990"/>
      <c r="U4186" s="990"/>
      <c r="V4186" s="990"/>
      <c r="W4186" s="990"/>
      <c r="X4186" s="990"/>
    </row>
    <row r="4187" spans="1:24" s="896" customFormat="1">
      <c r="A4187" s="987">
        <f t="shared" si="66"/>
        <v>4113</v>
      </c>
      <c r="B4187" s="988">
        <v>38837</v>
      </c>
      <c r="C4187" s="899" t="s">
        <v>13513</v>
      </c>
      <c r="D4187" s="988" t="s">
        <v>2666</v>
      </c>
      <c r="E4187" s="989">
        <v>10.75</v>
      </c>
      <c r="F4187" s="990"/>
      <c r="G4187" s="990"/>
      <c r="H4187" s="990"/>
      <c r="I4187" s="990"/>
      <c r="J4187" s="990"/>
      <c r="K4187" s="990"/>
      <c r="L4187" s="990"/>
      <c r="M4187" s="990"/>
      <c r="N4187" s="990"/>
      <c r="O4187" s="990"/>
      <c r="P4187" s="990"/>
      <c r="Q4187" s="990"/>
      <c r="R4187" s="990"/>
      <c r="S4187" s="990"/>
      <c r="T4187" s="990"/>
      <c r="U4187" s="990"/>
      <c r="V4187" s="990"/>
      <c r="W4187" s="990"/>
      <c r="X4187" s="990"/>
    </row>
    <row r="4188" spans="1:24" s="896" customFormat="1">
      <c r="A4188" s="987">
        <f t="shared" si="66"/>
        <v>4114</v>
      </c>
      <c r="B4188" s="988">
        <v>38836</v>
      </c>
      <c r="C4188" s="899" t="s">
        <v>13514</v>
      </c>
      <c r="D4188" s="988" t="s">
        <v>2666</v>
      </c>
      <c r="E4188" s="989">
        <v>5.95</v>
      </c>
      <c r="F4188" s="990"/>
      <c r="G4188" s="990"/>
      <c r="H4188" s="990"/>
      <c r="I4188" s="990"/>
      <c r="J4188" s="990"/>
      <c r="K4188" s="990"/>
      <c r="L4188" s="990"/>
      <c r="M4188" s="990"/>
      <c r="N4188" s="990"/>
      <c r="O4188" s="990"/>
      <c r="P4188" s="990"/>
      <c r="Q4188" s="990"/>
      <c r="R4188" s="990"/>
      <c r="S4188" s="990"/>
      <c r="T4188" s="990"/>
      <c r="U4188" s="990"/>
      <c r="V4188" s="990"/>
      <c r="W4188" s="990"/>
      <c r="X4188" s="990"/>
    </row>
    <row r="4189" spans="1:24" s="896" customFormat="1" ht="25.5">
      <c r="A4189" s="987">
        <f t="shared" si="66"/>
        <v>4115</v>
      </c>
      <c r="B4189" s="988">
        <v>2666</v>
      </c>
      <c r="C4189" s="899" t="s">
        <v>13515</v>
      </c>
      <c r="D4189" s="988" t="s">
        <v>2666</v>
      </c>
      <c r="E4189" s="989">
        <v>5.95</v>
      </c>
      <c r="F4189" s="990"/>
      <c r="G4189" s="990"/>
      <c r="H4189" s="990"/>
      <c r="I4189" s="990"/>
      <c r="J4189" s="990"/>
      <c r="K4189" s="990"/>
      <c r="L4189" s="990"/>
      <c r="M4189" s="990"/>
      <c r="N4189" s="990"/>
      <c r="O4189" s="990"/>
      <c r="P4189" s="990"/>
      <c r="Q4189" s="990"/>
      <c r="R4189" s="990"/>
      <c r="S4189" s="990"/>
      <c r="T4189" s="990"/>
      <c r="U4189" s="990"/>
      <c r="V4189" s="990"/>
      <c r="W4189" s="990"/>
      <c r="X4189" s="990"/>
    </row>
    <row r="4190" spans="1:24" s="896" customFormat="1" ht="25.5">
      <c r="A4190" s="987">
        <f t="shared" si="66"/>
        <v>4116</v>
      </c>
      <c r="B4190" s="988">
        <v>2668</v>
      </c>
      <c r="C4190" s="899" t="s">
        <v>13516</v>
      </c>
      <c r="D4190" s="988" t="s">
        <v>2666</v>
      </c>
      <c r="E4190" s="989">
        <v>6.8</v>
      </c>
      <c r="F4190" s="990"/>
      <c r="G4190" s="990"/>
      <c r="H4190" s="990"/>
      <c r="I4190" s="990"/>
      <c r="J4190" s="990"/>
      <c r="K4190" s="990"/>
      <c r="L4190" s="990"/>
      <c r="M4190" s="990"/>
      <c r="N4190" s="990"/>
      <c r="O4190" s="990"/>
      <c r="P4190" s="990"/>
      <c r="Q4190" s="990"/>
      <c r="R4190" s="990"/>
      <c r="S4190" s="990"/>
      <c r="T4190" s="990"/>
      <c r="U4190" s="990"/>
      <c r="V4190" s="990"/>
      <c r="W4190" s="990"/>
      <c r="X4190" s="990"/>
    </row>
    <row r="4191" spans="1:24" s="896" customFormat="1" ht="25.5">
      <c r="A4191" s="987">
        <f t="shared" si="66"/>
        <v>4117</v>
      </c>
      <c r="B4191" s="988">
        <v>2664</v>
      </c>
      <c r="C4191" s="899" t="s">
        <v>13517</v>
      </c>
      <c r="D4191" s="988" t="s">
        <v>2666</v>
      </c>
      <c r="E4191" s="989">
        <v>10.029999999999999</v>
      </c>
      <c r="F4191" s="990"/>
      <c r="G4191" s="990"/>
      <c r="H4191" s="990"/>
      <c r="I4191" s="990"/>
      <c r="J4191" s="990"/>
      <c r="K4191" s="990"/>
      <c r="L4191" s="990"/>
      <c r="M4191" s="990"/>
      <c r="N4191" s="990"/>
      <c r="O4191" s="990"/>
      <c r="P4191" s="990"/>
      <c r="Q4191" s="990"/>
      <c r="R4191" s="990"/>
      <c r="S4191" s="990"/>
      <c r="T4191" s="990"/>
      <c r="U4191" s="990"/>
      <c r="V4191" s="990"/>
      <c r="W4191" s="990"/>
      <c r="X4191" s="990"/>
    </row>
    <row r="4192" spans="1:24" s="896" customFormat="1" ht="25.5">
      <c r="A4192" s="987">
        <f t="shared" si="66"/>
        <v>4118</v>
      </c>
      <c r="B4192" s="988">
        <v>2662</v>
      </c>
      <c r="C4192" s="899" t="s">
        <v>13518</v>
      </c>
      <c r="D4192" s="988" t="s">
        <v>2666</v>
      </c>
      <c r="E4192" s="989">
        <v>12.3</v>
      </c>
      <c r="F4192" s="990"/>
      <c r="G4192" s="990"/>
      <c r="H4192" s="990"/>
      <c r="I4192" s="990"/>
      <c r="J4192" s="990"/>
      <c r="K4192" s="990"/>
      <c r="L4192" s="990"/>
      <c r="M4192" s="990"/>
      <c r="N4192" s="990"/>
      <c r="O4192" s="990"/>
      <c r="P4192" s="990"/>
      <c r="Q4192" s="990"/>
      <c r="R4192" s="990"/>
      <c r="S4192" s="990"/>
      <c r="T4192" s="990"/>
      <c r="U4192" s="990"/>
      <c r="V4192" s="990"/>
      <c r="W4192" s="990"/>
      <c r="X4192" s="990"/>
    </row>
    <row r="4193" spans="1:24" s="896" customFormat="1" ht="25.5">
      <c r="A4193" s="987">
        <f t="shared" si="66"/>
        <v>4119</v>
      </c>
      <c r="B4193" s="988">
        <v>20964</v>
      </c>
      <c r="C4193" s="899" t="s">
        <v>13519</v>
      </c>
      <c r="D4193" s="988" t="s">
        <v>2666</v>
      </c>
      <c r="E4193" s="989">
        <v>89.02</v>
      </c>
      <c r="F4193" s="990"/>
      <c r="G4193" s="990"/>
      <c r="H4193" s="990"/>
      <c r="I4193" s="990"/>
      <c r="J4193" s="990"/>
      <c r="K4193" s="990"/>
      <c r="L4193" s="990"/>
      <c r="M4193" s="990"/>
      <c r="N4193" s="990"/>
      <c r="O4193" s="990"/>
      <c r="P4193" s="990"/>
      <c r="Q4193" s="990"/>
      <c r="R4193" s="990"/>
      <c r="S4193" s="990"/>
      <c r="T4193" s="990"/>
      <c r="U4193" s="990"/>
      <c r="V4193" s="990"/>
      <c r="W4193" s="990"/>
      <c r="X4193" s="990"/>
    </row>
    <row r="4194" spans="1:24" s="896" customFormat="1" ht="25.5">
      <c r="A4194" s="987">
        <f t="shared" si="66"/>
        <v>4120</v>
      </c>
      <c r="B4194" s="988">
        <v>10905</v>
      </c>
      <c r="C4194" s="899" t="s">
        <v>13520</v>
      </c>
      <c r="D4194" s="988" t="s">
        <v>2666</v>
      </c>
      <c r="E4194" s="989">
        <v>119.42</v>
      </c>
      <c r="F4194" s="990"/>
      <c r="G4194" s="990"/>
      <c r="H4194" s="990"/>
      <c r="I4194" s="990"/>
      <c r="J4194" s="990"/>
      <c r="K4194" s="990"/>
      <c r="L4194" s="990"/>
      <c r="M4194" s="990"/>
      <c r="N4194" s="990"/>
      <c r="O4194" s="990"/>
      <c r="P4194" s="990"/>
      <c r="Q4194" s="990"/>
      <c r="R4194" s="990"/>
      <c r="S4194" s="990"/>
      <c r="T4194" s="990"/>
      <c r="U4194" s="990"/>
      <c r="V4194" s="990"/>
      <c r="W4194" s="990"/>
      <c r="X4194" s="990"/>
    </row>
    <row r="4195" spans="1:24" s="896" customFormat="1" ht="25.5">
      <c r="A4195" s="987">
        <f t="shared" si="66"/>
        <v>4121</v>
      </c>
      <c r="B4195" s="988">
        <v>42703</v>
      </c>
      <c r="C4195" s="899" t="s">
        <v>13521</v>
      </c>
      <c r="D4195" s="988" t="s">
        <v>2666</v>
      </c>
      <c r="E4195" s="989">
        <v>86.06</v>
      </c>
      <c r="F4195" s="990"/>
      <c r="G4195" s="990"/>
      <c r="H4195" s="990"/>
      <c r="I4195" s="990"/>
      <c r="J4195" s="990"/>
      <c r="K4195" s="990"/>
      <c r="L4195" s="990"/>
      <c r="M4195" s="990"/>
      <c r="N4195" s="990"/>
      <c r="O4195" s="990"/>
      <c r="P4195" s="990"/>
      <c r="Q4195" s="990"/>
      <c r="R4195" s="990"/>
      <c r="S4195" s="990"/>
      <c r="T4195" s="990"/>
      <c r="U4195" s="990"/>
      <c r="V4195" s="990"/>
      <c r="W4195" s="990"/>
      <c r="X4195" s="990"/>
    </row>
    <row r="4196" spans="1:24" s="896" customFormat="1" ht="25.5">
      <c r="A4196" s="987">
        <f t="shared" si="66"/>
        <v>4122</v>
      </c>
      <c r="B4196" s="988">
        <v>42704</v>
      </c>
      <c r="C4196" s="899" t="s">
        <v>13522</v>
      </c>
      <c r="D4196" s="988" t="s">
        <v>2666</v>
      </c>
      <c r="E4196" s="989">
        <v>132.13</v>
      </c>
      <c r="F4196" s="990"/>
      <c r="G4196" s="990"/>
      <c r="H4196" s="990"/>
      <c r="I4196" s="990"/>
      <c r="J4196" s="990"/>
      <c r="K4196" s="990"/>
      <c r="L4196" s="990"/>
      <c r="M4196" s="990"/>
      <c r="N4196" s="990"/>
      <c r="O4196" s="990"/>
      <c r="P4196" s="990"/>
      <c r="Q4196" s="990"/>
      <c r="R4196" s="990"/>
      <c r="S4196" s="990"/>
      <c r="T4196" s="990"/>
      <c r="U4196" s="990"/>
      <c r="V4196" s="990"/>
      <c r="W4196" s="990"/>
      <c r="X4196" s="990"/>
    </row>
    <row r="4197" spans="1:24" s="896" customFormat="1" ht="25.5">
      <c r="A4197" s="987">
        <f t="shared" si="66"/>
        <v>4123</v>
      </c>
      <c r="B4197" s="988">
        <v>42705</v>
      </c>
      <c r="C4197" s="899" t="s">
        <v>13523</v>
      </c>
      <c r="D4197" s="988" t="s">
        <v>2666</v>
      </c>
      <c r="E4197" s="989">
        <v>168.57</v>
      </c>
      <c r="F4197" s="990"/>
      <c r="G4197" s="990"/>
      <c r="H4197" s="990"/>
      <c r="I4197" s="990"/>
      <c r="J4197" s="990"/>
      <c r="K4197" s="990"/>
      <c r="L4197" s="990"/>
      <c r="M4197" s="990"/>
      <c r="N4197" s="990"/>
      <c r="O4197" s="990"/>
      <c r="P4197" s="990"/>
      <c r="Q4197" s="990"/>
      <c r="R4197" s="990"/>
      <c r="S4197" s="990"/>
      <c r="T4197" s="990"/>
      <c r="U4197" s="990"/>
      <c r="V4197" s="990"/>
      <c r="W4197" s="990"/>
      <c r="X4197" s="990"/>
    </row>
    <row r="4198" spans="1:24" s="896" customFormat="1" ht="25.5">
      <c r="A4198" s="987">
        <f t="shared" si="66"/>
        <v>4124</v>
      </c>
      <c r="B4198" s="988">
        <v>42706</v>
      </c>
      <c r="C4198" s="899" t="s">
        <v>13524</v>
      </c>
      <c r="D4198" s="988" t="s">
        <v>2666</v>
      </c>
      <c r="E4198" s="989">
        <v>208.77</v>
      </c>
      <c r="F4198" s="990"/>
      <c r="G4198" s="990"/>
      <c r="H4198" s="990"/>
      <c r="I4198" s="990"/>
      <c r="J4198" s="990"/>
      <c r="K4198" s="990"/>
      <c r="L4198" s="990"/>
      <c r="M4198" s="990"/>
      <c r="N4198" s="990"/>
      <c r="O4198" s="990"/>
      <c r="P4198" s="990"/>
      <c r="Q4198" s="990"/>
      <c r="R4198" s="990"/>
      <c r="S4198" s="990"/>
      <c r="T4198" s="990"/>
      <c r="U4198" s="990"/>
      <c r="V4198" s="990"/>
      <c r="W4198" s="990"/>
      <c r="X4198" s="990"/>
    </row>
    <row r="4199" spans="1:24" s="896" customFormat="1">
      <c r="A4199" s="987">
        <f t="shared" si="66"/>
        <v>4125</v>
      </c>
      <c r="B4199" s="988">
        <v>11289</v>
      </c>
      <c r="C4199" s="899" t="s">
        <v>13525</v>
      </c>
      <c r="D4199" s="988" t="s">
        <v>2666</v>
      </c>
      <c r="E4199" s="989">
        <v>106.61</v>
      </c>
      <c r="F4199" s="990"/>
      <c r="G4199" s="990"/>
      <c r="H4199" s="990"/>
      <c r="I4199" s="990"/>
      <c r="J4199" s="990"/>
      <c r="K4199" s="990"/>
      <c r="L4199" s="990"/>
      <c r="M4199" s="990"/>
      <c r="N4199" s="990"/>
      <c r="O4199" s="990"/>
      <c r="P4199" s="990"/>
      <c r="Q4199" s="990"/>
      <c r="R4199" s="990"/>
      <c r="S4199" s="990"/>
      <c r="T4199" s="990"/>
      <c r="U4199" s="990"/>
      <c r="V4199" s="990"/>
      <c r="W4199" s="990"/>
      <c r="X4199" s="990"/>
    </row>
    <row r="4200" spans="1:24" s="896" customFormat="1" ht="25.5">
      <c r="A4200" s="987">
        <f t="shared" si="66"/>
        <v>4126</v>
      </c>
      <c r="B4200" s="988">
        <v>11241</v>
      </c>
      <c r="C4200" s="899" t="s">
        <v>13526</v>
      </c>
      <c r="D4200" s="988" t="s">
        <v>2666</v>
      </c>
      <c r="E4200" s="989">
        <v>266.54000000000002</v>
      </c>
      <c r="F4200" s="990"/>
      <c r="G4200" s="990"/>
      <c r="H4200" s="990"/>
      <c r="I4200" s="990"/>
      <c r="J4200" s="990"/>
      <c r="K4200" s="990"/>
      <c r="L4200" s="990"/>
      <c r="M4200" s="990"/>
      <c r="N4200" s="990"/>
      <c r="O4200" s="990"/>
      <c r="P4200" s="990"/>
      <c r="Q4200" s="990"/>
      <c r="R4200" s="990"/>
      <c r="S4200" s="990"/>
      <c r="T4200" s="990"/>
      <c r="U4200" s="990"/>
      <c r="V4200" s="990"/>
      <c r="W4200" s="990"/>
      <c r="X4200" s="990"/>
    </row>
    <row r="4201" spans="1:24" s="896" customFormat="1" ht="25.5">
      <c r="A4201" s="987">
        <f t="shared" si="66"/>
        <v>4127</v>
      </c>
      <c r="B4201" s="988">
        <v>11301</v>
      </c>
      <c r="C4201" s="899" t="s">
        <v>13527</v>
      </c>
      <c r="D4201" s="988" t="s">
        <v>2666</v>
      </c>
      <c r="E4201" s="989">
        <v>675.87</v>
      </c>
      <c r="F4201" s="990"/>
      <c r="G4201" s="990"/>
      <c r="H4201" s="990"/>
      <c r="I4201" s="990"/>
      <c r="J4201" s="990"/>
      <c r="K4201" s="990"/>
      <c r="L4201" s="990"/>
      <c r="M4201" s="990"/>
      <c r="N4201" s="990"/>
      <c r="O4201" s="990"/>
      <c r="P4201" s="990"/>
      <c r="Q4201" s="990"/>
      <c r="R4201" s="990"/>
      <c r="S4201" s="990"/>
      <c r="T4201" s="990"/>
      <c r="U4201" s="990"/>
      <c r="V4201" s="990"/>
      <c r="W4201" s="990"/>
      <c r="X4201" s="990"/>
    </row>
    <row r="4202" spans="1:24" s="896" customFormat="1" ht="25.5">
      <c r="A4202" s="987">
        <f t="shared" si="66"/>
        <v>4128</v>
      </c>
      <c r="B4202" s="988">
        <v>21090</v>
      </c>
      <c r="C4202" s="899" t="s">
        <v>13528</v>
      </c>
      <c r="D4202" s="988" t="s">
        <v>2666</v>
      </c>
      <c r="E4202" s="989">
        <v>828.18</v>
      </c>
      <c r="F4202" s="990"/>
      <c r="G4202" s="990"/>
      <c r="H4202" s="990"/>
      <c r="I4202" s="990"/>
      <c r="J4202" s="990"/>
      <c r="K4202" s="990"/>
      <c r="L4202" s="990"/>
      <c r="M4202" s="990"/>
      <c r="N4202" s="990"/>
      <c r="O4202" s="990"/>
      <c r="P4202" s="990"/>
      <c r="Q4202" s="990"/>
      <c r="R4202" s="990"/>
      <c r="S4202" s="990"/>
      <c r="T4202" s="990"/>
      <c r="U4202" s="990"/>
      <c r="V4202" s="990"/>
      <c r="W4202" s="990"/>
      <c r="X4202" s="990"/>
    </row>
    <row r="4203" spans="1:24" s="896" customFormat="1" ht="25.5">
      <c r="A4203" s="987">
        <f t="shared" si="66"/>
        <v>4129</v>
      </c>
      <c r="B4203" s="988">
        <v>11315</v>
      </c>
      <c r="C4203" s="899" t="s">
        <v>13529</v>
      </c>
      <c r="D4203" s="988" t="s">
        <v>2666</v>
      </c>
      <c r="E4203" s="989">
        <v>161.82</v>
      </c>
      <c r="F4203" s="990"/>
      <c r="G4203" s="990"/>
      <c r="H4203" s="990"/>
      <c r="I4203" s="990"/>
      <c r="J4203" s="990"/>
      <c r="K4203" s="990"/>
      <c r="L4203" s="990"/>
      <c r="M4203" s="990"/>
      <c r="N4203" s="990"/>
      <c r="O4203" s="990"/>
      <c r="P4203" s="990"/>
      <c r="Q4203" s="990"/>
      <c r="R4203" s="990"/>
      <c r="S4203" s="990"/>
      <c r="T4203" s="990"/>
      <c r="U4203" s="990"/>
      <c r="V4203" s="990"/>
      <c r="W4203" s="990"/>
      <c r="X4203" s="990"/>
    </row>
    <row r="4204" spans="1:24" s="896" customFormat="1" ht="25.5">
      <c r="A4204" s="987">
        <f t="shared" si="66"/>
        <v>4130</v>
      </c>
      <c r="B4204" s="988">
        <v>21071</v>
      </c>
      <c r="C4204" s="899" t="s">
        <v>13530</v>
      </c>
      <c r="D4204" s="988" t="s">
        <v>2666</v>
      </c>
      <c r="E4204" s="989">
        <v>247.5</v>
      </c>
      <c r="F4204" s="990"/>
      <c r="G4204" s="990"/>
      <c r="H4204" s="990"/>
      <c r="I4204" s="990"/>
      <c r="J4204" s="990"/>
      <c r="K4204" s="990"/>
      <c r="L4204" s="990"/>
      <c r="M4204" s="990"/>
      <c r="N4204" s="990"/>
      <c r="O4204" s="990"/>
      <c r="P4204" s="990"/>
      <c r="Q4204" s="990"/>
      <c r="R4204" s="990"/>
      <c r="S4204" s="990"/>
      <c r="T4204" s="990"/>
      <c r="U4204" s="990"/>
      <c r="V4204" s="990"/>
      <c r="W4204" s="990"/>
      <c r="X4204" s="990"/>
    </row>
    <row r="4205" spans="1:24" s="896" customFormat="1" ht="25.5">
      <c r="A4205" s="987">
        <f t="shared" si="66"/>
        <v>4131</v>
      </c>
      <c r="B4205" s="988">
        <v>14112</v>
      </c>
      <c r="C4205" s="899" t="s">
        <v>13531</v>
      </c>
      <c r="D4205" s="988" t="s">
        <v>2666</v>
      </c>
      <c r="E4205" s="989">
        <v>345.55</v>
      </c>
      <c r="F4205" s="990"/>
      <c r="G4205" s="990"/>
      <c r="H4205" s="990"/>
      <c r="I4205" s="990"/>
      <c r="J4205" s="990"/>
      <c r="K4205" s="990"/>
      <c r="L4205" s="990"/>
      <c r="M4205" s="990"/>
      <c r="N4205" s="990"/>
      <c r="O4205" s="990"/>
      <c r="P4205" s="990"/>
      <c r="Q4205" s="990"/>
      <c r="R4205" s="990"/>
      <c r="S4205" s="990"/>
      <c r="T4205" s="990"/>
      <c r="U4205" s="990"/>
      <c r="V4205" s="990"/>
      <c r="W4205" s="990"/>
      <c r="X4205" s="990"/>
    </row>
    <row r="4206" spans="1:24" s="896" customFormat="1" ht="25.5">
      <c r="A4206" s="987">
        <f t="shared" si="66"/>
        <v>4132</v>
      </c>
      <c r="B4206" s="988">
        <v>11316</v>
      </c>
      <c r="C4206" s="899" t="s">
        <v>13532</v>
      </c>
      <c r="D4206" s="988" t="s">
        <v>2666</v>
      </c>
      <c r="E4206" s="989">
        <v>533.08000000000004</v>
      </c>
      <c r="F4206" s="990"/>
      <c r="G4206" s="990"/>
      <c r="H4206" s="990"/>
      <c r="I4206" s="990"/>
      <c r="J4206" s="990"/>
      <c r="K4206" s="990"/>
      <c r="L4206" s="990"/>
      <c r="M4206" s="990"/>
      <c r="N4206" s="990"/>
      <c r="O4206" s="990"/>
      <c r="P4206" s="990"/>
      <c r="Q4206" s="990"/>
      <c r="R4206" s="990"/>
      <c r="S4206" s="990"/>
      <c r="T4206" s="990"/>
      <c r="U4206" s="990"/>
      <c r="V4206" s="990"/>
      <c r="W4206" s="990"/>
      <c r="X4206" s="990"/>
    </row>
    <row r="4207" spans="1:24" s="896" customFormat="1" ht="25.5">
      <c r="A4207" s="987">
        <f t="shared" si="66"/>
        <v>4133</v>
      </c>
      <c r="B4207" s="988">
        <v>6243</v>
      </c>
      <c r="C4207" s="899" t="s">
        <v>13533</v>
      </c>
      <c r="D4207" s="988" t="s">
        <v>2666</v>
      </c>
      <c r="E4207" s="989">
        <v>614</v>
      </c>
      <c r="F4207" s="990"/>
      <c r="G4207" s="990"/>
      <c r="H4207" s="990"/>
      <c r="I4207" s="990"/>
      <c r="J4207" s="990"/>
      <c r="K4207" s="990"/>
      <c r="L4207" s="990"/>
      <c r="M4207" s="990"/>
      <c r="N4207" s="990"/>
      <c r="O4207" s="990"/>
      <c r="P4207" s="990"/>
      <c r="Q4207" s="990"/>
      <c r="R4207" s="990"/>
      <c r="S4207" s="990"/>
      <c r="T4207" s="990"/>
      <c r="U4207" s="990"/>
      <c r="V4207" s="990"/>
      <c r="W4207" s="990"/>
      <c r="X4207" s="990"/>
    </row>
    <row r="4208" spans="1:24" s="896" customFormat="1" ht="25.5">
      <c r="A4208" s="987">
        <f t="shared" si="66"/>
        <v>4134</v>
      </c>
      <c r="B4208" s="988">
        <v>6240</v>
      </c>
      <c r="C4208" s="899" t="s">
        <v>13534</v>
      </c>
      <c r="D4208" s="988" t="s">
        <v>2666</v>
      </c>
      <c r="E4208" s="989">
        <v>812.95</v>
      </c>
      <c r="F4208" s="990"/>
      <c r="G4208" s="990"/>
      <c r="H4208" s="990"/>
      <c r="I4208" s="990"/>
      <c r="J4208" s="990"/>
      <c r="K4208" s="990"/>
      <c r="L4208" s="990"/>
      <c r="M4208" s="990"/>
      <c r="N4208" s="990"/>
      <c r="O4208" s="990"/>
      <c r="P4208" s="990"/>
      <c r="Q4208" s="990"/>
      <c r="R4208" s="990"/>
      <c r="S4208" s="990"/>
      <c r="T4208" s="990"/>
      <c r="U4208" s="990"/>
      <c r="V4208" s="990"/>
      <c r="W4208" s="990"/>
      <c r="X4208" s="990"/>
    </row>
    <row r="4209" spans="1:24" s="896" customFormat="1" ht="25.5">
      <c r="A4209" s="987">
        <f t="shared" si="66"/>
        <v>4135</v>
      </c>
      <c r="B4209" s="988">
        <v>11296</v>
      </c>
      <c r="C4209" s="899" t="s">
        <v>13535</v>
      </c>
      <c r="D4209" s="988" t="s">
        <v>2666</v>
      </c>
      <c r="E4209" s="989">
        <v>2590.2199999999998</v>
      </c>
      <c r="F4209" s="990"/>
      <c r="G4209" s="990"/>
      <c r="H4209" s="990"/>
      <c r="I4209" s="990"/>
      <c r="J4209" s="990"/>
      <c r="K4209" s="990"/>
      <c r="L4209" s="990"/>
      <c r="M4209" s="990"/>
      <c r="N4209" s="990"/>
      <c r="O4209" s="990"/>
      <c r="P4209" s="990"/>
      <c r="Q4209" s="990"/>
      <c r="R4209" s="990"/>
      <c r="S4209" s="990"/>
      <c r="T4209" s="990"/>
      <c r="U4209" s="990"/>
      <c r="V4209" s="990"/>
      <c r="W4209" s="990"/>
      <c r="X4209" s="990"/>
    </row>
    <row r="4210" spans="1:24" s="896" customFormat="1" ht="25.5">
      <c r="A4210" s="987">
        <f t="shared" si="66"/>
        <v>4136</v>
      </c>
      <c r="B4210" s="988">
        <v>11299</v>
      </c>
      <c r="C4210" s="899" t="s">
        <v>13536</v>
      </c>
      <c r="D4210" s="988" t="s">
        <v>2666</v>
      </c>
      <c r="E4210" s="989">
        <v>876.73</v>
      </c>
      <c r="F4210" s="990"/>
      <c r="G4210" s="990"/>
      <c r="H4210" s="990"/>
      <c r="I4210" s="990"/>
      <c r="J4210" s="990"/>
      <c r="K4210" s="990"/>
      <c r="L4210" s="990"/>
      <c r="M4210" s="990"/>
      <c r="N4210" s="990"/>
      <c r="O4210" s="990"/>
      <c r="P4210" s="990"/>
      <c r="Q4210" s="990"/>
      <c r="R4210" s="990"/>
      <c r="S4210" s="990"/>
      <c r="T4210" s="990"/>
      <c r="U4210" s="990"/>
      <c r="V4210" s="990"/>
      <c r="W4210" s="990"/>
      <c r="X4210" s="990"/>
    </row>
    <row r="4211" spans="1:24" s="896" customFormat="1">
      <c r="A4211" s="987">
        <f t="shared" si="66"/>
        <v>4137</v>
      </c>
      <c r="B4211" s="988">
        <v>11688</v>
      </c>
      <c r="C4211" s="899" t="s">
        <v>13537</v>
      </c>
      <c r="D4211" s="988" t="s">
        <v>2666</v>
      </c>
      <c r="E4211" s="989">
        <v>618.47</v>
      </c>
      <c r="F4211" s="990"/>
      <c r="G4211" s="990"/>
      <c r="H4211" s="990"/>
      <c r="I4211" s="990"/>
      <c r="J4211" s="990"/>
      <c r="K4211" s="990"/>
      <c r="L4211" s="990"/>
      <c r="M4211" s="990"/>
      <c r="N4211" s="990"/>
      <c r="O4211" s="990"/>
      <c r="P4211" s="990"/>
      <c r="Q4211" s="990"/>
      <c r="R4211" s="990"/>
      <c r="S4211" s="990"/>
      <c r="T4211" s="990"/>
      <c r="U4211" s="990"/>
      <c r="V4211" s="990"/>
      <c r="W4211" s="990"/>
      <c r="X4211" s="990"/>
    </row>
    <row r="4212" spans="1:24" s="896" customFormat="1" ht="38.25">
      <c r="A4212" s="987">
        <f t="shared" si="66"/>
        <v>4138</v>
      </c>
      <c r="B4212" s="988">
        <v>37736</v>
      </c>
      <c r="C4212" s="899" t="s">
        <v>13538</v>
      </c>
      <c r="D4212" s="988" t="s">
        <v>2666</v>
      </c>
      <c r="E4212" s="989">
        <v>84450</v>
      </c>
      <c r="F4212" s="990"/>
      <c r="G4212" s="990"/>
      <c r="H4212" s="990"/>
      <c r="I4212" s="990"/>
      <c r="J4212" s="990"/>
      <c r="K4212" s="990"/>
      <c r="L4212" s="990"/>
      <c r="M4212" s="990"/>
      <c r="N4212" s="990"/>
      <c r="O4212" s="990"/>
      <c r="P4212" s="990"/>
      <c r="Q4212" s="990"/>
      <c r="R4212" s="990"/>
      <c r="S4212" s="990"/>
      <c r="T4212" s="990"/>
      <c r="U4212" s="990"/>
      <c r="V4212" s="990"/>
      <c r="W4212" s="990"/>
      <c r="X4212" s="990"/>
    </row>
    <row r="4213" spans="1:24" s="896" customFormat="1" ht="25.5">
      <c r="A4213" s="987">
        <f t="shared" si="66"/>
        <v>4139</v>
      </c>
      <c r="B4213" s="988">
        <v>37739</v>
      </c>
      <c r="C4213" s="899" t="s">
        <v>13539</v>
      </c>
      <c r="D4213" s="988" t="s">
        <v>2666</v>
      </c>
      <c r="E4213" s="989">
        <v>103938.45</v>
      </c>
      <c r="F4213" s="990"/>
      <c r="G4213" s="990"/>
      <c r="H4213" s="990"/>
      <c r="I4213" s="990"/>
      <c r="J4213" s="990"/>
      <c r="K4213" s="990"/>
      <c r="L4213" s="990"/>
      <c r="M4213" s="990"/>
      <c r="N4213" s="990"/>
      <c r="O4213" s="990"/>
      <c r="P4213" s="990"/>
      <c r="Q4213" s="990"/>
      <c r="R4213" s="990"/>
      <c r="S4213" s="990"/>
      <c r="T4213" s="990"/>
      <c r="U4213" s="990"/>
      <c r="V4213" s="990"/>
      <c r="W4213" s="990"/>
      <c r="X4213" s="990"/>
    </row>
    <row r="4214" spans="1:24" s="896" customFormat="1" ht="25.5">
      <c r="A4214" s="987">
        <f t="shared" si="66"/>
        <v>4140</v>
      </c>
      <c r="B4214" s="988">
        <v>37740</v>
      </c>
      <c r="C4214" s="899" t="s">
        <v>13540</v>
      </c>
      <c r="D4214" s="988" t="s">
        <v>2666</v>
      </c>
      <c r="E4214" s="989">
        <v>59312.7</v>
      </c>
      <c r="F4214" s="990"/>
      <c r="G4214" s="990"/>
      <c r="H4214" s="990"/>
      <c r="I4214" s="990"/>
      <c r="J4214" s="990"/>
      <c r="K4214" s="990"/>
      <c r="L4214" s="990"/>
      <c r="M4214" s="990"/>
      <c r="N4214" s="990"/>
      <c r="O4214" s="990"/>
      <c r="P4214" s="990"/>
      <c r="Q4214" s="990"/>
      <c r="R4214" s="990"/>
      <c r="S4214" s="990"/>
      <c r="T4214" s="990"/>
      <c r="U4214" s="990"/>
      <c r="V4214" s="990"/>
      <c r="W4214" s="990"/>
      <c r="X4214" s="990"/>
    </row>
    <row r="4215" spans="1:24" s="896" customFormat="1" ht="25.5">
      <c r="A4215" s="987">
        <f t="shared" si="66"/>
        <v>4141</v>
      </c>
      <c r="B4215" s="988">
        <v>37738</v>
      </c>
      <c r="C4215" s="899" t="s">
        <v>13541</v>
      </c>
      <c r="D4215" s="988" t="s">
        <v>2666</v>
      </c>
      <c r="E4215" s="989">
        <v>70469.149999999994</v>
      </c>
      <c r="F4215" s="990"/>
      <c r="G4215" s="990"/>
      <c r="H4215" s="990"/>
      <c r="I4215" s="990"/>
      <c r="J4215" s="990"/>
      <c r="K4215" s="990"/>
      <c r="L4215" s="990"/>
      <c r="M4215" s="990"/>
      <c r="N4215" s="990"/>
      <c r="O4215" s="990"/>
      <c r="P4215" s="990"/>
      <c r="Q4215" s="990"/>
      <c r="R4215" s="990"/>
      <c r="S4215" s="990"/>
      <c r="T4215" s="990"/>
      <c r="U4215" s="990"/>
      <c r="V4215" s="990"/>
      <c r="W4215" s="990"/>
      <c r="X4215" s="990"/>
    </row>
    <row r="4216" spans="1:24" s="896" customFormat="1" ht="25.5">
      <c r="A4216" s="987">
        <f t="shared" si="66"/>
        <v>4142</v>
      </c>
      <c r="B4216" s="988">
        <v>37737</v>
      </c>
      <c r="C4216" s="899" t="s">
        <v>13542</v>
      </c>
      <c r="D4216" s="988" t="s">
        <v>2666</v>
      </c>
      <c r="E4216" s="989">
        <v>56064.63</v>
      </c>
      <c r="F4216" s="990"/>
      <c r="G4216" s="990"/>
      <c r="H4216" s="990"/>
      <c r="I4216" s="990"/>
      <c r="J4216" s="990"/>
      <c r="K4216" s="990"/>
      <c r="L4216" s="990"/>
      <c r="M4216" s="990"/>
      <c r="N4216" s="990"/>
      <c r="O4216" s="990"/>
      <c r="P4216" s="990"/>
      <c r="Q4216" s="990"/>
      <c r="R4216" s="990"/>
      <c r="S4216" s="990"/>
      <c r="T4216" s="990"/>
      <c r="U4216" s="990"/>
      <c r="V4216" s="990"/>
      <c r="W4216" s="990"/>
      <c r="X4216" s="990"/>
    </row>
    <row r="4217" spans="1:24" s="896" customFormat="1">
      <c r="A4217" s="987">
        <f t="shared" si="66"/>
        <v>4143</v>
      </c>
      <c r="B4217" s="988">
        <v>25014</v>
      </c>
      <c r="C4217" s="899" t="s">
        <v>13543</v>
      </c>
      <c r="D4217" s="988" t="s">
        <v>2666</v>
      </c>
      <c r="E4217" s="989">
        <v>117425.03</v>
      </c>
      <c r="F4217" s="990"/>
      <c r="G4217" s="990"/>
      <c r="H4217" s="990"/>
      <c r="I4217" s="990"/>
      <c r="J4217" s="990"/>
      <c r="K4217" s="990"/>
      <c r="L4217" s="990"/>
      <c r="M4217" s="990"/>
      <c r="N4217" s="990"/>
      <c r="O4217" s="990"/>
      <c r="P4217" s="990"/>
      <c r="Q4217" s="990"/>
      <c r="R4217" s="990"/>
      <c r="S4217" s="990"/>
      <c r="T4217" s="990"/>
      <c r="U4217" s="990"/>
      <c r="V4217" s="990"/>
      <c r="W4217" s="990"/>
      <c r="X4217" s="990"/>
    </row>
    <row r="4218" spans="1:24" s="896" customFormat="1">
      <c r="A4218" s="987">
        <f t="shared" si="66"/>
        <v>4144</v>
      </c>
      <c r="B4218" s="988">
        <v>25013</v>
      </c>
      <c r="C4218" s="899" t="s">
        <v>13544</v>
      </c>
      <c r="D4218" s="988" t="s">
        <v>2666</v>
      </c>
      <c r="E4218" s="989">
        <v>123073.87</v>
      </c>
      <c r="F4218" s="990"/>
      <c r="G4218" s="990"/>
      <c r="H4218" s="990"/>
      <c r="I4218" s="990"/>
      <c r="J4218" s="990"/>
      <c r="K4218" s="990"/>
      <c r="L4218" s="990"/>
      <c r="M4218" s="990"/>
      <c r="N4218" s="990"/>
      <c r="O4218" s="990"/>
      <c r="P4218" s="990"/>
      <c r="Q4218" s="990"/>
      <c r="R4218" s="990"/>
      <c r="S4218" s="990"/>
      <c r="T4218" s="990"/>
      <c r="U4218" s="990"/>
      <c r="V4218" s="990"/>
      <c r="W4218" s="990"/>
      <c r="X4218" s="990"/>
    </row>
    <row r="4219" spans="1:24" s="896" customFormat="1">
      <c r="A4219" s="987">
        <f t="shared" si="66"/>
        <v>4145</v>
      </c>
      <c r="B4219" s="988">
        <v>14405</v>
      </c>
      <c r="C4219" s="899" t="s">
        <v>13545</v>
      </c>
      <c r="D4219" s="988" t="s">
        <v>2666</v>
      </c>
      <c r="E4219" s="989">
        <v>144468.79999999999</v>
      </c>
      <c r="F4219" s="990"/>
      <c r="G4219" s="990"/>
      <c r="H4219" s="990"/>
      <c r="I4219" s="990"/>
      <c r="J4219" s="990"/>
      <c r="K4219" s="990"/>
      <c r="L4219" s="990"/>
      <c r="M4219" s="990"/>
      <c r="N4219" s="990"/>
      <c r="O4219" s="990"/>
      <c r="P4219" s="990"/>
      <c r="Q4219" s="990"/>
      <c r="R4219" s="990"/>
      <c r="S4219" s="990"/>
      <c r="T4219" s="990"/>
      <c r="U4219" s="990"/>
      <c r="V4219" s="990"/>
      <c r="W4219" s="990"/>
      <c r="X4219" s="990"/>
    </row>
    <row r="4220" spans="1:24" s="896" customFormat="1">
      <c r="A4220" s="987">
        <f t="shared" si="66"/>
        <v>4146</v>
      </c>
      <c r="B4220" s="988">
        <v>20271</v>
      </c>
      <c r="C4220" s="899" t="s">
        <v>13546</v>
      </c>
      <c r="D4220" s="988" t="s">
        <v>2666</v>
      </c>
      <c r="E4220" s="989">
        <v>487.44</v>
      </c>
      <c r="F4220" s="990"/>
      <c r="G4220" s="990"/>
      <c r="H4220" s="990"/>
      <c r="I4220" s="990"/>
      <c r="J4220" s="990"/>
      <c r="K4220" s="990"/>
      <c r="L4220" s="990"/>
      <c r="M4220" s="990"/>
      <c r="N4220" s="990"/>
      <c r="O4220" s="990"/>
      <c r="P4220" s="990"/>
      <c r="Q4220" s="990"/>
      <c r="R4220" s="990"/>
      <c r="S4220" s="990"/>
      <c r="T4220" s="990"/>
      <c r="U4220" s="990"/>
      <c r="V4220" s="990"/>
      <c r="W4220" s="990"/>
      <c r="X4220" s="990"/>
    </row>
    <row r="4221" spans="1:24" s="896" customFormat="1">
      <c r="A4221" s="987">
        <f t="shared" si="66"/>
        <v>4147</v>
      </c>
      <c r="B4221" s="988">
        <v>10423</v>
      </c>
      <c r="C4221" s="899" t="s">
        <v>13547</v>
      </c>
      <c r="D4221" s="988" t="s">
        <v>2666</v>
      </c>
      <c r="E4221" s="989">
        <v>357.89</v>
      </c>
      <c r="F4221" s="990"/>
      <c r="G4221" s="990"/>
      <c r="H4221" s="990"/>
      <c r="I4221" s="990"/>
      <c r="J4221" s="990"/>
      <c r="K4221" s="990"/>
      <c r="L4221" s="990"/>
      <c r="M4221" s="990"/>
      <c r="N4221" s="990"/>
      <c r="O4221" s="990"/>
      <c r="P4221" s="990"/>
      <c r="Q4221" s="990"/>
      <c r="R4221" s="990"/>
      <c r="S4221" s="990"/>
      <c r="T4221" s="990"/>
      <c r="U4221" s="990"/>
      <c r="V4221" s="990"/>
      <c r="W4221" s="990"/>
      <c r="X4221" s="990"/>
    </row>
    <row r="4222" spans="1:24" s="896" customFormat="1">
      <c r="A4222" s="987">
        <f t="shared" si="66"/>
        <v>4148</v>
      </c>
      <c r="B4222" s="988">
        <v>36790</v>
      </c>
      <c r="C4222" s="899" t="s">
        <v>13548</v>
      </c>
      <c r="D4222" s="988" t="s">
        <v>2666</v>
      </c>
      <c r="E4222" s="989">
        <v>299.62</v>
      </c>
      <c r="F4222" s="990"/>
      <c r="G4222" s="990"/>
      <c r="H4222" s="990"/>
      <c r="I4222" s="990"/>
      <c r="J4222" s="990"/>
      <c r="K4222" s="990"/>
      <c r="L4222" s="990"/>
      <c r="M4222" s="990"/>
      <c r="N4222" s="990"/>
      <c r="O4222" s="990"/>
      <c r="P4222" s="990"/>
      <c r="Q4222" s="990"/>
      <c r="R4222" s="990"/>
      <c r="S4222" s="990"/>
      <c r="T4222" s="990"/>
      <c r="U4222" s="990"/>
      <c r="V4222" s="990"/>
      <c r="W4222" s="990"/>
      <c r="X4222" s="990"/>
    </row>
    <row r="4223" spans="1:24" s="896" customFormat="1" ht="25.5">
      <c r="A4223" s="987">
        <f t="shared" si="66"/>
        <v>4149</v>
      </c>
      <c r="B4223" s="988">
        <v>37589</v>
      </c>
      <c r="C4223" s="899" t="s">
        <v>13549</v>
      </c>
      <c r="D4223" s="988" t="s">
        <v>2666</v>
      </c>
      <c r="E4223" s="989">
        <v>367.11</v>
      </c>
      <c r="F4223" s="990"/>
      <c r="G4223" s="990"/>
      <c r="H4223" s="990"/>
      <c r="I4223" s="990"/>
      <c r="J4223" s="990"/>
      <c r="K4223" s="990"/>
      <c r="L4223" s="990"/>
      <c r="M4223" s="990"/>
      <c r="N4223" s="990"/>
      <c r="O4223" s="990"/>
      <c r="P4223" s="990"/>
      <c r="Q4223" s="990"/>
      <c r="R4223" s="990"/>
      <c r="S4223" s="990"/>
      <c r="T4223" s="990"/>
      <c r="U4223" s="990"/>
      <c r="V4223" s="990"/>
      <c r="W4223" s="990"/>
      <c r="X4223" s="990"/>
    </row>
    <row r="4224" spans="1:24" s="896" customFormat="1" ht="25.5">
      <c r="A4224" s="987">
        <f t="shared" si="66"/>
        <v>4150</v>
      </c>
      <c r="B4224" s="988">
        <v>11690</v>
      </c>
      <c r="C4224" s="899" t="s">
        <v>13550</v>
      </c>
      <c r="D4224" s="988" t="s">
        <v>2666</v>
      </c>
      <c r="E4224" s="989">
        <v>195.02</v>
      </c>
      <c r="F4224" s="990"/>
      <c r="G4224" s="990"/>
      <c r="H4224" s="990"/>
      <c r="I4224" s="990"/>
      <c r="J4224" s="990"/>
      <c r="K4224" s="990"/>
      <c r="L4224" s="990"/>
      <c r="M4224" s="990"/>
      <c r="N4224" s="990"/>
      <c r="O4224" s="990"/>
      <c r="P4224" s="990"/>
      <c r="Q4224" s="990"/>
      <c r="R4224" s="990"/>
      <c r="S4224" s="990"/>
      <c r="T4224" s="990"/>
      <c r="U4224" s="990"/>
      <c r="V4224" s="990"/>
      <c r="W4224" s="990"/>
      <c r="X4224" s="990"/>
    </row>
    <row r="4225" spans="1:24" s="896" customFormat="1">
      <c r="A4225" s="987">
        <f t="shared" si="66"/>
        <v>4151</v>
      </c>
      <c r="B4225" s="988">
        <v>20234</v>
      </c>
      <c r="C4225" s="899" t="s">
        <v>13551</v>
      </c>
      <c r="D4225" s="988" t="s">
        <v>2666</v>
      </c>
      <c r="E4225" s="989">
        <v>246.8</v>
      </c>
      <c r="F4225" s="990"/>
      <c r="G4225" s="990"/>
      <c r="H4225" s="990"/>
      <c r="I4225" s="990"/>
      <c r="J4225" s="990"/>
      <c r="K4225" s="990"/>
      <c r="L4225" s="990"/>
      <c r="M4225" s="990"/>
      <c r="N4225" s="990"/>
      <c r="O4225" s="990"/>
      <c r="P4225" s="990"/>
      <c r="Q4225" s="990"/>
      <c r="R4225" s="990"/>
      <c r="S4225" s="990"/>
      <c r="T4225" s="990"/>
      <c r="U4225" s="990"/>
      <c r="V4225" s="990"/>
      <c r="W4225" s="990"/>
      <c r="X4225" s="990"/>
    </row>
    <row r="4226" spans="1:24" s="896" customFormat="1">
      <c r="A4226" s="987">
        <f t="shared" si="66"/>
        <v>4152</v>
      </c>
      <c r="B4226" s="988">
        <v>4763</v>
      </c>
      <c r="C4226" s="899" t="s">
        <v>13552</v>
      </c>
      <c r="D4226" s="988" t="s">
        <v>2665</v>
      </c>
      <c r="E4226" s="989">
        <v>23.94</v>
      </c>
      <c r="F4226" s="990"/>
      <c r="G4226" s="990"/>
      <c r="H4226" s="990"/>
      <c r="I4226" s="990"/>
      <c r="J4226" s="990"/>
      <c r="K4226" s="990"/>
      <c r="L4226" s="990"/>
      <c r="M4226" s="990"/>
      <c r="N4226" s="990"/>
      <c r="O4226" s="990"/>
      <c r="P4226" s="990"/>
      <c r="Q4226" s="990"/>
      <c r="R4226" s="990"/>
      <c r="S4226" s="990"/>
      <c r="T4226" s="990"/>
      <c r="U4226" s="990"/>
      <c r="V4226" s="990"/>
      <c r="W4226" s="990"/>
      <c r="X4226" s="990"/>
    </row>
    <row r="4227" spans="1:24" s="896" customFormat="1">
      <c r="A4227" s="987">
        <f t="shared" si="66"/>
        <v>4153</v>
      </c>
      <c r="B4227" s="988">
        <v>41070</v>
      </c>
      <c r="C4227" s="899" t="s">
        <v>13553</v>
      </c>
      <c r="D4227" s="988" t="s">
        <v>2672</v>
      </c>
      <c r="E4227" s="989">
        <v>4207.42</v>
      </c>
      <c r="F4227" s="990"/>
      <c r="G4227" s="990"/>
      <c r="H4227" s="990"/>
      <c r="I4227" s="990"/>
      <c r="J4227" s="990"/>
      <c r="K4227" s="990"/>
      <c r="L4227" s="990"/>
      <c r="M4227" s="990"/>
      <c r="N4227" s="990"/>
      <c r="O4227" s="990"/>
      <c r="P4227" s="990"/>
      <c r="Q4227" s="990"/>
      <c r="R4227" s="990"/>
      <c r="S4227" s="990"/>
      <c r="T4227" s="990"/>
      <c r="U4227" s="990"/>
      <c r="V4227" s="990"/>
      <c r="W4227" s="990"/>
      <c r="X4227" s="990"/>
    </row>
    <row r="4228" spans="1:24" s="896" customFormat="1">
      <c r="A4228" s="987">
        <f t="shared" si="66"/>
        <v>4154</v>
      </c>
      <c r="B4228" s="988">
        <v>44480</v>
      </c>
      <c r="C4228" s="899" t="s">
        <v>13554</v>
      </c>
      <c r="D4228" s="988" t="s">
        <v>2668</v>
      </c>
      <c r="E4228" s="989">
        <v>16.27</v>
      </c>
      <c r="F4228" s="990"/>
      <c r="G4228" s="990"/>
      <c r="H4228" s="990"/>
      <c r="I4228" s="990"/>
      <c r="J4228" s="990"/>
      <c r="K4228" s="990"/>
      <c r="L4228" s="990"/>
      <c r="M4228" s="990"/>
      <c r="N4228" s="990"/>
      <c r="O4228" s="990"/>
      <c r="P4228" s="990"/>
      <c r="Q4228" s="990"/>
      <c r="R4228" s="990"/>
      <c r="S4228" s="990"/>
      <c r="T4228" s="990"/>
      <c r="U4228" s="990"/>
      <c r="V4228" s="990"/>
      <c r="W4228" s="990"/>
      <c r="X4228" s="990"/>
    </row>
    <row r="4229" spans="1:24" s="896" customFormat="1" ht="25.5">
      <c r="A4229" s="987">
        <f t="shared" si="66"/>
        <v>4155</v>
      </c>
      <c r="B4229" s="988">
        <v>11457</v>
      </c>
      <c r="C4229" s="899" t="s">
        <v>13555</v>
      </c>
      <c r="D4229" s="988" t="s">
        <v>2666</v>
      </c>
      <c r="E4229" s="989">
        <v>45.79</v>
      </c>
      <c r="F4229" s="990"/>
      <c r="G4229" s="990"/>
      <c r="H4229" s="990"/>
      <c r="I4229" s="990"/>
      <c r="J4229" s="990"/>
      <c r="K4229" s="990"/>
      <c r="L4229" s="990"/>
      <c r="M4229" s="990"/>
      <c r="N4229" s="990"/>
      <c r="O4229" s="990"/>
      <c r="P4229" s="990"/>
      <c r="Q4229" s="990"/>
      <c r="R4229" s="990"/>
      <c r="S4229" s="990"/>
      <c r="T4229" s="990"/>
      <c r="U4229" s="990"/>
      <c r="V4229" s="990"/>
      <c r="W4229" s="990"/>
      <c r="X4229" s="990"/>
    </row>
    <row r="4230" spans="1:24" s="896" customFormat="1" ht="25.5">
      <c r="A4230" s="987">
        <f t="shared" si="66"/>
        <v>4156</v>
      </c>
      <c r="B4230" s="988">
        <v>44073</v>
      </c>
      <c r="C4230" s="899" t="s">
        <v>13556</v>
      </c>
      <c r="D4230" s="988" t="s">
        <v>2669</v>
      </c>
      <c r="E4230" s="989">
        <v>0.67</v>
      </c>
      <c r="F4230" s="990"/>
      <c r="G4230" s="990"/>
      <c r="H4230" s="990"/>
      <c r="I4230" s="990"/>
      <c r="J4230" s="990"/>
      <c r="K4230" s="990"/>
      <c r="L4230" s="990"/>
      <c r="M4230" s="990"/>
      <c r="N4230" s="990"/>
      <c r="O4230" s="990"/>
      <c r="P4230" s="990"/>
      <c r="Q4230" s="990"/>
      <c r="R4230" s="990"/>
      <c r="S4230" s="990"/>
      <c r="T4230" s="990"/>
      <c r="U4230" s="990"/>
      <c r="V4230" s="990"/>
      <c r="W4230" s="990"/>
      <c r="X4230" s="990"/>
    </row>
    <row r="4231" spans="1:24" s="896" customFormat="1">
      <c r="A4231" s="987">
        <f t="shared" si="66"/>
        <v>4157</v>
      </c>
      <c r="B4231" s="988">
        <v>21121</v>
      </c>
      <c r="C4231" s="899" t="s">
        <v>13557</v>
      </c>
      <c r="D4231" s="988" t="s">
        <v>2666</v>
      </c>
      <c r="E4231" s="989">
        <v>4.92</v>
      </c>
      <c r="F4231" s="990"/>
      <c r="G4231" s="990"/>
      <c r="H4231" s="990"/>
      <c r="I4231" s="990"/>
      <c r="J4231" s="990"/>
      <c r="K4231" s="990"/>
      <c r="L4231" s="990"/>
      <c r="M4231" s="990"/>
      <c r="N4231" s="990"/>
      <c r="O4231" s="990"/>
      <c r="P4231" s="990"/>
      <c r="Q4231" s="990"/>
      <c r="R4231" s="990"/>
      <c r="S4231" s="990"/>
      <c r="T4231" s="990"/>
      <c r="U4231" s="990"/>
      <c r="V4231" s="990"/>
      <c r="W4231" s="990"/>
      <c r="X4231" s="990"/>
    </row>
    <row r="4232" spans="1:24" s="896" customFormat="1">
      <c r="A4232" s="987">
        <f t="shared" si="66"/>
        <v>4158</v>
      </c>
      <c r="B4232" s="988">
        <v>38010</v>
      </c>
      <c r="C4232" s="899" t="s">
        <v>13558</v>
      </c>
      <c r="D4232" s="988" t="s">
        <v>2666</v>
      </c>
      <c r="E4232" s="989">
        <v>8.0500000000000007</v>
      </c>
      <c r="F4232" s="990"/>
      <c r="G4232" s="990"/>
      <c r="H4232" s="990"/>
      <c r="I4232" s="990"/>
      <c r="J4232" s="990"/>
      <c r="K4232" s="990"/>
      <c r="L4232" s="990"/>
      <c r="M4232" s="990"/>
      <c r="N4232" s="990"/>
      <c r="O4232" s="990"/>
      <c r="P4232" s="990"/>
      <c r="Q4232" s="990"/>
      <c r="R4232" s="990"/>
      <c r="S4232" s="990"/>
      <c r="T4232" s="990"/>
      <c r="U4232" s="990"/>
      <c r="V4232" s="990"/>
      <c r="W4232" s="990"/>
      <c r="X4232" s="990"/>
    </row>
    <row r="4233" spans="1:24" s="896" customFormat="1">
      <c r="A4233" s="987">
        <f t="shared" si="66"/>
        <v>4159</v>
      </c>
      <c r="B4233" s="988">
        <v>38011</v>
      </c>
      <c r="C4233" s="899" t="s">
        <v>13559</v>
      </c>
      <c r="D4233" s="988" t="s">
        <v>2666</v>
      </c>
      <c r="E4233" s="989">
        <v>14.85</v>
      </c>
      <c r="F4233" s="990"/>
      <c r="G4233" s="990"/>
      <c r="H4233" s="990"/>
      <c r="I4233" s="990"/>
      <c r="J4233" s="990"/>
      <c r="K4233" s="990"/>
      <c r="L4233" s="990"/>
      <c r="M4233" s="990"/>
      <c r="N4233" s="990"/>
      <c r="O4233" s="990"/>
      <c r="P4233" s="990"/>
      <c r="Q4233" s="990"/>
      <c r="R4233" s="990"/>
      <c r="S4233" s="990"/>
      <c r="T4233" s="990"/>
      <c r="U4233" s="990"/>
      <c r="V4233" s="990"/>
      <c r="W4233" s="990"/>
      <c r="X4233" s="990"/>
    </row>
    <row r="4234" spans="1:24" s="896" customFormat="1">
      <c r="A4234" s="987">
        <f t="shared" si="66"/>
        <v>4160</v>
      </c>
      <c r="B4234" s="988">
        <v>38012</v>
      </c>
      <c r="C4234" s="899" t="s">
        <v>13560</v>
      </c>
      <c r="D4234" s="988" t="s">
        <v>2666</v>
      </c>
      <c r="E4234" s="989">
        <v>50.75</v>
      </c>
      <c r="F4234" s="990"/>
      <c r="G4234" s="990"/>
      <c r="H4234" s="990"/>
      <c r="I4234" s="990"/>
      <c r="J4234" s="990"/>
      <c r="K4234" s="990"/>
      <c r="L4234" s="990"/>
      <c r="M4234" s="990"/>
      <c r="N4234" s="990"/>
      <c r="O4234" s="990"/>
      <c r="P4234" s="990"/>
      <c r="Q4234" s="990"/>
      <c r="R4234" s="990"/>
      <c r="S4234" s="990"/>
      <c r="T4234" s="990"/>
      <c r="U4234" s="990"/>
      <c r="V4234" s="990"/>
      <c r="W4234" s="990"/>
      <c r="X4234" s="990"/>
    </row>
    <row r="4235" spans="1:24" s="896" customFormat="1">
      <c r="A4235" s="987">
        <f t="shared" si="66"/>
        <v>4161</v>
      </c>
      <c r="B4235" s="988">
        <v>38013</v>
      </c>
      <c r="C4235" s="899" t="s">
        <v>13561</v>
      </c>
      <c r="D4235" s="988" t="s">
        <v>2666</v>
      </c>
      <c r="E4235" s="989">
        <v>65.88</v>
      </c>
      <c r="F4235" s="990"/>
      <c r="G4235" s="990"/>
      <c r="H4235" s="990"/>
      <c r="I4235" s="990"/>
      <c r="J4235" s="990"/>
      <c r="K4235" s="990"/>
      <c r="L4235" s="990"/>
      <c r="M4235" s="990"/>
      <c r="N4235" s="990"/>
      <c r="O4235" s="990"/>
      <c r="P4235" s="990"/>
      <c r="Q4235" s="990"/>
      <c r="R4235" s="990"/>
      <c r="S4235" s="990"/>
      <c r="T4235" s="990"/>
      <c r="U4235" s="990"/>
      <c r="V4235" s="990"/>
      <c r="W4235" s="990"/>
      <c r="X4235" s="990"/>
    </row>
    <row r="4236" spans="1:24" s="896" customFormat="1">
      <c r="A4236" s="987">
        <f t="shared" ref="A4236:A4299" si="67">A4235+1</f>
        <v>4162</v>
      </c>
      <c r="B4236" s="988">
        <v>38014</v>
      </c>
      <c r="C4236" s="899" t="s">
        <v>13562</v>
      </c>
      <c r="D4236" s="988" t="s">
        <v>2666</v>
      </c>
      <c r="E4236" s="989">
        <v>107.2</v>
      </c>
      <c r="F4236" s="990"/>
      <c r="G4236" s="990"/>
      <c r="H4236" s="990"/>
      <c r="I4236" s="990"/>
      <c r="J4236" s="990"/>
      <c r="K4236" s="990"/>
      <c r="L4236" s="990"/>
      <c r="M4236" s="990"/>
      <c r="N4236" s="990"/>
      <c r="O4236" s="990"/>
      <c r="P4236" s="990"/>
      <c r="Q4236" s="990"/>
      <c r="R4236" s="990"/>
      <c r="S4236" s="990"/>
      <c r="T4236" s="990"/>
      <c r="U4236" s="990"/>
      <c r="V4236" s="990"/>
      <c r="W4236" s="990"/>
      <c r="X4236" s="990"/>
    </row>
    <row r="4237" spans="1:24" s="896" customFormat="1">
      <c r="A4237" s="987">
        <f t="shared" si="67"/>
        <v>4163</v>
      </c>
      <c r="B4237" s="988">
        <v>38015</v>
      </c>
      <c r="C4237" s="899" t="s">
        <v>13563</v>
      </c>
      <c r="D4237" s="988" t="s">
        <v>2666</v>
      </c>
      <c r="E4237" s="989">
        <v>258.87</v>
      </c>
      <c r="F4237" s="990"/>
      <c r="G4237" s="990"/>
      <c r="H4237" s="990"/>
      <c r="I4237" s="990"/>
      <c r="J4237" s="990"/>
      <c r="K4237" s="990"/>
      <c r="L4237" s="990"/>
      <c r="M4237" s="990"/>
      <c r="N4237" s="990"/>
      <c r="O4237" s="990"/>
      <c r="P4237" s="990"/>
      <c r="Q4237" s="990"/>
      <c r="R4237" s="990"/>
      <c r="S4237" s="990"/>
      <c r="T4237" s="990"/>
      <c r="U4237" s="990"/>
      <c r="V4237" s="990"/>
      <c r="W4237" s="990"/>
      <c r="X4237" s="990"/>
    </row>
    <row r="4238" spans="1:24" s="896" customFormat="1">
      <c r="A4238" s="987">
        <f t="shared" si="67"/>
        <v>4164</v>
      </c>
      <c r="B4238" s="988">
        <v>38016</v>
      </c>
      <c r="C4238" s="899" t="s">
        <v>13564</v>
      </c>
      <c r="D4238" s="988" t="s">
        <v>2666</v>
      </c>
      <c r="E4238" s="989">
        <v>314.98</v>
      </c>
      <c r="F4238" s="990"/>
      <c r="G4238" s="990"/>
      <c r="H4238" s="990"/>
      <c r="I4238" s="990"/>
      <c r="J4238" s="990"/>
      <c r="K4238" s="990"/>
      <c r="L4238" s="990"/>
      <c r="M4238" s="990"/>
      <c r="N4238" s="990"/>
      <c r="O4238" s="990"/>
      <c r="P4238" s="990"/>
      <c r="Q4238" s="990"/>
      <c r="R4238" s="990"/>
      <c r="S4238" s="990"/>
      <c r="T4238" s="990"/>
      <c r="U4238" s="990"/>
      <c r="V4238" s="990"/>
      <c r="W4238" s="990"/>
      <c r="X4238" s="990"/>
    </row>
    <row r="4239" spans="1:24" s="896" customFormat="1">
      <c r="A4239" s="987">
        <f t="shared" si="67"/>
        <v>4165</v>
      </c>
      <c r="B4239" s="988">
        <v>12741</v>
      </c>
      <c r="C4239" s="899" t="s">
        <v>13565</v>
      </c>
      <c r="D4239" s="988" t="s">
        <v>2666</v>
      </c>
      <c r="E4239" s="989">
        <v>1493.61</v>
      </c>
      <c r="F4239" s="990"/>
      <c r="G4239" s="990"/>
      <c r="H4239" s="990"/>
      <c r="I4239" s="990"/>
      <c r="J4239" s="990"/>
      <c r="K4239" s="990"/>
      <c r="L4239" s="990"/>
      <c r="M4239" s="990"/>
      <c r="N4239" s="990"/>
      <c r="O4239" s="990"/>
      <c r="P4239" s="990"/>
      <c r="Q4239" s="990"/>
      <c r="R4239" s="990"/>
      <c r="S4239" s="990"/>
      <c r="T4239" s="990"/>
      <c r="U4239" s="990"/>
      <c r="V4239" s="990"/>
      <c r="W4239" s="990"/>
      <c r="X4239" s="990"/>
    </row>
    <row r="4240" spans="1:24" s="896" customFormat="1">
      <c r="A4240" s="987">
        <f t="shared" si="67"/>
        <v>4166</v>
      </c>
      <c r="B4240" s="988">
        <v>12733</v>
      </c>
      <c r="C4240" s="899" t="s">
        <v>13566</v>
      </c>
      <c r="D4240" s="988" t="s">
        <v>2666</v>
      </c>
      <c r="E4240" s="989">
        <v>7.51</v>
      </c>
      <c r="F4240" s="990"/>
      <c r="G4240" s="990"/>
      <c r="H4240" s="990"/>
      <c r="I4240" s="990"/>
      <c r="J4240" s="990"/>
      <c r="K4240" s="990"/>
      <c r="L4240" s="990"/>
      <c r="M4240" s="990"/>
      <c r="N4240" s="990"/>
      <c r="O4240" s="990"/>
      <c r="P4240" s="990"/>
      <c r="Q4240" s="990"/>
      <c r="R4240" s="990"/>
      <c r="S4240" s="990"/>
      <c r="T4240" s="990"/>
      <c r="U4240" s="990"/>
      <c r="V4240" s="990"/>
      <c r="W4240" s="990"/>
      <c r="X4240" s="990"/>
    </row>
    <row r="4241" spans="1:24" s="896" customFormat="1">
      <c r="A4241" s="987">
        <f t="shared" si="67"/>
        <v>4167</v>
      </c>
      <c r="B4241" s="988">
        <v>12734</v>
      </c>
      <c r="C4241" s="899" t="s">
        <v>13567</v>
      </c>
      <c r="D4241" s="988" t="s">
        <v>2666</v>
      </c>
      <c r="E4241" s="989">
        <v>16.010000000000002</v>
      </c>
      <c r="F4241" s="990"/>
      <c r="G4241" s="990"/>
      <c r="H4241" s="990"/>
      <c r="I4241" s="990"/>
      <c r="J4241" s="990"/>
      <c r="K4241" s="990"/>
      <c r="L4241" s="990"/>
      <c r="M4241" s="990"/>
      <c r="N4241" s="990"/>
      <c r="O4241" s="990"/>
      <c r="P4241" s="990"/>
      <c r="Q4241" s="990"/>
      <c r="R4241" s="990"/>
      <c r="S4241" s="990"/>
      <c r="T4241" s="990"/>
      <c r="U4241" s="990"/>
      <c r="V4241" s="990"/>
      <c r="W4241" s="990"/>
      <c r="X4241" s="990"/>
    </row>
    <row r="4242" spans="1:24" s="896" customFormat="1">
      <c r="A4242" s="987">
        <f t="shared" si="67"/>
        <v>4168</v>
      </c>
      <c r="B4242" s="988">
        <v>12735</v>
      </c>
      <c r="C4242" s="899" t="s">
        <v>13568</v>
      </c>
      <c r="D4242" s="988" t="s">
        <v>2666</v>
      </c>
      <c r="E4242" s="989">
        <v>26.35</v>
      </c>
      <c r="F4242" s="990"/>
      <c r="G4242" s="990"/>
      <c r="H4242" s="990"/>
      <c r="I4242" s="990"/>
      <c r="J4242" s="990"/>
      <c r="K4242" s="990"/>
      <c r="L4242" s="990"/>
      <c r="M4242" s="990"/>
      <c r="N4242" s="990"/>
      <c r="O4242" s="990"/>
      <c r="P4242" s="990"/>
      <c r="Q4242" s="990"/>
      <c r="R4242" s="990"/>
      <c r="S4242" s="990"/>
      <c r="T4242" s="990"/>
      <c r="U4242" s="990"/>
      <c r="V4242" s="990"/>
      <c r="W4242" s="990"/>
      <c r="X4242" s="990"/>
    </row>
    <row r="4243" spans="1:24" s="896" customFormat="1">
      <c r="A4243" s="987">
        <f t="shared" si="67"/>
        <v>4169</v>
      </c>
      <c r="B4243" s="988">
        <v>12736</v>
      </c>
      <c r="C4243" s="899" t="s">
        <v>13569</v>
      </c>
      <c r="D4243" s="988" t="s">
        <v>2666</v>
      </c>
      <c r="E4243" s="989">
        <v>60.24</v>
      </c>
      <c r="F4243" s="990"/>
      <c r="G4243" s="990"/>
      <c r="H4243" s="990"/>
      <c r="I4243" s="990"/>
      <c r="J4243" s="990"/>
      <c r="K4243" s="990"/>
      <c r="L4243" s="990"/>
      <c r="M4243" s="990"/>
      <c r="N4243" s="990"/>
      <c r="O4243" s="990"/>
      <c r="P4243" s="990"/>
      <c r="Q4243" s="990"/>
      <c r="R4243" s="990"/>
      <c r="S4243" s="990"/>
      <c r="T4243" s="990"/>
      <c r="U4243" s="990"/>
      <c r="V4243" s="990"/>
      <c r="W4243" s="990"/>
      <c r="X4243" s="990"/>
    </row>
    <row r="4244" spans="1:24" s="896" customFormat="1">
      <c r="A4244" s="987">
        <f t="shared" si="67"/>
        <v>4170</v>
      </c>
      <c r="B4244" s="988">
        <v>12737</v>
      </c>
      <c r="C4244" s="899" t="s">
        <v>13570</v>
      </c>
      <c r="D4244" s="988" t="s">
        <v>2666</v>
      </c>
      <c r="E4244" s="989">
        <v>77.599999999999994</v>
      </c>
      <c r="F4244" s="990"/>
      <c r="G4244" s="990"/>
      <c r="H4244" s="990"/>
      <c r="I4244" s="990"/>
      <c r="J4244" s="990"/>
      <c r="K4244" s="990"/>
      <c r="L4244" s="990"/>
      <c r="M4244" s="990"/>
      <c r="N4244" s="990"/>
      <c r="O4244" s="990"/>
      <c r="P4244" s="990"/>
      <c r="Q4244" s="990"/>
      <c r="R4244" s="990"/>
      <c r="S4244" s="990"/>
      <c r="T4244" s="990"/>
      <c r="U4244" s="990"/>
      <c r="V4244" s="990"/>
      <c r="W4244" s="990"/>
      <c r="X4244" s="990"/>
    </row>
    <row r="4245" spans="1:24" s="896" customFormat="1">
      <c r="A4245" s="987">
        <f t="shared" si="67"/>
        <v>4171</v>
      </c>
      <c r="B4245" s="988">
        <v>12738</v>
      </c>
      <c r="C4245" s="899" t="s">
        <v>13571</v>
      </c>
      <c r="D4245" s="988" t="s">
        <v>2666</v>
      </c>
      <c r="E4245" s="989">
        <v>153.38</v>
      </c>
      <c r="F4245" s="990"/>
      <c r="G4245" s="990"/>
      <c r="H4245" s="990"/>
      <c r="I4245" s="990"/>
      <c r="J4245" s="990"/>
      <c r="K4245" s="990"/>
      <c r="L4245" s="990"/>
      <c r="M4245" s="990"/>
      <c r="N4245" s="990"/>
      <c r="O4245" s="990"/>
      <c r="P4245" s="990"/>
      <c r="Q4245" s="990"/>
      <c r="R4245" s="990"/>
      <c r="S4245" s="990"/>
      <c r="T4245" s="990"/>
      <c r="U4245" s="990"/>
      <c r="V4245" s="990"/>
      <c r="W4245" s="990"/>
      <c r="X4245" s="990"/>
    </row>
    <row r="4246" spans="1:24" s="896" customFormat="1">
      <c r="A4246" s="987">
        <f t="shared" si="67"/>
        <v>4172</v>
      </c>
      <c r="B4246" s="988">
        <v>12739</v>
      </c>
      <c r="C4246" s="899" t="s">
        <v>13572</v>
      </c>
      <c r="D4246" s="988" t="s">
        <v>2666</v>
      </c>
      <c r="E4246" s="989">
        <v>436.62</v>
      </c>
      <c r="F4246" s="990"/>
      <c r="G4246" s="990"/>
      <c r="H4246" s="990"/>
      <c r="I4246" s="990"/>
      <c r="J4246" s="990"/>
      <c r="K4246" s="990"/>
      <c r="L4246" s="990"/>
      <c r="M4246" s="990"/>
      <c r="N4246" s="990"/>
      <c r="O4246" s="990"/>
      <c r="P4246" s="990"/>
      <c r="Q4246" s="990"/>
      <c r="R4246" s="990"/>
      <c r="S4246" s="990"/>
      <c r="T4246" s="990"/>
      <c r="U4246" s="990"/>
      <c r="V4246" s="990"/>
      <c r="W4246" s="990"/>
      <c r="X4246" s="990"/>
    </row>
    <row r="4247" spans="1:24" s="896" customFormat="1">
      <c r="A4247" s="987">
        <f t="shared" si="67"/>
        <v>4173</v>
      </c>
      <c r="B4247" s="988">
        <v>12740</v>
      </c>
      <c r="C4247" s="899" t="s">
        <v>13573</v>
      </c>
      <c r="D4247" s="988" t="s">
        <v>2666</v>
      </c>
      <c r="E4247" s="989">
        <v>683.12</v>
      </c>
      <c r="F4247" s="990"/>
      <c r="G4247" s="990"/>
      <c r="H4247" s="990"/>
      <c r="I4247" s="990"/>
      <c r="J4247" s="990"/>
      <c r="K4247" s="990"/>
      <c r="L4247" s="990"/>
      <c r="M4247" s="990"/>
      <c r="N4247" s="990"/>
      <c r="O4247" s="990"/>
      <c r="P4247" s="990"/>
      <c r="Q4247" s="990"/>
      <c r="R4247" s="990"/>
      <c r="S4247" s="990"/>
      <c r="T4247" s="990"/>
      <c r="U4247" s="990"/>
      <c r="V4247" s="990"/>
      <c r="W4247" s="990"/>
      <c r="X4247" s="990"/>
    </row>
    <row r="4248" spans="1:24" s="896" customFormat="1">
      <c r="A4248" s="987">
        <f t="shared" si="67"/>
        <v>4174</v>
      </c>
      <c r="B4248" s="988">
        <v>6297</v>
      </c>
      <c r="C4248" s="899" t="s">
        <v>13574</v>
      </c>
      <c r="D4248" s="988" t="s">
        <v>2666</v>
      </c>
      <c r="E4248" s="989">
        <v>43.91</v>
      </c>
      <c r="F4248" s="990"/>
      <c r="G4248" s="990"/>
      <c r="H4248" s="990"/>
      <c r="I4248" s="990"/>
      <c r="J4248" s="990"/>
      <c r="K4248" s="990"/>
      <c r="L4248" s="990"/>
      <c r="M4248" s="990"/>
      <c r="N4248" s="990"/>
      <c r="O4248" s="990"/>
      <c r="P4248" s="990"/>
      <c r="Q4248" s="990"/>
      <c r="R4248" s="990"/>
      <c r="S4248" s="990"/>
      <c r="T4248" s="990"/>
      <c r="U4248" s="990"/>
      <c r="V4248" s="990"/>
      <c r="W4248" s="990"/>
      <c r="X4248" s="990"/>
    </row>
    <row r="4249" spans="1:24" s="896" customFormat="1">
      <c r="A4249" s="987">
        <f t="shared" si="67"/>
        <v>4175</v>
      </c>
      <c r="B4249" s="988">
        <v>6296</v>
      </c>
      <c r="C4249" s="899" t="s">
        <v>13575</v>
      </c>
      <c r="D4249" s="988" t="s">
        <v>2666</v>
      </c>
      <c r="E4249" s="989">
        <v>34.659999999999997</v>
      </c>
      <c r="F4249" s="990"/>
      <c r="G4249" s="990"/>
      <c r="H4249" s="990"/>
      <c r="I4249" s="990"/>
      <c r="J4249" s="990"/>
      <c r="K4249" s="990"/>
      <c r="L4249" s="990"/>
      <c r="M4249" s="990"/>
      <c r="N4249" s="990"/>
      <c r="O4249" s="990"/>
      <c r="P4249" s="990"/>
      <c r="Q4249" s="990"/>
      <c r="R4249" s="990"/>
      <c r="S4249" s="990"/>
      <c r="T4249" s="990"/>
      <c r="U4249" s="990"/>
      <c r="V4249" s="990"/>
      <c r="W4249" s="990"/>
      <c r="X4249" s="990"/>
    </row>
    <row r="4250" spans="1:24" s="896" customFormat="1">
      <c r="A4250" s="987">
        <f t="shared" si="67"/>
        <v>4176</v>
      </c>
      <c r="B4250" s="988">
        <v>6294</v>
      </c>
      <c r="C4250" s="899" t="s">
        <v>13576</v>
      </c>
      <c r="D4250" s="988" t="s">
        <v>2666</v>
      </c>
      <c r="E4250" s="989">
        <v>9.8800000000000008</v>
      </c>
      <c r="F4250" s="990"/>
      <c r="G4250" s="990"/>
      <c r="H4250" s="990"/>
      <c r="I4250" s="990"/>
      <c r="J4250" s="990"/>
      <c r="K4250" s="990"/>
      <c r="L4250" s="990"/>
      <c r="M4250" s="990"/>
      <c r="N4250" s="990"/>
      <c r="O4250" s="990"/>
      <c r="P4250" s="990"/>
      <c r="Q4250" s="990"/>
      <c r="R4250" s="990"/>
      <c r="S4250" s="990"/>
      <c r="T4250" s="990"/>
      <c r="U4250" s="990"/>
      <c r="V4250" s="990"/>
      <c r="W4250" s="990"/>
      <c r="X4250" s="990"/>
    </row>
    <row r="4251" spans="1:24" s="896" customFormat="1">
      <c r="A4251" s="987">
        <f t="shared" si="67"/>
        <v>4177</v>
      </c>
      <c r="B4251" s="988">
        <v>6323</v>
      </c>
      <c r="C4251" s="899" t="s">
        <v>13577</v>
      </c>
      <c r="D4251" s="988" t="s">
        <v>2666</v>
      </c>
      <c r="E4251" s="989">
        <v>22.64</v>
      </c>
      <c r="F4251" s="990"/>
      <c r="G4251" s="990"/>
      <c r="H4251" s="990"/>
      <c r="I4251" s="990"/>
      <c r="J4251" s="990"/>
      <c r="K4251" s="990"/>
      <c r="L4251" s="990"/>
      <c r="M4251" s="990"/>
      <c r="N4251" s="990"/>
      <c r="O4251" s="990"/>
      <c r="P4251" s="990"/>
      <c r="Q4251" s="990"/>
      <c r="R4251" s="990"/>
      <c r="S4251" s="990"/>
      <c r="T4251" s="990"/>
      <c r="U4251" s="990"/>
      <c r="V4251" s="990"/>
      <c r="W4251" s="990"/>
      <c r="X4251" s="990"/>
    </row>
    <row r="4252" spans="1:24" s="896" customFormat="1">
      <c r="A4252" s="987">
        <f t="shared" si="67"/>
        <v>4178</v>
      </c>
      <c r="B4252" s="988">
        <v>6299</v>
      </c>
      <c r="C4252" s="899" t="s">
        <v>13578</v>
      </c>
      <c r="D4252" s="988" t="s">
        <v>2666</v>
      </c>
      <c r="E4252" s="989">
        <v>132.06</v>
      </c>
      <c r="F4252" s="990"/>
      <c r="G4252" s="990"/>
      <c r="H4252" s="990"/>
      <c r="I4252" s="990"/>
      <c r="J4252" s="990"/>
      <c r="K4252" s="990"/>
      <c r="L4252" s="990"/>
      <c r="M4252" s="990"/>
      <c r="N4252" s="990"/>
      <c r="O4252" s="990"/>
      <c r="P4252" s="990"/>
      <c r="Q4252" s="990"/>
      <c r="R4252" s="990"/>
      <c r="S4252" s="990"/>
      <c r="T4252" s="990"/>
      <c r="U4252" s="990"/>
      <c r="V4252" s="990"/>
      <c r="W4252" s="990"/>
      <c r="X4252" s="990"/>
    </row>
    <row r="4253" spans="1:24" s="896" customFormat="1">
      <c r="A4253" s="987">
        <f t="shared" si="67"/>
        <v>4179</v>
      </c>
      <c r="B4253" s="988">
        <v>6298</v>
      </c>
      <c r="C4253" s="899" t="s">
        <v>13579</v>
      </c>
      <c r="D4253" s="988" t="s">
        <v>2666</v>
      </c>
      <c r="E4253" s="989">
        <v>69.55</v>
      </c>
      <c r="F4253" s="990"/>
      <c r="G4253" s="990"/>
      <c r="H4253" s="990"/>
      <c r="I4253" s="990"/>
      <c r="J4253" s="990"/>
      <c r="K4253" s="990"/>
      <c r="L4253" s="990"/>
      <c r="M4253" s="990"/>
      <c r="N4253" s="990"/>
      <c r="O4253" s="990"/>
      <c r="P4253" s="990"/>
      <c r="Q4253" s="990"/>
      <c r="R4253" s="990"/>
      <c r="S4253" s="990"/>
      <c r="T4253" s="990"/>
      <c r="U4253" s="990"/>
      <c r="V4253" s="990"/>
      <c r="W4253" s="990"/>
      <c r="X4253" s="990"/>
    </row>
    <row r="4254" spans="1:24" s="896" customFormat="1">
      <c r="A4254" s="987">
        <f t="shared" si="67"/>
        <v>4180</v>
      </c>
      <c r="B4254" s="988">
        <v>6295</v>
      </c>
      <c r="C4254" s="899" t="s">
        <v>13580</v>
      </c>
      <c r="D4254" s="988" t="s">
        <v>2666</v>
      </c>
      <c r="E4254" s="989">
        <v>14.07</v>
      </c>
      <c r="F4254" s="990"/>
      <c r="G4254" s="990"/>
      <c r="H4254" s="990"/>
      <c r="I4254" s="990"/>
      <c r="J4254" s="990"/>
      <c r="K4254" s="990"/>
      <c r="L4254" s="990"/>
      <c r="M4254" s="990"/>
      <c r="N4254" s="990"/>
      <c r="O4254" s="990"/>
      <c r="P4254" s="990"/>
      <c r="Q4254" s="990"/>
      <c r="R4254" s="990"/>
      <c r="S4254" s="990"/>
      <c r="T4254" s="990"/>
      <c r="U4254" s="990"/>
      <c r="V4254" s="990"/>
      <c r="W4254" s="990"/>
      <c r="X4254" s="990"/>
    </row>
    <row r="4255" spans="1:24" s="896" customFormat="1">
      <c r="A4255" s="987">
        <f t="shared" si="67"/>
        <v>4181</v>
      </c>
      <c r="B4255" s="988">
        <v>6322</v>
      </c>
      <c r="C4255" s="899" t="s">
        <v>13581</v>
      </c>
      <c r="D4255" s="988" t="s">
        <v>2666</v>
      </c>
      <c r="E4255" s="989">
        <v>176.87</v>
      </c>
      <c r="F4255" s="990"/>
      <c r="G4255" s="990"/>
      <c r="H4255" s="990"/>
      <c r="I4255" s="990"/>
      <c r="J4255" s="990"/>
      <c r="K4255" s="990"/>
      <c r="L4255" s="990"/>
      <c r="M4255" s="990"/>
      <c r="N4255" s="990"/>
      <c r="O4255" s="990"/>
      <c r="P4255" s="990"/>
      <c r="Q4255" s="990"/>
      <c r="R4255" s="990"/>
      <c r="S4255" s="990"/>
      <c r="T4255" s="990"/>
      <c r="U4255" s="990"/>
      <c r="V4255" s="990"/>
      <c r="W4255" s="990"/>
      <c r="X4255" s="990"/>
    </row>
    <row r="4256" spans="1:24" s="896" customFormat="1">
      <c r="A4256" s="987">
        <f t="shared" si="67"/>
        <v>4182</v>
      </c>
      <c r="B4256" s="988">
        <v>6300</v>
      </c>
      <c r="C4256" s="899" t="s">
        <v>13582</v>
      </c>
      <c r="D4256" s="988" t="s">
        <v>2666</v>
      </c>
      <c r="E4256" s="989">
        <v>326.08999999999997</v>
      </c>
      <c r="F4256" s="990"/>
      <c r="G4256" s="990"/>
      <c r="H4256" s="990"/>
      <c r="I4256" s="990"/>
      <c r="J4256" s="990"/>
      <c r="K4256" s="990"/>
      <c r="L4256" s="990"/>
      <c r="M4256" s="990"/>
      <c r="N4256" s="990"/>
      <c r="O4256" s="990"/>
      <c r="P4256" s="990"/>
      <c r="Q4256" s="990"/>
      <c r="R4256" s="990"/>
      <c r="S4256" s="990"/>
      <c r="T4256" s="990"/>
      <c r="U4256" s="990"/>
      <c r="V4256" s="990"/>
      <c r="W4256" s="990"/>
      <c r="X4256" s="990"/>
    </row>
    <row r="4257" spans="1:24" s="896" customFormat="1">
      <c r="A4257" s="987">
        <f t="shared" si="67"/>
        <v>4183</v>
      </c>
      <c r="B4257" s="988">
        <v>6321</v>
      </c>
      <c r="C4257" s="899" t="s">
        <v>13583</v>
      </c>
      <c r="D4257" s="988" t="s">
        <v>2666</v>
      </c>
      <c r="E4257" s="989">
        <v>465.8</v>
      </c>
      <c r="F4257" s="990"/>
      <c r="G4257" s="990"/>
      <c r="H4257" s="990"/>
      <c r="I4257" s="990"/>
      <c r="J4257" s="990"/>
      <c r="K4257" s="990"/>
      <c r="L4257" s="990"/>
      <c r="M4257" s="990"/>
      <c r="N4257" s="990"/>
      <c r="O4257" s="990"/>
      <c r="P4257" s="990"/>
      <c r="Q4257" s="990"/>
      <c r="R4257" s="990"/>
      <c r="S4257" s="990"/>
      <c r="T4257" s="990"/>
      <c r="U4257" s="990"/>
      <c r="V4257" s="990"/>
      <c r="W4257" s="990"/>
      <c r="X4257" s="990"/>
    </row>
    <row r="4258" spans="1:24" s="896" customFormat="1">
      <c r="A4258" s="987">
        <f t="shared" si="67"/>
        <v>4184</v>
      </c>
      <c r="B4258" s="988">
        <v>6301</v>
      </c>
      <c r="C4258" s="899" t="s">
        <v>13584</v>
      </c>
      <c r="D4258" s="988" t="s">
        <v>2666</v>
      </c>
      <c r="E4258" s="989">
        <v>1091.78</v>
      </c>
      <c r="F4258" s="990"/>
      <c r="G4258" s="990"/>
      <c r="H4258" s="990"/>
      <c r="I4258" s="990"/>
      <c r="J4258" s="990"/>
      <c r="K4258" s="990"/>
      <c r="L4258" s="990"/>
      <c r="M4258" s="990"/>
      <c r="N4258" s="990"/>
      <c r="O4258" s="990"/>
      <c r="P4258" s="990"/>
      <c r="Q4258" s="990"/>
      <c r="R4258" s="990"/>
      <c r="S4258" s="990"/>
      <c r="T4258" s="990"/>
      <c r="U4258" s="990"/>
      <c r="V4258" s="990"/>
      <c r="W4258" s="990"/>
      <c r="X4258" s="990"/>
    </row>
    <row r="4259" spans="1:24" s="896" customFormat="1">
      <c r="A4259" s="987">
        <f t="shared" si="67"/>
        <v>4185</v>
      </c>
      <c r="B4259" s="988">
        <v>7105</v>
      </c>
      <c r="C4259" s="899" t="s">
        <v>13585</v>
      </c>
      <c r="D4259" s="988" t="s">
        <v>2666</v>
      </c>
      <c r="E4259" s="989">
        <v>54.16</v>
      </c>
      <c r="F4259" s="990"/>
      <c r="G4259" s="990"/>
      <c r="H4259" s="990"/>
      <c r="I4259" s="990"/>
      <c r="J4259" s="990"/>
      <c r="K4259" s="990"/>
      <c r="L4259" s="990"/>
      <c r="M4259" s="990"/>
      <c r="N4259" s="990"/>
      <c r="O4259" s="990"/>
      <c r="P4259" s="990"/>
      <c r="Q4259" s="990"/>
      <c r="R4259" s="990"/>
      <c r="S4259" s="990"/>
      <c r="T4259" s="990"/>
      <c r="U4259" s="990"/>
      <c r="V4259" s="990"/>
      <c r="W4259" s="990"/>
      <c r="X4259" s="990"/>
    </row>
    <row r="4260" spans="1:24" s="896" customFormat="1">
      <c r="A4260" s="987">
        <f t="shared" si="67"/>
        <v>4186</v>
      </c>
      <c r="B4260" s="988">
        <v>20183</v>
      </c>
      <c r="C4260" s="899" t="s">
        <v>13586</v>
      </c>
      <c r="D4260" s="988" t="s">
        <v>2666</v>
      </c>
      <c r="E4260" s="989">
        <v>71.31</v>
      </c>
      <c r="F4260" s="990"/>
      <c r="G4260" s="990"/>
      <c r="H4260" s="990"/>
      <c r="I4260" s="990"/>
      <c r="J4260" s="990"/>
      <c r="K4260" s="990"/>
      <c r="L4260" s="990"/>
      <c r="M4260" s="990"/>
      <c r="N4260" s="990"/>
      <c r="O4260" s="990"/>
      <c r="P4260" s="990"/>
      <c r="Q4260" s="990"/>
      <c r="R4260" s="990"/>
      <c r="S4260" s="990"/>
      <c r="T4260" s="990"/>
      <c r="U4260" s="990"/>
      <c r="V4260" s="990"/>
      <c r="W4260" s="990"/>
      <c r="X4260" s="990"/>
    </row>
    <row r="4261" spans="1:24" s="896" customFormat="1">
      <c r="A4261" s="987">
        <f t="shared" si="67"/>
        <v>4187</v>
      </c>
      <c r="B4261" s="988">
        <v>38448</v>
      </c>
      <c r="C4261" s="899" t="s">
        <v>13587</v>
      </c>
      <c r="D4261" s="988" t="s">
        <v>2666</v>
      </c>
      <c r="E4261" s="989">
        <v>335.08</v>
      </c>
      <c r="F4261" s="990"/>
      <c r="G4261" s="990"/>
      <c r="H4261" s="990"/>
      <c r="I4261" s="990"/>
      <c r="J4261" s="990"/>
      <c r="K4261" s="990"/>
      <c r="L4261" s="990"/>
      <c r="M4261" s="990"/>
      <c r="N4261" s="990"/>
      <c r="O4261" s="990"/>
      <c r="P4261" s="990"/>
      <c r="Q4261" s="990"/>
      <c r="R4261" s="990"/>
      <c r="S4261" s="990"/>
      <c r="T4261" s="990"/>
      <c r="U4261" s="990"/>
      <c r="V4261" s="990"/>
      <c r="W4261" s="990"/>
      <c r="X4261" s="990"/>
    </row>
    <row r="4262" spans="1:24" s="896" customFormat="1">
      <c r="A4262" s="987">
        <f t="shared" si="67"/>
        <v>4188</v>
      </c>
      <c r="B4262" s="988">
        <v>20182</v>
      </c>
      <c r="C4262" s="899" t="s">
        <v>13588</v>
      </c>
      <c r="D4262" s="988" t="s">
        <v>2666</v>
      </c>
      <c r="E4262" s="989">
        <v>40.71</v>
      </c>
      <c r="F4262" s="990"/>
      <c r="G4262" s="990"/>
      <c r="H4262" s="990"/>
      <c r="I4262" s="990"/>
      <c r="J4262" s="990"/>
      <c r="K4262" s="990"/>
      <c r="L4262" s="990"/>
      <c r="M4262" s="990"/>
      <c r="N4262" s="990"/>
      <c r="O4262" s="990"/>
      <c r="P4262" s="990"/>
      <c r="Q4262" s="990"/>
      <c r="R4262" s="990"/>
      <c r="S4262" s="990"/>
      <c r="T4262" s="990"/>
      <c r="U4262" s="990"/>
      <c r="V4262" s="990"/>
      <c r="W4262" s="990"/>
      <c r="X4262" s="990"/>
    </row>
    <row r="4263" spans="1:24" s="896" customFormat="1">
      <c r="A4263" s="987">
        <f t="shared" si="67"/>
        <v>4189</v>
      </c>
      <c r="B4263" s="988">
        <v>7119</v>
      </c>
      <c r="C4263" s="899" t="s">
        <v>13589</v>
      </c>
      <c r="D4263" s="988" t="s">
        <v>2666</v>
      </c>
      <c r="E4263" s="989">
        <v>12.38</v>
      </c>
      <c r="F4263" s="990"/>
      <c r="G4263" s="990"/>
      <c r="H4263" s="990"/>
      <c r="I4263" s="990"/>
      <c r="J4263" s="990"/>
      <c r="K4263" s="990"/>
      <c r="L4263" s="990"/>
      <c r="M4263" s="990"/>
      <c r="N4263" s="990"/>
      <c r="O4263" s="990"/>
      <c r="P4263" s="990"/>
      <c r="Q4263" s="990"/>
      <c r="R4263" s="990"/>
      <c r="S4263" s="990"/>
      <c r="T4263" s="990"/>
      <c r="U4263" s="990"/>
      <c r="V4263" s="990"/>
      <c r="W4263" s="990"/>
      <c r="X4263" s="990"/>
    </row>
    <row r="4264" spans="1:24" s="896" customFormat="1">
      <c r="A4264" s="987">
        <f t="shared" si="67"/>
        <v>4190</v>
      </c>
      <c r="B4264" s="988">
        <v>7120</v>
      </c>
      <c r="C4264" s="899" t="s">
        <v>13590</v>
      </c>
      <c r="D4264" s="988" t="s">
        <v>2666</v>
      </c>
      <c r="E4264" s="989">
        <v>8.49</v>
      </c>
      <c r="F4264" s="990"/>
      <c r="G4264" s="990"/>
      <c r="H4264" s="990"/>
      <c r="I4264" s="990"/>
      <c r="J4264" s="990"/>
      <c r="K4264" s="990"/>
      <c r="L4264" s="990"/>
      <c r="M4264" s="990"/>
      <c r="N4264" s="990"/>
      <c r="O4264" s="990"/>
      <c r="P4264" s="990"/>
      <c r="Q4264" s="990"/>
      <c r="R4264" s="990"/>
      <c r="S4264" s="990"/>
      <c r="T4264" s="990"/>
      <c r="U4264" s="990"/>
      <c r="V4264" s="990"/>
      <c r="W4264" s="990"/>
      <c r="X4264" s="990"/>
    </row>
    <row r="4265" spans="1:24" s="896" customFormat="1">
      <c r="A4265" s="987">
        <f t="shared" si="67"/>
        <v>4191</v>
      </c>
      <c r="B4265" s="988">
        <v>6319</v>
      </c>
      <c r="C4265" s="899" t="s">
        <v>13591</v>
      </c>
      <c r="D4265" s="988" t="s">
        <v>2666</v>
      </c>
      <c r="E4265" s="989">
        <v>51.58</v>
      </c>
      <c r="F4265" s="990"/>
      <c r="G4265" s="990"/>
      <c r="H4265" s="990"/>
      <c r="I4265" s="990"/>
      <c r="J4265" s="990"/>
      <c r="K4265" s="990"/>
      <c r="L4265" s="990"/>
      <c r="M4265" s="990"/>
      <c r="N4265" s="990"/>
      <c r="O4265" s="990"/>
      <c r="P4265" s="990"/>
      <c r="Q4265" s="990"/>
      <c r="R4265" s="990"/>
      <c r="S4265" s="990"/>
      <c r="T4265" s="990"/>
      <c r="U4265" s="990"/>
      <c r="V4265" s="990"/>
      <c r="W4265" s="990"/>
      <c r="X4265" s="990"/>
    </row>
    <row r="4266" spans="1:24" s="896" customFormat="1">
      <c r="A4266" s="987">
        <f t="shared" si="67"/>
        <v>4192</v>
      </c>
      <c r="B4266" s="988">
        <v>6304</v>
      </c>
      <c r="C4266" s="899" t="s">
        <v>13592</v>
      </c>
      <c r="D4266" s="988" t="s">
        <v>2666</v>
      </c>
      <c r="E4266" s="989">
        <v>51.58</v>
      </c>
      <c r="F4266" s="990"/>
      <c r="G4266" s="990"/>
      <c r="H4266" s="990"/>
      <c r="I4266" s="990"/>
      <c r="J4266" s="990"/>
      <c r="K4266" s="990"/>
      <c r="L4266" s="990"/>
      <c r="M4266" s="990"/>
      <c r="N4266" s="990"/>
      <c r="O4266" s="990"/>
      <c r="P4266" s="990"/>
      <c r="Q4266" s="990"/>
      <c r="R4266" s="990"/>
      <c r="S4266" s="990"/>
      <c r="T4266" s="990"/>
      <c r="U4266" s="990"/>
      <c r="V4266" s="990"/>
      <c r="W4266" s="990"/>
      <c r="X4266" s="990"/>
    </row>
    <row r="4267" spans="1:24" s="896" customFormat="1">
      <c r="A4267" s="987">
        <f t="shared" si="67"/>
        <v>4193</v>
      </c>
      <c r="B4267" s="988">
        <v>21116</v>
      </c>
      <c r="C4267" s="899" t="s">
        <v>13593</v>
      </c>
      <c r="D4267" s="988" t="s">
        <v>2666</v>
      </c>
      <c r="E4267" s="989">
        <v>39.06</v>
      </c>
      <c r="F4267" s="990"/>
      <c r="G4267" s="990"/>
      <c r="H4267" s="990"/>
      <c r="I4267" s="990"/>
      <c r="J4267" s="990"/>
      <c r="K4267" s="990"/>
      <c r="L4267" s="990"/>
      <c r="M4267" s="990"/>
      <c r="N4267" s="990"/>
      <c r="O4267" s="990"/>
      <c r="P4267" s="990"/>
      <c r="Q4267" s="990"/>
      <c r="R4267" s="990"/>
      <c r="S4267" s="990"/>
      <c r="T4267" s="990"/>
      <c r="U4267" s="990"/>
      <c r="V4267" s="990"/>
      <c r="W4267" s="990"/>
      <c r="X4267" s="990"/>
    </row>
    <row r="4268" spans="1:24" s="896" customFormat="1">
      <c r="A4268" s="987">
        <f t="shared" si="67"/>
        <v>4194</v>
      </c>
      <c r="B4268" s="988">
        <v>6320</v>
      </c>
      <c r="C4268" s="899" t="s">
        <v>13594</v>
      </c>
      <c r="D4268" s="988" t="s">
        <v>2666</v>
      </c>
      <c r="E4268" s="989">
        <v>26.56</v>
      </c>
      <c r="F4268" s="990"/>
      <c r="G4268" s="990"/>
      <c r="H4268" s="990"/>
      <c r="I4268" s="990"/>
      <c r="J4268" s="990"/>
      <c r="K4268" s="990"/>
      <c r="L4268" s="990"/>
      <c r="M4268" s="990"/>
      <c r="N4268" s="990"/>
      <c r="O4268" s="990"/>
      <c r="P4268" s="990"/>
      <c r="Q4268" s="990"/>
      <c r="R4268" s="990"/>
      <c r="S4268" s="990"/>
      <c r="T4268" s="990"/>
      <c r="U4268" s="990"/>
      <c r="V4268" s="990"/>
      <c r="W4268" s="990"/>
      <c r="X4268" s="990"/>
    </row>
    <row r="4269" spans="1:24" s="896" customFormat="1">
      <c r="A4269" s="987">
        <f t="shared" si="67"/>
        <v>4195</v>
      </c>
      <c r="B4269" s="988">
        <v>6303</v>
      </c>
      <c r="C4269" s="899" t="s">
        <v>13595</v>
      </c>
      <c r="D4269" s="988" t="s">
        <v>2666</v>
      </c>
      <c r="E4269" s="989">
        <v>26.56</v>
      </c>
      <c r="F4269" s="990"/>
      <c r="G4269" s="990"/>
      <c r="H4269" s="990"/>
      <c r="I4269" s="990"/>
      <c r="J4269" s="990"/>
      <c r="K4269" s="990"/>
      <c r="L4269" s="990"/>
      <c r="M4269" s="990"/>
      <c r="N4269" s="990"/>
      <c r="O4269" s="990"/>
      <c r="P4269" s="990"/>
      <c r="Q4269" s="990"/>
      <c r="R4269" s="990"/>
      <c r="S4269" s="990"/>
      <c r="T4269" s="990"/>
      <c r="U4269" s="990"/>
      <c r="V4269" s="990"/>
      <c r="W4269" s="990"/>
      <c r="X4269" s="990"/>
    </row>
    <row r="4270" spans="1:24" s="896" customFormat="1">
      <c r="A4270" s="987">
        <f t="shared" si="67"/>
        <v>4196</v>
      </c>
      <c r="B4270" s="988">
        <v>6308</v>
      </c>
      <c r="C4270" s="899" t="s">
        <v>13596</v>
      </c>
      <c r="D4270" s="988" t="s">
        <v>2666</v>
      </c>
      <c r="E4270" s="989">
        <v>142.72999999999999</v>
      </c>
      <c r="F4270" s="990"/>
      <c r="G4270" s="990"/>
      <c r="H4270" s="990"/>
      <c r="I4270" s="990"/>
      <c r="J4270" s="990"/>
      <c r="K4270" s="990"/>
      <c r="L4270" s="990"/>
      <c r="M4270" s="990"/>
      <c r="N4270" s="990"/>
      <c r="O4270" s="990"/>
      <c r="P4270" s="990"/>
      <c r="Q4270" s="990"/>
      <c r="R4270" s="990"/>
      <c r="S4270" s="990"/>
      <c r="T4270" s="990"/>
      <c r="U4270" s="990"/>
      <c r="V4270" s="990"/>
      <c r="W4270" s="990"/>
      <c r="X4270" s="990"/>
    </row>
    <row r="4271" spans="1:24" s="896" customFormat="1">
      <c r="A4271" s="987">
        <f t="shared" si="67"/>
        <v>4197</v>
      </c>
      <c r="B4271" s="988">
        <v>6317</v>
      </c>
      <c r="C4271" s="899" t="s">
        <v>13597</v>
      </c>
      <c r="D4271" s="988" t="s">
        <v>2666</v>
      </c>
      <c r="E4271" s="989">
        <v>142.72999999999999</v>
      </c>
      <c r="F4271" s="990"/>
      <c r="G4271" s="990"/>
      <c r="H4271" s="990"/>
      <c r="I4271" s="990"/>
      <c r="J4271" s="990"/>
      <c r="K4271" s="990"/>
      <c r="L4271" s="990"/>
      <c r="M4271" s="990"/>
      <c r="N4271" s="990"/>
      <c r="O4271" s="990"/>
      <c r="P4271" s="990"/>
      <c r="Q4271" s="990"/>
      <c r="R4271" s="990"/>
      <c r="S4271" s="990"/>
      <c r="T4271" s="990"/>
      <c r="U4271" s="990"/>
      <c r="V4271" s="990"/>
      <c r="W4271" s="990"/>
      <c r="X4271" s="990"/>
    </row>
    <row r="4272" spans="1:24" s="896" customFormat="1">
      <c r="A4272" s="987">
        <f t="shared" si="67"/>
        <v>4198</v>
      </c>
      <c r="B4272" s="988">
        <v>6307</v>
      </c>
      <c r="C4272" s="899" t="s">
        <v>13598</v>
      </c>
      <c r="D4272" s="988" t="s">
        <v>2666</v>
      </c>
      <c r="E4272" s="989">
        <v>142.72999999999999</v>
      </c>
      <c r="F4272" s="990"/>
      <c r="G4272" s="990"/>
      <c r="H4272" s="990"/>
      <c r="I4272" s="990"/>
      <c r="J4272" s="990"/>
      <c r="K4272" s="990"/>
      <c r="L4272" s="990"/>
      <c r="M4272" s="990"/>
      <c r="N4272" s="990"/>
      <c r="O4272" s="990"/>
      <c r="P4272" s="990"/>
      <c r="Q4272" s="990"/>
      <c r="R4272" s="990"/>
      <c r="S4272" s="990"/>
      <c r="T4272" s="990"/>
      <c r="U4272" s="990"/>
      <c r="V4272" s="990"/>
      <c r="W4272" s="990"/>
      <c r="X4272" s="990"/>
    </row>
    <row r="4273" spans="1:24" s="896" customFormat="1">
      <c r="A4273" s="987">
        <f t="shared" si="67"/>
        <v>4199</v>
      </c>
      <c r="B4273" s="988">
        <v>6309</v>
      </c>
      <c r="C4273" s="899" t="s">
        <v>13599</v>
      </c>
      <c r="D4273" s="988" t="s">
        <v>2666</v>
      </c>
      <c r="E4273" s="989">
        <v>146.88</v>
      </c>
      <c r="F4273" s="990"/>
      <c r="G4273" s="990"/>
      <c r="H4273" s="990"/>
      <c r="I4273" s="990"/>
      <c r="J4273" s="990"/>
      <c r="K4273" s="990"/>
      <c r="L4273" s="990"/>
      <c r="M4273" s="990"/>
      <c r="N4273" s="990"/>
      <c r="O4273" s="990"/>
      <c r="P4273" s="990"/>
      <c r="Q4273" s="990"/>
      <c r="R4273" s="990"/>
      <c r="S4273" s="990"/>
      <c r="T4273" s="990"/>
      <c r="U4273" s="990"/>
      <c r="V4273" s="990"/>
      <c r="W4273" s="990"/>
      <c r="X4273" s="990"/>
    </row>
    <row r="4274" spans="1:24" s="896" customFormat="1">
      <c r="A4274" s="987">
        <f t="shared" si="67"/>
        <v>4200</v>
      </c>
      <c r="B4274" s="988">
        <v>6318</v>
      </c>
      <c r="C4274" s="899" t="s">
        <v>13600</v>
      </c>
      <c r="D4274" s="988" t="s">
        <v>2666</v>
      </c>
      <c r="E4274" s="989">
        <v>76.989999999999995</v>
      </c>
      <c r="F4274" s="990"/>
      <c r="G4274" s="990"/>
      <c r="H4274" s="990"/>
      <c r="I4274" s="990"/>
      <c r="J4274" s="990"/>
      <c r="K4274" s="990"/>
      <c r="L4274" s="990"/>
      <c r="M4274" s="990"/>
      <c r="N4274" s="990"/>
      <c r="O4274" s="990"/>
      <c r="P4274" s="990"/>
      <c r="Q4274" s="990"/>
      <c r="R4274" s="990"/>
      <c r="S4274" s="990"/>
      <c r="T4274" s="990"/>
      <c r="U4274" s="990"/>
      <c r="V4274" s="990"/>
      <c r="W4274" s="990"/>
      <c r="X4274" s="990"/>
    </row>
    <row r="4275" spans="1:24" s="896" customFormat="1">
      <c r="A4275" s="987">
        <f t="shared" si="67"/>
        <v>4201</v>
      </c>
      <c r="B4275" s="988">
        <v>6306</v>
      </c>
      <c r="C4275" s="899" t="s">
        <v>13601</v>
      </c>
      <c r="D4275" s="988" t="s">
        <v>2666</v>
      </c>
      <c r="E4275" s="989">
        <v>76.989999999999995</v>
      </c>
      <c r="F4275" s="990"/>
      <c r="G4275" s="990"/>
      <c r="H4275" s="990"/>
      <c r="I4275" s="990"/>
      <c r="J4275" s="990"/>
      <c r="K4275" s="990"/>
      <c r="L4275" s="990"/>
      <c r="M4275" s="990"/>
      <c r="N4275" s="990"/>
      <c r="O4275" s="990"/>
      <c r="P4275" s="990"/>
      <c r="Q4275" s="990"/>
      <c r="R4275" s="990"/>
      <c r="S4275" s="990"/>
      <c r="T4275" s="990"/>
      <c r="U4275" s="990"/>
      <c r="V4275" s="990"/>
      <c r="W4275" s="990"/>
      <c r="X4275" s="990"/>
    </row>
    <row r="4276" spans="1:24" s="896" customFormat="1">
      <c r="A4276" s="987">
        <f t="shared" si="67"/>
        <v>4202</v>
      </c>
      <c r="B4276" s="988">
        <v>6305</v>
      </c>
      <c r="C4276" s="899" t="s">
        <v>13602</v>
      </c>
      <c r="D4276" s="988" t="s">
        <v>2666</v>
      </c>
      <c r="E4276" s="989">
        <v>76.989999999999995</v>
      </c>
      <c r="F4276" s="990"/>
      <c r="G4276" s="990"/>
      <c r="H4276" s="990"/>
      <c r="I4276" s="990"/>
      <c r="J4276" s="990"/>
      <c r="K4276" s="990"/>
      <c r="L4276" s="990"/>
      <c r="M4276" s="990"/>
      <c r="N4276" s="990"/>
      <c r="O4276" s="990"/>
      <c r="P4276" s="990"/>
      <c r="Q4276" s="990"/>
      <c r="R4276" s="990"/>
      <c r="S4276" s="990"/>
      <c r="T4276" s="990"/>
      <c r="U4276" s="990"/>
      <c r="V4276" s="990"/>
      <c r="W4276" s="990"/>
      <c r="X4276" s="990"/>
    </row>
    <row r="4277" spans="1:24" s="896" customFormat="1">
      <c r="A4277" s="987">
        <f t="shared" si="67"/>
        <v>4203</v>
      </c>
      <c r="B4277" s="988">
        <v>6302</v>
      </c>
      <c r="C4277" s="899" t="s">
        <v>13603</v>
      </c>
      <c r="D4277" s="988" t="s">
        <v>2666</v>
      </c>
      <c r="E4277" s="989">
        <v>16.329999999999998</v>
      </c>
      <c r="F4277" s="990"/>
      <c r="G4277" s="990"/>
      <c r="H4277" s="990"/>
      <c r="I4277" s="990"/>
      <c r="J4277" s="990"/>
      <c r="K4277" s="990"/>
      <c r="L4277" s="990"/>
      <c r="M4277" s="990"/>
      <c r="N4277" s="990"/>
      <c r="O4277" s="990"/>
      <c r="P4277" s="990"/>
      <c r="Q4277" s="990"/>
      <c r="R4277" s="990"/>
      <c r="S4277" s="990"/>
      <c r="T4277" s="990"/>
      <c r="U4277" s="990"/>
      <c r="V4277" s="990"/>
      <c r="W4277" s="990"/>
      <c r="X4277" s="990"/>
    </row>
    <row r="4278" spans="1:24" s="896" customFormat="1">
      <c r="A4278" s="987">
        <f t="shared" si="67"/>
        <v>4204</v>
      </c>
      <c r="B4278" s="988">
        <v>6312</v>
      </c>
      <c r="C4278" s="899" t="s">
        <v>13604</v>
      </c>
      <c r="D4278" s="988" t="s">
        <v>2666</v>
      </c>
      <c r="E4278" s="989">
        <v>205.31</v>
      </c>
      <c r="F4278" s="990"/>
      <c r="G4278" s="990"/>
      <c r="H4278" s="990"/>
      <c r="I4278" s="990"/>
      <c r="J4278" s="990"/>
      <c r="K4278" s="990"/>
      <c r="L4278" s="990"/>
      <c r="M4278" s="990"/>
      <c r="N4278" s="990"/>
      <c r="O4278" s="990"/>
      <c r="P4278" s="990"/>
      <c r="Q4278" s="990"/>
      <c r="R4278" s="990"/>
      <c r="S4278" s="990"/>
      <c r="T4278" s="990"/>
      <c r="U4278" s="990"/>
      <c r="V4278" s="990"/>
      <c r="W4278" s="990"/>
      <c r="X4278" s="990"/>
    </row>
    <row r="4279" spans="1:24" s="896" customFormat="1">
      <c r="A4279" s="987">
        <f t="shared" si="67"/>
        <v>4205</v>
      </c>
      <c r="B4279" s="988">
        <v>6311</v>
      </c>
      <c r="C4279" s="899" t="s">
        <v>13605</v>
      </c>
      <c r="D4279" s="988" t="s">
        <v>2666</v>
      </c>
      <c r="E4279" s="989">
        <v>205.31</v>
      </c>
      <c r="F4279" s="990"/>
      <c r="G4279" s="990"/>
      <c r="H4279" s="990"/>
      <c r="I4279" s="990"/>
      <c r="J4279" s="990"/>
      <c r="K4279" s="990"/>
      <c r="L4279" s="990"/>
      <c r="M4279" s="990"/>
      <c r="N4279" s="990"/>
      <c r="O4279" s="990"/>
      <c r="P4279" s="990"/>
      <c r="Q4279" s="990"/>
      <c r="R4279" s="990"/>
      <c r="S4279" s="990"/>
      <c r="T4279" s="990"/>
      <c r="U4279" s="990"/>
      <c r="V4279" s="990"/>
      <c r="W4279" s="990"/>
      <c r="X4279" s="990"/>
    </row>
    <row r="4280" spans="1:24" s="896" customFormat="1">
      <c r="A4280" s="987">
        <f t="shared" si="67"/>
        <v>4206</v>
      </c>
      <c r="B4280" s="988">
        <v>6310</v>
      </c>
      <c r="C4280" s="899" t="s">
        <v>13606</v>
      </c>
      <c r="D4280" s="988" t="s">
        <v>2666</v>
      </c>
      <c r="E4280" s="989">
        <v>205.31</v>
      </c>
      <c r="F4280" s="990"/>
      <c r="G4280" s="990"/>
      <c r="H4280" s="990"/>
      <c r="I4280" s="990"/>
      <c r="J4280" s="990"/>
      <c r="K4280" s="990"/>
      <c r="L4280" s="990"/>
      <c r="M4280" s="990"/>
      <c r="N4280" s="990"/>
      <c r="O4280" s="990"/>
      <c r="P4280" s="990"/>
      <c r="Q4280" s="990"/>
      <c r="R4280" s="990"/>
      <c r="S4280" s="990"/>
      <c r="T4280" s="990"/>
      <c r="U4280" s="990"/>
      <c r="V4280" s="990"/>
      <c r="W4280" s="990"/>
      <c r="X4280" s="990"/>
    </row>
    <row r="4281" spans="1:24" s="896" customFormat="1">
      <c r="A4281" s="987">
        <f t="shared" si="67"/>
        <v>4207</v>
      </c>
      <c r="B4281" s="988">
        <v>6314</v>
      </c>
      <c r="C4281" s="899" t="s">
        <v>13607</v>
      </c>
      <c r="D4281" s="988" t="s">
        <v>2666</v>
      </c>
      <c r="E4281" s="989">
        <v>205.31</v>
      </c>
      <c r="F4281" s="990"/>
      <c r="G4281" s="990"/>
      <c r="H4281" s="990"/>
      <c r="I4281" s="990"/>
      <c r="J4281" s="990"/>
      <c r="K4281" s="990"/>
      <c r="L4281" s="990"/>
      <c r="M4281" s="990"/>
      <c r="N4281" s="990"/>
      <c r="O4281" s="990"/>
      <c r="P4281" s="990"/>
      <c r="Q4281" s="990"/>
      <c r="R4281" s="990"/>
      <c r="S4281" s="990"/>
      <c r="T4281" s="990"/>
      <c r="U4281" s="990"/>
      <c r="V4281" s="990"/>
      <c r="W4281" s="990"/>
      <c r="X4281" s="990"/>
    </row>
    <row r="4282" spans="1:24" s="896" customFormat="1">
      <c r="A4282" s="987">
        <f t="shared" si="67"/>
        <v>4208</v>
      </c>
      <c r="B4282" s="988">
        <v>6313</v>
      </c>
      <c r="C4282" s="899" t="s">
        <v>13608</v>
      </c>
      <c r="D4282" s="988" t="s">
        <v>2666</v>
      </c>
      <c r="E4282" s="989">
        <v>205.31</v>
      </c>
      <c r="F4282" s="990"/>
      <c r="G4282" s="990"/>
      <c r="H4282" s="990"/>
      <c r="I4282" s="990"/>
      <c r="J4282" s="990"/>
      <c r="K4282" s="990"/>
      <c r="L4282" s="990"/>
      <c r="M4282" s="990"/>
      <c r="N4282" s="990"/>
      <c r="O4282" s="990"/>
      <c r="P4282" s="990"/>
      <c r="Q4282" s="990"/>
      <c r="R4282" s="990"/>
      <c r="S4282" s="990"/>
      <c r="T4282" s="990"/>
      <c r="U4282" s="990"/>
      <c r="V4282" s="990"/>
      <c r="W4282" s="990"/>
      <c r="X4282" s="990"/>
    </row>
    <row r="4283" spans="1:24" s="896" customFormat="1">
      <c r="A4283" s="987">
        <f t="shared" si="67"/>
        <v>4209</v>
      </c>
      <c r="B4283" s="988">
        <v>6315</v>
      </c>
      <c r="C4283" s="899" t="s">
        <v>13609</v>
      </c>
      <c r="D4283" s="988" t="s">
        <v>2666</v>
      </c>
      <c r="E4283" s="989">
        <v>388.74</v>
      </c>
      <c r="F4283" s="990"/>
      <c r="G4283" s="990"/>
      <c r="H4283" s="990"/>
      <c r="I4283" s="990"/>
      <c r="J4283" s="990"/>
      <c r="K4283" s="990"/>
      <c r="L4283" s="990"/>
      <c r="M4283" s="990"/>
      <c r="N4283" s="990"/>
      <c r="O4283" s="990"/>
      <c r="P4283" s="990"/>
      <c r="Q4283" s="990"/>
      <c r="R4283" s="990"/>
      <c r="S4283" s="990"/>
      <c r="T4283" s="990"/>
      <c r="U4283" s="990"/>
      <c r="V4283" s="990"/>
      <c r="W4283" s="990"/>
      <c r="X4283" s="990"/>
    </row>
    <row r="4284" spans="1:24" s="896" customFormat="1">
      <c r="A4284" s="987">
        <f t="shared" si="67"/>
        <v>4210</v>
      </c>
      <c r="B4284" s="988">
        <v>6316</v>
      </c>
      <c r="C4284" s="899" t="s">
        <v>13610</v>
      </c>
      <c r="D4284" s="988" t="s">
        <v>2666</v>
      </c>
      <c r="E4284" s="989">
        <v>388.74</v>
      </c>
      <c r="F4284" s="990"/>
      <c r="G4284" s="990"/>
      <c r="H4284" s="990"/>
      <c r="I4284" s="990"/>
      <c r="J4284" s="990"/>
      <c r="K4284" s="990"/>
      <c r="L4284" s="990"/>
      <c r="M4284" s="990"/>
      <c r="N4284" s="990"/>
      <c r="O4284" s="990"/>
      <c r="P4284" s="990"/>
      <c r="Q4284" s="990"/>
      <c r="R4284" s="990"/>
      <c r="S4284" s="990"/>
      <c r="T4284" s="990"/>
      <c r="U4284" s="990"/>
      <c r="V4284" s="990"/>
      <c r="W4284" s="990"/>
      <c r="X4284" s="990"/>
    </row>
    <row r="4285" spans="1:24" s="896" customFormat="1" ht="25.5">
      <c r="A4285" s="987">
        <f t="shared" si="67"/>
        <v>4211</v>
      </c>
      <c r="B4285" s="988">
        <v>38878</v>
      </c>
      <c r="C4285" s="899" t="s">
        <v>13611</v>
      </c>
      <c r="D4285" s="988" t="s">
        <v>2666</v>
      </c>
      <c r="E4285" s="989">
        <v>15.12</v>
      </c>
      <c r="F4285" s="990"/>
      <c r="G4285" s="990"/>
      <c r="H4285" s="990"/>
      <c r="I4285" s="990"/>
      <c r="J4285" s="990"/>
      <c r="K4285" s="990"/>
      <c r="L4285" s="990"/>
      <c r="M4285" s="990"/>
      <c r="N4285" s="990"/>
      <c r="O4285" s="990"/>
      <c r="P4285" s="990"/>
      <c r="Q4285" s="990"/>
      <c r="R4285" s="990"/>
      <c r="S4285" s="990"/>
      <c r="T4285" s="990"/>
      <c r="U4285" s="990"/>
      <c r="V4285" s="990"/>
      <c r="W4285" s="990"/>
      <c r="X4285" s="990"/>
    </row>
    <row r="4286" spans="1:24" s="896" customFormat="1" ht="25.5">
      <c r="A4286" s="987">
        <f t="shared" si="67"/>
        <v>4212</v>
      </c>
      <c r="B4286" s="988">
        <v>38879</v>
      </c>
      <c r="C4286" s="899" t="s">
        <v>13612</v>
      </c>
      <c r="D4286" s="988" t="s">
        <v>2666</v>
      </c>
      <c r="E4286" s="989">
        <v>28.34</v>
      </c>
      <c r="F4286" s="990"/>
      <c r="G4286" s="990"/>
      <c r="H4286" s="990"/>
      <c r="I4286" s="990"/>
      <c r="J4286" s="990"/>
      <c r="K4286" s="990"/>
      <c r="L4286" s="990"/>
      <c r="M4286" s="990"/>
      <c r="N4286" s="990"/>
      <c r="O4286" s="990"/>
      <c r="P4286" s="990"/>
      <c r="Q4286" s="990"/>
      <c r="R4286" s="990"/>
      <c r="S4286" s="990"/>
      <c r="T4286" s="990"/>
      <c r="U4286" s="990"/>
      <c r="V4286" s="990"/>
      <c r="W4286" s="990"/>
      <c r="X4286" s="990"/>
    </row>
    <row r="4287" spans="1:24" s="896" customFormat="1" ht="25.5">
      <c r="A4287" s="987">
        <f t="shared" si="67"/>
        <v>4213</v>
      </c>
      <c r="B4287" s="988">
        <v>38881</v>
      </c>
      <c r="C4287" s="899" t="s">
        <v>13613</v>
      </c>
      <c r="D4287" s="988" t="s">
        <v>2666</v>
      </c>
      <c r="E4287" s="989">
        <v>14.83</v>
      </c>
      <c r="F4287" s="990"/>
      <c r="G4287" s="990"/>
      <c r="H4287" s="990"/>
      <c r="I4287" s="990"/>
      <c r="J4287" s="990"/>
      <c r="K4287" s="990"/>
      <c r="L4287" s="990"/>
      <c r="M4287" s="990"/>
      <c r="N4287" s="990"/>
      <c r="O4287" s="990"/>
      <c r="P4287" s="990"/>
      <c r="Q4287" s="990"/>
      <c r="R4287" s="990"/>
      <c r="S4287" s="990"/>
      <c r="T4287" s="990"/>
      <c r="U4287" s="990"/>
      <c r="V4287" s="990"/>
      <c r="W4287" s="990"/>
      <c r="X4287" s="990"/>
    </row>
    <row r="4288" spans="1:24" s="896" customFormat="1" ht="25.5">
      <c r="A4288" s="987">
        <f t="shared" si="67"/>
        <v>4214</v>
      </c>
      <c r="B4288" s="988">
        <v>38880</v>
      </c>
      <c r="C4288" s="899" t="s">
        <v>13614</v>
      </c>
      <c r="D4288" s="988" t="s">
        <v>2666</v>
      </c>
      <c r="E4288" s="989">
        <v>15.54</v>
      </c>
      <c r="F4288" s="990"/>
      <c r="G4288" s="990"/>
      <c r="H4288" s="990"/>
      <c r="I4288" s="990"/>
      <c r="J4288" s="990"/>
      <c r="K4288" s="990"/>
      <c r="L4288" s="990"/>
      <c r="M4288" s="990"/>
      <c r="N4288" s="990"/>
      <c r="O4288" s="990"/>
      <c r="P4288" s="990"/>
      <c r="Q4288" s="990"/>
      <c r="R4288" s="990"/>
      <c r="S4288" s="990"/>
      <c r="T4288" s="990"/>
      <c r="U4288" s="990"/>
      <c r="V4288" s="990"/>
      <c r="W4288" s="990"/>
      <c r="X4288" s="990"/>
    </row>
    <row r="4289" spans="1:24" s="896" customFormat="1" ht="25.5">
      <c r="A4289" s="987">
        <f t="shared" si="67"/>
        <v>4215</v>
      </c>
      <c r="B4289" s="988">
        <v>38882</v>
      </c>
      <c r="C4289" s="899" t="s">
        <v>13615</v>
      </c>
      <c r="D4289" s="988" t="s">
        <v>2666</v>
      </c>
      <c r="E4289" s="989">
        <v>16.09</v>
      </c>
      <c r="F4289" s="990"/>
      <c r="G4289" s="990"/>
      <c r="H4289" s="990"/>
      <c r="I4289" s="990"/>
      <c r="J4289" s="990"/>
      <c r="K4289" s="990"/>
      <c r="L4289" s="990"/>
      <c r="M4289" s="990"/>
      <c r="N4289" s="990"/>
      <c r="O4289" s="990"/>
      <c r="P4289" s="990"/>
      <c r="Q4289" s="990"/>
      <c r="R4289" s="990"/>
      <c r="S4289" s="990"/>
      <c r="T4289" s="990"/>
      <c r="U4289" s="990"/>
      <c r="V4289" s="990"/>
      <c r="W4289" s="990"/>
      <c r="X4289" s="990"/>
    </row>
    <row r="4290" spans="1:24" s="896" customFormat="1" ht="25.5">
      <c r="A4290" s="987">
        <f t="shared" si="67"/>
        <v>4216</v>
      </c>
      <c r="B4290" s="988">
        <v>38883</v>
      </c>
      <c r="C4290" s="899" t="s">
        <v>13616</v>
      </c>
      <c r="D4290" s="988" t="s">
        <v>2666</v>
      </c>
      <c r="E4290" s="989">
        <v>23.8</v>
      </c>
      <c r="F4290" s="990"/>
      <c r="G4290" s="990"/>
      <c r="H4290" s="990"/>
      <c r="I4290" s="990"/>
      <c r="J4290" s="990"/>
      <c r="K4290" s="990"/>
      <c r="L4290" s="990"/>
      <c r="M4290" s="990"/>
      <c r="N4290" s="990"/>
      <c r="O4290" s="990"/>
      <c r="P4290" s="990"/>
      <c r="Q4290" s="990"/>
      <c r="R4290" s="990"/>
      <c r="S4290" s="990"/>
      <c r="T4290" s="990"/>
      <c r="U4290" s="990"/>
      <c r="V4290" s="990"/>
      <c r="W4290" s="990"/>
      <c r="X4290" s="990"/>
    </row>
    <row r="4291" spans="1:24" s="896" customFormat="1" ht="25.5">
      <c r="A4291" s="987">
        <f t="shared" si="67"/>
        <v>4217</v>
      </c>
      <c r="B4291" s="988">
        <v>38884</v>
      </c>
      <c r="C4291" s="899" t="s">
        <v>13617</v>
      </c>
      <c r="D4291" s="988" t="s">
        <v>2666</v>
      </c>
      <c r="E4291" s="989">
        <v>25.84</v>
      </c>
      <c r="F4291" s="990"/>
      <c r="G4291" s="990"/>
      <c r="H4291" s="990"/>
      <c r="I4291" s="990"/>
      <c r="J4291" s="990"/>
      <c r="K4291" s="990"/>
      <c r="L4291" s="990"/>
      <c r="M4291" s="990"/>
      <c r="N4291" s="990"/>
      <c r="O4291" s="990"/>
      <c r="P4291" s="990"/>
      <c r="Q4291" s="990"/>
      <c r="R4291" s="990"/>
      <c r="S4291" s="990"/>
      <c r="T4291" s="990"/>
      <c r="U4291" s="990"/>
      <c r="V4291" s="990"/>
      <c r="W4291" s="990"/>
      <c r="X4291" s="990"/>
    </row>
    <row r="4292" spans="1:24" s="896" customFormat="1" ht="25.5">
      <c r="A4292" s="987">
        <f t="shared" si="67"/>
        <v>4218</v>
      </c>
      <c r="B4292" s="988">
        <v>38885</v>
      </c>
      <c r="C4292" s="899" t="s">
        <v>13618</v>
      </c>
      <c r="D4292" s="988" t="s">
        <v>2666</v>
      </c>
      <c r="E4292" s="989">
        <v>25</v>
      </c>
      <c r="F4292" s="990"/>
      <c r="G4292" s="990"/>
      <c r="H4292" s="990"/>
      <c r="I4292" s="990"/>
      <c r="J4292" s="990"/>
      <c r="K4292" s="990"/>
      <c r="L4292" s="990"/>
      <c r="M4292" s="990"/>
      <c r="N4292" s="990"/>
      <c r="O4292" s="990"/>
      <c r="P4292" s="990"/>
      <c r="Q4292" s="990"/>
      <c r="R4292" s="990"/>
      <c r="S4292" s="990"/>
      <c r="T4292" s="990"/>
      <c r="U4292" s="990"/>
      <c r="V4292" s="990"/>
      <c r="W4292" s="990"/>
      <c r="X4292" s="990"/>
    </row>
    <row r="4293" spans="1:24" s="896" customFormat="1" ht="25.5">
      <c r="A4293" s="987">
        <f t="shared" si="67"/>
        <v>4219</v>
      </c>
      <c r="B4293" s="988">
        <v>38886</v>
      </c>
      <c r="C4293" s="899" t="s">
        <v>13619</v>
      </c>
      <c r="D4293" s="988" t="s">
        <v>2666</v>
      </c>
      <c r="E4293" s="989">
        <v>26.98</v>
      </c>
      <c r="F4293" s="990"/>
      <c r="G4293" s="990"/>
      <c r="H4293" s="990"/>
      <c r="I4293" s="990"/>
      <c r="J4293" s="990"/>
      <c r="K4293" s="990"/>
      <c r="L4293" s="990"/>
      <c r="M4293" s="990"/>
      <c r="N4293" s="990"/>
      <c r="O4293" s="990"/>
      <c r="P4293" s="990"/>
      <c r="Q4293" s="990"/>
      <c r="R4293" s="990"/>
      <c r="S4293" s="990"/>
      <c r="T4293" s="990"/>
      <c r="U4293" s="990"/>
      <c r="V4293" s="990"/>
      <c r="W4293" s="990"/>
      <c r="X4293" s="990"/>
    </row>
    <row r="4294" spans="1:24" s="896" customFormat="1" ht="25.5">
      <c r="A4294" s="987">
        <f t="shared" si="67"/>
        <v>4220</v>
      </c>
      <c r="B4294" s="988">
        <v>38887</v>
      </c>
      <c r="C4294" s="899" t="s">
        <v>13620</v>
      </c>
      <c r="D4294" s="988" t="s">
        <v>2666</v>
      </c>
      <c r="E4294" s="989">
        <v>24.23</v>
      </c>
      <c r="F4294" s="990"/>
      <c r="G4294" s="990"/>
      <c r="H4294" s="990"/>
      <c r="I4294" s="990"/>
      <c r="J4294" s="990"/>
      <c r="K4294" s="990"/>
      <c r="L4294" s="990"/>
      <c r="M4294" s="990"/>
      <c r="N4294" s="990"/>
      <c r="O4294" s="990"/>
      <c r="P4294" s="990"/>
      <c r="Q4294" s="990"/>
      <c r="R4294" s="990"/>
      <c r="S4294" s="990"/>
      <c r="T4294" s="990"/>
      <c r="U4294" s="990"/>
      <c r="V4294" s="990"/>
      <c r="W4294" s="990"/>
      <c r="X4294" s="990"/>
    </row>
    <row r="4295" spans="1:24" s="896" customFormat="1" ht="25.5">
      <c r="A4295" s="987">
        <f t="shared" si="67"/>
        <v>4221</v>
      </c>
      <c r="B4295" s="988">
        <v>38888</v>
      </c>
      <c r="C4295" s="899" t="s">
        <v>13621</v>
      </c>
      <c r="D4295" s="988" t="s">
        <v>2666</v>
      </c>
      <c r="E4295" s="989">
        <v>28.81</v>
      </c>
      <c r="F4295" s="990"/>
      <c r="G4295" s="990"/>
      <c r="H4295" s="990"/>
      <c r="I4295" s="990"/>
      <c r="J4295" s="990"/>
      <c r="K4295" s="990"/>
      <c r="L4295" s="990"/>
      <c r="M4295" s="990"/>
      <c r="N4295" s="990"/>
      <c r="O4295" s="990"/>
      <c r="P4295" s="990"/>
      <c r="Q4295" s="990"/>
      <c r="R4295" s="990"/>
      <c r="S4295" s="990"/>
      <c r="T4295" s="990"/>
      <c r="U4295" s="990"/>
      <c r="V4295" s="990"/>
      <c r="W4295" s="990"/>
      <c r="X4295" s="990"/>
    </row>
    <row r="4296" spans="1:24" s="896" customFormat="1" ht="25.5">
      <c r="A4296" s="987">
        <f t="shared" si="67"/>
        <v>4222</v>
      </c>
      <c r="B4296" s="988">
        <v>38890</v>
      </c>
      <c r="C4296" s="899" t="s">
        <v>13622</v>
      </c>
      <c r="D4296" s="988" t="s">
        <v>2666</v>
      </c>
      <c r="E4296" s="989">
        <v>42.82</v>
      </c>
      <c r="F4296" s="990"/>
      <c r="G4296" s="990"/>
      <c r="H4296" s="990"/>
      <c r="I4296" s="990"/>
      <c r="J4296" s="990"/>
      <c r="K4296" s="990"/>
      <c r="L4296" s="990"/>
      <c r="M4296" s="990"/>
      <c r="N4296" s="990"/>
      <c r="O4296" s="990"/>
      <c r="P4296" s="990"/>
      <c r="Q4296" s="990"/>
      <c r="R4296" s="990"/>
      <c r="S4296" s="990"/>
      <c r="T4296" s="990"/>
      <c r="U4296" s="990"/>
      <c r="V4296" s="990"/>
      <c r="W4296" s="990"/>
      <c r="X4296" s="990"/>
    </row>
    <row r="4297" spans="1:24" s="896" customFormat="1" ht="25.5">
      <c r="A4297" s="987">
        <f t="shared" si="67"/>
        <v>4223</v>
      </c>
      <c r="B4297" s="988">
        <v>38893</v>
      </c>
      <c r="C4297" s="899" t="s">
        <v>13623</v>
      </c>
      <c r="D4297" s="988" t="s">
        <v>2666</v>
      </c>
      <c r="E4297" s="989">
        <v>34.43</v>
      </c>
      <c r="F4297" s="990"/>
      <c r="G4297" s="990"/>
      <c r="H4297" s="990"/>
      <c r="I4297" s="990"/>
      <c r="J4297" s="990"/>
      <c r="K4297" s="990"/>
      <c r="L4297" s="990"/>
      <c r="M4297" s="990"/>
      <c r="N4297" s="990"/>
      <c r="O4297" s="990"/>
      <c r="P4297" s="990"/>
      <c r="Q4297" s="990"/>
      <c r="R4297" s="990"/>
      <c r="S4297" s="990"/>
      <c r="T4297" s="990"/>
      <c r="U4297" s="990"/>
      <c r="V4297" s="990"/>
      <c r="W4297" s="990"/>
      <c r="X4297" s="990"/>
    </row>
    <row r="4298" spans="1:24" s="896" customFormat="1" ht="25.5">
      <c r="A4298" s="987">
        <f t="shared" si="67"/>
        <v>4224</v>
      </c>
      <c r="B4298" s="988">
        <v>38894</v>
      </c>
      <c r="C4298" s="899" t="s">
        <v>13624</v>
      </c>
      <c r="D4298" s="988" t="s">
        <v>2666</v>
      </c>
      <c r="E4298" s="989">
        <v>43.73</v>
      </c>
      <c r="F4298" s="990"/>
      <c r="G4298" s="990"/>
      <c r="H4298" s="990"/>
      <c r="I4298" s="990"/>
      <c r="J4298" s="990"/>
      <c r="K4298" s="990"/>
      <c r="L4298" s="990"/>
      <c r="M4298" s="990"/>
      <c r="N4298" s="990"/>
      <c r="O4298" s="990"/>
      <c r="P4298" s="990"/>
      <c r="Q4298" s="990"/>
      <c r="R4298" s="990"/>
      <c r="S4298" s="990"/>
      <c r="T4298" s="990"/>
      <c r="U4298" s="990"/>
      <c r="V4298" s="990"/>
      <c r="W4298" s="990"/>
      <c r="X4298" s="990"/>
    </row>
    <row r="4299" spans="1:24" s="896" customFormat="1" ht="25.5">
      <c r="A4299" s="987">
        <f t="shared" si="67"/>
        <v>4225</v>
      </c>
      <c r="B4299" s="988">
        <v>38896</v>
      </c>
      <c r="C4299" s="899" t="s">
        <v>13625</v>
      </c>
      <c r="D4299" s="988" t="s">
        <v>2666</v>
      </c>
      <c r="E4299" s="989">
        <v>44.6</v>
      </c>
      <c r="F4299" s="990"/>
      <c r="G4299" s="990"/>
      <c r="H4299" s="990"/>
      <c r="I4299" s="990"/>
      <c r="J4299" s="990"/>
      <c r="K4299" s="990"/>
      <c r="L4299" s="990"/>
      <c r="M4299" s="990"/>
      <c r="N4299" s="990"/>
      <c r="O4299" s="990"/>
      <c r="P4299" s="990"/>
      <c r="Q4299" s="990"/>
      <c r="R4299" s="990"/>
      <c r="S4299" s="990"/>
      <c r="T4299" s="990"/>
      <c r="U4299" s="990"/>
      <c r="V4299" s="990"/>
      <c r="W4299" s="990"/>
      <c r="X4299" s="990"/>
    </row>
    <row r="4300" spans="1:24" s="896" customFormat="1">
      <c r="A4300" s="987">
        <f t="shared" ref="A4300:A4363" si="68">A4299+1</f>
        <v>4226</v>
      </c>
      <c r="B4300" s="988">
        <v>39324</v>
      </c>
      <c r="C4300" s="899" t="s">
        <v>13626</v>
      </c>
      <c r="D4300" s="988" t="s">
        <v>2666</v>
      </c>
      <c r="E4300" s="989">
        <v>10.91</v>
      </c>
      <c r="F4300" s="990"/>
      <c r="G4300" s="990"/>
      <c r="H4300" s="990"/>
      <c r="I4300" s="990"/>
      <c r="J4300" s="990"/>
      <c r="K4300" s="990"/>
      <c r="L4300" s="990"/>
      <c r="M4300" s="990"/>
      <c r="N4300" s="990"/>
      <c r="O4300" s="990"/>
      <c r="P4300" s="990"/>
      <c r="Q4300" s="990"/>
      <c r="R4300" s="990"/>
      <c r="S4300" s="990"/>
      <c r="T4300" s="990"/>
      <c r="U4300" s="990"/>
      <c r="V4300" s="990"/>
      <c r="W4300" s="990"/>
      <c r="X4300" s="990"/>
    </row>
    <row r="4301" spans="1:24" s="896" customFormat="1">
      <c r="A4301" s="987">
        <f t="shared" si="68"/>
        <v>4227</v>
      </c>
      <c r="B4301" s="988">
        <v>39325</v>
      </c>
      <c r="C4301" s="899" t="s">
        <v>13627</v>
      </c>
      <c r="D4301" s="988" t="s">
        <v>2666</v>
      </c>
      <c r="E4301" s="989">
        <v>16.510000000000002</v>
      </c>
      <c r="F4301" s="990"/>
      <c r="G4301" s="990"/>
      <c r="H4301" s="990"/>
      <c r="I4301" s="990"/>
      <c r="J4301" s="990"/>
      <c r="K4301" s="990"/>
      <c r="L4301" s="990"/>
      <c r="M4301" s="990"/>
      <c r="N4301" s="990"/>
      <c r="O4301" s="990"/>
      <c r="P4301" s="990"/>
      <c r="Q4301" s="990"/>
      <c r="R4301" s="990"/>
      <c r="S4301" s="990"/>
      <c r="T4301" s="990"/>
      <c r="U4301" s="990"/>
      <c r="V4301" s="990"/>
      <c r="W4301" s="990"/>
      <c r="X4301" s="990"/>
    </row>
    <row r="4302" spans="1:24" s="896" customFormat="1">
      <c r="A4302" s="987">
        <f t="shared" si="68"/>
        <v>4228</v>
      </c>
      <c r="B4302" s="988">
        <v>39326</v>
      </c>
      <c r="C4302" s="899" t="s">
        <v>13628</v>
      </c>
      <c r="D4302" s="988" t="s">
        <v>2666</v>
      </c>
      <c r="E4302" s="989">
        <v>42.52</v>
      </c>
      <c r="F4302" s="990"/>
      <c r="G4302" s="990"/>
      <c r="H4302" s="990"/>
      <c r="I4302" s="990"/>
      <c r="J4302" s="990"/>
      <c r="K4302" s="990"/>
      <c r="L4302" s="990"/>
      <c r="M4302" s="990"/>
      <c r="N4302" s="990"/>
      <c r="O4302" s="990"/>
      <c r="P4302" s="990"/>
      <c r="Q4302" s="990"/>
      <c r="R4302" s="990"/>
      <c r="S4302" s="990"/>
      <c r="T4302" s="990"/>
      <c r="U4302" s="990"/>
      <c r="V4302" s="990"/>
      <c r="W4302" s="990"/>
      <c r="X4302" s="990"/>
    </row>
    <row r="4303" spans="1:24" s="896" customFormat="1">
      <c r="A4303" s="987">
        <f t="shared" si="68"/>
        <v>4229</v>
      </c>
      <c r="B4303" s="988">
        <v>39327</v>
      </c>
      <c r="C4303" s="899" t="s">
        <v>13629</v>
      </c>
      <c r="D4303" s="988" t="s">
        <v>2666</v>
      </c>
      <c r="E4303" s="989">
        <v>64.41</v>
      </c>
      <c r="F4303" s="990"/>
      <c r="G4303" s="990"/>
      <c r="H4303" s="990"/>
      <c r="I4303" s="990"/>
      <c r="J4303" s="990"/>
      <c r="K4303" s="990"/>
      <c r="L4303" s="990"/>
      <c r="M4303" s="990"/>
      <c r="N4303" s="990"/>
      <c r="O4303" s="990"/>
      <c r="P4303" s="990"/>
      <c r="Q4303" s="990"/>
      <c r="R4303" s="990"/>
      <c r="S4303" s="990"/>
      <c r="T4303" s="990"/>
      <c r="U4303" s="990"/>
      <c r="V4303" s="990"/>
      <c r="W4303" s="990"/>
      <c r="X4303" s="990"/>
    </row>
    <row r="4304" spans="1:24" s="896" customFormat="1" ht="25.5">
      <c r="A4304" s="987">
        <f t="shared" si="68"/>
        <v>4230</v>
      </c>
      <c r="B4304" s="988">
        <v>20176</v>
      </c>
      <c r="C4304" s="899" t="s">
        <v>13630</v>
      </c>
      <c r="D4304" s="988" t="s">
        <v>2666</v>
      </c>
      <c r="E4304" s="989">
        <v>61.45</v>
      </c>
      <c r="F4304" s="990"/>
      <c r="G4304" s="990"/>
      <c r="H4304" s="990"/>
      <c r="I4304" s="990"/>
      <c r="J4304" s="990"/>
      <c r="K4304" s="990"/>
      <c r="L4304" s="990"/>
      <c r="M4304" s="990"/>
      <c r="N4304" s="990"/>
      <c r="O4304" s="990"/>
      <c r="P4304" s="990"/>
      <c r="Q4304" s="990"/>
      <c r="R4304" s="990"/>
      <c r="S4304" s="990"/>
      <c r="T4304" s="990"/>
      <c r="U4304" s="990"/>
      <c r="V4304" s="990"/>
      <c r="W4304" s="990"/>
      <c r="X4304" s="990"/>
    </row>
    <row r="4305" spans="1:24" s="896" customFormat="1" ht="25.5">
      <c r="A4305" s="987">
        <f t="shared" si="68"/>
        <v>4231</v>
      </c>
      <c r="B4305" s="988">
        <v>11378</v>
      </c>
      <c r="C4305" s="899" t="s">
        <v>13631</v>
      </c>
      <c r="D4305" s="988" t="s">
        <v>2666</v>
      </c>
      <c r="E4305" s="989">
        <v>112.33</v>
      </c>
      <c r="F4305" s="990"/>
      <c r="G4305" s="990"/>
      <c r="H4305" s="990"/>
      <c r="I4305" s="990"/>
      <c r="J4305" s="990"/>
      <c r="K4305" s="990"/>
      <c r="L4305" s="990"/>
      <c r="M4305" s="990"/>
      <c r="N4305" s="990"/>
      <c r="O4305" s="990"/>
      <c r="P4305" s="990"/>
      <c r="Q4305" s="990"/>
      <c r="R4305" s="990"/>
      <c r="S4305" s="990"/>
      <c r="T4305" s="990"/>
      <c r="U4305" s="990"/>
      <c r="V4305" s="990"/>
      <c r="W4305" s="990"/>
      <c r="X4305" s="990"/>
    </row>
    <row r="4306" spans="1:24" s="896" customFormat="1" ht="25.5">
      <c r="A4306" s="987">
        <f t="shared" si="68"/>
        <v>4232</v>
      </c>
      <c r="B4306" s="988">
        <v>11379</v>
      </c>
      <c r="C4306" s="899" t="s">
        <v>13632</v>
      </c>
      <c r="D4306" s="988" t="s">
        <v>2666</v>
      </c>
      <c r="E4306" s="989">
        <v>94.92</v>
      </c>
      <c r="F4306" s="990"/>
      <c r="G4306" s="990"/>
      <c r="H4306" s="990"/>
      <c r="I4306" s="990"/>
      <c r="J4306" s="990"/>
      <c r="K4306" s="990"/>
      <c r="L4306" s="990"/>
      <c r="M4306" s="990"/>
      <c r="N4306" s="990"/>
      <c r="O4306" s="990"/>
      <c r="P4306" s="990"/>
      <c r="Q4306" s="990"/>
      <c r="R4306" s="990"/>
      <c r="S4306" s="990"/>
      <c r="T4306" s="990"/>
      <c r="U4306" s="990"/>
      <c r="V4306" s="990"/>
      <c r="W4306" s="990"/>
      <c r="X4306" s="990"/>
    </row>
    <row r="4307" spans="1:24" s="896" customFormat="1" ht="25.5">
      <c r="A4307" s="987">
        <f t="shared" si="68"/>
        <v>4233</v>
      </c>
      <c r="B4307" s="988">
        <v>11493</v>
      </c>
      <c r="C4307" s="899" t="s">
        <v>13633</v>
      </c>
      <c r="D4307" s="988" t="s">
        <v>2666</v>
      </c>
      <c r="E4307" s="989">
        <v>54.75</v>
      </c>
      <c r="F4307" s="990"/>
      <c r="G4307" s="990"/>
      <c r="H4307" s="990"/>
      <c r="I4307" s="990"/>
      <c r="J4307" s="990"/>
      <c r="K4307" s="990"/>
      <c r="L4307" s="990"/>
      <c r="M4307" s="990"/>
      <c r="N4307" s="990"/>
      <c r="O4307" s="990"/>
      <c r="P4307" s="990"/>
      <c r="Q4307" s="990"/>
      <c r="R4307" s="990"/>
      <c r="S4307" s="990"/>
      <c r="T4307" s="990"/>
      <c r="U4307" s="990"/>
      <c r="V4307" s="990"/>
      <c r="W4307" s="990"/>
      <c r="X4307" s="990"/>
    </row>
    <row r="4308" spans="1:24" s="896" customFormat="1" ht="25.5">
      <c r="A4308" s="987">
        <f t="shared" si="68"/>
        <v>4234</v>
      </c>
      <c r="B4308" s="988">
        <v>42717</v>
      </c>
      <c r="C4308" s="899" t="s">
        <v>13634</v>
      </c>
      <c r="D4308" s="988" t="s">
        <v>2666</v>
      </c>
      <c r="E4308" s="989">
        <v>512.20000000000005</v>
      </c>
      <c r="F4308" s="990"/>
      <c r="G4308" s="990"/>
      <c r="H4308" s="990"/>
      <c r="I4308" s="990"/>
      <c r="J4308" s="990"/>
      <c r="K4308" s="990"/>
      <c r="L4308" s="990"/>
      <c r="M4308" s="990"/>
      <c r="N4308" s="990"/>
      <c r="O4308" s="990"/>
      <c r="P4308" s="990"/>
      <c r="Q4308" s="990"/>
      <c r="R4308" s="990"/>
      <c r="S4308" s="990"/>
      <c r="T4308" s="990"/>
      <c r="U4308" s="990"/>
      <c r="V4308" s="990"/>
      <c r="W4308" s="990"/>
      <c r="X4308" s="990"/>
    </row>
    <row r="4309" spans="1:24" s="896" customFormat="1" ht="25.5">
      <c r="A4309" s="987">
        <f t="shared" si="68"/>
        <v>4235</v>
      </c>
      <c r="B4309" s="988">
        <v>42718</v>
      </c>
      <c r="C4309" s="899" t="s">
        <v>13635</v>
      </c>
      <c r="D4309" s="988" t="s">
        <v>2666</v>
      </c>
      <c r="E4309" s="989">
        <v>568.65</v>
      </c>
      <c r="F4309" s="990"/>
      <c r="G4309" s="990"/>
      <c r="H4309" s="990"/>
      <c r="I4309" s="990"/>
      <c r="J4309" s="990"/>
      <c r="K4309" s="990"/>
      <c r="L4309" s="990"/>
      <c r="M4309" s="990"/>
      <c r="N4309" s="990"/>
      <c r="O4309" s="990"/>
      <c r="P4309" s="990"/>
      <c r="Q4309" s="990"/>
      <c r="R4309" s="990"/>
      <c r="S4309" s="990"/>
      <c r="T4309" s="990"/>
      <c r="U4309" s="990"/>
      <c r="V4309" s="990"/>
      <c r="W4309" s="990"/>
      <c r="X4309" s="990"/>
    </row>
    <row r="4310" spans="1:24" s="896" customFormat="1">
      <c r="A4310" s="987">
        <f t="shared" si="68"/>
        <v>4236</v>
      </c>
      <c r="B4310" s="988">
        <v>7106</v>
      </c>
      <c r="C4310" s="899" t="s">
        <v>13636</v>
      </c>
      <c r="D4310" s="988" t="s">
        <v>2666</v>
      </c>
      <c r="E4310" s="989">
        <v>201.37</v>
      </c>
      <c r="F4310" s="990"/>
      <c r="G4310" s="990"/>
      <c r="H4310" s="990"/>
      <c r="I4310" s="990"/>
      <c r="J4310" s="990"/>
      <c r="K4310" s="990"/>
      <c r="L4310" s="990"/>
      <c r="M4310" s="990"/>
      <c r="N4310" s="990"/>
      <c r="O4310" s="990"/>
      <c r="P4310" s="990"/>
      <c r="Q4310" s="990"/>
      <c r="R4310" s="990"/>
      <c r="S4310" s="990"/>
      <c r="T4310" s="990"/>
      <c r="U4310" s="990"/>
      <c r="V4310" s="990"/>
      <c r="W4310" s="990"/>
      <c r="X4310" s="990"/>
    </row>
    <row r="4311" spans="1:24" s="896" customFormat="1">
      <c r="A4311" s="987">
        <f t="shared" si="68"/>
        <v>4237</v>
      </c>
      <c r="B4311" s="988">
        <v>7104</v>
      </c>
      <c r="C4311" s="899" t="s">
        <v>13637</v>
      </c>
      <c r="D4311" s="988" t="s">
        <v>2666</v>
      </c>
      <c r="E4311" s="989">
        <v>4.2</v>
      </c>
      <c r="F4311" s="990"/>
      <c r="G4311" s="990"/>
      <c r="H4311" s="990"/>
      <c r="I4311" s="990"/>
      <c r="J4311" s="990"/>
      <c r="K4311" s="990"/>
      <c r="L4311" s="990"/>
      <c r="M4311" s="990"/>
      <c r="N4311" s="990"/>
      <c r="O4311" s="990"/>
      <c r="P4311" s="990"/>
      <c r="Q4311" s="990"/>
      <c r="R4311" s="990"/>
      <c r="S4311" s="990"/>
      <c r="T4311" s="990"/>
      <c r="U4311" s="990"/>
      <c r="V4311" s="990"/>
      <c r="W4311" s="990"/>
      <c r="X4311" s="990"/>
    </row>
    <row r="4312" spans="1:24" s="896" customFormat="1">
      <c r="A4312" s="987">
        <f t="shared" si="68"/>
        <v>4238</v>
      </c>
      <c r="B4312" s="988">
        <v>7136</v>
      </c>
      <c r="C4312" s="899" t="s">
        <v>13638</v>
      </c>
      <c r="D4312" s="988" t="s">
        <v>2666</v>
      </c>
      <c r="E4312" s="989">
        <v>7.89</v>
      </c>
      <c r="F4312" s="990"/>
      <c r="G4312" s="990"/>
      <c r="H4312" s="990"/>
      <c r="I4312" s="990"/>
      <c r="J4312" s="990"/>
      <c r="K4312" s="990"/>
      <c r="L4312" s="990"/>
      <c r="M4312" s="990"/>
      <c r="N4312" s="990"/>
      <c r="O4312" s="990"/>
      <c r="P4312" s="990"/>
      <c r="Q4312" s="990"/>
      <c r="R4312" s="990"/>
      <c r="S4312" s="990"/>
      <c r="T4312" s="990"/>
      <c r="U4312" s="990"/>
      <c r="V4312" s="990"/>
      <c r="W4312" s="990"/>
      <c r="X4312" s="990"/>
    </row>
    <row r="4313" spans="1:24" s="896" customFormat="1">
      <c r="A4313" s="987">
        <f t="shared" si="68"/>
        <v>4239</v>
      </c>
      <c r="B4313" s="988">
        <v>7128</v>
      </c>
      <c r="C4313" s="899" t="s">
        <v>13639</v>
      </c>
      <c r="D4313" s="988" t="s">
        <v>2666</v>
      </c>
      <c r="E4313" s="989">
        <v>12.93</v>
      </c>
      <c r="F4313" s="990"/>
      <c r="G4313" s="990"/>
      <c r="H4313" s="990"/>
      <c r="I4313" s="990"/>
      <c r="J4313" s="990"/>
      <c r="K4313" s="990"/>
      <c r="L4313" s="990"/>
      <c r="M4313" s="990"/>
      <c r="N4313" s="990"/>
      <c r="O4313" s="990"/>
      <c r="P4313" s="990"/>
      <c r="Q4313" s="990"/>
      <c r="R4313" s="990"/>
      <c r="S4313" s="990"/>
      <c r="T4313" s="990"/>
      <c r="U4313" s="990"/>
      <c r="V4313" s="990"/>
      <c r="W4313" s="990"/>
      <c r="X4313" s="990"/>
    </row>
    <row r="4314" spans="1:24" s="896" customFormat="1">
      <c r="A4314" s="987">
        <f t="shared" si="68"/>
        <v>4240</v>
      </c>
      <c r="B4314" s="988">
        <v>7108</v>
      </c>
      <c r="C4314" s="899" t="s">
        <v>13640</v>
      </c>
      <c r="D4314" s="988" t="s">
        <v>2666</v>
      </c>
      <c r="E4314" s="989">
        <v>13.84</v>
      </c>
      <c r="F4314" s="990"/>
      <c r="G4314" s="990"/>
      <c r="H4314" s="990"/>
      <c r="I4314" s="990"/>
      <c r="J4314" s="990"/>
      <c r="K4314" s="990"/>
      <c r="L4314" s="990"/>
      <c r="M4314" s="990"/>
      <c r="N4314" s="990"/>
      <c r="O4314" s="990"/>
      <c r="P4314" s="990"/>
      <c r="Q4314" s="990"/>
      <c r="R4314" s="990"/>
      <c r="S4314" s="990"/>
      <c r="T4314" s="990"/>
      <c r="U4314" s="990"/>
      <c r="V4314" s="990"/>
      <c r="W4314" s="990"/>
      <c r="X4314" s="990"/>
    </row>
    <row r="4315" spans="1:24" s="896" customFormat="1">
      <c r="A4315" s="987">
        <f t="shared" si="68"/>
        <v>4241</v>
      </c>
      <c r="B4315" s="988">
        <v>7129</v>
      </c>
      <c r="C4315" s="899" t="s">
        <v>13641</v>
      </c>
      <c r="D4315" s="988" t="s">
        <v>2666</v>
      </c>
      <c r="E4315" s="989">
        <v>11.5</v>
      </c>
      <c r="F4315" s="990"/>
      <c r="G4315" s="990"/>
      <c r="H4315" s="990"/>
      <c r="I4315" s="990"/>
      <c r="J4315" s="990"/>
      <c r="K4315" s="990"/>
      <c r="L4315" s="990"/>
      <c r="M4315" s="990"/>
      <c r="N4315" s="990"/>
      <c r="O4315" s="990"/>
      <c r="P4315" s="990"/>
      <c r="Q4315" s="990"/>
      <c r="R4315" s="990"/>
      <c r="S4315" s="990"/>
      <c r="T4315" s="990"/>
      <c r="U4315" s="990"/>
      <c r="V4315" s="990"/>
      <c r="W4315" s="990"/>
      <c r="X4315" s="990"/>
    </row>
    <row r="4316" spans="1:24" s="896" customFormat="1">
      <c r="A4316" s="987">
        <f t="shared" si="68"/>
        <v>4242</v>
      </c>
      <c r="B4316" s="988">
        <v>7130</v>
      </c>
      <c r="C4316" s="899" t="s">
        <v>13642</v>
      </c>
      <c r="D4316" s="988" t="s">
        <v>2666</v>
      </c>
      <c r="E4316" s="989">
        <v>18.760000000000002</v>
      </c>
      <c r="F4316" s="990"/>
      <c r="G4316" s="990"/>
      <c r="H4316" s="990"/>
      <c r="I4316" s="990"/>
      <c r="J4316" s="990"/>
      <c r="K4316" s="990"/>
      <c r="L4316" s="990"/>
      <c r="M4316" s="990"/>
      <c r="N4316" s="990"/>
      <c r="O4316" s="990"/>
      <c r="P4316" s="990"/>
      <c r="Q4316" s="990"/>
      <c r="R4316" s="990"/>
      <c r="S4316" s="990"/>
      <c r="T4316" s="990"/>
      <c r="U4316" s="990"/>
      <c r="V4316" s="990"/>
      <c r="W4316" s="990"/>
      <c r="X4316" s="990"/>
    </row>
    <row r="4317" spans="1:24" s="896" customFormat="1">
      <c r="A4317" s="987">
        <f t="shared" si="68"/>
        <v>4243</v>
      </c>
      <c r="B4317" s="988">
        <v>7131</v>
      </c>
      <c r="C4317" s="899" t="s">
        <v>13643</v>
      </c>
      <c r="D4317" s="988" t="s">
        <v>2666</v>
      </c>
      <c r="E4317" s="989">
        <v>23.01</v>
      </c>
      <c r="F4317" s="990"/>
      <c r="G4317" s="990"/>
      <c r="H4317" s="990"/>
      <c r="I4317" s="990"/>
      <c r="J4317" s="990"/>
      <c r="K4317" s="990"/>
      <c r="L4317" s="990"/>
      <c r="M4317" s="990"/>
      <c r="N4317" s="990"/>
      <c r="O4317" s="990"/>
      <c r="P4317" s="990"/>
      <c r="Q4317" s="990"/>
      <c r="R4317" s="990"/>
      <c r="S4317" s="990"/>
      <c r="T4317" s="990"/>
      <c r="U4317" s="990"/>
      <c r="V4317" s="990"/>
      <c r="W4317" s="990"/>
      <c r="X4317" s="990"/>
    </row>
    <row r="4318" spans="1:24" s="896" customFormat="1">
      <c r="A4318" s="987">
        <f t="shared" si="68"/>
        <v>4244</v>
      </c>
      <c r="B4318" s="988">
        <v>7132</v>
      </c>
      <c r="C4318" s="899" t="s">
        <v>13644</v>
      </c>
      <c r="D4318" s="988" t="s">
        <v>2666</v>
      </c>
      <c r="E4318" s="989">
        <v>63.9</v>
      </c>
      <c r="F4318" s="990"/>
      <c r="G4318" s="990"/>
      <c r="H4318" s="990"/>
      <c r="I4318" s="990"/>
      <c r="J4318" s="990"/>
      <c r="K4318" s="990"/>
      <c r="L4318" s="990"/>
      <c r="M4318" s="990"/>
      <c r="N4318" s="990"/>
      <c r="O4318" s="990"/>
      <c r="P4318" s="990"/>
      <c r="Q4318" s="990"/>
      <c r="R4318" s="990"/>
      <c r="S4318" s="990"/>
      <c r="T4318" s="990"/>
      <c r="U4318" s="990"/>
      <c r="V4318" s="990"/>
      <c r="W4318" s="990"/>
      <c r="X4318" s="990"/>
    </row>
    <row r="4319" spans="1:24" s="896" customFormat="1">
      <c r="A4319" s="987">
        <f t="shared" si="68"/>
        <v>4245</v>
      </c>
      <c r="B4319" s="988">
        <v>7133</v>
      </c>
      <c r="C4319" s="899" t="s">
        <v>13645</v>
      </c>
      <c r="D4319" s="988" t="s">
        <v>2666</v>
      </c>
      <c r="E4319" s="989">
        <v>99.25</v>
      </c>
      <c r="F4319" s="990"/>
      <c r="G4319" s="990"/>
      <c r="H4319" s="990"/>
      <c r="I4319" s="990"/>
      <c r="J4319" s="990"/>
      <c r="K4319" s="990"/>
      <c r="L4319" s="990"/>
      <c r="M4319" s="990"/>
      <c r="N4319" s="990"/>
      <c r="O4319" s="990"/>
      <c r="P4319" s="990"/>
      <c r="Q4319" s="990"/>
      <c r="R4319" s="990"/>
      <c r="S4319" s="990"/>
      <c r="T4319" s="990"/>
      <c r="U4319" s="990"/>
      <c r="V4319" s="990"/>
      <c r="W4319" s="990"/>
      <c r="X4319" s="990"/>
    </row>
    <row r="4320" spans="1:24" s="896" customFormat="1" ht="25.5">
      <c r="A4320" s="987">
        <f t="shared" si="68"/>
        <v>4246</v>
      </c>
      <c r="B4320" s="988">
        <v>37420</v>
      </c>
      <c r="C4320" s="899" t="s">
        <v>13646</v>
      </c>
      <c r="D4320" s="988" t="s">
        <v>2666</v>
      </c>
      <c r="E4320" s="989">
        <v>48.01</v>
      </c>
      <c r="F4320" s="990"/>
      <c r="G4320" s="990"/>
      <c r="H4320" s="990"/>
      <c r="I4320" s="990"/>
      <c r="J4320" s="990"/>
      <c r="K4320" s="990"/>
      <c r="L4320" s="990"/>
      <c r="M4320" s="990"/>
      <c r="N4320" s="990"/>
      <c r="O4320" s="990"/>
      <c r="P4320" s="990"/>
      <c r="Q4320" s="990"/>
      <c r="R4320" s="990"/>
      <c r="S4320" s="990"/>
      <c r="T4320" s="990"/>
      <c r="U4320" s="990"/>
      <c r="V4320" s="990"/>
      <c r="W4320" s="990"/>
      <c r="X4320" s="990"/>
    </row>
    <row r="4321" spans="1:24" s="896" customFormat="1" ht="25.5">
      <c r="A4321" s="987">
        <f t="shared" si="68"/>
        <v>4247</v>
      </c>
      <c r="B4321" s="988">
        <v>37421</v>
      </c>
      <c r="C4321" s="899" t="s">
        <v>13647</v>
      </c>
      <c r="D4321" s="988" t="s">
        <v>2666</v>
      </c>
      <c r="E4321" s="989">
        <v>65.62</v>
      </c>
      <c r="F4321" s="990"/>
      <c r="G4321" s="990"/>
      <c r="H4321" s="990"/>
      <c r="I4321" s="990"/>
      <c r="J4321" s="990"/>
      <c r="K4321" s="990"/>
      <c r="L4321" s="990"/>
      <c r="M4321" s="990"/>
      <c r="N4321" s="990"/>
      <c r="O4321" s="990"/>
      <c r="P4321" s="990"/>
      <c r="Q4321" s="990"/>
      <c r="R4321" s="990"/>
      <c r="S4321" s="990"/>
      <c r="T4321" s="990"/>
      <c r="U4321" s="990"/>
      <c r="V4321" s="990"/>
      <c r="W4321" s="990"/>
      <c r="X4321" s="990"/>
    </row>
    <row r="4322" spans="1:24" s="896" customFormat="1" ht="25.5">
      <c r="A4322" s="987">
        <f t="shared" si="68"/>
        <v>4248</v>
      </c>
      <c r="B4322" s="988">
        <v>37422</v>
      </c>
      <c r="C4322" s="899" t="s">
        <v>13648</v>
      </c>
      <c r="D4322" s="988" t="s">
        <v>2666</v>
      </c>
      <c r="E4322" s="989">
        <v>61.42</v>
      </c>
      <c r="F4322" s="990"/>
      <c r="G4322" s="990"/>
      <c r="H4322" s="990"/>
      <c r="I4322" s="990"/>
      <c r="J4322" s="990"/>
      <c r="K4322" s="990"/>
      <c r="L4322" s="990"/>
      <c r="M4322" s="990"/>
      <c r="N4322" s="990"/>
      <c r="O4322" s="990"/>
      <c r="P4322" s="990"/>
      <c r="Q4322" s="990"/>
      <c r="R4322" s="990"/>
      <c r="S4322" s="990"/>
      <c r="T4322" s="990"/>
      <c r="U4322" s="990"/>
      <c r="V4322" s="990"/>
      <c r="W4322" s="990"/>
      <c r="X4322" s="990"/>
    </row>
    <row r="4323" spans="1:24" s="896" customFormat="1">
      <c r="A4323" s="987">
        <f t="shared" si="68"/>
        <v>4249</v>
      </c>
      <c r="B4323" s="988">
        <v>37443</v>
      </c>
      <c r="C4323" s="899" t="s">
        <v>13649</v>
      </c>
      <c r="D4323" s="988" t="s">
        <v>2666</v>
      </c>
      <c r="E4323" s="989">
        <v>210.18</v>
      </c>
      <c r="F4323" s="990"/>
      <c r="G4323" s="990"/>
      <c r="H4323" s="990"/>
      <c r="I4323" s="990"/>
      <c r="J4323" s="990"/>
      <c r="K4323" s="990"/>
      <c r="L4323" s="990"/>
      <c r="M4323" s="990"/>
      <c r="N4323" s="990"/>
      <c r="O4323" s="990"/>
      <c r="P4323" s="990"/>
      <c r="Q4323" s="990"/>
      <c r="R4323" s="990"/>
      <c r="S4323" s="990"/>
      <c r="T4323" s="990"/>
      <c r="U4323" s="990"/>
      <c r="V4323" s="990"/>
      <c r="W4323" s="990"/>
      <c r="X4323" s="990"/>
    </row>
    <row r="4324" spans="1:24" s="896" customFormat="1">
      <c r="A4324" s="987">
        <f t="shared" si="68"/>
        <v>4250</v>
      </c>
      <c r="B4324" s="988">
        <v>37444</v>
      </c>
      <c r="C4324" s="899" t="s">
        <v>13650</v>
      </c>
      <c r="D4324" s="988" t="s">
        <v>2666</v>
      </c>
      <c r="E4324" s="989">
        <v>213.75</v>
      </c>
      <c r="F4324" s="990"/>
      <c r="G4324" s="990"/>
      <c r="H4324" s="990"/>
      <c r="I4324" s="990"/>
      <c r="J4324" s="990"/>
      <c r="K4324" s="990"/>
      <c r="L4324" s="990"/>
      <c r="M4324" s="990"/>
      <c r="N4324" s="990"/>
      <c r="O4324" s="990"/>
      <c r="P4324" s="990"/>
      <c r="Q4324" s="990"/>
      <c r="R4324" s="990"/>
      <c r="S4324" s="990"/>
      <c r="T4324" s="990"/>
      <c r="U4324" s="990"/>
      <c r="V4324" s="990"/>
      <c r="W4324" s="990"/>
      <c r="X4324" s="990"/>
    </row>
    <row r="4325" spans="1:24" s="896" customFormat="1">
      <c r="A4325" s="987">
        <f t="shared" si="68"/>
        <v>4251</v>
      </c>
      <c r="B4325" s="988">
        <v>37445</v>
      </c>
      <c r="C4325" s="899" t="s">
        <v>13651</v>
      </c>
      <c r="D4325" s="988" t="s">
        <v>2666</v>
      </c>
      <c r="E4325" s="989">
        <v>323.98</v>
      </c>
      <c r="F4325" s="990"/>
      <c r="G4325" s="990"/>
      <c r="H4325" s="990"/>
      <c r="I4325" s="990"/>
      <c r="J4325" s="990"/>
      <c r="K4325" s="990"/>
      <c r="L4325" s="990"/>
      <c r="M4325" s="990"/>
      <c r="N4325" s="990"/>
      <c r="O4325" s="990"/>
      <c r="P4325" s="990"/>
      <c r="Q4325" s="990"/>
      <c r="R4325" s="990"/>
      <c r="S4325" s="990"/>
      <c r="T4325" s="990"/>
      <c r="U4325" s="990"/>
      <c r="V4325" s="990"/>
      <c r="W4325" s="990"/>
      <c r="X4325" s="990"/>
    </row>
    <row r="4326" spans="1:24" s="896" customFormat="1">
      <c r="A4326" s="987">
        <f t="shared" si="68"/>
        <v>4252</v>
      </c>
      <c r="B4326" s="988">
        <v>37446</v>
      </c>
      <c r="C4326" s="899" t="s">
        <v>13652</v>
      </c>
      <c r="D4326" s="988" t="s">
        <v>2666</v>
      </c>
      <c r="E4326" s="989">
        <v>353.19</v>
      </c>
      <c r="F4326" s="990"/>
      <c r="G4326" s="990"/>
      <c r="H4326" s="990"/>
      <c r="I4326" s="990"/>
      <c r="J4326" s="990"/>
      <c r="K4326" s="990"/>
      <c r="L4326" s="990"/>
      <c r="M4326" s="990"/>
      <c r="N4326" s="990"/>
      <c r="O4326" s="990"/>
      <c r="P4326" s="990"/>
      <c r="Q4326" s="990"/>
      <c r="R4326" s="990"/>
      <c r="S4326" s="990"/>
      <c r="T4326" s="990"/>
      <c r="U4326" s="990"/>
      <c r="V4326" s="990"/>
      <c r="W4326" s="990"/>
      <c r="X4326" s="990"/>
    </row>
    <row r="4327" spans="1:24" s="896" customFormat="1">
      <c r="A4327" s="987">
        <f t="shared" si="68"/>
        <v>4253</v>
      </c>
      <c r="B4327" s="988">
        <v>37447</v>
      </c>
      <c r="C4327" s="899" t="s">
        <v>13653</v>
      </c>
      <c r="D4327" s="988" t="s">
        <v>2666</v>
      </c>
      <c r="E4327" s="989">
        <v>358.72</v>
      </c>
      <c r="F4327" s="990"/>
      <c r="G4327" s="990"/>
      <c r="H4327" s="990"/>
      <c r="I4327" s="990"/>
      <c r="J4327" s="990"/>
      <c r="K4327" s="990"/>
      <c r="L4327" s="990"/>
      <c r="M4327" s="990"/>
      <c r="N4327" s="990"/>
      <c r="O4327" s="990"/>
      <c r="P4327" s="990"/>
      <c r="Q4327" s="990"/>
      <c r="R4327" s="990"/>
      <c r="S4327" s="990"/>
      <c r="T4327" s="990"/>
      <c r="U4327" s="990"/>
      <c r="V4327" s="990"/>
      <c r="W4327" s="990"/>
      <c r="X4327" s="990"/>
    </row>
    <row r="4328" spans="1:24" s="896" customFormat="1">
      <c r="A4328" s="987">
        <f t="shared" si="68"/>
        <v>4254</v>
      </c>
      <c r="B4328" s="988">
        <v>37448</v>
      </c>
      <c r="C4328" s="899" t="s">
        <v>13654</v>
      </c>
      <c r="D4328" s="988" t="s">
        <v>2666</v>
      </c>
      <c r="E4328" s="989">
        <v>492.04</v>
      </c>
      <c r="F4328" s="990"/>
      <c r="G4328" s="990"/>
      <c r="H4328" s="990"/>
      <c r="I4328" s="990"/>
      <c r="J4328" s="990"/>
      <c r="K4328" s="990"/>
      <c r="L4328" s="990"/>
      <c r="M4328" s="990"/>
      <c r="N4328" s="990"/>
      <c r="O4328" s="990"/>
      <c r="P4328" s="990"/>
      <c r="Q4328" s="990"/>
      <c r="R4328" s="990"/>
      <c r="S4328" s="990"/>
      <c r="T4328" s="990"/>
      <c r="U4328" s="990"/>
      <c r="V4328" s="990"/>
      <c r="W4328" s="990"/>
      <c r="X4328" s="990"/>
    </row>
    <row r="4329" spans="1:24" s="896" customFormat="1">
      <c r="A4329" s="987">
        <f t="shared" si="68"/>
        <v>4255</v>
      </c>
      <c r="B4329" s="988">
        <v>37440</v>
      </c>
      <c r="C4329" s="899" t="s">
        <v>13655</v>
      </c>
      <c r="D4329" s="988" t="s">
        <v>2666</v>
      </c>
      <c r="E4329" s="989">
        <v>166.83</v>
      </c>
      <c r="F4329" s="990"/>
      <c r="G4329" s="990"/>
      <c r="H4329" s="990"/>
      <c r="I4329" s="990"/>
      <c r="J4329" s="990"/>
      <c r="K4329" s="990"/>
      <c r="L4329" s="990"/>
      <c r="M4329" s="990"/>
      <c r="N4329" s="990"/>
      <c r="O4329" s="990"/>
      <c r="P4329" s="990"/>
      <c r="Q4329" s="990"/>
      <c r="R4329" s="990"/>
      <c r="S4329" s="990"/>
      <c r="T4329" s="990"/>
      <c r="U4329" s="990"/>
      <c r="V4329" s="990"/>
      <c r="W4329" s="990"/>
      <c r="X4329" s="990"/>
    </row>
    <row r="4330" spans="1:24" s="896" customFormat="1">
      <c r="A4330" s="987">
        <f t="shared" si="68"/>
        <v>4256</v>
      </c>
      <c r="B4330" s="988">
        <v>37441</v>
      </c>
      <c r="C4330" s="899" t="s">
        <v>13656</v>
      </c>
      <c r="D4330" s="988" t="s">
        <v>2666</v>
      </c>
      <c r="E4330" s="989">
        <v>166.83</v>
      </c>
      <c r="F4330" s="990"/>
      <c r="G4330" s="990"/>
      <c r="H4330" s="990"/>
      <c r="I4330" s="990"/>
      <c r="J4330" s="990"/>
      <c r="K4330" s="990"/>
      <c r="L4330" s="990"/>
      <c r="M4330" s="990"/>
      <c r="N4330" s="990"/>
      <c r="O4330" s="990"/>
      <c r="P4330" s="990"/>
      <c r="Q4330" s="990"/>
      <c r="R4330" s="990"/>
      <c r="S4330" s="990"/>
      <c r="T4330" s="990"/>
      <c r="U4330" s="990"/>
      <c r="V4330" s="990"/>
      <c r="W4330" s="990"/>
      <c r="X4330" s="990"/>
    </row>
    <row r="4331" spans="1:24" s="896" customFormat="1">
      <c r="A4331" s="987">
        <f t="shared" si="68"/>
        <v>4257</v>
      </c>
      <c r="B4331" s="988">
        <v>37442</v>
      </c>
      <c r="C4331" s="899" t="s">
        <v>13657</v>
      </c>
      <c r="D4331" s="988" t="s">
        <v>2666</v>
      </c>
      <c r="E4331" s="989">
        <v>200.93</v>
      </c>
      <c r="F4331" s="990"/>
      <c r="G4331" s="990"/>
      <c r="H4331" s="990"/>
      <c r="I4331" s="990"/>
      <c r="J4331" s="990"/>
      <c r="K4331" s="990"/>
      <c r="L4331" s="990"/>
      <c r="M4331" s="990"/>
      <c r="N4331" s="990"/>
      <c r="O4331" s="990"/>
      <c r="P4331" s="990"/>
      <c r="Q4331" s="990"/>
      <c r="R4331" s="990"/>
      <c r="S4331" s="990"/>
      <c r="T4331" s="990"/>
      <c r="U4331" s="990"/>
      <c r="V4331" s="990"/>
      <c r="W4331" s="990"/>
      <c r="X4331" s="990"/>
    </row>
    <row r="4332" spans="1:24" s="896" customFormat="1">
      <c r="A4332" s="987">
        <f t="shared" si="68"/>
        <v>4258</v>
      </c>
      <c r="B4332" s="988">
        <v>38017</v>
      </c>
      <c r="C4332" s="899" t="s">
        <v>13658</v>
      </c>
      <c r="D4332" s="988" t="s">
        <v>2666</v>
      </c>
      <c r="E4332" s="989">
        <v>15.52</v>
      </c>
      <c r="F4332" s="990"/>
      <c r="G4332" s="990"/>
      <c r="H4332" s="990"/>
      <c r="I4332" s="990"/>
      <c r="J4332" s="990"/>
      <c r="K4332" s="990"/>
      <c r="L4332" s="990"/>
      <c r="M4332" s="990"/>
      <c r="N4332" s="990"/>
      <c r="O4332" s="990"/>
      <c r="P4332" s="990"/>
      <c r="Q4332" s="990"/>
      <c r="R4332" s="990"/>
      <c r="S4332" s="990"/>
      <c r="T4332" s="990"/>
      <c r="U4332" s="990"/>
      <c r="V4332" s="990"/>
      <c r="W4332" s="990"/>
      <c r="X4332" s="990"/>
    </row>
    <row r="4333" spans="1:24" s="896" customFormat="1">
      <c r="A4333" s="987">
        <f t="shared" si="68"/>
        <v>4259</v>
      </c>
      <c r="B4333" s="988">
        <v>38018</v>
      </c>
      <c r="C4333" s="899" t="s">
        <v>13659</v>
      </c>
      <c r="D4333" s="988" t="s">
        <v>2666</v>
      </c>
      <c r="E4333" s="989">
        <v>17.12</v>
      </c>
      <c r="F4333" s="990"/>
      <c r="G4333" s="990"/>
      <c r="H4333" s="990"/>
      <c r="I4333" s="990"/>
      <c r="J4333" s="990"/>
      <c r="K4333" s="990"/>
      <c r="L4333" s="990"/>
      <c r="M4333" s="990"/>
      <c r="N4333" s="990"/>
      <c r="O4333" s="990"/>
      <c r="P4333" s="990"/>
      <c r="Q4333" s="990"/>
      <c r="R4333" s="990"/>
      <c r="S4333" s="990"/>
      <c r="T4333" s="990"/>
      <c r="U4333" s="990"/>
      <c r="V4333" s="990"/>
      <c r="W4333" s="990"/>
      <c r="X4333" s="990"/>
    </row>
    <row r="4334" spans="1:24" s="896" customFormat="1" ht="25.5">
      <c r="A4334" s="987">
        <f t="shared" si="68"/>
        <v>4260</v>
      </c>
      <c r="B4334" s="988">
        <v>39895</v>
      </c>
      <c r="C4334" s="899" t="s">
        <v>13660</v>
      </c>
      <c r="D4334" s="988" t="s">
        <v>2666</v>
      </c>
      <c r="E4334" s="989">
        <v>54.26</v>
      </c>
      <c r="F4334" s="990"/>
      <c r="G4334" s="990"/>
      <c r="H4334" s="990"/>
      <c r="I4334" s="990"/>
      <c r="J4334" s="990"/>
      <c r="K4334" s="990"/>
      <c r="L4334" s="990"/>
      <c r="M4334" s="990"/>
      <c r="N4334" s="990"/>
      <c r="O4334" s="990"/>
      <c r="P4334" s="990"/>
      <c r="Q4334" s="990"/>
      <c r="R4334" s="990"/>
      <c r="S4334" s="990"/>
      <c r="T4334" s="990"/>
      <c r="U4334" s="990"/>
      <c r="V4334" s="990"/>
      <c r="W4334" s="990"/>
      <c r="X4334" s="990"/>
    </row>
    <row r="4335" spans="1:24" s="896" customFormat="1" ht="25.5">
      <c r="A4335" s="987">
        <f t="shared" si="68"/>
        <v>4261</v>
      </c>
      <c r="B4335" s="988">
        <v>39896</v>
      </c>
      <c r="C4335" s="899" t="s">
        <v>13661</v>
      </c>
      <c r="D4335" s="988" t="s">
        <v>2666</v>
      </c>
      <c r="E4335" s="989">
        <v>79.52</v>
      </c>
      <c r="F4335" s="990"/>
      <c r="G4335" s="990"/>
      <c r="H4335" s="990"/>
      <c r="I4335" s="990"/>
      <c r="J4335" s="990"/>
      <c r="K4335" s="990"/>
      <c r="L4335" s="990"/>
      <c r="M4335" s="990"/>
      <c r="N4335" s="990"/>
      <c r="O4335" s="990"/>
      <c r="P4335" s="990"/>
      <c r="Q4335" s="990"/>
      <c r="R4335" s="990"/>
      <c r="S4335" s="990"/>
      <c r="T4335" s="990"/>
      <c r="U4335" s="990"/>
      <c r="V4335" s="990"/>
      <c r="W4335" s="990"/>
      <c r="X4335" s="990"/>
    </row>
    <row r="4336" spans="1:24" s="896" customFormat="1">
      <c r="A4336" s="987">
        <f t="shared" si="68"/>
        <v>4262</v>
      </c>
      <c r="B4336" s="988">
        <v>38873</v>
      </c>
      <c r="C4336" s="899" t="s">
        <v>13662</v>
      </c>
      <c r="D4336" s="988" t="s">
        <v>2666</v>
      </c>
      <c r="E4336" s="989">
        <v>13.41</v>
      </c>
      <c r="F4336" s="990"/>
      <c r="G4336" s="990"/>
      <c r="H4336" s="990"/>
      <c r="I4336" s="990"/>
      <c r="J4336" s="990"/>
      <c r="K4336" s="990"/>
      <c r="L4336" s="990"/>
      <c r="M4336" s="990"/>
      <c r="N4336" s="990"/>
      <c r="O4336" s="990"/>
      <c r="P4336" s="990"/>
      <c r="Q4336" s="990"/>
      <c r="R4336" s="990"/>
      <c r="S4336" s="990"/>
      <c r="T4336" s="990"/>
      <c r="U4336" s="990"/>
      <c r="V4336" s="990"/>
      <c r="W4336" s="990"/>
      <c r="X4336" s="990"/>
    </row>
    <row r="4337" spans="1:24" s="896" customFormat="1">
      <c r="A4337" s="987">
        <f t="shared" si="68"/>
        <v>4263</v>
      </c>
      <c r="B4337" s="988">
        <v>38874</v>
      </c>
      <c r="C4337" s="899" t="s">
        <v>13663</v>
      </c>
      <c r="D4337" s="988" t="s">
        <v>2666</v>
      </c>
      <c r="E4337" s="989">
        <v>16.3</v>
      </c>
      <c r="F4337" s="990"/>
      <c r="G4337" s="990"/>
      <c r="H4337" s="990"/>
      <c r="I4337" s="990"/>
      <c r="J4337" s="990"/>
      <c r="K4337" s="990"/>
      <c r="L4337" s="990"/>
      <c r="M4337" s="990"/>
      <c r="N4337" s="990"/>
      <c r="O4337" s="990"/>
      <c r="P4337" s="990"/>
      <c r="Q4337" s="990"/>
      <c r="R4337" s="990"/>
      <c r="S4337" s="990"/>
      <c r="T4337" s="990"/>
      <c r="U4337" s="990"/>
      <c r="V4337" s="990"/>
      <c r="W4337" s="990"/>
      <c r="X4337" s="990"/>
    </row>
    <row r="4338" spans="1:24" s="896" customFormat="1">
      <c r="A4338" s="987">
        <f t="shared" si="68"/>
        <v>4264</v>
      </c>
      <c r="B4338" s="988">
        <v>38875</v>
      </c>
      <c r="C4338" s="899" t="s">
        <v>13664</v>
      </c>
      <c r="D4338" s="988" t="s">
        <v>2666</v>
      </c>
      <c r="E4338" s="989">
        <v>28.82</v>
      </c>
      <c r="F4338" s="990"/>
      <c r="G4338" s="990"/>
      <c r="H4338" s="990"/>
      <c r="I4338" s="990"/>
      <c r="J4338" s="990"/>
      <c r="K4338" s="990"/>
      <c r="L4338" s="990"/>
      <c r="M4338" s="990"/>
      <c r="N4338" s="990"/>
      <c r="O4338" s="990"/>
      <c r="P4338" s="990"/>
      <c r="Q4338" s="990"/>
      <c r="R4338" s="990"/>
      <c r="S4338" s="990"/>
      <c r="T4338" s="990"/>
      <c r="U4338" s="990"/>
      <c r="V4338" s="990"/>
      <c r="W4338" s="990"/>
      <c r="X4338" s="990"/>
    </row>
    <row r="4339" spans="1:24" s="896" customFormat="1">
      <c r="A4339" s="987">
        <f t="shared" si="68"/>
        <v>4265</v>
      </c>
      <c r="B4339" s="988">
        <v>38876</v>
      </c>
      <c r="C4339" s="899" t="s">
        <v>13665</v>
      </c>
      <c r="D4339" s="988" t="s">
        <v>2666</v>
      </c>
      <c r="E4339" s="989">
        <v>38.78</v>
      </c>
      <c r="F4339" s="990"/>
      <c r="G4339" s="990"/>
      <c r="H4339" s="990"/>
      <c r="I4339" s="990"/>
      <c r="J4339" s="990"/>
      <c r="K4339" s="990"/>
      <c r="L4339" s="990"/>
      <c r="M4339" s="990"/>
      <c r="N4339" s="990"/>
      <c r="O4339" s="990"/>
      <c r="P4339" s="990"/>
      <c r="Q4339" s="990"/>
      <c r="R4339" s="990"/>
      <c r="S4339" s="990"/>
      <c r="T4339" s="990"/>
      <c r="U4339" s="990"/>
      <c r="V4339" s="990"/>
      <c r="W4339" s="990"/>
      <c r="X4339" s="990"/>
    </row>
    <row r="4340" spans="1:24" s="896" customFormat="1" ht="25.5">
      <c r="A4340" s="987">
        <f t="shared" si="68"/>
        <v>4266</v>
      </c>
      <c r="B4340" s="988">
        <v>39000</v>
      </c>
      <c r="C4340" s="899" t="s">
        <v>13666</v>
      </c>
      <c r="D4340" s="988" t="s">
        <v>2666</v>
      </c>
      <c r="E4340" s="989">
        <v>49.34</v>
      </c>
      <c r="F4340" s="990"/>
      <c r="G4340" s="990"/>
      <c r="H4340" s="990"/>
      <c r="I4340" s="990"/>
      <c r="J4340" s="990"/>
      <c r="K4340" s="990"/>
      <c r="L4340" s="990"/>
      <c r="M4340" s="990"/>
      <c r="N4340" s="990"/>
      <c r="O4340" s="990"/>
      <c r="P4340" s="990"/>
      <c r="Q4340" s="990"/>
      <c r="R4340" s="990"/>
      <c r="S4340" s="990"/>
      <c r="T4340" s="990"/>
      <c r="U4340" s="990"/>
      <c r="V4340" s="990"/>
      <c r="W4340" s="990"/>
      <c r="X4340" s="990"/>
    </row>
    <row r="4341" spans="1:24" s="896" customFormat="1">
      <c r="A4341" s="987">
        <f t="shared" si="68"/>
        <v>4267</v>
      </c>
      <c r="B4341" s="988">
        <v>38674</v>
      </c>
      <c r="C4341" s="899" t="s">
        <v>13667</v>
      </c>
      <c r="D4341" s="988" t="s">
        <v>2666</v>
      </c>
      <c r="E4341" s="989">
        <v>53.95</v>
      </c>
      <c r="F4341" s="990"/>
      <c r="G4341" s="990"/>
      <c r="H4341" s="990"/>
      <c r="I4341" s="990"/>
      <c r="J4341" s="990"/>
      <c r="K4341" s="990"/>
      <c r="L4341" s="990"/>
      <c r="M4341" s="990"/>
      <c r="N4341" s="990"/>
      <c r="O4341" s="990"/>
      <c r="P4341" s="990"/>
      <c r="Q4341" s="990"/>
      <c r="R4341" s="990"/>
      <c r="S4341" s="990"/>
      <c r="T4341" s="990"/>
      <c r="U4341" s="990"/>
      <c r="V4341" s="990"/>
      <c r="W4341" s="990"/>
      <c r="X4341" s="990"/>
    </row>
    <row r="4342" spans="1:24" s="896" customFormat="1" ht="25.5">
      <c r="A4342" s="987">
        <f t="shared" si="68"/>
        <v>4268</v>
      </c>
      <c r="B4342" s="988">
        <v>38911</v>
      </c>
      <c r="C4342" s="899" t="s">
        <v>13668</v>
      </c>
      <c r="D4342" s="988" t="s">
        <v>2666</v>
      </c>
      <c r="E4342" s="989">
        <v>48.09</v>
      </c>
      <c r="F4342" s="990"/>
      <c r="G4342" s="990"/>
      <c r="H4342" s="990"/>
      <c r="I4342" s="990"/>
      <c r="J4342" s="990"/>
      <c r="K4342" s="990"/>
      <c r="L4342" s="990"/>
      <c r="M4342" s="990"/>
      <c r="N4342" s="990"/>
      <c r="O4342" s="990"/>
      <c r="P4342" s="990"/>
      <c r="Q4342" s="990"/>
      <c r="R4342" s="990"/>
      <c r="S4342" s="990"/>
      <c r="T4342" s="990"/>
      <c r="U4342" s="990"/>
      <c r="V4342" s="990"/>
      <c r="W4342" s="990"/>
      <c r="X4342" s="990"/>
    </row>
    <row r="4343" spans="1:24" s="896" customFormat="1" ht="25.5">
      <c r="A4343" s="987">
        <f t="shared" si="68"/>
        <v>4269</v>
      </c>
      <c r="B4343" s="988">
        <v>38912</v>
      </c>
      <c r="C4343" s="899" t="s">
        <v>13669</v>
      </c>
      <c r="D4343" s="988" t="s">
        <v>2666</v>
      </c>
      <c r="E4343" s="989">
        <v>61.12</v>
      </c>
      <c r="F4343" s="990"/>
      <c r="G4343" s="990"/>
      <c r="H4343" s="990"/>
      <c r="I4343" s="990"/>
      <c r="J4343" s="990"/>
      <c r="K4343" s="990"/>
      <c r="L4343" s="990"/>
      <c r="M4343" s="990"/>
      <c r="N4343" s="990"/>
      <c r="O4343" s="990"/>
      <c r="P4343" s="990"/>
      <c r="Q4343" s="990"/>
      <c r="R4343" s="990"/>
      <c r="S4343" s="990"/>
      <c r="T4343" s="990"/>
      <c r="U4343" s="990"/>
      <c r="V4343" s="990"/>
      <c r="W4343" s="990"/>
      <c r="X4343" s="990"/>
    </row>
    <row r="4344" spans="1:24" s="896" customFormat="1">
      <c r="A4344" s="987">
        <f t="shared" si="68"/>
        <v>4270</v>
      </c>
      <c r="B4344" s="988">
        <v>38019</v>
      </c>
      <c r="C4344" s="899" t="s">
        <v>13670</v>
      </c>
      <c r="D4344" s="988" t="s">
        <v>2666</v>
      </c>
      <c r="E4344" s="989">
        <v>13.52</v>
      </c>
      <c r="F4344" s="990"/>
      <c r="G4344" s="990"/>
      <c r="H4344" s="990"/>
      <c r="I4344" s="990"/>
      <c r="J4344" s="990"/>
      <c r="K4344" s="990"/>
      <c r="L4344" s="990"/>
      <c r="M4344" s="990"/>
      <c r="N4344" s="990"/>
      <c r="O4344" s="990"/>
      <c r="P4344" s="990"/>
      <c r="Q4344" s="990"/>
      <c r="R4344" s="990"/>
      <c r="S4344" s="990"/>
      <c r="T4344" s="990"/>
      <c r="U4344" s="990"/>
      <c r="V4344" s="990"/>
      <c r="W4344" s="990"/>
      <c r="X4344" s="990"/>
    </row>
    <row r="4345" spans="1:24" s="896" customFormat="1">
      <c r="A4345" s="987">
        <f t="shared" si="68"/>
        <v>4271</v>
      </c>
      <c r="B4345" s="988">
        <v>38020</v>
      </c>
      <c r="C4345" s="899" t="s">
        <v>13671</v>
      </c>
      <c r="D4345" s="988" t="s">
        <v>2666</v>
      </c>
      <c r="E4345" s="989">
        <v>17.12</v>
      </c>
      <c r="F4345" s="990"/>
      <c r="G4345" s="990"/>
      <c r="H4345" s="990"/>
      <c r="I4345" s="990"/>
      <c r="J4345" s="990"/>
      <c r="K4345" s="990"/>
      <c r="L4345" s="990"/>
      <c r="M4345" s="990"/>
      <c r="N4345" s="990"/>
      <c r="O4345" s="990"/>
      <c r="P4345" s="990"/>
      <c r="Q4345" s="990"/>
      <c r="R4345" s="990"/>
      <c r="S4345" s="990"/>
      <c r="T4345" s="990"/>
      <c r="U4345" s="990"/>
      <c r="V4345" s="990"/>
      <c r="W4345" s="990"/>
      <c r="X4345" s="990"/>
    </row>
    <row r="4346" spans="1:24" s="896" customFormat="1">
      <c r="A4346" s="987">
        <f t="shared" si="68"/>
        <v>4272</v>
      </c>
      <c r="B4346" s="988">
        <v>38454</v>
      </c>
      <c r="C4346" s="899" t="s">
        <v>13672</v>
      </c>
      <c r="D4346" s="988" t="s">
        <v>2666</v>
      </c>
      <c r="E4346" s="989">
        <v>9</v>
      </c>
      <c r="F4346" s="990"/>
      <c r="G4346" s="990"/>
      <c r="H4346" s="990"/>
      <c r="I4346" s="990"/>
      <c r="J4346" s="990"/>
      <c r="K4346" s="990"/>
      <c r="L4346" s="990"/>
      <c r="M4346" s="990"/>
      <c r="N4346" s="990"/>
      <c r="O4346" s="990"/>
      <c r="P4346" s="990"/>
      <c r="Q4346" s="990"/>
      <c r="R4346" s="990"/>
      <c r="S4346" s="990"/>
      <c r="T4346" s="990"/>
      <c r="U4346" s="990"/>
      <c r="V4346" s="990"/>
      <c r="W4346" s="990"/>
      <c r="X4346" s="990"/>
    </row>
    <row r="4347" spans="1:24" s="896" customFormat="1">
      <c r="A4347" s="987">
        <f t="shared" si="68"/>
        <v>4273</v>
      </c>
      <c r="B4347" s="988">
        <v>38455</v>
      </c>
      <c r="C4347" s="899" t="s">
        <v>13673</v>
      </c>
      <c r="D4347" s="988" t="s">
        <v>2666</v>
      </c>
      <c r="E4347" s="989">
        <v>8.24</v>
      </c>
      <c r="F4347" s="990"/>
      <c r="G4347" s="990"/>
      <c r="H4347" s="990"/>
      <c r="I4347" s="990"/>
      <c r="J4347" s="990"/>
      <c r="K4347" s="990"/>
      <c r="L4347" s="990"/>
      <c r="M4347" s="990"/>
      <c r="N4347" s="990"/>
      <c r="O4347" s="990"/>
      <c r="P4347" s="990"/>
      <c r="Q4347" s="990"/>
      <c r="R4347" s="990"/>
      <c r="S4347" s="990"/>
      <c r="T4347" s="990"/>
      <c r="U4347" s="990"/>
      <c r="V4347" s="990"/>
      <c r="W4347" s="990"/>
      <c r="X4347" s="990"/>
    </row>
    <row r="4348" spans="1:24" s="896" customFormat="1" ht="25.5">
      <c r="A4348" s="987">
        <f t="shared" si="68"/>
        <v>4274</v>
      </c>
      <c r="B4348" s="988">
        <v>38462</v>
      </c>
      <c r="C4348" s="899" t="s">
        <v>13674</v>
      </c>
      <c r="D4348" s="988" t="s">
        <v>2666</v>
      </c>
      <c r="E4348" s="989">
        <v>232.69</v>
      </c>
      <c r="F4348" s="990"/>
      <c r="G4348" s="990"/>
      <c r="H4348" s="990"/>
      <c r="I4348" s="990"/>
      <c r="J4348" s="990"/>
      <c r="K4348" s="990"/>
      <c r="L4348" s="990"/>
      <c r="M4348" s="990"/>
      <c r="N4348" s="990"/>
      <c r="O4348" s="990"/>
      <c r="P4348" s="990"/>
      <c r="Q4348" s="990"/>
      <c r="R4348" s="990"/>
      <c r="S4348" s="990"/>
      <c r="T4348" s="990"/>
      <c r="U4348" s="990"/>
      <c r="V4348" s="990"/>
      <c r="W4348" s="990"/>
      <c r="X4348" s="990"/>
    </row>
    <row r="4349" spans="1:24" s="896" customFormat="1">
      <c r="A4349" s="987">
        <f t="shared" si="68"/>
        <v>4275</v>
      </c>
      <c r="B4349" s="988">
        <v>36362</v>
      </c>
      <c r="C4349" s="899" t="s">
        <v>13675</v>
      </c>
      <c r="D4349" s="988" t="s">
        <v>2666</v>
      </c>
      <c r="E4349" s="989">
        <v>3.54</v>
      </c>
      <c r="F4349" s="990"/>
      <c r="G4349" s="990"/>
      <c r="H4349" s="990"/>
      <c r="I4349" s="990"/>
      <c r="J4349" s="990"/>
      <c r="K4349" s="990"/>
      <c r="L4349" s="990"/>
      <c r="M4349" s="990"/>
      <c r="N4349" s="990"/>
      <c r="O4349" s="990"/>
      <c r="P4349" s="990"/>
      <c r="Q4349" s="990"/>
      <c r="R4349" s="990"/>
      <c r="S4349" s="990"/>
      <c r="T4349" s="990"/>
      <c r="U4349" s="990"/>
      <c r="V4349" s="990"/>
      <c r="W4349" s="990"/>
      <c r="X4349" s="990"/>
    </row>
    <row r="4350" spans="1:24" s="896" customFormat="1">
      <c r="A4350" s="987">
        <f t="shared" si="68"/>
        <v>4276</v>
      </c>
      <c r="B4350" s="988">
        <v>36298</v>
      </c>
      <c r="C4350" s="899" t="s">
        <v>13676</v>
      </c>
      <c r="D4350" s="988" t="s">
        <v>2666</v>
      </c>
      <c r="E4350" s="989">
        <v>5.25</v>
      </c>
      <c r="F4350" s="990"/>
      <c r="G4350" s="990"/>
      <c r="H4350" s="990"/>
      <c r="I4350" s="990"/>
      <c r="J4350" s="990"/>
      <c r="K4350" s="990"/>
      <c r="L4350" s="990"/>
      <c r="M4350" s="990"/>
      <c r="N4350" s="990"/>
      <c r="O4350" s="990"/>
      <c r="P4350" s="990"/>
      <c r="Q4350" s="990"/>
      <c r="R4350" s="990"/>
      <c r="S4350" s="990"/>
      <c r="T4350" s="990"/>
      <c r="U4350" s="990"/>
      <c r="V4350" s="990"/>
      <c r="W4350" s="990"/>
      <c r="X4350" s="990"/>
    </row>
    <row r="4351" spans="1:24" s="896" customFormat="1">
      <c r="A4351" s="987">
        <f t="shared" si="68"/>
        <v>4277</v>
      </c>
      <c r="B4351" s="988">
        <v>38456</v>
      </c>
      <c r="C4351" s="899" t="s">
        <v>13677</v>
      </c>
      <c r="D4351" s="988" t="s">
        <v>2666</v>
      </c>
      <c r="E4351" s="989">
        <v>8.56</v>
      </c>
      <c r="F4351" s="990"/>
      <c r="G4351" s="990"/>
      <c r="H4351" s="990"/>
      <c r="I4351" s="990"/>
      <c r="J4351" s="990"/>
      <c r="K4351" s="990"/>
      <c r="L4351" s="990"/>
      <c r="M4351" s="990"/>
      <c r="N4351" s="990"/>
      <c r="O4351" s="990"/>
      <c r="P4351" s="990"/>
      <c r="Q4351" s="990"/>
      <c r="R4351" s="990"/>
      <c r="S4351" s="990"/>
      <c r="T4351" s="990"/>
      <c r="U4351" s="990"/>
      <c r="V4351" s="990"/>
      <c r="W4351" s="990"/>
      <c r="X4351" s="990"/>
    </row>
    <row r="4352" spans="1:24" s="896" customFormat="1">
      <c r="A4352" s="987">
        <f t="shared" si="68"/>
        <v>4278</v>
      </c>
      <c r="B4352" s="988">
        <v>38457</v>
      </c>
      <c r="C4352" s="899" t="s">
        <v>13678</v>
      </c>
      <c r="D4352" s="988" t="s">
        <v>2666</v>
      </c>
      <c r="E4352" s="989">
        <v>19.29</v>
      </c>
      <c r="F4352" s="990"/>
      <c r="G4352" s="990"/>
      <c r="H4352" s="990"/>
      <c r="I4352" s="990"/>
      <c r="J4352" s="990"/>
      <c r="K4352" s="990"/>
      <c r="L4352" s="990"/>
      <c r="M4352" s="990"/>
      <c r="N4352" s="990"/>
      <c r="O4352" s="990"/>
      <c r="P4352" s="990"/>
      <c r="Q4352" s="990"/>
      <c r="R4352" s="990"/>
      <c r="S4352" s="990"/>
      <c r="T4352" s="990"/>
      <c r="U4352" s="990"/>
      <c r="V4352" s="990"/>
      <c r="W4352" s="990"/>
      <c r="X4352" s="990"/>
    </row>
    <row r="4353" spans="1:24" s="896" customFormat="1">
      <c r="A4353" s="987">
        <f t="shared" si="68"/>
        <v>4279</v>
      </c>
      <c r="B4353" s="988">
        <v>38458</v>
      </c>
      <c r="C4353" s="899" t="s">
        <v>13679</v>
      </c>
      <c r="D4353" s="988" t="s">
        <v>2666</v>
      </c>
      <c r="E4353" s="989">
        <v>25.86</v>
      </c>
      <c r="F4353" s="990"/>
      <c r="G4353" s="990"/>
      <c r="H4353" s="990"/>
      <c r="I4353" s="990"/>
      <c r="J4353" s="990"/>
      <c r="K4353" s="990"/>
      <c r="L4353" s="990"/>
      <c r="M4353" s="990"/>
      <c r="N4353" s="990"/>
      <c r="O4353" s="990"/>
      <c r="P4353" s="990"/>
      <c r="Q4353" s="990"/>
      <c r="R4353" s="990"/>
      <c r="S4353" s="990"/>
      <c r="T4353" s="990"/>
      <c r="U4353" s="990"/>
      <c r="V4353" s="990"/>
      <c r="W4353" s="990"/>
      <c r="X4353" s="990"/>
    </row>
    <row r="4354" spans="1:24" s="896" customFormat="1">
      <c r="A4354" s="987">
        <f t="shared" si="68"/>
        <v>4280</v>
      </c>
      <c r="B4354" s="988">
        <v>38459</v>
      </c>
      <c r="C4354" s="899" t="s">
        <v>13680</v>
      </c>
      <c r="D4354" s="988" t="s">
        <v>2666</v>
      </c>
      <c r="E4354" s="989">
        <v>45.64</v>
      </c>
      <c r="F4354" s="990"/>
      <c r="G4354" s="990"/>
      <c r="H4354" s="990"/>
      <c r="I4354" s="990"/>
      <c r="J4354" s="990"/>
      <c r="K4354" s="990"/>
      <c r="L4354" s="990"/>
      <c r="M4354" s="990"/>
      <c r="N4354" s="990"/>
      <c r="O4354" s="990"/>
      <c r="P4354" s="990"/>
      <c r="Q4354" s="990"/>
      <c r="R4354" s="990"/>
      <c r="S4354" s="990"/>
      <c r="T4354" s="990"/>
      <c r="U4354" s="990"/>
      <c r="V4354" s="990"/>
      <c r="W4354" s="990"/>
      <c r="X4354" s="990"/>
    </row>
    <row r="4355" spans="1:24" s="896" customFormat="1">
      <c r="A4355" s="987">
        <f t="shared" si="68"/>
        <v>4281</v>
      </c>
      <c r="B4355" s="988">
        <v>38460</v>
      </c>
      <c r="C4355" s="899" t="s">
        <v>13681</v>
      </c>
      <c r="D4355" s="988" t="s">
        <v>2666</v>
      </c>
      <c r="E4355" s="989">
        <v>95.32</v>
      </c>
      <c r="F4355" s="990"/>
      <c r="G4355" s="990"/>
      <c r="H4355" s="990"/>
      <c r="I4355" s="990"/>
      <c r="J4355" s="990"/>
      <c r="K4355" s="990"/>
      <c r="L4355" s="990"/>
      <c r="M4355" s="990"/>
      <c r="N4355" s="990"/>
      <c r="O4355" s="990"/>
      <c r="P4355" s="990"/>
      <c r="Q4355" s="990"/>
      <c r="R4355" s="990"/>
      <c r="S4355" s="990"/>
      <c r="T4355" s="990"/>
      <c r="U4355" s="990"/>
      <c r="V4355" s="990"/>
      <c r="W4355" s="990"/>
      <c r="X4355" s="990"/>
    </row>
    <row r="4356" spans="1:24" s="896" customFormat="1">
      <c r="A4356" s="987">
        <f t="shared" si="68"/>
        <v>4282</v>
      </c>
      <c r="B4356" s="988">
        <v>38461</v>
      </c>
      <c r="C4356" s="899" t="s">
        <v>13682</v>
      </c>
      <c r="D4356" s="988" t="s">
        <v>2666</v>
      </c>
      <c r="E4356" s="989">
        <v>145.41</v>
      </c>
      <c r="F4356" s="990"/>
      <c r="G4356" s="990"/>
      <c r="H4356" s="990"/>
      <c r="I4356" s="990"/>
      <c r="J4356" s="990"/>
      <c r="K4356" s="990"/>
      <c r="L4356" s="990"/>
      <c r="M4356" s="990"/>
      <c r="N4356" s="990"/>
      <c r="O4356" s="990"/>
      <c r="P4356" s="990"/>
      <c r="Q4356" s="990"/>
      <c r="R4356" s="990"/>
      <c r="S4356" s="990"/>
      <c r="T4356" s="990"/>
      <c r="U4356" s="990"/>
      <c r="V4356" s="990"/>
      <c r="W4356" s="990"/>
      <c r="X4356" s="990"/>
    </row>
    <row r="4357" spans="1:24" s="896" customFormat="1">
      <c r="A4357" s="987">
        <f t="shared" si="68"/>
        <v>4283</v>
      </c>
      <c r="B4357" s="988">
        <v>7094</v>
      </c>
      <c r="C4357" s="899" t="s">
        <v>13683</v>
      </c>
      <c r="D4357" s="988" t="s">
        <v>2666</v>
      </c>
      <c r="E4357" s="989">
        <v>14.51</v>
      </c>
      <c r="F4357" s="990"/>
      <c r="G4357" s="990"/>
      <c r="H4357" s="990"/>
      <c r="I4357" s="990"/>
      <c r="J4357" s="990"/>
      <c r="K4357" s="990"/>
      <c r="L4357" s="990"/>
      <c r="M4357" s="990"/>
      <c r="N4357" s="990"/>
      <c r="O4357" s="990"/>
      <c r="P4357" s="990"/>
      <c r="Q4357" s="990"/>
      <c r="R4357" s="990"/>
      <c r="S4357" s="990"/>
      <c r="T4357" s="990"/>
      <c r="U4357" s="990"/>
      <c r="V4357" s="990"/>
      <c r="W4357" s="990"/>
      <c r="X4357" s="990"/>
    </row>
    <row r="4358" spans="1:24" s="896" customFormat="1">
      <c r="A4358" s="987">
        <f t="shared" si="68"/>
        <v>4284</v>
      </c>
      <c r="B4358" s="988">
        <v>7116</v>
      </c>
      <c r="C4358" s="899" t="s">
        <v>13684</v>
      </c>
      <c r="D4358" s="988" t="s">
        <v>2666</v>
      </c>
      <c r="E4358" s="989">
        <v>4.59</v>
      </c>
      <c r="F4358" s="990"/>
      <c r="G4358" s="990"/>
      <c r="H4358" s="990"/>
      <c r="I4358" s="990"/>
      <c r="J4358" s="990"/>
      <c r="K4358" s="990"/>
      <c r="L4358" s="990"/>
      <c r="M4358" s="990"/>
      <c r="N4358" s="990"/>
      <c r="O4358" s="990"/>
      <c r="P4358" s="990"/>
      <c r="Q4358" s="990"/>
      <c r="R4358" s="990"/>
      <c r="S4358" s="990"/>
      <c r="T4358" s="990"/>
      <c r="U4358" s="990"/>
      <c r="V4358" s="990"/>
      <c r="W4358" s="990"/>
      <c r="X4358" s="990"/>
    </row>
    <row r="4359" spans="1:24" s="896" customFormat="1">
      <c r="A4359" s="987">
        <f t="shared" si="68"/>
        <v>4285</v>
      </c>
      <c r="B4359" s="988">
        <v>7118</v>
      </c>
      <c r="C4359" s="899" t="s">
        <v>13685</v>
      </c>
      <c r="D4359" s="988" t="s">
        <v>2666</v>
      </c>
      <c r="E4359" s="989">
        <v>32.020000000000003</v>
      </c>
      <c r="F4359" s="990"/>
      <c r="G4359" s="990"/>
      <c r="H4359" s="990"/>
      <c r="I4359" s="990"/>
      <c r="J4359" s="990"/>
      <c r="K4359" s="990"/>
      <c r="L4359" s="990"/>
      <c r="M4359" s="990"/>
      <c r="N4359" s="990"/>
      <c r="O4359" s="990"/>
      <c r="P4359" s="990"/>
      <c r="Q4359" s="990"/>
      <c r="R4359" s="990"/>
      <c r="S4359" s="990"/>
      <c r="T4359" s="990"/>
      <c r="U4359" s="990"/>
      <c r="V4359" s="990"/>
      <c r="W4359" s="990"/>
      <c r="X4359" s="990"/>
    </row>
    <row r="4360" spans="1:24" s="896" customFormat="1">
      <c r="A4360" s="987">
        <f t="shared" si="68"/>
        <v>4286</v>
      </c>
      <c r="B4360" s="988">
        <v>7117</v>
      </c>
      <c r="C4360" s="899" t="s">
        <v>13686</v>
      </c>
      <c r="D4360" s="988" t="s">
        <v>2666</v>
      </c>
      <c r="E4360" s="989">
        <v>28.47</v>
      </c>
      <c r="F4360" s="990"/>
      <c r="G4360" s="990"/>
      <c r="H4360" s="990"/>
      <c r="I4360" s="990"/>
      <c r="J4360" s="990"/>
      <c r="K4360" s="990"/>
      <c r="L4360" s="990"/>
      <c r="M4360" s="990"/>
      <c r="N4360" s="990"/>
      <c r="O4360" s="990"/>
      <c r="P4360" s="990"/>
      <c r="Q4360" s="990"/>
      <c r="R4360" s="990"/>
      <c r="S4360" s="990"/>
      <c r="T4360" s="990"/>
      <c r="U4360" s="990"/>
      <c r="V4360" s="990"/>
      <c r="W4360" s="990"/>
      <c r="X4360" s="990"/>
    </row>
    <row r="4361" spans="1:24" s="896" customFormat="1">
      <c r="A4361" s="987">
        <f t="shared" si="68"/>
        <v>4287</v>
      </c>
      <c r="B4361" s="988">
        <v>7098</v>
      </c>
      <c r="C4361" s="899" t="s">
        <v>13687</v>
      </c>
      <c r="D4361" s="988" t="s">
        <v>2666</v>
      </c>
      <c r="E4361" s="989">
        <v>3.97</v>
      </c>
      <c r="F4361" s="990"/>
      <c r="G4361" s="990"/>
      <c r="H4361" s="990"/>
      <c r="I4361" s="990"/>
      <c r="J4361" s="990"/>
      <c r="K4361" s="990"/>
      <c r="L4361" s="990"/>
      <c r="M4361" s="990"/>
      <c r="N4361" s="990"/>
      <c r="O4361" s="990"/>
      <c r="P4361" s="990"/>
      <c r="Q4361" s="990"/>
      <c r="R4361" s="990"/>
      <c r="S4361" s="990"/>
      <c r="T4361" s="990"/>
      <c r="U4361" s="990"/>
      <c r="V4361" s="990"/>
      <c r="W4361" s="990"/>
      <c r="X4361" s="990"/>
    </row>
    <row r="4362" spans="1:24" s="896" customFormat="1">
      <c r="A4362" s="987">
        <f t="shared" si="68"/>
        <v>4288</v>
      </c>
      <c r="B4362" s="988">
        <v>7110</v>
      </c>
      <c r="C4362" s="899" t="s">
        <v>13688</v>
      </c>
      <c r="D4362" s="988" t="s">
        <v>2666</v>
      </c>
      <c r="E4362" s="989">
        <v>69.63</v>
      </c>
      <c r="F4362" s="990"/>
      <c r="G4362" s="990"/>
      <c r="H4362" s="990"/>
      <c r="I4362" s="990"/>
      <c r="J4362" s="990"/>
      <c r="K4362" s="990"/>
      <c r="L4362" s="990"/>
      <c r="M4362" s="990"/>
      <c r="N4362" s="990"/>
      <c r="O4362" s="990"/>
      <c r="P4362" s="990"/>
      <c r="Q4362" s="990"/>
      <c r="R4362" s="990"/>
      <c r="S4362" s="990"/>
      <c r="T4362" s="990"/>
      <c r="U4362" s="990"/>
      <c r="V4362" s="990"/>
      <c r="W4362" s="990"/>
      <c r="X4362" s="990"/>
    </row>
    <row r="4363" spans="1:24" s="896" customFormat="1">
      <c r="A4363" s="987">
        <f t="shared" si="68"/>
        <v>4289</v>
      </c>
      <c r="B4363" s="988">
        <v>7123</v>
      </c>
      <c r="C4363" s="899" t="s">
        <v>13689</v>
      </c>
      <c r="D4363" s="988" t="s">
        <v>2666</v>
      </c>
      <c r="E4363" s="989">
        <v>5.1100000000000003</v>
      </c>
      <c r="F4363" s="990"/>
      <c r="G4363" s="990"/>
      <c r="H4363" s="990"/>
      <c r="I4363" s="990"/>
      <c r="J4363" s="990"/>
      <c r="K4363" s="990"/>
      <c r="L4363" s="990"/>
      <c r="M4363" s="990"/>
      <c r="N4363" s="990"/>
      <c r="O4363" s="990"/>
      <c r="P4363" s="990"/>
      <c r="Q4363" s="990"/>
      <c r="R4363" s="990"/>
      <c r="S4363" s="990"/>
      <c r="T4363" s="990"/>
      <c r="U4363" s="990"/>
      <c r="V4363" s="990"/>
      <c r="W4363" s="990"/>
      <c r="X4363" s="990"/>
    </row>
    <row r="4364" spans="1:24" s="896" customFormat="1" ht="25.5">
      <c r="A4364" s="987">
        <f t="shared" ref="A4364:A4427" si="69">A4363+1</f>
        <v>4290</v>
      </c>
      <c r="B4364" s="988">
        <v>7121</v>
      </c>
      <c r="C4364" s="899" t="s">
        <v>13690</v>
      </c>
      <c r="D4364" s="988" t="s">
        <v>2666</v>
      </c>
      <c r="E4364" s="989">
        <v>12.58</v>
      </c>
      <c r="F4364" s="990"/>
      <c r="G4364" s="990"/>
      <c r="H4364" s="990"/>
      <c r="I4364" s="990"/>
      <c r="J4364" s="990"/>
      <c r="K4364" s="990"/>
      <c r="L4364" s="990"/>
      <c r="M4364" s="990"/>
      <c r="N4364" s="990"/>
      <c r="O4364" s="990"/>
      <c r="P4364" s="990"/>
      <c r="Q4364" s="990"/>
      <c r="R4364" s="990"/>
      <c r="S4364" s="990"/>
      <c r="T4364" s="990"/>
      <c r="U4364" s="990"/>
      <c r="V4364" s="990"/>
      <c r="W4364" s="990"/>
      <c r="X4364" s="990"/>
    </row>
    <row r="4365" spans="1:24" s="896" customFormat="1" ht="25.5">
      <c r="A4365" s="987">
        <f t="shared" si="69"/>
        <v>4291</v>
      </c>
      <c r="B4365" s="988">
        <v>7137</v>
      </c>
      <c r="C4365" s="899" t="s">
        <v>13691</v>
      </c>
      <c r="D4365" s="988" t="s">
        <v>2666</v>
      </c>
      <c r="E4365" s="989">
        <v>11.32</v>
      </c>
      <c r="F4365" s="990"/>
      <c r="G4365" s="990"/>
      <c r="H4365" s="990"/>
      <c r="I4365" s="990"/>
      <c r="J4365" s="990"/>
      <c r="K4365" s="990"/>
      <c r="L4365" s="990"/>
      <c r="M4365" s="990"/>
      <c r="N4365" s="990"/>
      <c r="O4365" s="990"/>
      <c r="P4365" s="990"/>
      <c r="Q4365" s="990"/>
      <c r="R4365" s="990"/>
      <c r="S4365" s="990"/>
      <c r="T4365" s="990"/>
      <c r="U4365" s="990"/>
      <c r="V4365" s="990"/>
      <c r="W4365" s="990"/>
      <c r="X4365" s="990"/>
    </row>
    <row r="4366" spans="1:24" s="896" customFormat="1" ht="25.5">
      <c r="A4366" s="987">
        <f t="shared" si="69"/>
        <v>4292</v>
      </c>
      <c r="B4366" s="988">
        <v>7122</v>
      </c>
      <c r="C4366" s="899" t="s">
        <v>13692</v>
      </c>
      <c r="D4366" s="988" t="s">
        <v>2666</v>
      </c>
      <c r="E4366" s="989">
        <v>14.15</v>
      </c>
      <c r="F4366" s="990"/>
      <c r="G4366" s="990"/>
      <c r="H4366" s="990"/>
      <c r="I4366" s="990"/>
      <c r="J4366" s="990"/>
      <c r="K4366" s="990"/>
      <c r="L4366" s="990"/>
      <c r="M4366" s="990"/>
      <c r="N4366" s="990"/>
      <c r="O4366" s="990"/>
      <c r="P4366" s="990"/>
      <c r="Q4366" s="990"/>
      <c r="R4366" s="990"/>
      <c r="S4366" s="990"/>
      <c r="T4366" s="990"/>
      <c r="U4366" s="990"/>
      <c r="V4366" s="990"/>
      <c r="W4366" s="990"/>
      <c r="X4366" s="990"/>
    </row>
    <row r="4367" spans="1:24" s="896" customFormat="1" ht="25.5">
      <c r="A4367" s="987">
        <f t="shared" si="69"/>
        <v>4293</v>
      </c>
      <c r="B4367" s="988">
        <v>7114</v>
      </c>
      <c r="C4367" s="899" t="s">
        <v>13693</v>
      </c>
      <c r="D4367" s="988" t="s">
        <v>2666</v>
      </c>
      <c r="E4367" s="989">
        <v>21.82</v>
      </c>
      <c r="F4367" s="990"/>
      <c r="G4367" s="990"/>
      <c r="H4367" s="990"/>
      <c r="I4367" s="990"/>
      <c r="J4367" s="990"/>
      <c r="K4367" s="990"/>
      <c r="L4367" s="990"/>
      <c r="M4367" s="990"/>
      <c r="N4367" s="990"/>
      <c r="O4367" s="990"/>
      <c r="P4367" s="990"/>
      <c r="Q4367" s="990"/>
      <c r="R4367" s="990"/>
      <c r="S4367" s="990"/>
      <c r="T4367" s="990"/>
      <c r="U4367" s="990"/>
      <c r="V4367" s="990"/>
      <c r="W4367" s="990"/>
      <c r="X4367" s="990"/>
    </row>
    <row r="4368" spans="1:24" s="896" customFormat="1" ht="25.5">
      <c r="A4368" s="987">
        <f t="shared" si="69"/>
        <v>4294</v>
      </c>
      <c r="B4368" s="988">
        <v>7109</v>
      </c>
      <c r="C4368" s="899" t="s">
        <v>13694</v>
      </c>
      <c r="D4368" s="988" t="s">
        <v>2666</v>
      </c>
      <c r="E4368" s="989">
        <v>3.82</v>
      </c>
      <c r="F4368" s="990"/>
      <c r="G4368" s="990"/>
      <c r="H4368" s="990"/>
      <c r="I4368" s="990"/>
      <c r="J4368" s="990"/>
      <c r="K4368" s="990"/>
      <c r="L4368" s="990"/>
      <c r="M4368" s="990"/>
      <c r="N4368" s="990"/>
      <c r="O4368" s="990"/>
      <c r="P4368" s="990"/>
      <c r="Q4368" s="990"/>
      <c r="R4368" s="990"/>
      <c r="S4368" s="990"/>
      <c r="T4368" s="990"/>
      <c r="U4368" s="990"/>
      <c r="V4368" s="990"/>
      <c r="W4368" s="990"/>
      <c r="X4368" s="990"/>
    </row>
    <row r="4369" spans="1:24" s="896" customFormat="1" ht="25.5">
      <c r="A4369" s="987">
        <f t="shared" si="69"/>
        <v>4295</v>
      </c>
      <c r="B4369" s="988">
        <v>7135</v>
      </c>
      <c r="C4369" s="899" t="s">
        <v>13695</v>
      </c>
      <c r="D4369" s="988" t="s">
        <v>2666</v>
      </c>
      <c r="E4369" s="989">
        <v>5.96</v>
      </c>
      <c r="F4369" s="990"/>
      <c r="G4369" s="990"/>
      <c r="H4369" s="990"/>
      <c r="I4369" s="990"/>
      <c r="J4369" s="990"/>
      <c r="K4369" s="990"/>
      <c r="L4369" s="990"/>
      <c r="M4369" s="990"/>
      <c r="N4369" s="990"/>
      <c r="O4369" s="990"/>
      <c r="P4369" s="990"/>
      <c r="Q4369" s="990"/>
      <c r="R4369" s="990"/>
      <c r="S4369" s="990"/>
      <c r="T4369" s="990"/>
      <c r="U4369" s="990"/>
      <c r="V4369" s="990"/>
      <c r="W4369" s="990"/>
      <c r="X4369" s="990"/>
    </row>
    <row r="4370" spans="1:24" s="896" customFormat="1" ht="25.5">
      <c r="A4370" s="987">
        <f t="shared" si="69"/>
        <v>4296</v>
      </c>
      <c r="B4370" s="988">
        <v>37947</v>
      </c>
      <c r="C4370" s="899" t="s">
        <v>13696</v>
      </c>
      <c r="D4370" s="988" t="s">
        <v>2666</v>
      </c>
      <c r="E4370" s="989">
        <v>6.04</v>
      </c>
      <c r="F4370" s="990"/>
      <c r="G4370" s="990"/>
      <c r="H4370" s="990"/>
      <c r="I4370" s="990"/>
      <c r="J4370" s="990"/>
      <c r="K4370" s="990"/>
      <c r="L4370" s="990"/>
      <c r="M4370" s="990"/>
      <c r="N4370" s="990"/>
      <c r="O4370" s="990"/>
      <c r="P4370" s="990"/>
      <c r="Q4370" s="990"/>
      <c r="R4370" s="990"/>
      <c r="S4370" s="990"/>
      <c r="T4370" s="990"/>
      <c r="U4370" s="990"/>
      <c r="V4370" s="990"/>
      <c r="W4370" s="990"/>
      <c r="X4370" s="990"/>
    </row>
    <row r="4371" spans="1:24" s="896" customFormat="1" ht="25.5">
      <c r="A4371" s="987">
        <f t="shared" si="69"/>
        <v>4297</v>
      </c>
      <c r="B4371" s="988">
        <v>7103</v>
      </c>
      <c r="C4371" s="899" t="s">
        <v>13697</v>
      </c>
      <c r="D4371" s="988" t="s">
        <v>2666</v>
      </c>
      <c r="E4371" s="989">
        <v>13.84</v>
      </c>
      <c r="F4371" s="990"/>
      <c r="G4371" s="990"/>
      <c r="H4371" s="990"/>
      <c r="I4371" s="990"/>
      <c r="J4371" s="990"/>
      <c r="K4371" s="990"/>
      <c r="L4371" s="990"/>
      <c r="M4371" s="990"/>
      <c r="N4371" s="990"/>
      <c r="O4371" s="990"/>
      <c r="P4371" s="990"/>
      <c r="Q4371" s="990"/>
      <c r="R4371" s="990"/>
      <c r="S4371" s="990"/>
      <c r="T4371" s="990"/>
      <c r="U4371" s="990"/>
      <c r="V4371" s="990"/>
      <c r="W4371" s="990"/>
      <c r="X4371" s="990"/>
    </row>
    <row r="4372" spans="1:24" s="896" customFormat="1">
      <c r="A4372" s="987">
        <f t="shared" si="69"/>
        <v>4298</v>
      </c>
      <c r="B4372" s="988">
        <v>40419</v>
      </c>
      <c r="C4372" s="899" t="s">
        <v>13698</v>
      </c>
      <c r="D4372" s="988" t="s">
        <v>2666</v>
      </c>
      <c r="E4372" s="989">
        <v>41.89</v>
      </c>
      <c r="F4372" s="990"/>
      <c r="G4372" s="990"/>
      <c r="H4372" s="990"/>
      <c r="I4372" s="990"/>
      <c r="J4372" s="990"/>
      <c r="K4372" s="990"/>
      <c r="L4372" s="990"/>
      <c r="M4372" s="990"/>
      <c r="N4372" s="990"/>
      <c r="O4372" s="990"/>
      <c r="P4372" s="990"/>
      <c r="Q4372" s="990"/>
      <c r="R4372" s="990"/>
      <c r="S4372" s="990"/>
      <c r="T4372" s="990"/>
      <c r="U4372" s="990"/>
      <c r="V4372" s="990"/>
      <c r="W4372" s="990"/>
      <c r="X4372" s="990"/>
    </row>
    <row r="4373" spans="1:24" s="896" customFormat="1">
      <c r="A4373" s="987">
        <f t="shared" si="69"/>
        <v>4299</v>
      </c>
      <c r="B4373" s="988">
        <v>40420</v>
      </c>
      <c r="C4373" s="899" t="s">
        <v>13699</v>
      </c>
      <c r="D4373" s="988" t="s">
        <v>2666</v>
      </c>
      <c r="E4373" s="989">
        <v>61.11</v>
      </c>
      <c r="F4373" s="990"/>
      <c r="G4373" s="990"/>
      <c r="H4373" s="990"/>
      <c r="I4373" s="990"/>
      <c r="J4373" s="990"/>
      <c r="K4373" s="990"/>
      <c r="L4373" s="990"/>
      <c r="M4373" s="990"/>
      <c r="N4373" s="990"/>
      <c r="O4373" s="990"/>
      <c r="P4373" s="990"/>
      <c r="Q4373" s="990"/>
      <c r="R4373" s="990"/>
      <c r="S4373" s="990"/>
      <c r="T4373" s="990"/>
      <c r="U4373" s="990"/>
      <c r="V4373" s="990"/>
      <c r="W4373" s="990"/>
      <c r="X4373" s="990"/>
    </row>
    <row r="4374" spans="1:24" s="896" customFormat="1">
      <c r="A4374" s="987">
        <f t="shared" si="69"/>
        <v>4300</v>
      </c>
      <c r="B4374" s="988">
        <v>40421</v>
      </c>
      <c r="C4374" s="899" t="s">
        <v>13700</v>
      </c>
      <c r="D4374" s="988" t="s">
        <v>2666</v>
      </c>
      <c r="E4374" s="989">
        <v>65.06</v>
      </c>
      <c r="F4374" s="990"/>
      <c r="G4374" s="990"/>
      <c r="H4374" s="990"/>
      <c r="I4374" s="990"/>
      <c r="J4374" s="990"/>
      <c r="K4374" s="990"/>
      <c r="L4374" s="990"/>
      <c r="M4374" s="990"/>
      <c r="N4374" s="990"/>
      <c r="O4374" s="990"/>
      <c r="P4374" s="990"/>
      <c r="Q4374" s="990"/>
      <c r="R4374" s="990"/>
      <c r="S4374" s="990"/>
      <c r="T4374" s="990"/>
      <c r="U4374" s="990"/>
      <c r="V4374" s="990"/>
      <c r="W4374" s="990"/>
      <c r="X4374" s="990"/>
    </row>
    <row r="4375" spans="1:24" s="896" customFormat="1">
      <c r="A4375" s="987">
        <f t="shared" si="69"/>
        <v>4301</v>
      </c>
      <c r="B4375" s="988">
        <v>7126</v>
      </c>
      <c r="C4375" s="899" t="s">
        <v>13701</v>
      </c>
      <c r="D4375" s="988" t="s">
        <v>2666</v>
      </c>
      <c r="E4375" s="989">
        <v>29.05</v>
      </c>
      <c r="F4375" s="990"/>
      <c r="G4375" s="990"/>
      <c r="H4375" s="990"/>
      <c r="I4375" s="990"/>
      <c r="J4375" s="990"/>
      <c r="K4375" s="990"/>
      <c r="L4375" s="990"/>
      <c r="M4375" s="990"/>
      <c r="N4375" s="990"/>
      <c r="O4375" s="990"/>
      <c r="P4375" s="990"/>
      <c r="Q4375" s="990"/>
      <c r="R4375" s="990"/>
      <c r="S4375" s="990"/>
      <c r="T4375" s="990"/>
      <c r="U4375" s="990"/>
      <c r="V4375" s="990"/>
      <c r="W4375" s="990"/>
      <c r="X4375" s="990"/>
    </row>
    <row r="4376" spans="1:24" s="896" customFormat="1" ht="25.5">
      <c r="A4376" s="987">
        <f t="shared" si="69"/>
        <v>4302</v>
      </c>
      <c r="B4376" s="988">
        <v>38905</v>
      </c>
      <c r="C4376" s="899" t="s">
        <v>13702</v>
      </c>
      <c r="D4376" s="988" t="s">
        <v>2666</v>
      </c>
      <c r="E4376" s="989">
        <v>15.07</v>
      </c>
      <c r="F4376" s="990"/>
      <c r="G4376" s="990"/>
      <c r="H4376" s="990"/>
      <c r="I4376" s="990"/>
      <c r="J4376" s="990"/>
      <c r="K4376" s="990"/>
      <c r="L4376" s="990"/>
      <c r="M4376" s="990"/>
      <c r="N4376" s="990"/>
      <c r="O4376" s="990"/>
      <c r="P4376" s="990"/>
      <c r="Q4376" s="990"/>
      <c r="R4376" s="990"/>
      <c r="S4376" s="990"/>
      <c r="T4376" s="990"/>
      <c r="U4376" s="990"/>
      <c r="V4376" s="990"/>
      <c r="W4376" s="990"/>
      <c r="X4376" s="990"/>
    </row>
    <row r="4377" spans="1:24" s="896" customFormat="1" ht="25.5">
      <c r="A4377" s="987">
        <f t="shared" si="69"/>
        <v>4303</v>
      </c>
      <c r="B4377" s="988">
        <v>38907</v>
      </c>
      <c r="C4377" s="899" t="s">
        <v>13703</v>
      </c>
      <c r="D4377" s="988" t="s">
        <v>2666</v>
      </c>
      <c r="E4377" s="989">
        <v>16.03</v>
      </c>
      <c r="F4377" s="990"/>
      <c r="G4377" s="990"/>
      <c r="H4377" s="990"/>
      <c r="I4377" s="990"/>
      <c r="J4377" s="990"/>
      <c r="K4377" s="990"/>
      <c r="L4377" s="990"/>
      <c r="M4377" s="990"/>
      <c r="N4377" s="990"/>
      <c r="O4377" s="990"/>
      <c r="P4377" s="990"/>
      <c r="Q4377" s="990"/>
      <c r="R4377" s="990"/>
      <c r="S4377" s="990"/>
      <c r="T4377" s="990"/>
      <c r="U4377" s="990"/>
      <c r="V4377" s="990"/>
      <c r="W4377" s="990"/>
      <c r="X4377" s="990"/>
    </row>
    <row r="4378" spans="1:24" s="896" customFormat="1" ht="25.5">
      <c r="A4378" s="987">
        <f t="shared" si="69"/>
        <v>4304</v>
      </c>
      <c r="B4378" s="988">
        <v>38908</v>
      </c>
      <c r="C4378" s="899" t="s">
        <v>13704</v>
      </c>
      <c r="D4378" s="988" t="s">
        <v>2666</v>
      </c>
      <c r="E4378" s="989">
        <v>18.04</v>
      </c>
      <c r="F4378" s="990"/>
      <c r="G4378" s="990"/>
      <c r="H4378" s="990"/>
      <c r="I4378" s="990"/>
      <c r="J4378" s="990"/>
      <c r="K4378" s="990"/>
      <c r="L4378" s="990"/>
      <c r="M4378" s="990"/>
      <c r="N4378" s="990"/>
      <c r="O4378" s="990"/>
      <c r="P4378" s="990"/>
      <c r="Q4378" s="990"/>
      <c r="R4378" s="990"/>
      <c r="S4378" s="990"/>
      <c r="T4378" s="990"/>
      <c r="U4378" s="990"/>
      <c r="V4378" s="990"/>
      <c r="W4378" s="990"/>
      <c r="X4378" s="990"/>
    </row>
    <row r="4379" spans="1:24" s="896" customFormat="1" ht="25.5">
      <c r="A4379" s="987">
        <f t="shared" si="69"/>
        <v>4305</v>
      </c>
      <c r="B4379" s="988">
        <v>38909</v>
      </c>
      <c r="C4379" s="899" t="s">
        <v>13705</v>
      </c>
      <c r="D4379" s="988" t="s">
        <v>2666</v>
      </c>
      <c r="E4379" s="989">
        <v>25.94</v>
      </c>
      <c r="F4379" s="990"/>
      <c r="G4379" s="990"/>
      <c r="H4379" s="990"/>
      <c r="I4379" s="990"/>
      <c r="J4379" s="990"/>
      <c r="K4379" s="990"/>
      <c r="L4379" s="990"/>
      <c r="M4379" s="990"/>
      <c r="N4379" s="990"/>
      <c r="O4379" s="990"/>
      <c r="P4379" s="990"/>
      <c r="Q4379" s="990"/>
      <c r="R4379" s="990"/>
      <c r="S4379" s="990"/>
      <c r="T4379" s="990"/>
      <c r="U4379" s="990"/>
      <c r="V4379" s="990"/>
      <c r="W4379" s="990"/>
      <c r="X4379" s="990"/>
    </row>
    <row r="4380" spans="1:24" s="896" customFormat="1" ht="25.5">
      <c r="A4380" s="987">
        <f t="shared" si="69"/>
        <v>4306</v>
      </c>
      <c r="B4380" s="988">
        <v>38910</v>
      </c>
      <c r="C4380" s="899" t="s">
        <v>13706</v>
      </c>
      <c r="D4380" s="988" t="s">
        <v>2666</v>
      </c>
      <c r="E4380" s="989">
        <v>28.01</v>
      </c>
      <c r="F4380" s="990"/>
      <c r="G4380" s="990"/>
      <c r="H4380" s="990"/>
      <c r="I4380" s="990"/>
      <c r="J4380" s="990"/>
      <c r="K4380" s="990"/>
      <c r="L4380" s="990"/>
      <c r="M4380" s="990"/>
      <c r="N4380" s="990"/>
      <c r="O4380" s="990"/>
      <c r="P4380" s="990"/>
      <c r="Q4380" s="990"/>
      <c r="R4380" s="990"/>
      <c r="S4380" s="990"/>
      <c r="T4380" s="990"/>
      <c r="U4380" s="990"/>
      <c r="V4380" s="990"/>
      <c r="W4380" s="990"/>
      <c r="X4380" s="990"/>
    </row>
    <row r="4381" spans="1:24" s="896" customFormat="1" ht="25.5">
      <c r="A4381" s="987">
        <f t="shared" si="69"/>
        <v>4307</v>
      </c>
      <c r="B4381" s="988">
        <v>38897</v>
      </c>
      <c r="C4381" s="899" t="s">
        <v>13707</v>
      </c>
      <c r="D4381" s="988" t="s">
        <v>2666</v>
      </c>
      <c r="E4381" s="989">
        <v>15.13</v>
      </c>
      <c r="F4381" s="990"/>
      <c r="G4381" s="990"/>
      <c r="H4381" s="990"/>
      <c r="I4381" s="990"/>
      <c r="J4381" s="990"/>
      <c r="K4381" s="990"/>
      <c r="L4381" s="990"/>
      <c r="M4381" s="990"/>
      <c r="N4381" s="990"/>
      <c r="O4381" s="990"/>
      <c r="P4381" s="990"/>
      <c r="Q4381" s="990"/>
      <c r="R4381" s="990"/>
      <c r="S4381" s="990"/>
      <c r="T4381" s="990"/>
      <c r="U4381" s="990"/>
      <c r="V4381" s="990"/>
      <c r="W4381" s="990"/>
      <c r="X4381" s="990"/>
    </row>
    <row r="4382" spans="1:24" s="896" customFormat="1" ht="25.5">
      <c r="A4382" s="987">
        <f t="shared" si="69"/>
        <v>4308</v>
      </c>
      <c r="B4382" s="988">
        <v>38899</v>
      </c>
      <c r="C4382" s="899" t="s">
        <v>13708</v>
      </c>
      <c r="D4382" s="988" t="s">
        <v>2666</v>
      </c>
      <c r="E4382" s="989">
        <v>17.02</v>
      </c>
      <c r="F4382" s="990"/>
      <c r="G4382" s="990"/>
      <c r="H4382" s="990"/>
      <c r="I4382" s="990"/>
      <c r="J4382" s="990"/>
      <c r="K4382" s="990"/>
      <c r="L4382" s="990"/>
      <c r="M4382" s="990"/>
      <c r="N4382" s="990"/>
      <c r="O4382" s="990"/>
      <c r="P4382" s="990"/>
      <c r="Q4382" s="990"/>
      <c r="R4382" s="990"/>
      <c r="S4382" s="990"/>
      <c r="T4382" s="990"/>
      <c r="U4382" s="990"/>
      <c r="V4382" s="990"/>
      <c r="W4382" s="990"/>
      <c r="X4382" s="990"/>
    </row>
    <row r="4383" spans="1:24" s="896" customFormat="1" ht="25.5">
      <c r="A4383" s="987">
        <f t="shared" si="69"/>
        <v>4309</v>
      </c>
      <c r="B4383" s="988">
        <v>38900</v>
      </c>
      <c r="C4383" s="899" t="s">
        <v>13709</v>
      </c>
      <c r="D4383" s="988" t="s">
        <v>2666</v>
      </c>
      <c r="E4383" s="989">
        <v>17.75</v>
      </c>
      <c r="F4383" s="990"/>
      <c r="G4383" s="990"/>
      <c r="H4383" s="990"/>
      <c r="I4383" s="990"/>
      <c r="J4383" s="990"/>
      <c r="K4383" s="990"/>
      <c r="L4383" s="990"/>
      <c r="M4383" s="990"/>
      <c r="N4383" s="990"/>
      <c r="O4383" s="990"/>
      <c r="P4383" s="990"/>
      <c r="Q4383" s="990"/>
      <c r="R4383" s="990"/>
      <c r="S4383" s="990"/>
      <c r="T4383" s="990"/>
      <c r="U4383" s="990"/>
      <c r="V4383" s="990"/>
      <c r="W4383" s="990"/>
      <c r="X4383" s="990"/>
    </row>
    <row r="4384" spans="1:24" s="896" customFormat="1" ht="25.5">
      <c r="A4384" s="987">
        <f t="shared" si="69"/>
        <v>4310</v>
      </c>
      <c r="B4384" s="988">
        <v>38901</v>
      </c>
      <c r="C4384" s="899" t="s">
        <v>13710</v>
      </c>
      <c r="D4384" s="988" t="s">
        <v>2666</v>
      </c>
      <c r="E4384" s="989">
        <v>29.03</v>
      </c>
      <c r="F4384" s="990"/>
      <c r="G4384" s="990"/>
      <c r="H4384" s="990"/>
      <c r="I4384" s="990"/>
      <c r="J4384" s="990"/>
      <c r="K4384" s="990"/>
      <c r="L4384" s="990"/>
      <c r="M4384" s="990"/>
      <c r="N4384" s="990"/>
      <c r="O4384" s="990"/>
      <c r="P4384" s="990"/>
      <c r="Q4384" s="990"/>
      <c r="R4384" s="990"/>
      <c r="S4384" s="990"/>
      <c r="T4384" s="990"/>
      <c r="U4384" s="990"/>
      <c r="V4384" s="990"/>
      <c r="W4384" s="990"/>
      <c r="X4384" s="990"/>
    </row>
    <row r="4385" spans="1:24" s="896" customFormat="1" ht="25.5">
      <c r="A4385" s="987">
        <f t="shared" si="69"/>
        <v>4311</v>
      </c>
      <c r="B4385" s="988">
        <v>38904</v>
      </c>
      <c r="C4385" s="899" t="s">
        <v>13711</v>
      </c>
      <c r="D4385" s="988" t="s">
        <v>2666</v>
      </c>
      <c r="E4385" s="989">
        <v>47.16</v>
      </c>
      <c r="F4385" s="990"/>
      <c r="G4385" s="990"/>
      <c r="H4385" s="990"/>
      <c r="I4385" s="990"/>
      <c r="J4385" s="990"/>
      <c r="K4385" s="990"/>
      <c r="L4385" s="990"/>
      <c r="M4385" s="990"/>
      <c r="N4385" s="990"/>
      <c r="O4385" s="990"/>
      <c r="P4385" s="990"/>
      <c r="Q4385" s="990"/>
      <c r="R4385" s="990"/>
      <c r="S4385" s="990"/>
      <c r="T4385" s="990"/>
      <c r="U4385" s="990"/>
      <c r="V4385" s="990"/>
      <c r="W4385" s="990"/>
      <c r="X4385" s="990"/>
    </row>
    <row r="4386" spans="1:24" s="896" customFormat="1" ht="25.5">
      <c r="A4386" s="987">
        <f t="shared" si="69"/>
        <v>4312</v>
      </c>
      <c r="B4386" s="988">
        <v>38903</v>
      </c>
      <c r="C4386" s="899" t="s">
        <v>13712</v>
      </c>
      <c r="D4386" s="988" t="s">
        <v>2666</v>
      </c>
      <c r="E4386" s="989">
        <v>46.87</v>
      </c>
      <c r="F4386" s="990"/>
      <c r="G4386" s="990"/>
      <c r="H4386" s="990"/>
      <c r="I4386" s="990"/>
      <c r="J4386" s="990"/>
      <c r="K4386" s="990"/>
      <c r="L4386" s="990"/>
      <c r="M4386" s="990"/>
      <c r="N4386" s="990"/>
      <c r="O4386" s="990"/>
      <c r="P4386" s="990"/>
      <c r="Q4386" s="990"/>
      <c r="R4386" s="990"/>
      <c r="S4386" s="990"/>
      <c r="T4386" s="990"/>
      <c r="U4386" s="990"/>
      <c r="V4386" s="990"/>
      <c r="W4386" s="990"/>
      <c r="X4386" s="990"/>
    </row>
    <row r="4387" spans="1:24" s="896" customFormat="1">
      <c r="A4387" s="987">
        <f t="shared" si="69"/>
        <v>4313</v>
      </c>
      <c r="B4387" s="988">
        <v>7091</v>
      </c>
      <c r="C4387" s="899" t="s">
        <v>13713</v>
      </c>
      <c r="D4387" s="988" t="s">
        <v>2666</v>
      </c>
      <c r="E4387" s="989">
        <v>21.63</v>
      </c>
      <c r="F4387" s="990"/>
      <c r="G4387" s="990"/>
      <c r="H4387" s="990"/>
      <c r="I4387" s="990"/>
      <c r="J4387" s="990"/>
      <c r="K4387" s="990"/>
      <c r="L4387" s="990"/>
      <c r="M4387" s="990"/>
      <c r="N4387" s="990"/>
      <c r="O4387" s="990"/>
      <c r="P4387" s="990"/>
      <c r="Q4387" s="990"/>
      <c r="R4387" s="990"/>
      <c r="S4387" s="990"/>
      <c r="T4387" s="990"/>
      <c r="U4387" s="990"/>
      <c r="V4387" s="990"/>
      <c r="W4387" s="990"/>
      <c r="X4387" s="990"/>
    </row>
    <row r="4388" spans="1:24" s="896" customFormat="1">
      <c r="A4388" s="987">
        <f t="shared" si="69"/>
        <v>4314</v>
      </c>
      <c r="B4388" s="988">
        <v>11655</v>
      </c>
      <c r="C4388" s="899" t="s">
        <v>13714</v>
      </c>
      <c r="D4388" s="988" t="s">
        <v>2666</v>
      </c>
      <c r="E4388" s="989">
        <v>20.66</v>
      </c>
      <c r="F4388" s="990"/>
      <c r="G4388" s="990"/>
      <c r="H4388" s="990"/>
      <c r="I4388" s="990"/>
      <c r="J4388" s="990"/>
      <c r="K4388" s="990"/>
      <c r="L4388" s="990"/>
      <c r="M4388" s="990"/>
      <c r="N4388" s="990"/>
      <c r="O4388" s="990"/>
      <c r="P4388" s="990"/>
      <c r="Q4388" s="990"/>
      <c r="R4388" s="990"/>
      <c r="S4388" s="990"/>
      <c r="T4388" s="990"/>
      <c r="U4388" s="990"/>
      <c r="V4388" s="990"/>
      <c r="W4388" s="990"/>
      <c r="X4388" s="990"/>
    </row>
    <row r="4389" spans="1:24" s="896" customFormat="1">
      <c r="A4389" s="987">
        <f t="shared" si="69"/>
        <v>4315</v>
      </c>
      <c r="B4389" s="988">
        <v>11656</v>
      </c>
      <c r="C4389" s="899" t="s">
        <v>13715</v>
      </c>
      <c r="D4389" s="988" t="s">
        <v>2666</v>
      </c>
      <c r="E4389" s="989">
        <v>21.61</v>
      </c>
      <c r="F4389" s="990"/>
      <c r="G4389" s="990"/>
      <c r="H4389" s="990"/>
      <c r="I4389" s="990"/>
      <c r="J4389" s="990"/>
      <c r="K4389" s="990"/>
      <c r="L4389" s="990"/>
      <c r="M4389" s="990"/>
      <c r="N4389" s="990"/>
      <c r="O4389" s="990"/>
      <c r="P4389" s="990"/>
      <c r="Q4389" s="990"/>
      <c r="R4389" s="990"/>
      <c r="S4389" s="990"/>
      <c r="T4389" s="990"/>
      <c r="U4389" s="990"/>
      <c r="V4389" s="990"/>
      <c r="W4389" s="990"/>
      <c r="X4389" s="990"/>
    </row>
    <row r="4390" spans="1:24" s="896" customFormat="1">
      <c r="A4390" s="987">
        <f t="shared" si="69"/>
        <v>4316</v>
      </c>
      <c r="B4390" s="988">
        <v>37948</v>
      </c>
      <c r="C4390" s="899" t="s">
        <v>13716</v>
      </c>
      <c r="D4390" s="988" t="s">
        <v>2666</v>
      </c>
      <c r="E4390" s="989">
        <v>4.38</v>
      </c>
      <c r="F4390" s="990"/>
      <c r="G4390" s="990"/>
      <c r="H4390" s="990"/>
      <c r="I4390" s="990"/>
      <c r="J4390" s="990"/>
      <c r="K4390" s="990"/>
      <c r="L4390" s="990"/>
      <c r="M4390" s="990"/>
      <c r="N4390" s="990"/>
      <c r="O4390" s="990"/>
      <c r="P4390" s="990"/>
      <c r="Q4390" s="990"/>
      <c r="R4390" s="990"/>
      <c r="S4390" s="990"/>
      <c r="T4390" s="990"/>
      <c r="U4390" s="990"/>
      <c r="V4390" s="990"/>
      <c r="W4390" s="990"/>
      <c r="X4390" s="990"/>
    </row>
    <row r="4391" spans="1:24" s="896" customFormat="1">
      <c r="A4391" s="987">
        <f t="shared" si="69"/>
        <v>4317</v>
      </c>
      <c r="B4391" s="988">
        <v>7097</v>
      </c>
      <c r="C4391" s="899" t="s">
        <v>13717</v>
      </c>
      <c r="D4391" s="988" t="s">
        <v>2666</v>
      </c>
      <c r="E4391" s="989">
        <v>9.61</v>
      </c>
      <c r="F4391" s="990"/>
      <c r="G4391" s="990"/>
      <c r="H4391" s="990"/>
      <c r="I4391" s="990"/>
      <c r="J4391" s="990"/>
      <c r="K4391" s="990"/>
      <c r="L4391" s="990"/>
      <c r="M4391" s="990"/>
      <c r="N4391" s="990"/>
      <c r="O4391" s="990"/>
      <c r="P4391" s="990"/>
      <c r="Q4391" s="990"/>
      <c r="R4391" s="990"/>
      <c r="S4391" s="990"/>
      <c r="T4391" s="990"/>
      <c r="U4391" s="990"/>
      <c r="V4391" s="990"/>
      <c r="W4391" s="990"/>
      <c r="X4391" s="990"/>
    </row>
    <row r="4392" spans="1:24" s="896" customFormat="1">
      <c r="A4392" s="987">
        <f t="shared" si="69"/>
        <v>4318</v>
      </c>
      <c r="B4392" s="988">
        <v>11657</v>
      </c>
      <c r="C4392" s="899" t="s">
        <v>13718</v>
      </c>
      <c r="D4392" s="988" t="s">
        <v>2666</v>
      </c>
      <c r="E4392" s="989">
        <v>18.84</v>
      </c>
      <c r="F4392" s="990"/>
      <c r="G4392" s="990"/>
      <c r="H4392" s="990"/>
      <c r="I4392" s="990"/>
      <c r="J4392" s="990"/>
      <c r="K4392" s="990"/>
      <c r="L4392" s="990"/>
      <c r="M4392" s="990"/>
      <c r="N4392" s="990"/>
      <c r="O4392" s="990"/>
      <c r="P4392" s="990"/>
      <c r="Q4392" s="990"/>
      <c r="R4392" s="990"/>
      <c r="S4392" s="990"/>
      <c r="T4392" s="990"/>
      <c r="U4392" s="990"/>
      <c r="V4392" s="990"/>
      <c r="W4392" s="990"/>
      <c r="X4392" s="990"/>
    </row>
    <row r="4393" spans="1:24" s="896" customFormat="1">
      <c r="A4393" s="987">
        <f t="shared" si="69"/>
        <v>4319</v>
      </c>
      <c r="B4393" s="988">
        <v>11658</v>
      </c>
      <c r="C4393" s="899" t="s">
        <v>13719</v>
      </c>
      <c r="D4393" s="988" t="s">
        <v>2666</v>
      </c>
      <c r="E4393" s="989">
        <v>19.190000000000001</v>
      </c>
      <c r="F4393" s="990"/>
      <c r="G4393" s="990"/>
      <c r="H4393" s="990"/>
      <c r="I4393" s="990"/>
      <c r="J4393" s="990"/>
      <c r="K4393" s="990"/>
      <c r="L4393" s="990"/>
      <c r="M4393" s="990"/>
      <c r="N4393" s="990"/>
      <c r="O4393" s="990"/>
      <c r="P4393" s="990"/>
      <c r="Q4393" s="990"/>
      <c r="R4393" s="990"/>
      <c r="S4393" s="990"/>
      <c r="T4393" s="990"/>
      <c r="U4393" s="990"/>
      <c r="V4393" s="990"/>
      <c r="W4393" s="990"/>
      <c r="X4393" s="990"/>
    </row>
    <row r="4394" spans="1:24" s="896" customFormat="1">
      <c r="A4394" s="987">
        <f t="shared" si="69"/>
        <v>4320</v>
      </c>
      <c r="B4394" s="988">
        <v>7146</v>
      </c>
      <c r="C4394" s="899" t="s">
        <v>13720</v>
      </c>
      <c r="D4394" s="988" t="s">
        <v>2666</v>
      </c>
      <c r="E4394" s="989">
        <v>215.64</v>
      </c>
      <c r="F4394" s="990"/>
      <c r="G4394" s="990"/>
      <c r="H4394" s="990"/>
      <c r="I4394" s="990"/>
      <c r="J4394" s="990"/>
      <c r="K4394" s="990"/>
      <c r="L4394" s="990"/>
      <c r="M4394" s="990"/>
      <c r="N4394" s="990"/>
      <c r="O4394" s="990"/>
      <c r="P4394" s="990"/>
      <c r="Q4394" s="990"/>
      <c r="R4394" s="990"/>
      <c r="S4394" s="990"/>
      <c r="T4394" s="990"/>
      <c r="U4394" s="990"/>
      <c r="V4394" s="990"/>
      <c r="W4394" s="990"/>
      <c r="X4394" s="990"/>
    </row>
    <row r="4395" spans="1:24" s="896" customFormat="1">
      <c r="A4395" s="987">
        <f t="shared" si="69"/>
        <v>4321</v>
      </c>
      <c r="B4395" s="988">
        <v>7138</v>
      </c>
      <c r="C4395" s="899" t="s">
        <v>13721</v>
      </c>
      <c r="D4395" s="988" t="s">
        <v>2666</v>
      </c>
      <c r="E4395" s="989">
        <v>1.22</v>
      </c>
      <c r="F4395" s="990"/>
      <c r="G4395" s="990"/>
      <c r="H4395" s="990"/>
      <c r="I4395" s="990"/>
      <c r="J4395" s="990"/>
      <c r="K4395" s="990"/>
      <c r="L4395" s="990"/>
      <c r="M4395" s="990"/>
      <c r="N4395" s="990"/>
      <c r="O4395" s="990"/>
      <c r="P4395" s="990"/>
      <c r="Q4395" s="990"/>
      <c r="R4395" s="990"/>
      <c r="S4395" s="990"/>
      <c r="T4395" s="990"/>
      <c r="U4395" s="990"/>
      <c r="V4395" s="990"/>
      <c r="W4395" s="990"/>
      <c r="X4395" s="990"/>
    </row>
    <row r="4396" spans="1:24" s="896" customFormat="1">
      <c r="A4396" s="987">
        <f t="shared" si="69"/>
        <v>4322</v>
      </c>
      <c r="B4396" s="988">
        <v>7139</v>
      </c>
      <c r="C4396" s="899" t="s">
        <v>13722</v>
      </c>
      <c r="D4396" s="988" t="s">
        <v>2666</v>
      </c>
      <c r="E4396" s="989">
        <v>1.6</v>
      </c>
      <c r="F4396" s="990"/>
      <c r="G4396" s="990"/>
      <c r="H4396" s="990"/>
      <c r="I4396" s="990"/>
      <c r="J4396" s="990"/>
      <c r="K4396" s="990"/>
      <c r="L4396" s="990"/>
      <c r="M4396" s="990"/>
      <c r="N4396" s="990"/>
      <c r="O4396" s="990"/>
      <c r="P4396" s="990"/>
      <c r="Q4396" s="990"/>
      <c r="R4396" s="990"/>
      <c r="S4396" s="990"/>
      <c r="T4396" s="990"/>
      <c r="U4396" s="990"/>
      <c r="V4396" s="990"/>
      <c r="W4396" s="990"/>
      <c r="X4396" s="990"/>
    </row>
    <row r="4397" spans="1:24" s="896" customFormat="1">
      <c r="A4397" s="987">
        <f t="shared" si="69"/>
        <v>4323</v>
      </c>
      <c r="B4397" s="988">
        <v>7140</v>
      </c>
      <c r="C4397" s="899" t="s">
        <v>13723</v>
      </c>
      <c r="D4397" s="988" t="s">
        <v>2666</v>
      </c>
      <c r="E4397" s="989">
        <v>5.32</v>
      </c>
      <c r="F4397" s="990"/>
      <c r="G4397" s="990"/>
      <c r="H4397" s="990"/>
      <c r="I4397" s="990"/>
      <c r="J4397" s="990"/>
      <c r="K4397" s="990"/>
      <c r="L4397" s="990"/>
      <c r="M4397" s="990"/>
      <c r="N4397" s="990"/>
      <c r="O4397" s="990"/>
      <c r="P4397" s="990"/>
      <c r="Q4397" s="990"/>
      <c r="R4397" s="990"/>
      <c r="S4397" s="990"/>
      <c r="T4397" s="990"/>
      <c r="U4397" s="990"/>
      <c r="V4397" s="990"/>
      <c r="W4397" s="990"/>
      <c r="X4397" s="990"/>
    </row>
    <row r="4398" spans="1:24" s="896" customFormat="1">
      <c r="A4398" s="987">
        <f t="shared" si="69"/>
        <v>4324</v>
      </c>
      <c r="B4398" s="988">
        <v>7141</v>
      </c>
      <c r="C4398" s="899" t="s">
        <v>13724</v>
      </c>
      <c r="D4398" s="988" t="s">
        <v>2666</v>
      </c>
      <c r="E4398" s="989">
        <v>11.63</v>
      </c>
      <c r="F4398" s="990"/>
      <c r="G4398" s="990"/>
      <c r="H4398" s="990"/>
      <c r="I4398" s="990"/>
      <c r="J4398" s="990"/>
      <c r="K4398" s="990"/>
      <c r="L4398" s="990"/>
      <c r="M4398" s="990"/>
      <c r="N4398" s="990"/>
      <c r="O4398" s="990"/>
      <c r="P4398" s="990"/>
      <c r="Q4398" s="990"/>
      <c r="R4398" s="990"/>
      <c r="S4398" s="990"/>
      <c r="T4398" s="990"/>
      <c r="U4398" s="990"/>
      <c r="V4398" s="990"/>
      <c r="W4398" s="990"/>
      <c r="X4398" s="990"/>
    </row>
    <row r="4399" spans="1:24" s="896" customFormat="1">
      <c r="A4399" s="987">
        <f t="shared" si="69"/>
        <v>4325</v>
      </c>
      <c r="B4399" s="988">
        <v>7143</v>
      </c>
      <c r="C4399" s="899" t="s">
        <v>13725</v>
      </c>
      <c r="D4399" s="988" t="s">
        <v>2666</v>
      </c>
      <c r="E4399" s="989">
        <v>38.76</v>
      </c>
      <c r="F4399" s="990"/>
      <c r="G4399" s="990"/>
      <c r="H4399" s="990"/>
      <c r="I4399" s="990"/>
      <c r="J4399" s="990"/>
      <c r="K4399" s="990"/>
      <c r="L4399" s="990"/>
      <c r="M4399" s="990"/>
      <c r="N4399" s="990"/>
      <c r="O4399" s="990"/>
      <c r="P4399" s="990"/>
      <c r="Q4399" s="990"/>
      <c r="R4399" s="990"/>
      <c r="S4399" s="990"/>
      <c r="T4399" s="990"/>
      <c r="U4399" s="990"/>
      <c r="V4399" s="990"/>
      <c r="W4399" s="990"/>
      <c r="X4399" s="990"/>
    </row>
    <row r="4400" spans="1:24" s="896" customFormat="1">
      <c r="A4400" s="987">
        <f t="shared" si="69"/>
        <v>4326</v>
      </c>
      <c r="B4400" s="988">
        <v>7144</v>
      </c>
      <c r="C4400" s="899" t="s">
        <v>13726</v>
      </c>
      <c r="D4400" s="988" t="s">
        <v>2666</v>
      </c>
      <c r="E4400" s="989">
        <v>77.53</v>
      </c>
      <c r="F4400" s="990"/>
      <c r="G4400" s="990"/>
      <c r="H4400" s="990"/>
      <c r="I4400" s="990"/>
      <c r="J4400" s="990"/>
      <c r="K4400" s="990"/>
      <c r="L4400" s="990"/>
      <c r="M4400" s="990"/>
      <c r="N4400" s="990"/>
      <c r="O4400" s="990"/>
      <c r="P4400" s="990"/>
      <c r="Q4400" s="990"/>
      <c r="R4400" s="990"/>
      <c r="S4400" s="990"/>
      <c r="T4400" s="990"/>
      <c r="U4400" s="990"/>
      <c r="V4400" s="990"/>
      <c r="W4400" s="990"/>
      <c r="X4400" s="990"/>
    </row>
    <row r="4401" spans="1:24" s="896" customFormat="1">
      <c r="A4401" s="987">
        <f t="shared" si="69"/>
        <v>4327</v>
      </c>
      <c r="B4401" s="988">
        <v>7145</v>
      </c>
      <c r="C4401" s="899" t="s">
        <v>13727</v>
      </c>
      <c r="D4401" s="988" t="s">
        <v>2666</v>
      </c>
      <c r="E4401" s="989">
        <v>127.15</v>
      </c>
      <c r="F4401" s="990"/>
      <c r="G4401" s="990"/>
      <c r="H4401" s="990"/>
      <c r="I4401" s="990"/>
      <c r="J4401" s="990"/>
      <c r="K4401" s="990"/>
      <c r="L4401" s="990"/>
      <c r="M4401" s="990"/>
      <c r="N4401" s="990"/>
      <c r="O4401" s="990"/>
      <c r="P4401" s="990"/>
      <c r="Q4401" s="990"/>
      <c r="R4401" s="990"/>
      <c r="S4401" s="990"/>
      <c r="T4401" s="990"/>
      <c r="U4401" s="990"/>
      <c r="V4401" s="990"/>
      <c r="W4401" s="990"/>
      <c r="X4401" s="990"/>
    </row>
    <row r="4402" spans="1:24" s="896" customFormat="1">
      <c r="A4402" s="987">
        <f t="shared" si="69"/>
        <v>4328</v>
      </c>
      <c r="B4402" s="988">
        <v>7142</v>
      </c>
      <c r="C4402" s="899" t="s">
        <v>13728</v>
      </c>
      <c r="D4402" s="988" t="s">
        <v>2666</v>
      </c>
      <c r="E4402" s="989">
        <v>13</v>
      </c>
      <c r="F4402" s="990"/>
      <c r="G4402" s="990"/>
      <c r="H4402" s="990"/>
      <c r="I4402" s="990"/>
      <c r="J4402" s="990"/>
      <c r="K4402" s="990"/>
      <c r="L4402" s="990"/>
      <c r="M4402" s="990"/>
      <c r="N4402" s="990"/>
      <c r="O4402" s="990"/>
      <c r="P4402" s="990"/>
      <c r="Q4402" s="990"/>
      <c r="R4402" s="990"/>
      <c r="S4402" s="990"/>
      <c r="T4402" s="990"/>
      <c r="U4402" s="990"/>
      <c r="V4402" s="990"/>
      <c r="W4402" s="990"/>
      <c r="X4402" s="990"/>
    </row>
    <row r="4403" spans="1:24" s="896" customFormat="1">
      <c r="A4403" s="987">
        <f t="shared" si="69"/>
        <v>4329</v>
      </c>
      <c r="B4403" s="988">
        <v>3593</v>
      </c>
      <c r="C4403" s="899" t="s">
        <v>13729</v>
      </c>
      <c r="D4403" s="988" t="s">
        <v>2666</v>
      </c>
      <c r="E4403" s="989">
        <v>95.29</v>
      </c>
      <c r="F4403" s="990"/>
      <c r="G4403" s="990"/>
      <c r="H4403" s="990"/>
      <c r="I4403" s="990"/>
      <c r="J4403" s="990"/>
      <c r="K4403" s="990"/>
      <c r="L4403" s="990"/>
      <c r="M4403" s="990"/>
      <c r="N4403" s="990"/>
      <c r="O4403" s="990"/>
      <c r="P4403" s="990"/>
      <c r="Q4403" s="990"/>
      <c r="R4403" s="990"/>
      <c r="S4403" s="990"/>
      <c r="T4403" s="990"/>
      <c r="U4403" s="990"/>
      <c r="V4403" s="990"/>
      <c r="W4403" s="990"/>
      <c r="X4403" s="990"/>
    </row>
    <row r="4404" spans="1:24" s="896" customFormat="1">
      <c r="A4404" s="987">
        <f t="shared" si="69"/>
        <v>4330</v>
      </c>
      <c r="B4404" s="988">
        <v>3588</v>
      </c>
      <c r="C4404" s="899" t="s">
        <v>13730</v>
      </c>
      <c r="D4404" s="988" t="s">
        <v>2666</v>
      </c>
      <c r="E4404" s="989">
        <v>73.45</v>
      </c>
      <c r="F4404" s="990"/>
      <c r="G4404" s="990"/>
      <c r="H4404" s="990"/>
      <c r="I4404" s="990"/>
      <c r="J4404" s="990"/>
      <c r="K4404" s="990"/>
      <c r="L4404" s="990"/>
      <c r="M4404" s="990"/>
      <c r="N4404" s="990"/>
      <c r="O4404" s="990"/>
      <c r="P4404" s="990"/>
      <c r="Q4404" s="990"/>
      <c r="R4404" s="990"/>
      <c r="S4404" s="990"/>
      <c r="T4404" s="990"/>
      <c r="U4404" s="990"/>
      <c r="V4404" s="990"/>
      <c r="W4404" s="990"/>
      <c r="X4404" s="990"/>
    </row>
    <row r="4405" spans="1:24" s="896" customFormat="1">
      <c r="A4405" s="987">
        <f t="shared" si="69"/>
        <v>4331</v>
      </c>
      <c r="B4405" s="988">
        <v>3585</v>
      </c>
      <c r="C4405" s="899" t="s">
        <v>13731</v>
      </c>
      <c r="D4405" s="988" t="s">
        <v>2666</v>
      </c>
      <c r="E4405" s="989">
        <v>22.69</v>
      </c>
      <c r="F4405" s="990"/>
      <c r="G4405" s="990"/>
      <c r="H4405" s="990"/>
      <c r="I4405" s="990"/>
      <c r="J4405" s="990"/>
      <c r="K4405" s="990"/>
      <c r="L4405" s="990"/>
      <c r="M4405" s="990"/>
      <c r="N4405" s="990"/>
      <c r="O4405" s="990"/>
      <c r="P4405" s="990"/>
      <c r="Q4405" s="990"/>
      <c r="R4405" s="990"/>
      <c r="S4405" s="990"/>
      <c r="T4405" s="990"/>
      <c r="U4405" s="990"/>
      <c r="V4405" s="990"/>
      <c r="W4405" s="990"/>
      <c r="X4405" s="990"/>
    </row>
    <row r="4406" spans="1:24" s="896" customFormat="1">
      <c r="A4406" s="987">
        <f t="shared" si="69"/>
        <v>4332</v>
      </c>
      <c r="B4406" s="988">
        <v>3587</v>
      </c>
      <c r="C4406" s="899" t="s">
        <v>13732</v>
      </c>
      <c r="D4406" s="988" t="s">
        <v>2666</v>
      </c>
      <c r="E4406" s="989">
        <v>45.58</v>
      </c>
      <c r="F4406" s="990"/>
      <c r="G4406" s="990"/>
      <c r="H4406" s="990"/>
      <c r="I4406" s="990"/>
      <c r="J4406" s="990"/>
      <c r="K4406" s="990"/>
      <c r="L4406" s="990"/>
      <c r="M4406" s="990"/>
      <c r="N4406" s="990"/>
      <c r="O4406" s="990"/>
      <c r="P4406" s="990"/>
      <c r="Q4406" s="990"/>
      <c r="R4406" s="990"/>
      <c r="S4406" s="990"/>
      <c r="T4406" s="990"/>
      <c r="U4406" s="990"/>
      <c r="V4406" s="990"/>
      <c r="W4406" s="990"/>
      <c r="X4406" s="990"/>
    </row>
    <row r="4407" spans="1:24" s="896" customFormat="1">
      <c r="A4407" s="987">
        <f t="shared" si="69"/>
        <v>4333</v>
      </c>
      <c r="B4407" s="988">
        <v>3590</v>
      </c>
      <c r="C4407" s="899" t="s">
        <v>13733</v>
      </c>
      <c r="D4407" s="988" t="s">
        <v>2666</v>
      </c>
      <c r="E4407" s="989">
        <v>270.57</v>
      </c>
      <c r="F4407" s="990"/>
      <c r="G4407" s="990"/>
      <c r="H4407" s="990"/>
      <c r="I4407" s="990"/>
      <c r="J4407" s="990"/>
      <c r="K4407" s="990"/>
      <c r="L4407" s="990"/>
      <c r="M4407" s="990"/>
      <c r="N4407" s="990"/>
      <c r="O4407" s="990"/>
      <c r="P4407" s="990"/>
      <c r="Q4407" s="990"/>
      <c r="R4407" s="990"/>
      <c r="S4407" s="990"/>
      <c r="T4407" s="990"/>
      <c r="U4407" s="990"/>
      <c r="V4407" s="990"/>
      <c r="W4407" s="990"/>
      <c r="X4407" s="990"/>
    </row>
    <row r="4408" spans="1:24" s="896" customFormat="1">
      <c r="A4408" s="987">
        <f t="shared" si="69"/>
        <v>4334</v>
      </c>
      <c r="B4408" s="988">
        <v>3589</v>
      </c>
      <c r="C4408" s="899" t="s">
        <v>13734</v>
      </c>
      <c r="D4408" s="988" t="s">
        <v>2666</v>
      </c>
      <c r="E4408" s="989">
        <v>145.22999999999999</v>
      </c>
      <c r="F4408" s="990"/>
      <c r="G4408" s="990"/>
      <c r="H4408" s="990"/>
      <c r="I4408" s="990"/>
      <c r="J4408" s="990"/>
      <c r="K4408" s="990"/>
      <c r="L4408" s="990"/>
      <c r="M4408" s="990"/>
      <c r="N4408" s="990"/>
      <c r="O4408" s="990"/>
      <c r="P4408" s="990"/>
      <c r="Q4408" s="990"/>
      <c r="R4408" s="990"/>
      <c r="S4408" s="990"/>
      <c r="T4408" s="990"/>
      <c r="U4408" s="990"/>
      <c r="V4408" s="990"/>
      <c r="W4408" s="990"/>
      <c r="X4408" s="990"/>
    </row>
    <row r="4409" spans="1:24" s="896" customFormat="1">
      <c r="A4409" s="987">
        <f t="shared" si="69"/>
        <v>4335</v>
      </c>
      <c r="B4409" s="988">
        <v>3586</v>
      </c>
      <c r="C4409" s="899" t="s">
        <v>13735</v>
      </c>
      <c r="D4409" s="988" t="s">
        <v>2666</v>
      </c>
      <c r="E4409" s="989">
        <v>29.71</v>
      </c>
      <c r="F4409" s="990"/>
      <c r="G4409" s="990"/>
      <c r="H4409" s="990"/>
      <c r="I4409" s="990"/>
      <c r="J4409" s="990"/>
      <c r="K4409" s="990"/>
      <c r="L4409" s="990"/>
      <c r="M4409" s="990"/>
      <c r="N4409" s="990"/>
      <c r="O4409" s="990"/>
      <c r="P4409" s="990"/>
      <c r="Q4409" s="990"/>
      <c r="R4409" s="990"/>
      <c r="S4409" s="990"/>
      <c r="T4409" s="990"/>
      <c r="U4409" s="990"/>
      <c r="V4409" s="990"/>
      <c r="W4409" s="990"/>
      <c r="X4409" s="990"/>
    </row>
    <row r="4410" spans="1:24" s="896" customFormat="1">
      <c r="A4410" s="987">
        <f t="shared" si="69"/>
        <v>4336</v>
      </c>
      <c r="B4410" s="988">
        <v>3592</v>
      </c>
      <c r="C4410" s="899" t="s">
        <v>13736</v>
      </c>
      <c r="D4410" s="988" t="s">
        <v>2666</v>
      </c>
      <c r="E4410" s="989">
        <v>427.69</v>
      </c>
      <c r="F4410" s="990"/>
      <c r="G4410" s="990"/>
      <c r="H4410" s="990"/>
      <c r="I4410" s="990"/>
      <c r="J4410" s="990"/>
      <c r="K4410" s="990"/>
      <c r="L4410" s="990"/>
      <c r="M4410" s="990"/>
      <c r="N4410" s="990"/>
      <c r="O4410" s="990"/>
      <c r="P4410" s="990"/>
      <c r="Q4410" s="990"/>
      <c r="R4410" s="990"/>
      <c r="S4410" s="990"/>
      <c r="T4410" s="990"/>
      <c r="U4410" s="990"/>
      <c r="V4410" s="990"/>
      <c r="W4410" s="990"/>
      <c r="X4410" s="990"/>
    </row>
    <row r="4411" spans="1:24" s="896" customFormat="1">
      <c r="A4411" s="987">
        <f t="shared" si="69"/>
        <v>4337</v>
      </c>
      <c r="B4411" s="988">
        <v>3591</v>
      </c>
      <c r="C4411" s="899" t="s">
        <v>13737</v>
      </c>
      <c r="D4411" s="988" t="s">
        <v>2666</v>
      </c>
      <c r="E4411" s="989">
        <v>685.6</v>
      </c>
      <c r="F4411" s="990"/>
      <c r="G4411" s="990"/>
      <c r="H4411" s="990"/>
      <c r="I4411" s="990"/>
      <c r="J4411" s="990"/>
      <c r="K4411" s="990"/>
      <c r="L4411" s="990"/>
      <c r="M4411" s="990"/>
      <c r="N4411" s="990"/>
      <c r="O4411" s="990"/>
      <c r="P4411" s="990"/>
      <c r="Q4411" s="990"/>
      <c r="R4411" s="990"/>
      <c r="S4411" s="990"/>
      <c r="T4411" s="990"/>
      <c r="U4411" s="990"/>
      <c r="V4411" s="990"/>
      <c r="W4411" s="990"/>
      <c r="X4411" s="990"/>
    </row>
    <row r="4412" spans="1:24" s="896" customFormat="1">
      <c r="A4412" s="987">
        <f t="shared" si="69"/>
        <v>4338</v>
      </c>
      <c r="B4412" s="988">
        <v>40396</v>
      </c>
      <c r="C4412" s="899" t="s">
        <v>13738</v>
      </c>
      <c r="D4412" s="988" t="s">
        <v>2666</v>
      </c>
      <c r="E4412" s="989">
        <v>140.97</v>
      </c>
      <c r="F4412" s="990"/>
      <c r="G4412" s="990"/>
      <c r="H4412" s="990"/>
      <c r="I4412" s="990"/>
      <c r="J4412" s="990"/>
      <c r="K4412" s="990"/>
      <c r="L4412" s="990"/>
      <c r="M4412" s="990"/>
      <c r="N4412" s="990"/>
      <c r="O4412" s="990"/>
      <c r="P4412" s="990"/>
      <c r="Q4412" s="990"/>
      <c r="R4412" s="990"/>
      <c r="S4412" s="990"/>
      <c r="T4412" s="990"/>
      <c r="U4412" s="990"/>
      <c r="V4412" s="990"/>
      <c r="W4412" s="990"/>
      <c r="X4412" s="990"/>
    </row>
    <row r="4413" spans="1:24" s="896" customFormat="1">
      <c r="A4413" s="987">
        <f t="shared" si="69"/>
        <v>4339</v>
      </c>
      <c r="B4413" s="988">
        <v>40395</v>
      </c>
      <c r="C4413" s="899" t="s">
        <v>13739</v>
      </c>
      <c r="D4413" s="988" t="s">
        <v>2666</v>
      </c>
      <c r="E4413" s="989">
        <v>108.19</v>
      </c>
      <c r="F4413" s="990"/>
      <c r="G4413" s="990"/>
      <c r="H4413" s="990"/>
      <c r="I4413" s="990"/>
      <c r="J4413" s="990"/>
      <c r="K4413" s="990"/>
      <c r="L4413" s="990"/>
      <c r="M4413" s="990"/>
      <c r="N4413" s="990"/>
      <c r="O4413" s="990"/>
      <c r="P4413" s="990"/>
      <c r="Q4413" s="990"/>
      <c r="R4413" s="990"/>
      <c r="S4413" s="990"/>
      <c r="T4413" s="990"/>
      <c r="U4413" s="990"/>
      <c r="V4413" s="990"/>
      <c r="W4413" s="990"/>
      <c r="X4413" s="990"/>
    </row>
    <row r="4414" spans="1:24" s="896" customFormat="1">
      <c r="A4414" s="987">
        <f t="shared" si="69"/>
        <v>4340</v>
      </c>
      <c r="B4414" s="988">
        <v>40392</v>
      </c>
      <c r="C4414" s="899" t="s">
        <v>13740</v>
      </c>
      <c r="D4414" s="988" t="s">
        <v>2666</v>
      </c>
      <c r="E4414" s="989">
        <v>34.81</v>
      </c>
      <c r="F4414" s="990"/>
      <c r="G4414" s="990"/>
      <c r="H4414" s="990"/>
      <c r="I4414" s="990"/>
      <c r="J4414" s="990"/>
      <c r="K4414" s="990"/>
      <c r="L4414" s="990"/>
      <c r="M4414" s="990"/>
      <c r="N4414" s="990"/>
      <c r="O4414" s="990"/>
      <c r="P4414" s="990"/>
      <c r="Q4414" s="990"/>
      <c r="R4414" s="990"/>
      <c r="S4414" s="990"/>
      <c r="T4414" s="990"/>
      <c r="U4414" s="990"/>
      <c r="V4414" s="990"/>
      <c r="W4414" s="990"/>
      <c r="X4414" s="990"/>
    </row>
    <row r="4415" spans="1:24" s="896" customFormat="1">
      <c r="A4415" s="987">
        <f t="shared" si="69"/>
        <v>4341</v>
      </c>
      <c r="B4415" s="988">
        <v>40394</v>
      </c>
      <c r="C4415" s="899" t="s">
        <v>13741</v>
      </c>
      <c r="D4415" s="988" t="s">
        <v>2666</v>
      </c>
      <c r="E4415" s="989">
        <v>70.44</v>
      </c>
      <c r="F4415" s="990"/>
      <c r="G4415" s="990"/>
      <c r="H4415" s="990"/>
      <c r="I4415" s="990"/>
      <c r="J4415" s="990"/>
      <c r="K4415" s="990"/>
      <c r="L4415" s="990"/>
      <c r="M4415" s="990"/>
      <c r="N4415" s="990"/>
      <c r="O4415" s="990"/>
      <c r="P4415" s="990"/>
      <c r="Q4415" s="990"/>
      <c r="R4415" s="990"/>
      <c r="S4415" s="990"/>
      <c r="T4415" s="990"/>
      <c r="U4415" s="990"/>
      <c r="V4415" s="990"/>
      <c r="W4415" s="990"/>
      <c r="X4415" s="990"/>
    </row>
    <row r="4416" spans="1:24" s="896" customFormat="1">
      <c r="A4416" s="987">
        <f t="shared" si="69"/>
        <v>4342</v>
      </c>
      <c r="B4416" s="988">
        <v>40398</v>
      </c>
      <c r="C4416" s="899" t="s">
        <v>13742</v>
      </c>
      <c r="D4416" s="988" t="s">
        <v>2666</v>
      </c>
      <c r="E4416" s="989">
        <v>452.27</v>
      </c>
      <c r="F4416" s="990"/>
      <c r="G4416" s="990"/>
      <c r="H4416" s="990"/>
      <c r="I4416" s="990"/>
      <c r="J4416" s="990"/>
      <c r="K4416" s="990"/>
      <c r="L4416" s="990"/>
      <c r="M4416" s="990"/>
      <c r="N4416" s="990"/>
      <c r="O4416" s="990"/>
      <c r="P4416" s="990"/>
      <c r="Q4416" s="990"/>
      <c r="R4416" s="990"/>
      <c r="S4416" s="990"/>
      <c r="T4416" s="990"/>
      <c r="U4416" s="990"/>
      <c r="V4416" s="990"/>
      <c r="W4416" s="990"/>
      <c r="X4416" s="990"/>
    </row>
    <row r="4417" spans="1:24" s="896" customFormat="1">
      <c r="A4417" s="987">
        <f t="shared" si="69"/>
        <v>4343</v>
      </c>
      <c r="B4417" s="988">
        <v>40397</v>
      </c>
      <c r="C4417" s="899" t="s">
        <v>13743</v>
      </c>
      <c r="D4417" s="988" t="s">
        <v>2666</v>
      </c>
      <c r="E4417" s="989">
        <v>231.61</v>
      </c>
      <c r="F4417" s="990"/>
      <c r="G4417" s="990"/>
      <c r="H4417" s="990"/>
      <c r="I4417" s="990"/>
      <c r="J4417" s="990"/>
      <c r="K4417" s="990"/>
      <c r="L4417" s="990"/>
      <c r="M4417" s="990"/>
      <c r="N4417" s="990"/>
      <c r="O4417" s="990"/>
      <c r="P4417" s="990"/>
      <c r="Q4417" s="990"/>
      <c r="R4417" s="990"/>
      <c r="S4417" s="990"/>
      <c r="T4417" s="990"/>
      <c r="U4417" s="990"/>
      <c r="V4417" s="990"/>
      <c r="W4417" s="990"/>
      <c r="X4417" s="990"/>
    </row>
    <row r="4418" spans="1:24" s="896" customFormat="1">
      <c r="A4418" s="987">
        <f t="shared" si="69"/>
        <v>4344</v>
      </c>
      <c r="B4418" s="988">
        <v>40393</v>
      </c>
      <c r="C4418" s="899" t="s">
        <v>13744</v>
      </c>
      <c r="D4418" s="988" t="s">
        <v>2666</v>
      </c>
      <c r="E4418" s="989">
        <v>44.84</v>
      </c>
      <c r="F4418" s="990"/>
      <c r="G4418" s="990"/>
      <c r="H4418" s="990"/>
      <c r="I4418" s="990"/>
      <c r="J4418" s="990"/>
      <c r="K4418" s="990"/>
      <c r="L4418" s="990"/>
      <c r="M4418" s="990"/>
      <c r="N4418" s="990"/>
      <c r="O4418" s="990"/>
      <c r="P4418" s="990"/>
      <c r="Q4418" s="990"/>
      <c r="R4418" s="990"/>
      <c r="S4418" s="990"/>
      <c r="T4418" s="990"/>
      <c r="U4418" s="990"/>
      <c r="V4418" s="990"/>
      <c r="W4418" s="990"/>
      <c r="X4418" s="990"/>
    </row>
    <row r="4419" spans="1:24" s="896" customFormat="1">
      <c r="A4419" s="987">
        <f t="shared" si="69"/>
        <v>4345</v>
      </c>
      <c r="B4419" s="988">
        <v>40399</v>
      </c>
      <c r="C4419" s="899" t="s">
        <v>13745</v>
      </c>
      <c r="D4419" s="988" t="s">
        <v>2666</v>
      </c>
      <c r="E4419" s="989">
        <v>739.91</v>
      </c>
      <c r="F4419" s="990"/>
      <c r="G4419" s="990"/>
      <c r="H4419" s="990"/>
      <c r="I4419" s="990"/>
      <c r="J4419" s="990"/>
      <c r="K4419" s="990"/>
      <c r="L4419" s="990"/>
      <c r="M4419" s="990"/>
      <c r="N4419" s="990"/>
      <c r="O4419" s="990"/>
      <c r="P4419" s="990"/>
      <c r="Q4419" s="990"/>
      <c r="R4419" s="990"/>
      <c r="S4419" s="990"/>
      <c r="T4419" s="990"/>
      <c r="U4419" s="990"/>
      <c r="V4419" s="990"/>
      <c r="W4419" s="990"/>
      <c r="X4419" s="990"/>
    </row>
    <row r="4420" spans="1:24" s="896" customFormat="1">
      <c r="A4420" s="987">
        <f t="shared" si="69"/>
        <v>4346</v>
      </c>
      <c r="B4420" s="988">
        <v>39322</v>
      </c>
      <c r="C4420" s="899" t="s">
        <v>13746</v>
      </c>
      <c r="D4420" s="988" t="s">
        <v>2666</v>
      </c>
      <c r="E4420" s="989">
        <v>18.28</v>
      </c>
      <c r="F4420" s="990"/>
      <c r="G4420" s="990"/>
      <c r="H4420" s="990"/>
      <c r="I4420" s="990"/>
      <c r="J4420" s="990"/>
      <c r="K4420" s="990"/>
      <c r="L4420" s="990"/>
      <c r="M4420" s="990"/>
      <c r="N4420" s="990"/>
      <c r="O4420" s="990"/>
      <c r="P4420" s="990"/>
      <c r="Q4420" s="990"/>
      <c r="R4420" s="990"/>
      <c r="S4420" s="990"/>
      <c r="T4420" s="990"/>
      <c r="U4420" s="990"/>
      <c r="V4420" s="990"/>
      <c r="W4420" s="990"/>
      <c r="X4420" s="990"/>
    </row>
    <row r="4421" spans="1:24" s="896" customFormat="1">
      <c r="A4421" s="987">
        <f t="shared" si="69"/>
        <v>4347</v>
      </c>
      <c r="B4421" s="988">
        <v>39289</v>
      </c>
      <c r="C4421" s="899" t="s">
        <v>13747</v>
      </c>
      <c r="D4421" s="988" t="s">
        <v>2666</v>
      </c>
      <c r="E4421" s="989">
        <v>21.9</v>
      </c>
      <c r="F4421" s="990"/>
      <c r="G4421" s="990"/>
      <c r="H4421" s="990"/>
      <c r="I4421" s="990"/>
      <c r="J4421" s="990"/>
      <c r="K4421" s="990"/>
      <c r="L4421" s="990"/>
      <c r="M4421" s="990"/>
      <c r="N4421" s="990"/>
      <c r="O4421" s="990"/>
      <c r="P4421" s="990"/>
      <c r="Q4421" s="990"/>
      <c r="R4421" s="990"/>
      <c r="S4421" s="990"/>
      <c r="T4421" s="990"/>
      <c r="U4421" s="990"/>
      <c r="V4421" s="990"/>
      <c r="W4421" s="990"/>
      <c r="X4421" s="990"/>
    </row>
    <row r="4422" spans="1:24" s="896" customFormat="1">
      <c r="A4422" s="987">
        <f t="shared" si="69"/>
        <v>4348</v>
      </c>
      <c r="B4422" s="988">
        <v>39290</v>
      </c>
      <c r="C4422" s="899" t="s">
        <v>13748</v>
      </c>
      <c r="D4422" s="988" t="s">
        <v>2666</v>
      </c>
      <c r="E4422" s="989">
        <v>37.17</v>
      </c>
      <c r="F4422" s="990"/>
      <c r="G4422" s="990"/>
      <c r="H4422" s="990"/>
      <c r="I4422" s="990"/>
      <c r="J4422" s="990"/>
      <c r="K4422" s="990"/>
      <c r="L4422" s="990"/>
      <c r="M4422" s="990"/>
      <c r="N4422" s="990"/>
      <c r="O4422" s="990"/>
      <c r="P4422" s="990"/>
      <c r="Q4422" s="990"/>
      <c r="R4422" s="990"/>
      <c r="S4422" s="990"/>
      <c r="T4422" s="990"/>
      <c r="U4422" s="990"/>
      <c r="V4422" s="990"/>
      <c r="W4422" s="990"/>
      <c r="X4422" s="990"/>
    </row>
    <row r="4423" spans="1:24" s="896" customFormat="1">
      <c r="A4423" s="987">
        <f t="shared" si="69"/>
        <v>4349</v>
      </c>
      <c r="B4423" s="988">
        <v>39291</v>
      </c>
      <c r="C4423" s="899" t="s">
        <v>13749</v>
      </c>
      <c r="D4423" s="988" t="s">
        <v>2666</v>
      </c>
      <c r="E4423" s="989">
        <v>55.65</v>
      </c>
      <c r="F4423" s="990"/>
      <c r="G4423" s="990"/>
      <c r="H4423" s="990"/>
      <c r="I4423" s="990"/>
      <c r="J4423" s="990"/>
      <c r="K4423" s="990"/>
      <c r="L4423" s="990"/>
      <c r="M4423" s="990"/>
      <c r="N4423" s="990"/>
      <c r="O4423" s="990"/>
      <c r="P4423" s="990"/>
      <c r="Q4423" s="990"/>
      <c r="R4423" s="990"/>
      <c r="S4423" s="990"/>
      <c r="T4423" s="990"/>
      <c r="U4423" s="990"/>
      <c r="V4423" s="990"/>
      <c r="W4423" s="990"/>
      <c r="X4423" s="990"/>
    </row>
    <row r="4424" spans="1:24" s="896" customFormat="1">
      <c r="A4424" s="987">
        <f t="shared" si="69"/>
        <v>4350</v>
      </c>
      <c r="B4424" s="988">
        <v>20174</v>
      </c>
      <c r="C4424" s="899" t="s">
        <v>13750</v>
      </c>
      <c r="D4424" s="988" t="s">
        <v>2666</v>
      </c>
      <c r="E4424" s="989">
        <v>52.71</v>
      </c>
      <c r="F4424" s="990"/>
      <c r="G4424" s="990"/>
      <c r="H4424" s="990"/>
      <c r="I4424" s="990"/>
      <c r="J4424" s="990"/>
      <c r="K4424" s="990"/>
      <c r="L4424" s="990"/>
      <c r="M4424" s="990"/>
      <c r="N4424" s="990"/>
      <c r="O4424" s="990"/>
      <c r="P4424" s="990"/>
      <c r="Q4424" s="990"/>
      <c r="R4424" s="990"/>
      <c r="S4424" s="990"/>
      <c r="T4424" s="990"/>
      <c r="U4424" s="990"/>
      <c r="V4424" s="990"/>
      <c r="W4424" s="990"/>
      <c r="X4424" s="990"/>
    </row>
    <row r="4425" spans="1:24" s="896" customFormat="1">
      <c r="A4425" s="987">
        <f t="shared" si="69"/>
        <v>4351</v>
      </c>
      <c r="B4425" s="988">
        <v>41892</v>
      </c>
      <c r="C4425" s="899" t="s">
        <v>13751</v>
      </c>
      <c r="D4425" s="988" t="s">
        <v>2666</v>
      </c>
      <c r="E4425" s="989">
        <v>141.36000000000001</v>
      </c>
      <c r="F4425" s="990"/>
      <c r="G4425" s="990"/>
      <c r="H4425" s="990"/>
      <c r="I4425" s="990"/>
      <c r="J4425" s="990"/>
      <c r="K4425" s="990"/>
      <c r="L4425" s="990"/>
      <c r="M4425" s="990"/>
      <c r="N4425" s="990"/>
      <c r="O4425" s="990"/>
      <c r="P4425" s="990"/>
      <c r="Q4425" s="990"/>
      <c r="R4425" s="990"/>
      <c r="S4425" s="990"/>
      <c r="T4425" s="990"/>
      <c r="U4425" s="990"/>
      <c r="V4425" s="990"/>
      <c r="W4425" s="990"/>
      <c r="X4425" s="990"/>
    </row>
    <row r="4426" spans="1:24" s="896" customFormat="1">
      <c r="A4426" s="987">
        <f t="shared" si="69"/>
        <v>4352</v>
      </c>
      <c r="B4426" s="988">
        <v>7048</v>
      </c>
      <c r="C4426" s="899" t="s">
        <v>13752</v>
      </c>
      <c r="D4426" s="988" t="s">
        <v>2666</v>
      </c>
      <c r="E4426" s="989">
        <v>30.51</v>
      </c>
      <c r="F4426" s="990"/>
      <c r="G4426" s="990"/>
      <c r="H4426" s="990"/>
      <c r="I4426" s="990"/>
      <c r="J4426" s="990"/>
      <c r="K4426" s="990"/>
      <c r="L4426" s="990"/>
      <c r="M4426" s="990"/>
      <c r="N4426" s="990"/>
      <c r="O4426" s="990"/>
      <c r="P4426" s="990"/>
      <c r="Q4426" s="990"/>
      <c r="R4426" s="990"/>
      <c r="S4426" s="990"/>
      <c r="T4426" s="990"/>
      <c r="U4426" s="990"/>
      <c r="V4426" s="990"/>
      <c r="W4426" s="990"/>
      <c r="X4426" s="990"/>
    </row>
    <row r="4427" spans="1:24" s="896" customFormat="1">
      <c r="A4427" s="987">
        <f t="shared" si="69"/>
        <v>4353</v>
      </c>
      <c r="B4427" s="988">
        <v>7088</v>
      </c>
      <c r="C4427" s="899" t="s">
        <v>13753</v>
      </c>
      <c r="D4427" s="988" t="s">
        <v>2666</v>
      </c>
      <c r="E4427" s="989">
        <v>66.72</v>
      </c>
      <c r="F4427" s="990"/>
      <c r="G4427" s="990"/>
      <c r="H4427" s="990"/>
      <c r="I4427" s="990"/>
      <c r="J4427" s="990"/>
      <c r="K4427" s="990"/>
      <c r="L4427" s="990"/>
      <c r="M4427" s="990"/>
      <c r="N4427" s="990"/>
      <c r="O4427" s="990"/>
      <c r="P4427" s="990"/>
      <c r="Q4427" s="990"/>
      <c r="R4427" s="990"/>
      <c r="S4427" s="990"/>
      <c r="T4427" s="990"/>
      <c r="U4427" s="990"/>
      <c r="V4427" s="990"/>
      <c r="W4427" s="990"/>
      <c r="X4427" s="990"/>
    </row>
    <row r="4428" spans="1:24" s="896" customFormat="1">
      <c r="A4428" s="987">
        <f t="shared" ref="A4428:A4491" si="70">A4427+1</f>
        <v>4354</v>
      </c>
      <c r="B4428" s="988">
        <v>20179</v>
      </c>
      <c r="C4428" s="899" t="s">
        <v>13754</v>
      </c>
      <c r="D4428" s="988" t="s">
        <v>2666</v>
      </c>
      <c r="E4428" s="989">
        <v>70.959999999999994</v>
      </c>
      <c r="F4428" s="990"/>
      <c r="G4428" s="990"/>
      <c r="H4428" s="990"/>
      <c r="I4428" s="990"/>
      <c r="J4428" s="990"/>
      <c r="K4428" s="990"/>
      <c r="L4428" s="990"/>
      <c r="M4428" s="990"/>
      <c r="N4428" s="990"/>
      <c r="O4428" s="990"/>
      <c r="P4428" s="990"/>
      <c r="Q4428" s="990"/>
      <c r="R4428" s="990"/>
      <c r="S4428" s="990"/>
      <c r="T4428" s="990"/>
      <c r="U4428" s="990"/>
      <c r="V4428" s="990"/>
      <c r="W4428" s="990"/>
      <c r="X4428" s="990"/>
    </row>
    <row r="4429" spans="1:24" s="896" customFormat="1">
      <c r="A4429" s="987">
        <f t="shared" si="70"/>
        <v>4355</v>
      </c>
      <c r="B4429" s="988">
        <v>20178</v>
      </c>
      <c r="C4429" s="899" t="s">
        <v>13755</v>
      </c>
      <c r="D4429" s="988" t="s">
        <v>2666</v>
      </c>
      <c r="E4429" s="989">
        <v>62.71</v>
      </c>
      <c r="F4429" s="990"/>
      <c r="G4429" s="990"/>
      <c r="H4429" s="990"/>
      <c r="I4429" s="990"/>
      <c r="J4429" s="990"/>
      <c r="K4429" s="990"/>
      <c r="L4429" s="990"/>
      <c r="M4429" s="990"/>
      <c r="N4429" s="990"/>
      <c r="O4429" s="990"/>
      <c r="P4429" s="990"/>
      <c r="Q4429" s="990"/>
      <c r="R4429" s="990"/>
      <c r="S4429" s="990"/>
      <c r="T4429" s="990"/>
      <c r="U4429" s="990"/>
      <c r="V4429" s="990"/>
      <c r="W4429" s="990"/>
      <c r="X4429" s="990"/>
    </row>
    <row r="4430" spans="1:24" s="896" customFormat="1">
      <c r="A4430" s="987">
        <f t="shared" si="70"/>
        <v>4356</v>
      </c>
      <c r="B4430" s="988">
        <v>20180</v>
      </c>
      <c r="C4430" s="899" t="s">
        <v>13756</v>
      </c>
      <c r="D4430" s="988" t="s">
        <v>2666</v>
      </c>
      <c r="E4430" s="989">
        <v>115.23</v>
      </c>
      <c r="F4430" s="990"/>
      <c r="G4430" s="990"/>
      <c r="H4430" s="990"/>
      <c r="I4430" s="990"/>
      <c r="J4430" s="990"/>
      <c r="K4430" s="990"/>
      <c r="L4430" s="990"/>
      <c r="M4430" s="990"/>
      <c r="N4430" s="990"/>
      <c r="O4430" s="990"/>
      <c r="P4430" s="990"/>
      <c r="Q4430" s="990"/>
      <c r="R4430" s="990"/>
      <c r="S4430" s="990"/>
      <c r="T4430" s="990"/>
      <c r="U4430" s="990"/>
      <c r="V4430" s="990"/>
      <c r="W4430" s="990"/>
      <c r="X4430" s="990"/>
    </row>
    <row r="4431" spans="1:24" s="896" customFormat="1">
      <c r="A4431" s="987">
        <f t="shared" si="70"/>
        <v>4357</v>
      </c>
      <c r="B4431" s="988">
        <v>20181</v>
      </c>
      <c r="C4431" s="899" t="s">
        <v>13757</v>
      </c>
      <c r="D4431" s="988" t="s">
        <v>2666</v>
      </c>
      <c r="E4431" s="989">
        <v>170.94</v>
      </c>
      <c r="F4431" s="990"/>
      <c r="G4431" s="990"/>
      <c r="H4431" s="990"/>
      <c r="I4431" s="990"/>
      <c r="J4431" s="990"/>
      <c r="K4431" s="990"/>
      <c r="L4431" s="990"/>
      <c r="M4431" s="990"/>
      <c r="N4431" s="990"/>
      <c r="O4431" s="990"/>
      <c r="P4431" s="990"/>
      <c r="Q4431" s="990"/>
      <c r="R4431" s="990"/>
      <c r="S4431" s="990"/>
      <c r="T4431" s="990"/>
      <c r="U4431" s="990"/>
      <c r="V4431" s="990"/>
      <c r="W4431" s="990"/>
      <c r="X4431" s="990"/>
    </row>
    <row r="4432" spans="1:24" s="896" customFormat="1">
      <c r="A4432" s="987">
        <f t="shared" si="70"/>
        <v>4358</v>
      </c>
      <c r="B4432" s="988">
        <v>20177</v>
      </c>
      <c r="C4432" s="899" t="s">
        <v>13758</v>
      </c>
      <c r="D4432" s="988" t="s">
        <v>2666</v>
      </c>
      <c r="E4432" s="989">
        <v>41.1</v>
      </c>
      <c r="F4432" s="990"/>
      <c r="G4432" s="990"/>
      <c r="H4432" s="990"/>
      <c r="I4432" s="990"/>
      <c r="J4432" s="990"/>
      <c r="K4432" s="990"/>
      <c r="L4432" s="990"/>
      <c r="M4432" s="990"/>
      <c r="N4432" s="990"/>
      <c r="O4432" s="990"/>
      <c r="P4432" s="990"/>
      <c r="Q4432" s="990"/>
      <c r="R4432" s="990"/>
      <c r="S4432" s="990"/>
      <c r="T4432" s="990"/>
      <c r="U4432" s="990"/>
      <c r="V4432" s="990"/>
      <c r="W4432" s="990"/>
      <c r="X4432" s="990"/>
    </row>
    <row r="4433" spans="1:24" s="896" customFormat="1">
      <c r="A4433" s="987">
        <f t="shared" si="70"/>
        <v>4359</v>
      </c>
      <c r="B4433" s="988">
        <v>7082</v>
      </c>
      <c r="C4433" s="899" t="s">
        <v>13759</v>
      </c>
      <c r="D4433" s="988" t="s">
        <v>2666</v>
      </c>
      <c r="E4433" s="989">
        <v>55.17</v>
      </c>
      <c r="F4433" s="990"/>
      <c r="G4433" s="990"/>
      <c r="H4433" s="990"/>
      <c r="I4433" s="990"/>
      <c r="J4433" s="990"/>
      <c r="K4433" s="990"/>
      <c r="L4433" s="990"/>
      <c r="M4433" s="990"/>
      <c r="N4433" s="990"/>
      <c r="O4433" s="990"/>
      <c r="P4433" s="990"/>
      <c r="Q4433" s="990"/>
      <c r="R4433" s="990"/>
      <c r="S4433" s="990"/>
      <c r="T4433" s="990"/>
      <c r="U4433" s="990"/>
      <c r="V4433" s="990"/>
      <c r="W4433" s="990"/>
      <c r="X4433" s="990"/>
    </row>
    <row r="4434" spans="1:24" s="896" customFormat="1" ht="25.5">
      <c r="A4434" s="987">
        <f t="shared" si="70"/>
        <v>4360</v>
      </c>
      <c r="B4434" s="988">
        <v>42707</v>
      </c>
      <c r="C4434" s="899" t="s">
        <v>13760</v>
      </c>
      <c r="D4434" s="988" t="s">
        <v>2666</v>
      </c>
      <c r="E4434" s="989">
        <v>149.84</v>
      </c>
      <c r="F4434" s="990"/>
      <c r="G4434" s="990"/>
      <c r="H4434" s="990"/>
      <c r="I4434" s="990"/>
      <c r="J4434" s="990"/>
      <c r="K4434" s="990"/>
      <c r="L4434" s="990"/>
      <c r="M4434" s="990"/>
      <c r="N4434" s="990"/>
      <c r="O4434" s="990"/>
      <c r="P4434" s="990"/>
      <c r="Q4434" s="990"/>
      <c r="R4434" s="990"/>
      <c r="S4434" s="990"/>
      <c r="T4434" s="990"/>
      <c r="U4434" s="990"/>
      <c r="V4434" s="990"/>
      <c r="W4434" s="990"/>
      <c r="X4434" s="990"/>
    </row>
    <row r="4435" spans="1:24" s="896" customFormat="1">
      <c r="A4435" s="987">
        <f t="shared" si="70"/>
        <v>4361</v>
      </c>
      <c r="B4435" s="988">
        <v>7069</v>
      </c>
      <c r="C4435" s="899" t="s">
        <v>13761</v>
      </c>
      <c r="D4435" s="988" t="s">
        <v>2666</v>
      </c>
      <c r="E4435" s="989">
        <v>122.45</v>
      </c>
      <c r="F4435" s="990"/>
      <c r="G4435" s="990"/>
      <c r="H4435" s="990"/>
      <c r="I4435" s="990"/>
      <c r="J4435" s="990"/>
      <c r="K4435" s="990"/>
      <c r="L4435" s="990"/>
      <c r="M4435" s="990"/>
      <c r="N4435" s="990"/>
      <c r="O4435" s="990"/>
      <c r="P4435" s="990"/>
      <c r="Q4435" s="990"/>
      <c r="R4435" s="990"/>
      <c r="S4435" s="990"/>
      <c r="T4435" s="990"/>
      <c r="U4435" s="990"/>
      <c r="V4435" s="990"/>
      <c r="W4435" s="990"/>
      <c r="X4435" s="990"/>
    </row>
    <row r="4436" spans="1:24" s="896" customFormat="1" ht="25.5">
      <c r="A4436" s="987">
        <f t="shared" si="70"/>
        <v>4362</v>
      </c>
      <c r="B4436" s="988">
        <v>42708</v>
      </c>
      <c r="C4436" s="899" t="s">
        <v>13762</v>
      </c>
      <c r="D4436" s="988" t="s">
        <v>2666</v>
      </c>
      <c r="E4436" s="989">
        <v>393.29</v>
      </c>
      <c r="F4436" s="990"/>
      <c r="G4436" s="990"/>
      <c r="H4436" s="990"/>
      <c r="I4436" s="990"/>
      <c r="J4436" s="990"/>
      <c r="K4436" s="990"/>
      <c r="L4436" s="990"/>
      <c r="M4436" s="990"/>
      <c r="N4436" s="990"/>
      <c r="O4436" s="990"/>
      <c r="P4436" s="990"/>
      <c r="Q4436" s="990"/>
      <c r="R4436" s="990"/>
      <c r="S4436" s="990"/>
      <c r="T4436" s="990"/>
      <c r="U4436" s="990"/>
      <c r="V4436" s="990"/>
      <c r="W4436" s="990"/>
      <c r="X4436" s="990"/>
    </row>
    <row r="4437" spans="1:24" s="896" customFormat="1">
      <c r="A4437" s="987">
        <f t="shared" si="70"/>
        <v>4363</v>
      </c>
      <c r="B4437" s="988">
        <v>7070</v>
      </c>
      <c r="C4437" s="899" t="s">
        <v>13763</v>
      </c>
      <c r="D4437" s="988" t="s">
        <v>2666</v>
      </c>
      <c r="E4437" s="989">
        <v>175.35</v>
      </c>
      <c r="F4437" s="990"/>
      <c r="G4437" s="990"/>
      <c r="H4437" s="990"/>
      <c r="I4437" s="990"/>
      <c r="J4437" s="990"/>
      <c r="K4437" s="990"/>
      <c r="L4437" s="990"/>
      <c r="M4437" s="990"/>
      <c r="N4437" s="990"/>
      <c r="O4437" s="990"/>
      <c r="P4437" s="990"/>
      <c r="Q4437" s="990"/>
      <c r="R4437" s="990"/>
      <c r="S4437" s="990"/>
      <c r="T4437" s="990"/>
      <c r="U4437" s="990"/>
      <c r="V4437" s="990"/>
      <c r="W4437" s="990"/>
      <c r="X4437" s="990"/>
    </row>
    <row r="4438" spans="1:24" s="896" customFormat="1" ht="25.5">
      <c r="A4438" s="987">
        <f t="shared" si="70"/>
        <v>4364</v>
      </c>
      <c r="B4438" s="988">
        <v>42709</v>
      </c>
      <c r="C4438" s="899" t="s">
        <v>13764</v>
      </c>
      <c r="D4438" s="988" t="s">
        <v>2666</v>
      </c>
      <c r="E4438" s="989">
        <v>588.17999999999995</v>
      </c>
      <c r="F4438" s="990"/>
      <c r="G4438" s="990"/>
      <c r="H4438" s="990"/>
      <c r="I4438" s="990"/>
      <c r="J4438" s="990"/>
      <c r="K4438" s="990"/>
      <c r="L4438" s="990"/>
      <c r="M4438" s="990"/>
      <c r="N4438" s="990"/>
      <c r="O4438" s="990"/>
      <c r="P4438" s="990"/>
      <c r="Q4438" s="990"/>
      <c r="R4438" s="990"/>
      <c r="S4438" s="990"/>
      <c r="T4438" s="990"/>
      <c r="U4438" s="990"/>
      <c r="V4438" s="990"/>
      <c r="W4438" s="990"/>
      <c r="X4438" s="990"/>
    </row>
    <row r="4439" spans="1:24" s="896" customFormat="1" ht="25.5">
      <c r="A4439" s="987">
        <f t="shared" si="70"/>
        <v>4365</v>
      </c>
      <c r="B4439" s="988">
        <v>42710</v>
      </c>
      <c r="C4439" s="899" t="s">
        <v>13765</v>
      </c>
      <c r="D4439" s="988" t="s">
        <v>2666</v>
      </c>
      <c r="E4439" s="989">
        <v>1690.73</v>
      </c>
      <c r="F4439" s="990"/>
      <c r="G4439" s="990"/>
      <c r="H4439" s="990"/>
      <c r="I4439" s="990"/>
      <c r="J4439" s="990"/>
      <c r="K4439" s="990"/>
      <c r="L4439" s="990"/>
      <c r="M4439" s="990"/>
      <c r="N4439" s="990"/>
      <c r="O4439" s="990"/>
      <c r="P4439" s="990"/>
      <c r="Q4439" s="990"/>
      <c r="R4439" s="990"/>
      <c r="S4439" s="990"/>
      <c r="T4439" s="990"/>
      <c r="U4439" s="990"/>
      <c r="V4439" s="990"/>
      <c r="W4439" s="990"/>
      <c r="X4439" s="990"/>
    </row>
    <row r="4440" spans="1:24" s="896" customFormat="1" ht="25.5">
      <c r="A4440" s="987">
        <f t="shared" si="70"/>
        <v>4366</v>
      </c>
      <c r="B4440" s="988">
        <v>42716</v>
      </c>
      <c r="C4440" s="899" t="s">
        <v>13766</v>
      </c>
      <c r="D4440" s="988" t="s">
        <v>2666</v>
      </c>
      <c r="E4440" s="989">
        <v>2104.41</v>
      </c>
      <c r="F4440" s="990"/>
      <c r="G4440" s="990"/>
      <c r="H4440" s="990"/>
      <c r="I4440" s="990"/>
      <c r="J4440" s="990"/>
      <c r="K4440" s="990"/>
      <c r="L4440" s="990"/>
      <c r="M4440" s="990"/>
      <c r="N4440" s="990"/>
      <c r="O4440" s="990"/>
      <c r="P4440" s="990"/>
      <c r="Q4440" s="990"/>
      <c r="R4440" s="990"/>
      <c r="S4440" s="990"/>
      <c r="T4440" s="990"/>
      <c r="U4440" s="990"/>
      <c r="V4440" s="990"/>
      <c r="W4440" s="990"/>
      <c r="X4440" s="990"/>
    </row>
    <row r="4441" spans="1:24" s="896" customFormat="1">
      <c r="A4441" s="987">
        <f t="shared" si="70"/>
        <v>4367</v>
      </c>
      <c r="B4441" s="988">
        <v>20172</v>
      </c>
      <c r="C4441" s="899" t="s">
        <v>13767</v>
      </c>
      <c r="D4441" s="988" t="s">
        <v>2666</v>
      </c>
      <c r="E4441" s="989">
        <v>40.46</v>
      </c>
      <c r="F4441" s="990"/>
      <c r="G4441" s="990"/>
      <c r="H4441" s="990"/>
      <c r="I4441" s="990"/>
      <c r="J4441" s="990"/>
      <c r="K4441" s="990"/>
      <c r="L4441" s="990"/>
      <c r="M4441" s="990"/>
      <c r="N4441" s="990"/>
      <c r="O4441" s="990"/>
      <c r="P4441" s="990"/>
      <c r="Q4441" s="990"/>
      <c r="R4441" s="990"/>
      <c r="S4441" s="990"/>
      <c r="T4441" s="990"/>
      <c r="U4441" s="990"/>
      <c r="V4441" s="990"/>
      <c r="W4441" s="990"/>
      <c r="X4441" s="990"/>
    </row>
    <row r="4442" spans="1:24" s="896" customFormat="1">
      <c r="A4442" s="987">
        <f t="shared" si="70"/>
        <v>4368</v>
      </c>
      <c r="B4442" s="988">
        <v>40945</v>
      </c>
      <c r="C4442" s="899" t="s">
        <v>13768</v>
      </c>
      <c r="D4442" s="988" t="s">
        <v>2665</v>
      </c>
      <c r="E4442" s="989">
        <v>18.899999999999999</v>
      </c>
      <c r="F4442" s="990"/>
      <c r="G4442" s="990"/>
      <c r="H4442" s="990"/>
      <c r="I4442" s="990"/>
      <c r="J4442" s="990"/>
      <c r="K4442" s="990"/>
      <c r="L4442" s="990"/>
      <c r="M4442" s="990"/>
      <c r="N4442" s="990"/>
      <c r="O4442" s="990"/>
      <c r="P4442" s="990"/>
      <c r="Q4442" s="990"/>
      <c r="R4442" s="990"/>
      <c r="S4442" s="990"/>
      <c r="T4442" s="990"/>
      <c r="U4442" s="990"/>
      <c r="V4442" s="990"/>
      <c r="W4442" s="990"/>
      <c r="X4442" s="990"/>
    </row>
    <row r="4443" spans="1:24" s="896" customFormat="1">
      <c r="A4443" s="987">
        <f t="shared" si="70"/>
        <v>4369</v>
      </c>
      <c r="B4443" s="988">
        <v>40946</v>
      </c>
      <c r="C4443" s="899" t="s">
        <v>13769</v>
      </c>
      <c r="D4443" s="988" t="s">
        <v>2672</v>
      </c>
      <c r="E4443" s="989">
        <v>3324.39</v>
      </c>
      <c r="F4443" s="990"/>
      <c r="G4443" s="990"/>
      <c r="H4443" s="990"/>
      <c r="I4443" s="990"/>
      <c r="J4443" s="990"/>
      <c r="K4443" s="990"/>
      <c r="L4443" s="990"/>
      <c r="M4443" s="990"/>
      <c r="N4443" s="990"/>
      <c r="O4443" s="990"/>
      <c r="P4443" s="990"/>
      <c r="Q4443" s="990"/>
      <c r="R4443" s="990"/>
      <c r="S4443" s="990"/>
      <c r="T4443" s="990"/>
      <c r="U4443" s="990"/>
      <c r="V4443" s="990"/>
      <c r="W4443" s="990"/>
      <c r="X4443" s="990"/>
    </row>
    <row r="4444" spans="1:24" s="896" customFormat="1">
      <c r="A4444" s="987">
        <f t="shared" si="70"/>
        <v>4370</v>
      </c>
      <c r="B4444" s="988">
        <v>7153</v>
      </c>
      <c r="C4444" s="899" t="s">
        <v>13770</v>
      </c>
      <c r="D4444" s="988" t="s">
        <v>2665</v>
      </c>
      <c r="E4444" s="989">
        <v>35.01</v>
      </c>
      <c r="F4444" s="990"/>
      <c r="G4444" s="990"/>
      <c r="H4444" s="990"/>
      <c r="I4444" s="990"/>
      <c r="J4444" s="990"/>
      <c r="K4444" s="990"/>
      <c r="L4444" s="990"/>
      <c r="M4444" s="990"/>
      <c r="N4444" s="990"/>
      <c r="O4444" s="990"/>
      <c r="P4444" s="990"/>
      <c r="Q4444" s="990"/>
      <c r="R4444" s="990"/>
      <c r="S4444" s="990"/>
      <c r="T4444" s="990"/>
      <c r="U4444" s="990"/>
      <c r="V4444" s="990"/>
      <c r="W4444" s="990"/>
      <c r="X4444" s="990"/>
    </row>
    <row r="4445" spans="1:24" s="896" customFormat="1">
      <c r="A4445" s="987">
        <f t="shared" si="70"/>
        <v>4371</v>
      </c>
      <c r="B4445" s="988">
        <v>41089</v>
      </c>
      <c r="C4445" s="899" t="s">
        <v>13771</v>
      </c>
      <c r="D4445" s="988" t="s">
        <v>2672</v>
      </c>
      <c r="E4445" s="989">
        <v>6155.24</v>
      </c>
      <c r="F4445" s="990"/>
      <c r="G4445" s="990"/>
      <c r="H4445" s="990"/>
      <c r="I4445" s="990"/>
      <c r="J4445" s="990"/>
      <c r="K4445" s="990"/>
      <c r="L4445" s="990"/>
      <c r="M4445" s="990"/>
      <c r="N4445" s="990"/>
      <c r="O4445" s="990"/>
      <c r="P4445" s="990"/>
      <c r="Q4445" s="990"/>
      <c r="R4445" s="990"/>
      <c r="S4445" s="990"/>
      <c r="T4445" s="990"/>
      <c r="U4445" s="990"/>
      <c r="V4445" s="990"/>
      <c r="W4445" s="990"/>
      <c r="X4445" s="990"/>
    </row>
    <row r="4446" spans="1:24" s="896" customFormat="1">
      <c r="A4446" s="987">
        <f t="shared" si="70"/>
        <v>4372</v>
      </c>
      <c r="B4446" s="988">
        <v>40943</v>
      </c>
      <c r="C4446" s="899" t="s">
        <v>13772</v>
      </c>
      <c r="D4446" s="988" t="s">
        <v>2665</v>
      </c>
      <c r="E4446" s="989">
        <v>31.96</v>
      </c>
      <c r="F4446" s="990"/>
      <c r="G4446" s="990"/>
      <c r="H4446" s="990"/>
      <c r="I4446" s="990"/>
      <c r="J4446" s="990"/>
      <c r="K4446" s="990"/>
      <c r="L4446" s="990"/>
      <c r="M4446" s="990"/>
      <c r="N4446" s="990"/>
      <c r="O4446" s="990"/>
      <c r="P4446" s="990"/>
      <c r="Q4446" s="990"/>
      <c r="R4446" s="990"/>
      <c r="S4446" s="990"/>
      <c r="T4446" s="990"/>
      <c r="U4446" s="990"/>
      <c r="V4446" s="990"/>
      <c r="W4446" s="990"/>
      <c r="X4446" s="990"/>
    </row>
    <row r="4447" spans="1:24" s="896" customFormat="1">
      <c r="A4447" s="987">
        <f t="shared" si="70"/>
        <v>4373</v>
      </c>
      <c r="B4447" s="988">
        <v>40944</v>
      </c>
      <c r="C4447" s="899" t="s">
        <v>13773</v>
      </c>
      <c r="D4447" s="988" t="s">
        <v>2672</v>
      </c>
      <c r="E4447" s="989">
        <v>5618.29</v>
      </c>
      <c r="F4447" s="990"/>
      <c r="G4447" s="990"/>
      <c r="H4447" s="990"/>
      <c r="I4447" s="990"/>
      <c r="J4447" s="990"/>
      <c r="K4447" s="990"/>
      <c r="L4447" s="990"/>
      <c r="M4447" s="990"/>
      <c r="N4447" s="990"/>
      <c r="O4447" s="990"/>
      <c r="P4447" s="990"/>
      <c r="Q4447" s="990"/>
      <c r="R4447" s="990"/>
      <c r="S4447" s="990"/>
      <c r="T4447" s="990"/>
      <c r="U4447" s="990"/>
      <c r="V4447" s="990"/>
      <c r="W4447" s="990"/>
      <c r="X4447" s="990"/>
    </row>
    <row r="4448" spans="1:24" s="896" customFormat="1">
      <c r="A4448" s="987">
        <f t="shared" si="70"/>
        <v>4374</v>
      </c>
      <c r="B4448" s="988">
        <v>6175</v>
      </c>
      <c r="C4448" s="899" t="s">
        <v>13774</v>
      </c>
      <c r="D4448" s="988" t="s">
        <v>2665</v>
      </c>
      <c r="E4448" s="989">
        <v>25.29</v>
      </c>
      <c r="F4448" s="990"/>
      <c r="G4448" s="990"/>
      <c r="H4448" s="990"/>
      <c r="I4448" s="990"/>
      <c r="J4448" s="990"/>
      <c r="K4448" s="990"/>
      <c r="L4448" s="990"/>
      <c r="M4448" s="990"/>
      <c r="N4448" s="990"/>
      <c r="O4448" s="990"/>
      <c r="P4448" s="990"/>
      <c r="Q4448" s="990"/>
      <c r="R4448" s="990"/>
      <c r="S4448" s="990"/>
      <c r="T4448" s="990"/>
      <c r="U4448" s="990"/>
      <c r="V4448" s="990"/>
      <c r="W4448" s="990"/>
      <c r="X4448" s="990"/>
    </row>
    <row r="4449" spans="1:24" s="896" customFormat="1">
      <c r="A4449" s="987">
        <f t="shared" si="70"/>
        <v>4375</v>
      </c>
      <c r="B4449" s="988">
        <v>41092</v>
      </c>
      <c r="C4449" s="899" t="s">
        <v>13775</v>
      </c>
      <c r="D4449" s="988" t="s">
        <v>2672</v>
      </c>
      <c r="E4449" s="989">
        <v>4448.59</v>
      </c>
      <c r="F4449" s="990"/>
      <c r="G4449" s="990"/>
      <c r="H4449" s="990"/>
      <c r="I4449" s="990"/>
      <c r="J4449" s="990"/>
      <c r="K4449" s="990"/>
      <c r="L4449" s="990"/>
      <c r="M4449" s="990"/>
      <c r="N4449" s="990"/>
      <c r="O4449" s="990"/>
      <c r="P4449" s="990"/>
      <c r="Q4449" s="990"/>
      <c r="R4449" s="990"/>
      <c r="S4449" s="990"/>
      <c r="T4449" s="990"/>
      <c r="U4449" s="990"/>
      <c r="V4449" s="990"/>
      <c r="W4449" s="990"/>
      <c r="X4449" s="990"/>
    </row>
    <row r="4450" spans="1:24" s="896" customFormat="1" ht="25.5">
      <c r="A4450" s="987">
        <f t="shared" si="70"/>
        <v>4376</v>
      </c>
      <c r="B4450" s="988">
        <v>37712</v>
      </c>
      <c r="C4450" s="899" t="s">
        <v>13776</v>
      </c>
      <c r="D4450" s="988" t="s">
        <v>2667</v>
      </c>
      <c r="E4450" s="989">
        <v>87.52</v>
      </c>
      <c r="F4450" s="990"/>
      <c r="G4450" s="990"/>
      <c r="H4450" s="990"/>
      <c r="I4450" s="990"/>
      <c r="J4450" s="990"/>
      <c r="K4450" s="990"/>
      <c r="L4450" s="990"/>
      <c r="M4450" s="990"/>
      <c r="N4450" s="990"/>
      <c r="O4450" s="990"/>
      <c r="P4450" s="990"/>
      <c r="Q4450" s="990"/>
      <c r="R4450" s="990"/>
      <c r="S4450" s="990"/>
      <c r="T4450" s="990"/>
      <c r="U4450" s="990"/>
      <c r="V4450" s="990"/>
      <c r="W4450" s="990"/>
      <c r="X4450" s="990"/>
    </row>
    <row r="4451" spans="1:24" s="896" customFormat="1" ht="25.5">
      <c r="A4451" s="987">
        <f t="shared" si="70"/>
        <v>4377</v>
      </c>
      <c r="B4451" s="988">
        <v>34547</v>
      </c>
      <c r="C4451" s="899" t="s">
        <v>13777</v>
      </c>
      <c r="D4451" s="988" t="s">
        <v>2669</v>
      </c>
      <c r="E4451" s="989">
        <v>5.26</v>
      </c>
      <c r="F4451" s="990"/>
      <c r="G4451" s="990"/>
      <c r="H4451" s="990"/>
      <c r="I4451" s="990"/>
      <c r="J4451" s="990"/>
      <c r="K4451" s="990"/>
      <c r="L4451" s="990"/>
      <c r="M4451" s="990"/>
      <c r="N4451" s="990"/>
      <c r="O4451" s="990"/>
      <c r="P4451" s="990"/>
      <c r="Q4451" s="990"/>
      <c r="R4451" s="990"/>
      <c r="S4451" s="990"/>
      <c r="T4451" s="990"/>
      <c r="U4451" s="990"/>
      <c r="V4451" s="990"/>
      <c r="W4451" s="990"/>
      <c r="X4451" s="990"/>
    </row>
    <row r="4452" spans="1:24" s="896" customFormat="1" ht="25.5">
      <c r="A4452" s="987">
        <f t="shared" si="70"/>
        <v>4378</v>
      </c>
      <c r="B4452" s="988">
        <v>34548</v>
      </c>
      <c r="C4452" s="899" t="s">
        <v>13778</v>
      </c>
      <c r="D4452" s="988" t="s">
        <v>2669</v>
      </c>
      <c r="E4452" s="989">
        <v>8.6300000000000008</v>
      </c>
      <c r="F4452" s="990"/>
      <c r="G4452" s="990"/>
      <c r="H4452" s="990"/>
      <c r="I4452" s="990"/>
      <c r="J4452" s="990"/>
      <c r="K4452" s="990"/>
      <c r="L4452" s="990"/>
      <c r="M4452" s="990"/>
      <c r="N4452" s="990"/>
      <c r="O4452" s="990"/>
      <c r="P4452" s="990"/>
      <c r="Q4452" s="990"/>
      <c r="R4452" s="990"/>
      <c r="S4452" s="990"/>
      <c r="T4452" s="990"/>
      <c r="U4452" s="990"/>
      <c r="V4452" s="990"/>
      <c r="W4452" s="990"/>
      <c r="X4452" s="990"/>
    </row>
    <row r="4453" spans="1:24" s="896" customFormat="1" ht="25.5">
      <c r="A4453" s="987">
        <f t="shared" si="70"/>
        <v>4379</v>
      </c>
      <c r="B4453" s="988">
        <v>34558</v>
      </c>
      <c r="C4453" s="899" t="s">
        <v>13779</v>
      </c>
      <c r="D4453" s="988" t="s">
        <v>2669</v>
      </c>
      <c r="E4453" s="989">
        <v>4.28</v>
      </c>
      <c r="F4453" s="990"/>
      <c r="G4453" s="990"/>
      <c r="H4453" s="990"/>
      <c r="I4453" s="990"/>
      <c r="J4453" s="990"/>
      <c r="K4453" s="990"/>
      <c r="L4453" s="990"/>
      <c r="M4453" s="990"/>
      <c r="N4453" s="990"/>
      <c r="O4453" s="990"/>
      <c r="P4453" s="990"/>
      <c r="Q4453" s="990"/>
      <c r="R4453" s="990"/>
      <c r="S4453" s="990"/>
      <c r="T4453" s="990"/>
      <c r="U4453" s="990"/>
      <c r="V4453" s="990"/>
      <c r="W4453" s="990"/>
      <c r="X4453" s="990"/>
    </row>
    <row r="4454" spans="1:24" s="896" customFormat="1" ht="25.5">
      <c r="A4454" s="987">
        <f t="shared" si="70"/>
        <v>4380</v>
      </c>
      <c r="B4454" s="988">
        <v>34550</v>
      </c>
      <c r="C4454" s="899" t="s">
        <v>13780</v>
      </c>
      <c r="D4454" s="988" t="s">
        <v>2669</v>
      </c>
      <c r="E4454" s="989">
        <v>2.27</v>
      </c>
      <c r="F4454" s="990"/>
      <c r="G4454" s="990"/>
      <c r="H4454" s="990"/>
      <c r="I4454" s="990"/>
      <c r="J4454" s="990"/>
      <c r="K4454" s="990"/>
      <c r="L4454" s="990"/>
      <c r="M4454" s="990"/>
      <c r="N4454" s="990"/>
      <c r="O4454" s="990"/>
      <c r="P4454" s="990"/>
      <c r="Q4454" s="990"/>
      <c r="R4454" s="990"/>
      <c r="S4454" s="990"/>
      <c r="T4454" s="990"/>
      <c r="U4454" s="990"/>
      <c r="V4454" s="990"/>
      <c r="W4454" s="990"/>
      <c r="X4454" s="990"/>
    </row>
    <row r="4455" spans="1:24" s="896" customFormat="1" ht="25.5">
      <c r="A4455" s="987">
        <f t="shared" si="70"/>
        <v>4381</v>
      </c>
      <c r="B4455" s="988">
        <v>34557</v>
      </c>
      <c r="C4455" s="899" t="s">
        <v>13781</v>
      </c>
      <c r="D4455" s="988" t="s">
        <v>2669</v>
      </c>
      <c r="E4455" s="989">
        <v>3.33</v>
      </c>
      <c r="F4455" s="990"/>
      <c r="G4455" s="990"/>
      <c r="H4455" s="990"/>
      <c r="I4455" s="990"/>
      <c r="J4455" s="990"/>
      <c r="K4455" s="990"/>
      <c r="L4455" s="990"/>
      <c r="M4455" s="990"/>
      <c r="N4455" s="990"/>
      <c r="O4455" s="990"/>
      <c r="P4455" s="990"/>
      <c r="Q4455" s="990"/>
      <c r="R4455" s="990"/>
      <c r="S4455" s="990"/>
      <c r="T4455" s="990"/>
      <c r="U4455" s="990"/>
      <c r="V4455" s="990"/>
      <c r="W4455" s="990"/>
      <c r="X4455" s="990"/>
    </row>
    <row r="4456" spans="1:24" s="896" customFormat="1" ht="25.5">
      <c r="A4456" s="987">
        <f t="shared" si="70"/>
        <v>4382</v>
      </c>
      <c r="B4456" s="988">
        <v>37411</v>
      </c>
      <c r="C4456" s="899" t="s">
        <v>13782</v>
      </c>
      <c r="D4456" s="988" t="s">
        <v>2667</v>
      </c>
      <c r="E4456" s="989">
        <v>24.37</v>
      </c>
      <c r="F4456" s="990"/>
      <c r="G4456" s="990"/>
      <c r="H4456" s="990"/>
      <c r="I4456" s="990"/>
      <c r="J4456" s="990"/>
      <c r="K4456" s="990"/>
      <c r="L4456" s="990"/>
      <c r="M4456" s="990"/>
      <c r="N4456" s="990"/>
      <c r="O4456" s="990"/>
      <c r="P4456" s="990"/>
      <c r="Q4456" s="990"/>
      <c r="R4456" s="990"/>
      <c r="S4456" s="990"/>
      <c r="T4456" s="990"/>
      <c r="U4456" s="990"/>
      <c r="V4456" s="990"/>
      <c r="W4456" s="990"/>
      <c r="X4456" s="990"/>
    </row>
    <row r="4457" spans="1:24" s="896" customFormat="1" ht="25.5">
      <c r="A4457" s="987">
        <f t="shared" si="70"/>
        <v>4383</v>
      </c>
      <c r="B4457" s="988">
        <v>39508</v>
      </c>
      <c r="C4457" s="899" t="s">
        <v>13783</v>
      </c>
      <c r="D4457" s="988" t="s">
        <v>2667</v>
      </c>
      <c r="E4457" s="989">
        <v>13.69</v>
      </c>
      <c r="F4457" s="990"/>
      <c r="G4457" s="990"/>
      <c r="H4457" s="990"/>
      <c r="I4457" s="990"/>
      <c r="J4457" s="990"/>
      <c r="K4457" s="990"/>
      <c r="L4457" s="990"/>
      <c r="M4457" s="990"/>
      <c r="N4457" s="990"/>
      <c r="O4457" s="990"/>
      <c r="P4457" s="990"/>
      <c r="Q4457" s="990"/>
      <c r="R4457" s="990"/>
      <c r="S4457" s="990"/>
      <c r="T4457" s="990"/>
      <c r="U4457" s="990"/>
      <c r="V4457" s="990"/>
      <c r="W4457" s="990"/>
      <c r="X4457" s="990"/>
    </row>
    <row r="4458" spans="1:24" s="896" customFormat="1" ht="25.5">
      <c r="A4458" s="987">
        <f t="shared" si="70"/>
        <v>4384</v>
      </c>
      <c r="B4458" s="988">
        <v>39507</v>
      </c>
      <c r="C4458" s="899" t="s">
        <v>13784</v>
      </c>
      <c r="D4458" s="988" t="s">
        <v>2667</v>
      </c>
      <c r="E4458" s="989">
        <v>20.420000000000002</v>
      </c>
      <c r="F4458" s="990"/>
      <c r="G4458" s="990"/>
      <c r="H4458" s="990"/>
      <c r="I4458" s="990"/>
      <c r="J4458" s="990"/>
      <c r="K4458" s="990"/>
      <c r="L4458" s="990"/>
      <c r="M4458" s="990"/>
      <c r="N4458" s="990"/>
      <c r="O4458" s="990"/>
      <c r="P4458" s="990"/>
      <c r="Q4458" s="990"/>
      <c r="R4458" s="990"/>
      <c r="S4458" s="990"/>
      <c r="T4458" s="990"/>
      <c r="U4458" s="990"/>
      <c r="V4458" s="990"/>
      <c r="W4458" s="990"/>
      <c r="X4458" s="990"/>
    </row>
    <row r="4459" spans="1:24" s="896" customFormat="1" ht="25.5">
      <c r="A4459" s="987">
        <f t="shared" si="70"/>
        <v>4385</v>
      </c>
      <c r="B4459" s="988">
        <v>7155</v>
      </c>
      <c r="C4459" s="899" t="s">
        <v>13785</v>
      </c>
      <c r="D4459" s="988" t="s">
        <v>2667</v>
      </c>
      <c r="E4459" s="989">
        <v>26.21</v>
      </c>
      <c r="F4459" s="990"/>
      <c r="G4459" s="990"/>
      <c r="H4459" s="990"/>
      <c r="I4459" s="990"/>
      <c r="J4459" s="990"/>
      <c r="K4459" s="990"/>
      <c r="L4459" s="990"/>
      <c r="M4459" s="990"/>
      <c r="N4459" s="990"/>
      <c r="O4459" s="990"/>
      <c r="P4459" s="990"/>
      <c r="Q4459" s="990"/>
      <c r="R4459" s="990"/>
      <c r="S4459" s="990"/>
      <c r="T4459" s="990"/>
      <c r="U4459" s="990"/>
      <c r="V4459" s="990"/>
      <c r="W4459" s="990"/>
      <c r="X4459" s="990"/>
    </row>
    <row r="4460" spans="1:24" s="896" customFormat="1" ht="25.5">
      <c r="A4460" s="987">
        <f t="shared" si="70"/>
        <v>4386</v>
      </c>
      <c r="B4460" s="988">
        <v>42406</v>
      </c>
      <c r="C4460" s="899" t="s">
        <v>13786</v>
      </c>
      <c r="D4460" s="988" t="s">
        <v>2667</v>
      </c>
      <c r="E4460" s="989">
        <v>30.06</v>
      </c>
      <c r="F4460" s="990"/>
      <c r="G4460" s="990"/>
      <c r="H4460" s="990"/>
      <c r="I4460" s="990"/>
      <c r="J4460" s="990"/>
      <c r="K4460" s="990"/>
      <c r="L4460" s="990"/>
      <c r="M4460" s="990"/>
      <c r="N4460" s="990"/>
      <c r="O4460" s="990"/>
      <c r="P4460" s="990"/>
      <c r="Q4460" s="990"/>
      <c r="R4460" s="990"/>
      <c r="S4460" s="990"/>
      <c r="T4460" s="990"/>
      <c r="U4460" s="990"/>
      <c r="V4460" s="990"/>
      <c r="W4460" s="990"/>
      <c r="X4460" s="990"/>
    </row>
    <row r="4461" spans="1:24" s="896" customFormat="1" ht="25.5">
      <c r="A4461" s="987">
        <f t="shared" si="70"/>
        <v>4387</v>
      </c>
      <c r="B4461" s="988">
        <v>7156</v>
      </c>
      <c r="C4461" s="899" t="s">
        <v>13787</v>
      </c>
      <c r="D4461" s="988" t="s">
        <v>2667</v>
      </c>
      <c r="E4461" s="989">
        <v>37.61</v>
      </c>
      <c r="F4461" s="990"/>
      <c r="G4461" s="990"/>
      <c r="H4461" s="990"/>
      <c r="I4461" s="990"/>
      <c r="J4461" s="990"/>
      <c r="K4461" s="990"/>
      <c r="L4461" s="990"/>
      <c r="M4461" s="990"/>
      <c r="N4461" s="990"/>
      <c r="O4461" s="990"/>
      <c r="P4461" s="990"/>
      <c r="Q4461" s="990"/>
      <c r="R4461" s="990"/>
      <c r="S4461" s="990"/>
      <c r="T4461" s="990"/>
      <c r="U4461" s="990"/>
      <c r="V4461" s="990"/>
      <c r="W4461" s="990"/>
      <c r="X4461" s="990"/>
    </row>
    <row r="4462" spans="1:24" s="896" customFormat="1" ht="25.5">
      <c r="A4462" s="987">
        <f t="shared" si="70"/>
        <v>4388</v>
      </c>
      <c r="B4462" s="988">
        <v>43127</v>
      </c>
      <c r="C4462" s="899" t="s">
        <v>13788</v>
      </c>
      <c r="D4462" s="988" t="s">
        <v>2667</v>
      </c>
      <c r="E4462" s="989">
        <v>53.82</v>
      </c>
      <c r="F4462" s="990"/>
      <c r="G4462" s="990"/>
      <c r="H4462" s="990"/>
      <c r="I4462" s="990"/>
      <c r="J4462" s="990"/>
      <c r="K4462" s="990"/>
      <c r="L4462" s="990"/>
      <c r="M4462" s="990"/>
      <c r="N4462" s="990"/>
      <c r="O4462" s="990"/>
      <c r="P4462" s="990"/>
      <c r="Q4462" s="990"/>
      <c r="R4462" s="990"/>
      <c r="S4462" s="990"/>
      <c r="T4462" s="990"/>
      <c r="U4462" s="990"/>
      <c r="V4462" s="990"/>
      <c r="W4462" s="990"/>
      <c r="X4462" s="990"/>
    </row>
    <row r="4463" spans="1:24" s="896" customFormat="1" ht="25.5">
      <c r="A4463" s="987">
        <f t="shared" si="70"/>
        <v>4389</v>
      </c>
      <c r="B4463" s="988">
        <v>10917</v>
      </c>
      <c r="C4463" s="899" t="s">
        <v>13789</v>
      </c>
      <c r="D4463" s="988" t="s">
        <v>2667</v>
      </c>
      <c r="E4463" s="989">
        <v>11.36</v>
      </c>
      <c r="F4463" s="990"/>
      <c r="G4463" s="990"/>
      <c r="H4463" s="990"/>
      <c r="I4463" s="990"/>
      <c r="J4463" s="990"/>
      <c r="K4463" s="990"/>
      <c r="L4463" s="990"/>
      <c r="M4463" s="990"/>
      <c r="N4463" s="990"/>
      <c r="O4463" s="990"/>
      <c r="P4463" s="990"/>
      <c r="Q4463" s="990"/>
      <c r="R4463" s="990"/>
      <c r="S4463" s="990"/>
      <c r="T4463" s="990"/>
      <c r="U4463" s="990"/>
      <c r="V4463" s="990"/>
      <c r="W4463" s="990"/>
      <c r="X4463" s="990"/>
    </row>
    <row r="4464" spans="1:24" s="896" customFormat="1" ht="25.5">
      <c r="A4464" s="987">
        <f t="shared" si="70"/>
        <v>4390</v>
      </c>
      <c r="B4464" s="988">
        <v>21141</v>
      </c>
      <c r="C4464" s="899" t="s">
        <v>13790</v>
      </c>
      <c r="D4464" s="988" t="s">
        <v>2667</v>
      </c>
      <c r="E4464" s="989">
        <v>17.59</v>
      </c>
      <c r="F4464" s="990"/>
      <c r="G4464" s="990"/>
      <c r="H4464" s="990"/>
      <c r="I4464" s="990"/>
      <c r="J4464" s="990"/>
      <c r="K4464" s="990"/>
      <c r="L4464" s="990"/>
      <c r="M4464" s="990"/>
      <c r="N4464" s="990"/>
      <c r="O4464" s="990"/>
      <c r="P4464" s="990"/>
      <c r="Q4464" s="990"/>
      <c r="R4464" s="990"/>
      <c r="S4464" s="990"/>
      <c r="T4464" s="990"/>
      <c r="U4464" s="990"/>
      <c r="V4464" s="990"/>
      <c r="W4464" s="990"/>
      <c r="X4464" s="990"/>
    </row>
    <row r="4465" spans="1:24" s="896" customFormat="1" ht="25.5">
      <c r="A4465" s="987">
        <f t="shared" si="70"/>
        <v>4391</v>
      </c>
      <c r="B4465" s="988">
        <v>39509</v>
      </c>
      <c r="C4465" s="899" t="s">
        <v>13791</v>
      </c>
      <c r="D4465" s="988" t="s">
        <v>2667</v>
      </c>
      <c r="E4465" s="989">
        <v>16.920000000000002</v>
      </c>
      <c r="F4465" s="990"/>
      <c r="G4465" s="990"/>
      <c r="H4465" s="990"/>
      <c r="I4465" s="990"/>
      <c r="J4465" s="990"/>
      <c r="K4465" s="990"/>
      <c r="L4465" s="990"/>
      <c r="M4465" s="990"/>
      <c r="N4465" s="990"/>
      <c r="O4465" s="990"/>
      <c r="P4465" s="990"/>
      <c r="Q4465" s="990"/>
      <c r="R4465" s="990"/>
      <c r="S4465" s="990"/>
      <c r="T4465" s="990"/>
      <c r="U4465" s="990"/>
      <c r="V4465" s="990"/>
      <c r="W4465" s="990"/>
      <c r="X4465" s="990"/>
    </row>
    <row r="4466" spans="1:24" s="896" customFormat="1">
      <c r="A4466" s="987">
        <f t="shared" si="70"/>
        <v>4392</v>
      </c>
      <c r="B4466" s="988">
        <v>44529</v>
      </c>
      <c r="C4466" s="899" t="s">
        <v>13792</v>
      </c>
      <c r="D4466" s="988" t="s">
        <v>2667</v>
      </c>
      <c r="E4466" s="989">
        <v>14.14</v>
      </c>
      <c r="F4466" s="990"/>
      <c r="G4466" s="990"/>
      <c r="H4466" s="990"/>
      <c r="I4466" s="990"/>
      <c r="J4466" s="990"/>
      <c r="K4466" s="990"/>
      <c r="L4466" s="990"/>
      <c r="M4466" s="990"/>
      <c r="N4466" s="990"/>
      <c r="O4466" s="990"/>
      <c r="P4466" s="990"/>
      <c r="Q4466" s="990"/>
      <c r="R4466" s="990"/>
      <c r="S4466" s="990"/>
      <c r="T4466" s="990"/>
      <c r="U4466" s="990"/>
      <c r="V4466" s="990"/>
      <c r="W4466" s="990"/>
      <c r="X4466" s="990"/>
    </row>
    <row r="4467" spans="1:24" s="896" customFormat="1" ht="25.5">
      <c r="A4467" s="987">
        <f t="shared" si="70"/>
        <v>4393</v>
      </c>
      <c r="B4467" s="988">
        <v>7167</v>
      </c>
      <c r="C4467" s="899" t="s">
        <v>13793</v>
      </c>
      <c r="D4467" s="988" t="s">
        <v>2667</v>
      </c>
      <c r="E4467" s="989">
        <v>30.04</v>
      </c>
      <c r="F4467" s="990"/>
      <c r="G4467" s="990"/>
      <c r="H4467" s="990"/>
      <c r="I4467" s="990"/>
      <c r="J4467" s="990"/>
      <c r="K4467" s="990"/>
      <c r="L4467" s="990"/>
      <c r="M4467" s="990"/>
      <c r="N4467" s="990"/>
      <c r="O4467" s="990"/>
      <c r="P4467" s="990"/>
      <c r="Q4467" s="990"/>
      <c r="R4467" s="990"/>
      <c r="S4467" s="990"/>
      <c r="T4467" s="990"/>
      <c r="U4467" s="990"/>
      <c r="V4467" s="990"/>
      <c r="W4467" s="990"/>
      <c r="X4467" s="990"/>
    </row>
    <row r="4468" spans="1:24" s="896" customFormat="1" ht="25.5">
      <c r="A4468" s="987">
        <f t="shared" si="70"/>
        <v>4394</v>
      </c>
      <c r="B4468" s="988">
        <v>10928</v>
      </c>
      <c r="C4468" s="899" t="s">
        <v>13794</v>
      </c>
      <c r="D4468" s="988" t="s">
        <v>2667</v>
      </c>
      <c r="E4468" s="989">
        <v>17.260000000000002</v>
      </c>
      <c r="F4468" s="990"/>
      <c r="G4468" s="990"/>
      <c r="H4468" s="990"/>
      <c r="I4468" s="990"/>
      <c r="J4468" s="990"/>
      <c r="K4468" s="990"/>
      <c r="L4468" s="990"/>
      <c r="M4468" s="990"/>
      <c r="N4468" s="990"/>
      <c r="O4468" s="990"/>
      <c r="P4468" s="990"/>
      <c r="Q4468" s="990"/>
      <c r="R4468" s="990"/>
      <c r="S4468" s="990"/>
      <c r="T4468" s="990"/>
      <c r="U4468" s="990"/>
      <c r="V4468" s="990"/>
      <c r="W4468" s="990"/>
      <c r="X4468" s="990"/>
    </row>
    <row r="4469" spans="1:24" s="896" customFormat="1" ht="25.5">
      <c r="A4469" s="987">
        <f t="shared" si="70"/>
        <v>4395</v>
      </c>
      <c r="B4469" s="988">
        <v>10933</v>
      </c>
      <c r="C4469" s="899" t="s">
        <v>13795</v>
      </c>
      <c r="D4469" s="988" t="s">
        <v>2667</v>
      </c>
      <c r="E4469" s="989">
        <v>26.03</v>
      </c>
      <c r="F4469" s="990"/>
      <c r="G4469" s="990"/>
      <c r="H4469" s="990"/>
      <c r="I4469" s="990"/>
      <c r="J4469" s="990"/>
      <c r="K4469" s="990"/>
      <c r="L4469" s="990"/>
      <c r="M4469" s="990"/>
      <c r="N4469" s="990"/>
      <c r="O4469" s="990"/>
      <c r="P4469" s="990"/>
      <c r="Q4469" s="990"/>
      <c r="R4469" s="990"/>
      <c r="S4469" s="990"/>
      <c r="T4469" s="990"/>
      <c r="U4469" s="990"/>
      <c r="V4469" s="990"/>
      <c r="W4469" s="990"/>
      <c r="X4469" s="990"/>
    </row>
    <row r="4470" spans="1:24" s="896" customFormat="1" ht="25.5">
      <c r="A4470" s="987">
        <f t="shared" si="70"/>
        <v>4396</v>
      </c>
      <c r="B4470" s="988">
        <v>7158</v>
      </c>
      <c r="C4470" s="899" t="s">
        <v>13796</v>
      </c>
      <c r="D4470" s="988" t="s">
        <v>2667</v>
      </c>
      <c r="E4470" s="989">
        <v>44.15</v>
      </c>
      <c r="F4470" s="990"/>
      <c r="G4470" s="990"/>
      <c r="H4470" s="990"/>
      <c r="I4470" s="990"/>
      <c r="J4470" s="990"/>
      <c r="K4470" s="990"/>
      <c r="L4470" s="990"/>
      <c r="M4470" s="990"/>
      <c r="N4470" s="990"/>
      <c r="O4470" s="990"/>
      <c r="P4470" s="990"/>
      <c r="Q4470" s="990"/>
      <c r="R4470" s="990"/>
      <c r="S4470" s="990"/>
      <c r="T4470" s="990"/>
      <c r="U4470" s="990"/>
      <c r="V4470" s="990"/>
      <c r="W4470" s="990"/>
      <c r="X4470" s="990"/>
    </row>
    <row r="4471" spans="1:24" s="896" customFormat="1" ht="25.5">
      <c r="A4471" s="987">
        <f t="shared" si="70"/>
        <v>4397</v>
      </c>
      <c r="B4471" s="988">
        <v>10927</v>
      </c>
      <c r="C4471" s="899" t="s">
        <v>13797</v>
      </c>
      <c r="D4471" s="988" t="s">
        <v>2667</v>
      </c>
      <c r="E4471" s="989">
        <v>28.23</v>
      </c>
      <c r="F4471" s="990"/>
      <c r="G4471" s="990"/>
      <c r="H4471" s="990"/>
      <c r="I4471" s="990"/>
      <c r="J4471" s="990"/>
      <c r="K4471" s="990"/>
      <c r="L4471" s="990"/>
      <c r="M4471" s="990"/>
      <c r="N4471" s="990"/>
      <c r="O4471" s="990"/>
      <c r="P4471" s="990"/>
      <c r="Q4471" s="990"/>
      <c r="R4471" s="990"/>
      <c r="S4471" s="990"/>
      <c r="T4471" s="990"/>
      <c r="U4471" s="990"/>
      <c r="V4471" s="990"/>
      <c r="W4471" s="990"/>
      <c r="X4471" s="990"/>
    </row>
    <row r="4472" spans="1:24" s="896" customFormat="1" ht="25.5">
      <c r="A4472" s="987">
        <f t="shared" si="70"/>
        <v>4398</v>
      </c>
      <c r="B4472" s="988">
        <v>7162</v>
      </c>
      <c r="C4472" s="899" t="s">
        <v>13798</v>
      </c>
      <c r="D4472" s="988" t="s">
        <v>2667</v>
      </c>
      <c r="E4472" s="989">
        <v>69.09</v>
      </c>
      <c r="F4472" s="990"/>
      <c r="G4472" s="990"/>
      <c r="H4472" s="990"/>
      <c r="I4472" s="990"/>
      <c r="J4472" s="990"/>
      <c r="K4472" s="990"/>
      <c r="L4472" s="990"/>
      <c r="M4472" s="990"/>
      <c r="N4472" s="990"/>
      <c r="O4472" s="990"/>
      <c r="P4472" s="990"/>
      <c r="Q4472" s="990"/>
      <c r="R4472" s="990"/>
      <c r="S4472" s="990"/>
      <c r="T4472" s="990"/>
      <c r="U4472" s="990"/>
      <c r="V4472" s="990"/>
      <c r="W4472" s="990"/>
      <c r="X4472" s="990"/>
    </row>
    <row r="4473" spans="1:24" s="896" customFormat="1" ht="25.5">
      <c r="A4473" s="987">
        <f t="shared" si="70"/>
        <v>4399</v>
      </c>
      <c r="B4473" s="988">
        <v>10932</v>
      </c>
      <c r="C4473" s="899" t="s">
        <v>13799</v>
      </c>
      <c r="D4473" s="988" t="s">
        <v>2667</v>
      </c>
      <c r="E4473" s="989">
        <v>120.17</v>
      </c>
      <c r="F4473" s="990"/>
      <c r="G4473" s="990"/>
      <c r="H4473" s="990"/>
      <c r="I4473" s="990"/>
      <c r="J4473" s="990"/>
      <c r="K4473" s="990"/>
      <c r="L4473" s="990"/>
      <c r="M4473" s="990"/>
      <c r="N4473" s="990"/>
      <c r="O4473" s="990"/>
      <c r="P4473" s="990"/>
      <c r="Q4473" s="990"/>
      <c r="R4473" s="990"/>
      <c r="S4473" s="990"/>
      <c r="T4473" s="990"/>
      <c r="U4473" s="990"/>
      <c r="V4473" s="990"/>
      <c r="W4473" s="990"/>
      <c r="X4473" s="990"/>
    </row>
    <row r="4474" spans="1:24" s="896" customFormat="1" ht="25.5">
      <c r="A4474" s="987">
        <f t="shared" si="70"/>
        <v>4400</v>
      </c>
      <c r="B4474" s="988">
        <v>10937</v>
      </c>
      <c r="C4474" s="899" t="s">
        <v>13800</v>
      </c>
      <c r="D4474" s="988" t="s">
        <v>2667</v>
      </c>
      <c r="E4474" s="989">
        <v>30.89</v>
      </c>
      <c r="F4474" s="990"/>
      <c r="G4474" s="990"/>
      <c r="H4474" s="990"/>
      <c r="I4474" s="990"/>
      <c r="J4474" s="990"/>
      <c r="K4474" s="990"/>
      <c r="L4474" s="990"/>
      <c r="M4474" s="990"/>
      <c r="N4474" s="990"/>
      <c r="O4474" s="990"/>
      <c r="P4474" s="990"/>
      <c r="Q4474" s="990"/>
      <c r="R4474" s="990"/>
      <c r="S4474" s="990"/>
      <c r="T4474" s="990"/>
      <c r="U4474" s="990"/>
      <c r="V4474" s="990"/>
      <c r="W4474" s="990"/>
      <c r="X4474" s="990"/>
    </row>
    <row r="4475" spans="1:24" s="896" customFormat="1" ht="25.5">
      <c r="A4475" s="987">
        <f t="shared" si="70"/>
        <v>4401</v>
      </c>
      <c r="B4475" s="988">
        <v>10935</v>
      </c>
      <c r="C4475" s="899" t="s">
        <v>13801</v>
      </c>
      <c r="D4475" s="988" t="s">
        <v>2667</v>
      </c>
      <c r="E4475" s="989">
        <v>53.57</v>
      </c>
      <c r="F4475" s="990"/>
      <c r="G4475" s="990"/>
      <c r="H4475" s="990"/>
      <c r="I4475" s="990"/>
      <c r="J4475" s="990"/>
      <c r="K4475" s="990"/>
      <c r="L4475" s="990"/>
      <c r="M4475" s="990"/>
      <c r="N4475" s="990"/>
      <c r="O4475" s="990"/>
      <c r="P4475" s="990"/>
      <c r="Q4475" s="990"/>
      <c r="R4475" s="990"/>
      <c r="S4475" s="990"/>
      <c r="T4475" s="990"/>
      <c r="U4475" s="990"/>
      <c r="V4475" s="990"/>
      <c r="W4475" s="990"/>
      <c r="X4475" s="990"/>
    </row>
    <row r="4476" spans="1:24" s="896" customFormat="1">
      <c r="A4476" s="987">
        <f t="shared" si="70"/>
        <v>4402</v>
      </c>
      <c r="B4476" s="988">
        <v>10931</v>
      </c>
      <c r="C4476" s="899" t="s">
        <v>13802</v>
      </c>
      <c r="D4476" s="988" t="s">
        <v>2667</v>
      </c>
      <c r="E4476" s="989">
        <v>15.07</v>
      </c>
      <c r="F4476" s="990"/>
      <c r="G4476" s="990"/>
      <c r="H4476" s="990"/>
      <c r="I4476" s="990"/>
      <c r="J4476" s="990"/>
      <c r="K4476" s="990"/>
      <c r="L4476" s="990"/>
      <c r="M4476" s="990"/>
      <c r="N4476" s="990"/>
      <c r="O4476" s="990"/>
      <c r="P4476" s="990"/>
      <c r="Q4476" s="990"/>
      <c r="R4476" s="990"/>
      <c r="S4476" s="990"/>
      <c r="T4476" s="990"/>
      <c r="U4476" s="990"/>
      <c r="V4476" s="990"/>
      <c r="W4476" s="990"/>
      <c r="X4476" s="990"/>
    </row>
    <row r="4477" spans="1:24" s="896" customFormat="1">
      <c r="A4477" s="987">
        <f t="shared" si="70"/>
        <v>4403</v>
      </c>
      <c r="B4477" s="988">
        <v>7164</v>
      </c>
      <c r="C4477" s="899" t="s">
        <v>13803</v>
      </c>
      <c r="D4477" s="988" t="s">
        <v>2667</v>
      </c>
      <c r="E4477" s="989">
        <v>49.86</v>
      </c>
      <c r="F4477" s="990"/>
      <c r="G4477" s="990"/>
      <c r="H4477" s="990"/>
      <c r="I4477" s="990"/>
      <c r="J4477" s="990"/>
      <c r="K4477" s="990"/>
      <c r="L4477" s="990"/>
      <c r="M4477" s="990"/>
      <c r="N4477" s="990"/>
      <c r="O4477" s="990"/>
      <c r="P4477" s="990"/>
      <c r="Q4477" s="990"/>
      <c r="R4477" s="990"/>
      <c r="S4477" s="990"/>
      <c r="T4477" s="990"/>
      <c r="U4477" s="990"/>
      <c r="V4477" s="990"/>
      <c r="W4477" s="990"/>
      <c r="X4477" s="990"/>
    </row>
    <row r="4478" spans="1:24" s="896" customFormat="1">
      <c r="A4478" s="987">
        <f t="shared" si="70"/>
        <v>4404</v>
      </c>
      <c r="B4478" s="988">
        <v>36887</v>
      </c>
      <c r="C4478" s="899" t="s">
        <v>13804</v>
      </c>
      <c r="D4478" s="988" t="s">
        <v>2667</v>
      </c>
      <c r="E4478" s="989">
        <v>8.15</v>
      </c>
      <c r="F4478" s="990"/>
      <c r="G4478" s="990"/>
      <c r="H4478" s="990"/>
      <c r="I4478" s="990"/>
      <c r="J4478" s="990"/>
      <c r="K4478" s="990"/>
      <c r="L4478" s="990"/>
      <c r="M4478" s="990"/>
      <c r="N4478" s="990"/>
      <c r="O4478" s="990"/>
      <c r="P4478" s="990"/>
      <c r="Q4478" s="990"/>
      <c r="R4478" s="990"/>
      <c r="S4478" s="990"/>
      <c r="T4478" s="990"/>
      <c r="U4478" s="990"/>
      <c r="V4478" s="990"/>
      <c r="W4478" s="990"/>
      <c r="X4478" s="990"/>
    </row>
    <row r="4479" spans="1:24" s="896" customFormat="1" ht="38.25">
      <c r="A4479" s="987">
        <f t="shared" si="70"/>
        <v>4405</v>
      </c>
      <c r="B4479" s="988">
        <v>34630</v>
      </c>
      <c r="C4479" s="899" t="s">
        <v>13805</v>
      </c>
      <c r="D4479" s="988" t="s">
        <v>2666</v>
      </c>
      <c r="E4479" s="989">
        <v>1422.42</v>
      </c>
      <c r="F4479" s="990"/>
      <c r="G4479" s="990"/>
      <c r="H4479" s="990"/>
      <c r="I4479" s="990"/>
      <c r="J4479" s="990"/>
      <c r="K4479" s="990"/>
      <c r="L4479" s="990"/>
      <c r="M4479" s="990"/>
      <c r="N4479" s="990"/>
      <c r="O4479" s="990"/>
      <c r="P4479" s="990"/>
      <c r="Q4479" s="990"/>
      <c r="R4479" s="990"/>
      <c r="S4479" s="990"/>
      <c r="T4479" s="990"/>
      <c r="U4479" s="990"/>
      <c r="V4479" s="990"/>
      <c r="W4479" s="990"/>
      <c r="X4479" s="990"/>
    </row>
    <row r="4480" spans="1:24" s="896" customFormat="1">
      <c r="A4480" s="987">
        <f t="shared" si="70"/>
        <v>4406</v>
      </c>
      <c r="B4480" s="988">
        <v>7161</v>
      </c>
      <c r="C4480" s="899" t="s">
        <v>13806</v>
      </c>
      <c r="D4480" s="988" t="s">
        <v>2667</v>
      </c>
      <c r="E4480" s="989">
        <v>6.2</v>
      </c>
      <c r="F4480" s="990"/>
      <c r="G4480" s="990"/>
      <c r="H4480" s="990"/>
      <c r="I4480" s="990"/>
      <c r="J4480" s="990"/>
      <c r="K4480" s="990"/>
      <c r="L4480" s="990"/>
      <c r="M4480" s="990"/>
      <c r="N4480" s="990"/>
      <c r="O4480" s="990"/>
      <c r="P4480" s="990"/>
      <c r="Q4480" s="990"/>
      <c r="R4480" s="990"/>
      <c r="S4480" s="990"/>
      <c r="T4480" s="990"/>
      <c r="U4480" s="990"/>
      <c r="V4480" s="990"/>
      <c r="W4480" s="990"/>
      <c r="X4480" s="990"/>
    </row>
    <row r="4481" spans="1:24" s="896" customFormat="1" ht="25.5">
      <c r="A4481" s="987">
        <f t="shared" si="70"/>
        <v>4407</v>
      </c>
      <c r="B4481" s="988">
        <v>7170</v>
      </c>
      <c r="C4481" s="899" t="s">
        <v>13807</v>
      </c>
      <c r="D4481" s="988" t="s">
        <v>2667</v>
      </c>
      <c r="E4481" s="989">
        <v>1.97</v>
      </c>
      <c r="F4481" s="990"/>
      <c r="G4481" s="990"/>
      <c r="H4481" s="990"/>
      <c r="I4481" s="990"/>
      <c r="J4481" s="990"/>
      <c r="K4481" s="990"/>
      <c r="L4481" s="990"/>
      <c r="M4481" s="990"/>
      <c r="N4481" s="990"/>
      <c r="O4481" s="990"/>
      <c r="P4481" s="990"/>
      <c r="Q4481" s="990"/>
      <c r="R4481" s="990"/>
      <c r="S4481" s="990"/>
      <c r="T4481" s="990"/>
      <c r="U4481" s="990"/>
      <c r="V4481" s="990"/>
      <c r="W4481" s="990"/>
      <c r="X4481" s="990"/>
    </row>
    <row r="4482" spans="1:24" s="896" customFormat="1" ht="25.5">
      <c r="A4482" s="987">
        <f t="shared" si="70"/>
        <v>4408</v>
      </c>
      <c r="B4482" s="988">
        <v>37524</v>
      </c>
      <c r="C4482" s="899" t="s">
        <v>13808</v>
      </c>
      <c r="D4482" s="988" t="s">
        <v>2669</v>
      </c>
      <c r="E4482" s="989">
        <v>1.8</v>
      </c>
      <c r="F4482" s="990"/>
      <c r="G4482" s="990"/>
      <c r="H4482" s="990"/>
      <c r="I4482" s="990"/>
      <c r="J4482" s="990"/>
      <c r="K4482" s="990"/>
      <c r="L4482" s="990"/>
      <c r="M4482" s="990"/>
      <c r="N4482" s="990"/>
      <c r="O4482" s="990"/>
      <c r="P4482" s="990"/>
      <c r="Q4482" s="990"/>
      <c r="R4482" s="990"/>
      <c r="S4482" s="990"/>
      <c r="T4482" s="990"/>
      <c r="U4482" s="990"/>
      <c r="V4482" s="990"/>
      <c r="W4482" s="990"/>
      <c r="X4482" s="990"/>
    </row>
    <row r="4483" spans="1:24" s="896" customFormat="1" ht="25.5">
      <c r="A4483" s="987">
        <f t="shared" si="70"/>
        <v>4409</v>
      </c>
      <c r="B4483" s="988">
        <v>37525</v>
      </c>
      <c r="C4483" s="899" t="s">
        <v>13809</v>
      </c>
      <c r="D4483" s="988" t="s">
        <v>2669</v>
      </c>
      <c r="E4483" s="989">
        <v>2.46</v>
      </c>
      <c r="F4483" s="990"/>
      <c r="G4483" s="990"/>
      <c r="H4483" s="990"/>
      <c r="I4483" s="990"/>
      <c r="J4483" s="990"/>
      <c r="K4483" s="990"/>
      <c r="L4483" s="990"/>
      <c r="M4483" s="990"/>
      <c r="N4483" s="990"/>
      <c r="O4483" s="990"/>
      <c r="P4483" s="990"/>
      <c r="Q4483" s="990"/>
      <c r="R4483" s="990"/>
      <c r="S4483" s="990"/>
      <c r="T4483" s="990"/>
      <c r="U4483" s="990"/>
      <c r="V4483" s="990"/>
      <c r="W4483" s="990"/>
      <c r="X4483" s="990"/>
    </row>
    <row r="4484" spans="1:24" s="896" customFormat="1" ht="25.5">
      <c r="A4484" s="987">
        <f t="shared" si="70"/>
        <v>4410</v>
      </c>
      <c r="B4484" s="988">
        <v>36789</v>
      </c>
      <c r="C4484" s="899" t="s">
        <v>13810</v>
      </c>
      <c r="D4484" s="988" t="s">
        <v>2666</v>
      </c>
      <c r="E4484" s="989">
        <v>2.13</v>
      </c>
      <c r="F4484" s="990"/>
      <c r="G4484" s="990"/>
      <c r="H4484" s="990"/>
      <c r="I4484" s="990"/>
      <c r="J4484" s="990"/>
      <c r="K4484" s="990"/>
      <c r="L4484" s="990"/>
      <c r="M4484" s="990"/>
      <c r="N4484" s="990"/>
      <c r="O4484" s="990"/>
      <c r="P4484" s="990"/>
      <c r="Q4484" s="990"/>
      <c r="R4484" s="990"/>
      <c r="S4484" s="990"/>
      <c r="T4484" s="990"/>
      <c r="U4484" s="990"/>
      <c r="V4484" s="990"/>
      <c r="W4484" s="990"/>
      <c r="X4484" s="990"/>
    </row>
    <row r="4485" spans="1:24" s="896" customFormat="1" ht="25.5">
      <c r="A4485" s="987">
        <f t="shared" si="70"/>
        <v>4411</v>
      </c>
      <c r="B4485" s="988">
        <v>7173</v>
      </c>
      <c r="C4485" s="899" t="s">
        <v>13811</v>
      </c>
      <c r="D4485" s="988" t="s">
        <v>2675</v>
      </c>
      <c r="E4485" s="989">
        <v>1376.18</v>
      </c>
      <c r="F4485" s="990"/>
      <c r="G4485" s="990"/>
      <c r="H4485" s="990"/>
      <c r="I4485" s="990"/>
      <c r="J4485" s="990"/>
      <c r="K4485" s="990"/>
      <c r="L4485" s="990"/>
      <c r="M4485" s="990"/>
      <c r="N4485" s="990"/>
      <c r="O4485" s="990"/>
      <c r="P4485" s="990"/>
      <c r="Q4485" s="990"/>
      <c r="R4485" s="990"/>
      <c r="S4485" s="990"/>
      <c r="T4485" s="990"/>
      <c r="U4485" s="990"/>
      <c r="V4485" s="990"/>
      <c r="W4485" s="990"/>
      <c r="X4485" s="990"/>
    </row>
    <row r="4486" spans="1:24" s="896" customFormat="1" ht="25.5">
      <c r="A4486" s="987">
        <f t="shared" si="70"/>
        <v>4412</v>
      </c>
      <c r="B4486" s="988">
        <v>7175</v>
      </c>
      <c r="C4486" s="899" t="s">
        <v>13812</v>
      </c>
      <c r="D4486" s="988" t="s">
        <v>2666</v>
      </c>
      <c r="E4486" s="989">
        <v>1.55</v>
      </c>
      <c r="F4486" s="990"/>
      <c r="G4486" s="990"/>
      <c r="H4486" s="990"/>
      <c r="I4486" s="990"/>
      <c r="J4486" s="990"/>
      <c r="K4486" s="990"/>
      <c r="L4486" s="990"/>
      <c r="M4486" s="990"/>
      <c r="N4486" s="990"/>
      <c r="O4486" s="990"/>
      <c r="P4486" s="990"/>
      <c r="Q4486" s="990"/>
      <c r="R4486" s="990"/>
      <c r="S4486" s="990"/>
      <c r="T4486" s="990"/>
      <c r="U4486" s="990"/>
      <c r="V4486" s="990"/>
      <c r="W4486" s="990"/>
      <c r="X4486" s="990"/>
    </row>
    <row r="4487" spans="1:24" s="896" customFormat="1" ht="25.5">
      <c r="A4487" s="987">
        <f t="shared" si="70"/>
        <v>4413</v>
      </c>
      <c r="B4487" s="988">
        <v>40741</v>
      </c>
      <c r="C4487" s="899" t="s">
        <v>13813</v>
      </c>
      <c r="D4487" s="988" t="s">
        <v>2666</v>
      </c>
      <c r="E4487" s="989">
        <v>2.42</v>
      </c>
      <c r="F4487" s="990"/>
      <c r="G4487" s="990"/>
      <c r="H4487" s="990"/>
      <c r="I4487" s="990"/>
      <c r="J4487" s="990"/>
      <c r="K4487" s="990"/>
      <c r="L4487" s="990"/>
      <c r="M4487" s="990"/>
      <c r="N4487" s="990"/>
      <c r="O4487" s="990"/>
      <c r="P4487" s="990"/>
      <c r="Q4487" s="990"/>
      <c r="R4487" s="990"/>
      <c r="S4487" s="990"/>
      <c r="T4487" s="990"/>
      <c r="U4487" s="990"/>
      <c r="V4487" s="990"/>
      <c r="W4487" s="990"/>
      <c r="X4487" s="990"/>
    </row>
    <row r="4488" spans="1:24" s="896" customFormat="1">
      <c r="A4488" s="987">
        <f t="shared" si="70"/>
        <v>4414</v>
      </c>
      <c r="B4488" s="988">
        <v>7184</v>
      </c>
      <c r="C4488" s="899" t="s">
        <v>13814</v>
      </c>
      <c r="D4488" s="988" t="s">
        <v>2667</v>
      </c>
      <c r="E4488" s="989">
        <v>52.5</v>
      </c>
      <c r="F4488" s="990"/>
      <c r="G4488" s="990"/>
      <c r="H4488" s="990"/>
      <c r="I4488" s="990"/>
      <c r="J4488" s="990"/>
      <c r="K4488" s="990"/>
      <c r="L4488" s="990"/>
      <c r="M4488" s="990"/>
      <c r="N4488" s="990"/>
      <c r="O4488" s="990"/>
      <c r="P4488" s="990"/>
      <c r="Q4488" s="990"/>
      <c r="R4488" s="990"/>
      <c r="S4488" s="990"/>
      <c r="T4488" s="990"/>
      <c r="U4488" s="990"/>
      <c r="V4488" s="990"/>
      <c r="W4488" s="990"/>
      <c r="X4488" s="990"/>
    </row>
    <row r="4489" spans="1:24" s="896" customFormat="1">
      <c r="A4489" s="987">
        <f t="shared" si="70"/>
        <v>4415</v>
      </c>
      <c r="B4489" s="988">
        <v>34458</v>
      </c>
      <c r="C4489" s="899" t="s">
        <v>13815</v>
      </c>
      <c r="D4489" s="988" t="s">
        <v>2666</v>
      </c>
      <c r="E4489" s="989">
        <v>158.11000000000001</v>
      </c>
      <c r="F4489" s="990"/>
      <c r="G4489" s="990"/>
      <c r="H4489" s="990"/>
      <c r="I4489" s="990"/>
      <c r="J4489" s="990"/>
      <c r="K4489" s="990"/>
      <c r="L4489" s="990"/>
      <c r="M4489" s="990"/>
      <c r="N4489" s="990"/>
      <c r="O4489" s="990"/>
      <c r="P4489" s="990"/>
      <c r="Q4489" s="990"/>
      <c r="R4489" s="990"/>
      <c r="S4489" s="990"/>
      <c r="T4489" s="990"/>
      <c r="U4489" s="990"/>
      <c r="V4489" s="990"/>
      <c r="W4489" s="990"/>
      <c r="X4489" s="990"/>
    </row>
    <row r="4490" spans="1:24" s="896" customFormat="1">
      <c r="A4490" s="987">
        <f t="shared" si="70"/>
        <v>4416</v>
      </c>
      <c r="B4490" s="988">
        <v>34464</v>
      </c>
      <c r="C4490" s="899" t="s">
        <v>13816</v>
      </c>
      <c r="D4490" s="988" t="s">
        <v>2666</v>
      </c>
      <c r="E4490" s="989">
        <v>235.36</v>
      </c>
      <c r="F4490" s="990"/>
      <c r="G4490" s="990"/>
      <c r="H4490" s="990"/>
      <c r="I4490" s="990"/>
      <c r="J4490" s="990"/>
      <c r="K4490" s="990"/>
      <c r="L4490" s="990"/>
      <c r="M4490" s="990"/>
      <c r="N4490" s="990"/>
      <c r="O4490" s="990"/>
      <c r="P4490" s="990"/>
      <c r="Q4490" s="990"/>
      <c r="R4490" s="990"/>
      <c r="S4490" s="990"/>
      <c r="T4490" s="990"/>
      <c r="U4490" s="990"/>
      <c r="V4490" s="990"/>
      <c r="W4490" s="990"/>
      <c r="X4490" s="990"/>
    </row>
    <row r="4491" spans="1:24" s="896" customFormat="1">
      <c r="A4491" s="987">
        <f t="shared" si="70"/>
        <v>4417</v>
      </c>
      <c r="B4491" s="988">
        <v>34468</v>
      </c>
      <c r="C4491" s="899" t="s">
        <v>13817</v>
      </c>
      <c r="D4491" s="988" t="s">
        <v>2666</v>
      </c>
      <c r="E4491" s="989">
        <v>296.73</v>
      </c>
      <c r="F4491" s="990"/>
      <c r="G4491" s="990"/>
      <c r="H4491" s="990"/>
      <c r="I4491" s="990"/>
      <c r="J4491" s="990"/>
      <c r="K4491" s="990"/>
      <c r="L4491" s="990"/>
      <c r="M4491" s="990"/>
      <c r="N4491" s="990"/>
      <c r="O4491" s="990"/>
      <c r="P4491" s="990"/>
      <c r="Q4491" s="990"/>
      <c r="R4491" s="990"/>
      <c r="S4491" s="990"/>
      <c r="T4491" s="990"/>
      <c r="U4491" s="990"/>
      <c r="V4491" s="990"/>
      <c r="W4491" s="990"/>
      <c r="X4491" s="990"/>
    </row>
    <row r="4492" spans="1:24" s="896" customFormat="1">
      <c r="A4492" s="987">
        <f t="shared" ref="A4492:A4555" si="71">A4491+1</f>
        <v>4418</v>
      </c>
      <c r="B4492" s="988">
        <v>34473</v>
      </c>
      <c r="C4492" s="899" t="s">
        <v>13818</v>
      </c>
      <c r="D4492" s="988" t="s">
        <v>2666</v>
      </c>
      <c r="E4492" s="989">
        <v>180</v>
      </c>
      <c r="F4492" s="990"/>
      <c r="G4492" s="990"/>
      <c r="H4492" s="990"/>
      <c r="I4492" s="990"/>
      <c r="J4492" s="990"/>
      <c r="K4492" s="990"/>
      <c r="L4492" s="990"/>
      <c r="M4492" s="990"/>
      <c r="N4492" s="990"/>
      <c r="O4492" s="990"/>
      <c r="P4492" s="990"/>
      <c r="Q4492" s="990"/>
      <c r="R4492" s="990"/>
      <c r="S4492" s="990"/>
      <c r="T4492" s="990"/>
      <c r="U4492" s="990"/>
      <c r="V4492" s="990"/>
      <c r="W4492" s="990"/>
      <c r="X4492" s="990"/>
    </row>
    <row r="4493" spans="1:24" s="896" customFormat="1">
      <c r="A4493" s="987">
        <f t="shared" si="71"/>
        <v>4419</v>
      </c>
      <c r="B4493" s="988">
        <v>34480</v>
      </c>
      <c r="C4493" s="899" t="s">
        <v>13819</v>
      </c>
      <c r="D4493" s="988" t="s">
        <v>2666</v>
      </c>
      <c r="E4493" s="989">
        <v>332.65</v>
      </c>
      <c r="F4493" s="990"/>
      <c r="G4493" s="990"/>
      <c r="H4493" s="990"/>
      <c r="I4493" s="990"/>
      <c r="J4493" s="990"/>
      <c r="K4493" s="990"/>
      <c r="L4493" s="990"/>
      <c r="M4493" s="990"/>
      <c r="N4493" s="990"/>
      <c r="O4493" s="990"/>
      <c r="P4493" s="990"/>
      <c r="Q4493" s="990"/>
      <c r="R4493" s="990"/>
      <c r="S4493" s="990"/>
      <c r="T4493" s="990"/>
      <c r="U4493" s="990"/>
      <c r="V4493" s="990"/>
      <c r="W4493" s="990"/>
      <c r="X4493" s="990"/>
    </row>
    <row r="4494" spans="1:24" s="896" customFormat="1">
      <c r="A4494" s="987">
        <f t="shared" si="71"/>
        <v>4420</v>
      </c>
      <c r="B4494" s="988">
        <v>34486</v>
      </c>
      <c r="C4494" s="899" t="s">
        <v>13820</v>
      </c>
      <c r="D4494" s="988" t="s">
        <v>2666</v>
      </c>
      <c r="E4494" s="989">
        <v>393.84</v>
      </c>
      <c r="F4494" s="990"/>
      <c r="G4494" s="990"/>
      <c r="H4494" s="990"/>
      <c r="I4494" s="990"/>
      <c r="J4494" s="990"/>
      <c r="K4494" s="990"/>
      <c r="L4494" s="990"/>
      <c r="M4494" s="990"/>
      <c r="N4494" s="990"/>
      <c r="O4494" s="990"/>
      <c r="P4494" s="990"/>
      <c r="Q4494" s="990"/>
      <c r="R4494" s="990"/>
      <c r="S4494" s="990"/>
      <c r="T4494" s="990"/>
      <c r="U4494" s="990"/>
      <c r="V4494" s="990"/>
      <c r="W4494" s="990"/>
      <c r="X4494" s="990"/>
    </row>
    <row r="4495" spans="1:24" s="896" customFormat="1">
      <c r="A4495" s="987">
        <f t="shared" si="71"/>
        <v>4421</v>
      </c>
      <c r="B4495" s="988">
        <v>7190</v>
      </c>
      <c r="C4495" s="899" t="s">
        <v>13821</v>
      </c>
      <c r="D4495" s="988" t="s">
        <v>2666</v>
      </c>
      <c r="E4495" s="989">
        <v>13.15</v>
      </c>
      <c r="F4495" s="990"/>
      <c r="G4495" s="990"/>
      <c r="H4495" s="990"/>
      <c r="I4495" s="990"/>
      <c r="J4495" s="990"/>
      <c r="K4495" s="990"/>
      <c r="L4495" s="990"/>
      <c r="M4495" s="990"/>
      <c r="N4495" s="990"/>
      <c r="O4495" s="990"/>
      <c r="P4495" s="990"/>
      <c r="Q4495" s="990"/>
      <c r="R4495" s="990"/>
      <c r="S4495" s="990"/>
      <c r="T4495" s="990"/>
      <c r="U4495" s="990"/>
      <c r="V4495" s="990"/>
      <c r="W4495" s="990"/>
      <c r="X4495" s="990"/>
    </row>
    <row r="4496" spans="1:24" s="896" customFormat="1">
      <c r="A4496" s="987">
        <f t="shared" si="71"/>
        <v>4422</v>
      </c>
      <c r="B4496" s="988">
        <v>34417</v>
      </c>
      <c r="C4496" s="899" t="s">
        <v>13822</v>
      </c>
      <c r="D4496" s="988" t="s">
        <v>2666</v>
      </c>
      <c r="E4496" s="989">
        <v>21.04</v>
      </c>
      <c r="F4496" s="990"/>
      <c r="G4496" s="990"/>
      <c r="H4496" s="990"/>
      <c r="I4496" s="990"/>
      <c r="J4496" s="990"/>
      <c r="K4496" s="990"/>
      <c r="L4496" s="990"/>
      <c r="M4496" s="990"/>
      <c r="N4496" s="990"/>
      <c r="O4496" s="990"/>
      <c r="P4496" s="990"/>
      <c r="Q4496" s="990"/>
      <c r="R4496" s="990"/>
      <c r="S4496" s="990"/>
      <c r="T4496" s="990"/>
      <c r="U4496" s="990"/>
      <c r="V4496" s="990"/>
      <c r="W4496" s="990"/>
      <c r="X4496" s="990"/>
    </row>
    <row r="4497" spans="1:24" s="896" customFormat="1">
      <c r="A4497" s="987">
        <f t="shared" si="71"/>
        <v>4423</v>
      </c>
      <c r="B4497" s="988">
        <v>7213</v>
      </c>
      <c r="C4497" s="899" t="s">
        <v>13823</v>
      </c>
      <c r="D4497" s="988" t="s">
        <v>2667</v>
      </c>
      <c r="E4497" s="989">
        <v>19.3</v>
      </c>
      <c r="F4497" s="990"/>
      <c r="G4497" s="990"/>
      <c r="H4497" s="990"/>
      <c r="I4497" s="990"/>
      <c r="J4497" s="990"/>
      <c r="K4497" s="990"/>
      <c r="L4497" s="990"/>
      <c r="M4497" s="990"/>
      <c r="N4497" s="990"/>
      <c r="O4497" s="990"/>
      <c r="P4497" s="990"/>
      <c r="Q4497" s="990"/>
      <c r="R4497" s="990"/>
      <c r="S4497" s="990"/>
      <c r="T4497" s="990"/>
      <c r="U4497" s="990"/>
      <c r="V4497" s="990"/>
      <c r="W4497" s="990"/>
      <c r="X4497" s="990"/>
    </row>
    <row r="4498" spans="1:24" s="896" customFormat="1">
      <c r="A4498" s="987">
        <f t="shared" si="71"/>
        <v>4424</v>
      </c>
      <c r="B4498" s="988">
        <v>7195</v>
      </c>
      <c r="C4498" s="899" t="s">
        <v>13824</v>
      </c>
      <c r="D4498" s="988" t="s">
        <v>2666</v>
      </c>
      <c r="E4498" s="989">
        <v>56.66</v>
      </c>
      <c r="F4498" s="990"/>
      <c r="G4498" s="990"/>
      <c r="H4498" s="990"/>
      <c r="I4498" s="990"/>
      <c r="J4498" s="990"/>
      <c r="K4498" s="990"/>
      <c r="L4498" s="990"/>
      <c r="M4498" s="990"/>
      <c r="N4498" s="990"/>
      <c r="O4498" s="990"/>
      <c r="P4498" s="990"/>
      <c r="Q4498" s="990"/>
      <c r="R4498" s="990"/>
      <c r="S4498" s="990"/>
      <c r="T4498" s="990"/>
      <c r="U4498" s="990"/>
      <c r="V4498" s="990"/>
      <c r="W4498" s="990"/>
      <c r="X4498" s="990"/>
    </row>
    <row r="4499" spans="1:24" s="896" customFormat="1">
      <c r="A4499" s="987">
        <f t="shared" si="71"/>
        <v>4425</v>
      </c>
      <c r="B4499" s="988">
        <v>7186</v>
      </c>
      <c r="C4499" s="899" t="s">
        <v>13825</v>
      </c>
      <c r="D4499" s="988" t="s">
        <v>2666</v>
      </c>
      <c r="E4499" s="989">
        <v>61.72</v>
      </c>
      <c r="F4499" s="990"/>
      <c r="G4499" s="990"/>
      <c r="H4499" s="990"/>
      <c r="I4499" s="990"/>
      <c r="J4499" s="990"/>
      <c r="K4499" s="990"/>
      <c r="L4499" s="990"/>
      <c r="M4499" s="990"/>
      <c r="N4499" s="990"/>
      <c r="O4499" s="990"/>
      <c r="P4499" s="990"/>
      <c r="Q4499" s="990"/>
      <c r="R4499" s="990"/>
      <c r="S4499" s="990"/>
      <c r="T4499" s="990"/>
      <c r="U4499" s="990"/>
      <c r="V4499" s="990"/>
      <c r="W4499" s="990"/>
      <c r="X4499" s="990"/>
    </row>
    <row r="4500" spans="1:24" s="896" customFormat="1">
      <c r="A4500" s="987">
        <f t="shared" si="71"/>
        <v>4426</v>
      </c>
      <c r="B4500" s="988">
        <v>7194</v>
      </c>
      <c r="C4500" s="899" t="s">
        <v>13826</v>
      </c>
      <c r="D4500" s="988" t="s">
        <v>2667</v>
      </c>
      <c r="E4500" s="989">
        <v>28.46</v>
      </c>
      <c r="F4500" s="990"/>
      <c r="G4500" s="990"/>
      <c r="H4500" s="990"/>
      <c r="I4500" s="990"/>
      <c r="J4500" s="990"/>
      <c r="K4500" s="990"/>
      <c r="L4500" s="990"/>
      <c r="M4500" s="990"/>
      <c r="N4500" s="990"/>
      <c r="O4500" s="990"/>
      <c r="P4500" s="990"/>
      <c r="Q4500" s="990"/>
      <c r="R4500" s="990"/>
      <c r="S4500" s="990"/>
      <c r="T4500" s="990"/>
      <c r="U4500" s="990"/>
      <c r="V4500" s="990"/>
      <c r="W4500" s="990"/>
      <c r="X4500" s="990"/>
    </row>
    <row r="4501" spans="1:24" s="896" customFormat="1">
      <c r="A4501" s="987">
        <f t="shared" si="71"/>
        <v>4427</v>
      </c>
      <c r="B4501" s="988">
        <v>7197</v>
      </c>
      <c r="C4501" s="899" t="s">
        <v>13827</v>
      </c>
      <c r="D4501" s="988" t="s">
        <v>2666</v>
      </c>
      <c r="E4501" s="989">
        <v>120.11</v>
      </c>
      <c r="F4501" s="990"/>
      <c r="G4501" s="990"/>
      <c r="H4501" s="990"/>
      <c r="I4501" s="990"/>
      <c r="J4501" s="990"/>
      <c r="K4501" s="990"/>
      <c r="L4501" s="990"/>
      <c r="M4501" s="990"/>
      <c r="N4501" s="990"/>
      <c r="O4501" s="990"/>
      <c r="P4501" s="990"/>
      <c r="Q4501" s="990"/>
      <c r="R4501" s="990"/>
      <c r="S4501" s="990"/>
      <c r="T4501" s="990"/>
      <c r="U4501" s="990"/>
      <c r="V4501" s="990"/>
      <c r="W4501" s="990"/>
      <c r="X4501" s="990"/>
    </row>
    <row r="4502" spans="1:24" s="896" customFormat="1">
      <c r="A4502" s="987">
        <f t="shared" si="71"/>
        <v>4428</v>
      </c>
      <c r="B4502" s="988">
        <v>7192</v>
      </c>
      <c r="C4502" s="899" t="s">
        <v>13828</v>
      </c>
      <c r="D4502" s="988" t="s">
        <v>2666</v>
      </c>
      <c r="E4502" s="989">
        <v>107.6</v>
      </c>
      <c r="F4502" s="990"/>
      <c r="G4502" s="990"/>
      <c r="H4502" s="990"/>
      <c r="I4502" s="990"/>
      <c r="J4502" s="990"/>
      <c r="K4502" s="990"/>
      <c r="L4502" s="990"/>
      <c r="M4502" s="990"/>
      <c r="N4502" s="990"/>
      <c r="O4502" s="990"/>
      <c r="P4502" s="990"/>
      <c r="Q4502" s="990"/>
      <c r="R4502" s="990"/>
      <c r="S4502" s="990"/>
      <c r="T4502" s="990"/>
      <c r="U4502" s="990"/>
      <c r="V4502" s="990"/>
      <c r="W4502" s="990"/>
      <c r="X4502" s="990"/>
    </row>
    <row r="4503" spans="1:24" s="896" customFormat="1">
      <c r="A4503" s="987">
        <f t="shared" si="71"/>
        <v>4429</v>
      </c>
      <c r="B4503" s="988">
        <v>7193</v>
      </c>
      <c r="C4503" s="899" t="s">
        <v>13829</v>
      </c>
      <c r="D4503" s="988" t="s">
        <v>2666</v>
      </c>
      <c r="E4503" s="989">
        <v>121.15</v>
      </c>
      <c r="F4503" s="990"/>
      <c r="G4503" s="990"/>
      <c r="H4503" s="990"/>
      <c r="I4503" s="990"/>
      <c r="J4503" s="990"/>
      <c r="K4503" s="990"/>
      <c r="L4503" s="990"/>
      <c r="M4503" s="990"/>
      <c r="N4503" s="990"/>
      <c r="O4503" s="990"/>
      <c r="P4503" s="990"/>
      <c r="Q4503" s="990"/>
      <c r="R4503" s="990"/>
      <c r="S4503" s="990"/>
      <c r="T4503" s="990"/>
      <c r="U4503" s="990"/>
      <c r="V4503" s="990"/>
      <c r="W4503" s="990"/>
      <c r="X4503" s="990"/>
    </row>
    <row r="4504" spans="1:24" s="896" customFormat="1">
      <c r="A4504" s="987">
        <f t="shared" si="71"/>
        <v>4430</v>
      </c>
      <c r="B4504" s="988">
        <v>7189</v>
      </c>
      <c r="C4504" s="899" t="s">
        <v>13830</v>
      </c>
      <c r="D4504" s="988" t="s">
        <v>2666</v>
      </c>
      <c r="E4504" s="989">
        <v>140.79</v>
      </c>
      <c r="F4504" s="990"/>
      <c r="G4504" s="990"/>
      <c r="H4504" s="990"/>
      <c r="I4504" s="990"/>
      <c r="J4504" s="990"/>
      <c r="K4504" s="990"/>
      <c r="L4504" s="990"/>
      <c r="M4504" s="990"/>
      <c r="N4504" s="990"/>
      <c r="O4504" s="990"/>
      <c r="P4504" s="990"/>
      <c r="Q4504" s="990"/>
      <c r="R4504" s="990"/>
      <c r="S4504" s="990"/>
      <c r="T4504" s="990"/>
      <c r="U4504" s="990"/>
      <c r="V4504" s="990"/>
      <c r="W4504" s="990"/>
      <c r="X4504" s="990"/>
    </row>
    <row r="4505" spans="1:24" s="896" customFormat="1">
      <c r="A4505" s="987">
        <f t="shared" si="71"/>
        <v>4431</v>
      </c>
      <c r="B4505" s="988">
        <v>34402</v>
      </c>
      <c r="C4505" s="899" t="s">
        <v>13831</v>
      </c>
      <c r="D4505" s="988" t="s">
        <v>2666</v>
      </c>
      <c r="E4505" s="989">
        <v>198.76</v>
      </c>
      <c r="F4505" s="990"/>
      <c r="G4505" s="990"/>
      <c r="H4505" s="990"/>
      <c r="I4505" s="990"/>
      <c r="J4505" s="990"/>
      <c r="K4505" s="990"/>
      <c r="L4505" s="990"/>
      <c r="M4505" s="990"/>
      <c r="N4505" s="990"/>
      <c r="O4505" s="990"/>
      <c r="P4505" s="990"/>
      <c r="Q4505" s="990"/>
      <c r="R4505" s="990"/>
      <c r="S4505" s="990"/>
      <c r="T4505" s="990"/>
      <c r="U4505" s="990"/>
      <c r="V4505" s="990"/>
      <c r="W4505" s="990"/>
      <c r="X4505" s="990"/>
    </row>
    <row r="4506" spans="1:24" s="896" customFormat="1">
      <c r="A4506" s="987">
        <f t="shared" si="71"/>
        <v>4432</v>
      </c>
      <c r="B4506" s="988">
        <v>7245</v>
      </c>
      <c r="C4506" s="899" t="s">
        <v>13832</v>
      </c>
      <c r="D4506" s="988" t="s">
        <v>2666</v>
      </c>
      <c r="E4506" s="989">
        <v>36.450000000000003</v>
      </c>
      <c r="F4506" s="990"/>
      <c r="G4506" s="990"/>
      <c r="H4506" s="990"/>
      <c r="I4506" s="990"/>
      <c r="J4506" s="990"/>
      <c r="K4506" s="990"/>
      <c r="L4506" s="990"/>
      <c r="M4506" s="990"/>
      <c r="N4506" s="990"/>
      <c r="O4506" s="990"/>
      <c r="P4506" s="990"/>
      <c r="Q4506" s="990"/>
      <c r="R4506" s="990"/>
      <c r="S4506" s="990"/>
      <c r="T4506" s="990"/>
      <c r="U4506" s="990"/>
      <c r="V4506" s="990"/>
      <c r="W4506" s="990"/>
      <c r="X4506" s="990"/>
    </row>
    <row r="4507" spans="1:24" s="896" customFormat="1">
      <c r="A4507" s="987">
        <f t="shared" si="71"/>
        <v>4433</v>
      </c>
      <c r="B4507" s="988">
        <v>34425</v>
      </c>
      <c r="C4507" s="899" t="s">
        <v>13833</v>
      </c>
      <c r="D4507" s="988" t="s">
        <v>2666</v>
      </c>
      <c r="E4507" s="989">
        <v>127.68</v>
      </c>
      <c r="F4507" s="990"/>
      <c r="G4507" s="990"/>
      <c r="H4507" s="990"/>
      <c r="I4507" s="990"/>
      <c r="J4507" s="990"/>
      <c r="K4507" s="990"/>
      <c r="L4507" s="990"/>
      <c r="M4507" s="990"/>
      <c r="N4507" s="990"/>
      <c r="O4507" s="990"/>
      <c r="P4507" s="990"/>
      <c r="Q4507" s="990"/>
      <c r="R4507" s="990"/>
      <c r="S4507" s="990"/>
      <c r="T4507" s="990"/>
      <c r="U4507" s="990"/>
      <c r="V4507" s="990"/>
      <c r="W4507" s="990"/>
      <c r="X4507" s="990"/>
    </row>
    <row r="4508" spans="1:24" s="896" customFormat="1">
      <c r="A4508" s="987">
        <f t="shared" si="71"/>
        <v>4434</v>
      </c>
      <c r="B4508" s="988">
        <v>7223</v>
      </c>
      <c r="C4508" s="899" t="s">
        <v>13834</v>
      </c>
      <c r="D4508" s="988" t="s">
        <v>2666</v>
      </c>
      <c r="E4508" s="989">
        <v>142.29</v>
      </c>
      <c r="F4508" s="990"/>
      <c r="G4508" s="990"/>
      <c r="H4508" s="990"/>
      <c r="I4508" s="990"/>
      <c r="J4508" s="990"/>
      <c r="K4508" s="990"/>
      <c r="L4508" s="990"/>
      <c r="M4508" s="990"/>
      <c r="N4508" s="990"/>
      <c r="O4508" s="990"/>
      <c r="P4508" s="990"/>
      <c r="Q4508" s="990"/>
      <c r="R4508" s="990"/>
      <c r="S4508" s="990"/>
      <c r="T4508" s="990"/>
      <c r="U4508" s="990"/>
      <c r="V4508" s="990"/>
      <c r="W4508" s="990"/>
      <c r="X4508" s="990"/>
    </row>
    <row r="4509" spans="1:24" s="896" customFormat="1">
      <c r="A4509" s="987">
        <f t="shared" si="71"/>
        <v>4435</v>
      </c>
      <c r="B4509" s="988">
        <v>7234</v>
      </c>
      <c r="C4509" s="899" t="s">
        <v>13835</v>
      </c>
      <c r="D4509" s="988" t="s">
        <v>2666</v>
      </c>
      <c r="E4509" s="989">
        <v>214.72</v>
      </c>
      <c r="F4509" s="990"/>
      <c r="G4509" s="990"/>
      <c r="H4509" s="990"/>
      <c r="I4509" s="990"/>
      <c r="J4509" s="990"/>
      <c r="K4509" s="990"/>
      <c r="L4509" s="990"/>
      <c r="M4509" s="990"/>
      <c r="N4509" s="990"/>
      <c r="O4509" s="990"/>
      <c r="P4509" s="990"/>
      <c r="Q4509" s="990"/>
      <c r="R4509" s="990"/>
      <c r="S4509" s="990"/>
      <c r="T4509" s="990"/>
      <c r="U4509" s="990"/>
      <c r="V4509" s="990"/>
      <c r="W4509" s="990"/>
      <c r="X4509" s="990"/>
    </row>
    <row r="4510" spans="1:24" s="896" customFormat="1">
      <c r="A4510" s="987">
        <f t="shared" si="71"/>
        <v>4436</v>
      </c>
      <c r="B4510" s="988">
        <v>7224</v>
      </c>
      <c r="C4510" s="899" t="s">
        <v>13836</v>
      </c>
      <c r="D4510" s="988" t="s">
        <v>2666</v>
      </c>
      <c r="E4510" s="989">
        <v>261.58</v>
      </c>
      <c r="F4510" s="990"/>
      <c r="G4510" s="990"/>
      <c r="H4510" s="990"/>
      <c r="I4510" s="990"/>
      <c r="J4510" s="990"/>
      <c r="K4510" s="990"/>
      <c r="L4510" s="990"/>
      <c r="M4510" s="990"/>
      <c r="N4510" s="990"/>
      <c r="O4510" s="990"/>
      <c r="P4510" s="990"/>
      <c r="Q4510" s="990"/>
      <c r="R4510" s="990"/>
      <c r="S4510" s="990"/>
      <c r="T4510" s="990"/>
      <c r="U4510" s="990"/>
      <c r="V4510" s="990"/>
      <c r="W4510" s="990"/>
      <c r="X4510" s="990"/>
    </row>
    <row r="4511" spans="1:24" s="896" customFormat="1">
      <c r="A4511" s="987">
        <f t="shared" si="71"/>
        <v>4437</v>
      </c>
      <c r="B4511" s="988">
        <v>7225</v>
      </c>
      <c r="C4511" s="899" t="s">
        <v>13837</v>
      </c>
      <c r="D4511" s="988" t="s">
        <v>2666</v>
      </c>
      <c r="E4511" s="989">
        <v>280.48</v>
      </c>
      <c r="F4511" s="990"/>
      <c r="G4511" s="990"/>
      <c r="H4511" s="990"/>
      <c r="I4511" s="990"/>
      <c r="J4511" s="990"/>
      <c r="K4511" s="990"/>
      <c r="L4511" s="990"/>
      <c r="M4511" s="990"/>
      <c r="N4511" s="990"/>
      <c r="O4511" s="990"/>
      <c r="P4511" s="990"/>
      <c r="Q4511" s="990"/>
      <c r="R4511" s="990"/>
      <c r="S4511" s="990"/>
      <c r="T4511" s="990"/>
      <c r="U4511" s="990"/>
      <c r="V4511" s="990"/>
      <c r="W4511" s="990"/>
      <c r="X4511" s="990"/>
    </row>
    <row r="4512" spans="1:24" s="896" customFormat="1">
      <c r="A4512" s="987">
        <f t="shared" si="71"/>
        <v>4438</v>
      </c>
      <c r="B4512" s="988">
        <v>7226</v>
      </c>
      <c r="C4512" s="899" t="s">
        <v>13838</v>
      </c>
      <c r="D4512" s="988" t="s">
        <v>2666</v>
      </c>
      <c r="E4512" s="989">
        <v>299.31</v>
      </c>
      <c r="F4512" s="990"/>
      <c r="G4512" s="990"/>
      <c r="H4512" s="990"/>
      <c r="I4512" s="990"/>
      <c r="J4512" s="990"/>
      <c r="K4512" s="990"/>
      <c r="L4512" s="990"/>
      <c r="M4512" s="990"/>
      <c r="N4512" s="990"/>
      <c r="O4512" s="990"/>
      <c r="P4512" s="990"/>
      <c r="Q4512" s="990"/>
      <c r="R4512" s="990"/>
      <c r="S4512" s="990"/>
      <c r="T4512" s="990"/>
      <c r="U4512" s="990"/>
      <c r="V4512" s="990"/>
      <c r="W4512" s="990"/>
      <c r="X4512" s="990"/>
    </row>
    <row r="4513" spans="1:24" s="896" customFormat="1">
      <c r="A4513" s="987">
        <f t="shared" si="71"/>
        <v>4439</v>
      </c>
      <c r="B4513" s="988">
        <v>7227</v>
      </c>
      <c r="C4513" s="899" t="s">
        <v>13839</v>
      </c>
      <c r="D4513" s="988" t="s">
        <v>2666</v>
      </c>
      <c r="E4513" s="989">
        <v>340.7</v>
      </c>
      <c r="F4513" s="990"/>
      <c r="G4513" s="990"/>
      <c r="H4513" s="990"/>
      <c r="I4513" s="990"/>
      <c r="J4513" s="990"/>
      <c r="K4513" s="990"/>
      <c r="L4513" s="990"/>
      <c r="M4513" s="990"/>
      <c r="N4513" s="990"/>
      <c r="O4513" s="990"/>
      <c r="P4513" s="990"/>
      <c r="Q4513" s="990"/>
      <c r="R4513" s="990"/>
      <c r="S4513" s="990"/>
      <c r="T4513" s="990"/>
      <c r="U4513" s="990"/>
      <c r="V4513" s="990"/>
      <c r="W4513" s="990"/>
      <c r="X4513" s="990"/>
    </row>
    <row r="4514" spans="1:24" s="896" customFormat="1">
      <c r="A4514" s="987">
        <f t="shared" si="71"/>
        <v>4440</v>
      </c>
      <c r="B4514" s="988">
        <v>7212</v>
      </c>
      <c r="C4514" s="899" t="s">
        <v>13840</v>
      </c>
      <c r="D4514" s="988" t="s">
        <v>2666</v>
      </c>
      <c r="E4514" s="989">
        <v>374.34</v>
      </c>
      <c r="F4514" s="990"/>
      <c r="G4514" s="990"/>
      <c r="H4514" s="990"/>
      <c r="I4514" s="990"/>
      <c r="J4514" s="990"/>
      <c r="K4514" s="990"/>
      <c r="L4514" s="990"/>
      <c r="M4514" s="990"/>
      <c r="N4514" s="990"/>
      <c r="O4514" s="990"/>
      <c r="P4514" s="990"/>
      <c r="Q4514" s="990"/>
      <c r="R4514" s="990"/>
      <c r="S4514" s="990"/>
      <c r="T4514" s="990"/>
      <c r="U4514" s="990"/>
      <c r="V4514" s="990"/>
      <c r="W4514" s="990"/>
      <c r="X4514" s="990"/>
    </row>
    <row r="4515" spans="1:24" s="896" customFormat="1">
      <c r="A4515" s="987">
        <f t="shared" si="71"/>
        <v>4441</v>
      </c>
      <c r="B4515" s="988">
        <v>7229</v>
      </c>
      <c r="C4515" s="899" t="s">
        <v>13841</v>
      </c>
      <c r="D4515" s="988" t="s">
        <v>2666</v>
      </c>
      <c r="E4515" s="989">
        <v>237.28</v>
      </c>
      <c r="F4515" s="990"/>
      <c r="G4515" s="990"/>
      <c r="H4515" s="990"/>
      <c r="I4515" s="990"/>
      <c r="J4515" s="990"/>
      <c r="K4515" s="990"/>
      <c r="L4515" s="990"/>
      <c r="M4515" s="990"/>
      <c r="N4515" s="990"/>
      <c r="O4515" s="990"/>
      <c r="P4515" s="990"/>
      <c r="Q4515" s="990"/>
      <c r="R4515" s="990"/>
      <c r="S4515" s="990"/>
      <c r="T4515" s="990"/>
      <c r="U4515" s="990"/>
      <c r="V4515" s="990"/>
      <c r="W4515" s="990"/>
      <c r="X4515" s="990"/>
    </row>
    <row r="4516" spans="1:24" s="896" customFormat="1">
      <c r="A4516" s="987">
        <f t="shared" si="71"/>
        <v>4442</v>
      </c>
      <c r="B4516" s="988">
        <v>7230</v>
      </c>
      <c r="C4516" s="899" t="s">
        <v>13842</v>
      </c>
      <c r="D4516" s="988" t="s">
        <v>2666</v>
      </c>
      <c r="E4516" s="989">
        <v>395.03</v>
      </c>
      <c r="F4516" s="990"/>
      <c r="G4516" s="990"/>
      <c r="H4516" s="990"/>
      <c r="I4516" s="990"/>
      <c r="J4516" s="990"/>
      <c r="K4516" s="990"/>
      <c r="L4516" s="990"/>
      <c r="M4516" s="990"/>
      <c r="N4516" s="990"/>
      <c r="O4516" s="990"/>
      <c r="P4516" s="990"/>
      <c r="Q4516" s="990"/>
      <c r="R4516" s="990"/>
      <c r="S4516" s="990"/>
      <c r="T4516" s="990"/>
      <c r="U4516" s="990"/>
      <c r="V4516" s="990"/>
      <c r="W4516" s="990"/>
      <c r="X4516" s="990"/>
    </row>
    <row r="4517" spans="1:24" s="896" customFormat="1">
      <c r="A4517" s="987">
        <f t="shared" si="71"/>
        <v>4443</v>
      </c>
      <c r="B4517" s="988">
        <v>7231</v>
      </c>
      <c r="C4517" s="899" t="s">
        <v>13843</v>
      </c>
      <c r="D4517" s="988" t="s">
        <v>2666</v>
      </c>
      <c r="E4517" s="989">
        <v>560.39</v>
      </c>
      <c r="F4517" s="990"/>
      <c r="G4517" s="990"/>
      <c r="H4517" s="990"/>
      <c r="I4517" s="990"/>
      <c r="J4517" s="990"/>
      <c r="K4517" s="990"/>
      <c r="L4517" s="990"/>
      <c r="M4517" s="990"/>
      <c r="N4517" s="990"/>
      <c r="O4517" s="990"/>
      <c r="P4517" s="990"/>
      <c r="Q4517" s="990"/>
      <c r="R4517" s="990"/>
      <c r="S4517" s="990"/>
      <c r="T4517" s="990"/>
      <c r="U4517" s="990"/>
      <c r="V4517" s="990"/>
      <c r="W4517" s="990"/>
      <c r="X4517" s="990"/>
    </row>
    <row r="4518" spans="1:24" s="896" customFormat="1">
      <c r="A4518" s="987">
        <f t="shared" si="71"/>
        <v>4444</v>
      </c>
      <c r="B4518" s="988">
        <v>7220</v>
      </c>
      <c r="C4518" s="899" t="s">
        <v>13844</v>
      </c>
      <c r="D4518" s="988" t="s">
        <v>2666</v>
      </c>
      <c r="E4518" s="989">
        <v>691.74</v>
      </c>
      <c r="F4518" s="990"/>
      <c r="G4518" s="990"/>
      <c r="H4518" s="990"/>
      <c r="I4518" s="990"/>
      <c r="J4518" s="990"/>
      <c r="K4518" s="990"/>
      <c r="L4518" s="990"/>
      <c r="M4518" s="990"/>
      <c r="N4518" s="990"/>
      <c r="O4518" s="990"/>
      <c r="P4518" s="990"/>
      <c r="Q4518" s="990"/>
      <c r="R4518" s="990"/>
      <c r="S4518" s="990"/>
      <c r="T4518" s="990"/>
      <c r="U4518" s="990"/>
      <c r="V4518" s="990"/>
      <c r="W4518" s="990"/>
      <c r="X4518" s="990"/>
    </row>
    <row r="4519" spans="1:24" s="896" customFormat="1">
      <c r="A4519" s="987">
        <f t="shared" si="71"/>
        <v>4445</v>
      </c>
      <c r="B4519" s="988">
        <v>34447</v>
      </c>
      <c r="C4519" s="899" t="s">
        <v>13845</v>
      </c>
      <c r="D4519" s="988" t="s">
        <v>2666</v>
      </c>
      <c r="E4519" s="989">
        <v>773.46</v>
      </c>
      <c r="F4519" s="990"/>
      <c r="G4519" s="990"/>
      <c r="H4519" s="990"/>
      <c r="I4519" s="990"/>
      <c r="J4519" s="990"/>
      <c r="K4519" s="990"/>
      <c r="L4519" s="990"/>
      <c r="M4519" s="990"/>
      <c r="N4519" s="990"/>
      <c r="O4519" s="990"/>
      <c r="P4519" s="990"/>
      <c r="Q4519" s="990"/>
      <c r="R4519" s="990"/>
      <c r="S4519" s="990"/>
      <c r="T4519" s="990"/>
      <c r="U4519" s="990"/>
      <c r="V4519" s="990"/>
      <c r="W4519" s="990"/>
      <c r="X4519" s="990"/>
    </row>
    <row r="4520" spans="1:24" s="896" customFormat="1">
      <c r="A4520" s="987">
        <f t="shared" si="71"/>
        <v>4446</v>
      </c>
      <c r="B4520" s="988">
        <v>7233</v>
      </c>
      <c r="C4520" s="899" t="s">
        <v>13846</v>
      </c>
      <c r="D4520" s="988" t="s">
        <v>2666</v>
      </c>
      <c r="E4520" s="989">
        <v>887.29</v>
      </c>
      <c r="F4520" s="990"/>
      <c r="G4520" s="990"/>
      <c r="H4520" s="990"/>
      <c r="I4520" s="990"/>
      <c r="J4520" s="990"/>
      <c r="K4520" s="990"/>
      <c r="L4520" s="990"/>
      <c r="M4520" s="990"/>
      <c r="N4520" s="990"/>
      <c r="O4520" s="990"/>
      <c r="P4520" s="990"/>
      <c r="Q4520" s="990"/>
      <c r="R4520" s="990"/>
      <c r="S4520" s="990"/>
      <c r="T4520" s="990"/>
      <c r="U4520" s="990"/>
      <c r="V4520" s="990"/>
      <c r="W4520" s="990"/>
      <c r="X4520" s="990"/>
    </row>
    <row r="4521" spans="1:24" s="896" customFormat="1" ht="51">
      <c r="A4521" s="987">
        <f t="shared" si="71"/>
        <v>4447</v>
      </c>
      <c r="B4521" s="988">
        <v>40740</v>
      </c>
      <c r="C4521" s="899" t="s">
        <v>13847</v>
      </c>
      <c r="D4521" s="988" t="s">
        <v>2667</v>
      </c>
      <c r="E4521" s="989">
        <v>236.77</v>
      </c>
      <c r="F4521" s="990"/>
      <c r="G4521" s="990"/>
      <c r="H4521" s="990"/>
      <c r="I4521" s="990"/>
      <c r="J4521" s="990"/>
      <c r="K4521" s="990"/>
      <c r="L4521" s="990"/>
      <c r="M4521" s="990"/>
      <c r="N4521" s="990"/>
      <c r="O4521" s="990"/>
      <c r="P4521" s="990"/>
      <c r="Q4521" s="990"/>
      <c r="R4521" s="990"/>
      <c r="S4521" s="990"/>
      <c r="T4521" s="990"/>
      <c r="U4521" s="990"/>
      <c r="V4521" s="990"/>
      <c r="W4521" s="990"/>
      <c r="X4521" s="990"/>
    </row>
    <row r="4522" spans="1:24" s="896" customFormat="1" ht="25.5">
      <c r="A4522" s="987">
        <f t="shared" si="71"/>
        <v>4448</v>
      </c>
      <c r="B4522" s="988">
        <v>25007</v>
      </c>
      <c r="C4522" s="899" t="s">
        <v>13848</v>
      </c>
      <c r="D4522" s="988" t="s">
        <v>2667</v>
      </c>
      <c r="E4522" s="989">
        <v>67.75</v>
      </c>
      <c r="F4522" s="990"/>
      <c r="G4522" s="990"/>
      <c r="H4522" s="990"/>
      <c r="I4522" s="990"/>
      <c r="J4522" s="990"/>
      <c r="K4522" s="990"/>
      <c r="L4522" s="990"/>
      <c r="M4522" s="990"/>
      <c r="N4522" s="990"/>
      <c r="O4522" s="990"/>
      <c r="P4522" s="990"/>
      <c r="Q4522" s="990"/>
      <c r="R4522" s="990"/>
      <c r="S4522" s="990"/>
      <c r="T4522" s="990"/>
      <c r="U4522" s="990"/>
      <c r="V4522" s="990"/>
      <c r="W4522" s="990"/>
      <c r="X4522" s="990"/>
    </row>
    <row r="4523" spans="1:24" s="896" customFormat="1" ht="51">
      <c r="A4523" s="987">
        <f t="shared" si="71"/>
        <v>4449</v>
      </c>
      <c r="B4523" s="988">
        <v>43071</v>
      </c>
      <c r="C4523" s="899" t="s">
        <v>13849</v>
      </c>
      <c r="D4523" s="988" t="s">
        <v>2667</v>
      </c>
      <c r="E4523" s="989">
        <v>266.60000000000002</v>
      </c>
      <c r="F4523" s="990"/>
      <c r="G4523" s="990"/>
      <c r="H4523" s="990"/>
      <c r="I4523" s="990"/>
      <c r="J4523" s="990"/>
      <c r="K4523" s="990"/>
      <c r="L4523" s="990"/>
      <c r="M4523" s="990"/>
      <c r="N4523" s="990"/>
      <c r="O4523" s="990"/>
      <c r="P4523" s="990"/>
      <c r="Q4523" s="990"/>
      <c r="R4523" s="990"/>
      <c r="S4523" s="990"/>
      <c r="T4523" s="990"/>
      <c r="U4523" s="990"/>
      <c r="V4523" s="990"/>
      <c r="W4523" s="990"/>
      <c r="X4523" s="990"/>
    </row>
    <row r="4524" spans="1:24" s="896" customFormat="1" ht="51">
      <c r="A4524" s="987">
        <f t="shared" si="71"/>
        <v>4450</v>
      </c>
      <c r="B4524" s="988">
        <v>39520</v>
      </c>
      <c r="C4524" s="899" t="s">
        <v>13850</v>
      </c>
      <c r="D4524" s="988" t="s">
        <v>2667</v>
      </c>
      <c r="E4524" s="989">
        <v>217.5</v>
      </c>
      <c r="F4524" s="990"/>
      <c r="G4524" s="990"/>
      <c r="H4524" s="990"/>
      <c r="I4524" s="990"/>
      <c r="J4524" s="990"/>
      <c r="K4524" s="990"/>
      <c r="L4524" s="990"/>
      <c r="M4524" s="990"/>
      <c r="N4524" s="990"/>
      <c r="O4524" s="990"/>
      <c r="P4524" s="990"/>
      <c r="Q4524" s="990"/>
      <c r="R4524" s="990"/>
      <c r="S4524" s="990"/>
      <c r="T4524" s="990"/>
      <c r="U4524" s="990"/>
      <c r="V4524" s="990"/>
      <c r="W4524" s="990"/>
      <c r="X4524" s="990"/>
    </row>
    <row r="4525" spans="1:24" s="896" customFormat="1" ht="51">
      <c r="A4525" s="987">
        <f t="shared" si="71"/>
        <v>4451</v>
      </c>
      <c r="B4525" s="988">
        <v>39521</v>
      </c>
      <c r="C4525" s="899" t="s">
        <v>13851</v>
      </c>
      <c r="D4525" s="988" t="s">
        <v>2667</v>
      </c>
      <c r="E4525" s="989">
        <v>224.61</v>
      </c>
      <c r="F4525" s="990"/>
      <c r="G4525" s="990"/>
      <c r="H4525" s="990"/>
      <c r="I4525" s="990"/>
      <c r="J4525" s="990"/>
      <c r="K4525" s="990"/>
      <c r="L4525" s="990"/>
      <c r="M4525" s="990"/>
      <c r="N4525" s="990"/>
      <c r="O4525" s="990"/>
      <c r="P4525" s="990"/>
      <c r="Q4525" s="990"/>
      <c r="R4525" s="990"/>
      <c r="S4525" s="990"/>
      <c r="T4525" s="990"/>
      <c r="U4525" s="990"/>
      <c r="V4525" s="990"/>
      <c r="W4525" s="990"/>
      <c r="X4525" s="990"/>
    </row>
    <row r="4526" spans="1:24" s="896" customFormat="1" ht="38.25">
      <c r="A4526" s="987">
        <f t="shared" si="71"/>
        <v>4452</v>
      </c>
      <c r="B4526" s="988">
        <v>39522</v>
      </c>
      <c r="C4526" s="899" t="s">
        <v>13852</v>
      </c>
      <c r="D4526" s="988" t="s">
        <v>2667</v>
      </c>
      <c r="E4526" s="989">
        <v>231.93</v>
      </c>
      <c r="F4526" s="990"/>
      <c r="G4526" s="990"/>
      <c r="H4526" s="990"/>
      <c r="I4526" s="990"/>
      <c r="J4526" s="990"/>
      <c r="K4526" s="990"/>
      <c r="L4526" s="990"/>
      <c r="M4526" s="990"/>
      <c r="N4526" s="990"/>
      <c r="O4526" s="990"/>
      <c r="P4526" s="990"/>
      <c r="Q4526" s="990"/>
      <c r="R4526" s="990"/>
      <c r="S4526" s="990"/>
      <c r="T4526" s="990"/>
      <c r="U4526" s="990"/>
      <c r="V4526" s="990"/>
      <c r="W4526" s="990"/>
      <c r="X4526" s="990"/>
    </row>
    <row r="4527" spans="1:24" s="896" customFormat="1" ht="25.5">
      <c r="A4527" s="987">
        <f t="shared" si="71"/>
        <v>4453</v>
      </c>
      <c r="B4527" s="988">
        <v>7243</v>
      </c>
      <c r="C4527" s="899" t="s">
        <v>13853</v>
      </c>
      <c r="D4527" s="988" t="s">
        <v>2667</v>
      </c>
      <c r="E4527" s="989">
        <v>70.8</v>
      </c>
      <c r="F4527" s="990"/>
      <c r="G4527" s="990"/>
      <c r="H4527" s="990"/>
      <c r="I4527" s="990"/>
      <c r="J4527" s="990"/>
      <c r="K4527" s="990"/>
      <c r="L4527" s="990"/>
      <c r="M4527" s="990"/>
      <c r="N4527" s="990"/>
      <c r="O4527" s="990"/>
      <c r="P4527" s="990"/>
      <c r="Q4527" s="990"/>
      <c r="R4527" s="990"/>
      <c r="S4527" s="990"/>
      <c r="T4527" s="990"/>
      <c r="U4527" s="990"/>
      <c r="V4527" s="990"/>
      <c r="W4527" s="990"/>
      <c r="X4527" s="990"/>
    </row>
    <row r="4528" spans="1:24" s="896" customFormat="1" ht="25.5">
      <c r="A4528" s="987">
        <f t="shared" si="71"/>
        <v>4454</v>
      </c>
      <c r="B4528" s="988">
        <v>11067</v>
      </c>
      <c r="C4528" s="899" t="s">
        <v>13854</v>
      </c>
      <c r="D4528" s="988" t="s">
        <v>2666</v>
      </c>
      <c r="E4528" s="989">
        <v>393.95</v>
      </c>
      <c r="F4528" s="990"/>
      <c r="G4528" s="990"/>
      <c r="H4528" s="990"/>
      <c r="I4528" s="990"/>
      <c r="J4528" s="990"/>
      <c r="K4528" s="990"/>
      <c r="L4528" s="990"/>
      <c r="M4528" s="990"/>
      <c r="N4528" s="990"/>
      <c r="O4528" s="990"/>
      <c r="P4528" s="990"/>
      <c r="Q4528" s="990"/>
      <c r="R4528" s="990"/>
      <c r="S4528" s="990"/>
      <c r="T4528" s="990"/>
      <c r="U4528" s="990"/>
      <c r="V4528" s="990"/>
      <c r="W4528" s="990"/>
      <c r="X4528" s="990"/>
    </row>
    <row r="4529" spans="1:24" s="896" customFormat="1" ht="25.5">
      <c r="A4529" s="987">
        <f t="shared" si="71"/>
        <v>4455</v>
      </c>
      <c r="B4529" s="988">
        <v>11068</v>
      </c>
      <c r="C4529" s="899" t="s">
        <v>13855</v>
      </c>
      <c r="D4529" s="988" t="s">
        <v>2666</v>
      </c>
      <c r="E4529" s="989">
        <v>497.69</v>
      </c>
      <c r="F4529" s="990"/>
      <c r="G4529" s="990"/>
      <c r="H4529" s="990"/>
      <c r="I4529" s="990"/>
      <c r="J4529" s="990"/>
      <c r="K4529" s="990"/>
      <c r="L4529" s="990"/>
      <c r="M4529" s="990"/>
      <c r="N4529" s="990"/>
      <c r="O4529" s="990"/>
      <c r="P4529" s="990"/>
      <c r="Q4529" s="990"/>
      <c r="R4529" s="990"/>
      <c r="S4529" s="990"/>
      <c r="T4529" s="990"/>
      <c r="U4529" s="990"/>
      <c r="V4529" s="990"/>
      <c r="W4529" s="990"/>
      <c r="X4529" s="990"/>
    </row>
    <row r="4530" spans="1:24" s="896" customFormat="1">
      <c r="A4530" s="987">
        <f t="shared" si="71"/>
        <v>4456</v>
      </c>
      <c r="B4530" s="988">
        <v>7246</v>
      </c>
      <c r="C4530" s="899" t="s">
        <v>13856</v>
      </c>
      <c r="D4530" s="988" t="s">
        <v>2666</v>
      </c>
      <c r="E4530" s="989">
        <v>40.25</v>
      </c>
      <c r="F4530" s="990"/>
      <c r="G4530" s="990"/>
      <c r="H4530" s="990"/>
      <c r="I4530" s="990"/>
      <c r="J4530" s="990"/>
      <c r="K4530" s="990"/>
      <c r="L4530" s="990"/>
      <c r="M4530" s="990"/>
      <c r="N4530" s="990"/>
      <c r="O4530" s="990"/>
      <c r="P4530" s="990"/>
      <c r="Q4530" s="990"/>
      <c r="R4530" s="990"/>
      <c r="S4530" s="990"/>
      <c r="T4530" s="990"/>
      <c r="U4530" s="990"/>
      <c r="V4530" s="990"/>
      <c r="W4530" s="990"/>
      <c r="X4530" s="990"/>
    </row>
    <row r="4531" spans="1:24" s="896" customFormat="1">
      <c r="A4531" s="987">
        <f t="shared" si="71"/>
        <v>4457</v>
      </c>
      <c r="B4531" s="988">
        <v>41097</v>
      </c>
      <c r="C4531" s="899" t="s">
        <v>13857</v>
      </c>
      <c r="D4531" s="988" t="s">
        <v>2672</v>
      </c>
      <c r="E4531" s="989">
        <v>4157.3999999999996</v>
      </c>
      <c r="F4531" s="990"/>
      <c r="G4531" s="990"/>
      <c r="H4531" s="990"/>
      <c r="I4531" s="990"/>
      <c r="J4531" s="990"/>
      <c r="K4531" s="990"/>
      <c r="L4531" s="990"/>
      <c r="M4531" s="990"/>
      <c r="N4531" s="990"/>
      <c r="O4531" s="990"/>
      <c r="P4531" s="990"/>
      <c r="Q4531" s="990"/>
      <c r="R4531" s="990"/>
      <c r="S4531" s="990"/>
      <c r="T4531" s="990"/>
      <c r="U4531" s="990"/>
      <c r="V4531" s="990"/>
      <c r="W4531" s="990"/>
      <c r="X4531" s="990"/>
    </row>
    <row r="4532" spans="1:24" s="896" customFormat="1">
      <c r="A4532" s="987">
        <f t="shared" si="71"/>
        <v>4458</v>
      </c>
      <c r="B4532" s="988">
        <v>12869</v>
      </c>
      <c r="C4532" s="899" t="s">
        <v>13858</v>
      </c>
      <c r="D4532" s="988" t="s">
        <v>2665</v>
      </c>
      <c r="E4532" s="989">
        <v>23.64</v>
      </c>
      <c r="F4532" s="990"/>
      <c r="G4532" s="990"/>
      <c r="H4532" s="990"/>
      <c r="I4532" s="990"/>
      <c r="J4532" s="990"/>
      <c r="K4532" s="990"/>
      <c r="L4532" s="990"/>
      <c r="M4532" s="990"/>
      <c r="N4532" s="990"/>
      <c r="O4532" s="990"/>
      <c r="P4532" s="990"/>
      <c r="Q4532" s="990"/>
      <c r="R4532" s="990"/>
      <c r="S4532" s="990"/>
      <c r="T4532" s="990"/>
      <c r="U4532" s="990"/>
      <c r="V4532" s="990"/>
      <c r="W4532" s="990"/>
      <c r="X4532" s="990"/>
    </row>
    <row r="4533" spans="1:24" s="896" customFormat="1" ht="25.5">
      <c r="A4533" s="987">
        <f t="shared" si="71"/>
        <v>4459</v>
      </c>
      <c r="B4533" s="988">
        <v>1574</v>
      </c>
      <c r="C4533" s="899" t="s">
        <v>13859</v>
      </c>
      <c r="D4533" s="988" t="s">
        <v>2666</v>
      </c>
      <c r="E4533" s="989">
        <v>1.45</v>
      </c>
      <c r="F4533" s="990"/>
      <c r="G4533" s="990"/>
      <c r="H4533" s="990"/>
      <c r="I4533" s="990"/>
      <c r="J4533" s="990"/>
      <c r="K4533" s="990"/>
      <c r="L4533" s="990"/>
      <c r="M4533" s="990"/>
      <c r="N4533" s="990"/>
      <c r="O4533" s="990"/>
      <c r="P4533" s="990"/>
      <c r="Q4533" s="990"/>
      <c r="R4533" s="990"/>
      <c r="S4533" s="990"/>
      <c r="T4533" s="990"/>
      <c r="U4533" s="990"/>
      <c r="V4533" s="990"/>
      <c r="W4533" s="990"/>
      <c r="X4533" s="990"/>
    </row>
    <row r="4534" spans="1:24" s="896" customFormat="1" ht="25.5">
      <c r="A4534" s="987">
        <f t="shared" si="71"/>
        <v>4460</v>
      </c>
      <c r="B4534" s="988">
        <v>1581</v>
      </c>
      <c r="C4534" s="899" t="s">
        <v>13860</v>
      </c>
      <c r="D4534" s="988" t="s">
        <v>2666</v>
      </c>
      <c r="E4534" s="989">
        <v>10.09</v>
      </c>
      <c r="F4534" s="990"/>
      <c r="G4534" s="990"/>
      <c r="H4534" s="990"/>
      <c r="I4534" s="990"/>
      <c r="J4534" s="990"/>
      <c r="K4534" s="990"/>
      <c r="L4534" s="990"/>
      <c r="M4534" s="990"/>
      <c r="N4534" s="990"/>
      <c r="O4534" s="990"/>
      <c r="P4534" s="990"/>
      <c r="Q4534" s="990"/>
      <c r="R4534" s="990"/>
      <c r="S4534" s="990"/>
      <c r="T4534" s="990"/>
      <c r="U4534" s="990"/>
      <c r="V4534" s="990"/>
      <c r="W4534" s="990"/>
      <c r="X4534" s="990"/>
    </row>
    <row r="4535" spans="1:24" s="896" customFormat="1" ht="25.5">
      <c r="A4535" s="987">
        <f t="shared" si="71"/>
        <v>4461</v>
      </c>
      <c r="B4535" s="988">
        <v>1575</v>
      </c>
      <c r="C4535" s="899" t="s">
        <v>13861</v>
      </c>
      <c r="D4535" s="988" t="s">
        <v>2666</v>
      </c>
      <c r="E4535" s="989">
        <v>1.72</v>
      </c>
      <c r="F4535" s="990"/>
      <c r="G4535" s="990"/>
      <c r="H4535" s="990"/>
      <c r="I4535" s="990"/>
      <c r="J4535" s="990"/>
      <c r="K4535" s="990"/>
      <c r="L4535" s="990"/>
      <c r="M4535" s="990"/>
      <c r="N4535" s="990"/>
      <c r="O4535" s="990"/>
      <c r="P4535" s="990"/>
      <c r="Q4535" s="990"/>
      <c r="R4535" s="990"/>
      <c r="S4535" s="990"/>
      <c r="T4535" s="990"/>
      <c r="U4535" s="990"/>
      <c r="V4535" s="990"/>
      <c r="W4535" s="990"/>
      <c r="X4535" s="990"/>
    </row>
    <row r="4536" spans="1:24" s="896" customFormat="1" ht="25.5">
      <c r="A4536" s="987">
        <f t="shared" si="71"/>
        <v>4462</v>
      </c>
      <c r="B4536" s="988">
        <v>1570</v>
      </c>
      <c r="C4536" s="899" t="s">
        <v>13862</v>
      </c>
      <c r="D4536" s="988" t="s">
        <v>2666</v>
      </c>
      <c r="E4536" s="989">
        <v>0.87</v>
      </c>
      <c r="F4536" s="990"/>
      <c r="G4536" s="990"/>
      <c r="H4536" s="990"/>
      <c r="I4536" s="990"/>
      <c r="J4536" s="990"/>
      <c r="K4536" s="990"/>
      <c r="L4536" s="990"/>
      <c r="M4536" s="990"/>
      <c r="N4536" s="990"/>
      <c r="O4536" s="990"/>
      <c r="P4536" s="990"/>
      <c r="Q4536" s="990"/>
      <c r="R4536" s="990"/>
      <c r="S4536" s="990"/>
      <c r="T4536" s="990"/>
      <c r="U4536" s="990"/>
      <c r="V4536" s="990"/>
      <c r="W4536" s="990"/>
      <c r="X4536" s="990"/>
    </row>
    <row r="4537" spans="1:24" s="896" customFormat="1" ht="25.5">
      <c r="A4537" s="987">
        <f t="shared" si="71"/>
        <v>4463</v>
      </c>
      <c r="B4537" s="988">
        <v>1576</v>
      </c>
      <c r="C4537" s="899" t="s">
        <v>13863</v>
      </c>
      <c r="D4537" s="988" t="s">
        <v>2666</v>
      </c>
      <c r="E4537" s="989">
        <v>2.39</v>
      </c>
      <c r="F4537" s="990"/>
      <c r="G4537" s="990"/>
      <c r="H4537" s="990"/>
      <c r="I4537" s="990"/>
      <c r="J4537" s="990"/>
      <c r="K4537" s="990"/>
      <c r="L4537" s="990"/>
      <c r="M4537" s="990"/>
      <c r="N4537" s="990"/>
      <c r="O4537" s="990"/>
      <c r="P4537" s="990"/>
      <c r="Q4537" s="990"/>
      <c r="R4537" s="990"/>
      <c r="S4537" s="990"/>
      <c r="T4537" s="990"/>
      <c r="U4537" s="990"/>
      <c r="V4537" s="990"/>
      <c r="W4537" s="990"/>
      <c r="X4537" s="990"/>
    </row>
    <row r="4538" spans="1:24" s="896" customFormat="1" ht="25.5">
      <c r="A4538" s="987">
        <f t="shared" si="71"/>
        <v>4464</v>
      </c>
      <c r="B4538" s="988">
        <v>1577</v>
      </c>
      <c r="C4538" s="899" t="s">
        <v>13864</v>
      </c>
      <c r="D4538" s="988" t="s">
        <v>2666</v>
      </c>
      <c r="E4538" s="989">
        <v>2.69</v>
      </c>
      <c r="F4538" s="990"/>
      <c r="G4538" s="990"/>
      <c r="H4538" s="990"/>
      <c r="I4538" s="990"/>
      <c r="J4538" s="990"/>
      <c r="K4538" s="990"/>
      <c r="L4538" s="990"/>
      <c r="M4538" s="990"/>
      <c r="N4538" s="990"/>
      <c r="O4538" s="990"/>
      <c r="P4538" s="990"/>
      <c r="Q4538" s="990"/>
      <c r="R4538" s="990"/>
      <c r="S4538" s="990"/>
      <c r="T4538" s="990"/>
      <c r="U4538" s="990"/>
      <c r="V4538" s="990"/>
      <c r="W4538" s="990"/>
      <c r="X4538" s="990"/>
    </row>
    <row r="4539" spans="1:24" s="896" customFormat="1" ht="25.5">
      <c r="A4539" s="987">
        <f t="shared" si="71"/>
        <v>4465</v>
      </c>
      <c r="B4539" s="988">
        <v>1571</v>
      </c>
      <c r="C4539" s="899" t="s">
        <v>13865</v>
      </c>
      <c r="D4539" s="988" t="s">
        <v>2666</v>
      </c>
      <c r="E4539" s="989">
        <v>1.1299999999999999</v>
      </c>
      <c r="F4539" s="990"/>
      <c r="G4539" s="990"/>
      <c r="H4539" s="990"/>
      <c r="I4539" s="990"/>
      <c r="J4539" s="990"/>
      <c r="K4539" s="990"/>
      <c r="L4539" s="990"/>
      <c r="M4539" s="990"/>
      <c r="N4539" s="990"/>
      <c r="O4539" s="990"/>
      <c r="P4539" s="990"/>
      <c r="Q4539" s="990"/>
      <c r="R4539" s="990"/>
      <c r="S4539" s="990"/>
      <c r="T4539" s="990"/>
      <c r="U4539" s="990"/>
      <c r="V4539" s="990"/>
      <c r="W4539" s="990"/>
      <c r="X4539" s="990"/>
    </row>
    <row r="4540" spans="1:24" s="896" customFormat="1" ht="25.5">
      <c r="A4540" s="987">
        <f t="shared" si="71"/>
        <v>4466</v>
      </c>
      <c r="B4540" s="988">
        <v>1578</v>
      </c>
      <c r="C4540" s="899" t="s">
        <v>13866</v>
      </c>
      <c r="D4540" s="988" t="s">
        <v>2666</v>
      </c>
      <c r="E4540" s="989">
        <v>4.67</v>
      </c>
      <c r="F4540" s="990"/>
      <c r="G4540" s="990"/>
      <c r="H4540" s="990"/>
      <c r="I4540" s="990"/>
      <c r="J4540" s="990"/>
      <c r="K4540" s="990"/>
      <c r="L4540" s="990"/>
      <c r="M4540" s="990"/>
      <c r="N4540" s="990"/>
      <c r="O4540" s="990"/>
      <c r="P4540" s="990"/>
      <c r="Q4540" s="990"/>
      <c r="R4540" s="990"/>
      <c r="S4540" s="990"/>
      <c r="T4540" s="990"/>
      <c r="U4540" s="990"/>
      <c r="V4540" s="990"/>
      <c r="W4540" s="990"/>
      <c r="X4540" s="990"/>
    </row>
    <row r="4541" spans="1:24" s="896" customFormat="1" ht="25.5">
      <c r="A4541" s="987">
        <f t="shared" si="71"/>
        <v>4467</v>
      </c>
      <c r="B4541" s="988">
        <v>1573</v>
      </c>
      <c r="C4541" s="899" t="s">
        <v>13867</v>
      </c>
      <c r="D4541" s="988" t="s">
        <v>2666</v>
      </c>
      <c r="E4541" s="989">
        <v>1.34</v>
      </c>
      <c r="F4541" s="990"/>
      <c r="G4541" s="990"/>
      <c r="H4541" s="990"/>
      <c r="I4541" s="990"/>
      <c r="J4541" s="990"/>
      <c r="K4541" s="990"/>
      <c r="L4541" s="990"/>
      <c r="M4541" s="990"/>
      <c r="N4541" s="990"/>
      <c r="O4541" s="990"/>
      <c r="P4541" s="990"/>
      <c r="Q4541" s="990"/>
      <c r="R4541" s="990"/>
      <c r="S4541" s="990"/>
      <c r="T4541" s="990"/>
      <c r="U4541" s="990"/>
      <c r="V4541" s="990"/>
      <c r="W4541" s="990"/>
      <c r="X4541" s="990"/>
    </row>
    <row r="4542" spans="1:24" s="896" customFormat="1" ht="25.5">
      <c r="A4542" s="987">
        <f t="shared" si="71"/>
        <v>4468</v>
      </c>
      <c r="B4542" s="988">
        <v>1579</v>
      </c>
      <c r="C4542" s="899" t="s">
        <v>13868</v>
      </c>
      <c r="D4542" s="988" t="s">
        <v>2666</v>
      </c>
      <c r="E4542" s="989">
        <v>5.83</v>
      </c>
      <c r="F4542" s="990"/>
      <c r="G4542" s="990"/>
      <c r="H4542" s="990"/>
      <c r="I4542" s="990"/>
      <c r="J4542" s="990"/>
      <c r="K4542" s="990"/>
      <c r="L4542" s="990"/>
      <c r="M4542" s="990"/>
      <c r="N4542" s="990"/>
      <c r="O4542" s="990"/>
      <c r="P4542" s="990"/>
      <c r="Q4542" s="990"/>
      <c r="R4542" s="990"/>
      <c r="S4542" s="990"/>
      <c r="T4542" s="990"/>
      <c r="U4542" s="990"/>
      <c r="V4542" s="990"/>
      <c r="W4542" s="990"/>
      <c r="X4542" s="990"/>
    </row>
    <row r="4543" spans="1:24" s="896" customFormat="1" ht="25.5">
      <c r="A4543" s="987">
        <f t="shared" si="71"/>
        <v>4469</v>
      </c>
      <c r="B4543" s="988">
        <v>1580</v>
      </c>
      <c r="C4543" s="899" t="s">
        <v>13869</v>
      </c>
      <c r="D4543" s="988" t="s">
        <v>2666</v>
      </c>
      <c r="E4543" s="989">
        <v>7.17</v>
      </c>
      <c r="F4543" s="990"/>
      <c r="G4543" s="990"/>
      <c r="H4543" s="990"/>
      <c r="I4543" s="990"/>
      <c r="J4543" s="990"/>
      <c r="K4543" s="990"/>
      <c r="L4543" s="990"/>
      <c r="M4543" s="990"/>
      <c r="N4543" s="990"/>
      <c r="O4543" s="990"/>
      <c r="P4543" s="990"/>
      <c r="Q4543" s="990"/>
      <c r="R4543" s="990"/>
      <c r="S4543" s="990"/>
      <c r="T4543" s="990"/>
      <c r="U4543" s="990"/>
      <c r="V4543" s="990"/>
      <c r="W4543" s="990"/>
      <c r="X4543" s="990"/>
    </row>
    <row r="4544" spans="1:24" s="896" customFormat="1">
      <c r="A4544" s="987">
        <f t="shared" si="71"/>
        <v>4470</v>
      </c>
      <c r="B4544" s="988">
        <v>39321</v>
      </c>
      <c r="C4544" s="899" t="s">
        <v>13870</v>
      </c>
      <c r="D4544" s="988" t="s">
        <v>2666</v>
      </c>
      <c r="E4544" s="989">
        <v>23.81</v>
      </c>
      <c r="F4544" s="990"/>
      <c r="G4544" s="990"/>
      <c r="H4544" s="990"/>
      <c r="I4544" s="990"/>
      <c r="J4544" s="990"/>
      <c r="K4544" s="990"/>
      <c r="L4544" s="990"/>
      <c r="M4544" s="990"/>
      <c r="N4544" s="990"/>
      <c r="O4544" s="990"/>
      <c r="P4544" s="990"/>
      <c r="Q4544" s="990"/>
      <c r="R4544" s="990"/>
      <c r="S4544" s="990"/>
      <c r="T4544" s="990"/>
      <c r="U4544" s="990"/>
      <c r="V4544" s="990"/>
      <c r="W4544" s="990"/>
      <c r="X4544" s="990"/>
    </row>
    <row r="4545" spans="1:24" s="896" customFormat="1">
      <c r="A4545" s="987">
        <f t="shared" si="71"/>
        <v>4471</v>
      </c>
      <c r="B4545" s="988">
        <v>39319</v>
      </c>
      <c r="C4545" s="899" t="s">
        <v>13871</v>
      </c>
      <c r="D4545" s="988" t="s">
        <v>2666</v>
      </c>
      <c r="E4545" s="989">
        <v>9.3000000000000007</v>
      </c>
      <c r="F4545" s="990"/>
      <c r="G4545" s="990"/>
      <c r="H4545" s="990"/>
      <c r="I4545" s="990"/>
      <c r="J4545" s="990"/>
      <c r="K4545" s="990"/>
      <c r="L4545" s="990"/>
      <c r="M4545" s="990"/>
      <c r="N4545" s="990"/>
      <c r="O4545" s="990"/>
      <c r="P4545" s="990"/>
      <c r="Q4545" s="990"/>
      <c r="R4545" s="990"/>
      <c r="S4545" s="990"/>
      <c r="T4545" s="990"/>
      <c r="U4545" s="990"/>
      <c r="V4545" s="990"/>
      <c r="W4545" s="990"/>
      <c r="X4545" s="990"/>
    </row>
    <row r="4546" spans="1:24" s="896" customFormat="1">
      <c r="A4546" s="987">
        <f t="shared" si="71"/>
        <v>4472</v>
      </c>
      <c r="B4546" s="988">
        <v>39320</v>
      </c>
      <c r="C4546" s="899" t="s">
        <v>13872</v>
      </c>
      <c r="D4546" s="988" t="s">
        <v>2666</v>
      </c>
      <c r="E4546" s="989">
        <v>15.46</v>
      </c>
      <c r="F4546" s="990"/>
      <c r="G4546" s="990"/>
      <c r="H4546" s="990"/>
      <c r="I4546" s="990"/>
      <c r="J4546" s="990"/>
      <c r="K4546" s="990"/>
      <c r="L4546" s="990"/>
      <c r="M4546" s="990"/>
      <c r="N4546" s="990"/>
      <c r="O4546" s="990"/>
      <c r="P4546" s="990"/>
      <c r="Q4546" s="990"/>
      <c r="R4546" s="990"/>
      <c r="S4546" s="990"/>
      <c r="T4546" s="990"/>
      <c r="U4546" s="990"/>
      <c r="V4546" s="990"/>
      <c r="W4546" s="990"/>
      <c r="X4546" s="990"/>
    </row>
    <row r="4547" spans="1:24" s="896" customFormat="1">
      <c r="A4547" s="987">
        <f t="shared" si="71"/>
        <v>4473</v>
      </c>
      <c r="B4547" s="988">
        <v>1591</v>
      </c>
      <c r="C4547" s="899" t="s">
        <v>13873</v>
      </c>
      <c r="D4547" s="988" t="s">
        <v>2666</v>
      </c>
      <c r="E4547" s="989">
        <v>22.25</v>
      </c>
      <c r="F4547" s="990"/>
      <c r="G4547" s="990"/>
      <c r="H4547" s="990"/>
      <c r="I4547" s="990"/>
      <c r="J4547" s="990"/>
      <c r="K4547" s="990"/>
      <c r="L4547" s="990"/>
      <c r="M4547" s="990"/>
      <c r="N4547" s="990"/>
      <c r="O4547" s="990"/>
      <c r="P4547" s="990"/>
      <c r="Q4547" s="990"/>
      <c r="R4547" s="990"/>
      <c r="S4547" s="990"/>
      <c r="T4547" s="990"/>
      <c r="U4547" s="990"/>
      <c r="V4547" s="990"/>
      <c r="W4547" s="990"/>
      <c r="X4547" s="990"/>
    </row>
    <row r="4548" spans="1:24" s="896" customFormat="1" ht="25.5">
      <c r="A4548" s="987">
        <f t="shared" si="71"/>
        <v>4474</v>
      </c>
      <c r="B4548" s="988">
        <v>1547</v>
      </c>
      <c r="C4548" s="899" t="s">
        <v>13874</v>
      </c>
      <c r="D4548" s="988" t="s">
        <v>2666</v>
      </c>
      <c r="E4548" s="989">
        <v>116.61</v>
      </c>
      <c r="F4548" s="990"/>
      <c r="G4548" s="990"/>
      <c r="H4548" s="990"/>
      <c r="I4548" s="990"/>
      <c r="J4548" s="990"/>
      <c r="K4548" s="990"/>
      <c r="L4548" s="990"/>
      <c r="M4548" s="990"/>
      <c r="N4548" s="990"/>
      <c r="O4548" s="990"/>
      <c r="P4548" s="990"/>
      <c r="Q4548" s="990"/>
      <c r="R4548" s="990"/>
      <c r="S4548" s="990"/>
      <c r="T4548" s="990"/>
      <c r="U4548" s="990"/>
      <c r="V4548" s="990"/>
      <c r="W4548" s="990"/>
      <c r="X4548" s="990"/>
    </row>
    <row r="4549" spans="1:24" s="896" customFormat="1">
      <c r="A4549" s="987">
        <f t="shared" si="71"/>
        <v>4475</v>
      </c>
      <c r="B4549" s="988">
        <v>38196</v>
      </c>
      <c r="C4549" s="899" t="s">
        <v>13875</v>
      </c>
      <c r="D4549" s="988" t="s">
        <v>2666</v>
      </c>
      <c r="E4549" s="989">
        <v>22.71</v>
      </c>
      <c r="F4549" s="990"/>
      <c r="G4549" s="990"/>
      <c r="H4549" s="990"/>
      <c r="I4549" s="990"/>
      <c r="J4549" s="990"/>
      <c r="K4549" s="990"/>
      <c r="L4549" s="990"/>
      <c r="M4549" s="990"/>
      <c r="N4549" s="990"/>
      <c r="O4549" s="990"/>
      <c r="P4549" s="990"/>
      <c r="Q4549" s="990"/>
      <c r="R4549" s="990"/>
      <c r="S4549" s="990"/>
      <c r="T4549" s="990"/>
      <c r="U4549" s="990"/>
      <c r="V4549" s="990"/>
      <c r="W4549" s="990"/>
      <c r="X4549" s="990"/>
    </row>
    <row r="4550" spans="1:24" s="896" customFormat="1" ht="25.5">
      <c r="A4550" s="987">
        <f t="shared" si="71"/>
        <v>4476</v>
      </c>
      <c r="B4550" s="988">
        <v>1543</v>
      </c>
      <c r="C4550" s="899" t="s">
        <v>13876</v>
      </c>
      <c r="D4550" s="988" t="s">
        <v>2666</v>
      </c>
      <c r="E4550" s="989">
        <v>24.13</v>
      </c>
      <c r="F4550" s="990"/>
      <c r="G4550" s="990"/>
      <c r="H4550" s="990"/>
      <c r="I4550" s="990"/>
      <c r="J4550" s="990"/>
      <c r="K4550" s="990"/>
      <c r="L4550" s="990"/>
      <c r="M4550" s="990"/>
      <c r="N4550" s="990"/>
      <c r="O4550" s="990"/>
      <c r="P4550" s="990"/>
      <c r="Q4550" s="990"/>
      <c r="R4550" s="990"/>
      <c r="S4550" s="990"/>
      <c r="T4550" s="990"/>
      <c r="U4550" s="990"/>
      <c r="V4550" s="990"/>
      <c r="W4550" s="990"/>
      <c r="X4550" s="990"/>
    </row>
    <row r="4551" spans="1:24" s="896" customFormat="1">
      <c r="A4551" s="987">
        <f t="shared" si="71"/>
        <v>4477</v>
      </c>
      <c r="B4551" s="988">
        <v>1585</v>
      </c>
      <c r="C4551" s="899" t="s">
        <v>13877</v>
      </c>
      <c r="D4551" s="988" t="s">
        <v>2666</v>
      </c>
      <c r="E4551" s="989">
        <v>4.67</v>
      </c>
      <c r="F4551" s="990"/>
      <c r="G4551" s="990"/>
      <c r="H4551" s="990"/>
      <c r="I4551" s="990"/>
      <c r="J4551" s="990"/>
      <c r="K4551" s="990"/>
      <c r="L4551" s="990"/>
      <c r="M4551" s="990"/>
      <c r="N4551" s="990"/>
      <c r="O4551" s="990"/>
      <c r="P4551" s="990"/>
      <c r="Q4551" s="990"/>
      <c r="R4551" s="990"/>
      <c r="S4551" s="990"/>
      <c r="T4551" s="990"/>
      <c r="U4551" s="990"/>
      <c r="V4551" s="990"/>
      <c r="W4551" s="990"/>
      <c r="X4551" s="990"/>
    </row>
    <row r="4552" spans="1:24" s="896" customFormat="1">
      <c r="A4552" s="987">
        <f t="shared" si="71"/>
        <v>4478</v>
      </c>
      <c r="B4552" s="988">
        <v>1593</v>
      </c>
      <c r="C4552" s="899" t="s">
        <v>13878</v>
      </c>
      <c r="D4552" s="988" t="s">
        <v>2666</v>
      </c>
      <c r="E4552" s="989">
        <v>24.82</v>
      </c>
      <c r="F4552" s="990"/>
      <c r="G4552" s="990"/>
      <c r="H4552" s="990"/>
      <c r="I4552" s="990"/>
      <c r="J4552" s="990"/>
      <c r="K4552" s="990"/>
      <c r="L4552" s="990"/>
      <c r="M4552" s="990"/>
      <c r="N4552" s="990"/>
      <c r="O4552" s="990"/>
      <c r="P4552" s="990"/>
      <c r="Q4552" s="990"/>
      <c r="R4552" s="990"/>
      <c r="S4552" s="990"/>
      <c r="T4552" s="990"/>
      <c r="U4552" s="990"/>
      <c r="V4552" s="990"/>
      <c r="W4552" s="990"/>
      <c r="X4552" s="990"/>
    </row>
    <row r="4553" spans="1:24" s="896" customFormat="1">
      <c r="A4553" s="987">
        <f t="shared" si="71"/>
        <v>4479</v>
      </c>
      <c r="B4553" s="988">
        <v>11838</v>
      </c>
      <c r="C4553" s="899" t="s">
        <v>13879</v>
      </c>
      <c r="D4553" s="988" t="s">
        <v>2666</v>
      </c>
      <c r="E4553" s="989">
        <v>32.75</v>
      </c>
      <c r="F4553" s="990"/>
      <c r="G4553" s="990"/>
      <c r="H4553" s="990"/>
      <c r="I4553" s="990"/>
      <c r="J4553" s="990"/>
      <c r="K4553" s="990"/>
      <c r="L4553" s="990"/>
      <c r="M4553" s="990"/>
      <c r="N4553" s="990"/>
      <c r="O4553" s="990"/>
      <c r="P4553" s="990"/>
      <c r="Q4553" s="990"/>
      <c r="R4553" s="990"/>
      <c r="S4553" s="990"/>
      <c r="T4553" s="990"/>
      <c r="U4553" s="990"/>
      <c r="V4553" s="990"/>
      <c r="W4553" s="990"/>
      <c r="X4553" s="990"/>
    </row>
    <row r="4554" spans="1:24" s="896" customFormat="1" ht="25.5">
      <c r="A4554" s="987">
        <f t="shared" si="71"/>
        <v>4480</v>
      </c>
      <c r="B4554" s="988">
        <v>1594</v>
      </c>
      <c r="C4554" s="899" t="s">
        <v>13880</v>
      </c>
      <c r="D4554" s="988" t="s">
        <v>2666</v>
      </c>
      <c r="E4554" s="989">
        <v>33.11</v>
      </c>
      <c r="F4554" s="990"/>
      <c r="G4554" s="990"/>
      <c r="H4554" s="990"/>
      <c r="I4554" s="990"/>
      <c r="J4554" s="990"/>
      <c r="K4554" s="990"/>
      <c r="L4554" s="990"/>
      <c r="M4554" s="990"/>
      <c r="N4554" s="990"/>
      <c r="O4554" s="990"/>
      <c r="P4554" s="990"/>
      <c r="Q4554" s="990"/>
      <c r="R4554" s="990"/>
      <c r="S4554" s="990"/>
      <c r="T4554" s="990"/>
      <c r="U4554" s="990"/>
      <c r="V4554" s="990"/>
      <c r="W4554" s="990"/>
      <c r="X4554" s="990"/>
    </row>
    <row r="4555" spans="1:24" s="896" customFormat="1">
      <c r="A4555" s="987">
        <f t="shared" si="71"/>
        <v>4481</v>
      </c>
      <c r="B4555" s="988">
        <v>1586</v>
      </c>
      <c r="C4555" s="899" t="s">
        <v>13881</v>
      </c>
      <c r="D4555" s="988" t="s">
        <v>2666</v>
      </c>
      <c r="E4555" s="989">
        <v>5.91</v>
      </c>
      <c r="F4555" s="990"/>
      <c r="G4555" s="990"/>
      <c r="H4555" s="990"/>
      <c r="I4555" s="990"/>
      <c r="J4555" s="990"/>
      <c r="K4555" s="990"/>
      <c r="L4555" s="990"/>
      <c r="M4555" s="990"/>
      <c r="N4555" s="990"/>
      <c r="O4555" s="990"/>
      <c r="P4555" s="990"/>
      <c r="Q4555" s="990"/>
      <c r="R4555" s="990"/>
      <c r="S4555" s="990"/>
      <c r="T4555" s="990"/>
      <c r="U4555" s="990"/>
      <c r="V4555" s="990"/>
      <c r="W4555" s="990"/>
      <c r="X4555" s="990"/>
    </row>
    <row r="4556" spans="1:24" s="896" customFormat="1">
      <c r="A4556" s="987">
        <f t="shared" ref="A4556:A4619" si="72">A4555+1</f>
        <v>4482</v>
      </c>
      <c r="B4556" s="988">
        <v>11839</v>
      </c>
      <c r="C4556" s="899" t="s">
        <v>13882</v>
      </c>
      <c r="D4556" s="988" t="s">
        <v>2666</v>
      </c>
      <c r="E4556" s="989">
        <v>47.65</v>
      </c>
      <c r="F4556" s="990"/>
      <c r="G4556" s="990"/>
      <c r="H4556" s="990"/>
      <c r="I4556" s="990"/>
      <c r="J4556" s="990"/>
      <c r="K4556" s="990"/>
      <c r="L4556" s="990"/>
      <c r="M4556" s="990"/>
      <c r="N4556" s="990"/>
      <c r="O4556" s="990"/>
      <c r="P4556" s="990"/>
      <c r="Q4556" s="990"/>
      <c r="R4556" s="990"/>
      <c r="S4556" s="990"/>
      <c r="T4556" s="990"/>
      <c r="U4556" s="990"/>
      <c r="V4556" s="990"/>
      <c r="W4556" s="990"/>
      <c r="X4556" s="990"/>
    </row>
    <row r="4557" spans="1:24" s="896" customFormat="1">
      <c r="A4557" s="987">
        <f t="shared" si="72"/>
        <v>4483</v>
      </c>
      <c r="B4557" s="988">
        <v>1587</v>
      </c>
      <c r="C4557" s="899" t="s">
        <v>13883</v>
      </c>
      <c r="D4557" s="988" t="s">
        <v>2666</v>
      </c>
      <c r="E4557" s="989">
        <v>6.02</v>
      </c>
      <c r="F4557" s="990"/>
      <c r="G4557" s="990"/>
      <c r="H4557" s="990"/>
      <c r="I4557" s="990"/>
      <c r="J4557" s="990"/>
      <c r="K4557" s="990"/>
      <c r="L4557" s="990"/>
      <c r="M4557" s="990"/>
      <c r="N4557" s="990"/>
      <c r="O4557" s="990"/>
      <c r="P4557" s="990"/>
      <c r="Q4557" s="990"/>
      <c r="R4557" s="990"/>
      <c r="S4557" s="990"/>
      <c r="T4557" s="990"/>
      <c r="U4557" s="990"/>
      <c r="V4557" s="990"/>
      <c r="W4557" s="990"/>
      <c r="X4557" s="990"/>
    </row>
    <row r="4558" spans="1:24" s="896" customFormat="1" ht="25.5">
      <c r="A4558" s="987">
        <f t="shared" si="72"/>
        <v>4484</v>
      </c>
      <c r="B4558" s="988">
        <v>1545</v>
      </c>
      <c r="C4558" s="899" t="s">
        <v>13884</v>
      </c>
      <c r="D4558" s="988" t="s">
        <v>2666</v>
      </c>
      <c r="E4558" s="989">
        <v>57.18</v>
      </c>
      <c r="F4558" s="990"/>
      <c r="G4558" s="990"/>
      <c r="H4558" s="990"/>
      <c r="I4558" s="990"/>
      <c r="J4558" s="990"/>
      <c r="K4558" s="990"/>
      <c r="L4558" s="990"/>
      <c r="M4558" s="990"/>
      <c r="N4558" s="990"/>
      <c r="O4558" s="990"/>
      <c r="P4558" s="990"/>
      <c r="Q4558" s="990"/>
      <c r="R4558" s="990"/>
      <c r="S4558" s="990"/>
      <c r="T4558" s="990"/>
      <c r="U4558" s="990"/>
      <c r="V4558" s="990"/>
      <c r="W4558" s="990"/>
      <c r="X4558" s="990"/>
    </row>
    <row r="4559" spans="1:24" s="896" customFormat="1">
      <c r="A4559" s="987">
        <f t="shared" si="72"/>
        <v>4485</v>
      </c>
      <c r="B4559" s="988">
        <v>1588</v>
      </c>
      <c r="C4559" s="899" t="s">
        <v>13885</v>
      </c>
      <c r="D4559" s="988" t="s">
        <v>2666</v>
      </c>
      <c r="E4559" s="989">
        <v>8.26</v>
      </c>
      <c r="F4559" s="990"/>
      <c r="G4559" s="990"/>
      <c r="H4559" s="990"/>
      <c r="I4559" s="990"/>
      <c r="J4559" s="990"/>
      <c r="K4559" s="990"/>
      <c r="L4559" s="990"/>
      <c r="M4559" s="990"/>
      <c r="N4559" s="990"/>
      <c r="O4559" s="990"/>
      <c r="P4559" s="990"/>
      <c r="Q4559" s="990"/>
      <c r="R4559" s="990"/>
      <c r="S4559" s="990"/>
      <c r="T4559" s="990"/>
      <c r="U4559" s="990"/>
      <c r="V4559" s="990"/>
      <c r="W4559" s="990"/>
      <c r="X4559" s="990"/>
    </row>
    <row r="4560" spans="1:24" s="896" customFormat="1">
      <c r="A4560" s="987">
        <f t="shared" si="72"/>
        <v>4486</v>
      </c>
      <c r="B4560" s="988">
        <v>1535</v>
      </c>
      <c r="C4560" s="899" t="s">
        <v>13886</v>
      </c>
      <c r="D4560" s="988" t="s">
        <v>2666</v>
      </c>
      <c r="E4560" s="989">
        <v>4.76</v>
      </c>
      <c r="F4560" s="990"/>
      <c r="G4560" s="990"/>
      <c r="H4560" s="990"/>
      <c r="I4560" s="990"/>
      <c r="J4560" s="990"/>
      <c r="K4560" s="990"/>
      <c r="L4560" s="990"/>
      <c r="M4560" s="990"/>
      <c r="N4560" s="990"/>
      <c r="O4560" s="990"/>
      <c r="P4560" s="990"/>
      <c r="Q4560" s="990"/>
      <c r="R4560" s="990"/>
      <c r="S4560" s="990"/>
      <c r="T4560" s="990"/>
      <c r="U4560" s="990"/>
      <c r="V4560" s="990"/>
      <c r="W4560" s="990"/>
      <c r="X4560" s="990"/>
    </row>
    <row r="4561" spans="1:24" s="896" customFormat="1">
      <c r="A4561" s="987">
        <f t="shared" si="72"/>
        <v>4487</v>
      </c>
      <c r="B4561" s="988">
        <v>1589</v>
      </c>
      <c r="C4561" s="899" t="s">
        <v>13887</v>
      </c>
      <c r="D4561" s="988" t="s">
        <v>2666</v>
      </c>
      <c r="E4561" s="989">
        <v>8.52</v>
      </c>
      <c r="F4561" s="990"/>
      <c r="G4561" s="990"/>
      <c r="H4561" s="990"/>
      <c r="I4561" s="990"/>
      <c r="J4561" s="990"/>
      <c r="K4561" s="990"/>
      <c r="L4561" s="990"/>
      <c r="M4561" s="990"/>
      <c r="N4561" s="990"/>
      <c r="O4561" s="990"/>
      <c r="P4561" s="990"/>
      <c r="Q4561" s="990"/>
      <c r="R4561" s="990"/>
      <c r="S4561" s="990"/>
      <c r="T4561" s="990"/>
      <c r="U4561" s="990"/>
      <c r="V4561" s="990"/>
      <c r="W4561" s="990"/>
      <c r="X4561" s="990"/>
    </row>
    <row r="4562" spans="1:24" s="896" customFormat="1" ht="25.5">
      <c r="A4562" s="987">
        <f t="shared" si="72"/>
        <v>4488</v>
      </c>
      <c r="B4562" s="988">
        <v>1546</v>
      </c>
      <c r="C4562" s="899" t="s">
        <v>13888</v>
      </c>
      <c r="D4562" s="988" t="s">
        <v>2666</v>
      </c>
      <c r="E4562" s="989">
        <v>96.49</v>
      </c>
      <c r="F4562" s="990"/>
      <c r="G4562" s="990"/>
      <c r="H4562" s="990"/>
      <c r="I4562" s="990"/>
      <c r="J4562" s="990"/>
      <c r="K4562" s="990"/>
      <c r="L4562" s="990"/>
      <c r="M4562" s="990"/>
      <c r="N4562" s="990"/>
      <c r="O4562" s="990"/>
      <c r="P4562" s="990"/>
      <c r="Q4562" s="990"/>
      <c r="R4562" s="990"/>
      <c r="S4562" s="990"/>
      <c r="T4562" s="990"/>
      <c r="U4562" s="990"/>
      <c r="V4562" s="990"/>
      <c r="W4562" s="990"/>
      <c r="X4562" s="990"/>
    </row>
    <row r="4563" spans="1:24" s="896" customFormat="1">
      <c r="A4563" s="987">
        <f t="shared" si="72"/>
        <v>4489</v>
      </c>
      <c r="B4563" s="988">
        <v>1590</v>
      </c>
      <c r="C4563" s="899" t="s">
        <v>13889</v>
      </c>
      <c r="D4563" s="988" t="s">
        <v>2666</v>
      </c>
      <c r="E4563" s="989">
        <v>15.01</v>
      </c>
      <c r="F4563" s="990"/>
      <c r="G4563" s="990"/>
      <c r="H4563" s="990"/>
      <c r="I4563" s="990"/>
      <c r="J4563" s="990"/>
      <c r="K4563" s="990"/>
      <c r="L4563" s="990"/>
      <c r="M4563" s="990"/>
      <c r="N4563" s="990"/>
      <c r="O4563" s="990"/>
      <c r="P4563" s="990"/>
      <c r="Q4563" s="990"/>
      <c r="R4563" s="990"/>
      <c r="S4563" s="990"/>
      <c r="T4563" s="990"/>
      <c r="U4563" s="990"/>
      <c r="V4563" s="990"/>
      <c r="W4563" s="990"/>
      <c r="X4563" s="990"/>
    </row>
    <row r="4564" spans="1:24" s="896" customFormat="1" ht="25.5">
      <c r="A4564" s="987">
        <f t="shared" si="72"/>
        <v>4490</v>
      </c>
      <c r="B4564" s="988">
        <v>1542</v>
      </c>
      <c r="C4564" s="899" t="s">
        <v>13890</v>
      </c>
      <c r="D4564" s="988" t="s">
        <v>2666</v>
      </c>
      <c r="E4564" s="989">
        <v>19.88</v>
      </c>
      <c r="F4564" s="990"/>
      <c r="G4564" s="990"/>
      <c r="H4564" s="990"/>
      <c r="I4564" s="990"/>
      <c r="J4564" s="990"/>
      <c r="K4564" s="990"/>
      <c r="L4564" s="990"/>
      <c r="M4564" s="990"/>
      <c r="N4564" s="990"/>
      <c r="O4564" s="990"/>
      <c r="P4564" s="990"/>
      <c r="Q4564" s="990"/>
      <c r="R4564" s="990"/>
      <c r="S4564" s="990"/>
      <c r="T4564" s="990"/>
      <c r="U4564" s="990"/>
      <c r="V4564" s="990"/>
      <c r="W4564" s="990"/>
      <c r="X4564" s="990"/>
    </row>
    <row r="4565" spans="1:24" s="896" customFormat="1" ht="25.5">
      <c r="A4565" s="987">
        <f t="shared" si="72"/>
        <v>4491</v>
      </c>
      <c r="B4565" s="988">
        <v>38415</v>
      </c>
      <c r="C4565" s="899" t="s">
        <v>13891</v>
      </c>
      <c r="D4565" s="988" t="s">
        <v>2666</v>
      </c>
      <c r="E4565" s="989">
        <v>831.17</v>
      </c>
      <c r="F4565" s="990"/>
      <c r="G4565" s="990"/>
      <c r="H4565" s="990"/>
      <c r="I4565" s="990"/>
      <c r="J4565" s="990"/>
      <c r="K4565" s="990"/>
      <c r="L4565" s="990"/>
      <c r="M4565" s="990"/>
      <c r="N4565" s="990"/>
      <c r="O4565" s="990"/>
      <c r="P4565" s="990"/>
      <c r="Q4565" s="990"/>
      <c r="R4565" s="990"/>
      <c r="S4565" s="990"/>
      <c r="T4565" s="990"/>
      <c r="U4565" s="990"/>
      <c r="V4565" s="990"/>
      <c r="W4565" s="990"/>
      <c r="X4565" s="990"/>
    </row>
    <row r="4566" spans="1:24" s="896" customFormat="1" ht="25.5">
      <c r="A4566" s="987">
        <f t="shared" si="72"/>
        <v>4492</v>
      </c>
      <c r="B4566" s="988">
        <v>38414</v>
      </c>
      <c r="C4566" s="899" t="s">
        <v>13892</v>
      </c>
      <c r="D4566" s="988" t="s">
        <v>2666</v>
      </c>
      <c r="E4566" s="989">
        <v>1166.56</v>
      </c>
      <c r="F4566" s="990"/>
      <c r="G4566" s="990"/>
      <c r="H4566" s="990"/>
      <c r="I4566" s="990"/>
      <c r="J4566" s="990"/>
      <c r="K4566" s="990"/>
      <c r="L4566" s="990"/>
      <c r="M4566" s="990"/>
      <c r="N4566" s="990"/>
      <c r="O4566" s="990"/>
      <c r="P4566" s="990"/>
      <c r="Q4566" s="990"/>
      <c r="R4566" s="990"/>
      <c r="S4566" s="990"/>
      <c r="T4566" s="990"/>
      <c r="U4566" s="990"/>
      <c r="V4566" s="990"/>
      <c r="W4566" s="990"/>
      <c r="X4566" s="990"/>
    </row>
    <row r="4567" spans="1:24" s="896" customFormat="1">
      <c r="A4567" s="987">
        <f t="shared" si="72"/>
        <v>4493</v>
      </c>
      <c r="B4567" s="988">
        <v>38128</v>
      </c>
      <c r="C4567" s="899" t="s">
        <v>13893</v>
      </c>
      <c r="D4567" s="988" t="s">
        <v>2670</v>
      </c>
      <c r="E4567" s="989">
        <v>1.05</v>
      </c>
      <c r="F4567" s="990"/>
      <c r="G4567" s="990"/>
      <c r="H4567" s="990"/>
      <c r="I4567" s="990"/>
      <c r="J4567" s="990"/>
      <c r="K4567" s="990"/>
      <c r="L4567" s="990"/>
      <c r="M4567" s="990"/>
      <c r="N4567" s="990"/>
      <c r="O4567" s="990"/>
      <c r="P4567" s="990"/>
      <c r="Q4567" s="990"/>
      <c r="R4567" s="990"/>
      <c r="S4567" s="990"/>
      <c r="T4567" s="990"/>
      <c r="U4567" s="990"/>
      <c r="V4567" s="990"/>
      <c r="W4567" s="990"/>
      <c r="X4567" s="990"/>
    </row>
    <row r="4568" spans="1:24" s="896" customFormat="1">
      <c r="A4568" s="987">
        <f t="shared" si="72"/>
        <v>4494</v>
      </c>
      <c r="B4568" s="988">
        <v>7253</v>
      </c>
      <c r="C4568" s="899" t="s">
        <v>13894</v>
      </c>
      <c r="D4568" s="988" t="s">
        <v>2668</v>
      </c>
      <c r="E4568" s="989">
        <v>225</v>
      </c>
      <c r="F4568" s="990"/>
      <c r="G4568" s="990"/>
      <c r="H4568" s="990"/>
      <c r="I4568" s="990"/>
      <c r="J4568" s="990"/>
      <c r="K4568" s="990"/>
      <c r="L4568" s="990"/>
      <c r="M4568" s="990"/>
      <c r="N4568" s="990"/>
      <c r="O4568" s="990"/>
      <c r="P4568" s="990"/>
      <c r="Q4568" s="990"/>
      <c r="R4568" s="990"/>
      <c r="S4568" s="990"/>
      <c r="T4568" s="990"/>
      <c r="U4568" s="990"/>
      <c r="V4568" s="990"/>
      <c r="W4568" s="990"/>
      <c r="X4568" s="990"/>
    </row>
    <row r="4569" spans="1:24" s="896" customFormat="1">
      <c r="A4569" s="987">
        <f t="shared" si="72"/>
        <v>4495</v>
      </c>
      <c r="B4569" s="988">
        <v>4806</v>
      </c>
      <c r="C4569" s="899" t="s">
        <v>13895</v>
      </c>
      <c r="D4569" s="988" t="s">
        <v>2669</v>
      </c>
      <c r="E4569" s="989">
        <v>21.3</v>
      </c>
      <c r="F4569" s="990"/>
      <c r="G4569" s="990"/>
      <c r="H4569" s="990"/>
      <c r="I4569" s="990"/>
      <c r="J4569" s="990"/>
      <c r="K4569" s="990"/>
      <c r="L4569" s="990"/>
      <c r="M4569" s="990"/>
      <c r="N4569" s="990"/>
      <c r="O4569" s="990"/>
      <c r="P4569" s="990"/>
      <c r="Q4569" s="990"/>
      <c r="R4569" s="990"/>
      <c r="S4569" s="990"/>
      <c r="T4569" s="990"/>
      <c r="U4569" s="990"/>
      <c r="V4569" s="990"/>
      <c r="W4569" s="990"/>
      <c r="X4569" s="990"/>
    </row>
    <row r="4570" spans="1:24" s="896" customFormat="1">
      <c r="A4570" s="987">
        <f t="shared" si="72"/>
        <v>4496</v>
      </c>
      <c r="B4570" s="988">
        <v>34401</v>
      </c>
      <c r="C4570" s="899" t="s">
        <v>13896</v>
      </c>
      <c r="D4570" s="988" t="s">
        <v>2666</v>
      </c>
      <c r="E4570" s="989">
        <v>1.91</v>
      </c>
      <c r="F4570" s="990"/>
      <c r="G4570" s="990"/>
      <c r="H4570" s="990"/>
      <c r="I4570" s="990"/>
      <c r="J4570" s="990"/>
      <c r="K4570" s="990"/>
      <c r="L4570" s="990"/>
      <c r="M4570" s="990"/>
      <c r="N4570" s="990"/>
      <c r="O4570" s="990"/>
      <c r="P4570" s="990"/>
      <c r="Q4570" s="990"/>
      <c r="R4570" s="990"/>
      <c r="S4570" s="990"/>
      <c r="T4570" s="990"/>
      <c r="U4570" s="990"/>
      <c r="V4570" s="990"/>
      <c r="W4570" s="990"/>
      <c r="X4570" s="990"/>
    </row>
    <row r="4571" spans="1:24" s="896" customFormat="1">
      <c r="A4571" s="987">
        <f t="shared" si="72"/>
        <v>4497</v>
      </c>
      <c r="B4571" s="988">
        <v>7260</v>
      </c>
      <c r="C4571" s="899" t="s">
        <v>13897</v>
      </c>
      <c r="D4571" s="988" t="s">
        <v>2666</v>
      </c>
      <c r="E4571" s="989">
        <v>1.69</v>
      </c>
      <c r="F4571" s="990"/>
      <c r="G4571" s="990"/>
      <c r="H4571" s="990"/>
      <c r="I4571" s="990"/>
      <c r="J4571" s="990"/>
      <c r="K4571" s="990"/>
      <c r="L4571" s="990"/>
      <c r="M4571" s="990"/>
      <c r="N4571" s="990"/>
      <c r="O4571" s="990"/>
      <c r="P4571" s="990"/>
      <c r="Q4571" s="990"/>
      <c r="R4571" s="990"/>
      <c r="S4571" s="990"/>
      <c r="T4571" s="990"/>
      <c r="U4571" s="990"/>
      <c r="V4571" s="990"/>
      <c r="W4571" s="990"/>
      <c r="X4571" s="990"/>
    </row>
    <row r="4572" spans="1:24" s="896" customFormat="1">
      <c r="A4572" s="987">
        <f t="shared" si="72"/>
        <v>4498</v>
      </c>
      <c r="B4572" s="988">
        <v>7256</v>
      </c>
      <c r="C4572" s="899" t="s">
        <v>13898</v>
      </c>
      <c r="D4572" s="988" t="s">
        <v>2666</v>
      </c>
      <c r="E4572" s="989">
        <v>1.68</v>
      </c>
      <c r="F4572" s="990"/>
      <c r="G4572" s="990"/>
      <c r="H4572" s="990"/>
      <c r="I4572" s="990"/>
      <c r="J4572" s="990"/>
      <c r="K4572" s="990"/>
      <c r="L4572" s="990"/>
      <c r="M4572" s="990"/>
      <c r="N4572" s="990"/>
      <c r="O4572" s="990"/>
      <c r="P4572" s="990"/>
      <c r="Q4572" s="990"/>
      <c r="R4572" s="990"/>
      <c r="S4572" s="990"/>
      <c r="T4572" s="990"/>
      <c r="U4572" s="990"/>
      <c r="V4572" s="990"/>
      <c r="W4572" s="990"/>
      <c r="X4572" s="990"/>
    </row>
    <row r="4573" spans="1:24" s="896" customFormat="1">
      <c r="A4573" s="987">
        <f t="shared" si="72"/>
        <v>4499</v>
      </c>
      <c r="B4573" s="988">
        <v>7258</v>
      </c>
      <c r="C4573" s="899" t="s">
        <v>13899</v>
      </c>
      <c r="D4573" s="988" t="s">
        <v>2666</v>
      </c>
      <c r="E4573" s="989">
        <v>0.68</v>
      </c>
      <c r="F4573" s="990"/>
      <c r="G4573" s="990"/>
      <c r="H4573" s="990"/>
      <c r="I4573" s="990"/>
      <c r="J4573" s="990"/>
      <c r="K4573" s="990"/>
      <c r="L4573" s="990"/>
      <c r="M4573" s="990"/>
      <c r="N4573" s="990"/>
      <c r="O4573" s="990"/>
      <c r="P4573" s="990"/>
      <c r="Q4573" s="990"/>
      <c r="R4573" s="990"/>
      <c r="S4573" s="990"/>
      <c r="T4573" s="990"/>
      <c r="U4573" s="990"/>
      <c r="V4573" s="990"/>
      <c r="W4573" s="990"/>
      <c r="X4573" s="990"/>
    </row>
    <row r="4574" spans="1:24" s="896" customFormat="1">
      <c r="A4574" s="987">
        <f t="shared" si="72"/>
        <v>4500</v>
      </c>
      <c r="B4574" s="988">
        <v>34400</v>
      </c>
      <c r="C4574" s="899" t="s">
        <v>13900</v>
      </c>
      <c r="D4574" s="988" t="s">
        <v>2666</v>
      </c>
      <c r="E4574" s="989">
        <v>2.94</v>
      </c>
      <c r="F4574" s="990"/>
      <c r="G4574" s="990"/>
      <c r="H4574" s="990"/>
      <c r="I4574" s="990"/>
      <c r="J4574" s="990"/>
      <c r="K4574" s="990"/>
      <c r="L4574" s="990"/>
      <c r="M4574" s="990"/>
      <c r="N4574" s="990"/>
      <c r="O4574" s="990"/>
      <c r="P4574" s="990"/>
      <c r="Q4574" s="990"/>
      <c r="R4574" s="990"/>
      <c r="S4574" s="990"/>
      <c r="T4574" s="990"/>
      <c r="U4574" s="990"/>
      <c r="V4574" s="990"/>
      <c r="W4574" s="990"/>
      <c r="X4574" s="990"/>
    </row>
    <row r="4575" spans="1:24" s="896" customFormat="1">
      <c r="A4575" s="987">
        <f t="shared" si="72"/>
        <v>4501</v>
      </c>
      <c r="B4575" s="988">
        <v>10617</v>
      </c>
      <c r="C4575" s="899" t="s">
        <v>13901</v>
      </c>
      <c r="D4575" s="988" t="s">
        <v>2666</v>
      </c>
      <c r="E4575" s="989">
        <v>5.62</v>
      </c>
      <c r="F4575" s="990"/>
      <c r="G4575" s="990"/>
      <c r="H4575" s="990"/>
      <c r="I4575" s="990"/>
      <c r="J4575" s="990"/>
      <c r="K4575" s="990"/>
      <c r="L4575" s="990"/>
      <c r="M4575" s="990"/>
      <c r="N4575" s="990"/>
      <c r="O4575" s="990"/>
      <c r="P4575" s="990"/>
      <c r="Q4575" s="990"/>
      <c r="R4575" s="990"/>
      <c r="S4575" s="990"/>
      <c r="T4575" s="990"/>
      <c r="U4575" s="990"/>
      <c r="V4575" s="990"/>
      <c r="W4575" s="990"/>
      <c r="X4575" s="990"/>
    </row>
    <row r="4576" spans="1:24" s="896" customFormat="1" ht="25.5">
      <c r="A4576" s="987">
        <f t="shared" si="72"/>
        <v>4502</v>
      </c>
      <c r="B4576" s="988">
        <v>7274</v>
      </c>
      <c r="C4576" s="899" t="s">
        <v>13902</v>
      </c>
      <c r="D4576" s="988" t="s">
        <v>2666</v>
      </c>
      <c r="E4576" s="989">
        <v>48.69</v>
      </c>
      <c r="F4576" s="990"/>
      <c r="G4576" s="990"/>
      <c r="H4576" s="990"/>
      <c r="I4576" s="990"/>
      <c r="J4576" s="990"/>
      <c r="K4576" s="990"/>
      <c r="L4576" s="990"/>
      <c r="M4576" s="990"/>
      <c r="N4576" s="990"/>
      <c r="O4576" s="990"/>
      <c r="P4576" s="990"/>
      <c r="Q4576" s="990"/>
      <c r="R4576" s="990"/>
      <c r="S4576" s="990"/>
      <c r="T4576" s="990"/>
      <c r="U4576" s="990"/>
      <c r="V4576" s="990"/>
      <c r="W4576" s="990"/>
      <c r="X4576" s="990"/>
    </row>
    <row r="4577" spans="1:24" s="896" customFormat="1" ht="25.5">
      <c r="A4577" s="987">
        <f t="shared" si="72"/>
        <v>4503</v>
      </c>
      <c r="B4577" s="988">
        <v>11663</v>
      </c>
      <c r="C4577" s="899" t="s">
        <v>13903</v>
      </c>
      <c r="D4577" s="988" t="s">
        <v>2666</v>
      </c>
      <c r="E4577" s="989">
        <v>400.54</v>
      </c>
      <c r="F4577" s="990"/>
      <c r="G4577" s="990"/>
      <c r="H4577" s="990"/>
      <c r="I4577" s="990"/>
      <c r="J4577" s="990"/>
      <c r="K4577" s="990"/>
      <c r="L4577" s="990"/>
      <c r="M4577" s="990"/>
      <c r="N4577" s="990"/>
      <c r="O4577" s="990"/>
      <c r="P4577" s="990"/>
      <c r="Q4577" s="990"/>
      <c r="R4577" s="990"/>
      <c r="S4577" s="990"/>
      <c r="T4577" s="990"/>
      <c r="U4577" s="990"/>
      <c r="V4577" s="990"/>
      <c r="W4577" s="990"/>
      <c r="X4577" s="990"/>
    </row>
    <row r="4578" spans="1:24" s="896" customFormat="1">
      <c r="A4578" s="987">
        <f t="shared" si="72"/>
        <v>4504</v>
      </c>
      <c r="B4578" s="988">
        <v>154</v>
      </c>
      <c r="C4578" s="899" t="s">
        <v>13904</v>
      </c>
      <c r="D4578" s="988" t="s">
        <v>2671</v>
      </c>
      <c r="E4578" s="989">
        <v>69.25</v>
      </c>
      <c r="F4578" s="990"/>
      <c r="G4578" s="990"/>
      <c r="H4578" s="990"/>
      <c r="I4578" s="990"/>
      <c r="J4578" s="990"/>
      <c r="K4578" s="990"/>
      <c r="L4578" s="990"/>
      <c r="M4578" s="990"/>
      <c r="N4578" s="990"/>
      <c r="O4578" s="990"/>
      <c r="P4578" s="990"/>
      <c r="Q4578" s="990"/>
      <c r="R4578" s="990"/>
      <c r="S4578" s="990"/>
      <c r="T4578" s="990"/>
      <c r="U4578" s="990"/>
      <c r="V4578" s="990"/>
      <c r="W4578" s="990"/>
      <c r="X4578" s="990"/>
    </row>
    <row r="4579" spans="1:24" s="896" customFormat="1" ht="25.5">
      <c r="A4579" s="987">
        <f t="shared" si="72"/>
        <v>4505</v>
      </c>
      <c r="B4579" s="988">
        <v>38121</v>
      </c>
      <c r="C4579" s="899" t="s">
        <v>13905</v>
      </c>
      <c r="D4579" s="988" t="s">
        <v>2671</v>
      </c>
      <c r="E4579" s="989">
        <v>19.5</v>
      </c>
      <c r="F4579" s="990"/>
      <c r="G4579" s="990"/>
      <c r="H4579" s="990"/>
      <c r="I4579" s="990"/>
      <c r="J4579" s="990"/>
      <c r="K4579" s="990"/>
      <c r="L4579" s="990"/>
      <c r="M4579" s="990"/>
      <c r="N4579" s="990"/>
      <c r="O4579" s="990"/>
      <c r="P4579" s="990"/>
      <c r="Q4579" s="990"/>
      <c r="R4579" s="990"/>
      <c r="S4579" s="990"/>
      <c r="T4579" s="990"/>
      <c r="U4579" s="990"/>
      <c r="V4579" s="990"/>
      <c r="W4579" s="990"/>
      <c r="X4579" s="990"/>
    </row>
    <row r="4580" spans="1:24" s="896" customFormat="1">
      <c r="A4580" s="987">
        <f t="shared" si="72"/>
        <v>4506</v>
      </c>
      <c r="B4580" s="988">
        <v>43776</v>
      </c>
      <c r="C4580" s="899" t="s">
        <v>13906</v>
      </c>
      <c r="D4580" s="988" t="s">
        <v>2671</v>
      </c>
      <c r="E4580" s="989">
        <v>24.18</v>
      </c>
      <c r="F4580" s="990"/>
      <c r="G4580" s="990"/>
      <c r="H4580" s="990"/>
      <c r="I4580" s="990"/>
      <c r="J4580" s="990"/>
      <c r="K4580" s="990"/>
      <c r="L4580" s="990"/>
      <c r="M4580" s="990"/>
      <c r="N4580" s="990"/>
      <c r="O4580" s="990"/>
      <c r="P4580" s="990"/>
      <c r="Q4580" s="990"/>
      <c r="R4580" s="990"/>
      <c r="S4580" s="990"/>
      <c r="T4580" s="990"/>
      <c r="U4580" s="990"/>
      <c r="V4580" s="990"/>
      <c r="W4580" s="990"/>
      <c r="X4580" s="990"/>
    </row>
    <row r="4581" spans="1:24" s="896" customFormat="1">
      <c r="A4581" s="987">
        <f t="shared" si="72"/>
        <v>4507</v>
      </c>
      <c r="B4581" s="988">
        <v>7343</v>
      </c>
      <c r="C4581" s="899" t="s">
        <v>13907</v>
      </c>
      <c r="D4581" s="988" t="s">
        <v>2671</v>
      </c>
      <c r="E4581" s="989">
        <v>17.25</v>
      </c>
      <c r="F4581" s="990"/>
      <c r="G4581" s="990"/>
      <c r="H4581" s="990"/>
      <c r="I4581" s="990"/>
      <c r="J4581" s="990"/>
      <c r="K4581" s="990"/>
      <c r="L4581" s="990"/>
      <c r="M4581" s="990"/>
      <c r="N4581" s="990"/>
      <c r="O4581" s="990"/>
      <c r="P4581" s="990"/>
      <c r="Q4581" s="990"/>
      <c r="R4581" s="990"/>
      <c r="S4581" s="990"/>
      <c r="T4581" s="990"/>
      <c r="U4581" s="990"/>
      <c r="V4581" s="990"/>
      <c r="W4581" s="990"/>
      <c r="X4581" s="990"/>
    </row>
    <row r="4582" spans="1:24" s="896" customFormat="1">
      <c r="A4582" s="987">
        <f t="shared" si="72"/>
        <v>4508</v>
      </c>
      <c r="B4582" s="988">
        <v>7348</v>
      </c>
      <c r="C4582" s="899" t="s">
        <v>13908</v>
      </c>
      <c r="D4582" s="988" t="s">
        <v>2671</v>
      </c>
      <c r="E4582" s="989">
        <v>17.61</v>
      </c>
      <c r="F4582" s="990"/>
      <c r="G4582" s="990"/>
      <c r="H4582" s="990"/>
      <c r="I4582" s="990"/>
      <c r="J4582" s="990"/>
      <c r="K4582" s="990"/>
      <c r="L4582" s="990"/>
      <c r="M4582" s="990"/>
      <c r="N4582" s="990"/>
      <c r="O4582" s="990"/>
      <c r="P4582" s="990"/>
      <c r="Q4582" s="990"/>
      <c r="R4582" s="990"/>
      <c r="S4582" s="990"/>
      <c r="T4582" s="990"/>
      <c r="U4582" s="990"/>
      <c r="V4582" s="990"/>
      <c r="W4582" s="990"/>
      <c r="X4582" s="990"/>
    </row>
    <row r="4583" spans="1:24" s="896" customFormat="1" ht="25.5">
      <c r="A4583" s="987">
        <f t="shared" si="72"/>
        <v>4509</v>
      </c>
      <c r="B4583" s="988">
        <v>7313</v>
      </c>
      <c r="C4583" s="899" t="s">
        <v>13909</v>
      </c>
      <c r="D4583" s="988" t="s">
        <v>2671</v>
      </c>
      <c r="E4583" s="989">
        <v>20.84</v>
      </c>
      <c r="F4583" s="990"/>
      <c r="G4583" s="990"/>
      <c r="H4583" s="990"/>
      <c r="I4583" s="990"/>
      <c r="J4583" s="990"/>
      <c r="K4583" s="990"/>
      <c r="L4583" s="990"/>
      <c r="M4583" s="990"/>
      <c r="N4583" s="990"/>
      <c r="O4583" s="990"/>
      <c r="P4583" s="990"/>
      <c r="Q4583" s="990"/>
      <c r="R4583" s="990"/>
      <c r="S4583" s="990"/>
      <c r="T4583" s="990"/>
      <c r="U4583" s="990"/>
      <c r="V4583" s="990"/>
      <c r="W4583" s="990"/>
      <c r="X4583" s="990"/>
    </row>
    <row r="4584" spans="1:24" s="896" customFormat="1">
      <c r="A4584" s="987">
        <f t="shared" si="72"/>
        <v>4510</v>
      </c>
      <c r="B4584" s="988">
        <v>7319</v>
      </c>
      <c r="C4584" s="899" t="s">
        <v>13910</v>
      </c>
      <c r="D4584" s="988" t="s">
        <v>2671</v>
      </c>
      <c r="E4584" s="989">
        <v>11.93</v>
      </c>
      <c r="F4584" s="990"/>
      <c r="G4584" s="990"/>
      <c r="H4584" s="990"/>
      <c r="I4584" s="990"/>
      <c r="J4584" s="990"/>
      <c r="K4584" s="990"/>
      <c r="L4584" s="990"/>
      <c r="M4584" s="990"/>
      <c r="N4584" s="990"/>
      <c r="O4584" s="990"/>
      <c r="P4584" s="990"/>
      <c r="Q4584" s="990"/>
      <c r="R4584" s="990"/>
      <c r="S4584" s="990"/>
      <c r="T4584" s="990"/>
      <c r="U4584" s="990"/>
      <c r="V4584" s="990"/>
      <c r="W4584" s="990"/>
      <c r="X4584" s="990"/>
    </row>
    <row r="4585" spans="1:24" s="896" customFormat="1">
      <c r="A4585" s="987">
        <f t="shared" si="72"/>
        <v>4511</v>
      </c>
      <c r="B4585" s="988">
        <v>7314</v>
      </c>
      <c r="C4585" s="899" t="s">
        <v>13911</v>
      </c>
      <c r="D4585" s="988" t="s">
        <v>2671</v>
      </c>
      <c r="E4585" s="989">
        <v>77.209999999999994</v>
      </c>
      <c r="F4585" s="990"/>
      <c r="G4585" s="990"/>
      <c r="H4585" s="990"/>
      <c r="I4585" s="990"/>
      <c r="J4585" s="990"/>
      <c r="K4585" s="990"/>
      <c r="L4585" s="990"/>
      <c r="M4585" s="990"/>
      <c r="N4585" s="990"/>
      <c r="O4585" s="990"/>
      <c r="P4585" s="990"/>
      <c r="Q4585" s="990"/>
      <c r="R4585" s="990"/>
      <c r="S4585" s="990"/>
      <c r="T4585" s="990"/>
      <c r="U4585" s="990"/>
      <c r="V4585" s="990"/>
      <c r="W4585" s="990"/>
      <c r="X4585" s="990"/>
    </row>
    <row r="4586" spans="1:24" s="896" customFormat="1">
      <c r="A4586" s="987">
        <f t="shared" si="72"/>
        <v>4512</v>
      </c>
      <c r="B4586" s="988">
        <v>7304</v>
      </c>
      <c r="C4586" s="899" t="s">
        <v>13912</v>
      </c>
      <c r="D4586" s="988" t="s">
        <v>2671</v>
      </c>
      <c r="E4586" s="989">
        <v>71.650000000000006</v>
      </c>
      <c r="F4586" s="990"/>
      <c r="G4586" s="990"/>
      <c r="H4586" s="990"/>
      <c r="I4586" s="990"/>
      <c r="J4586" s="990"/>
      <c r="K4586" s="990"/>
      <c r="L4586" s="990"/>
      <c r="M4586" s="990"/>
      <c r="N4586" s="990"/>
      <c r="O4586" s="990"/>
      <c r="P4586" s="990"/>
      <c r="Q4586" s="990"/>
      <c r="R4586" s="990"/>
      <c r="S4586" s="990"/>
      <c r="T4586" s="990"/>
      <c r="U4586" s="990"/>
      <c r="V4586" s="990"/>
      <c r="W4586" s="990"/>
      <c r="X4586" s="990"/>
    </row>
    <row r="4587" spans="1:24" s="896" customFormat="1">
      <c r="A4587" s="987">
        <f t="shared" si="72"/>
        <v>4513</v>
      </c>
      <c r="B4587" s="988">
        <v>43649</v>
      </c>
      <c r="C4587" s="899" t="s">
        <v>13913</v>
      </c>
      <c r="D4587" s="988" t="s">
        <v>2671</v>
      </c>
      <c r="E4587" s="989">
        <v>37.049999999999997</v>
      </c>
      <c r="F4587" s="990"/>
      <c r="G4587" s="990"/>
      <c r="H4587" s="990"/>
      <c r="I4587" s="990"/>
      <c r="J4587" s="990"/>
      <c r="K4587" s="990"/>
      <c r="L4587" s="990"/>
      <c r="M4587" s="990"/>
      <c r="N4587" s="990"/>
      <c r="O4587" s="990"/>
      <c r="P4587" s="990"/>
      <c r="Q4587" s="990"/>
      <c r="R4587" s="990"/>
      <c r="S4587" s="990"/>
      <c r="T4587" s="990"/>
      <c r="U4587" s="990"/>
      <c r="V4587" s="990"/>
      <c r="W4587" s="990"/>
      <c r="X4587" s="990"/>
    </row>
    <row r="4588" spans="1:24" s="896" customFormat="1">
      <c r="A4588" s="987">
        <f t="shared" si="72"/>
        <v>4514</v>
      </c>
      <c r="B4588" s="988">
        <v>43650</v>
      </c>
      <c r="C4588" s="899" t="s">
        <v>13914</v>
      </c>
      <c r="D4588" s="988" t="s">
        <v>2671</v>
      </c>
      <c r="E4588" s="989">
        <v>35.020000000000003</v>
      </c>
      <c r="F4588" s="990"/>
      <c r="G4588" s="990"/>
      <c r="H4588" s="990"/>
      <c r="I4588" s="990"/>
      <c r="J4588" s="990"/>
      <c r="K4588" s="990"/>
      <c r="L4588" s="990"/>
      <c r="M4588" s="990"/>
      <c r="N4588" s="990"/>
      <c r="O4588" s="990"/>
      <c r="P4588" s="990"/>
      <c r="Q4588" s="990"/>
      <c r="R4588" s="990"/>
      <c r="S4588" s="990"/>
      <c r="T4588" s="990"/>
      <c r="U4588" s="990"/>
      <c r="V4588" s="990"/>
      <c r="W4588" s="990"/>
      <c r="X4588" s="990"/>
    </row>
    <row r="4589" spans="1:24" s="896" customFormat="1">
      <c r="A4589" s="987">
        <f t="shared" si="72"/>
        <v>4515</v>
      </c>
      <c r="B4589" s="988">
        <v>7311</v>
      </c>
      <c r="C4589" s="899" t="s">
        <v>13915</v>
      </c>
      <c r="D4589" s="988" t="s">
        <v>2671</v>
      </c>
      <c r="E4589" s="989">
        <v>35.869999999999997</v>
      </c>
      <c r="F4589" s="990"/>
      <c r="G4589" s="990"/>
      <c r="H4589" s="990"/>
      <c r="I4589" s="990"/>
      <c r="J4589" s="990"/>
      <c r="K4589" s="990"/>
      <c r="L4589" s="990"/>
      <c r="M4589" s="990"/>
      <c r="N4589" s="990"/>
      <c r="O4589" s="990"/>
      <c r="P4589" s="990"/>
      <c r="Q4589" s="990"/>
      <c r="R4589" s="990"/>
      <c r="S4589" s="990"/>
      <c r="T4589" s="990"/>
      <c r="U4589" s="990"/>
      <c r="V4589" s="990"/>
      <c r="W4589" s="990"/>
      <c r="X4589" s="990"/>
    </row>
    <row r="4590" spans="1:24" s="896" customFormat="1">
      <c r="A4590" s="987">
        <f t="shared" si="72"/>
        <v>4516</v>
      </c>
      <c r="B4590" s="988">
        <v>7292</v>
      </c>
      <c r="C4590" s="899" t="s">
        <v>13916</v>
      </c>
      <c r="D4590" s="988" t="s">
        <v>2671</v>
      </c>
      <c r="E4590" s="989">
        <v>34.729999999999997</v>
      </c>
      <c r="F4590" s="990"/>
      <c r="G4590" s="990"/>
      <c r="H4590" s="990"/>
      <c r="I4590" s="990"/>
      <c r="J4590" s="990"/>
      <c r="K4590" s="990"/>
      <c r="L4590" s="990"/>
      <c r="M4590" s="990"/>
      <c r="N4590" s="990"/>
      <c r="O4590" s="990"/>
      <c r="P4590" s="990"/>
      <c r="Q4590" s="990"/>
      <c r="R4590" s="990"/>
      <c r="S4590" s="990"/>
      <c r="T4590" s="990"/>
      <c r="U4590" s="990"/>
      <c r="V4590" s="990"/>
      <c r="W4590" s="990"/>
      <c r="X4590" s="990"/>
    </row>
    <row r="4591" spans="1:24" s="896" customFormat="1" ht="25.5">
      <c r="A4591" s="987">
        <f t="shared" si="72"/>
        <v>4517</v>
      </c>
      <c r="B4591" s="988">
        <v>7293</v>
      </c>
      <c r="C4591" s="899" t="s">
        <v>13917</v>
      </c>
      <c r="D4591" s="988" t="s">
        <v>2671</v>
      </c>
      <c r="E4591" s="989">
        <v>38.42</v>
      </c>
      <c r="F4591" s="990"/>
      <c r="G4591" s="990"/>
      <c r="H4591" s="990"/>
      <c r="I4591" s="990"/>
      <c r="J4591" s="990"/>
      <c r="K4591" s="990"/>
      <c r="L4591" s="990"/>
      <c r="M4591" s="990"/>
      <c r="N4591" s="990"/>
      <c r="O4591" s="990"/>
      <c r="P4591" s="990"/>
      <c r="Q4591" s="990"/>
      <c r="R4591" s="990"/>
      <c r="S4591" s="990"/>
      <c r="T4591" s="990"/>
      <c r="U4591" s="990"/>
      <c r="V4591" s="990"/>
      <c r="W4591" s="990"/>
      <c r="X4591" s="990"/>
    </row>
    <row r="4592" spans="1:24" s="896" customFormat="1" ht="25.5">
      <c r="A4592" s="987">
        <f t="shared" si="72"/>
        <v>4518</v>
      </c>
      <c r="B4592" s="988">
        <v>7306</v>
      </c>
      <c r="C4592" s="899" t="s">
        <v>13918</v>
      </c>
      <c r="D4592" s="988" t="s">
        <v>2671</v>
      </c>
      <c r="E4592" s="989">
        <v>42.4</v>
      </c>
      <c r="F4592" s="990"/>
      <c r="G4592" s="990"/>
      <c r="H4592" s="990"/>
      <c r="I4592" s="990"/>
      <c r="J4592" s="990"/>
      <c r="K4592" s="990"/>
      <c r="L4592" s="990"/>
      <c r="M4592" s="990"/>
      <c r="N4592" s="990"/>
      <c r="O4592" s="990"/>
      <c r="P4592" s="990"/>
      <c r="Q4592" s="990"/>
      <c r="R4592" s="990"/>
      <c r="S4592" s="990"/>
      <c r="T4592" s="990"/>
      <c r="U4592" s="990"/>
      <c r="V4592" s="990"/>
      <c r="W4592" s="990"/>
      <c r="X4592" s="990"/>
    </row>
    <row r="4593" spans="1:24" s="896" customFormat="1">
      <c r="A4593" s="987">
        <f t="shared" si="72"/>
        <v>4519</v>
      </c>
      <c r="B4593" s="988">
        <v>7288</v>
      </c>
      <c r="C4593" s="899" t="s">
        <v>13919</v>
      </c>
      <c r="D4593" s="988" t="s">
        <v>2671</v>
      </c>
      <c r="E4593" s="989">
        <v>35.21</v>
      </c>
      <c r="F4593" s="990"/>
      <c r="G4593" s="990"/>
      <c r="H4593" s="990"/>
      <c r="I4593" s="990"/>
      <c r="J4593" s="990"/>
      <c r="K4593" s="990"/>
      <c r="L4593" s="990"/>
      <c r="M4593" s="990"/>
      <c r="N4593" s="990"/>
      <c r="O4593" s="990"/>
      <c r="P4593" s="990"/>
      <c r="Q4593" s="990"/>
      <c r="R4593" s="990"/>
      <c r="S4593" s="990"/>
      <c r="T4593" s="990"/>
      <c r="U4593" s="990"/>
      <c r="V4593" s="990"/>
      <c r="W4593" s="990"/>
      <c r="X4593" s="990"/>
    </row>
    <row r="4594" spans="1:24" s="896" customFormat="1">
      <c r="A4594" s="987">
        <f t="shared" si="72"/>
        <v>4520</v>
      </c>
      <c r="B4594" s="988">
        <v>43625</v>
      </c>
      <c r="C4594" s="899" t="s">
        <v>13920</v>
      </c>
      <c r="D4594" s="988" t="s">
        <v>2671</v>
      </c>
      <c r="E4594" s="989">
        <v>28.43</v>
      </c>
      <c r="F4594" s="990"/>
      <c r="G4594" s="990"/>
      <c r="H4594" s="990"/>
      <c r="I4594" s="990"/>
      <c r="J4594" s="990"/>
      <c r="K4594" s="990"/>
      <c r="L4594" s="990"/>
      <c r="M4594" s="990"/>
      <c r="N4594" s="990"/>
      <c r="O4594" s="990"/>
      <c r="P4594" s="990"/>
      <c r="Q4594" s="990"/>
      <c r="R4594" s="990"/>
      <c r="S4594" s="990"/>
      <c r="T4594" s="990"/>
      <c r="U4594" s="990"/>
      <c r="V4594" s="990"/>
      <c r="W4594" s="990"/>
      <c r="X4594" s="990"/>
    </row>
    <row r="4595" spans="1:24" s="896" customFormat="1">
      <c r="A4595" s="987">
        <f t="shared" si="72"/>
        <v>4521</v>
      </c>
      <c r="B4595" s="988">
        <v>43647</v>
      </c>
      <c r="C4595" s="899" t="s">
        <v>13921</v>
      </c>
      <c r="D4595" s="988" t="s">
        <v>2671</v>
      </c>
      <c r="E4595" s="989">
        <v>25.82</v>
      </c>
      <c r="F4595" s="990"/>
      <c r="G4595" s="990"/>
      <c r="H4595" s="990"/>
      <c r="I4595" s="990"/>
      <c r="J4595" s="990"/>
      <c r="K4595" s="990"/>
      <c r="L4595" s="990"/>
      <c r="M4595" s="990"/>
      <c r="N4595" s="990"/>
      <c r="O4595" s="990"/>
      <c r="P4595" s="990"/>
      <c r="Q4595" s="990"/>
      <c r="R4595" s="990"/>
      <c r="S4595" s="990"/>
      <c r="T4595" s="990"/>
      <c r="U4595" s="990"/>
      <c r="V4595" s="990"/>
      <c r="W4595" s="990"/>
      <c r="X4595" s="990"/>
    </row>
    <row r="4596" spans="1:24" s="896" customFormat="1">
      <c r="A4596" s="987">
        <f t="shared" si="72"/>
        <v>4522</v>
      </c>
      <c r="B4596" s="988">
        <v>43648</v>
      </c>
      <c r="C4596" s="899" t="s">
        <v>13922</v>
      </c>
      <c r="D4596" s="988" t="s">
        <v>2671</v>
      </c>
      <c r="E4596" s="989">
        <v>24.92</v>
      </c>
      <c r="F4596" s="990"/>
      <c r="G4596" s="990"/>
      <c r="H4596" s="990"/>
      <c r="I4596" s="990"/>
      <c r="J4596" s="990"/>
      <c r="K4596" s="990"/>
      <c r="L4596" s="990"/>
      <c r="M4596" s="990"/>
      <c r="N4596" s="990"/>
      <c r="O4596" s="990"/>
      <c r="P4596" s="990"/>
      <c r="Q4596" s="990"/>
      <c r="R4596" s="990"/>
      <c r="S4596" s="990"/>
      <c r="T4596" s="990"/>
      <c r="U4596" s="990"/>
      <c r="V4596" s="990"/>
      <c r="W4596" s="990"/>
      <c r="X4596" s="990"/>
    </row>
    <row r="4597" spans="1:24" s="896" customFormat="1">
      <c r="A4597" s="987">
        <f t="shared" si="72"/>
        <v>4523</v>
      </c>
      <c r="B4597" s="988">
        <v>35693</v>
      </c>
      <c r="C4597" s="899" t="s">
        <v>13923</v>
      </c>
      <c r="D4597" s="988" t="s">
        <v>2671</v>
      </c>
      <c r="E4597" s="989">
        <v>10.95</v>
      </c>
      <c r="F4597" s="990"/>
      <c r="G4597" s="990"/>
      <c r="H4597" s="990"/>
      <c r="I4597" s="990"/>
      <c r="J4597" s="990"/>
      <c r="K4597" s="990"/>
      <c r="L4597" s="990"/>
      <c r="M4597" s="990"/>
      <c r="N4597" s="990"/>
      <c r="O4597" s="990"/>
      <c r="P4597" s="990"/>
      <c r="Q4597" s="990"/>
      <c r="R4597" s="990"/>
      <c r="S4597" s="990"/>
      <c r="T4597" s="990"/>
      <c r="U4597" s="990"/>
      <c r="V4597" s="990"/>
      <c r="W4597" s="990"/>
      <c r="X4597" s="990"/>
    </row>
    <row r="4598" spans="1:24" s="896" customFormat="1">
      <c r="A4598" s="987">
        <f t="shared" si="72"/>
        <v>4524</v>
      </c>
      <c r="B4598" s="988">
        <v>7356</v>
      </c>
      <c r="C4598" s="899" t="s">
        <v>13924</v>
      </c>
      <c r="D4598" s="988" t="s">
        <v>2671</v>
      </c>
      <c r="E4598" s="989">
        <v>26.26</v>
      </c>
      <c r="F4598" s="990"/>
      <c r="G4598" s="990"/>
      <c r="H4598" s="990"/>
      <c r="I4598" s="990"/>
      <c r="J4598" s="990"/>
      <c r="K4598" s="990"/>
      <c r="L4598" s="990"/>
      <c r="M4598" s="990"/>
      <c r="N4598" s="990"/>
      <c r="O4598" s="990"/>
      <c r="P4598" s="990"/>
      <c r="Q4598" s="990"/>
      <c r="R4598" s="990"/>
      <c r="S4598" s="990"/>
      <c r="T4598" s="990"/>
      <c r="U4598" s="990"/>
      <c r="V4598" s="990"/>
      <c r="W4598" s="990"/>
      <c r="X4598" s="990"/>
    </row>
    <row r="4599" spans="1:24" s="896" customFormat="1">
      <c r="A4599" s="987">
        <f t="shared" si="72"/>
        <v>4525</v>
      </c>
      <c r="B4599" s="988">
        <v>35692</v>
      </c>
      <c r="C4599" s="899" t="s">
        <v>13925</v>
      </c>
      <c r="D4599" s="988" t="s">
        <v>2671</v>
      </c>
      <c r="E4599" s="989">
        <v>17.190000000000001</v>
      </c>
      <c r="F4599" s="990"/>
      <c r="G4599" s="990"/>
      <c r="H4599" s="990"/>
      <c r="I4599" s="990"/>
      <c r="J4599" s="990"/>
      <c r="K4599" s="990"/>
      <c r="L4599" s="990"/>
      <c r="M4599" s="990"/>
      <c r="N4599" s="990"/>
      <c r="O4599" s="990"/>
      <c r="P4599" s="990"/>
      <c r="Q4599" s="990"/>
      <c r="R4599" s="990"/>
      <c r="S4599" s="990"/>
      <c r="T4599" s="990"/>
      <c r="U4599" s="990"/>
      <c r="V4599" s="990"/>
      <c r="W4599" s="990"/>
      <c r="X4599" s="990"/>
    </row>
    <row r="4600" spans="1:24" s="896" customFormat="1">
      <c r="A4600" s="987">
        <f t="shared" si="72"/>
        <v>4526</v>
      </c>
      <c r="B4600" s="988">
        <v>43624</v>
      </c>
      <c r="C4600" s="899" t="s">
        <v>13926</v>
      </c>
      <c r="D4600" s="988" t="s">
        <v>2671</v>
      </c>
      <c r="E4600" s="989">
        <v>32</v>
      </c>
      <c r="F4600" s="990"/>
      <c r="G4600" s="990"/>
      <c r="H4600" s="990"/>
      <c r="I4600" s="990"/>
      <c r="J4600" s="990"/>
      <c r="K4600" s="990"/>
      <c r="L4600" s="990"/>
      <c r="M4600" s="990"/>
      <c r="N4600" s="990"/>
      <c r="O4600" s="990"/>
      <c r="P4600" s="990"/>
      <c r="Q4600" s="990"/>
      <c r="R4600" s="990"/>
      <c r="S4600" s="990"/>
      <c r="T4600" s="990"/>
      <c r="U4600" s="990"/>
      <c r="V4600" s="990"/>
      <c r="W4600" s="990"/>
      <c r="X4600" s="990"/>
    </row>
    <row r="4601" spans="1:24" s="896" customFormat="1">
      <c r="A4601" s="987">
        <f t="shared" si="72"/>
        <v>4527</v>
      </c>
      <c r="B4601" s="988">
        <v>7342</v>
      </c>
      <c r="C4601" s="899" t="s">
        <v>13927</v>
      </c>
      <c r="D4601" s="988" t="s">
        <v>2670</v>
      </c>
      <c r="E4601" s="989">
        <v>2.2799999999999998</v>
      </c>
      <c r="F4601" s="990"/>
      <c r="G4601" s="990"/>
      <c r="H4601" s="990"/>
      <c r="I4601" s="990"/>
      <c r="J4601" s="990"/>
      <c r="K4601" s="990"/>
      <c r="L4601" s="990"/>
      <c r="M4601" s="990"/>
      <c r="N4601" s="990"/>
      <c r="O4601" s="990"/>
      <c r="P4601" s="990"/>
      <c r="Q4601" s="990"/>
      <c r="R4601" s="990"/>
      <c r="S4601" s="990"/>
      <c r="T4601" s="990"/>
      <c r="U4601" s="990"/>
      <c r="V4601" s="990"/>
      <c r="W4601" s="990"/>
      <c r="X4601" s="990"/>
    </row>
    <row r="4602" spans="1:24" s="896" customFormat="1">
      <c r="A4602" s="987">
        <f t="shared" si="72"/>
        <v>4528</v>
      </c>
      <c r="B4602" s="988">
        <v>7350</v>
      </c>
      <c r="C4602" s="899" t="s">
        <v>13928</v>
      </c>
      <c r="D4602" s="988" t="s">
        <v>2671</v>
      </c>
      <c r="E4602" s="989">
        <v>37.9</v>
      </c>
      <c r="F4602" s="990"/>
      <c r="G4602" s="990"/>
      <c r="H4602" s="990"/>
      <c r="I4602" s="990"/>
      <c r="J4602" s="990"/>
      <c r="K4602" s="990"/>
      <c r="L4602" s="990"/>
      <c r="M4602" s="990"/>
      <c r="N4602" s="990"/>
      <c r="O4602" s="990"/>
      <c r="P4602" s="990"/>
      <c r="Q4602" s="990"/>
      <c r="R4602" s="990"/>
      <c r="S4602" s="990"/>
      <c r="T4602" s="990"/>
      <c r="U4602" s="990"/>
      <c r="V4602" s="990"/>
      <c r="W4602" s="990"/>
      <c r="X4602" s="990"/>
    </row>
    <row r="4603" spans="1:24" s="896" customFormat="1" ht="25.5">
      <c r="A4603" s="987">
        <f t="shared" si="72"/>
        <v>4529</v>
      </c>
      <c r="B4603" s="988">
        <v>39574</v>
      </c>
      <c r="C4603" s="899" t="s">
        <v>13929</v>
      </c>
      <c r="D4603" s="988" t="s">
        <v>2666</v>
      </c>
      <c r="E4603" s="989">
        <v>7.14</v>
      </c>
      <c r="F4603" s="990"/>
      <c r="G4603" s="990"/>
      <c r="H4603" s="990"/>
      <c r="I4603" s="990"/>
      <c r="J4603" s="990"/>
      <c r="K4603" s="990"/>
      <c r="L4603" s="990"/>
      <c r="M4603" s="990"/>
      <c r="N4603" s="990"/>
      <c r="O4603" s="990"/>
      <c r="P4603" s="990"/>
      <c r="Q4603" s="990"/>
      <c r="R4603" s="990"/>
      <c r="S4603" s="990"/>
      <c r="T4603" s="990"/>
      <c r="U4603" s="990"/>
      <c r="V4603" s="990"/>
      <c r="W4603" s="990"/>
      <c r="X4603" s="990"/>
    </row>
    <row r="4604" spans="1:24" s="896" customFormat="1" ht="25.5">
      <c r="A4604" s="987">
        <f t="shared" si="72"/>
        <v>4530</v>
      </c>
      <c r="B4604" s="988">
        <v>11060</v>
      </c>
      <c r="C4604" s="899" t="s">
        <v>13930</v>
      </c>
      <c r="D4604" s="988" t="s">
        <v>2666</v>
      </c>
      <c r="E4604" s="989">
        <v>33.51</v>
      </c>
      <c r="F4604" s="990"/>
      <c r="G4604" s="990"/>
      <c r="H4604" s="990"/>
      <c r="I4604" s="990"/>
      <c r="J4604" s="990"/>
      <c r="K4604" s="990"/>
      <c r="L4604" s="990"/>
      <c r="M4604" s="990"/>
      <c r="N4604" s="990"/>
      <c r="O4604" s="990"/>
      <c r="P4604" s="990"/>
      <c r="Q4604" s="990"/>
      <c r="R4604" s="990"/>
      <c r="S4604" s="990"/>
      <c r="T4604" s="990"/>
      <c r="U4604" s="990"/>
      <c r="V4604" s="990"/>
      <c r="W4604" s="990"/>
      <c r="X4604" s="990"/>
    </row>
    <row r="4605" spans="1:24" s="896" customFormat="1">
      <c r="A4605" s="987">
        <f t="shared" si="72"/>
        <v>4531</v>
      </c>
      <c r="B4605" s="988">
        <v>37401</v>
      </c>
      <c r="C4605" s="899" t="s">
        <v>13931</v>
      </c>
      <c r="D4605" s="988" t="s">
        <v>2666</v>
      </c>
      <c r="E4605" s="989">
        <v>44.14</v>
      </c>
      <c r="F4605" s="990"/>
      <c r="G4605" s="990"/>
      <c r="H4605" s="990"/>
      <c r="I4605" s="990"/>
      <c r="J4605" s="990"/>
      <c r="K4605" s="990"/>
      <c r="L4605" s="990"/>
      <c r="M4605" s="990"/>
      <c r="N4605" s="990"/>
      <c r="O4605" s="990"/>
      <c r="P4605" s="990"/>
      <c r="Q4605" s="990"/>
      <c r="R4605" s="990"/>
      <c r="S4605" s="990"/>
      <c r="T4605" s="990"/>
      <c r="U4605" s="990"/>
      <c r="V4605" s="990"/>
      <c r="W4605" s="990"/>
      <c r="X4605" s="990"/>
    </row>
    <row r="4606" spans="1:24" s="896" customFormat="1">
      <c r="A4606" s="987">
        <f t="shared" si="72"/>
        <v>4532</v>
      </c>
      <c r="B4606" s="988">
        <v>7525</v>
      </c>
      <c r="C4606" s="899" t="s">
        <v>13932</v>
      </c>
      <c r="D4606" s="988" t="s">
        <v>2666</v>
      </c>
      <c r="E4606" s="989">
        <v>56.38</v>
      </c>
      <c r="F4606" s="990"/>
      <c r="G4606" s="990"/>
      <c r="H4606" s="990"/>
      <c r="I4606" s="990"/>
      <c r="J4606" s="990"/>
      <c r="K4606" s="990"/>
      <c r="L4606" s="990"/>
      <c r="M4606" s="990"/>
      <c r="N4606" s="990"/>
      <c r="O4606" s="990"/>
      <c r="P4606" s="990"/>
      <c r="Q4606" s="990"/>
      <c r="R4606" s="990"/>
      <c r="S4606" s="990"/>
      <c r="T4606" s="990"/>
      <c r="U4606" s="990"/>
      <c r="V4606" s="990"/>
      <c r="W4606" s="990"/>
      <c r="X4606" s="990"/>
    </row>
    <row r="4607" spans="1:24" s="896" customFormat="1">
      <c r="A4607" s="987">
        <f t="shared" si="72"/>
        <v>4533</v>
      </c>
      <c r="B4607" s="988">
        <v>7524</v>
      </c>
      <c r="C4607" s="899" t="s">
        <v>13933</v>
      </c>
      <c r="D4607" s="988" t="s">
        <v>2666</v>
      </c>
      <c r="E4607" s="989">
        <v>53.12</v>
      </c>
      <c r="F4607" s="990"/>
      <c r="G4607" s="990"/>
      <c r="H4607" s="990"/>
      <c r="I4607" s="990"/>
      <c r="J4607" s="990"/>
      <c r="K4607" s="990"/>
      <c r="L4607" s="990"/>
      <c r="M4607" s="990"/>
      <c r="N4607" s="990"/>
      <c r="O4607" s="990"/>
      <c r="P4607" s="990"/>
      <c r="Q4607" s="990"/>
      <c r="R4607" s="990"/>
      <c r="S4607" s="990"/>
      <c r="T4607" s="990"/>
      <c r="U4607" s="990"/>
      <c r="V4607" s="990"/>
      <c r="W4607" s="990"/>
      <c r="X4607" s="990"/>
    </row>
    <row r="4608" spans="1:24" s="896" customFormat="1">
      <c r="A4608" s="987">
        <f t="shared" si="72"/>
        <v>4534</v>
      </c>
      <c r="B4608" s="988">
        <v>38105</v>
      </c>
      <c r="C4608" s="899" t="s">
        <v>13934</v>
      </c>
      <c r="D4608" s="988" t="s">
        <v>2666</v>
      </c>
      <c r="E4608" s="989">
        <v>13.65</v>
      </c>
      <c r="F4608" s="990"/>
      <c r="G4608" s="990"/>
      <c r="H4608" s="990"/>
      <c r="I4608" s="990"/>
      <c r="J4608" s="990"/>
      <c r="K4608" s="990"/>
      <c r="L4608" s="990"/>
      <c r="M4608" s="990"/>
      <c r="N4608" s="990"/>
      <c r="O4608" s="990"/>
      <c r="P4608" s="990"/>
      <c r="Q4608" s="990"/>
      <c r="R4608" s="990"/>
      <c r="S4608" s="990"/>
      <c r="T4608" s="990"/>
      <c r="U4608" s="990"/>
      <c r="V4608" s="990"/>
      <c r="W4608" s="990"/>
      <c r="X4608" s="990"/>
    </row>
    <row r="4609" spans="1:24" s="896" customFormat="1" ht="25.5">
      <c r="A4609" s="987">
        <f t="shared" si="72"/>
        <v>4535</v>
      </c>
      <c r="B4609" s="988">
        <v>38084</v>
      </c>
      <c r="C4609" s="899" t="s">
        <v>13935</v>
      </c>
      <c r="D4609" s="988" t="s">
        <v>2666</v>
      </c>
      <c r="E4609" s="989">
        <v>19.38</v>
      </c>
      <c r="F4609" s="990"/>
      <c r="G4609" s="990"/>
      <c r="H4609" s="990"/>
      <c r="I4609" s="990"/>
      <c r="J4609" s="990"/>
      <c r="K4609" s="990"/>
      <c r="L4609" s="990"/>
      <c r="M4609" s="990"/>
      <c r="N4609" s="990"/>
      <c r="O4609" s="990"/>
      <c r="P4609" s="990"/>
      <c r="Q4609" s="990"/>
      <c r="R4609" s="990"/>
      <c r="S4609" s="990"/>
      <c r="T4609" s="990"/>
      <c r="U4609" s="990"/>
      <c r="V4609" s="990"/>
      <c r="W4609" s="990"/>
      <c r="X4609" s="990"/>
    </row>
    <row r="4610" spans="1:24" s="896" customFormat="1">
      <c r="A4610" s="987">
        <f t="shared" si="72"/>
        <v>4536</v>
      </c>
      <c r="B4610" s="988">
        <v>38103</v>
      </c>
      <c r="C4610" s="899" t="s">
        <v>13936</v>
      </c>
      <c r="D4610" s="988" t="s">
        <v>2666</v>
      </c>
      <c r="E4610" s="989">
        <v>20.49</v>
      </c>
      <c r="F4610" s="990"/>
      <c r="G4610" s="990"/>
      <c r="H4610" s="990"/>
      <c r="I4610" s="990"/>
      <c r="J4610" s="990"/>
      <c r="K4610" s="990"/>
      <c r="L4610" s="990"/>
      <c r="M4610" s="990"/>
      <c r="N4610" s="990"/>
      <c r="O4610" s="990"/>
      <c r="P4610" s="990"/>
      <c r="Q4610" s="990"/>
      <c r="R4610" s="990"/>
      <c r="S4610" s="990"/>
      <c r="T4610" s="990"/>
      <c r="U4610" s="990"/>
      <c r="V4610" s="990"/>
      <c r="W4610" s="990"/>
      <c r="X4610" s="990"/>
    </row>
    <row r="4611" spans="1:24" s="896" customFormat="1" ht="25.5">
      <c r="A4611" s="987">
        <f t="shared" si="72"/>
        <v>4537</v>
      </c>
      <c r="B4611" s="988">
        <v>38082</v>
      </c>
      <c r="C4611" s="899" t="s">
        <v>13937</v>
      </c>
      <c r="D4611" s="988" t="s">
        <v>2666</v>
      </c>
      <c r="E4611" s="989">
        <v>25.24</v>
      </c>
      <c r="F4611" s="990"/>
      <c r="G4611" s="990"/>
      <c r="H4611" s="990"/>
      <c r="I4611" s="990"/>
      <c r="J4611" s="990"/>
      <c r="K4611" s="990"/>
      <c r="L4611" s="990"/>
      <c r="M4611" s="990"/>
      <c r="N4611" s="990"/>
      <c r="O4611" s="990"/>
      <c r="P4611" s="990"/>
      <c r="Q4611" s="990"/>
      <c r="R4611" s="990"/>
      <c r="S4611" s="990"/>
      <c r="T4611" s="990"/>
      <c r="U4611" s="990"/>
      <c r="V4611" s="990"/>
      <c r="W4611" s="990"/>
      <c r="X4611" s="990"/>
    </row>
    <row r="4612" spans="1:24" s="896" customFormat="1">
      <c r="A4612" s="987">
        <f t="shared" si="72"/>
        <v>4538</v>
      </c>
      <c r="B4612" s="988">
        <v>38104</v>
      </c>
      <c r="C4612" s="899" t="s">
        <v>13938</v>
      </c>
      <c r="D4612" s="988" t="s">
        <v>2666</v>
      </c>
      <c r="E4612" s="989">
        <v>40.11</v>
      </c>
      <c r="F4612" s="990"/>
      <c r="G4612" s="990"/>
      <c r="H4612" s="990"/>
      <c r="I4612" s="990"/>
      <c r="J4612" s="990"/>
      <c r="K4612" s="990"/>
      <c r="L4612" s="990"/>
      <c r="M4612" s="990"/>
      <c r="N4612" s="990"/>
      <c r="O4612" s="990"/>
      <c r="P4612" s="990"/>
      <c r="Q4612" s="990"/>
      <c r="R4612" s="990"/>
      <c r="S4612" s="990"/>
      <c r="T4612" s="990"/>
      <c r="U4612" s="990"/>
      <c r="V4612" s="990"/>
      <c r="W4612" s="990"/>
      <c r="X4612" s="990"/>
    </row>
    <row r="4613" spans="1:24" s="896" customFormat="1" ht="25.5">
      <c r="A4613" s="987">
        <f t="shared" si="72"/>
        <v>4539</v>
      </c>
      <c r="B4613" s="988">
        <v>38083</v>
      </c>
      <c r="C4613" s="899" t="s">
        <v>13939</v>
      </c>
      <c r="D4613" s="988" t="s">
        <v>2666</v>
      </c>
      <c r="E4613" s="989">
        <v>44.54</v>
      </c>
      <c r="F4613" s="990"/>
      <c r="G4613" s="990"/>
      <c r="H4613" s="990"/>
      <c r="I4613" s="990"/>
      <c r="J4613" s="990"/>
      <c r="K4613" s="990"/>
      <c r="L4613" s="990"/>
      <c r="M4613" s="990"/>
      <c r="N4613" s="990"/>
      <c r="O4613" s="990"/>
      <c r="P4613" s="990"/>
      <c r="Q4613" s="990"/>
      <c r="R4613" s="990"/>
      <c r="S4613" s="990"/>
      <c r="T4613" s="990"/>
      <c r="U4613" s="990"/>
      <c r="V4613" s="990"/>
      <c r="W4613" s="990"/>
      <c r="X4613" s="990"/>
    </row>
    <row r="4614" spans="1:24" s="896" customFormat="1">
      <c r="A4614" s="987">
        <f t="shared" si="72"/>
        <v>4540</v>
      </c>
      <c r="B4614" s="988">
        <v>38101</v>
      </c>
      <c r="C4614" s="899" t="s">
        <v>13940</v>
      </c>
      <c r="D4614" s="988" t="s">
        <v>2666</v>
      </c>
      <c r="E4614" s="989">
        <v>9.74</v>
      </c>
      <c r="F4614" s="990"/>
      <c r="G4614" s="990"/>
      <c r="H4614" s="990"/>
      <c r="I4614" s="990"/>
      <c r="J4614" s="990"/>
      <c r="K4614" s="990"/>
      <c r="L4614" s="990"/>
      <c r="M4614" s="990"/>
      <c r="N4614" s="990"/>
      <c r="O4614" s="990"/>
      <c r="P4614" s="990"/>
      <c r="Q4614" s="990"/>
      <c r="R4614" s="990"/>
      <c r="S4614" s="990"/>
      <c r="T4614" s="990"/>
      <c r="U4614" s="990"/>
      <c r="V4614" s="990"/>
      <c r="W4614" s="990"/>
      <c r="X4614" s="990"/>
    </row>
    <row r="4615" spans="1:24" s="896" customFormat="1" ht="25.5">
      <c r="A4615" s="987">
        <f t="shared" si="72"/>
        <v>4541</v>
      </c>
      <c r="B4615" s="988">
        <v>7528</v>
      </c>
      <c r="C4615" s="899" t="s">
        <v>13941</v>
      </c>
      <c r="D4615" s="988" t="s">
        <v>2666</v>
      </c>
      <c r="E4615" s="989">
        <v>11.45</v>
      </c>
      <c r="F4615" s="990"/>
      <c r="G4615" s="990"/>
      <c r="H4615" s="990"/>
      <c r="I4615" s="990"/>
      <c r="J4615" s="990"/>
      <c r="K4615" s="990"/>
      <c r="L4615" s="990"/>
      <c r="M4615" s="990"/>
      <c r="N4615" s="990"/>
      <c r="O4615" s="990"/>
      <c r="P4615" s="990"/>
      <c r="Q4615" s="990"/>
      <c r="R4615" s="990"/>
      <c r="S4615" s="990"/>
      <c r="T4615" s="990"/>
      <c r="U4615" s="990"/>
      <c r="V4615" s="990"/>
      <c r="W4615" s="990"/>
      <c r="X4615" s="990"/>
    </row>
    <row r="4616" spans="1:24" s="896" customFormat="1" ht="25.5">
      <c r="A4616" s="987">
        <f t="shared" si="72"/>
        <v>4542</v>
      </c>
      <c r="B4616" s="988">
        <v>12147</v>
      </c>
      <c r="C4616" s="899" t="s">
        <v>13942</v>
      </c>
      <c r="D4616" s="988" t="s">
        <v>2666</v>
      </c>
      <c r="E4616" s="989">
        <v>17.46</v>
      </c>
      <c r="F4616" s="990"/>
      <c r="G4616" s="990"/>
      <c r="H4616" s="990"/>
      <c r="I4616" s="990"/>
      <c r="J4616" s="990"/>
      <c r="K4616" s="990"/>
      <c r="L4616" s="990"/>
      <c r="M4616" s="990"/>
      <c r="N4616" s="990"/>
      <c r="O4616" s="990"/>
      <c r="P4616" s="990"/>
      <c r="Q4616" s="990"/>
      <c r="R4616" s="990"/>
      <c r="S4616" s="990"/>
      <c r="T4616" s="990"/>
      <c r="U4616" s="990"/>
      <c r="V4616" s="990"/>
      <c r="W4616" s="990"/>
      <c r="X4616" s="990"/>
    </row>
    <row r="4617" spans="1:24" s="896" customFormat="1" ht="25.5">
      <c r="A4617" s="987">
        <f t="shared" si="72"/>
        <v>4543</v>
      </c>
      <c r="B4617" s="988">
        <v>38075</v>
      </c>
      <c r="C4617" s="899" t="s">
        <v>13943</v>
      </c>
      <c r="D4617" s="988" t="s">
        <v>2666</v>
      </c>
      <c r="E4617" s="989">
        <v>19.829999999999998</v>
      </c>
      <c r="F4617" s="990"/>
      <c r="G4617" s="990"/>
      <c r="H4617" s="990"/>
      <c r="I4617" s="990"/>
      <c r="J4617" s="990"/>
      <c r="K4617" s="990"/>
      <c r="L4617" s="990"/>
      <c r="M4617" s="990"/>
      <c r="N4617" s="990"/>
      <c r="O4617" s="990"/>
      <c r="P4617" s="990"/>
      <c r="Q4617" s="990"/>
      <c r="R4617" s="990"/>
      <c r="S4617" s="990"/>
      <c r="T4617" s="990"/>
      <c r="U4617" s="990"/>
      <c r="V4617" s="990"/>
      <c r="W4617" s="990"/>
      <c r="X4617" s="990"/>
    </row>
    <row r="4618" spans="1:24" s="896" customFormat="1">
      <c r="A4618" s="987">
        <f t="shared" si="72"/>
        <v>4544</v>
      </c>
      <c r="B4618" s="988">
        <v>38102</v>
      </c>
      <c r="C4618" s="899" t="s">
        <v>13944</v>
      </c>
      <c r="D4618" s="988" t="s">
        <v>2666</v>
      </c>
      <c r="E4618" s="989">
        <v>12.46</v>
      </c>
      <c r="F4618" s="990"/>
      <c r="G4618" s="990"/>
      <c r="H4618" s="990"/>
      <c r="I4618" s="990"/>
      <c r="J4618" s="990"/>
      <c r="K4618" s="990"/>
      <c r="L4618" s="990"/>
      <c r="M4618" s="990"/>
      <c r="N4618" s="990"/>
      <c r="O4618" s="990"/>
      <c r="P4618" s="990"/>
      <c r="Q4618" s="990"/>
      <c r="R4618" s="990"/>
      <c r="S4618" s="990"/>
      <c r="T4618" s="990"/>
      <c r="U4618" s="990"/>
      <c r="V4618" s="990"/>
      <c r="W4618" s="990"/>
      <c r="X4618" s="990"/>
    </row>
    <row r="4619" spans="1:24" s="896" customFormat="1" ht="25.5">
      <c r="A4619" s="987">
        <f t="shared" si="72"/>
        <v>4545</v>
      </c>
      <c r="B4619" s="988">
        <v>38076</v>
      </c>
      <c r="C4619" s="899" t="s">
        <v>13945</v>
      </c>
      <c r="D4619" s="988" t="s">
        <v>2666</v>
      </c>
      <c r="E4619" s="989">
        <v>22.23</v>
      </c>
      <c r="F4619" s="990"/>
      <c r="G4619" s="990"/>
      <c r="H4619" s="990"/>
      <c r="I4619" s="990"/>
      <c r="J4619" s="990"/>
      <c r="K4619" s="990"/>
      <c r="L4619" s="990"/>
      <c r="M4619" s="990"/>
      <c r="N4619" s="990"/>
      <c r="O4619" s="990"/>
      <c r="P4619" s="990"/>
      <c r="Q4619" s="990"/>
      <c r="R4619" s="990"/>
      <c r="S4619" s="990"/>
      <c r="T4619" s="990"/>
      <c r="U4619" s="990"/>
      <c r="V4619" s="990"/>
      <c r="W4619" s="990"/>
      <c r="X4619" s="990"/>
    </row>
    <row r="4620" spans="1:24" s="896" customFormat="1">
      <c r="A4620" s="987">
        <f t="shared" ref="A4620:A4683" si="73">A4619+1</f>
        <v>4546</v>
      </c>
      <c r="B4620" s="988">
        <v>7592</v>
      </c>
      <c r="C4620" s="899" t="s">
        <v>13946</v>
      </c>
      <c r="D4620" s="988" t="s">
        <v>2665</v>
      </c>
      <c r="E4620" s="989">
        <v>23.94</v>
      </c>
      <c r="F4620" s="990"/>
      <c r="G4620" s="990"/>
      <c r="H4620" s="990"/>
      <c r="I4620" s="990"/>
      <c r="J4620" s="990"/>
      <c r="K4620" s="990"/>
      <c r="L4620" s="990"/>
      <c r="M4620" s="990"/>
      <c r="N4620" s="990"/>
      <c r="O4620" s="990"/>
      <c r="P4620" s="990"/>
      <c r="Q4620" s="990"/>
      <c r="R4620" s="990"/>
      <c r="S4620" s="990"/>
      <c r="T4620" s="990"/>
      <c r="U4620" s="990"/>
      <c r="V4620" s="990"/>
      <c r="W4620" s="990"/>
      <c r="X4620" s="990"/>
    </row>
    <row r="4621" spans="1:24" s="896" customFormat="1">
      <c r="A4621" s="987">
        <f t="shared" si="73"/>
        <v>4547</v>
      </c>
      <c r="B4621" s="988">
        <v>40820</v>
      </c>
      <c r="C4621" s="899" t="s">
        <v>13947</v>
      </c>
      <c r="D4621" s="988" t="s">
        <v>2672</v>
      </c>
      <c r="E4621" s="989">
        <v>4207.42</v>
      </c>
      <c r="F4621" s="990"/>
      <c r="G4621" s="990"/>
      <c r="H4621" s="990"/>
      <c r="I4621" s="990"/>
      <c r="J4621" s="990"/>
      <c r="K4621" s="990"/>
      <c r="L4621" s="990"/>
      <c r="M4621" s="990"/>
      <c r="N4621" s="990"/>
      <c r="O4621" s="990"/>
      <c r="P4621" s="990"/>
      <c r="Q4621" s="990"/>
      <c r="R4621" s="990"/>
      <c r="S4621" s="990"/>
      <c r="T4621" s="990"/>
      <c r="U4621" s="990"/>
      <c r="V4621" s="990"/>
      <c r="W4621" s="990"/>
      <c r="X4621" s="990"/>
    </row>
    <row r="4622" spans="1:24" s="896" customFormat="1" ht="25.5">
      <c r="A4622" s="987">
        <f t="shared" si="73"/>
        <v>4548</v>
      </c>
      <c r="B4622" s="988">
        <v>11826</v>
      </c>
      <c r="C4622" s="899" t="s">
        <v>13948</v>
      </c>
      <c r="D4622" s="988" t="s">
        <v>2666</v>
      </c>
      <c r="E4622" s="989">
        <v>55.16</v>
      </c>
      <c r="F4622" s="990"/>
      <c r="G4622" s="990"/>
      <c r="H4622" s="990"/>
      <c r="I4622" s="990"/>
      <c r="J4622" s="990"/>
      <c r="K4622" s="990"/>
      <c r="L4622" s="990"/>
      <c r="M4622" s="990"/>
      <c r="N4622" s="990"/>
      <c r="O4622" s="990"/>
      <c r="P4622" s="990"/>
      <c r="Q4622" s="990"/>
      <c r="R4622" s="990"/>
      <c r="S4622" s="990"/>
      <c r="T4622" s="990"/>
      <c r="U4622" s="990"/>
      <c r="V4622" s="990"/>
      <c r="W4622" s="990"/>
      <c r="X4622" s="990"/>
    </row>
    <row r="4623" spans="1:24" s="896" customFormat="1" ht="25.5">
      <c r="A4623" s="987">
        <f t="shared" si="73"/>
        <v>4549</v>
      </c>
      <c r="B4623" s="988">
        <v>7606</v>
      </c>
      <c r="C4623" s="899" t="s">
        <v>13949</v>
      </c>
      <c r="D4623" s="988" t="s">
        <v>2666</v>
      </c>
      <c r="E4623" s="989">
        <v>66.33</v>
      </c>
      <c r="F4623" s="990"/>
      <c r="G4623" s="990"/>
      <c r="H4623" s="990"/>
      <c r="I4623" s="990"/>
      <c r="J4623" s="990"/>
      <c r="K4623" s="990"/>
      <c r="L4623" s="990"/>
      <c r="M4623" s="990"/>
      <c r="N4623" s="990"/>
      <c r="O4623" s="990"/>
      <c r="P4623" s="990"/>
      <c r="Q4623" s="990"/>
      <c r="R4623" s="990"/>
      <c r="S4623" s="990"/>
      <c r="T4623" s="990"/>
      <c r="U4623" s="990"/>
      <c r="V4623" s="990"/>
      <c r="W4623" s="990"/>
      <c r="X4623" s="990"/>
    </row>
    <row r="4624" spans="1:24" s="896" customFormat="1" ht="25.5">
      <c r="A4624" s="987">
        <f t="shared" si="73"/>
        <v>4550</v>
      </c>
      <c r="B4624" s="988">
        <v>11763</v>
      </c>
      <c r="C4624" s="899" t="s">
        <v>13950</v>
      </c>
      <c r="D4624" s="988" t="s">
        <v>2666</v>
      </c>
      <c r="E4624" s="989">
        <v>144.85</v>
      </c>
      <c r="F4624" s="990"/>
      <c r="G4624" s="990"/>
      <c r="H4624" s="990"/>
      <c r="I4624" s="990"/>
      <c r="J4624" s="990"/>
      <c r="K4624" s="990"/>
      <c r="L4624" s="990"/>
      <c r="M4624" s="990"/>
      <c r="N4624" s="990"/>
      <c r="O4624" s="990"/>
      <c r="P4624" s="990"/>
      <c r="Q4624" s="990"/>
      <c r="R4624" s="990"/>
      <c r="S4624" s="990"/>
      <c r="T4624" s="990"/>
      <c r="U4624" s="990"/>
      <c r="V4624" s="990"/>
      <c r="W4624" s="990"/>
      <c r="X4624" s="990"/>
    </row>
    <row r="4625" spans="1:24" s="896" customFormat="1" ht="25.5">
      <c r="A4625" s="987">
        <f t="shared" si="73"/>
        <v>4551</v>
      </c>
      <c r="B4625" s="988">
        <v>11764</v>
      </c>
      <c r="C4625" s="899" t="s">
        <v>13951</v>
      </c>
      <c r="D4625" s="988" t="s">
        <v>2666</v>
      </c>
      <c r="E4625" s="989">
        <v>118.84</v>
      </c>
      <c r="F4625" s="990"/>
      <c r="G4625" s="990"/>
      <c r="H4625" s="990"/>
      <c r="I4625" s="990"/>
      <c r="J4625" s="990"/>
      <c r="K4625" s="990"/>
      <c r="L4625" s="990"/>
      <c r="M4625" s="990"/>
      <c r="N4625" s="990"/>
      <c r="O4625" s="990"/>
      <c r="P4625" s="990"/>
      <c r="Q4625" s="990"/>
      <c r="R4625" s="990"/>
      <c r="S4625" s="990"/>
      <c r="T4625" s="990"/>
      <c r="U4625" s="990"/>
      <c r="V4625" s="990"/>
      <c r="W4625" s="990"/>
      <c r="X4625" s="990"/>
    </row>
    <row r="4626" spans="1:24" s="896" customFormat="1" ht="25.5">
      <c r="A4626" s="987">
        <f t="shared" si="73"/>
        <v>4552</v>
      </c>
      <c r="B4626" s="988">
        <v>11829</v>
      </c>
      <c r="C4626" s="899" t="s">
        <v>13952</v>
      </c>
      <c r="D4626" s="988" t="s">
        <v>2666</v>
      </c>
      <c r="E4626" s="989">
        <v>28.72</v>
      </c>
      <c r="F4626" s="990"/>
      <c r="G4626" s="990"/>
      <c r="H4626" s="990"/>
      <c r="I4626" s="990"/>
      <c r="J4626" s="990"/>
      <c r="K4626" s="990"/>
      <c r="L4626" s="990"/>
      <c r="M4626" s="990"/>
      <c r="N4626" s="990"/>
      <c r="O4626" s="990"/>
      <c r="P4626" s="990"/>
      <c r="Q4626" s="990"/>
      <c r="R4626" s="990"/>
      <c r="S4626" s="990"/>
      <c r="T4626" s="990"/>
      <c r="U4626" s="990"/>
      <c r="V4626" s="990"/>
      <c r="W4626" s="990"/>
      <c r="X4626" s="990"/>
    </row>
    <row r="4627" spans="1:24" s="896" customFormat="1" ht="25.5">
      <c r="A4627" s="987">
        <f t="shared" si="73"/>
        <v>4553</v>
      </c>
      <c r="B4627" s="988">
        <v>11830</v>
      </c>
      <c r="C4627" s="899" t="s">
        <v>13953</v>
      </c>
      <c r="D4627" s="988" t="s">
        <v>2666</v>
      </c>
      <c r="E4627" s="989">
        <v>31.02</v>
      </c>
      <c r="F4627" s="990"/>
      <c r="G4627" s="990"/>
      <c r="H4627" s="990"/>
      <c r="I4627" s="990"/>
      <c r="J4627" s="990"/>
      <c r="K4627" s="990"/>
      <c r="L4627" s="990"/>
      <c r="M4627" s="990"/>
      <c r="N4627" s="990"/>
      <c r="O4627" s="990"/>
      <c r="P4627" s="990"/>
      <c r="Q4627" s="990"/>
      <c r="R4627" s="990"/>
      <c r="S4627" s="990"/>
      <c r="T4627" s="990"/>
      <c r="U4627" s="990"/>
      <c r="V4627" s="990"/>
      <c r="W4627" s="990"/>
      <c r="X4627" s="990"/>
    </row>
    <row r="4628" spans="1:24" s="896" customFormat="1" ht="25.5">
      <c r="A4628" s="987">
        <f t="shared" si="73"/>
        <v>4554</v>
      </c>
      <c r="B4628" s="988">
        <v>11825</v>
      </c>
      <c r="C4628" s="899" t="s">
        <v>13954</v>
      </c>
      <c r="D4628" s="988" t="s">
        <v>2666</v>
      </c>
      <c r="E4628" s="989">
        <v>69.78</v>
      </c>
      <c r="F4628" s="990"/>
      <c r="G4628" s="990"/>
      <c r="H4628" s="990"/>
      <c r="I4628" s="990"/>
      <c r="J4628" s="990"/>
      <c r="K4628" s="990"/>
      <c r="L4628" s="990"/>
      <c r="M4628" s="990"/>
      <c r="N4628" s="990"/>
      <c r="O4628" s="990"/>
      <c r="P4628" s="990"/>
      <c r="Q4628" s="990"/>
      <c r="R4628" s="990"/>
      <c r="S4628" s="990"/>
      <c r="T4628" s="990"/>
      <c r="U4628" s="990"/>
      <c r="V4628" s="990"/>
      <c r="W4628" s="990"/>
      <c r="X4628" s="990"/>
    </row>
    <row r="4629" spans="1:24" s="896" customFormat="1" ht="25.5">
      <c r="A4629" s="987">
        <f t="shared" si="73"/>
        <v>4555</v>
      </c>
      <c r="B4629" s="988">
        <v>11767</v>
      </c>
      <c r="C4629" s="899" t="s">
        <v>13955</v>
      </c>
      <c r="D4629" s="988" t="s">
        <v>2666</v>
      </c>
      <c r="E4629" s="989">
        <v>185.86</v>
      </c>
      <c r="F4629" s="990"/>
      <c r="G4629" s="990"/>
      <c r="H4629" s="990"/>
      <c r="I4629" s="990"/>
      <c r="J4629" s="990"/>
      <c r="K4629" s="990"/>
      <c r="L4629" s="990"/>
      <c r="M4629" s="990"/>
      <c r="N4629" s="990"/>
      <c r="O4629" s="990"/>
      <c r="P4629" s="990"/>
      <c r="Q4629" s="990"/>
      <c r="R4629" s="990"/>
      <c r="S4629" s="990"/>
      <c r="T4629" s="990"/>
      <c r="U4629" s="990"/>
      <c r="V4629" s="990"/>
      <c r="W4629" s="990"/>
      <c r="X4629" s="990"/>
    </row>
    <row r="4630" spans="1:24" s="896" customFormat="1" ht="25.5">
      <c r="A4630" s="987">
        <f t="shared" si="73"/>
        <v>4556</v>
      </c>
      <c r="B4630" s="988">
        <v>11766</v>
      </c>
      <c r="C4630" s="899" t="s">
        <v>13956</v>
      </c>
      <c r="D4630" s="988" t="s">
        <v>2666</v>
      </c>
      <c r="E4630" s="989">
        <v>43.32</v>
      </c>
      <c r="F4630" s="990"/>
      <c r="G4630" s="990"/>
      <c r="H4630" s="990"/>
      <c r="I4630" s="990"/>
      <c r="J4630" s="990"/>
      <c r="K4630" s="990"/>
      <c r="L4630" s="990"/>
      <c r="M4630" s="990"/>
      <c r="N4630" s="990"/>
      <c r="O4630" s="990"/>
      <c r="P4630" s="990"/>
      <c r="Q4630" s="990"/>
      <c r="R4630" s="990"/>
      <c r="S4630" s="990"/>
      <c r="T4630" s="990"/>
      <c r="U4630" s="990"/>
      <c r="V4630" s="990"/>
      <c r="W4630" s="990"/>
      <c r="X4630" s="990"/>
    </row>
    <row r="4631" spans="1:24" s="896" customFormat="1" ht="25.5">
      <c r="A4631" s="987">
        <f t="shared" si="73"/>
        <v>4557</v>
      </c>
      <c r="B4631" s="988">
        <v>11765</v>
      </c>
      <c r="C4631" s="899" t="s">
        <v>13957</v>
      </c>
      <c r="D4631" s="988" t="s">
        <v>2666</v>
      </c>
      <c r="E4631" s="989">
        <v>79.2</v>
      </c>
      <c r="F4631" s="990"/>
      <c r="G4631" s="990"/>
      <c r="H4631" s="990"/>
      <c r="I4631" s="990"/>
      <c r="J4631" s="990"/>
      <c r="K4631" s="990"/>
      <c r="L4631" s="990"/>
      <c r="M4631" s="990"/>
      <c r="N4631" s="990"/>
      <c r="O4631" s="990"/>
      <c r="P4631" s="990"/>
      <c r="Q4631" s="990"/>
      <c r="R4631" s="990"/>
      <c r="S4631" s="990"/>
      <c r="T4631" s="990"/>
      <c r="U4631" s="990"/>
      <c r="V4631" s="990"/>
      <c r="W4631" s="990"/>
      <c r="X4631" s="990"/>
    </row>
    <row r="4632" spans="1:24" s="896" customFormat="1" ht="25.5">
      <c r="A4632" s="987">
        <f t="shared" si="73"/>
        <v>4558</v>
      </c>
      <c r="B4632" s="988">
        <v>11824</v>
      </c>
      <c r="C4632" s="899" t="s">
        <v>13958</v>
      </c>
      <c r="D4632" s="988" t="s">
        <v>2666</v>
      </c>
      <c r="E4632" s="989">
        <v>50.96</v>
      </c>
      <c r="F4632" s="990"/>
      <c r="G4632" s="990"/>
      <c r="H4632" s="990"/>
      <c r="I4632" s="990"/>
      <c r="J4632" s="990"/>
      <c r="K4632" s="990"/>
      <c r="L4632" s="990"/>
      <c r="M4632" s="990"/>
      <c r="N4632" s="990"/>
      <c r="O4632" s="990"/>
      <c r="P4632" s="990"/>
      <c r="Q4632" s="990"/>
      <c r="R4632" s="990"/>
      <c r="S4632" s="990"/>
      <c r="T4632" s="990"/>
      <c r="U4632" s="990"/>
      <c r="V4632" s="990"/>
      <c r="W4632" s="990"/>
      <c r="X4632" s="990"/>
    </row>
    <row r="4633" spans="1:24" s="896" customFormat="1" ht="25.5">
      <c r="A4633" s="987">
        <f t="shared" si="73"/>
        <v>4559</v>
      </c>
      <c r="B4633" s="988">
        <v>44045</v>
      </c>
      <c r="C4633" s="899" t="s">
        <v>13959</v>
      </c>
      <c r="D4633" s="988" t="s">
        <v>2666</v>
      </c>
      <c r="E4633" s="989">
        <v>246.6</v>
      </c>
      <c r="F4633" s="990"/>
      <c r="G4633" s="990"/>
      <c r="H4633" s="990"/>
      <c r="I4633" s="990"/>
      <c r="J4633" s="990"/>
      <c r="K4633" s="990"/>
      <c r="L4633" s="990"/>
      <c r="M4633" s="990"/>
      <c r="N4633" s="990"/>
      <c r="O4633" s="990"/>
      <c r="P4633" s="990"/>
      <c r="Q4633" s="990"/>
      <c r="R4633" s="990"/>
      <c r="S4633" s="990"/>
      <c r="T4633" s="990"/>
      <c r="U4633" s="990"/>
      <c r="V4633" s="990"/>
      <c r="W4633" s="990"/>
      <c r="X4633" s="990"/>
    </row>
    <row r="4634" spans="1:24" s="896" customFormat="1" ht="25.5">
      <c r="A4634" s="987">
        <f t="shared" si="73"/>
        <v>4560</v>
      </c>
      <c r="B4634" s="988">
        <v>39702</v>
      </c>
      <c r="C4634" s="899" t="s">
        <v>13960</v>
      </c>
      <c r="D4634" s="988" t="s">
        <v>2666</v>
      </c>
      <c r="E4634" s="989">
        <v>1637.79</v>
      </c>
      <c r="F4634" s="990"/>
      <c r="G4634" s="990"/>
      <c r="H4634" s="990"/>
      <c r="I4634" s="990"/>
      <c r="J4634" s="990"/>
      <c r="K4634" s="990"/>
      <c r="L4634" s="990"/>
      <c r="M4634" s="990"/>
      <c r="N4634" s="990"/>
      <c r="O4634" s="990"/>
      <c r="P4634" s="990"/>
      <c r="Q4634" s="990"/>
      <c r="R4634" s="990"/>
      <c r="S4634" s="990"/>
      <c r="T4634" s="990"/>
      <c r="U4634" s="990"/>
      <c r="V4634" s="990"/>
      <c r="W4634" s="990"/>
      <c r="X4634" s="990"/>
    </row>
    <row r="4635" spans="1:24" s="896" customFormat="1" ht="25.5">
      <c r="A4635" s="987">
        <f t="shared" si="73"/>
        <v>4561</v>
      </c>
      <c r="B4635" s="988">
        <v>13415</v>
      </c>
      <c r="C4635" s="899" t="s">
        <v>13961</v>
      </c>
      <c r="D4635" s="988" t="s">
        <v>2666</v>
      </c>
      <c r="E4635" s="989">
        <v>53.77</v>
      </c>
      <c r="F4635" s="990"/>
      <c r="G4635" s="990"/>
      <c r="H4635" s="990"/>
      <c r="I4635" s="990"/>
      <c r="J4635" s="990"/>
      <c r="K4635" s="990"/>
      <c r="L4635" s="990"/>
      <c r="M4635" s="990"/>
      <c r="N4635" s="990"/>
      <c r="O4635" s="990"/>
      <c r="P4635" s="990"/>
      <c r="Q4635" s="990"/>
      <c r="R4635" s="990"/>
      <c r="S4635" s="990"/>
      <c r="T4635" s="990"/>
      <c r="U4635" s="990"/>
      <c r="V4635" s="990"/>
      <c r="W4635" s="990"/>
      <c r="X4635" s="990"/>
    </row>
    <row r="4636" spans="1:24" s="896" customFormat="1" ht="25.5">
      <c r="A4636" s="987">
        <f t="shared" si="73"/>
        <v>4562</v>
      </c>
      <c r="B4636" s="988">
        <v>7602</v>
      </c>
      <c r="C4636" s="899" t="s">
        <v>13962</v>
      </c>
      <c r="D4636" s="988" t="s">
        <v>2666</v>
      </c>
      <c r="E4636" s="989">
        <v>34.31</v>
      </c>
      <c r="F4636" s="990"/>
      <c r="G4636" s="990"/>
      <c r="H4636" s="990"/>
      <c r="I4636" s="990"/>
      <c r="J4636" s="990"/>
      <c r="K4636" s="990"/>
      <c r="L4636" s="990"/>
      <c r="M4636" s="990"/>
      <c r="N4636" s="990"/>
      <c r="O4636" s="990"/>
      <c r="P4636" s="990"/>
      <c r="Q4636" s="990"/>
      <c r="R4636" s="990"/>
      <c r="S4636" s="990"/>
      <c r="T4636" s="990"/>
      <c r="U4636" s="990"/>
      <c r="V4636" s="990"/>
      <c r="W4636" s="990"/>
      <c r="X4636" s="990"/>
    </row>
    <row r="4637" spans="1:24" s="896" customFormat="1" ht="25.5">
      <c r="A4637" s="987">
        <f t="shared" si="73"/>
        <v>4563</v>
      </c>
      <c r="B4637" s="988">
        <v>7603</v>
      </c>
      <c r="C4637" s="899" t="s">
        <v>13963</v>
      </c>
      <c r="D4637" s="988" t="s">
        <v>2666</v>
      </c>
      <c r="E4637" s="989">
        <v>29.11</v>
      </c>
      <c r="F4637" s="990"/>
      <c r="G4637" s="990"/>
      <c r="H4637" s="990"/>
      <c r="I4637" s="990"/>
      <c r="J4637" s="990"/>
      <c r="K4637" s="990"/>
      <c r="L4637" s="990"/>
      <c r="M4637" s="990"/>
      <c r="N4637" s="990"/>
      <c r="O4637" s="990"/>
      <c r="P4637" s="990"/>
      <c r="Q4637" s="990"/>
      <c r="R4637" s="990"/>
      <c r="S4637" s="990"/>
      <c r="T4637" s="990"/>
      <c r="U4637" s="990"/>
      <c r="V4637" s="990"/>
      <c r="W4637" s="990"/>
      <c r="X4637" s="990"/>
    </row>
    <row r="4638" spans="1:24" s="896" customFormat="1">
      <c r="A4638" s="987">
        <f t="shared" si="73"/>
        <v>4564</v>
      </c>
      <c r="B4638" s="988">
        <v>11777</v>
      </c>
      <c r="C4638" s="899" t="s">
        <v>13964</v>
      </c>
      <c r="D4638" s="988" t="s">
        <v>2666</v>
      </c>
      <c r="E4638" s="989">
        <v>164.25</v>
      </c>
      <c r="F4638" s="990"/>
      <c r="G4638" s="990"/>
      <c r="H4638" s="990"/>
      <c r="I4638" s="990"/>
      <c r="J4638" s="990"/>
      <c r="K4638" s="990"/>
      <c r="L4638" s="990"/>
      <c r="M4638" s="990"/>
      <c r="N4638" s="990"/>
      <c r="O4638" s="990"/>
      <c r="P4638" s="990"/>
      <c r="Q4638" s="990"/>
      <c r="R4638" s="990"/>
      <c r="S4638" s="990"/>
      <c r="T4638" s="990"/>
      <c r="U4638" s="990"/>
      <c r="V4638" s="990"/>
      <c r="W4638" s="990"/>
      <c r="X4638" s="990"/>
    </row>
    <row r="4639" spans="1:24" s="896" customFormat="1" ht="25.5">
      <c r="A4639" s="987">
        <f t="shared" si="73"/>
        <v>4565</v>
      </c>
      <c r="B4639" s="988">
        <v>13417</v>
      </c>
      <c r="C4639" s="899" t="s">
        <v>13965</v>
      </c>
      <c r="D4639" s="988" t="s">
        <v>2666</v>
      </c>
      <c r="E4639" s="989">
        <v>70.03</v>
      </c>
      <c r="F4639" s="990"/>
      <c r="G4639" s="990"/>
      <c r="H4639" s="990"/>
      <c r="I4639" s="990"/>
      <c r="J4639" s="990"/>
      <c r="K4639" s="990"/>
      <c r="L4639" s="990"/>
      <c r="M4639" s="990"/>
      <c r="N4639" s="990"/>
      <c r="O4639" s="990"/>
      <c r="P4639" s="990"/>
      <c r="Q4639" s="990"/>
      <c r="R4639" s="990"/>
      <c r="S4639" s="990"/>
      <c r="T4639" s="990"/>
      <c r="U4639" s="990"/>
      <c r="V4639" s="990"/>
      <c r="W4639" s="990"/>
      <c r="X4639" s="990"/>
    </row>
    <row r="4640" spans="1:24" s="896" customFormat="1" ht="25.5">
      <c r="A4640" s="987">
        <f t="shared" si="73"/>
        <v>4566</v>
      </c>
      <c r="B4640" s="988">
        <v>36791</v>
      </c>
      <c r="C4640" s="899" t="s">
        <v>13966</v>
      </c>
      <c r="D4640" s="988" t="s">
        <v>2666</v>
      </c>
      <c r="E4640" s="989">
        <v>105.1</v>
      </c>
      <c r="F4640" s="990"/>
      <c r="G4640" s="990"/>
      <c r="H4640" s="990"/>
      <c r="I4640" s="990"/>
      <c r="J4640" s="990"/>
      <c r="K4640" s="990"/>
      <c r="L4640" s="990"/>
      <c r="M4640" s="990"/>
      <c r="N4640" s="990"/>
      <c r="O4640" s="990"/>
      <c r="P4640" s="990"/>
      <c r="Q4640" s="990"/>
      <c r="R4640" s="990"/>
      <c r="S4640" s="990"/>
      <c r="T4640" s="990"/>
      <c r="U4640" s="990"/>
      <c r="V4640" s="990"/>
      <c r="W4640" s="990"/>
      <c r="X4640" s="990"/>
    </row>
    <row r="4641" spans="1:24" s="896" customFormat="1" ht="25.5">
      <c r="A4641" s="987">
        <f t="shared" si="73"/>
        <v>4567</v>
      </c>
      <c r="B4641" s="988">
        <v>36795</v>
      </c>
      <c r="C4641" s="899" t="s">
        <v>13967</v>
      </c>
      <c r="D4641" s="988" t="s">
        <v>2666</v>
      </c>
      <c r="E4641" s="989">
        <v>1328.92</v>
      </c>
      <c r="F4641" s="990"/>
      <c r="G4641" s="990"/>
      <c r="H4641" s="990"/>
      <c r="I4641" s="990"/>
      <c r="J4641" s="990"/>
      <c r="K4641" s="990"/>
      <c r="L4641" s="990"/>
      <c r="M4641" s="990"/>
      <c r="N4641" s="990"/>
      <c r="O4641" s="990"/>
      <c r="P4641" s="990"/>
      <c r="Q4641" s="990"/>
      <c r="R4641" s="990"/>
      <c r="S4641" s="990"/>
      <c r="T4641" s="990"/>
      <c r="U4641" s="990"/>
      <c r="V4641" s="990"/>
      <c r="W4641" s="990"/>
      <c r="X4641" s="990"/>
    </row>
    <row r="4642" spans="1:24" s="896" customFormat="1" ht="25.5">
      <c r="A4642" s="987">
        <f t="shared" si="73"/>
        <v>4568</v>
      </c>
      <c r="B4642" s="988">
        <v>36796</v>
      </c>
      <c r="C4642" s="899" t="s">
        <v>13968</v>
      </c>
      <c r="D4642" s="988" t="s">
        <v>2666</v>
      </c>
      <c r="E4642" s="989">
        <v>110.43</v>
      </c>
      <c r="F4642" s="990"/>
      <c r="G4642" s="990"/>
      <c r="H4642" s="990"/>
      <c r="I4642" s="990"/>
      <c r="J4642" s="990"/>
      <c r="K4642" s="990"/>
      <c r="L4642" s="990"/>
      <c r="M4642" s="990"/>
      <c r="N4642" s="990"/>
      <c r="O4642" s="990"/>
      <c r="P4642" s="990"/>
      <c r="Q4642" s="990"/>
      <c r="R4642" s="990"/>
      <c r="S4642" s="990"/>
      <c r="T4642" s="990"/>
      <c r="U4642" s="990"/>
      <c r="V4642" s="990"/>
      <c r="W4642" s="990"/>
      <c r="X4642" s="990"/>
    </row>
    <row r="4643" spans="1:24" s="896" customFormat="1" ht="25.5">
      <c r="A4643" s="987">
        <f t="shared" si="73"/>
        <v>4569</v>
      </c>
      <c r="B4643" s="988">
        <v>36792</v>
      </c>
      <c r="C4643" s="899" t="s">
        <v>13969</v>
      </c>
      <c r="D4643" s="988" t="s">
        <v>2666</v>
      </c>
      <c r="E4643" s="989">
        <v>139.88999999999999</v>
      </c>
      <c r="F4643" s="990"/>
      <c r="G4643" s="990"/>
      <c r="H4643" s="990"/>
      <c r="I4643" s="990"/>
      <c r="J4643" s="990"/>
      <c r="K4643" s="990"/>
      <c r="L4643" s="990"/>
      <c r="M4643" s="990"/>
      <c r="N4643" s="990"/>
      <c r="O4643" s="990"/>
      <c r="P4643" s="990"/>
      <c r="Q4643" s="990"/>
      <c r="R4643" s="990"/>
      <c r="S4643" s="990"/>
      <c r="T4643" s="990"/>
      <c r="U4643" s="990"/>
      <c r="V4643" s="990"/>
      <c r="W4643" s="990"/>
      <c r="X4643" s="990"/>
    </row>
    <row r="4644" spans="1:24" s="896" customFormat="1" ht="25.5">
      <c r="A4644" s="987">
        <f t="shared" si="73"/>
        <v>4570</v>
      </c>
      <c r="B4644" s="988">
        <v>11773</v>
      </c>
      <c r="C4644" s="899" t="s">
        <v>13970</v>
      </c>
      <c r="D4644" s="988" t="s">
        <v>2666</v>
      </c>
      <c r="E4644" s="989">
        <v>93.12</v>
      </c>
      <c r="F4644" s="990"/>
      <c r="G4644" s="990"/>
      <c r="H4644" s="990"/>
      <c r="I4644" s="990"/>
      <c r="J4644" s="990"/>
      <c r="K4644" s="990"/>
      <c r="L4644" s="990"/>
      <c r="M4644" s="990"/>
      <c r="N4644" s="990"/>
      <c r="O4644" s="990"/>
      <c r="P4644" s="990"/>
      <c r="Q4644" s="990"/>
      <c r="R4644" s="990"/>
      <c r="S4644" s="990"/>
      <c r="T4644" s="990"/>
      <c r="U4644" s="990"/>
      <c r="V4644" s="990"/>
      <c r="W4644" s="990"/>
      <c r="X4644" s="990"/>
    </row>
    <row r="4645" spans="1:24" s="896" customFormat="1" ht="25.5">
      <c r="A4645" s="987">
        <f t="shared" si="73"/>
        <v>4571</v>
      </c>
      <c r="B4645" s="988">
        <v>11762</v>
      </c>
      <c r="C4645" s="899" t="s">
        <v>13971</v>
      </c>
      <c r="D4645" s="988" t="s">
        <v>2666</v>
      </c>
      <c r="E4645" s="989">
        <v>44.17</v>
      </c>
      <c r="F4645" s="990"/>
      <c r="G4645" s="990"/>
      <c r="H4645" s="990"/>
      <c r="I4645" s="990"/>
      <c r="J4645" s="990"/>
      <c r="K4645" s="990"/>
      <c r="L4645" s="990"/>
      <c r="M4645" s="990"/>
      <c r="N4645" s="990"/>
      <c r="O4645" s="990"/>
      <c r="P4645" s="990"/>
      <c r="Q4645" s="990"/>
      <c r="R4645" s="990"/>
      <c r="S4645" s="990"/>
      <c r="T4645" s="990"/>
      <c r="U4645" s="990"/>
      <c r="V4645" s="990"/>
      <c r="W4645" s="990"/>
      <c r="X4645" s="990"/>
    </row>
    <row r="4646" spans="1:24" s="896" customFormat="1" ht="25.5">
      <c r="A4646" s="987">
        <f t="shared" si="73"/>
        <v>4572</v>
      </c>
      <c r="B4646" s="988">
        <v>7604</v>
      </c>
      <c r="C4646" s="899" t="s">
        <v>13972</v>
      </c>
      <c r="D4646" s="988" t="s">
        <v>2666</v>
      </c>
      <c r="E4646" s="989">
        <v>37.4</v>
      </c>
      <c r="F4646" s="990"/>
      <c r="G4646" s="990"/>
      <c r="H4646" s="990"/>
      <c r="I4646" s="990"/>
      <c r="J4646" s="990"/>
      <c r="K4646" s="990"/>
      <c r="L4646" s="990"/>
      <c r="M4646" s="990"/>
      <c r="N4646" s="990"/>
      <c r="O4646" s="990"/>
      <c r="P4646" s="990"/>
      <c r="Q4646" s="990"/>
      <c r="R4646" s="990"/>
      <c r="S4646" s="990"/>
      <c r="T4646" s="990"/>
      <c r="U4646" s="990"/>
      <c r="V4646" s="990"/>
      <c r="W4646" s="990"/>
      <c r="X4646" s="990"/>
    </row>
    <row r="4647" spans="1:24" s="896" customFormat="1" ht="25.5">
      <c r="A4647" s="987">
        <f t="shared" si="73"/>
        <v>4573</v>
      </c>
      <c r="B4647" s="988">
        <v>13984</v>
      </c>
      <c r="C4647" s="899" t="s">
        <v>13973</v>
      </c>
      <c r="D4647" s="988" t="s">
        <v>2666</v>
      </c>
      <c r="E4647" s="989">
        <v>54.35</v>
      </c>
      <c r="F4647" s="990"/>
      <c r="G4647" s="990"/>
      <c r="H4647" s="990"/>
      <c r="I4647" s="990"/>
      <c r="J4647" s="990"/>
      <c r="K4647" s="990"/>
      <c r="L4647" s="990"/>
      <c r="M4647" s="990"/>
      <c r="N4647" s="990"/>
      <c r="O4647" s="990"/>
      <c r="P4647" s="990"/>
      <c r="Q4647" s="990"/>
      <c r="R4647" s="990"/>
      <c r="S4647" s="990"/>
      <c r="T4647" s="990"/>
      <c r="U4647" s="990"/>
      <c r="V4647" s="990"/>
      <c r="W4647" s="990"/>
      <c r="X4647" s="990"/>
    </row>
    <row r="4648" spans="1:24" s="896" customFormat="1" ht="25.5">
      <c r="A4648" s="987">
        <f t="shared" si="73"/>
        <v>4574</v>
      </c>
      <c r="B4648" s="988">
        <v>11772</v>
      </c>
      <c r="C4648" s="899" t="s">
        <v>13974</v>
      </c>
      <c r="D4648" s="988" t="s">
        <v>2666</v>
      </c>
      <c r="E4648" s="989">
        <v>93.41</v>
      </c>
      <c r="F4648" s="990"/>
      <c r="G4648" s="990"/>
      <c r="H4648" s="990"/>
      <c r="I4648" s="990"/>
      <c r="J4648" s="990"/>
      <c r="K4648" s="990"/>
      <c r="L4648" s="990"/>
      <c r="M4648" s="990"/>
      <c r="N4648" s="990"/>
      <c r="O4648" s="990"/>
      <c r="P4648" s="990"/>
      <c r="Q4648" s="990"/>
      <c r="R4648" s="990"/>
      <c r="S4648" s="990"/>
      <c r="T4648" s="990"/>
      <c r="U4648" s="990"/>
      <c r="V4648" s="990"/>
      <c r="W4648" s="990"/>
      <c r="X4648" s="990"/>
    </row>
    <row r="4649" spans="1:24" s="896" customFormat="1" ht="25.5">
      <c r="A4649" s="987">
        <f t="shared" si="73"/>
        <v>4575</v>
      </c>
      <c r="B4649" s="988">
        <v>13983</v>
      </c>
      <c r="C4649" s="899" t="s">
        <v>13975</v>
      </c>
      <c r="D4649" s="988" t="s">
        <v>2666</v>
      </c>
      <c r="E4649" s="989">
        <v>70.739999999999995</v>
      </c>
      <c r="F4649" s="990"/>
      <c r="G4649" s="990"/>
      <c r="H4649" s="990"/>
      <c r="I4649" s="990"/>
      <c r="J4649" s="990"/>
      <c r="K4649" s="990"/>
      <c r="L4649" s="990"/>
      <c r="M4649" s="990"/>
      <c r="N4649" s="990"/>
      <c r="O4649" s="990"/>
      <c r="P4649" s="990"/>
      <c r="Q4649" s="990"/>
      <c r="R4649" s="990"/>
      <c r="S4649" s="990"/>
      <c r="T4649" s="990"/>
      <c r="U4649" s="990"/>
      <c r="V4649" s="990"/>
      <c r="W4649" s="990"/>
      <c r="X4649" s="990"/>
    </row>
    <row r="4650" spans="1:24" s="896" customFormat="1" ht="25.5">
      <c r="A4650" s="987">
        <f t="shared" si="73"/>
        <v>4576</v>
      </c>
      <c r="B4650" s="988">
        <v>13416</v>
      </c>
      <c r="C4650" s="899" t="s">
        <v>13976</v>
      </c>
      <c r="D4650" s="988" t="s">
        <v>2666</v>
      </c>
      <c r="E4650" s="989">
        <v>62.83</v>
      </c>
      <c r="F4650" s="990"/>
      <c r="G4650" s="990"/>
      <c r="H4650" s="990"/>
      <c r="I4650" s="990"/>
      <c r="J4650" s="990"/>
      <c r="K4650" s="990"/>
      <c r="L4650" s="990"/>
      <c r="M4650" s="990"/>
      <c r="N4650" s="990"/>
      <c r="O4650" s="990"/>
      <c r="P4650" s="990"/>
      <c r="Q4650" s="990"/>
      <c r="R4650" s="990"/>
      <c r="S4650" s="990"/>
      <c r="T4650" s="990"/>
      <c r="U4650" s="990"/>
      <c r="V4650" s="990"/>
      <c r="W4650" s="990"/>
      <c r="X4650" s="990"/>
    </row>
    <row r="4651" spans="1:24" s="896" customFormat="1" ht="25.5">
      <c r="A4651" s="987">
        <f t="shared" si="73"/>
        <v>4577</v>
      </c>
      <c r="B4651" s="988">
        <v>40329</v>
      </c>
      <c r="C4651" s="899" t="s">
        <v>13977</v>
      </c>
      <c r="D4651" s="988" t="s">
        <v>2666</v>
      </c>
      <c r="E4651" s="989">
        <v>18</v>
      </c>
      <c r="F4651" s="990"/>
      <c r="G4651" s="990"/>
      <c r="H4651" s="990"/>
      <c r="I4651" s="990"/>
      <c r="J4651" s="990"/>
      <c r="K4651" s="990"/>
      <c r="L4651" s="990"/>
      <c r="M4651" s="990"/>
      <c r="N4651" s="990"/>
      <c r="O4651" s="990"/>
      <c r="P4651" s="990"/>
      <c r="Q4651" s="990"/>
      <c r="R4651" s="990"/>
      <c r="S4651" s="990"/>
      <c r="T4651" s="990"/>
      <c r="U4651" s="990"/>
      <c r="V4651" s="990"/>
      <c r="W4651" s="990"/>
      <c r="X4651" s="990"/>
    </row>
    <row r="4652" spans="1:24" s="896" customFormat="1" ht="25.5">
      <c r="A4652" s="987">
        <f t="shared" si="73"/>
        <v>4578</v>
      </c>
      <c r="B4652" s="988">
        <v>11823</v>
      </c>
      <c r="C4652" s="899" t="s">
        <v>13978</v>
      </c>
      <c r="D4652" s="988" t="s">
        <v>2666</v>
      </c>
      <c r="E4652" s="989">
        <v>7.58</v>
      </c>
      <c r="F4652" s="990"/>
      <c r="G4652" s="990"/>
      <c r="H4652" s="990"/>
      <c r="I4652" s="990"/>
      <c r="J4652" s="990"/>
      <c r="K4652" s="990"/>
      <c r="L4652" s="990"/>
      <c r="M4652" s="990"/>
      <c r="N4652" s="990"/>
      <c r="O4652" s="990"/>
      <c r="P4652" s="990"/>
      <c r="Q4652" s="990"/>
      <c r="R4652" s="990"/>
      <c r="S4652" s="990"/>
      <c r="T4652" s="990"/>
      <c r="U4652" s="990"/>
      <c r="V4652" s="990"/>
      <c r="W4652" s="990"/>
      <c r="X4652" s="990"/>
    </row>
    <row r="4653" spans="1:24" s="896" customFormat="1">
      <c r="A4653" s="987">
        <f t="shared" si="73"/>
        <v>4579</v>
      </c>
      <c r="B4653" s="988">
        <v>11822</v>
      </c>
      <c r="C4653" s="899" t="s">
        <v>13979</v>
      </c>
      <c r="D4653" s="988" t="s">
        <v>2666</v>
      </c>
      <c r="E4653" s="989">
        <v>32.229999999999997</v>
      </c>
      <c r="F4653" s="990"/>
      <c r="G4653" s="990"/>
      <c r="H4653" s="990"/>
      <c r="I4653" s="990"/>
      <c r="J4653" s="990"/>
      <c r="K4653" s="990"/>
      <c r="L4653" s="990"/>
      <c r="M4653" s="990"/>
      <c r="N4653" s="990"/>
      <c r="O4653" s="990"/>
      <c r="P4653" s="990"/>
      <c r="Q4653" s="990"/>
      <c r="R4653" s="990"/>
      <c r="S4653" s="990"/>
      <c r="T4653" s="990"/>
      <c r="U4653" s="990"/>
      <c r="V4653" s="990"/>
      <c r="W4653" s="990"/>
      <c r="X4653" s="990"/>
    </row>
    <row r="4654" spans="1:24" s="896" customFormat="1">
      <c r="A4654" s="987">
        <f t="shared" si="73"/>
        <v>4580</v>
      </c>
      <c r="B4654" s="988">
        <v>11831</v>
      </c>
      <c r="C4654" s="899" t="s">
        <v>13980</v>
      </c>
      <c r="D4654" s="988" t="s">
        <v>2666</v>
      </c>
      <c r="E4654" s="989">
        <v>24.48</v>
      </c>
      <c r="F4654" s="990"/>
      <c r="G4654" s="990"/>
      <c r="H4654" s="990"/>
      <c r="I4654" s="990"/>
      <c r="J4654" s="990"/>
      <c r="K4654" s="990"/>
      <c r="L4654" s="990"/>
      <c r="M4654" s="990"/>
      <c r="N4654" s="990"/>
      <c r="O4654" s="990"/>
      <c r="P4654" s="990"/>
      <c r="Q4654" s="990"/>
      <c r="R4654" s="990"/>
      <c r="S4654" s="990"/>
      <c r="T4654" s="990"/>
      <c r="U4654" s="990"/>
      <c r="V4654" s="990"/>
      <c r="W4654" s="990"/>
      <c r="X4654" s="990"/>
    </row>
    <row r="4655" spans="1:24" s="896" customFormat="1" ht="25.5">
      <c r="A4655" s="987">
        <f t="shared" si="73"/>
        <v>4581</v>
      </c>
      <c r="B4655" s="988">
        <v>7613</v>
      </c>
      <c r="C4655" s="899" t="s">
        <v>13981</v>
      </c>
      <c r="D4655" s="988" t="s">
        <v>2666</v>
      </c>
      <c r="E4655" s="989">
        <v>108474.49</v>
      </c>
      <c r="F4655" s="990"/>
      <c r="G4655" s="990"/>
      <c r="H4655" s="990"/>
      <c r="I4655" s="990"/>
      <c r="J4655" s="990"/>
      <c r="K4655" s="990"/>
      <c r="L4655" s="990"/>
      <c r="M4655" s="990"/>
      <c r="N4655" s="990"/>
      <c r="O4655" s="990"/>
      <c r="P4655" s="990"/>
      <c r="Q4655" s="990"/>
      <c r="R4655" s="990"/>
      <c r="S4655" s="990"/>
      <c r="T4655" s="990"/>
      <c r="U4655" s="990"/>
      <c r="V4655" s="990"/>
      <c r="W4655" s="990"/>
      <c r="X4655" s="990"/>
    </row>
    <row r="4656" spans="1:24" s="896" customFormat="1" ht="25.5">
      <c r="A4656" s="987">
        <f t="shared" si="73"/>
        <v>4582</v>
      </c>
      <c r="B4656" s="988">
        <v>7619</v>
      </c>
      <c r="C4656" s="899" t="s">
        <v>13982</v>
      </c>
      <c r="D4656" s="988" t="s">
        <v>2666</v>
      </c>
      <c r="E4656" s="989">
        <v>16767.830000000002</v>
      </c>
      <c r="F4656" s="990"/>
      <c r="G4656" s="990"/>
      <c r="H4656" s="990"/>
      <c r="I4656" s="990"/>
      <c r="J4656" s="990"/>
      <c r="K4656" s="990"/>
      <c r="L4656" s="990"/>
      <c r="M4656" s="990"/>
      <c r="N4656" s="990"/>
      <c r="O4656" s="990"/>
      <c r="P4656" s="990"/>
      <c r="Q4656" s="990"/>
      <c r="R4656" s="990"/>
      <c r="S4656" s="990"/>
      <c r="T4656" s="990"/>
      <c r="U4656" s="990"/>
      <c r="V4656" s="990"/>
      <c r="W4656" s="990"/>
      <c r="X4656" s="990"/>
    </row>
    <row r="4657" spans="1:24" s="896" customFormat="1" ht="25.5">
      <c r="A4657" s="987">
        <f t="shared" si="73"/>
        <v>4583</v>
      </c>
      <c r="B4657" s="988">
        <v>12076</v>
      </c>
      <c r="C4657" s="899" t="s">
        <v>13983</v>
      </c>
      <c r="D4657" s="988" t="s">
        <v>2666</v>
      </c>
      <c r="E4657" s="989">
        <v>7691.66</v>
      </c>
      <c r="F4657" s="990"/>
      <c r="G4657" s="990"/>
      <c r="H4657" s="990"/>
      <c r="I4657" s="990"/>
      <c r="J4657" s="990"/>
      <c r="K4657" s="990"/>
      <c r="L4657" s="990"/>
      <c r="M4657" s="990"/>
      <c r="N4657" s="990"/>
      <c r="O4657" s="990"/>
      <c r="P4657" s="990"/>
      <c r="Q4657" s="990"/>
      <c r="R4657" s="990"/>
      <c r="S4657" s="990"/>
      <c r="T4657" s="990"/>
      <c r="U4657" s="990"/>
      <c r="V4657" s="990"/>
      <c r="W4657" s="990"/>
      <c r="X4657" s="990"/>
    </row>
    <row r="4658" spans="1:24" s="896" customFormat="1" ht="25.5">
      <c r="A4658" s="987">
        <f t="shared" si="73"/>
        <v>4584</v>
      </c>
      <c r="B4658" s="988">
        <v>7614</v>
      </c>
      <c r="C4658" s="899" t="s">
        <v>13984</v>
      </c>
      <c r="D4658" s="988" t="s">
        <v>2666</v>
      </c>
      <c r="E4658" s="989">
        <v>21148.240000000002</v>
      </c>
      <c r="F4658" s="990"/>
      <c r="G4658" s="990"/>
      <c r="H4658" s="990"/>
      <c r="I4658" s="990"/>
      <c r="J4658" s="990"/>
      <c r="K4658" s="990"/>
      <c r="L4658" s="990"/>
      <c r="M4658" s="990"/>
      <c r="N4658" s="990"/>
      <c r="O4658" s="990"/>
      <c r="P4658" s="990"/>
      <c r="Q4658" s="990"/>
      <c r="R4658" s="990"/>
      <c r="S4658" s="990"/>
      <c r="T4658" s="990"/>
      <c r="U4658" s="990"/>
      <c r="V4658" s="990"/>
      <c r="W4658" s="990"/>
      <c r="X4658" s="990"/>
    </row>
    <row r="4659" spans="1:24" s="896" customFormat="1" ht="25.5">
      <c r="A4659" s="987">
        <f t="shared" si="73"/>
        <v>4585</v>
      </c>
      <c r="B4659" s="988">
        <v>7618</v>
      </c>
      <c r="C4659" s="899" t="s">
        <v>13985</v>
      </c>
      <c r="D4659" s="988" t="s">
        <v>2666</v>
      </c>
      <c r="E4659" s="989">
        <v>137162.21</v>
      </c>
      <c r="F4659" s="990"/>
      <c r="G4659" s="990"/>
      <c r="H4659" s="990"/>
      <c r="I4659" s="990"/>
      <c r="J4659" s="990"/>
      <c r="K4659" s="990"/>
      <c r="L4659" s="990"/>
      <c r="M4659" s="990"/>
      <c r="N4659" s="990"/>
      <c r="O4659" s="990"/>
      <c r="P4659" s="990"/>
      <c r="Q4659" s="990"/>
      <c r="R4659" s="990"/>
      <c r="S4659" s="990"/>
      <c r="T4659" s="990"/>
      <c r="U4659" s="990"/>
      <c r="V4659" s="990"/>
      <c r="W4659" s="990"/>
      <c r="X4659" s="990"/>
    </row>
    <row r="4660" spans="1:24" s="896" customFormat="1" ht="25.5">
      <c r="A4660" s="987">
        <f t="shared" si="73"/>
        <v>4586</v>
      </c>
      <c r="B4660" s="988">
        <v>7620</v>
      </c>
      <c r="C4660" s="899" t="s">
        <v>13986</v>
      </c>
      <c r="D4660" s="988" t="s">
        <v>2666</v>
      </c>
      <c r="E4660" s="989">
        <v>29667.86</v>
      </c>
      <c r="F4660" s="990"/>
      <c r="G4660" s="990"/>
      <c r="H4660" s="990"/>
      <c r="I4660" s="990"/>
      <c r="J4660" s="990"/>
      <c r="K4660" s="990"/>
      <c r="L4660" s="990"/>
      <c r="M4660" s="990"/>
      <c r="N4660" s="990"/>
      <c r="O4660" s="990"/>
      <c r="P4660" s="990"/>
      <c r="Q4660" s="990"/>
      <c r="R4660" s="990"/>
      <c r="S4660" s="990"/>
      <c r="T4660" s="990"/>
      <c r="U4660" s="990"/>
      <c r="V4660" s="990"/>
      <c r="W4660" s="990"/>
      <c r="X4660" s="990"/>
    </row>
    <row r="4661" spans="1:24" s="896" customFormat="1" ht="25.5">
      <c r="A4661" s="987">
        <f t="shared" si="73"/>
        <v>4587</v>
      </c>
      <c r="B4661" s="988">
        <v>7610</v>
      </c>
      <c r="C4661" s="899" t="s">
        <v>13987</v>
      </c>
      <c r="D4661" s="988" t="s">
        <v>2666</v>
      </c>
      <c r="E4661" s="989">
        <v>9394.82</v>
      </c>
      <c r="F4661" s="990"/>
      <c r="G4661" s="990"/>
      <c r="H4661" s="990"/>
      <c r="I4661" s="990"/>
      <c r="J4661" s="990"/>
      <c r="K4661" s="990"/>
      <c r="L4661" s="990"/>
      <c r="M4661" s="990"/>
      <c r="N4661" s="990"/>
      <c r="O4661" s="990"/>
      <c r="P4661" s="990"/>
      <c r="Q4661" s="990"/>
      <c r="R4661" s="990"/>
      <c r="S4661" s="990"/>
      <c r="T4661" s="990"/>
      <c r="U4661" s="990"/>
      <c r="V4661" s="990"/>
      <c r="W4661" s="990"/>
      <c r="X4661" s="990"/>
    </row>
    <row r="4662" spans="1:24" s="896" customFormat="1" ht="25.5">
      <c r="A4662" s="987">
        <f t="shared" si="73"/>
        <v>4588</v>
      </c>
      <c r="B4662" s="988">
        <v>7615</v>
      </c>
      <c r="C4662" s="899" t="s">
        <v>13988</v>
      </c>
      <c r="D4662" s="988" t="s">
        <v>2666</v>
      </c>
      <c r="E4662" s="989">
        <v>34612.5</v>
      </c>
      <c r="F4662" s="990"/>
      <c r="G4662" s="990"/>
      <c r="H4662" s="990"/>
      <c r="I4662" s="990"/>
      <c r="J4662" s="990"/>
      <c r="K4662" s="990"/>
      <c r="L4662" s="990"/>
      <c r="M4662" s="990"/>
      <c r="N4662" s="990"/>
      <c r="O4662" s="990"/>
      <c r="P4662" s="990"/>
      <c r="Q4662" s="990"/>
      <c r="R4662" s="990"/>
      <c r="S4662" s="990"/>
      <c r="T4662" s="990"/>
      <c r="U4662" s="990"/>
      <c r="V4662" s="990"/>
      <c r="W4662" s="990"/>
      <c r="X4662" s="990"/>
    </row>
    <row r="4663" spans="1:24" s="896" customFormat="1" ht="25.5">
      <c r="A4663" s="987">
        <f t="shared" si="73"/>
        <v>4589</v>
      </c>
      <c r="B4663" s="988">
        <v>7617</v>
      </c>
      <c r="C4663" s="899" t="s">
        <v>13989</v>
      </c>
      <c r="D4663" s="988" t="s">
        <v>2666</v>
      </c>
      <c r="E4663" s="989">
        <v>10493.63</v>
      </c>
      <c r="F4663" s="990"/>
      <c r="G4663" s="990"/>
      <c r="H4663" s="990"/>
      <c r="I4663" s="990"/>
      <c r="J4663" s="990"/>
      <c r="K4663" s="990"/>
      <c r="L4663" s="990"/>
      <c r="M4663" s="990"/>
      <c r="N4663" s="990"/>
      <c r="O4663" s="990"/>
      <c r="P4663" s="990"/>
      <c r="Q4663" s="990"/>
      <c r="R4663" s="990"/>
      <c r="S4663" s="990"/>
      <c r="T4663" s="990"/>
      <c r="U4663" s="990"/>
      <c r="V4663" s="990"/>
      <c r="W4663" s="990"/>
      <c r="X4663" s="990"/>
    </row>
    <row r="4664" spans="1:24" s="896" customFormat="1" ht="25.5">
      <c r="A4664" s="987">
        <f t="shared" si="73"/>
        <v>4590</v>
      </c>
      <c r="B4664" s="988">
        <v>7616</v>
      </c>
      <c r="C4664" s="899" t="s">
        <v>13990</v>
      </c>
      <c r="D4664" s="988" t="s">
        <v>2666</v>
      </c>
      <c r="E4664" s="989">
        <v>56482.11</v>
      </c>
      <c r="F4664" s="990"/>
      <c r="G4664" s="990"/>
      <c r="H4664" s="990"/>
      <c r="I4664" s="990"/>
      <c r="J4664" s="990"/>
      <c r="K4664" s="990"/>
      <c r="L4664" s="990"/>
      <c r="M4664" s="990"/>
      <c r="N4664" s="990"/>
      <c r="O4664" s="990"/>
      <c r="P4664" s="990"/>
      <c r="Q4664" s="990"/>
      <c r="R4664" s="990"/>
      <c r="S4664" s="990"/>
      <c r="T4664" s="990"/>
      <c r="U4664" s="990"/>
      <c r="V4664" s="990"/>
      <c r="W4664" s="990"/>
      <c r="X4664" s="990"/>
    </row>
    <row r="4665" spans="1:24" s="896" customFormat="1" ht="25.5">
      <c r="A4665" s="987">
        <f t="shared" si="73"/>
        <v>4591</v>
      </c>
      <c r="B4665" s="988">
        <v>7611</v>
      </c>
      <c r="C4665" s="899" t="s">
        <v>13991</v>
      </c>
      <c r="D4665" s="988" t="s">
        <v>2666</v>
      </c>
      <c r="E4665" s="989">
        <v>13570.3</v>
      </c>
      <c r="F4665" s="990"/>
      <c r="G4665" s="990"/>
      <c r="H4665" s="990"/>
      <c r="I4665" s="990"/>
      <c r="J4665" s="990"/>
      <c r="K4665" s="990"/>
      <c r="L4665" s="990"/>
      <c r="M4665" s="990"/>
      <c r="N4665" s="990"/>
      <c r="O4665" s="990"/>
      <c r="P4665" s="990"/>
      <c r="Q4665" s="990"/>
      <c r="R4665" s="990"/>
      <c r="S4665" s="990"/>
      <c r="T4665" s="990"/>
      <c r="U4665" s="990"/>
      <c r="V4665" s="990"/>
      <c r="W4665" s="990"/>
      <c r="X4665" s="990"/>
    </row>
    <row r="4666" spans="1:24" s="896" customFormat="1" ht="25.5">
      <c r="A4666" s="987">
        <f t="shared" si="73"/>
        <v>4592</v>
      </c>
      <c r="B4666" s="988">
        <v>7612</v>
      </c>
      <c r="C4666" s="899" t="s">
        <v>13992</v>
      </c>
      <c r="D4666" s="988" t="s">
        <v>2666</v>
      </c>
      <c r="E4666" s="989">
        <v>77474.87</v>
      </c>
      <c r="F4666" s="990"/>
      <c r="G4666" s="990"/>
      <c r="H4666" s="990"/>
      <c r="I4666" s="990"/>
      <c r="J4666" s="990"/>
      <c r="K4666" s="990"/>
      <c r="L4666" s="990"/>
      <c r="M4666" s="990"/>
      <c r="N4666" s="990"/>
      <c r="O4666" s="990"/>
      <c r="P4666" s="990"/>
      <c r="Q4666" s="990"/>
      <c r="R4666" s="990"/>
      <c r="S4666" s="990"/>
      <c r="T4666" s="990"/>
      <c r="U4666" s="990"/>
      <c r="V4666" s="990"/>
      <c r="W4666" s="990"/>
      <c r="X4666" s="990"/>
    </row>
    <row r="4667" spans="1:24" s="896" customFormat="1">
      <c r="A4667" s="987">
        <f t="shared" si="73"/>
        <v>4593</v>
      </c>
      <c r="B4667" s="988">
        <v>37371</v>
      </c>
      <c r="C4667" s="899" t="s">
        <v>13993</v>
      </c>
      <c r="D4667" s="988" t="s">
        <v>2665</v>
      </c>
      <c r="E4667" s="989">
        <v>0.66</v>
      </c>
      <c r="F4667" s="990"/>
      <c r="G4667" s="990"/>
      <c r="H4667" s="990"/>
      <c r="I4667" s="990"/>
      <c r="J4667" s="990"/>
      <c r="K4667" s="990"/>
      <c r="L4667" s="990"/>
      <c r="M4667" s="990"/>
      <c r="N4667" s="990"/>
      <c r="O4667" s="990"/>
      <c r="P4667" s="990"/>
      <c r="Q4667" s="990"/>
      <c r="R4667" s="990"/>
      <c r="S4667" s="990"/>
      <c r="T4667" s="990"/>
      <c r="U4667" s="990"/>
      <c r="V4667" s="990"/>
      <c r="W4667" s="990"/>
      <c r="X4667" s="990"/>
    </row>
    <row r="4668" spans="1:24" s="896" customFormat="1">
      <c r="A4668" s="987">
        <f t="shared" si="73"/>
        <v>4594</v>
      </c>
      <c r="B4668" s="988">
        <v>40861</v>
      </c>
      <c r="C4668" s="899" t="s">
        <v>13994</v>
      </c>
      <c r="D4668" s="988" t="s">
        <v>2672</v>
      </c>
      <c r="E4668" s="989">
        <v>124.09</v>
      </c>
      <c r="F4668" s="990"/>
      <c r="G4668" s="990"/>
      <c r="H4668" s="990"/>
      <c r="I4668" s="990"/>
      <c r="J4668" s="990"/>
      <c r="K4668" s="990"/>
      <c r="L4668" s="990"/>
      <c r="M4668" s="990"/>
      <c r="N4668" s="990"/>
      <c r="O4668" s="990"/>
      <c r="P4668" s="990"/>
      <c r="Q4668" s="990"/>
      <c r="R4668" s="990"/>
      <c r="S4668" s="990"/>
      <c r="T4668" s="990"/>
      <c r="U4668" s="990"/>
      <c r="V4668" s="990"/>
      <c r="W4668" s="990"/>
      <c r="X4668" s="990"/>
    </row>
    <row r="4669" spans="1:24" s="896" customFormat="1" ht="25.5">
      <c r="A4669" s="987">
        <f t="shared" si="73"/>
        <v>4595</v>
      </c>
      <c r="B4669" s="988">
        <v>36510</v>
      </c>
      <c r="C4669" s="899" t="s">
        <v>13995</v>
      </c>
      <c r="D4669" s="988" t="s">
        <v>2666</v>
      </c>
      <c r="E4669" s="989">
        <v>993883.75</v>
      </c>
      <c r="F4669" s="990"/>
      <c r="G4669" s="990"/>
      <c r="H4669" s="990"/>
      <c r="I4669" s="990"/>
      <c r="J4669" s="990"/>
      <c r="K4669" s="990"/>
      <c r="L4669" s="990"/>
      <c r="M4669" s="990"/>
      <c r="N4669" s="990"/>
      <c r="O4669" s="990"/>
      <c r="P4669" s="990"/>
      <c r="Q4669" s="990"/>
      <c r="R4669" s="990"/>
      <c r="S4669" s="990"/>
      <c r="T4669" s="990"/>
      <c r="U4669" s="990"/>
      <c r="V4669" s="990"/>
      <c r="W4669" s="990"/>
      <c r="X4669" s="990"/>
    </row>
    <row r="4670" spans="1:24" s="896" customFormat="1" ht="25.5">
      <c r="A4670" s="987">
        <f t="shared" si="73"/>
        <v>4596</v>
      </c>
      <c r="B4670" s="988">
        <v>25020</v>
      </c>
      <c r="C4670" s="899" t="s">
        <v>13996</v>
      </c>
      <c r="D4670" s="988" t="s">
        <v>2666</v>
      </c>
      <c r="E4670" s="989">
        <v>4094451.37</v>
      </c>
      <c r="F4670" s="990"/>
      <c r="G4670" s="990"/>
      <c r="H4670" s="990"/>
      <c r="I4670" s="990"/>
      <c r="J4670" s="990"/>
      <c r="K4670" s="990"/>
      <c r="L4670" s="990"/>
      <c r="M4670" s="990"/>
      <c r="N4670" s="990"/>
      <c r="O4670" s="990"/>
      <c r="P4670" s="990"/>
      <c r="Q4670" s="990"/>
      <c r="R4670" s="990"/>
      <c r="S4670" s="990"/>
      <c r="T4670" s="990"/>
      <c r="U4670" s="990"/>
      <c r="V4670" s="990"/>
      <c r="W4670" s="990"/>
      <c r="X4670" s="990"/>
    </row>
    <row r="4671" spans="1:24" s="896" customFormat="1" ht="25.5">
      <c r="A4671" s="987">
        <f t="shared" si="73"/>
        <v>4597</v>
      </c>
      <c r="B4671" s="988">
        <v>7622</v>
      </c>
      <c r="C4671" s="899" t="s">
        <v>13997</v>
      </c>
      <c r="D4671" s="988" t="s">
        <v>2666</v>
      </c>
      <c r="E4671" s="989">
        <v>964212.5</v>
      </c>
      <c r="F4671" s="990"/>
      <c r="G4671" s="990"/>
      <c r="H4671" s="990"/>
      <c r="I4671" s="990"/>
      <c r="J4671" s="990"/>
      <c r="K4671" s="990"/>
      <c r="L4671" s="990"/>
      <c r="M4671" s="990"/>
      <c r="N4671" s="990"/>
      <c r="O4671" s="990"/>
      <c r="P4671" s="990"/>
      <c r="Q4671" s="990"/>
      <c r="R4671" s="990"/>
      <c r="S4671" s="990"/>
      <c r="T4671" s="990"/>
      <c r="U4671" s="990"/>
      <c r="V4671" s="990"/>
      <c r="W4671" s="990"/>
      <c r="X4671" s="990"/>
    </row>
    <row r="4672" spans="1:24" s="896" customFormat="1" ht="25.5">
      <c r="A4672" s="987">
        <f t="shared" si="73"/>
        <v>4598</v>
      </c>
      <c r="B4672" s="988">
        <v>7624</v>
      </c>
      <c r="C4672" s="899" t="s">
        <v>13998</v>
      </c>
      <c r="D4672" s="988" t="s">
        <v>2666</v>
      </c>
      <c r="E4672" s="989">
        <v>1250000</v>
      </c>
      <c r="F4672" s="990"/>
      <c r="G4672" s="990"/>
      <c r="H4672" s="990"/>
      <c r="I4672" s="990"/>
      <c r="J4672" s="990"/>
      <c r="K4672" s="990"/>
      <c r="L4672" s="990"/>
      <c r="M4672" s="990"/>
      <c r="N4672" s="990"/>
      <c r="O4672" s="990"/>
      <c r="P4672" s="990"/>
      <c r="Q4672" s="990"/>
      <c r="R4672" s="990"/>
      <c r="S4672" s="990"/>
      <c r="T4672" s="990"/>
      <c r="U4672" s="990"/>
      <c r="V4672" s="990"/>
      <c r="W4672" s="990"/>
      <c r="X4672" s="990"/>
    </row>
    <row r="4673" spans="1:24" s="896" customFormat="1" ht="25.5">
      <c r="A4673" s="987">
        <f t="shared" si="73"/>
        <v>4599</v>
      </c>
      <c r="B4673" s="988">
        <v>7625</v>
      </c>
      <c r="C4673" s="899" t="s">
        <v>13999</v>
      </c>
      <c r="D4673" s="988" t="s">
        <v>2666</v>
      </c>
      <c r="E4673" s="989">
        <v>1242354.6200000001</v>
      </c>
      <c r="F4673" s="990"/>
      <c r="G4673" s="990"/>
      <c r="H4673" s="990"/>
      <c r="I4673" s="990"/>
      <c r="J4673" s="990"/>
      <c r="K4673" s="990"/>
      <c r="L4673" s="990"/>
      <c r="M4673" s="990"/>
      <c r="N4673" s="990"/>
      <c r="O4673" s="990"/>
      <c r="P4673" s="990"/>
      <c r="Q4673" s="990"/>
      <c r="R4673" s="990"/>
      <c r="S4673" s="990"/>
      <c r="T4673" s="990"/>
      <c r="U4673" s="990"/>
      <c r="V4673" s="990"/>
      <c r="W4673" s="990"/>
      <c r="X4673" s="990"/>
    </row>
    <row r="4674" spans="1:24" s="896" customFormat="1" ht="25.5">
      <c r="A4674" s="987">
        <f t="shared" si="73"/>
        <v>4600</v>
      </c>
      <c r="B4674" s="988">
        <v>7623</v>
      </c>
      <c r="C4674" s="899" t="s">
        <v>14000</v>
      </c>
      <c r="D4674" s="988" t="s">
        <v>2666</v>
      </c>
      <c r="E4674" s="989">
        <v>4094451.37</v>
      </c>
      <c r="F4674" s="990"/>
      <c r="G4674" s="990"/>
      <c r="H4674" s="990"/>
      <c r="I4674" s="990"/>
      <c r="J4674" s="990"/>
      <c r="K4674" s="990"/>
      <c r="L4674" s="990"/>
      <c r="M4674" s="990"/>
      <c r="N4674" s="990"/>
      <c r="O4674" s="990"/>
      <c r="P4674" s="990"/>
      <c r="Q4674" s="990"/>
      <c r="R4674" s="990"/>
      <c r="S4674" s="990"/>
      <c r="T4674" s="990"/>
      <c r="U4674" s="990"/>
      <c r="V4674" s="990"/>
      <c r="W4674" s="990"/>
      <c r="X4674" s="990"/>
    </row>
    <row r="4675" spans="1:24" s="896" customFormat="1" ht="25.5">
      <c r="A4675" s="987">
        <f t="shared" si="73"/>
        <v>4601</v>
      </c>
      <c r="B4675" s="988">
        <v>36508</v>
      </c>
      <c r="C4675" s="899" t="s">
        <v>14001</v>
      </c>
      <c r="D4675" s="988" t="s">
        <v>2666</v>
      </c>
      <c r="E4675" s="989">
        <v>1841437.25</v>
      </c>
      <c r="F4675" s="990"/>
      <c r="G4675" s="990"/>
      <c r="H4675" s="990"/>
      <c r="I4675" s="990"/>
      <c r="J4675" s="990"/>
      <c r="K4675" s="990"/>
      <c r="L4675" s="990"/>
      <c r="M4675" s="990"/>
      <c r="N4675" s="990"/>
      <c r="O4675" s="990"/>
      <c r="P4675" s="990"/>
      <c r="Q4675" s="990"/>
      <c r="R4675" s="990"/>
      <c r="S4675" s="990"/>
      <c r="T4675" s="990"/>
      <c r="U4675" s="990"/>
      <c r="V4675" s="990"/>
      <c r="W4675" s="990"/>
      <c r="X4675" s="990"/>
    </row>
    <row r="4676" spans="1:24" s="896" customFormat="1" ht="25.5">
      <c r="A4676" s="987">
        <f t="shared" si="73"/>
        <v>4602</v>
      </c>
      <c r="B4676" s="988">
        <v>36509</v>
      </c>
      <c r="C4676" s="899" t="s">
        <v>14002</v>
      </c>
      <c r="D4676" s="988" t="s">
        <v>2666</v>
      </c>
      <c r="E4676" s="989">
        <v>1009174.25</v>
      </c>
      <c r="F4676" s="990"/>
      <c r="G4676" s="990"/>
      <c r="H4676" s="990"/>
      <c r="I4676" s="990"/>
      <c r="J4676" s="990"/>
      <c r="K4676" s="990"/>
      <c r="L4676" s="990"/>
      <c r="M4676" s="990"/>
      <c r="N4676" s="990"/>
      <c r="O4676" s="990"/>
      <c r="P4676" s="990"/>
      <c r="Q4676" s="990"/>
      <c r="R4676" s="990"/>
      <c r="S4676" s="990"/>
      <c r="T4676" s="990"/>
      <c r="U4676" s="990"/>
      <c r="V4676" s="990"/>
      <c r="W4676" s="990"/>
      <c r="X4676" s="990"/>
    </row>
    <row r="4677" spans="1:24" s="896" customFormat="1" ht="25.5">
      <c r="A4677" s="987">
        <f t="shared" si="73"/>
        <v>4603</v>
      </c>
      <c r="B4677" s="988">
        <v>13238</v>
      </c>
      <c r="C4677" s="899" t="s">
        <v>14003</v>
      </c>
      <c r="D4677" s="988" t="s">
        <v>2666</v>
      </c>
      <c r="E4677" s="989">
        <v>309112.12</v>
      </c>
      <c r="F4677" s="990"/>
      <c r="G4677" s="990"/>
      <c r="H4677" s="990"/>
      <c r="I4677" s="990"/>
      <c r="J4677" s="990"/>
      <c r="K4677" s="990"/>
      <c r="L4677" s="990"/>
      <c r="M4677" s="990"/>
      <c r="N4677" s="990"/>
      <c r="O4677" s="990"/>
      <c r="P4677" s="990"/>
      <c r="Q4677" s="990"/>
      <c r="R4677" s="990"/>
      <c r="S4677" s="990"/>
      <c r="T4677" s="990"/>
      <c r="U4677" s="990"/>
      <c r="V4677" s="990"/>
      <c r="W4677" s="990"/>
      <c r="X4677" s="990"/>
    </row>
    <row r="4678" spans="1:24" s="896" customFormat="1" ht="25.5">
      <c r="A4678" s="987">
        <f t="shared" si="73"/>
        <v>4604</v>
      </c>
      <c r="B4678" s="988">
        <v>36511</v>
      </c>
      <c r="C4678" s="899" t="s">
        <v>14004</v>
      </c>
      <c r="D4678" s="988" t="s">
        <v>2666</v>
      </c>
      <c r="E4678" s="989">
        <v>358177.54</v>
      </c>
      <c r="F4678" s="990"/>
      <c r="G4678" s="990"/>
      <c r="H4678" s="990"/>
      <c r="I4678" s="990"/>
      <c r="J4678" s="990"/>
      <c r="K4678" s="990"/>
      <c r="L4678" s="990"/>
      <c r="M4678" s="990"/>
      <c r="N4678" s="990"/>
      <c r="O4678" s="990"/>
      <c r="P4678" s="990"/>
      <c r="Q4678" s="990"/>
      <c r="R4678" s="990"/>
      <c r="S4678" s="990"/>
      <c r="T4678" s="990"/>
      <c r="U4678" s="990"/>
      <c r="V4678" s="990"/>
      <c r="W4678" s="990"/>
      <c r="X4678" s="990"/>
    </row>
    <row r="4679" spans="1:24" s="896" customFormat="1">
      <c r="A4679" s="987">
        <f t="shared" si="73"/>
        <v>4605</v>
      </c>
      <c r="B4679" s="988">
        <v>36515</v>
      </c>
      <c r="C4679" s="899" t="s">
        <v>14005</v>
      </c>
      <c r="D4679" s="988" t="s">
        <v>2666</v>
      </c>
      <c r="E4679" s="989">
        <v>105490.63</v>
      </c>
      <c r="F4679" s="990"/>
      <c r="G4679" s="990"/>
      <c r="H4679" s="990"/>
      <c r="I4679" s="990"/>
      <c r="J4679" s="990"/>
      <c r="K4679" s="990"/>
      <c r="L4679" s="990"/>
      <c r="M4679" s="990"/>
      <c r="N4679" s="990"/>
      <c r="O4679" s="990"/>
      <c r="P4679" s="990"/>
      <c r="Q4679" s="990"/>
      <c r="R4679" s="990"/>
      <c r="S4679" s="990"/>
      <c r="T4679" s="990"/>
      <c r="U4679" s="990"/>
      <c r="V4679" s="990"/>
      <c r="W4679" s="990"/>
      <c r="X4679" s="990"/>
    </row>
    <row r="4680" spans="1:24" s="896" customFormat="1">
      <c r="A4680" s="987">
        <f t="shared" si="73"/>
        <v>4606</v>
      </c>
      <c r="B4680" s="988">
        <v>10598</v>
      </c>
      <c r="C4680" s="899" t="s">
        <v>14006</v>
      </c>
      <c r="D4680" s="988" t="s">
        <v>2666</v>
      </c>
      <c r="E4680" s="989">
        <v>171069.01</v>
      </c>
      <c r="F4680" s="990"/>
      <c r="G4680" s="990"/>
      <c r="H4680" s="990"/>
      <c r="I4680" s="990"/>
      <c r="J4680" s="990"/>
      <c r="K4680" s="990"/>
      <c r="L4680" s="990"/>
      <c r="M4680" s="990"/>
      <c r="N4680" s="990"/>
      <c r="O4680" s="990"/>
      <c r="P4680" s="990"/>
      <c r="Q4680" s="990"/>
      <c r="R4680" s="990"/>
      <c r="S4680" s="990"/>
      <c r="T4680" s="990"/>
      <c r="U4680" s="990"/>
      <c r="V4680" s="990"/>
      <c r="W4680" s="990"/>
      <c r="X4680" s="990"/>
    </row>
    <row r="4681" spans="1:24" s="896" customFormat="1">
      <c r="A4681" s="987">
        <f t="shared" si="73"/>
        <v>4607</v>
      </c>
      <c r="B4681" s="988">
        <v>7640</v>
      </c>
      <c r="C4681" s="899" t="s">
        <v>14007</v>
      </c>
      <c r="D4681" s="988" t="s">
        <v>2666</v>
      </c>
      <c r="E4681" s="989">
        <v>262500</v>
      </c>
      <c r="F4681" s="990"/>
      <c r="G4681" s="990"/>
      <c r="H4681" s="990"/>
      <c r="I4681" s="990"/>
      <c r="J4681" s="990"/>
      <c r="K4681" s="990"/>
      <c r="L4681" s="990"/>
      <c r="M4681" s="990"/>
      <c r="N4681" s="990"/>
      <c r="O4681" s="990"/>
      <c r="P4681" s="990"/>
      <c r="Q4681" s="990"/>
      <c r="R4681" s="990"/>
      <c r="S4681" s="990"/>
      <c r="T4681" s="990"/>
      <c r="U4681" s="990"/>
      <c r="V4681" s="990"/>
      <c r="W4681" s="990"/>
      <c r="X4681" s="990"/>
    </row>
    <row r="4682" spans="1:24" s="896" customFormat="1">
      <c r="A4682" s="987">
        <f t="shared" si="73"/>
        <v>4608</v>
      </c>
      <c r="B4682" s="988">
        <v>36513</v>
      </c>
      <c r="C4682" s="899" t="s">
        <v>14008</v>
      </c>
      <c r="D4682" s="988" t="s">
        <v>2666</v>
      </c>
      <c r="E4682" s="989">
        <v>252870.89</v>
      </c>
      <c r="F4682" s="990"/>
      <c r="G4682" s="990"/>
      <c r="H4682" s="990"/>
      <c r="I4682" s="990"/>
      <c r="J4682" s="990"/>
      <c r="K4682" s="990"/>
      <c r="L4682" s="990"/>
      <c r="M4682" s="990"/>
      <c r="N4682" s="990"/>
      <c r="O4682" s="990"/>
      <c r="P4682" s="990"/>
      <c r="Q4682" s="990"/>
      <c r="R4682" s="990"/>
      <c r="S4682" s="990"/>
      <c r="T4682" s="990"/>
      <c r="U4682" s="990"/>
      <c r="V4682" s="990"/>
      <c r="W4682" s="990"/>
      <c r="X4682" s="990"/>
    </row>
    <row r="4683" spans="1:24" s="896" customFormat="1">
      <c r="A4683" s="987">
        <f t="shared" si="73"/>
        <v>4609</v>
      </c>
      <c r="B4683" s="988">
        <v>36514</v>
      </c>
      <c r="C4683" s="899" t="s">
        <v>14009</v>
      </c>
      <c r="D4683" s="988" t="s">
        <v>2666</v>
      </c>
      <c r="E4683" s="989">
        <v>282126.15000000002</v>
      </c>
      <c r="F4683" s="990"/>
      <c r="G4683" s="990"/>
      <c r="H4683" s="990"/>
      <c r="I4683" s="990"/>
      <c r="J4683" s="990"/>
      <c r="K4683" s="990"/>
      <c r="L4683" s="990"/>
      <c r="M4683" s="990"/>
      <c r="N4683" s="990"/>
      <c r="O4683" s="990"/>
      <c r="P4683" s="990"/>
      <c r="Q4683" s="990"/>
      <c r="R4683" s="990"/>
      <c r="S4683" s="990"/>
      <c r="T4683" s="990"/>
      <c r="U4683" s="990"/>
      <c r="V4683" s="990"/>
      <c r="W4683" s="990"/>
      <c r="X4683" s="990"/>
    </row>
    <row r="4684" spans="1:24" s="896" customFormat="1">
      <c r="A4684" s="987">
        <f t="shared" ref="A4684:A4747" si="74">A4683+1</f>
        <v>4610</v>
      </c>
      <c r="B4684" s="988">
        <v>11572</v>
      </c>
      <c r="C4684" s="899" t="s">
        <v>14010</v>
      </c>
      <c r="D4684" s="988" t="s">
        <v>2666</v>
      </c>
      <c r="E4684" s="989">
        <v>31.13</v>
      </c>
      <c r="F4684" s="990"/>
      <c r="G4684" s="990"/>
      <c r="H4684" s="990"/>
      <c r="I4684" s="990"/>
      <c r="J4684" s="990"/>
      <c r="K4684" s="990"/>
      <c r="L4684" s="990"/>
      <c r="M4684" s="990"/>
      <c r="N4684" s="990"/>
      <c r="O4684" s="990"/>
      <c r="P4684" s="990"/>
      <c r="Q4684" s="990"/>
      <c r="R4684" s="990"/>
      <c r="S4684" s="990"/>
      <c r="T4684" s="990"/>
      <c r="U4684" s="990"/>
      <c r="V4684" s="990"/>
      <c r="W4684" s="990"/>
      <c r="X4684" s="990"/>
    </row>
    <row r="4685" spans="1:24" s="896" customFormat="1" ht="25.5">
      <c r="A4685" s="987">
        <f t="shared" si="74"/>
        <v>4611</v>
      </c>
      <c r="B4685" s="988">
        <v>36149</v>
      </c>
      <c r="C4685" s="899" t="s">
        <v>14011</v>
      </c>
      <c r="D4685" s="988" t="s">
        <v>2666</v>
      </c>
      <c r="E4685" s="989">
        <v>235</v>
      </c>
      <c r="F4685" s="990"/>
      <c r="G4685" s="990"/>
      <c r="H4685" s="990"/>
      <c r="I4685" s="990"/>
      <c r="J4685" s="990"/>
      <c r="K4685" s="990"/>
      <c r="L4685" s="990"/>
      <c r="M4685" s="990"/>
      <c r="N4685" s="990"/>
      <c r="O4685" s="990"/>
      <c r="P4685" s="990"/>
      <c r="Q4685" s="990"/>
      <c r="R4685" s="990"/>
      <c r="S4685" s="990"/>
      <c r="T4685" s="990"/>
      <c r="U4685" s="990"/>
      <c r="V4685" s="990"/>
      <c r="W4685" s="990"/>
      <c r="X4685" s="990"/>
    </row>
    <row r="4686" spans="1:24" s="896" customFormat="1" ht="25.5">
      <c r="A4686" s="987">
        <f t="shared" si="74"/>
        <v>4612</v>
      </c>
      <c r="B4686" s="988">
        <v>42407</v>
      </c>
      <c r="C4686" s="899" t="s">
        <v>14012</v>
      </c>
      <c r="D4686" s="988" t="s">
        <v>2669</v>
      </c>
      <c r="E4686" s="989">
        <v>8.58</v>
      </c>
      <c r="F4686" s="990"/>
      <c r="G4686" s="990"/>
      <c r="H4686" s="990"/>
      <c r="I4686" s="990"/>
      <c r="J4686" s="990"/>
      <c r="K4686" s="990"/>
      <c r="L4686" s="990"/>
      <c r="M4686" s="990"/>
      <c r="N4686" s="990"/>
      <c r="O4686" s="990"/>
      <c r="P4686" s="990"/>
      <c r="Q4686" s="990"/>
      <c r="R4686" s="990"/>
      <c r="S4686" s="990"/>
      <c r="T4686" s="990"/>
      <c r="U4686" s="990"/>
      <c r="V4686" s="990"/>
      <c r="W4686" s="990"/>
      <c r="X4686" s="990"/>
    </row>
    <row r="4687" spans="1:24" s="896" customFormat="1" ht="25.5">
      <c r="A4687" s="987">
        <f t="shared" si="74"/>
        <v>4613</v>
      </c>
      <c r="B4687" s="988">
        <v>11581</v>
      </c>
      <c r="C4687" s="899" t="s">
        <v>14013</v>
      </c>
      <c r="D4687" s="988" t="s">
        <v>2669</v>
      </c>
      <c r="E4687" s="989">
        <v>20.54</v>
      </c>
      <c r="F4687" s="990"/>
      <c r="G4687" s="990"/>
      <c r="H4687" s="990"/>
      <c r="I4687" s="990"/>
      <c r="J4687" s="990"/>
      <c r="K4687" s="990"/>
      <c r="L4687" s="990"/>
      <c r="M4687" s="990"/>
      <c r="N4687" s="990"/>
      <c r="O4687" s="990"/>
      <c r="P4687" s="990"/>
      <c r="Q4687" s="990"/>
      <c r="R4687" s="990"/>
      <c r="S4687" s="990"/>
      <c r="T4687" s="990"/>
      <c r="U4687" s="990"/>
      <c r="V4687" s="990"/>
      <c r="W4687" s="990"/>
      <c r="X4687" s="990"/>
    </row>
    <row r="4688" spans="1:24" s="896" customFormat="1" ht="25.5">
      <c r="A4688" s="987">
        <f t="shared" si="74"/>
        <v>4614</v>
      </c>
      <c r="B4688" s="988">
        <v>43605</v>
      </c>
      <c r="C4688" s="899" t="s">
        <v>14014</v>
      </c>
      <c r="D4688" s="988" t="s">
        <v>2669</v>
      </c>
      <c r="E4688" s="989">
        <v>42.04</v>
      </c>
      <c r="F4688" s="990"/>
      <c r="G4688" s="990"/>
      <c r="H4688" s="990"/>
      <c r="I4688" s="990"/>
      <c r="J4688" s="990"/>
      <c r="K4688" s="990"/>
      <c r="L4688" s="990"/>
      <c r="M4688" s="990"/>
      <c r="N4688" s="990"/>
      <c r="O4688" s="990"/>
      <c r="P4688" s="990"/>
      <c r="Q4688" s="990"/>
      <c r="R4688" s="990"/>
      <c r="S4688" s="990"/>
      <c r="T4688" s="990"/>
      <c r="U4688" s="990"/>
      <c r="V4688" s="990"/>
      <c r="W4688" s="990"/>
      <c r="X4688" s="990"/>
    </row>
    <row r="4689" spans="1:24" s="896" customFormat="1" ht="25.5">
      <c r="A4689" s="987">
        <f t="shared" si="74"/>
        <v>4615</v>
      </c>
      <c r="B4689" s="988">
        <v>11580</v>
      </c>
      <c r="C4689" s="899" t="s">
        <v>14015</v>
      </c>
      <c r="D4689" s="988" t="s">
        <v>2669</v>
      </c>
      <c r="E4689" s="989">
        <v>8.24</v>
      </c>
      <c r="F4689" s="990"/>
      <c r="G4689" s="990"/>
      <c r="H4689" s="990"/>
      <c r="I4689" s="990"/>
      <c r="J4689" s="990"/>
      <c r="K4689" s="990"/>
      <c r="L4689" s="990"/>
      <c r="M4689" s="990"/>
      <c r="N4689" s="990"/>
      <c r="O4689" s="990"/>
      <c r="P4689" s="990"/>
      <c r="Q4689" s="990"/>
      <c r="R4689" s="990"/>
      <c r="S4689" s="990"/>
      <c r="T4689" s="990"/>
      <c r="U4689" s="990"/>
      <c r="V4689" s="990"/>
      <c r="W4689" s="990"/>
      <c r="X4689" s="990"/>
    </row>
    <row r="4690" spans="1:24" s="896" customFormat="1">
      <c r="A4690" s="987">
        <f t="shared" si="74"/>
        <v>4616</v>
      </c>
      <c r="B4690" s="988">
        <v>10743</v>
      </c>
      <c r="C4690" s="899" t="s">
        <v>14016</v>
      </c>
      <c r="D4690" s="988" t="s">
        <v>2666</v>
      </c>
      <c r="E4690" s="989">
        <v>632.04999999999995</v>
      </c>
      <c r="F4690" s="990"/>
      <c r="G4690" s="990"/>
      <c r="H4690" s="990"/>
      <c r="I4690" s="990"/>
      <c r="J4690" s="990"/>
      <c r="K4690" s="990"/>
      <c r="L4690" s="990"/>
      <c r="M4690" s="990"/>
      <c r="N4690" s="990"/>
      <c r="O4690" s="990"/>
      <c r="P4690" s="990"/>
      <c r="Q4690" s="990"/>
      <c r="R4690" s="990"/>
      <c r="S4690" s="990"/>
      <c r="T4690" s="990"/>
      <c r="U4690" s="990"/>
      <c r="V4690" s="990"/>
      <c r="W4690" s="990"/>
      <c r="X4690" s="990"/>
    </row>
    <row r="4691" spans="1:24" s="896" customFormat="1" ht="25.5">
      <c r="A4691" s="987">
        <f t="shared" si="74"/>
        <v>4617</v>
      </c>
      <c r="B4691" s="988">
        <v>39848</v>
      </c>
      <c r="C4691" s="899" t="s">
        <v>14017</v>
      </c>
      <c r="D4691" s="988" t="s">
        <v>2669</v>
      </c>
      <c r="E4691" s="989">
        <v>2</v>
      </c>
      <c r="F4691" s="990"/>
      <c r="G4691" s="990"/>
      <c r="H4691" s="990"/>
      <c r="I4691" s="990"/>
      <c r="J4691" s="990"/>
      <c r="K4691" s="990"/>
      <c r="L4691" s="990"/>
      <c r="M4691" s="990"/>
      <c r="N4691" s="990"/>
      <c r="O4691" s="990"/>
      <c r="P4691" s="990"/>
      <c r="Q4691" s="990"/>
      <c r="R4691" s="990"/>
      <c r="S4691" s="990"/>
      <c r="T4691" s="990"/>
      <c r="U4691" s="990"/>
      <c r="V4691" s="990"/>
      <c r="W4691" s="990"/>
      <c r="X4691" s="990"/>
    </row>
    <row r="4692" spans="1:24" s="896" customFormat="1" ht="25.5">
      <c r="A4692" s="987">
        <f t="shared" si="74"/>
        <v>4618</v>
      </c>
      <c r="B4692" s="988">
        <v>20999</v>
      </c>
      <c r="C4692" s="899" t="s">
        <v>14018</v>
      </c>
      <c r="D4692" s="988" t="s">
        <v>2669</v>
      </c>
      <c r="E4692" s="989">
        <v>15.79</v>
      </c>
      <c r="F4692" s="990"/>
      <c r="G4692" s="990"/>
      <c r="H4692" s="990"/>
      <c r="I4692" s="990"/>
      <c r="J4692" s="990"/>
      <c r="K4692" s="990"/>
      <c r="L4692" s="990"/>
      <c r="M4692" s="990"/>
      <c r="N4692" s="990"/>
      <c r="O4692" s="990"/>
      <c r="P4692" s="990"/>
      <c r="Q4692" s="990"/>
      <c r="R4692" s="990"/>
      <c r="S4692" s="990"/>
      <c r="T4692" s="990"/>
      <c r="U4692" s="990"/>
      <c r="V4692" s="990"/>
      <c r="W4692" s="990"/>
      <c r="X4692" s="990"/>
    </row>
    <row r="4693" spans="1:24" s="896" customFormat="1" ht="25.5">
      <c r="A4693" s="987">
        <f t="shared" si="74"/>
        <v>4619</v>
      </c>
      <c r="B4693" s="988">
        <v>21001</v>
      </c>
      <c r="C4693" s="899" t="s">
        <v>14019</v>
      </c>
      <c r="D4693" s="988" t="s">
        <v>2669</v>
      </c>
      <c r="E4693" s="989">
        <v>29.47</v>
      </c>
      <c r="F4693" s="990"/>
      <c r="G4693" s="990"/>
      <c r="H4693" s="990"/>
      <c r="I4693" s="990"/>
      <c r="J4693" s="990"/>
      <c r="K4693" s="990"/>
      <c r="L4693" s="990"/>
      <c r="M4693" s="990"/>
      <c r="N4693" s="990"/>
      <c r="O4693" s="990"/>
      <c r="P4693" s="990"/>
      <c r="Q4693" s="990"/>
      <c r="R4693" s="990"/>
      <c r="S4693" s="990"/>
      <c r="T4693" s="990"/>
      <c r="U4693" s="990"/>
      <c r="V4693" s="990"/>
      <c r="W4693" s="990"/>
      <c r="X4693" s="990"/>
    </row>
    <row r="4694" spans="1:24" s="896" customFormat="1" ht="25.5">
      <c r="A4694" s="987">
        <f t="shared" si="74"/>
        <v>4620</v>
      </c>
      <c r="B4694" s="988">
        <v>21003</v>
      </c>
      <c r="C4694" s="899" t="s">
        <v>14020</v>
      </c>
      <c r="D4694" s="988" t="s">
        <v>2669</v>
      </c>
      <c r="E4694" s="989">
        <v>48.43</v>
      </c>
      <c r="F4694" s="990"/>
      <c r="G4694" s="990"/>
      <c r="H4694" s="990"/>
      <c r="I4694" s="990"/>
      <c r="J4694" s="990"/>
      <c r="K4694" s="990"/>
      <c r="L4694" s="990"/>
      <c r="M4694" s="990"/>
      <c r="N4694" s="990"/>
      <c r="O4694" s="990"/>
      <c r="P4694" s="990"/>
      <c r="Q4694" s="990"/>
      <c r="R4694" s="990"/>
      <c r="S4694" s="990"/>
      <c r="T4694" s="990"/>
      <c r="U4694" s="990"/>
      <c r="V4694" s="990"/>
      <c r="W4694" s="990"/>
      <c r="X4694" s="990"/>
    </row>
    <row r="4695" spans="1:24" s="896" customFormat="1" ht="25.5">
      <c r="A4695" s="987">
        <f t="shared" si="74"/>
        <v>4621</v>
      </c>
      <c r="B4695" s="988">
        <v>21006</v>
      </c>
      <c r="C4695" s="899" t="s">
        <v>14021</v>
      </c>
      <c r="D4695" s="988" t="s">
        <v>2669</v>
      </c>
      <c r="E4695" s="989">
        <v>102.77</v>
      </c>
      <c r="F4695" s="990"/>
      <c r="G4695" s="990"/>
      <c r="H4695" s="990"/>
      <c r="I4695" s="990"/>
      <c r="J4695" s="990"/>
      <c r="K4695" s="990"/>
      <c r="L4695" s="990"/>
      <c r="M4695" s="990"/>
      <c r="N4695" s="990"/>
      <c r="O4695" s="990"/>
      <c r="P4695" s="990"/>
      <c r="Q4695" s="990"/>
      <c r="R4695" s="990"/>
      <c r="S4695" s="990"/>
      <c r="T4695" s="990"/>
      <c r="U4695" s="990"/>
      <c r="V4695" s="990"/>
      <c r="W4695" s="990"/>
      <c r="X4695" s="990"/>
    </row>
    <row r="4696" spans="1:24" s="896" customFormat="1" ht="25.5">
      <c r="A4696" s="987">
        <f t="shared" si="74"/>
        <v>4622</v>
      </c>
      <c r="B4696" s="988">
        <v>21019</v>
      </c>
      <c r="C4696" s="899" t="s">
        <v>14022</v>
      </c>
      <c r="D4696" s="988" t="s">
        <v>2669</v>
      </c>
      <c r="E4696" s="989">
        <v>35.72</v>
      </c>
      <c r="F4696" s="990"/>
      <c r="G4696" s="990"/>
      <c r="H4696" s="990"/>
      <c r="I4696" s="990"/>
      <c r="J4696" s="990"/>
      <c r="K4696" s="990"/>
      <c r="L4696" s="990"/>
      <c r="M4696" s="990"/>
      <c r="N4696" s="990"/>
      <c r="O4696" s="990"/>
      <c r="P4696" s="990"/>
      <c r="Q4696" s="990"/>
      <c r="R4696" s="990"/>
      <c r="S4696" s="990"/>
      <c r="T4696" s="990"/>
      <c r="U4696" s="990"/>
      <c r="V4696" s="990"/>
      <c r="W4696" s="990"/>
      <c r="X4696" s="990"/>
    </row>
    <row r="4697" spans="1:24" s="896" customFormat="1" ht="25.5">
      <c r="A4697" s="987">
        <f t="shared" si="74"/>
        <v>4623</v>
      </c>
      <c r="B4697" s="988">
        <v>21021</v>
      </c>
      <c r="C4697" s="899" t="s">
        <v>14023</v>
      </c>
      <c r="D4697" s="988" t="s">
        <v>2669</v>
      </c>
      <c r="E4697" s="989">
        <v>56.47</v>
      </c>
      <c r="F4697" s="990"/>
      <c r="G4697" s="990"/>
      <c r="H4697" s="990"/>
      <c r="I4697" s="990"/>
      <c r="J4697" s="990"/>
      <c r="K4697" s="990"/>
      <c r="L4697" s="990"/>
      <c r="M4697" s="990"/>
      <c r="N4697" s="990"/>
      <c r="O4697" s="990"/>
      <c r="P4697" s="990"/>
      <c r="Q4697" s="990"/>
      <c r="R4697" s="990"/>
      <c r="S4697" s="990"/>
      <c r="T4697" s="990"/>
      <c r="U4697" s="990"/>
      <c r="V4697" s="990"/>
      <c r="W4697" s="990"/>
      <c r="X4697" s="990"/>
    </row>
    <row r="4698" spans="1:24" s="896" customFormat="1" ht="25.5">
      <c r="A4698" s="987">
        <f t="shared" si="74"/>
        <v>4624</v>
      </c>
      <c r="B4698" s="988">
        <v>21024</v>
      </c>
      <c r="C4698" s="899" t="s">
        <v>14024</v>
      </c>
      <c r="D4698" s="988" t="s">
        <v>2669</v>
      </c>
      <c r="E4698" s="989">
        <v>121</v>
      </c>
      <c r="F4698" s="990"/>
      <c r="G4698" s="990"/>
      <c r="H4698" s="990"/>
      <c r="I4698" s="990"/>
      <c r="J4698" s="990"/>
      <c r="K4698" s="990"/>
      <c r="L4698" s="990"/>
      <c r="M4698" s="990"/>
      <c r="N4698" s="990"/>
      <c r="O4698" s="990"/>
      <c r="P4698" s="990"/>
      <c r="Q4698" s="990"/>
      <c r="R4698" s="990"/>
      <c r="S4698" s="990"/>
      <c r="T4698" s="990"/>
      <c r="U4698" s="990"/>
      <c r="V4698" s="990"/>
      <c r="W4698" s="990"/>
      <c r="X4698" s="990"/>
    </row>
    <row r="4699" spans="1:24" s="896" customFormat="1">
      <c r="A4699" s="987">
        <f t="shared" si="74"/>
        <v>4625</v>
      </c>
      <c r="B4699" s="988">
        <v>40624</v>
      </c>
      <c r="C4699" s="899" t="s">
        <v>14025</v>
      </c>
      <c r="D4699" s="988" t="s">
        <v>2669</v>
      </c>
      <c r="E4699" s="989">
        <v>87.26</v>
      </c>
      <c r="F4699" s="990"/>
      <c r="G4699" s="990"/>
      <c r="H4699" s="990"/>
      <c r="I4699" s="990"/>
      <c r="J4699" s="990"/>
      <c r="K4699" s="990"/>
      <c r="L4699" s="990"/>
      <c r="M4699" s="990"/>
      <c r="N4699" s="990"/>
      <c r="O4699" s="990"/>
      <c r="P4699" s="990"/>
      <c r="Q4699" s="990"/>
      <c r="R4699" s="990"/>
      <c r="S4699" s="990"/>
      <c r="T4699" s="990"/>
      <c r="U4699" s="990"/>
      <c r="V4699" s="990"/>
      <c r="W4699" s="990"/>
      <c r="X4699" s="990"/>
    </row>
    <row r="4700" spans="1:24" s="896" customFormat="1">
      <c r="A4700" s="987">
        <f t="shared" si="74"/>
        <v>4626</v>
      </c>
      <c r="B4700" s="988">
        <v>42575</v>
      </c>
      <c r="C4700" s="899" t="s">
        <v>14026</v>
      </c>
      <c r="D4700" s="988" t="s">
        <v>2669</v>
      </c>
      <c r="E4700" s="989">
        <v>80.069999999999993</v>
      </c>
      <c r="F4700" s="990"/>
      <c r="G4700" s="990"/>
      <c r="H4700" s="990"/>
      <c r="I4700" s="990"/>
      <c r="J4700" s="990"/>
      <c r="K4700" s="990"/>
      <c r="L4700" s="990"/>
      <c r="M4700" s="990"/>
      <c r="N4700" s="990"/>
      <c r="O4700" s="990"/>
      <c r="P4700" s="990"/>
      <c r="Q4700" s="990"/>
      <c r="R4700" s="990"/>
      <c r="S4700" s="990"/>
      <c r="T4700" s="990"/>
      <c r="U4700" s="990"/>
      <c r="V4700" s="990"/>
      <c r="W4700" s="990"/>
      <c r="X4700" s="990"/>
    </row>
    <row r="4701" spans="1:24" s="896" customFormat="1">
      <c r="A4701" s="987">
        <f t="shared" si="74"/>
        <v>4627</v>
      </c>
      <c r="B4701" s="988">
        <v>13127</v>
      </c>
      <c r="C4701" s="899" t="s">
        <v>14027</v>
      </c>
      <c r="D4701" s="988" t="s">
        <v>2669</v>
      </c>
      <c r="E4701" s="989">
        <v>38.92</v>
      </c>
      <c r="F4701" s="990"/>
      <c r="G4701" s="990"/>
      <c r="H4701" s="990"/>
      <c r="I4701" s="990"/>
      <c r="J4701" s="990"/>
      <c r="K4701" s="990"/>
      <c r="L4701" s="990"/>
      <c r="M4701" s="990"/>
      <c r="N4701" s="990"/>
      <c r="O4701" s="990"/>
      <c r="P4701" s="990"/>
      <c r="Q4701" s="990"/>
      <c r="R4701" s="990"/>
      <c r="S4701" s="990"/>
      <c r="T4701" s="990"/>
      <c r="U4701" s="990"/>
      <c r="V4701" s="990"/>
      <c r="W4701" s="990"/>
      <c r="X4701" s="990"/>
    </row>
    <row r="4702" spans="1:24" s="896" customFormat="1">
      <c r="A4702" s="987">
        <f t="shared" si="74"/>
        <v>4628</v>
      </c>
      <c r="B4702" s="988">
        <v>13137</v>
      </c>
      <c r="C4702" s="899" t="s">
        <v>14028</v>
      </c>
      <c r="D4702" s="988" t="s">
        <v>2669</v>
      </c>
      <c r="E4702" s="989">
        <v>51.65</v>
      </c>
      <c r="F4702" s="990"/>
      <c r="G4702" s="990"/>
      <c r="H4702" s="990"/>
      <c r="I4702" s="990"/>
      <c r="J4702" s="990"/>
      <c r="K4702" s="990"/>
      <c r="L4702" s="990"/>
      <c r="M4702" s="990"/>
      <c r="N4702" s="990"/>
      <c r="O4702" s="990"/>
      <c r="P4702" s="990"/>
      <c r="Q4702" s="990"/>
      <c r="R4702" s="990"/>
      <c r="S4702" s="990"/>
      <c r="T4702" s="990"/>
      <c r="U4702" s="990"/>
      <c r="V4702" s="990"/>
      <c r="W4702" s="990"/>
      <c r="X4702" s="990"/>
    </row>
    <row r="4703" spans="1:24" s="896" customFormat="1">
      <c r="A4703" s="987">
        <f t="shared" si="74"/>
        <v>4629</v>
      </c>
      <c r="B4703" s="988">
        <v>42574</v>
      </c>
      <c r="C4703" s="899" t="s">
        <v>14029</v>
      </c>
      <c r="D4703" s="988" t="s">
        <v>2669</v>
      </c>
      <c r="E4703" s="989">
        <v>59.75</v>
      </c>
      <c r="F4703" s="990"/>
      <c r="G4703" s="990"/>
      <c r="H4703" s="990"/>
      <c r="I4703" s="990"/>
      <c r="J4703" s="990"/>
      <c r="K4703" s="990"/>
      <c r="L4703" s="990"/>
      <c r="M4703" s="990"/>
      <c r="N4703" s="990"/>
      <c r="O4703" s="990"/>
      <c r="P4703" s="990"/>
      <c r="Q4703" s="990"/>
      <c r="R4703" s="990"/>
      <c r="S4703" s="990"/>
      <c r="T4703" s="990"/>
      <c r="U4703" s="990"/>
      <c r="V4703" s="990"/>
      <c r="W4703" s="990"/>
      <c r="X4703" s="990"/>
    </row>
    <row r="4704" spans="1:24" s="896" customFormat="1">
      <c r="A4704" s="987">
        <f t="shared" si="74"/>
        <v>4630</v>
      </c>
      <c r="B4704" s="988">
        <v>20989</v>
      </c>
      <c r="C4704" s="899" t="s">
        <v>14030</v>
      </c>
      <c r="D4704" s="988" t="s">
        <v>2669</v>
      </c>
      <c r="E4704" s="989">
        <v>1850.37</v>
      </c>
      <c r="F4704" s="990"/>
      <c r="G4704" s="990"/>
      <c r="H4704" s="990"/>
      <c r="I4704" s="990"/>
      <c r="J4704" s="990"/>
      <c r="K4704" s="990"/>
      <c r="L4704" s="990"/>
      <c r="M4704" s="990"/>
      <c r="N4704" s="990"/>
      <c r="O4704" s="990"/>
      <c r="P4704" s="990"/>
      <c r="Q4704" s="990"/>
      <c r="R4704" s="990"/>
      <c r="S4704" s="990"/>
      <c r="T4704" s="990"/>
      <c r="U4704" s="990"/>
      <c r="V4704" s="990"/>
      <c r="W4704" s="990"/>
      <c r="X4704" s="990"/>
    </row>
    <row r="4705" spans="1:24" s="896" customFormat="1">
      <c r="A4705" s="987">
        <f t="shared" si="74"/>
        <v>4631</v>
      </c>
      <c r="B4705" s="988">
        <v>21147</v>
      </c>
      <c r="C4705" s="899" t="s">
        <v>14031</v>
      </c>
      <c r="D4705" s="988" t="s">
        <v>2669</v>
      </c>
      <c r="E4705" s="989">
        <v>173.49</v>
      </c>
      <c r="F4705" s="990"/>
      <c r="G4705" s="990"/>
      <c r="H4705" s="990"/>
      <c r="I4705" s="990"/>
      <c r="J4705" s="990"/>
      <c r="K4705" s="990"/>
      <c r="L4705" s="990"/>
      <c r="M4705" s="990"/>
      <c r="N4705" s="990"/>
      <c r="O4705" s="990"/>
      <c r="P4705" s="990"/>
      <c r="Q4705" s="990"/>
      <c r="R4705" s="990"/>
      <c r="S4705" s="990"/>
      <c r="T4705" s="990"/>
      <c r="U4705" s="990"/>
      <c r="V4705" s="990"/>
      <c r="W4705" s="990"/>
      <c r="X4705" s="990"/>
    </row>
    <row r="4706" spans="1:24" s="896" customFormat="1">
      <c r="A4706" s="987">
        <f t="shared" si="74"/>
        <v>4632</v>
      </c>
      <c r="B4706" s="988">
        <v>21148</v>
      </c>
      <c r="C4706" s="899" t="s">
        <v>14032</v>
      </c>
      <c r="D4706" s="988" t="s">
        <v>2669</v>
      </c>
      <c r="E4706" s="989">
        <v>107.08</v>
      </c>
      <c r="F4706" s="990"/>
      <c r="G4706" s="990"/>
      <c r="H4706" s="990"/>
      <c r="I4706" s="990"/>
      <c r="J4706" s="990"/>
      <c r="K4706" s="990"/>
      <c r="L4706" s="990"/>
      <c r="M4706" s="990"/>
      <c r="N4706" s="990"/>
      <c r="O4706" s="990"/>
      <c r="P4706" s="990"/>
      <c r="Q4706" s="990"/>
      <c r="R4706" s="990"/>
      <c r="S4706" s="990"/>
      <c r="T4706" s="990"/>
      <c r="U4706" s="990"/>
      <c r="V4706" s="990"/>
      <c r="W4706" s="990"/>
      <c r="X4706" s="990"/>
    </row>
    <row r="4707" spans="1:24" s="896" customFormat="1">
      <c r="A4707" s="987">
        <f t="shared" si="74"/>
        <v>4633</v>
      </c>
      <c r="B4707" s="988">
        <v>20984</v>
      </c>
      <c r="C4707" s="899" t="s">
        <v>14033</v>
      </c>
      <c r="D4707" s="988" t="s">
        <v>2669</v>
      </c>
      <c r="E4707" s="989">
        <v>3550.5</v>
      </c>
      <c r="F4707" s="990"/>
      <c r="G4707" s="990"/>
      <c r="H4707" s="990"/>
      <c r="I4707" s="990"/>
      <c r="J4707" s="990"/>
      <c r="K4707" s="990"/>
      <c r="L4707" s="990"/>
      <c r="M4707" s="990"/>
      <c r="N4707" s="990"/>
      <c r="O4707" s="990"/>
      <c r="P4707" s="990"/>
      <c r="Q4707" s="990"/>
      <c r="R4707" s="990"/>
      <c r="S4707" s="990"/>
      <c r="T4707" s="990"/>
      <c r="U4707" s="990"/>
      <c r="V4707" s="990"/>
      <c r="W4707" s="990"/>
      <c r="X4707" s="990"/>
    </row>
    <row r="4708" spans="1:24" s="896" customFormat="1">
      <c r="A4708" s="987">
        <f t="shared" si="74"/>
        <v>4634</v>
      </c>
      <c r="B4708" s="988">
        <v>13042</v>
      </c>
      <c r="C4708" s="899" t="s">
        <v>14034</v>
      </c>
      <c r="D4708" s="988" t="s">
        <v>2669</v>
      </c>
      <c r="E4708" s="989">
        <v>1967.5</v>
      </c>
      <c r="F4708" s="990"/>
      <c r="G4708" s="990"/>
      <c r="H4708" s="990"/>
      <c r="I4708" s="990"/>
      <c r="J4708" s="990"/>
      <c r="K4708" s="990"/>
      <c r="L4708" s="990"/>
      <c r="M4708" s="990"/>
      <c r="N4708" s="990"/>
      <c r="O4708" s="990"/>
      <c r="P4708" s="990"/>
      <c r="Q4708" s="990"/>
      <c r="R4708" s="990"/>
      <c r="S4708" s="990"/>
      <c r="T4708" s="990"/>
      <c r="U4708" s="990"/>
      <c r="V4708" s="990"/>
      <c r="W4708" s="990"/>
      <c r="X4708" s="990"/>
    </row>
    <row r="4709" spans="1:24" s="896" customFormat="1">
      <c r="A4709" s="987">
        <f t="shared" si="74"/>
        <v>4635</v>
      </c>
      <c r="B4709" s="988">
        <v>21150</v>
      </c>
      <c r="C4709" s="899" t="s">
        <v>14035</v>
      </c>
      <c r="D4709" s="988" t="s">
        <v>2669</v>
      </c>
      <c r="E4709" s="989">
        <v>53.09</v>
      </c>
      <c r="F4709" s="990"/>
      <c r="G4709" s="990"/>
      <c r="H4709" s="990"/>
      <c r="I4709" s="990"/>
      <c r="J4709" s="990"/>
      <c r="K4709" s="990"/>
      <c r="L4709" s="990"/>
      <c r="M4709" s="990"/>
      <c r="N4709" s="990"/>
      <c r="O4709" s="990"/>
      <c r="P4709" s="990"/>
      <c r="Q4709" s="990"/>
      <c r="R4709" s="990"/>
      <c r="S4709" s="990"/>
      <c r="T4709" s="990"/>
      <c r="U4709" s="990"/>
      <c r="V4709" s="990"/>
      <c r="W4709" s="990"/>
      <c r="X4709" s="990"/>
    </row>
    <row r="4710" spans="1:24" s="896" customFormat="1">
      <c r="A4710" s="987">
        <f t="shared" si="74"/>
        <v>4636</v>
      </c>
      <c r="B4710" s="988">
        <v>13141</v>
      </c>
      <c r="C4710" s="899" t="s">
        <v>14036</v>
      </c>
      <c r="D4710" s="988" t="s">
        <v>2669</v>
      </c>
      <c r="E4710" s="989">
        <v>66.900000000000006</v>
      </c>
      <c r="F4710" s="990"/>
      <c r="G4710" s="990"/>
      <c r="H4710" s="990"/>
      <c r="I4710" s="990"/>
      <c r="J4710" s="990"/>
      <c r="K4710" s="990"/>
      <c r="L4710" s="990"/>
      <c r="M4710" s="990"/>
      <c r="N4710" s="990"/>
      <c r="O4710" s="990"/>
      <c r="P4710" s="990"/>
      <c r="Q4710" s="990"/>
      <c r="R4710" s="990"/>
      <c r="S4710" s="990"/>
      <c r="T4710" s="990"/>
      <c r="U4710" s="990"/>
      <c r="V4710" s="990"/>
      <c r="W4710" s="990"/>
      <c r="X4710" s="990"/>
    </row>
    <row r="4711" spans="1:24" s="896" customFormat="1">
      <c r="A4711" s="987">
        <f t="shared" si="74"/>
        <v>4637</v>
      </c>
      <c r="B4711" s="988">
        <v>42576</v>
      </c>
      <c r="C4711" s="899" t="s">
        <v>14037</v>
      </c>
      <c r="D4711" s="988" t="s">
        <v>2669</v>
      </c>
      <c r="E4711" s="989">
        <v>218.42</v>
      </c>
      <c r="F4711" s="990"/>
      <c r="G4711" s="990"/>
      <c r="H4711" s="990"/>
      <c r="I4711" s="990"/>
      <c r="J4711" s="990"/>
      <c r="K4711" s="990"/>
      <c r="L4711" s="990"/>
      <c r="M4711" s="990"/>
      <c r="N4711" s="990"/>
      <c r="O4711" s="990"/>
      <c r="P4711" s="990"/>
      <c r="Q4711" s="990"/>
      <c r="R4711" s="990"/>
      <c r="S4711" s="990"/>
      <c r="T4711" s="990"/>
      <c r="U4711" s="990"/>
      <c r="V4711" s="990"/>
      <c r="W4711" s="990"/>
      <c r="X4711" s="990"/>
    </row>
    <row r="4712" spans="1:24" s="896" customFormat="1">
      <c r="A4712" s="987">
        <f t="shared" si="74"/>
        <v>4638</v>
      </c>
      <c r="B4712" s="988">
        <v>21151</v>
      </c>
      <c r="C4712" s="899" t="s">
        <v>14038</v>
      </c>
      <c r="D4712" s="988" t="s">
        <v>2669</v>
      </c>
      <c r="E4712" s="989">
        <v>317.81</v>
      </c>
      <c r="F4712" s="990"/>
      <c r="G4712" s="990"/>
      <c r="H4712" s="990"/>
      <c r="I4712" s="990"/>
      <c r="J4712" s="990"/>
      <c r="K4712" s="990"/>
      <c r="L4712" s="990"/>
      <c r="M4712" s="990"/>
      <c r="N4712" s="990"/>
      <c r="O4712" s="990"/>
      <c r="P4712" s="990"/>
      <c r="Q4712" s="990"/>
      <c r="R4712" s="990"/>
      <c r="S4712" s="990"/>
      <c r="T4712" s="990"/>
      <c r="U4712" s="990"/>
      <c r="V4712" s="990"/>
      <c r="W4712" s="990"/>
      <c r="X4712" s="990"/>
    </row>
    <row r="4713" spans="1:24" s="896" customFormat="1">
      <c r="A4713" s="987">
        <f t="shared" si="74"/>
        <v>4639</v>
      </c>
      <c r="B4713" s="988">
        <v>13142</v>
      </c>
      <c r="C4713" s="899" t="s">
        <v>14039</v>
      </c>
      <c r="D4713" s="988" t="s">
        <v>2669</v>
      </c>
      <c r="E4713" s="989">
        <v>454.34</v>
      </c>
      <c r="F4713" s="990"/>
      <c r="G4713" s="990"/>
      <c r="H4713" s="990"/>
      <c r="I4713" s="990"/>
      <c r="J4713" s="990"/>
      <c r="K4713" s="990"/>
      <c r="L4713" s="990"/>
      <c r="M4713" s="990"/>
      <c r="N4713" s="990"/>
      <c r="O4713" s="990"/>
      <c r="P4713" s="990"/>
      <c r="Q4713" s="990"/>
      <c r="R4713" s="990"/>
      <c r="S4713" s="990"/>
      <c r="T4713" s="990"/>
      <c r="U4713" s="990"/>
      <c r="V4713" s="990"/>
      <c r="W4713" s="990"/>
      <c r="X4713" s="990"/>
    </row>
    <row r="4714" spans="1:24" s="896" customFormat="1">
      <c r="A4714" s="987">
        <f t="shared" si="74"/>
        <v>4640</v>
      </c>
      <c r="B4714" s="988">
        <v>42577</v>
      </c>
      <c r="C4714" s="899" t="s">
        <v>14040</v>
      </c>
      <c r="D4714" s="988" t="s">
        <v>2669</v>
      </c>
      <c r="E4714" s="989">
        <v>498.53</v>
      </c>
      <c r="F4714" s="990"/>
      <c r="G4714" s="990"/>
      <c r="H4714" s="990"/>
      <c r="I4714" s="990"/>
      <c r="J4714" s="990"/>
      <c r="K4714" s="990"/>
      <c r="L4714" s="990"/>
      <c r="M4714" s="990"/>
      <c r="N4714" s="990"/>
      <c r="O4714" s="990"/>
      <c r="P4714" s="990"/>
      <c r="Q4714" s="990"/>
      <c r="R4714" s="990"/>
      <c r="S4714" s="990"/>
      <c r="T4714" s="990"/>
      <c r="U4714" s="990"/>
      <c r="V4714" s="990"/>
      <c r="W4714" s="990"/>
      <c r="X4714" s="990"/>
    </row>
    <row r="4715" spans="1:24" s="896" customFormat="1">
      <c r="A4715" s="987">
        <f t="shared" si="74"/>
        <v>4641</v>
      </c>
      <c r="B4715" s="988">
        <v>20994</v>
      </c>
      <c r="C4715" s="899" t="s">
        <v>14041</v>
      </c>
      <c r="D4715" s="988" t="s">
        <v>2669</v>
      </c>
      <c r="E4715" s="989">
        <v>856.63</v>
      </c>
      <c r="F4715" s="990"/>
      <c r="G4715" s="990"/>
      <c r="H4715" s="990"/>
      <c r="I4715" s="990"/>
      <c r="J4715" s="990"/>
      <c r="K4715" s="990"/>
      <c r="L4715" s="990"/>
      <c r="M4715" s="990"/>
      <c r="N4715" s="990"/>
      <c r="O4715" s="990"/>
      <c r="P4715" s="990"/>
      <c r="Q4715" s="990"/>
      <c r="R4715" s="990"/>
      <c r="S4715" s="990"/>
      <c r="T4715" s="990"/>
      <c r="U4715" s="990"/>
      <c r="V4715" s="990"/>
      <c r="W4715" s="990"/>
      <c r="X4715" s="990"/>
    </row>
    <row r="4716" spans="1:24" s="896" customFormat="1">
      <c r="A4716" s="987">
        <f t="shared" si="74"/>
        <v>4642</v>
      </c>
      <c r="B4716" s="988">
        <v>7672</v>
      </c>
      <c r="C4716" s="899" t="s">
        <v>14042</v>
      </c>
      <c r="D4716" s="988" t="s">
        <v>2669</v>
      </c>
      <c r="E4716" s="989">
        <v>561.17999999999995</v>
      </c>
      <c r="F4716" s="990"/>
      <c r="G4716" s="990"/>
      <c r="H4716" s="990"/>
      <c r="I4716" s="990"/>
      <c r="J4716" s="990"/>
      <c r="K4716" s="990"/>
      <c r="L4716" s="990"/>
      <c r="M4716" s="990"/>
      <c r="N4716" s="990"/>
      <c r="O4716" s="990"/>
      <c r="P4716" s="990"/>
      <c r="Q4716" s="990"/>
      <c r="R4716" s="990"/>
      <c r="S4716" s="990"/>
      <c r="T4716" s="990"/>
      <c r="U4716" s="990"/>
      <c r="V4716" s="990"/>
      <c r="W4716" s="990"/>
      <c r="X4716" s="990"/>
    </row>
    <row r="4717" spans="1:24" s="896" customFormat="1">
      <c r="A4717" s="987">
        <f t="shared" si="74"/>
        <v>4643</v>
      </c>
      <c r="B4717" s="988">
        <v>20995</v>
      </c>
      <c r="C4717" s="899" t="s">
        <v>14043</v>
      </c>
      <c r="D4717" s="988" t="s">
        <v>2669</v>
      </c>
      <c r="E4717" s="989">
        <v>1125.76</v>
      </c>
      <c r="F4717" s="990"/>
      <c r="G4717" s="990"/>
      <c r="H4717" s="990"/>
      <c r="I4717" s="990"/>
      <c r="J4717" s="990"/>
      <c r="K4717" s="990"/>
      <c r="L4717" s="990"/>
      <c r="M4717" s="990"/>
      <c r="N4717" s="990"/>
      <c r="O4717" s="990"/>
      <c r="P4717" s="990"/>
      <c r="Q4717" s="990"/>
      <c r="R4717" s="990"/>
      <c r="S4717" s="990"/>
      <c r="T4717" s="990"/>
      <c r="U4717" s="990"/>
      <c r="V4717" s="990"/>
      <c r="W4717" s="990"/>
      <c r="X4717" s="990"/>
    </row>
    <row r="4718" spans="1:24" s="896" customFormat="1">
      <c r="A4718" s="987">
        <f t="shared" si="74"/>
        <v>4644</v>
      </c>
      <c r="B4718" s="988">
        <v>7690</v>
      </c>
      <c r="C4718" s="899" t="s">
        <v>14044</v>
      </c>
      <c r="D4718" s="988" t="s">
        <v>2669</v>
      </c>
      <c r="E4718" s="989">
        <v>651.1</v>
      </c>
      <c r="F4718" s="990"/>
      <c r="G4718" s="990"/>
      <c r="H4718" s="990"/>
      <c r="I4718" s="990"/>
      <c r="J4718" s="990"/>
      <c r="K4718" s="990"/>
      <c r="L4718" s="990"/>
      <c r="M4718" s="990"/>
      <c r="N4718" s="990"/>
      <c r="O4718" s="990"/>
      <c r="P4718" s="990"/>
      <c r="Q4718" s="990"/>
      <c r="R4718" s="990"/>
      <c r="S4718" s="990"/>
      <c r="T4718" s="990"/>
      <c r="U4718" s="990"/>
      <c r="V4718" s="990"/>
      <c r="W4718" s="990"/>
      <c r="X4718" s="990"/>
    </row>
    <row r="4719" spans="1:24" s="896" customFormat="1">
      <c r="A4719" s="987">
        <f t="shared" si="74"/>
        <v>4645</v>
      </c>
      <c r="B4719" s="988">
        <v>20980</v>
      </c>
      <c r="C4719" s="899" t="s">
        <v>14045</v>
      </c>
      <c r="D4719" s="988" t="s">
        <v>2669</v>
      </c>
      <c r="E4719" s="989">
        <v>710.29</v>
      </c>
      <c r="F4719" s="990"/>
      <c r="G4719" s="990"/>
      <c r="H4719" s="990"/>
      <c r="I4719" s="990"/>
      <c r="J4719" s="990"/>
      <c r="K4719" s="990"/>
      <c r="L4719" s="990"/>
      <c r="M4719" s="990"/>
      <c r="N4719" s="990"/>
      <c r="O4719" s="990"/>
      <c r="P4719" s="990"/>
      <c r="Q4719" s="990"/>
      <c r="R4719" s="990"/>
      <c r="S4719" s="990"/>
      <c r="T4719" s="990"/>
      <c r="U4719" s="990"/>
      <c r="V4719" s="990"/>
      <c r="W4719" s="990"/>
      <c r="X4719" s="990"/>
    </row>
    <row r="4720" spans="1:24" s="896" customFormat="1">
      <c r="A4720" s="987">
        <f t="shared" si="74"/>
        <v>4646</v>
      </c>
      <c r="B4720" s="988">
        <v>7661</v>
      </c>
      <c r="C4720" s="899" t="s">
        <v>14046</v>
      </c>
      <c r="D4720" s="988" t="s">
        <v>2669</v>
      </c>
      <c r="E4720" s="989">
        <v>844.96</v>
      </c>
      <c r="F4720" s="990"/>
      <c r="G4720" s="990"/>
      <c r="H4720" s="990"/>
      <c r="I4720" s="990"/>
      <c r="J4720" s="990"/>
      <c r="K4720" s="990"/>
      <c r="L4720" s="990"/>
      <c r="M4720" s="990"/>
      <c r="N4720" s="990"/>
      <c r="O4720" s="990"/>
      <c r="P4720" s="990"/>
      <c r="Q4720" s="990"/>
      <c r="R4720" s="990"/>
      <c r="S4720" s="990"/>
      <c r="T4720" s="990"/>
      <c r="U4720" s="990"/>
      <c r="V4720" s="990"/>
      <c r="W4720" s="990"/>
      <c r="X4720" s="990"/>
    </row>
    <row r="4721" spans="1:24" s="896" customFormat="1" ht="25.5">
      <c r="A4721" s="987">
        <f t="shared" si="74"/>
        <v>4647</v>
      </c>
      <c r="B4721" s="988">
        <v>21016</v>
      </c>
      <c r="C4721" s="899" t="s">
        <v>14047</v>
      </c>
      <c r="D4721" s="988" t="s">
        <v>2669</v>
      </c>
      <c r="E4721" s="989">
        <v>194.93</v>
      </c>
      <c r="F4721" s="990"/>
      <c r="G4721" s="990"/>
      <c r="H4721" s="990"/>
      <c r="I4721" s="990"/>
      <c r="J4721" s="990"/>
      <c r="K4721" s="990"/>
      <c r="L4721" s="990"/>
      <c r="M4721" s="990"/>
      <c r="N4721" s="990"/>
      <c r="O4721" s="990"/>
      <c r="P4721" s="990"/>
      <c r="Q4721" s="990"/>
      <c r="R4721" s="990"/>
      <c r="S4721" s="990"/>
      <c r="T4721" s="990"/>
      <c r="U4721" s="990"/>
      <c r="V4721" s="990"/>
      <c r="W4721" s="990"/>
      <c r="X4721" s="990"/>
    </row>
    <row r="4722" spans="1:24" s="896" customFormat="1" ht="25.5">
      <c r="A4722" s="987">
        <f t="shared" si="74"/>
        <v>4648</v>
      </c>
      <c r="B4722" s="988">
        <v>21008</v>
      </c>
      <c r="C4722" s="899" t="s">
        <v>14048</v>
      </c>
      <c r="D4722" s="988" t="s">
        <v>2669</v>
      </c>
      <c r="E4722" s="989">
        <v>22.77</v>
      </c>
      <c r="F4722" s="990"/>
      <c r="G4722" s="990"/>
      <c r="H4722" s="990"/>
      <c r="I4722" s="990"/>
      <c r="J4722" s="990"/>
      <c r="K4722" s="990"/>
      <c r="L4722" s="990"/>
      <c r="M4722" s="990"/>
      <c r="N4722" s="990"/>
      <c r="O4722" s="990"/>
      <c r="P4722" s="990"/>
      <c r="Q4722" s="990"/>
      <c r="R4722" s="990"/>
      <c r="S4722" s="990"/>
      <c r="T4722" s="990"/>
      <c r="U4722" s="990"/>
      <c r="V4722" s="990"/>
      <c r="W4722" s="990"/>
      <c r="X4722" s="990"/>
    </row>
    <row r="4723" spans="1:24" s="896" customFormat="1" ht="25.5">
      <c r="A4723" s="987">
        <f t="shared" si="74"/>
        <v>4649</v>
      </c>
      <c r="B4723" s="988">
        <v>21009</v>
      </c>
      <c r="C4723" s="899" t="s">
        <v>14049</v>
      </c>
      <c r="D4723" s="988" t="s">
        <v>2669</v>
      </c>
      <c r="E4723" s="989">
        <v>29.65</v>
      </c>
      <c r="F4723" s="990"/>
      <c r="G4723" s="990"/>
      <c r="H4723" s="990"/>
      <c r="I4723" s="990"/>
      <c r="J4723" s="990"/>
      <c r="K4723" s="990"/>
      <c r="L4723" s="990"/>
      <c r="M4723" s="990"/>
      <c r="N4723" s="990"/>
      <c r="O4723" s="990"/>
      <c r="P4723" s="990"/>
      <c r="Q4723" s="990"/>
      <c r="R4723" s="990"/>
      <c r="S4723" s="990"/>
      <c r="T4723" s="990"/>
      <c r="U4723" s="990"/>
      <c r="V4723" s="990"/>
      <c r="W4723" s="990"/>
      <c r="X4723" s="990"/>
    </row>
    <row r="4724" spans="1:24" s="896" customFormat="1" ht="25.5">
      <c r="A4724" s="987">
        <f t="shared" si="74"/>
        <v>4650</v>
      </c>
      <c r="B4724" s="988">
        <v>21010</v>
      </c>
      <c r="C4724" s="899" t="s">
        <v>14050</v>
      </c>
      <c r="D4724" s="988" t="s">
        <v>2669</v>
      </c>
      <c r="E4724" s="989">
        <v>39.81</v>
      </c>
      <c r="F4724" s="990"/>
      <c r="G4724" s="990"/>
      <c r="H4724" s="990"/>
      <c r="I4724" s="990"/>
      <c r="J4724" s="990"/>
      <c r="K4724" s="990"/>
      <c r="L4724" s="990"/>
      <c r="M4724" s="990"/>
      <c r="N4724" s="990"/>
      <c r="O4724" s="990"/>
      <c r="P4724" s="990"/>
      <c r="Q4724" s="990"/>
      <c r="R4724" s="990"/>
      <c r="S4724" s="990"/>
      <c r="T4724" s="990"/>
      <c r="U4724" s="990"/>
      <c r="V4724" s="990"/>
      <c r="W4724" s="990"/>
      <c r="X4724" s="990"/>
    </row>
    <row r="4725" spans="1:24" s="896" customFormat="1" ht="25.5">
      <c r="A4725" s="987">
        <f t="shared" si="74"/>
        <v>4651</v>
      </c>
      <c r="B4725" s="988">
        <v>21011</v>
      </c>
      <c r="C4725" s="899" t="s">
        <v>14051</v>
      </c>
      <c r="D4725" s="988" t="s">
        <v>2669</v>
      </c>
      <c r="E4725" s="989">
        <v>58.02</v>
      </c>
      <c r="F4725" s="990"/>
      <c r="G4725" s="990"/>
      <c r="H4725" s="990"/>
      <c r="I4725" s="990"/>
      <c r="J4725" s="990"/>
      <c r="K4725" s="990"/>
      <c r="L4725" s="990"/>
      <c r="M4725" s="990"/>
      <c r="N4725" s="990"/>
      <c r="O4725" s="990"/>
      <c r="P4725" s="990"/>
      <c r="Q4725" s="990"/>
      <c r="R4725" s="990"/>
      <c r="S4725" s="990"/>
      <c r="T4725" s="990"/>
      <c r="U4725" s="990"/>
      <c r="V4725" s="990"/>
      <c r="W4725" s="990"/>
      <c r="X4725" s="990"/>
    </row>
    <row r="4726" spans="1:24" s="896" customFormat="1" ht="25.5">
      <c r="A4726" s="987">
        <f t="shared" si="74"/>
        <v>4652</v>
      </c>
      <c r="B4726" s="988">
        <v>21012</v>
      </c>
      <c r="C4726" s="899" t="s">
        <v>14052</v>
      </c>
      <c r="D4726" s="988" t="s">
        <v>2669</v>
      </c>
      <c r="E4726" s="989">
        <v>64.12</v>
      </c>
      <c r="F4726" s="990"/>
      <c r="G4726" s="990"/>
      <c r="H4726" s="990"/>
      <c r="I4726" s="990"/>
      <c r="J4726" s="990"/>
      <c r="K4726" s="990"/>
      <c r="L4726" s="990"/>
      <c r="M4726" s="990"/>
      <c r="N4726" s="990"/>
      <c r="O4726" s="990"/>
      <c r="P4726" s="990"/>
      <c r="Q4726" s="990"/>
      <c r="R4726" s="990"/>
      <c r="S4726" s="990"/>
      <c r="T4726" s="990"/>
      <c r="U4726" s="990"/>
      <c r="V4726" s="990"/>
      <c r="W4726" s="990"/>
      <c r="X4726" s="990"/>
    </row>
    <row r="4727" spans="1:24" s="896" customFormat="1" ht="25.5">
      <c r="A4727" s="987">
        <f t="shared" si="74"/>
        <v>4653</v>
      </c>
      <c r="B4727" s="988">
        <v>21013</v>
      </c>
      <c r="C4727" s="899" t="s">
        <v>14053</v>
      </c>
      <c r="D4727" s="988" t="s">
        <v>2669</v>
      </c>
      <c r="E4727" s="989">
        <v>83.67</v>
      </c>
      <c r="F4727" s="990"/>
      <c r="G4727" s="990"/>
      <c r="H4727" s="990"/>
      <c r="I4727" s="990"/>
      <c r="J4727" s="990"/>
      <c r="K4727" s="990"/>
      <c r="L4727" s="990"/>
      <c r="M4727" s="990"/>
      <c r="N4727" s="990"/>
      <c r="O4727" s="990"/>
      <c r="P4727" s="990"/>
      <c r="Q4727" s="990"/>
      <c r="R4727" s="990"/>
      <c r="S4727" s="990"/>
      <c r="T4727" s="990"/>
      <c r="U4727" s="990"/>
      <c r="V4727" s="990"/>
      <c r="W4727" s="990"/>
      <c r="X4727" s="990"/>
    </row>
    <row r="4728" spans="1:24" s="896" customFormat="1" ht="25.5">
      <c r="A4728" s="987">
        <f t="shared" si="74"/>
        <v>4654</v>
      </c>
      <c r="B4728" s="988">
        <v>21014</v>
      </c>
      <c r="C4728" s="899" t="s">
        <v>14054</v>
      </c>
      <c r="D4728" s="988" t="s">
        <v>2669</v>
      </c>
      <c r="E4728" s="989">
        <v>117.08</v>
      </c>
      <c r="F4728" s="990"/>
      <c r="G4728" s="990"/>
      <c r="H4728" s="990"/>
      <c r="I4728" s="990"/>
      <c r="J4728" s="990"/>
      <c r="K4728" s="990"/>
      <c r="L4728" s="990"/>
      <c r="M4728" s="990"/>
      <c r="N4728" s="990"/>
      <c r="O4728" s="990"/>
      <c r="P4728" s="990"/>
      <c r="Q4728" s="990"/>
      <c r="R4728" s="990"/>
      <c r="S4728" s="990"/>
      <c r="T4728" s="990"/>
      <c r="U4728" s="990"/>
      <c r="V4728" s="990"/>
      <c r="W4728" s="990"/>
      <c r="X4728" s="990"/>
    </row>
    <row r="4729" spans="1:24" s="896" customFormat="1" ht="25.5">
      <c r="A4729" s="987">
        <f t="shared" si="74"/>
        <v>4655</v>
      </c>
      <c r="B4729" s="988">
        <v>21015</v>
      </c>
      <c r="C4729" s="899" t="s">
        <v>14055</v>
      </c>
      <c r="D4729" s="988" t="s">
        <v>2669</v>
      </c>
      <c r="E4729" s="989">
        <v>134.5</v>
      </c>
      <c r="F4729" s="990"/>
      <c r="G4729" s="990"/>
      <c r="H4729" s="990"/>
      <c r="I4729" s="990"/>
      <c r="J4729" s="990"/>
      <c r="K4729" s="990"/>
      <c r="L4729" s="990"/>
      <c r="M4729" s="990"/>
      <c r="N4729" s="990"/>
      <c r="O4729" s="990"/>
      <c r="P4729" s="990"/>
      <c r="Q4729" s="990"/>
      <c r="R4729" s="990"/>
      <c r="S4729" s="990"/>
      <c r="T4729" s="990"/>
      <c r="U4729" s="990"/>
      <c r="V4729" s="990"/>
      <c r="W4729" s="990"/>
      <c r="X4729" s="990"/>
    </row>
    <row r="4730" spans="1:24" s="896" customFormat="1" ht="25.5">
      <c r="A4730" s="987">
        <f t="shared" si="74"/>
        <v>4656</v>
      </c>
      <c r="B4730" s="988">
        <v>7697</v>
      </c>
      <c r="C4730" s="899" t="s">
        <v>14056</v>
      </c>
      <c r="D4730" s="988" t="s">
        <v>2669</v>
      </c>
      <c r="E4730" s="989">
        <v>64.180000000000007</v>
      </c>
      <c r="F4730" s="990"/>
      <c r="G4730" s="990"/>
      <c r="H4730" s="990"/>
      <c r="I4730" s="990"/>
      <c r="J4730" s="990"/>
      <c r="K4730" s="990"/>
      <c r="L4730" s="990"/>
      <c r="M4730" s="990"/>
      <c r="N4730" s="990"/>
      <c r="O4730" s="990"/>
      <c r="P4730" s="990"/>
      <c r="Q4730" s="990"/>
      <c r="R4730" s="990"/>
      <c r="S4730" s="990"/>
      <c r="T4730" s="990"/>
      <c r="U4730" s="990"/>
      <c r="V4730" s="990"/>
      <c r="W4730" s="990"/>
      <c r="X4730" s="990"/>
    </row>
    <row r="4731" spans="1:24" s="896" customFormat="1" ht="25.5">
      <c r="A4731" s="987">
        <f t="shared" si="74"/>
        <v>4657</v>
      </c>
      <c r="B4731" s="988">
        <v>7698</v>
      </c>
      <c r="C4731" s="899" t="s">
        <v>14057</v>
      </c>
      <c r="D4731" s="988" t="s">
        <v>2669</v>
      </c>
      <c r="E4731" s="989">
        <v>55.25</v>
      </c>
      <c r="F4731" s="990"/>
      <c r="G4731" s="990"/>
      <c r="H4731" s="990"/>
      <c r="I4731" s="990"/>
      <c r="J4731" s="990"/>
      <c r="K4731" s="990"/>
      <c r="L4731" s="990"/>
      <c r="M4731" s="990"/>
      <c r="N4731" s="990"/>
      <c r="O4731" s="990"/>
      <c r="P4731" s="990"/>
      <c r="Q4731" s="990"/>
      <c r="R4731" s="990"/>
      <c r="S4731" s="990"/>
      <c r="T4731" s="990"/>
      <c r="U4731" s="990"/>
      <c r="V4731" s="990"/>
      <c r="W4731" s="990"/>
      <c r="X4731" s="990"/>
    </row>
    <row r="4732" spans="1:24" s="896" customFormat="1" ht="25.5">
      <c r="A4732" s="987">
        <f t="shared" si="74"/>
        <v>4658</v>
      </c>
      <c r="B4732" s="988">
        <v>7691</v>
      </c>
      <c r="C4732" s="899" t="s">
        <v>14058</v>
      </c>
      <c r="D4732" s="988" t="s">
        <v>2669</v>
      </c>
      <c r="E4732" s="989">
        <v>23.34</v>
      </c>
      <c r="F4732" s="990"/>
      <c r="G4732" s="990"/>
      <c r="H4732" s="990"/>
      <c r="I4732" s="990"/>
      <c r="J4732" s="990"/>
      <c r="K4732" s="990"/>
      <c r="L4732" s="990"/>
      <c r="M4732" s="990"/>
      <c r="N4732" s="990"/>
      <c r="O4732" s="990"/>
      <c r="P4732" s="990"/>
      <c r="Q4732" s="990"/>
      <c r="R4732" s="990"/>
      <c r="S4732" s="990"/>
      <c r="T4732" s="990"/>
      <c r="U4732" s="990"/>
      <c r="V4732" s="990"/>
      <c r="W4732" s="990"/>
      <c r="X4732" s="990"/>
    </row>
    <row r="4733" spans="1:24" s="896" customFormat="1" ht="25.5">
      <c r="A4733" s="987">
        <f t="shared" si="74"/>
        <v>4659</v>
      </c>
      <c r="B4733" s="988">
        <v>40626</v>
      </c>
      <c r="C4733" s="899" t="s">
        <v>14059</v>
      </c>
      <c r="D4733" s="988" t="s">
        <v>2669</v>
      </c>
      <c r="E4733" s="989">
        <v>43.81</v>
      </c>
      <c r="F4733" s="990"/>
      <c r="G4733" s="990"/>
      <c r="H4733" s="990"/>
      <c r="I4733" s="990"/>
      <c r="J4733" s="990"/>
      <c r="K4733" s="990"/>
      <c r="L4733" s="990"/>
      <c r="M4733" s="990"/>
      <c r="N4733" s="990"/>
      <c r="O4733" s="990"/>
      <c r="P4733" s="990"/>
      <c r="Q4733" s="990"/>
      <c r="R4733" s="990"/>
      <c r="S4733" s="990"/>
      <c r="T4733" s="990"/>
      <c r="U4733" s="990"/>
      <c r="V4733" s="990"/>
      <c r="W4733" s="990"/>
      <c r="X4733" s="990"/>
    </row>
    <row r="4734" spans="1:24" s="896" customFormat="1" ht="25.5">
      <c r="A4734" s="987">
        <f t="shared" si="74"/>
        <v>4660</v>
      </c>
      <c r="B4734" s="988">
        <v>7701</v>
      </c>
      <c r="C4734" s="899" t="s">
        <v>14060</v>
      </c>
      <c r="D4734" s="988" t="s">
        <v>2669</v>
      </c>
      <c r="E4734" s="989">
        <v>114.86</v>
      </c>
      <c r="F4734" s="990"/>
      <c r="G4734" s="990"/>
      <c r="H4734" s="990"/>
      <c r="I4734" s="990"/>
      <c r="J4734" s="990"/>
      <c r="K4734" s="990"/>
      <c r="L4734" s="990"/>
      <c r="M4734" s="990"/>
      <c r="N4734" s="990"/>
      <c r="O4734" s="990"/>
      <c r="P4734" s="990"/>
      <c r="Q4734" s="990"/>
      <c r="R4734" s="990"/>
      <c r="S4734" s="990"/>
      <c r="T4734" s="990"/>
      <c r="U4734" s="990"/>
      <c r="V4734" s="990"/>
      <c r="W4734" s="990"/>
      <c r="X4734" s="990"/>
    </row>
    <row r="4735" spans="1:24" s="896" customFormat="1" ht="25.5">
      <c r="A4735" s="987">
        <f t="shared" si="74"/>
        <v>4661</v>
      </c>
      <c r="B4735" s="988">
        <v>7696</v>
      </c>
      <c r="C4735" s="899" t="s">
        <v>14061</v>
      </c>
      <c r="D4735" s="988" t="s">
        <v>2669</v>
      </c>
      <c r="E4735" s="989">
        <v>92.55</v>
      </c>
      <c r="F4735" s="990"/>
      <c r="G4735" s="990"/>
      <c r="H4735" s="990"/>
      <c r="I4735" s="990"/>
      <c r="J4735" s="990"/>
      <c r="K4735" s="990"/>
      <c r="L4735" s="990"/>
      <c r="M4735" s="990"/>
      <c r="N4735" s="990"/>
      <c r="O4735" s="990"/>
      <c r="P4735" s="990"/>
      <c r="Q4735" s="990"/>
      <c r="R4735" s="990"/>
      <c r="S4735" s="990"/>
      <c r="T4735" s="990"/>
      <c r="U4735" s="990"/>
      <c r="V4735" s="990"/>
      <c r="W4735" s="990"/>
      <c r="X4735" s="990"/>
    </row>
    <row r="4736" spans="1:24" s="896" customFormat="1" ht="25.5">
      <c r="A4736" s="987">
        <f t="shared" si="74"/>
        <v>4662</v>
      </c>
      <c r="B4736" s="988">
        <v>7700</v>
      </c>
      <c r="C4736" s="899" t="s">
        <v>14062</v>
      </c>
      <c r="D4736" s="988" t="s">
        <v>2669</v>
      </c>
      <c r="E4736" s="989">
        <v>29.52</v>
      </c>
      <c r="F4736" s="990"/>
      <c r="G4736" s="990"/>
      <c r="H4736" s="990"/>
      <c r="I4736" s="990"/>
      <c r="J4736" s="990"/>
      <c r="K4736" s="990"/>
      <c r="L4736" s="990"/>
      <c r="M4736" s="990"/>
      <c r="N4736" s="990"/>
      <c r="O4736" s="990"/>
      <c r="P4736" s="990"/>
      <c r="Q4736" s="990"/>
      <c r="R4736" s="990"/>
      <c r="S4736" s="990"/>
      <c r="T4736" s="990"/>
      <c r="U4736" s="990"/>
      <c r="V4736" s="990"/>
      <c r="W4736" s="990"/>
      <c r="X4736" s="990"/>
    </row>
    <row r="4737" spans="1:24" s="896" customFormat="1" ht="25.5">
      <c r="A4737" s="987">
        <f t="shared" si="74"/>
        <v>4663</v>
      </c>
      <c r="B4737" s="988">
        <v>7694</v>
      </c>
      <c r="C4737" s="899" t="s">
        <v>14063</v>
      </c>
      <c r="D4737" s="988" t="s">
        <v>2669</v>
      </c>
      <c r="E4737" s="989">
        <v>154.56</v>
      </c>
      <c r="F4737" s="990"/>
      <c r="G4737" s="990"/>
      <c r="H4737" s="990"/>
      <c r="I4737" s="990"/>
      <c r="J4737" s="990"/>
      <c r="K4737" s="990"/>
      <c r="L4737" s="990"/>
      <c r="M4737" s="990"/>
      <c r="N4737" s="990"/>
      <c r="O4737" s="990"/>
      <c r="P4737" s="990"/>
      <c r="Q4737" s="990"/>
      <c r="R4737" s="990"/>
      <c r="S4737" s="990"/>
      <c r="T4737" s="990"/>
      <c r="U4737" s="990"/>
      <c r="V4737" s="990"/>
      <c r="W4737" s="990"/>
      <c r="X4737" s="990"/>
    </row>
    <row r="4738" spans="1:24" s="896" customFormat="1" ht="25.5">
      <c r="A4738" s="987">
        <f t="shared" si="74"/>
        <v>4664</v>
      </c>
      <c r="B4738" s="988">
        <v>7693</v>
      </c>
      <c r="C4738" s="899" t="s">
        <v>14064</v>
      </c>
      <c r="D4738" s="988" t="s">
        <v>2669</v>
      </c>
      <c r="E4738" s="989">
        <v>212.87</v>
      </c>
      <c r="F4738" s="990"/>
      <c r="G4738" s="990"/>
      <c r="H4738" s="990"/>
      <c r="I4738" s="990"/>
      <c r="J4738" s="990"/>
      <c r="K4738" s="990"/>
      <c r="L4738" s="990"/>
      <c r="M4738" s="990"/>
      <c r="N4738" s="990"/>
      <c r="O4738" s="990"/>
      <c r="P4738" s="990"/>
      <c r="Q4738" s="990"/>
      <c r="R4738" s="990"/>
      <c r="S4738" s="990"/>
      <c r="T4738" s="990"/>
      <c r="U4738" s="990"/>
      <c r="V4738" s="990"/>
      <c r="W4738" s="990"/>
      <c r="X4738" s="990"/>
    </row>
    <row r="4739" spans="1:24" s="896" customFormat="1" ht="25.5">
      <c r="A4739" s="987">
        <f t="shared" si="74"/>
        <v>4665</v>
      </c>
      <c r="B4739" s="988">
        <v>7692</v>
      </c>
      <c r="C4739" s="899" t="s">
        <v>14065</v>
      </c>
      <c r="D4739" s="988" t="s">
        <v>2669</v>
      </c>
      <c r="E4739" s="989">
        <v>318.7</v>
      </c>
      <c r="F4739" s="990"/>
      <c r="G4739" s="990"/>
      <c r="H4739" s="990"/>
      <c r="I4739" s="990"/>
      <c r="J4739" s="990"/>
      <c r="K4739" s="990"/>
      <c r="L4739" s="990"/>
      <c r="M4739" s="990"/>
      <c r="N4739" s="990"/>
      <c r="O4739" s="990"/>
      <c r="P4739" s="990"/>
      <c r="Q4739" s="990"/>
      <c r="R4739" s="990"/>
      <c r="S4739" s="990"/>
      <c r="T4739" s="990"/>
      <c r="U4739" s="990"/>
      <c r="V4739" s="990"/>
      <c r="W4739" s="990"/>
      <c r="X4739" s="990"/>
    </row>
    <row r="4740" spans="1:24" s="896" customFormat="1" ht="25.5">
      <c r="A4740" s="987">
        <f t="shared" si="74"/>
        <v>4666</v>
      </c>
      <c r="B4740" s="988">
        <v>7695</v>
      </c>
      <c r="C4740" s="899" t="s">
        <v>14066</v>
      </c>
      <c r="D4740" s="988" t="s">
        <v>2669</v>
      </c>
      <c r="E4740" s="989">
        <v>345.64</v>
      </c>
      <c r="F4740" s="990"/>
      <c r="G4740" s="990"/>
      <c r="H4740" s="990"/>
      <c r="I4740" s="990"/>
      <c r="J4740" s="990"/>
      <c r="K4740" s="990"/>
      <c r="L4740" s="990"/>
      <c r="M4740" s="990"/>
      <c r="N4740" s="990"/>
      <c r="O4740" s="990"/>
      <c r="P4740" s="990"/>
      <c r="Q4740" s="990"/>
      <c r="R4740" s="990"/>
      <c r="S4740" s="990"/>
      <c r="T4740" s="990"/>
      <c r="U4740" s="990"/>
      <c r="V4740" s="990"/>
      <c r="W4740" s="990"/>
      <c r="X4740" s="990"/>
    </row>
    <row r="4741" spans="1:24" s="896" customFormat="1">
      <c r="A4741" s="987">
        <f t="shared" si="74"/>
        <v>4667</v>
      </c>
      <c r="B4741" s="988">
        <v>13356</v>
      </c>
      <c r="C4741" s="899" t="s">
        <v>14067</v>
      </c>
      <c r="D4741" s="988" t="s">
        <v>2669</v>
      </c>
      <c r="E4741" s="989">
        <v>25.06</v>
      </c>
      <c r="F4741" s="990"/>
      <c r="G4741" s="990"/>
      <c r="H4741" s="990"/>
      <c r="I4741" s="990"/>
      <c r="J4741" s="990"/>
      <c r="K4741" s="990"/>
      <c r="L4741" s="990"/>
      <c r="M4741" s="990"/>
      <c r="N4741" s="990"/>
      <c r="O4741" s="990"/>
      <c r="P4741" s="990"/>
      <c r="Q4741" s="990"/>
      <c r="R4741" s="990"/>
      <c r="S4741" s="990"/>
      <c r="T4741" s="990"/>
      <c r="U4741" s="990"/>
      <c r="V4741" s="990"/>
      <c r="W4741" s="990"/>
      <c r="X4741" s="990"/>
    </row>
    <row r="4742" spans="1:24" s="896" customFormat="1">
      <c r="A4742" s="987">
        <f t="shared" si="74"/>
        <v>4668</v>
      </c>
      <c r="B4742" s="988">
        <v>36365</v>
      </c>
      <c r="C4742" s="899" t="s">
        <v>14068</v>
      </c>
      <c r="D4742" s="988" t="s">
        <v>2669</v>
      </c>
      <c r="E4742" s="989">
        <v>29.79</v>
      </c>
      <c r="F4742" s="990"/>
      <c r="G4742" s="990"/>
      <c r="H4742" s="990"/>
      <c r="I4742" s="990"/>
      <c r="J4742" s="990"/>
      <c r="K4742" s="990"/>
      <c r="L4742" s="990"/>
      <c r="M4742" s="990"/>
      <c r="N4742" s="990"/>
      <c r="O4742" s="990"/>
      <c r="P4742" s="990"/>
      <c r="Q4742" s="990"/>
      <c r="R4742" s="990"/>
      <c r="S4742" s="990"/>
      <c r="T4742" s="990"/>
      <c r="U4742" s="990"/>
      <c r="V4742" s="990"/>
      <c r="W4742" s="990"/>
      <c r="X4742" s="990"/>
    </row>
    <row r="4743" spans="1:24" s="896" customFormat="1">
      <c r="A4743" s="987">
        <f t="shared" si="74"/>
        <v>4669</v>
      </c>
      <c r="B4743" s="988">
        <v>41930</v>
      </c>
      <c r="C4743" s="899" t="s">
        <v>14069</v>
      </c>
      <c r="D4743" s="988" t="s">
        <v>2669</v>
      </c>
      <c r="E4743" s="989">
        <v>96.43</v>
      </c>
      <c r="F4743" s="990"/>
      <c r="G4743" s="990"/>
      <c r="H4743" s="990"/>
      <c r="I4743" s="990"/>
      <c r="J4743" s="990"/>
      <c r="K4743" s="990"/>
      <c r="L4743" s="990"/>
      <c r="M4743" s="990"/>
      <c r="N4743" s="990"/>
      <c r="O4743" s="990"/>
      <c r="P4743" s="990"/>
      <c r="Q4743" s="990"/>
      <c r="R4743" s="990"/>
      <c r="S4743" s="990"/>
      <c r="T4743" s="990"/>
      <c r="U4743" s="990"/>
      <c r="V4743" s="990"/>
      <c r="W4743" s="990"/>
      <c r="X4743" s="990"/>
    </row>
    <row r="4744" spans="1:24" s="896" customFormat="1">
      <c r="A4744" s="987">
        <f t="shared" si="74"/>
        <v>4670</v>
      </c>
      <c r="B4744" s="988">
        <v>41931</v>
      </c>
      <c r="C4744" s="899" t="s">
        <v>14070</v>
      </c>
      <c r="D4744" s="988" t="s">
        <v>2669</v>
      </c>
      <c r="E4744" s="989">
        <v>164.44</v>
      </c>
      <c r="F4744" s="990"/>
      <c r="G4744" s="990"/>
      <c r="H4744" s="990"/>
      <c r="I4744" s="990"/>
      <c r="J4744" s="990"/>
      <c r="K4744" s="990"/>
      <c r="L4744" s="990"/>
      <c r="M4744" s="990"/>
      <c r="N4744" s="990"/>
      <c r="O4744" s="990"/>
      <c r="P4744" s="990"/>
      <c r="Q4744" s="990"/>
      <c r="R4744" s="990"/>
      <c r="S4744" s="990"/>
      <c r="T4744" s="990"/>
      <c r="U4744" s="990"/>
      <c r="V4744" s="990"/>
      <c r="W4744" s="990"/>
      <c r="X4744" s="990"/>
    </row>
    <row r="4745" spans="1:24" s="896" customFormat="1">
      <c r="A4745" s="987">
        <f t="shared" si="74"/>
        <v>4671</v>
      </c>
      <c r="B4745" s="988">
        <v>41932</v>
      </c>
      <c r="C4745" s="899" t="s">
        <v>14071</v>
      </c>
      <c r="D4745" s="988" t="s">
        <v>2669</v>
      </c>
      <c r="E4745" s="989">
        <v>265.60000000000002</v>
      </c>
      <c r="F4745" s="990"/>
      <c r="G4745" s="990"/>
      <c r="H4745" s="990"/>
      <c r="I4745" s="990"/>
      <c r="J4745" s="990"/>
      <c r="K4745" s="990"/>
      <c r="L4745" s="990"/>
      <c r="M4745" s="990"/>
      <c r="N4745" s="990"/>
      <c r="O4745" s="990"/>
      <c r="P4745" s="990"/>
      <c r="Q4745" s="990"/>
      <c r="R4745" s="990"/>
      <c r="S4745" s="990"/>
      <c r="T4745" s="990"/>
      <c r="U4745" s="990"/>
      <c r="V4745" s="990"/>
      <c r="W4745" s="990"/>
      <c r="X4745" s="990"/>
    </row>
    <row r="4746" spans="1:24" s="896" customFormat="1">
      <c r="A4746" s="987">
        <f t="shared" si="74"/>
        <v>4672</v>
      </c>
      <c r="B4746" s="988">
        <v>41933</v>
      </c>
      <c r="C4746" s="899" t="s">
        <v>14072</v>
      </c>
      <c r="D4746" s="988" t="s">
        <v>2669</v>
      </c>
      <c r="E4746" s="989">
        <v>328.95</v>
      </c>
      <c r="F4746" s="990"/>
      <c r="G4746" s="990"/>
      <c r="H4746" s="990"/>
      <c r="I4746" s="990"/>
      <c r="J4746" s="990"/>
      <c r="K4746" s="990"/>
      <c r="L4746" s="990"/>
      <c r="M4746" s="990"/>
      <c r="N4746" s="990"/>
      <c r="O4746" s="990"/>
      <c r="P4746" s="990"/>
      <c r="Q4746" s="990"/>
      <c r="R4746" s="990"/>
      <c r="S4746" s="990"/>
      <c r="T4746" s="990"/>
      <c r="U4746" s="990"/>
      <c r="V4746" s="990"/>
      <c r="W4746" s="990"/>
      <c r="X4746" s="990"/>
    </row>
    <row r="4747" spans="1:24" s="896" customFormat="1">
      <c r="A4747" s="987">
        <f t="shared" si="74"/>
        <v>4673</v>
      </c>
      <c r="B4747" s="988">
        <v>41934</v>
      </c>
      <c r="C4747" s="899" t="s">
        <v>14073</v>
      </c>
      <c r="D4747" s="988" t="s">
        <v>2669</v>
      </c>
      <c r="E4747" s="989">
        <v>426.07</v>
      </c>
      <c r="F4747" s="990"/>
      <c r="G4747" s="990"/>
      <c r="H4747" s="990"/>
      <c r="I4747" s="990"/>
      <c r="J4747" s="990"/>
      <c r="K4747" s="990"/>
      <c r="L4747" s="990"/>
      <c r="M4747" s="990"/>
      <c r="N4747" s="990"/>
      <c r="O4747" s="990"/>
      <c r="P4747" s="990"/>
      <c r="Q4747" s="990"/>
      <c r="R4747" s="990"/>
      <c r="S4747" s="990"/>
      <c r="T4747" s="990"/>
      <c r="U4747" s="990"/>
      <c r="V4747" s="990"/>
      <c r="W4747" s="990"/>
      <c r="X4747" s="990"/>
    </row>
    <row r="4748" spans="1:24" s="896" customFormat="1">
      <c r="A4748" s="987">
        <f t="shared" ref="A4748:A4811" si="75">A4747+1</f>
        <v>4674</v>
      </c>
      <c r="B4748" s="988">
        <v>41936</v>
      </c>
      <c r="C4748" s="899" t="s">
        <v>14074</v>
      </c>
      <c r="D4748" s="988" t="s">
        <v>2669</v>
      </c>
      <c r="E4748" s="989">
        <v>64.239999999999995</v>
      </c>
      <c r="F4748" s="990"/>
      <c r="G4748" s="990"/>
      <c r="H4748" s="990"/>
      <c r="I4748" s="990"/>
      <c r="J4748" s="990"/>
      <c r="K4748" s="990"/>
      <c r="L4748" s="990"/>
      <c r="M4748" s="990"/>
      <c r="N4748" s="990"/>
      <c r="O4748" s="990"/>
      <c r="P4748" s="990"/>
      <c r="Q4748" s="990"/>
      <c r="R4748" s="990"/>
      <c r="S4748" s="990"/>
      <c r="T4748" s="990"/>
      <c r="U4748" s="990"/>
      <c r="V4748" s="990"/>
      <c r="W4748" s="990"/>
      <c r="X4748" s="990"/>
    </row>
    <row r="4749" spans="1:24" s="896" customFormat="1" ht="25.5">
      <c r="A4749" s="987">
        <f t="shared" si="75"/>
        <v>4675</v>
      </c>
      <c r="B4749" s="988">
        <v>44812</v>
      </c>
      <c r="C4749" s="899" t="s">
        <v>14075</v>
      </c>
      <c r="D4749" s="988" t="s">
        <v>2669</v>
      </c>
      <c r="E4749" s="989">
        <v>411.36</v>
      </c>
      <c r="F4749" s="990"/>
      <c r="G4749" s="990"/>
      <c r="H4749" s="990"/>
      <c r="I4749" s="990"/>
      <c r="J4749" s="990"/>
      <c r="K4749" s="990"/>
      <c r="L4749" s="990"/>
      <c r="M4749" s="990"/>
      <c r="N4749" s="990"/>
      <c r="O4749" s="990"/>
      <c r="P4749" s="990"/>
      <c r="Q4749" s="990"/>
      <c r="R4749" s="990"/>
      <c r="S4749" s="990"/>
      <c r="T4749" s="990"/>
      <c r="U4749" s="990"/>
      <c r="V4749" s="990"/>
      <c r="W4749" s="990"/>
      <c r="X4749" s="990"/>
    </row>
    <row r="4750" spans="1:24" s="896" customFormat="1" ht="25.5">
      <c r="A4750" s="987">
        <f t="shared" si="75"/>
        <v>4676</v>
      </c>
      <c r="B4750" s="988">
        <v>41785</v>
      </c>
      <c r="C4750" s="899" t="s">
        <v>14076</v>
      </c>
      <c r="D4750" s="988" t="s">
        <v>2669</v>
      </c>
      <c r="E4750" s="989">
        <v>1524.49</v>
      </c>
      <c r="F4750" s="990"/>
      <c r="G4750" s="990"/>
      <c r="H4750" s="990"/>
      <c r="I4750" s="990"/>
      <c r="J4750" s="990"/>
      <c r="K4750" s="990"/>
      <c r="L4750" s="990"/>
      <c r="M4750" s="990"/>
      <c r="N4750" s="990"/>
      <c r="O4750" s="990"/>
      <c r="P4750" s="990"/>
      <c r="Q4750" s="990"/>
      <c r="R4750" s="990"/>
      <c r="S4750" s="990"/>
      <c r="T4750" s="990"/>
      <c r="U4750" s="990"/>
      <c r="V4750" s="990"/>
      <c r="W4750" s="990"/>
      <c r="X4750" s="990"/>
    </row>
    <row r="4751" spans="1:24" s="896" customFormat="1" ht="25.5">
      <c r="A4751" s="987">
        <f t="shared" si="75"/>
        <v>4677</v>
      </c>
      <c r="B4751" s="988">
        <v>41781</v>
      </c>
      <c r="C4751" s="899" t="s">
        <v>14077</v>
      </c>
      <c r="D4751" s="988" t="s">
        <v>2669</v>
      </c>
      <c r="E4751" s="989">
        <v>275.27</v>
      </c>
      <c r="F4751" s="990"/>
      <c r="G4751" s="990"/>
      <c r="H4751" s="990"/>
      <c r="I4751" s="990"/>
      <c r="J4751" s="990"/>
      <c r="K4751" s="990"/>
      <c r="L4751" s="990"/>
      <c r="M4751" s="990"/>
      <c r="N4751" s="990"/>
      <c r="O4751" s="990"/>
      <c r="P4751" s="990"/>
      <c r="Q4751" s="990"/>
      <c r="R4751" s="990"/>
      <c r="S4751" s="990"/>
      <c r="T4751" s="990"/>
      <c r="U4751" s="990"/>
      <c r="V4751" s="990"/>
      <c r="W4751" s="990"/>
      <c r="X4751" s="990"/>
    </row>
    <row r="4752" spans="1:24" s="896" customFormat="1" ht="25.5">
      <c r="A4752" s="987">
        <f t="shared" si="75"/>
        <v>4678</v>
      </c>
      <c r="B4752" s="988">
        <v>41783</v>
      </c>
      <c r="C4752" s="899" t="s">
        <v>14078</v>
      </c>
      <c r="D4752" s="988" t="s">
        <v>2669</v>
      </c>
      <c r="E4752" s="989">
        <v>989.62</v>
      </c>
      <c r="F4752" s="990"/>
      <c r="G4752" s="990"/>
      <c r="H4752" s="990"/>
      <c r="I4752" s="990"/>
      <c r="J4752" s="990"/>
      <c r="K4752" s="990"/>
      <c r="L4752" s="990"/>
      <c r="M4752" s="990"/>
      <c r="N4752" s="990"/>
      <c r="O4752" s="990"/>
      <c r="P4752" s="990"/>
      <c r="Q4752" s="990"/>
      <c r="R4752" s="990"/>
      <c r="S4752" s="990"/>
      <c r="T4752" s="990"/>
      <c r="U4752" s="990"/>
      <c r="V4752" s="990"/>
      <c r="W4752" s="990"/>
      <c r="X4752" s="990"/>
    </row>
    <row r="4753" spans="1:24" s="896" customFormat="1" ht="25.5">
      <c r="A4753" s="987">
        <f t="shared" si="75"/>
        <v>4679</v>
      </c>
      <c r="B4753" s="988">
        <v>41786</v>
      </c>
      <c r="C4753" s="899" t="s">
        <v>14079</v>
      </c>
      <c r="D4753" s="988" t="s">
        <v>2669</v>
      </c>
      <c r="E4753" s="989">
        <v>2106.94</v>
      </c>
      <c r="F4753" s="990"/>
      <c r="G4753" s="990"/>
      <c r="H4753" s="990"/>
      <c r="I4753" s="990"/>
      <c r="J4753" s="990"/>
      <c r="K4753" s="990"/>
      <c r="L4753" s="990"/>
      <c r="M4753" s="990"/>
      <c r="N4753" s="990"/>
      <c r="O4753" s="990"/>
      <c r="P4753" s="990"/>
      <c r="Q4753" s="990"/>
      <c r="R4753" s="990"/>
      <c r="S4753" s="990"/>
      <c r="T4753" s="990"/>
      <c r="U4753" s="990"/>
      <c r="V4753" s="990"/>
      <c r="W4753" s="990"/>
      <c r="X4753" s="990"/>
    </row>
    <row r="4754" spans="1:24" s="896" customFormat="1" ht="25.5">
      <c r="A4754" s="987">
        <f t="shared" si="75"/>
        <v>4680</v>
      </c>
      <c r="B4754" s="988">
        <v>41779</v>
      </c>
      <c r="C4754" s="899" t="s">
        <v>14080</v>
      </c>
      <c r="D4754" s="988" t="s">
        <v>2669</v>
      </c>
      <c r="E4754" s="989">
        <v>108.41</v>
      </c>
      <c r="F4754" s="990"/>
      <c r="G4754" s="990"/>
      <c r="H4754" s="990"/>
      <c r="I4754" s="990"/>
      <c r="J4754" s="990"/>
      <c r="K4754" s="990"/>
      <c r="L4754" s="990"/>
      <c r="M4754" s="990"/>
      <c r="N4754" s="990"/>
      <c r="O4754" s="990"/>
      <c r="P4754" s="990"/>
      <c r="Q4754" s="990"/>
      <c r="R4754" s="990"/>
      <c r="S4754" s="990"/>
      <c r="T4754" s="990"/>
      <c r="U4754" s="990"/>
      <c r="V4754" s="990"/>
      <c r="W4754" s="990"/>
      <c r="X4754" s="990"/>
    </row>
    <row r="4755" spans="1:24" s="896" customFormat="1" ht="25.5">
      <c r="A4755" s="987">
        <f t="shared" si="75"/>
        <v>4681</v>
      </c>
      <c r="B4755" s="988">
        <v>41780</v>
      </c>
      <c r="C4755" s="899" t="s">
        <v>14081</v>
      </c>
      <c r="D4755" s="988" t="s">
        <v>2669</v>
      </c>
      <c r="E4755" s="989">
        <v>169.84</v>
      </c>
      <c r="F4755" s="990"/>
      <c r="G4755" s="990"/>
      <c r="H4755" s="990"/>
      <c r="I4755" s="990"/>
      <c r="J4755" s="990"/>
      <c r="K4755" s="990"/>
      <c r="L4755" s="990"/>
      <c r="M4755" s="990"/>
      <c r="N4755" s="990"/>
      <c r="O4755" s="990"/>
      <c r="P4755" s="990"/>
      <c r="Q4755" s="990"/>
      <c r="R4755" s="990"/>
      <c r="S4755" s="990"/>
      <c r="T4755" s="990"/>
      <c r="U4755" s="990"/>
      <c r="V4755" s="990"/>
      <c r="W4755" s="990"/>
      <c r="X4755" s="990"/>
    </row>
    <row r="4756" spans="1:24" s="896" customFormat="1" ht="25.5">
      <c r="A4756" s="987">
        <f t="shared" si="75"/>
        <v>4682</v>
      </c>
      <c r="B4756" s="988">
        <v>41782</v>
      </c>
      <c r="C4756" s="899" t="s">
        <v>14082</v>
      </c>
      <c r="D4756" s="988" t="s">
        <v>2669</v>
      </c>
      <c r="E4756" s="989">
        <v>608.41999999999996</v>
      </c>
      <c r="F4756" s="990"/>
      <c r="G4756" s="990"/>
      <c r="H4756" s="990"/>
      <c r="I4756" s="990"/>
      <c r="J4756" s="990"/>
      <c r="K4756" s="990"/>
      <c r="L4756" s="990"/>
      <c r="M4756" s="990"/>
      <c r="N4756" s="990"/>
      <c r="O4756" s="990"/>
      <c r="P4756" s="990"/>
      <c r="Q4756" s="990"/>
      <c r="R4756" s="990"/>
      <c r="S4756" s="990"/>
      <c r="T4756" s="990"/>
      <c r="U4756" s="990"/>
      <c r="V4756" s="990"/>
      <c r="W4756" s="990"/>
      <c r="X4756" s="990"/>
    </row>
    <row r="4757" spans="1:24" s="896" customFormat="1">
      <c r="A4757" s="987">
        <f t="shared" si="75"/>
        <v>4683</v>
      </c>
      <c r="B4757" s="988">
        <v>38130</v>
      </c>
      <c r="C4757" s="899" t="s">
        <v>14083</v>
      </c>
      <c r="D4757" s="988" t="s">
        <v>2669</v>
      </c>
      <c r="E4757" s="989">
        <v>49.72</v>
      </c>
      <c r="F4757" s="990"/>
      <c r="G4757" s="990"/>
      <c r="H4757" s="990"/>
      <c r="I4757" s="990"/>
      <c r="J4757" s="990"/>
      <c r="K4757" s="990"/>
      <c r="L4757" s="990"/>
      <c r="M4757" s="990"/>
      <c r="N4757" s="990"/>
      <c r="O4757" s="990"/>
      <c r="P4757" s="990"/>
      <c r="Q4757" s="990"/>
      <c r="R4757" s="990"/>
      <c r="S4757" s="990"/>
      <c r="T4757" s="990"/>
      <c r="U4757" s="990"/>
      <c r="V4757" s="990"/>
      <c r="W4757" s="990"/>
      <c r="X4757" s="990"/>
    </row>
    <row r="4758" spans="1:24" s="896" customFormat="1">
      <c r="A4758" s="987">
        <f t="shared" si="75"/>
        <v>4684</v>
      </c>
      <c r="B4758" s="988">
        <v>21123</v>
      </c>
      <c r="C4758" s="899" t="s">
        <v>14084</v>
      </c>
      <c r="D4758" s="988" t="s">
        <v>2669</v>
      </c>
      <c r="E4758" s="989">
        <v>14.11</v>
      </c>
      <c r="F4758" s="990"/>
      <c r="G4758" s="990"/>
      <c r="H4758" s="990"/>
      <c r="I4758" s="990"/>
      <c r="J4758" s="990"/>
      <c r="K4758" s="990"/>
      <c r="L4758" s="990"/>
      <c r="M4758" s="990"/>
      <c r="N4758" s="990"/>
      <c r="O4758" s="990"/>
      <c r="P4758" s="990"/>
      <c r="Q4758" s="990"/>
      <c r="R4758" s="990"/>
      <c r="S4758" s="990"/>
      <c r="T4758" s="990"/>
      <c r="U4758" s="990"/>
      <c r="V4758" s="990"/>
      <c r="W4758" s="990"/>
      <c r="X4758" s="990"/>
    </row>
    <row r="4759" spans="1:24" s="896" customFormat="1">
      <c r="A4759" s="987">
        <f t="shared" si="75"/>
        <v>4685</v>
      </c>
      <c r="B4759" s="988">
        <v>21124</v>
      </c>
      <c r="C4759" s="899" t="s">
        <v>14085</v>
      </c>
      <c r="D4759" s="988" t="s">
        <v>2669</v>
      </c>
      <c r="E4759" s="989">
        <v>25.02</v>
      </c>
      <c r="F4759" s="990"/>
      <c r="G4759" s="990"/>
      <c r="H4759" s="990"/>
      <c r="I4759" s="990"/>
      <c r="J4759" s="990"/>
      <c r="K4759" s="990"/>
      <c r="L4759" s="990"/>
      <c r="M4759" s="990"/>
      <c r="N4759" s="990"/>
      <c r="O4759" s="990"/>
      <c r="P4759" s="990"/>
      <c r="Q4759" s="990"/>
      <c r="R4759" s="990"/>
      <c r="S4759" s="990"/>
      <c r="T4759" s="990"/>
      <c r="U4759" s="990"/>
      <c r="V4759" s="990"/>
      <c r="W4759" s="990"/>
      <c r="X4759" s="990"/>
    </row>
    <row r="4760" spans="1:24" s="896" customFormat="1">
      <c r="A4760" s="987">
        <f t="shared" si="75"/>
        <v>4686</v>
      </c>
      <c r="B4760" s="988">
        <v>21125</v>
      </c>
      <c r="C4760" s="899" t="s">
        <v>14086</v>
      </c>
      <c r="D4760" s="988" t="s">
        <v>2669</v>
      </c>
      <c r="E4760" s="989">
        <v>40.159999999999997</v>
      </c>
      <c r="F4760" s="990"/>
      <c r="G4760" s="990"/>
      <c r="H4760" s="990"/>
      <c r="I4760" s="990"/>
      <c r="J4760" s="990"/>
      <c r="K4760" s="990"/>
      <c r="L4760" s="990"/>
      <c r="M4760" s="990"/>
      <c r="N4760" s="990"/>
      <c r="O4760" s="990"/>
      <c r="P4760" s="990"/>
      <c r="Q4760" s="990"/>
      <c r="R4760" s="990"/>
      <c r="S4760" s="990"/>
      <c r="T4760" s="990"/>
      <c r="U4760" s="990"/>
      <c r="V4760" s="990"/>
      <c r="W4760" s="990"/>
      <c r="X4760" s="990"/>
    </row>
    <row r="4761" spans="1:24" s="896" customFormat="1">
      <c r="A4761" s="987">
        <f t="shared" si="75"/>
        <v>4687</v>
      </c>
      <c r="B4761" s="988">
        <v>38028</v>
      </c>
      <c r="C4761" s="899" t="s">
        <v>14087</v>
      </c>
      <c r="D4761" s="988" t="s">
        <v>2669</v>
      </c>
      <c r="E4761" s="989">
        <v>68.14</v>
      </c>
      <c r="F4761" s="990"/>
      <c r="G4761" s="990"/>
      <c r="H4761" s="990"/>
      <c r="I4761" s="990"/>
      <c r="J4761" s="990"/>
      <c r="K4761" s="990"/>
      <c r="L4761" s="990"/>
      <c r="M4761" s="990"/>
      <c r="N4761" s="990"/>
      <c r="O4761" s="990"/>
      <c r="P4761" s="990"/>
      <c r="Q4761" s="990"/>
      <c r="R4761" s="990"/>
      <c r="S4761" s="990"/>
      <c r="T4761" s="990"/>
      <c r="U4761" s="990"/>
      <c r="V4761" s="990"/>
      <c r="W4761" s="990"/>
      <c r="X4761" s="990"/>
    </row>
    <row r="4762" spans="1:24" s="896" customFormat="1">
      <c r="A4762" s="987">
        <f t="shared" si="75"/>
        <v>4688</v>
      </c>
      <c r="B4762" s="988">
        <v>38029</v>
      </c>
      <c r="C4762" s="899" t="s">
        <v>14088</v>
      </c>
      <c r="D4762" s="988" t="s">
        <v>2669</v>
      </c>
      <c r="E4762" s="989">
        <v>103.87</v>
      </c>
      <c r="F4762" s="990"/>
      <c r="G4762" s="990"/>
      <c r="H4762" s="990"/>
      <c r="I4762" s="990"/>
      <c r="J4762" s="990"/>
      <c r="K4762" s="990"/>
      <c r="L4762" s="990"/>
      <c r="M4762" s="990"/>
      <c r="N4762" s="990"/>
      <c r="O4762" s="990"/>
      <c r="P4762" s="990"/>
      <c r="Q4762" s="990"/>
      <c r="R4762" s="990"/>
      <c r="S4762" s="990"/>
      <c r="T4762" s="990"/>
      <c r="U4762" s="990"/>
      <c r="V4762" s="990"/>
      <c r="W4762" s="990"/>
      <c r="X4762" s="990"/>
    </row>
    <row r="4763" spans="1:24" s="896" customFormat="1">
      <c r="A4763" s="987">
        <f t="shared" si="75"/>
        <v>4689</v>
      </c>
      <c r="B4763" s="988">
        <v>38030</v>
      </c>
      <c r="C4763" s="899" t="s">
        <v>14089</v>
      </c>
      <c r="D4763" s="988" t="s">
        <v>2669</v>
      </c>
      <c r="E4763" s="989">
        <v>159.54</v>
      </c>
      <c r="F4763" s="990"/>
      <c r="G4763" s="990"/>
      <c r="H4763" s="990"/>
      <c r="I4763" s="990"/>
      <c r="J4763" s="990"/>
      <c r="K4763" s="990"/>
      <c r="L4763" s="990"/>
      <c r="M4763" s="990"/>
      <c r="N4763" s="990"/>
      <c r="O4763" s="990"/>
      <c r="P4763" s="990"/>
      <c r="Q4763" s="990"/>
      <c r="R4763" s="990"/>
      <c r="S4763" s="990"/>
      <c r="T4763" s="990"/>
      <c r="U4763" s="990"/>
      <c r="V4763" s="990"/>
      <c r="W4763" s="990"/>
      <c r="X4763" s="990"/>
    </row>
    <row r="4764" spans="1:24" s="896" customFormat="1">
      <c r="A4764" s="987">
        <f t="shared" si="75"/>
        <v>4690</v>
      </c>
      <c r="B4764" s="988">
        <v>38031</v>
      </c>
      <c r="C4764" s="899" t="s">
        <v>14090</v>
      </c>
      <c r="D4764" s="988" t="s">
        <v>2669</v>
      </c>
      <c r="E4764" s="989">
        <v>252.82</v>
      </c>
      <c r="F4764" s="990"/>
      <c r="G4764" s="990"/>
      <c r="H4764" s="990"/>
      <c r="I4764" s="990"/>
      <c r="J4764" s="990"/>
      <c r="K4764" s="990"/>
      <c r="L4764" s="990"/>
      <c r="M4764" s="990"/>
      <c r="N4764" s="990"/>
      <c r="O4764" s="990"/>
      <c r="P4764" s="990"/>
      <c r="Q4764" s="990"/>
      <c r="R4764" s="990"/>
      <c r="S4764" s="990"/>
      <c r="T4764" s="990"/>
      <c r="U4764" s="990"/>
      <c r="V4764" s="990"/>
      <c r="W4764" s="990"/>
      <c r="X4764" s="990"/>
    </row>
    <row r="4765" spans="1:24" s="896" customFormat="1" ht="38.25">
      <c r="A4765" s="987">
        <f t="shared" si="75"/>
        <v>4691</v>
      </c>
      <c r="B4765" s="988">
        <v>39735</v>
      </c>
      <c r="C4765" s="899" t="s">
        <v>14091</v>
      </c>
      <c r="D4765" s="988" t="s">
        <v>2669</v>
      </c>
      <c r="E4765" s="989">
        <v>96.1</v>
      </c>
      <c r="F4765" s="990"/>
      <c r="G4765" s="990"/>
      <c r="H4765" s="990"/>
      <c r="I4765" s="990"/>
      <c r="J4765" s="990"/>
      <c r="K4765" s="990"/>
      <c r="L4765" s="990"/>
      <c r="M4765" s="990"/>
      <c r="N4765" s="990"/>
      <c r="O4765" s="990"/>
      <c r="P4765" s="990"/>
      <c r="Q4765" s="990"/>
      <c r="R4765" s="990"/>
      <c r="S4765" s="990"/>
      <c r="T4765" s="990"/>
      <c r="U4765" s="990"/>
      <c r="V4765" s="990"/>
      <c r="W4765" s="990"/>
      <c r="X4765" s="990"/>
    </row>
    <row r="4766" spans="1:24" s="896" customFormat="1" ht="38.25">
      <c r="A4766" s="987">
        <f t="shared" si="75"/>
        <v>4692</v>
      </c>
      <c r="B4766" s="988">
        <v>39734</v>
      </c>
      <c r="C4766" s="899" t="s">
        <v>14092</v>
      </c>
      <c r="D4766" s="988" t="s">
        <v>2669</v>
      </c>
      <c r="E4766" s="989">
        <v>113.99</v>
      </c>
      <c r="F4766" s="990"/>
      <c r="G4766" s="990"/>
      <c r="H4766" s="990"/>
      <c r="I4766" s="990"/>
      <c r="J4766" s="990"/>
      <c r="K4766" s="990"/>
      <c r="L4766" s="990"/>
      <c r="M4766" s="990"/>
      <c r="N4766" s="990"/>
      <c r="O4766" s="990"/>
      <c r="P4766" s="990"/>
      <c r="Q4766" s="990"/>
      <c r="R4766" s="990"/>
      <c r="S4766" s="990"/>
      <c r="T4766" s="990"/>
      <c r="U4766" s="990"/>
      <c r="V4766" s="990"/>
      <c r="W4766" s="990"/>
      <c r="X4766" s="990"/>
    </row>
    <row r="4767" spans="1:24" s="896" customFormat="1" ht="38.25">
      <c r="A4767" s="987">
        <f t="shared" si="75"/>
        <v>4693</v>
      </c>
      <c r="B4767" s="988">
        <v>39736</v>
      </c>
      <c r="C4767" s="899" t="s">
        <v>14093</v>
      </c>
      <c r="D4767" s="988" t="s">
        <v>2669</v>
      </c>
      <c r="E4767" s="989">
        <v>130.1</v>
      </c>
      <c r="F4767" s="990"/>
      <c r="G4767" s="990"/>
      <c r="H4767" s="990"/>
      <c r="I4767" s="990"/>
      <c r="J4767" s="990"/>
      <c r="K4767" s="990"/>
      <c r="L4767" s="990"/>
      <c r="M4767" s="990"/>
      <c r="N4767" s="990"/>
      <c r="O4767" s="990"/>
      <c r="P4767" s="990"/>
      <c r="Q4767" s="990"/>
      <c r="R4767" s="990"/>
      <c r="S4767" s="990"/>
      <c r="T4767" s="990"/>
      <c r="U4767" s="990"/>
      <c r="V4767" s="990"/>
      <c r="W4767" s="990"/>
      <c r="X4767" s="990"/>
    </row>
    <row r="4768" spans="1:24" s="896" customFormat="1" ht="38.25">
      <c r="A4768" s="987">
        <f t="shared" si="75"/>
        <v>4694</v>
      </c>
      <c r="B4768" s="988">
        <v>39737</v>
      </c>
      <c r="C4768" s="899" t="s">
        <v>14094</v>
      </c>
      <c r="D4768" s="988" t="s">
        <v>2669</v>
      </c>
      <c r="E4768" s="989">
        <v>17.5</v>
      </c>
      <c r="F4768" s="990"/>
      <c r="G4768" s="990"/>
      <c r="H4768" s="990"/>
      <c r="I4768" s="990"/>
      <c r="J4768" s="990"/>
      <c r="K4768" s="990"/>
      <c r="L4768" s="990"/>
      <c r="M4768" s="990"/>
      <c r="N4768" s="990"/>
      <c r="O4768" s="990"/>
      <c r="P4768" s="990"/>
      <c r="Q4768" s="990"/>
      <c r="R4768" s="990"/>
      <c r="S4768" s="990"/>
      <c r="T4768" s="990"/>
      <c r="U4768" s="990"/>
      <c r="V4768" s="990"/>
      <c r="W4768" s="990"/>
      <c r="X4768" s="990"/>
    </row>
    <row r="4769" spans="1:24" s="896" customFormat="1" ht="38.25">
      <c r="A4769" s="987">
        <f t="shared" si="75"/>
        <v>4695</v>
      </c>
      <c r="B4769" s="988">
        <v>39738</v>
      </c>
      <c r="C4769" s="899" t="s">
        <v>14095</v>
      </c>
      <c r="D4769" s="988" t="s">
        <v>2669</v>
      </c>
      <c r="E4769" s="989">
        <v>6.33</v>
      </c>
      <c r="F4769" s="990"/>
      <c r="G4769" s="990"/>
      <c r="H4769" s="990"/>
      <c r="I4769" s="990"/>
      <c r="J4769" s="990"/>
      <c r="K4769" s="990"/>
      <c r="L4769" s="990"/>
      <c r="M4769" s="990"/>
      <c r="N4769" s="990"/>
      <c r="O4769" s="990"/>
      <c r="P4769" s="990"/>
      <c r="Q4769" s="990"/>
      <c r="R4769" s="990"/>
      <c r="S4769" s="990"/>
      <c r="T4769" s="990"/>
      <c r="U4769" s="990"/>
      <c r="V4769" s="990"/>
      <c r="W4769" s="990"/>
      <c r="X4769" s="990"/>
    </row>
    <row r="4770" spans="1:24" s="896" customFormat="1" ht="38.25">
      <c r="A4770" s="987">
        <f t="shared" si="75"/>
        <v>4696</v>
      </c>
      <c r="B4770" s="988">
        <v>39739</v>
      </c>
      <c r="C4770" s="899" t="s">
        <v>14096</v>
      </c>
      <c r="D4770" s="988" t="s">
        <v>2669</v>
      </c>
      <c r="E4770" s="989">
        <v>89.97</v>
      </c>
      <c r="F4770" s="990"/>
      <c r="G4770" s="990"/>
      <c r="H4770" s="990"/>
      <c r="I4770" s="990"/>
      <c r="J4770" s="990"/>
      <c r="K4770" s="990"/>
      <c r="L4770" s="990"/>
      <c r="M4770" s="990"/>
      <c r="N4770" s="990"/>
      <c r="O4770" s="990"/>
      <c r="P4770" s="990"/>
      <c r="Q4770" s="990"/>
      <c r="R4770" s="990"/>
      <c r="S4770" s="990"/>
      <c r="T4770" s="990"/>
      <c r="U4770" s="990"/>
      <c r="V4770" s="990"/>
      <c r="W4770" s="990"/>
      <c r="X4770" s="990"/>
    </row>
    <row r="4771" spans="1:24" s="896" customFormat="1" ht="38.25">
      <c r="A4771" s="987">
        <f t="shared" si="75"/>
        <v>4697</v>
      </c>
      <c r="B4771" s="988">
        <v>39733</v>
      </c>
      <c r="C4771" s="899" t="s">
        <v>14097</v>
      </c>
      <c r="D4771" s="988" t="s">
        <v>2669</v>
      </c>
      <c r="E4771" s="989">
        <v>155.69</v>
      </c>
      <c r="F4771" s="990"/>
      <c r="G4771" s="990"/>
      <c r="H4771" s="990"/>
      <c r="I4771" s="990"/>
      <c r="J4771" s="990"/>
      <c r="K4771" s="990"/>
      <c r="L4771" s="990"/>
      <c r="M4771" s="990"/>
      <c r="N4771" s="990"/>
      <c r="O4771" s="990"/>
      <c r="P4771" s="990"/>
      <c r="Q4771" s="990"/>
      <c r="R4771" s="990"/>
      <c r="S4771" s="990"/>
      <c r="T4771" s="990"/>
      <c r="U4771" s="990"/>
      <c r="V4771" s="990"/>
      <c r="W4771" s="990"/>
      <c r="X4771" s="990"/>
    </row>
    <row r="4772" spans="1:24" s="896" customFormat="1" ht="38.25">
      <c r="A4772" s="987">
        <f t="shared" si="75"/>
        <v>4698</v>
      </c>
      <c r="B4772" s="988">
        <v>39854</v>
      </c>
      <c r="C4772" s="899" t="s">
        <v>14098</v>
      </c>
      <c r="D4772" s="988" t="s">
        <v>2669</v>
      </c>
      <c r="E4772" s="989">
        <v>157.88999999999999</v>
      </c>
      <c r="F4772" s="990"/>
      <c r="G4772" s="990"/>
      <c r="H4772" s="990"/>
      <c r="I4772" s="990"/>
      <c r="J4772" s="990"/>
      <c r="K4772" s="990"/>
      <c r="L4772" s="990"/>
      <c r="M4772" s="990"/>
      <c r="N4772" s="990"/>
      <c r="O4772" s="990"/>
      <c r="P4772" s="990"/>
      <c r="Q4772" s="990"/>
      <c r="R4772" s="990"/>
      <c r="S4772" s="990"/>
      <c r="T4772" s="990"/>
      <c r="U4772" s="990"/>
      <c r="V4772" s="990"/>
      <c r="W4772" s="990"/>
      <c r="X4772" s="990"/>
    </row>
    <row r="4773" spans="1:24" s="896" customFormat="1" ht="38.25">
      <c r="A4773" s="987">
        <f t="shared" si="75"/>
        <v>4699</v>
      </c>
      <c r="B4773" s="988">
        <v>39740</v>
      </c>
      <c r="C4773" s="899" t="s">
        <v>14099</v>
      </c>
      <c r="D4773" s="988" t="s">
        <v>2669</v>
      </c>
      <c r="E4773" s="989">
        <v>86.39</v>
      </c>
      <c r="F4773" s="990"/>
      <c r="G4773" s="990"/>
      <c r="H4773" s="990"/>
      <c r="I4773" s="990"/>
      <c r="J4773" s="990"/>
      <c r="K4773" s="990"/>
      <c r="L4773" s="990"/>
      <c r="M4773" s="990"/>
      <c r="N4773" s="990"/>
      <c r="O4773" s="990"/>
      <c r="P4773" s="990"/>
      <c r="Q4773" s="990"/>
      <c r="R4773" s="990"/>
      <c r="S4773" s="990"/>
      <c r="T4773" s="990"/>
      <c r="U4773" s="990"/>
      <c r="V4773" s="990"/>
      <c r="W4773" s="990"/>
      <c r="X4773" s="990"/>
    </row>
    <row r="4774" spans="1:24" s="896" customFormat="1" ht="38.25">
      <c r="A4774" s="987">
        <f t="shared" si="75"/>
        <v>4700</v>
      </c>
      <c r="B4774" s="988">
        <v>39741</v>
      </c>
      <c r="C4774" s="899" t="s">
        <v>14100</v>
      </c>
      <c r="D4774" s="988" t="s">
        <v>2669</v>
      </c>
      <c r="E4774" s="989">
        <v>15.92</v>
      </c>
      <c r="F4774" s="990"/>
      <c r="G4774" s="990"/>
      <c r="H4774" s="990"/>
      <c r="I4774" s="990"/>
      <c r="J4774" s="990"/>
      <c r="K4774" s="990"/>
      <c r="L4774" s="990"/>
      <c r="M4774" s="990"/>
      <c r="N4774" s="990"/>
      <c r="O4774" s="990"/>
      <c r="P4774" s="990"/>
      <c r="Q4774" s="990"/>
      <c r="R4774" s="990"/>
      <c r="S4774" s="990"/>
      <c r="T4774" s="990"/>
      <c r="U4774" s="990"/>
      <c r="V4774" s="990"/>
      <c r="W4774" s="990"/>
      <c r="X4774" s="990"/>
    </row>
    <row r="4775" spans="1:24" s="896" customFormat="1" ht="38.25">
      <c r="A4775" s="987">
        <f t="shared" si="75"/>
        <v>4701</v>
      </c>
      <c r="B4775" s="988">
        <v>39853</v>
      </c>
      <c r="C4775" s="899" t="s">
        <v>14101</v>
      </c>
      <c r="D4775" s="988" t="s">
        <v>2669</v>
      </c>
      <c r="E4775" s="989">
        <v>20.91</v>
      </c>
      <c r="F4775" s="990"/>
      <c r="G4775" s="990"/>
      <c r="H4775" s="990"/>
      <c r="I4775" s="990"/>
      <c r="J4775" s="990"/>
      <c r="K4775" s="990"/>
      <c r="L4775" s="990"/>
      <c r="M4775" s="990"/>
      <c r="N4775" s="990"/>
      <c r="O4775" s="990"/>
      <c r="P4775" s="990"/>
      <c r="Q4775" s="990"/>
      <c r="R4775" s="990"/>
      <c r="S4775" s="990"/>
      <c r="T4775" s="990"/>
      <c r="U4775" s="990"/>
      <c r="V4775" s="990"/>
      <c r="W4775" s="990"/>
      <c r="X4775" s="990"/>
    </row>
    <row r="4776" spans="1:24" s="896" customFormat="1" ht="38.25">
      <c r="A4776" s="987">
        <f t="shared" si="75"/>
        <v>4702</v>
      </c>
      <c r="B4776" s="988">
        <v>39742</v>
      </c>
      <c r="C4776" s="899" t="s">
        <v>14102</v>
      </c>
      <c r="D4776" s="988" t="s">
        <v>2669</v>
      </c>
      <c r="E4776" s="989">
        <v>69.44</v>
      </c>
      <c r="F4776" s="990"/>
      <c r="G4776" s="990"/>
      <c r="H4776" s="990"/>
      <c r="I4776" s="990"/>
      <c r="J4776" s="990"/>
      <c r="K4776" s="990"/>
      <c r="L4776" s="990"/>
      <c r="M4776" s="990"/>
      <c r="N4776" s="990"/>
      <c r="O4776" s="990"/>
      <c r="P4776" s="990"/>
      <c r="Q4776" s="990"/>
      <c r="R4776" s="990"/>
      <c r="S4776" s="990"/>
      <c r="T4776" s="990"/>
      <c r="U4776" s="990"/>
      <c r="V4776" s="990"/>
      <c r="W4776" s="990"/>
      <c r="X4776" s="990"/>
    </row>
    <row r="4777" spans="1:24" s="896" customFormat="1" ht="25.5">
      <c r="A4777" s="987">
        <f t="shared" si="75"/>
        <v>4703</v>
      </c>
      <c r="B4777" s="988">
        <v>39749</v>
      </c>
      <c r="C4777" s="899" t="s">
        <v>14103</v>
      </c>
      <c r="D4777" s="988" t="s">
        <v>2669</v>
      </c>
      <c r="E4777" s="989">
        <v>104.85</v>
      </c>
      <c r="F4777" s="990"/>
      <c r="G4777" s="990"/>
      <c r="H4777" s="990"/>
      <c r="I4777" s="990"/>
      <c r="J4777" s="990"/>
      <c r="K4777" s="990"/>
      <c r="L4777" s="990"/>
      <c r="M4777" s="990"/>
      <c r="N4777" s="990"/>
      <c r="O4777" s="990"/>
      <c r="P4777" s="990"/>
      <c r="Q4777" s="990"/>
      <c r="R4777" s="990"/>
      <c r="S4777" s="990"/>
      <c r="T4777" s="990"/>
      <c r="U4777" s="990"/>
      <c r="V4777" s="990"/>
      <c r="W4777" s="990"/>
      <c r="X4777" s="990"/>
    </row>
    <row r="4778" spans="1:24" s="896" customFormat="1" ht="25.5">
      <c r="A4778" s="987">
        <f t="shared" si="75"/>
        <v>4704</v>
      </c>
      <c r="B4778" s="988">
        <v>39751</v>
      </c>
      <c r="C4778" s="899" t="s">
        <v>14104</v>
      </c>
      <c r="D4778" s="988" t="s">
        <v>2669</v>
      </c>
      <c r="E4778" s="989">
        <v>190.52</v>
      </c>
      <c r="F4778" s="990"/>
      <c r="G4778" s="990"/>
      <c r="H4778" s="990"/>
      <c r="I4778" s="990"/>
      <c r="J4778" s="990"/>
      <c r="K4778" s="990"/>
      <c r="L4778" s="990"/>
      <c r="M4778" s="990"/>
      <c r="N4778" s="990"/>
      <c r="O4778" s="990"/>
      <c r="P4778" s="990"/>
      <c r="Q4778" s="990"/>
      <c r="R4778" s="990"/>
      <c r="S4778" s="990"/>
      <c r="T4778" s="990"/>
      <c r="U4778" s="990"/>
      <c r="V4778" s="990"/>
      <c r="W4778" s="990"/>
      <c r="X4778" s="990"/>
    </row>
    <row r="4779" spans="1:24" s="896" customFormat="1" ht="25.5">
      <c r="A4779" s="987">
        <f t="shared" si="75"/>
        <v>4705</v>
      </c>
      <c r="B4779" s="988">
        <v>39750</v>
      </c>
      <c r="C4779" s="899" t="s">
        <v>14105</v>
      </c>
      <c r="D4779" s="988" t="s">
        <v>2669</v>
      </c>
      <c r="E4779" s="989">
        <v>158.36000000000001</v>
      </c>
      <c r="F4779" s="990"/>
      <c r="G4779" s="990"/>
      <c r="H4779" s="990"/>
      <c r="I4779" s="990"/>
      <c r="J4779" s="990"/>
      <c r="K4779" s="990"/>
      <c r="L4779" s="990"/>
      <c r="M4779" s="990"/>
      <c r="N4779" s="990"/>
      <c r="O4779" s="990"/>
      <c r="P4779" s="990"/>
      <c r="Q4779" s="990"/>
      <c r="R4779" s="990"/>
      <c r="S4779" s="990"/>
      <c r="T4779" s="990"/>
      <c r="U4779" s="990"/>
      <c r="V4779" s="990"/>
      <c r="W4779" s="990"/>
      <c r="X4779" s="990"/>
    </row>
    <row r="4780" spans="1:24" s="896" customFormat="1" ht="25.5">
      <c r="A4780" s="987">
        <f t="shared" si="75"/>
        <v>4706</v>
      </c>
      <c r="B4780" s="988">
        <v>39747</v>
      </c>
      <c r="C4780" s="899" t="s">
        <v>14106</v>
      </c>
      <c r="D4780" s="988" t="s">
        <v>2669</v>
      </c>
      <c r="E4780" s="989">
        <v>50.94</v>
      </c>
      <c r="F4780" s="990"/>
      <c r="G4780" s="990"/>
      <c r="H4780" s="990"/>
      <c r="I4780" s="990"/>
      <c r="J4780" s="990"/>
      <c r="K4780" s="990"/>
      <c r="L4780" s="990"/>
      <c r="M4780" s="990"/>
      <c r="N4780" s="990"/>
      <c r="O4780" s="990"/>
      <c r="P4780" s="990"/>
      <c r="Q4780" s="990"/>
      <c r="R4780" s="990"/>
      <c r="S4780" s="990"/>
      <c r="T4780" s="990"/>
      <c r="U4780" s="990"/>
      <c r="V4780" s="990"/>
      <c r="W4780" s="990"/>
      <c r="X4780" s="990"/>
    </row>
    <row r="4781" spans="1:24" s="896" customFormat="1" ht="25.5">
      <c r="A4781" s="987">
        <f t="shared" si="75"/>
        <v>4707</v>
      </c>
      <c r="B4781" s="988">
        <v>39753</v>
      </c>
      <c r="C4781" s="899" t="s">
        <v>14107</v>
      </c>
      <c r="D4781" s="988" t="s">
        <v>2669</v>
      </c>
      <c r="E4781" s="989">
        <v>350.71</v>
      </c>
      <c r="F4781" s="990"/>
      <c r="G4781" s="990"/>
      <c r="H4781" s="990"/>
      <c r="I4781" s="990"/>
      <c r="J4781" s="990"/>
      <c r="K4781" s="990"/>
      <c r="L4781" s="990"/>
      <c r="M4781" s="990"/>
      <c r="N4781" s="990"/>
      <c r="O4781" s="990"/>
      <c r="P4781" s="990"/>
      <c r="Q4781" s="990"/>
      <c r="R4781" s="990"/>
      <c r="S4781" s="990"/>
      <c r="T4781" s="990"/>
      <c r="U4781" s="990"/>
      <c r="V4781" s="990"/>
      <c r="W4781" s="990"/>
      <c r="X4781" s="990"/>
    </row>
    <row r="4782" spans="1:24" s="896" customFormat="1" ht="25.5">
      <c r="A4782" s="987">
        <f t="shared" si="75"/>
        <v>4708</v>
      </c>
      <c r="B4782" s="988">
        <v>39754</v>
      </c>
      <c r="C4782" s="899" t="s">
        <v>14108</v>
      </c>
      <c r="D4782" s="988" t="s">
        <v>2669</v>
      </c>
      <c r="E4782" s="989">
        <v>516.69000000000005</v>
      </c>
      <c r="F4782" s="990"/>
      <c r="G4782" s="990"/>
      <c r="H4782" s="990"/>
      <c r="I4782" s="990"/>
      <c r="J4782" s="990"/>
      <c r="K4782" s="990"/>
      <c r="L4782" s="990"/>
      <c r="M4782" s="990"/>
      <c r="N4782" s="990"/>
      <c r="O4782" s="990"/>
      <c r="P4782" s="990"/>
      <c r="Q4782" s="990"/>
      <c r="R4782" s="990"/>
      <c r="S4782" s="990"/>
      <c r="T4782" s="990"/>
      <c r="U4782" s="990"/>
      <c r="V4782" s="990"/>
      <c r="W4782" s="990"/>
      <c r="X4782" s="990"/>
    </row>
    <row r="4783" spans="1:24" s="896" customFormat="1" ht="25.5">
      <c r="A4783" s="987">
        <f t="shared" si="75"/>
        <v>4709</v>
      </c>
      <c r="B4783" s="988">
        <v>39748</v>
      </c>
      <c r="C4783" s="899" t="s">
        <v>14109</v>
      </c>
      <c r="D4783" s="988" t="s">
        <v>2669</v>
      </c>
      <c r="E4783" s="989">
        <v>82.42</v>
      </c>
      <c r="F4783" s="990"/>
      <c r="G4783" s="990"/>
      <c r="H4783" s="990"/>
      <c r="I4783" s="990"/>
      <c r="J4783" s="990"/>
      <c r="K4783" s="990"/>
      <c r="L4783" s="990"/>
      <c r="M4783" s="990"/>
      <c r="N4783" s="990"/>
      <c r="O4783" s="990"/>
      <c r="P4783" s="990"/>
      <c r="Q4783" s="990"/>
      <c r="R4783" s="990"/>
      <c r="S4783" s="990"/>
      <c r="T4783" s="990"/>
      <c r="U4783" s="990"/>
      <c r="V4783" s="990"/>
      <c r="W4783" s="990"/>
      <c r="X4783" s="990"/>
    </row>
    <row r="4784" spans="1:24" s="896" customFormat="1" ht="25.5">
      <c r="A4784" s="987">
        <f t="shared" si="75"/>
        <v>4710</v>
      </c>
      <c r="B4784" s="988">
        <v>39755</v>
      </c>
      <c r="C4784" s="899" t="s">
        <v>14110</v>
      </c>
      <c r="D4784" s="988" t="s">
        <v>2669</v>
      </c>
      <c r="E4784" s="989">
        <v>783.42</v>
      </c>
      <c r="F4784" s="990"/>
      <c r="G4784" s="990"/>
      <c r="H4784" s="990"/>
      <c r="I4784" s="990"/>
      <c r="J4784" s="990"/>
      <c r="K4784" s="990"/>
      <c r="L4784" s="990"/>
      <c r="M4784" s="990"/>
      <c r="N4784" s="990"/>
      <c r="O4784" s="990"/>
      <c r="P4784" s="990"/>
      <c r="Q4784" s="990"/>
      <c r="R4784" s="990"/>
      <c r="S4784" s="990"/>
      <c r="T4784" s="990"/>
      <c r="U4784" s="990"/>
      <c r="V4784" s="990"/>
      <c r="W4784" s="990"/>
      <c r="X4784" s="990"/>
    </row>
    <row r="4785" spans="1:24" s="896" customFormat="1">
      <c r="A4785" s="987">
        <f t="shared" si="75"/>
        <v>4711</v>
      </c>
      <c r="B4785" s="988">
        <v>12742</v>
      </c>
      <c r="C4785" s="899" t="s">
        <v>14111</v>
      </c>
      <c r="D4785" s="988" t="s">
        <v>2669</v>
      </c>
      <c r="E4785" s="989">
        <v>620.33000000000004</v>
      </c>
      <c r="F4785" s="990"/>
      <c r="G4785" s="990"/>
      <c r="H4785" s="990"/>
      <c r="I4785" s="990"/>
      <c r="J4785" s="990"/>
      <c r="K4785" s="990"/>
      <c r="L4785" s="990"/>
      <c r="M4785" s="990"/>
      <c r="N4785" s="990"/>
      <c r="O4785" s="990"/>
      <c r="P4785" s="990"/>
      <c r="Q4785" s="990"/>
      <c r="R4785" s="990"/>
      <c r="S4785" s="990"/>
      <c r="T4785" s="990"/>
      <c r="U4785" s="990"/>
      <c r="V4785" s="990"/>
      <c r="W4785" s="990"/>
      <c r="X4785" s="990"/>
    </row>
    <row r="4786" spans="1:24" s="896" customFormat="1">
      <c r="A4786" s="987">
        <f t="shared" si="75"/>
        <v>4712</v>
      </c>
      <c r="B4786" s="988">
        <v>12713</v>
      </c>
      <c r="C4786" s="899" t="s">
        <v>14112</v>
      </c>
      <c r="D4786" s="988" t="s">
        <v>2669</v>
      </c>
      <c r="E4786" s="989">
        <v>32.9</v>
      </c>
      <c r="F4786" s="990"/>
      <c r="G4786" s="990"/>
      <c r="H4786" s="990"/>
      <c r="I4786" s="990"/>
      <c r="J4786" s="990"/>
      <c r="K4786" s="990"/>
      <c r="L4786" s="990"/>
      <c r="M4786" s="990"/>
      <c r="N4786" s="990"/>
      <c r="O4786" s="990"/>
      <c r="P4786" s="990"/>
      <c r="Q4786" s="990"/>
      <c r="R4786" s="990"/>
      <c r="S4786" s="990"/>
      <c r="T4786" s="990"/>
      <c r="U4786" s="990"/>
      <c r="V4786" s="990"/>
      <c r="W4786" s="990"/>
      <c r="X4786" s="990"/>
    </row>
    <row r="4787" spans="1:24" s="896" customFormat="1">
      <c r="A4787" s="987">
        <f t="shared" si="75"/>
        <v>4713</v>
      </c>
      <c r="B4787" s="988">
        <v>12743</v>
      </c>
      <c r="C4787" s="899" t="s">
        <v>14113</v>
      </c>
      <c r="D4787" s="988" t="s">
        <v>2669</v>
      </c>
      <c r="E4787" s="989">
        <v>56.59</v>
      </c>
      <c r="F4787" s="990"/>
      <c r="G4787" s="990"/>
      <c r="H4787" s="990"/>
      <c r="I4787" s="990"/>
      <c r="J4787" s="990"/>
      <c r="K4787" s="990"/>
      <c r="L4787" s="990"/>
      <c r="M4787" s="990"/>
      <c r="N4787" s="990"/>
      <c r="O4787" s="990"/>
      <c r="P4787" s="990"/>
      <c r="Q4787" s="990"/>
      <c r="R4787" s="990"/>
      <c r="S4787" s="990"/>
      <c r="T4787" s="990"/>
      <c r="U4787" s="990"/>
      <c r="V4787" s="990"/>
      <c r="W4787" s="990"/>
      <c r="X4787" s="990"/>
    </row>
    <row r="4788" spans="1:24" s="896" customFormat="1">
      <c r="A4788" s="987">
        <f t="shared" si="75"/>
        <v>4714</v>
      </c>
      <c r="B4788" s="988">
        <v>12744</v>
      </c>
      <c r="C4788" s="899" t="s">
        <v>14114</v>
      </c>
      <c r="D4788" s="988" t="s">
        <v>2669</v>
      </c>
      <c r="E4788" s="989">
        <v>71.83</v>
      </c>
      <c r="F4788" s="990"/>
      <c r="G4788" s="990"/>
      <c r="H4788" s="990"/>
      <c r="I4788" s="990"/>
      <c r="J4788" s="990"/>
      <c r="K4788" s="990"/>
      <c r="L4788" s="990"/>
      <c r="M4788" s="990"/>
      <c r="N4788" s="990"/>
      <c r="O4788" s="990"/>
      <c r="P4788" s="990"/>
      <c r="Q4788" s="990"/>
      <c r="R4788" s="990"/>
      <c r="S4788" s="990"/>
      <c r="T4788" s="990"/>
      <c r="U4788" s="990"/>
      <c r="V4788" s="990"/>
      <c r="W4788" s="990"/>
      <c r="X4788" s="990"/>
    </row>
    <row r="4789" spans="1:24" s="896" customFormat="1">
      <c r="A4789" s="987">
        <f t="shared" si="75"/>
        <v>4715</v>
      </c>
      <c r="B4789" s="988">
        <v>12745</v>
      </c>
      <c r="C4789" s="899" t="s">
        <v>14115</v>
      </c>
      <c r="D4789" s="988" t="s">
        <v>2669</v>
      </c>
      <c r="E4789" s="989">
        <v>104.31</v>
      </c>
      <c r="F4789" s="990"/>
      <c r="G4789" s="990"/>
      <c r="H4789" s="990"/>
      <c r="I4789" s="990"/>
      <c r="J4789" s="990"/>
      <c r="K4789" s="990"/>
      <c r="L4789" s="990"/>
      <c r="M4789" s="990"/>
      <c r="N4789" s="990"/>
      <c r="O4789" s="990"/>
      <c r="P4789" s="990"/>
      <c r="Q4789" s="990"/>
      <c r="R4789" s="990"/>
      <c r="S4789" s="990"/>
      <c r="T4789" s="990"/>
      <c r="U4789" s="990"/>
      <c r="V4789" s="990"/>
      <c r="W4789" s="990"/>
      <c r="X4789" s="990"/>
    </row>
    <row r="4790" spans="1:24" s="896" customFormat="1">
      <c r="A4790" s="987">
        <f t="shared" si="75"/>
        <v>4716</v>
      </c>
      <c r="B4790" s="988">
        <v>12746</v>
      </c>
      <c r="C4790" s="899" t="s">
        <v>14116</v>
      </c>
      <c r="D4790" s="988" t="s">
        <v>2669</v>
      </c>
      <c r="E4790" s="989">
        <v>140.85</v>
      </c>
      <c r="F4790" s="990"/>
      <c r="G4790" s="990"/>
      <c r="H4790" s="990"/>
      <c r="I4790" s="990"/>
      <c r="J4790" s="990"/>
      <c r="K4790" s="990"/>
      <c r="L4790" s="990"/>
      <c r="M4790" s="990"/>
      <c r="N4790" s="990"/>
      <c r="O4790" s="990"/>
      <c r="P4790" s="990"/>
      <c r="Q4790" s="990"/>
      <c r="R4790" s="990"/>
      <c r="S4790" s="990"/>
      <c r="T4790" s="990"/>
      <c r="U4790" s="990"/>
      <c r="V4790" s="990"/>
      <c r="W4790" s="990"/>
      <c r="X4790" s="990"/>
    </row>
    <row r="4791" spans="1:24" s="896" customFormat="1">
      <c r="A4791" s="987">
        <f t="shared" si="75"/>
        <v>4717</v>
      </c>
      <c r="B4791" s="988">
        <v>12747</v>
      </c>
      <c r="C4791" s="899" t="s">
        <v>14117</v>
      </c>
      <c r="D4791" s="988" t="s">
        <v>2669</v>
      </c>
      <c r="E4791" s="989">
        <v>204.27</v>
      </c>
      <c r="F4791" s="990"/>
      <c r="G4791" s="990"/>
      <c r="H4791" s="990"/>
      <c r="I4791" s="990"/>
      <c r="J4791" s="990"/>
      <c r="K4791" s="990"/>
      <c r="L4791" s="990"/>
      <c r="M4791" s="990"/>
      <c r="N4791" s="990"/>
      <c r="O4791" s="990"/>
      <c r="P4791" s="990"/>
      <c r="Q4791" s="990"/>
      <c r="R4791" s="990"/>
      <c r="S4791" s="990"/>
      <c r="T4791" s="990"/>
      <c r="U4791" s="990"/>
      <c r="V4791" s="990"/>
      <c r="W4791" s="990"/>
      <c r="X4791" s="990"/>
    </row>
    <row r="4792" spans="1:24" s="896" customFormat="1">
      <c r="A4792" s="987">
        <f t="shared" si="75"/>
        <v>4718</v>
      </c>
      <c r="B4792" s="988">
        <v>12748</v>
      </c>
      <c r="C4792" s="899" t="s">
        <v>14118</v>
      </c>
      <c r="D4792" s="988" t="s">
        <v>2669</v>
      </c>
      <c r="E4792" s="989">
        <v>287.77999999999997</v>
      </c>
      <c r="F4792" s="990"/>
      <c r="G4792" s="990"/>
      <c r="H4792" s="990"/>
      <c r="I4792" s="990"/>
      <c r="J4792" s="990"/>
      <c r="K4792" s="990"/>
      <c r="L4792" s="990"/>
      <c r="M4792" s="990"/>
      <c r="N4792" s="990"/>
      <c r="O4792" s="990"/>
      <c r="P4792" s="990"/>
      <c r="Q4792" s="990"/>
      <c r="R4792" s="990"/>
      <c r="S4792" s="990"/>
      <c r="T4792" s="990"/>
      <c r="U4792" s="990"/>
      <c r="V4792" s="990"/>
      <c r="W4792" s="990"/>
      <c r="X4792" s="990"/>
    </row>
    <row r="4793" spans="1:24" s="896" customFormat="1">
      <c r="A4793" s="987">
        <f t="shared" si="75"/>
        <v>4719</v>
      </c>
      <c r="B4793" s="988">
        <v>12749</v>
      </c>
      <c r="C4793" s="899" t="s">
        <v>14119</v>
      </c>
      <c r="D4793" s="988" t="s">
        <v>2669</v>
      </c>
      <c r="E4793" s="989">
        <v>420.69</v>
      </c>
      <c r="F4793" s="990"/>
      <c r="G4793" s="990"/>
      <c r="H4793" s="990"/>
      <c r="I4793" s="990"/>
      <c r="J4793" s="990"/>
      <c r="K4793" s="990"/>
      <c r="L4793" s="990"/>
      <c r="M4793" s="990"/>
      <c r="N4793" s="990"/>
      <c r="O4793" s="990"/>
      <c r="P4793" s="990"/>
      <c r="Q4793" s="990"/>
      <c r="R4793" s="990"/>
      <c r="S4793" s="990"/>
      <c r="T4793" s="990"/>
      <c r="U4793" s="990"/>
      <c r="V4793" s="990"/>
      <c r="W4793" s="990"/>
      <c r="X4793" s="990"/>
    </row>
    <row r="4794" spans="1:24" s="896" customFormat="1" ht="25.5">
      <c r="A4794" s="987">
        <f t="shared" si="75"/>
        <v>4720</v>
      </c>
      <c r="B4794" s="988">
        <v>39726</v>
      </c>
      <c r="C4794" s="899" t="s">
        <v>14120</v>
      </c>
      <c r="D4794" s="988" t="s">
        <v>2669</v>
      </c>
      <c r="E4794" s="989">
        <v>138.18</v>
      </c>
      <c r="F4794" s="990"/>
      <c r="G4794" s="990"/>
      <c r="H4794" s="990"/>
      <c r="I4794" s="990"/>
      <c r="J4794" s="990"/>
      <c r="K4794" s="990"/>
      <c r="L4794" s="990"/>
      <c r="M4794" s="990"/>
      <c r="N4794" s="990"/>
      <c r="O4794" s="990"/>
      <c r="P4794" s="990"/>
      <c r="Q4794" s="990"/>
      <c r="R4794" s="990"/>
      <c r="S4794" s="990"/>
      <c r="T4794" s="990"/>
      <c r="U4794" s="990"/>
      <c r="V4794" s="990"/>
      <c r="W4794" s="990"/>
      <c r="X4794" s="990"/>
    </row>
    <row r="4795" spans="1:24" s="896" customFormat="1" ht="25.5">
      <c r="A4795" s="987">
        <f t="shared" si="75"/>
        <v>4721</v>
      </c>
      <c r="B4795" s="988">
        <v>39728</v>
      </c>
      <c r="C4795" s="899" t="s">
        <v>14121</v>
      </c>
      <c r="D4795" s="988" t="s">
        <v>2669</v>
      </c>
      <c r="E4795" s="989">
        <v>242.85</v>
      </c>
      <c r="F4795" s="990"/>
      <c r="G4795" s="990"/>
      <c r="H4795" s="990"/>
      <c r="I4795" s="990"/>
      <c r="J4795" s="990"/>
      <c r="K4795" s="990"/>
      <c r="L4795" s="990"/>
      <c r="M4795" s="990"/>
      <c r="N4795" s="990"/>
      <c r="O4795" s="990"/>
      <c r="P4795" s="990"/>
      <c r="Q4795" s="990"/>
      <c r="R4795" s="990"/>
      <c r="S4795" s="990"/>
      <c r="T4795" s="990"/>
      <c r="U4795" s="990"/>
      <c r="V4795" s="990"/>
      <c r="W4795" s="990"/>
      <c r="X4795" s="990"/>
    </row>
    <row r="4796" spans="1:24" s="896" customFormat="1" ht="25.5">
      <c r="A4796" s="987">
        <f t="shared" si="75"/>
        <v>4722</v>
      </c>
      <c r="B4796" s="988">
        <v>39727</v>
      </c>
      <c r="C4796" s="899" t="s">
        <v>14122</v>
      </c>
      <c r="D4796" s="988" t="s">
        <v>2669</v>
      </c>
      <c r="E4796" s="989">
        <v>199.85</v>
      </c>
      <c r="F4796" s="990"/>
      <c r="G4796" s="990"/>
      <c r="H4796" s="990"/>
      <c r="I4796" s="990"/>
      <c r="J4796" s="990"/>
      <c r="K4796" s="990"/>
      <c r="L4796" s="990"/>
      <c r="M4796" s="990"/>
      <c r="N4796" s="990"/>
      <c r="O4796" s="990"/>
      <c r="P4796" s="990"/>
      <c r="Q4796" s="990"/>
      <c r="R4796" s="990"/>
      <c r="S4796" s="990"/>
      <c r="T4796" s="990"/>
      <c r="U4796" s="990"/>
      <c r="V4796" s="990"/>
      <c r="W4796" s="990"/>
      <c r="X4796" s="990"/>
    </row>
    <row r="4797" spans="1:24" s="896" customFormat="1" ht="25.5">
      <c r="A4797" s="987">
        <f t="shared" si="75"/>
        <v>4723</v>
      </c>
      <c r="B4797" s="988">
        <v>39724</v>
      </c>
      <c r="C4797" s="899" t="s">
        <v>14123</v>
      </c>
      <c r="D4797" s="988" t="s">
        <v>2669</v>
      </c>
      <c r="E4797" s="989">
        <v>61.19</v>
      </c>
      <c r="F4797" s="990"/>
      <c r="G4797" s="990"/>
      <c r="H4797" s="990"/>
      <c r="I4797" s="990"/>
      <c r="J4797" s="990"/>
      <c r="K4797" s="990"/>
      <c r="L4797" s="990"/>
      <c r="M4797" s="990"/>
      <c r="N4797" s="990"/>
      <c r="O4797" s="990"/>
      <c r="P4797" s="990"/>
      <c r="Q4797" s="990"/>
      <c r="R4797" s="990"/>
      <c r="S4797" s="990"/>
      <c r="T4797" s="990"/>
      <c r="U4797" s="990"/>
      <c r="V4797" s="990"/>
      <c r="W4797" s="990"/>
      <c r="X4797" s="990"/>
    </row>
    <row r="4798" spans="1:24" s="896" customFormat="1" ht="25.5">
      <c r="A4798" s="987">
        <f t="shared" si="75"/>
        <v>4724</v>
      </c>
      <c r="B4798" s="988">
        <v>39729</v>
      </c>
      <c r="C4798" s="899" t="s">
        <v>14124</v>
      </c>
      <c r="D4798" s="988" t="s">
        <v>2669</v>
      </c>
      <c r="E4798" s="989">
        <v>336.3</v>
      </c>
      <c r="F4798" s="990"/>
      <c r="G4798" s="990"/>
      <c r="H4798" s="990"/>
      <c r="I4798" s="990"/>
      <c r="J4798" s="990"/>
      <c r="K4798" s="990"/>
      <c r="L4798" s="990"/>
      <c r="M4798" s="990"/>
      <c r="N4798" s="990"/>
      <c r="O4798" s="990"/>
      <c r="P4798" s="990"/>
      <c r="Q4798" s="990"/>
      <c r="R4798" s="990"/>
      <c r="S4798" s="990"/>
      <c r="T4798" s="990"/>
      <c r="U4798" s="990"/>
      <c r="V4798" s="990"/>
      <c r="W4798" s="990"/>
      <c r="X4798" s="990"/>
    </row>
    <row r="4799" spans="1:24" s="896" customFormat="1" ht="25.5">
      <c r="A4799" s="987">
        <f t="shared" si="75"/>
        <v>4725</v>
      </c>
      <c r="B4799" s="988">
        <v>39730</v>
      </c>
      <c r="C4799" s="899" t="s">
        <v>14125</v>
      </c>
      <c r="D4799" s="988" t="s">
        <v>2669</v>
      </c>
      <c r="E4799" s="989">
        <v>436.34</v>
      </c>
      <c r="F4799" s="990"/>
      <c r="G4799" s="990"/>
      <c r="H4799" s="990"/>
      <c r="I4799" s="990"/>
      <c r="J4799" s="990"/>
      <c r="K4799" s="990"/>
      <c r="L4799" s="990"/>
      <c r="M4799" s="990"/>
      <c r="N4799" s="990"/>
      <c r="O4799" s="990"/>
      <c r="P4799" s="990"/>
      <c r="Q4799" s="990"/>
      <c r="R4799" s="990"/>
      <c r="S4799" s="990"/>
      <c r="T4799" s="990"/>
      <c r="U4799" s="990"/>
      <c r="V4799" s="990"/>
      <c r="W4799" s="990"/>
      <c r="X4799" s="990"/>
    </row>
    <row r="4800" spans="1:24" s="896" customFormat="1" ht="25.5">
      <c r="A4800" s="987">
        <f t="shared" si="75"/>
        <v>4726</v>
      </c>
      <c r="B4800" s="988">
        <v>39731</v>
      </c>
      <c r="C4800" s="899" t="s">
        <v>14126</v>
      </c>
      <c r="D4800" s="988" t="s">
        <v>2669</v>
      </c>
      <c r="E4800" s="989">
        <v>646.25</v>
      </c>
      <c r="F4800" s="990"/>
      <c r="G4800" s="990"/>
      <c r="H4800" s="990"/>
      <c r="I4800" s="990"/>
      <c r="J4800" s="990"/>
      <c r="K4800" s="990"/>
      <c r="L4800" s="990"/>
      <c r="M4800" s="990"/>
      <c r="N4800" s="990"/>
      <c r="O4800" s="990"/>
      <c r="P4800" s="990"/>
      <c r="Q4800" s="990"/>
      <c r="R4800" s="990"/>
      <c r="S4800" s="990"/>
      <c r="T4800" s="990"/>
      <c r="U4800" s="990"/>
      <c r="V4800" s="990"/>
      <c r="W4800" s="990"/>
      <c r="X4800" s="990"/>
    </row>
    <row r="4801" spans="1:24" s="896" customFormat="1" ht="25.5">
      <c r="A4801" s="987">
        <f t="shared" si="75"/>
        <v>4727</v>
      </c>
      <c r="B4801" s="988">
        <v>39725</v>
      </c>
      <c r="C4801" s="899" t="s">
        <v>14127</v>
      </c>
      <c r="D4801" s="988" t="s">
        <v>2669</v>
      </c>
      <c r="E4801" s="989">
        <v>99.73</v>
      </c>
      <c r="F4801" s="990"/>
      <c r="G4801" s="990"/>
      <c r="H4801" s="990"/>
      <c r="I4801" s="990"/>
      <c r="J4801" s="990"/>
      <c r="K4801" s="990"/>
      <c r="L4801" s="990"/>
      <c r="M4801" s="990"/>
      <c r="N4801" s="990"/>
      <c r="O4801" s="990"/>
      <c r="P4801" s="990"/>
      <c r="Q4801" s="990"/>
      <c r="R4801" s="990"/>
      <c r="S4801" s="990"/>
      <c r="T4801" s="990"/>
      <c r="U4801" s="990"/>
      <c r="V4801" s="990"/>
      <c r="W4801" s="990"/>
      <c r="X4801" s="990"/>
    </row>
    <row r="4802" spans="1:24" s="896" customFormat="1" ht="25.5">
      <c r="A4802" s="987">
        <f t="shared" si="75"/>
        <v>4728</v>
      </c>
      <c r="B4802" s="988">
        <v>39732</v>
      </c>
      <c r="C4802" s="899" t="s">
        <v>14128</v>
      </c>
      <c r="D4802" s="988" t="s">
        <v>2669</v>
      </c>
      <c r="E4802" s="989">
        <v>951.25</v>
      </c>
      <c r="F4802" s="990"/>
      <c r="G4802" s="990"/>
      <c r="H4802" s="990"/>
      <c r="I4802" s="990"/>
      <c r="J4802" s="990"/>
      <c r="K4802" s="990"/>
      <c r="L4802" s="990"/>
      <c r="M4802" s="990"/>
      <c r="N4802" s="990"/>
      <c r="O4802" s="990"/>
      <c r="P4802" s="990"/>
      <c r="Q4802" s="990"/>
      <c r="R4802" s="990"/>
      <c r="S4802" s="990"/>
      <c r="T4802" s="990"/>
      <c r="U4802" s="990"/>
      <c r="V4802" s="990"/>
      <c r="W4802" s="990"/>
      <c r="X4802" s="990"/>
    </row>
    <row r="4803" spans="1:24" s="896" customFormat="1" ht="25.5">
      <c r="A4803" s="987">
        <f t="shared" si="75"/>
        <v>4729</v>
      </c>
      <c r="B4803" s="988">
        <v>39660</v>
      </c>
      <c r="C4803" s="899" t="s">
        <v>14129</v>
      </c>
      <c r="D4803" s="988" t="s">
        <v>2669</v>
      </c>
      <c r="E4803" s="989">
        <v>43.35</v>
      </c>
      <c r="F4803" s="990"/>
      <c r="G4803" s="990"/>
      <c r="H4803" s="990"/>
      <c r="I4803" s="990"/>
      <c r="J4803" s="990"/>
      <c r="K4803" s="990"/>
      <c r="L4803" s="990"/>
      <c r="M4803" s="990"/>
      <c r="N4803" s="990"/>
      <c r="O4803" s="990"/>
      <c r="P4803" s="990"/>
      <c r="Q4803" s="990"/>
      <c r="R4803" s="990"/>
      <c r="S4803" s="990"/>
      <c r="T4803" s="990"/>
      <c r="U4803" s="990"/>
      <c r="V4803" s="990"/>
      <c r="W4803" s="990"/>
      <c r="X4803" s="990"/>
    </row>
    <row r="4804" spans="1:24" s="896" customFormat="1" ht="25.5">
      <c r="A4804" s="987">
        <f t="shared" si="75"/>
        <v>4730</v>
      </c>
      <c r="B4804" s="988">
        <v>39662</v>
      </c>
      <c r="C4804" s="899" t="s">
        <v>14130</v>
      </c>
      <c r="D4804" s="988" t="s">
        <v>2669</v>
      </c>
      <c r="E4804" s="989">
        <v>20.77</v>
      </c>
      <c r="F4804" s="990"/>
      <c r="G4804" s="990"/>
      <c r="H4804" s="990"/>
      <c r="I4804" s="990"/>
      <c r="J4804" s="990"/>
      <c r="K4804" s="990"/>
      <c r="L4804" s="990"/>
      <c r="M4804" s="990"/>
      <c r="N4804" s="990"/>
      <c r="O4804" s="990"/>
      <c r="P4804" s="990"/>
      <c r="Q4804" s="990"/>
      <c r="R4804" s="990"/>
      <c r="S4804" s="990"/>
      <c r="T4804" s="990"/>
      <c r="U4804" s="990"/>
      <c r="V4804" s="990"/>
      <c r="W4804" s="990"/>
      <c r="X4804" s="990"/>
    </row>
    <row r="4805" spans="1:24" s="896" customFormat="1" ht="25.5">
      <c r="A4805" s="987">
        <f t="shared" si="75"/>
        <v>4731</v>
      </c>
      <c r="B4805" s="988">
        <v>39661</v>
      </c>
      <c r="C4805" s="899" t="s">
        <v>14131</v>
      </c>
      <c r="D4805" s="988" t="s">
        <v>2669</v>
      </c>
      <c r="E4805" s="989">
        <v>14.17</v>
      </c>
      <c r="F4805" s="990"/>
      <c r="G4805" s="990"/>
      <c r="H4805" s="990"/>
      <c r="I4805" s="990"/>
      <c r="J4805" s="990"/>
      <c r="K4805" s="990"/>
      <c r="L4805" s="990"/>
      <c r="M4805" s="990"/>
      <c r="N4805" s="990"/>
      <c r="O4805" s="990"/>
      <c r="P4805" s="990"/>
      <c r="Q4805" s="990"/>
      <c r="R4805" s="990"/>
      <c r="S4805" s="990"/>
      <c r="T4805" s="990"/>
      <c r="U4805" s="990"/>
      <c r="V4805" s="990"/>
      <c r="W4805" s="990"/>
      <c r="X4805" s="990"/>
    </row>
    <row r="4806" spans="1:24" s="896" customFormat="1" ht="25.5">
      <c r="A4806" s="987">
        <f t="shared" si="75"/>
        <v>4732</v>
      </c>
      <c r="B4806" s="988">
        <v>39666</v>
      </c>
      <c r="C4806" s="899" t="s">
        <v>14132</v>
      </c>
      <c r="D4806" s="988" t="s">
        <v>2669</v>
      </c>
      <c r="E4806" s="989">
        <v>65.209999999999994</v>
      </c>
      <c r="F4806" s="990"/>
      <c r="G4806" s="990"/>
      <c r="H4806" s="990"/>
      <c r="I4806" s="990"/>
      <c r="J4806" s="990"/>
      <c r="K4806" s="990"/>
      <c r="L4806" s="990"/>
      <c r="M4806" s="990"/>
      <c r="N4806" s="990"/>
      <c r="O4806" s="990"/>
      <c r="P4806" s="990"/>
      <c r="Q4806" s="990"/>
      <c r="R4806" s="990"/>
      <c r="S4806" s="990"/>
      <c r="T4806" s="990"/>
      <c r="U4806" s="990"/>
      <c r="V4806" s="990"/>
      <c r="W4806" s="990"/>
      <c r="X4806" s="990"/>
    </row>
    <row r="4807" spans="1:24" s="896" customFormat="1" ht="25.5">
      <c r="A4807" s="987">
        <f t="shared" si="75"/>
        <v>4733</v>
      </c>
      <c r="B4807" s="988">
        <v>39664</v>
      </c>
      <c r="C4807" s="899" t="s">
        <v>14133</v>
      </c>
      <c r="D4807" s="988" t="s">
        <v>2669</v>
      </c>
      <c r="E4807" s="989">
        <v>31.96</v>
      </c>
      <c r="F4807" s="990"/>
      <c r="G4807" s="990"/>
      <c r="H4807" s="990"/>
      <c r="I4807" s="990"/>
      <c r="J4807" s="990"/>
      <c r="K4807" s="990"/>
      <c r="L4807" s="990"/>
      <c r="M4807" s="990"/>
      <c r="N4807" s="990"/>
      <c r="O4807" s="990"/>
      <c r="P4807" s="990"/>
      <c r="Q4807" s="990"/>
      <c r="R4807" s="990"/>
      <c r="S4807" s="990"/>
      <c r="T4807" s="990"/>
      <c r="U4807" s="990"/>
      <c r="V4807" s="990"/>
      <c r="W4807" s="990"/>
      <c r="X4807" s="990"/>
    </row>
    <row r="4808" spans="1:24" s="896" customFormat="1" ht="25.5">
      <c r="A4808" s="987">
        <f t="shared" si="75"/>
        <v>4734</v>
      </c>
      <c r="B4808" s="988">
        <v>39663</v>
      </c>
      <c r="C4808" s="899" t="s">
        <v>14134</v>
      </c>
      <c r="D4808" s="988" t="s">
        <v>2669</v>
      </c>
      <c r="E4808" s="989">
        <v>25.55</v>
      </c>
      <c r="F4808" s="990"/>
      <c r="G4808" s="990"/>
      <c r="H4808" s="990"/>
      <c r="I4808" s="990"/>
      <c r="J4808" s="990"/>
      <c r="K4808" s="990"/>
      <c r="L4808" s="990"/>
      <c r="M4808" s="990"/>
      <c r="N4808" s="990"/>
      <c r="O4808" s="990"/>
      <c r="P4808" s="990"/>
      <c r="Q4808" s="990"/>
      <c r="R4808" s="990"/>
      <c r="S4808" s="990"/>
      <c r="T4808" s="990"/>
      <c r="U4808" s="990"/>
      <c r="V4808" s="990"/>
      <c r="W4808" s="990"/>
      <c r="X4808" s="990"/>
    </row>
    <row r="4809" spans="1:24" s="896" customFormat="1" ht="25.5">
      <c r="A4809" s="987">
        <f t="shared" si="75"/>
        <v>4735</v>
      </c>
      <c r="B4809" s="988">
        <v>39665</v>
      </c>
      <c r="C4809" s="899" t="s">
        <v>14135</v>
      </c>
      <c r="D4809" s="988" t="s">
        <v>2669</v>
      </c>
      <c r="E4809" s="989">
        <v>53.92</v>
      </c>
      <c r="F4809" s="990"/>
      <c r="G4809" s="990"/>
      <c r="H4809" s="990"/>
      <c r="I4809" s="990"/>
      <c r="J4809" s="990"/>
      <c r="K4809" s="990"/>
      <c r="L4809" s="990"/>
      <c r="M4809" s="990"/>
      <c r="N4809" s="990"/>
      <c r="O4809" s="990"/>
      <c r="P4809" s="990"/>
      <c r="Q4809" s="990"/>
      <c r="R4809" s="990"/>
      <c r="S4809" s="990"/>
      <c r="T4809" s="990"/>
      <c r="U4809" s="990"/>
      <c r="V4809" s="990"/>
      <c r="W4809" s="990"/>
      <c r="X4809" s="990"/>
    </row>
    <row r="4810" spans="1:24" s="896" customFormat="1" ht="25.5">
      <c r="A4810" s="987">
        <f t="shared" si="75"/>
        <v>4736</v>
      </c>
      <c r="B4810" s="988">
        <v>39752</v>
      </c>
      <c r="C4810" s="899" t="s">
        <v>14136</v>
      </c>
      <c r="D4810" s="988" t="s">
        <v>2669</v>
      </c>
      <c r="E4810" s="989">
        <v>271.10000000000002</v>
      </c>
      <c r="F4810" s="990"/>
      <c r="G4810" s="990"/>
      <c r="H4810" s="990"/>
      <c r="I4810" s="990"/>
      <c r="J4810" s="990"/>
      <c r="K4810" s="990"/>
      <c r="L4810" s="990"/>
      <c r="M4810" s="990"/>
      <c r="N4810" s="990"/>
      <c r="O4810" s="990"/>
      <c r="P4810" s="990"/>
      <c r="Q4810" s="990"/>
      <c r="R4810" s="990"/>
      <c r="S4810" s="990"/>
      <c r="T4810" s="990"/>
      <c r="U4810" s="990"/>
      <c r="V4810" s="990"/>
      <c r="W4810" s="990"/>
      <c r="X4810" s="990"/>
    </row>
    <row r="4811" spans="1:24" s="896" customFormat="1" ht="25.5">
      <c r="A4811" s="987">
        <f t="shared" si="75"/>
        <v>4737</v>
      </c>
      <c r="B4811" s="988">
        <v>7725</v>
      </c>
      <c r="C4811" s="899" t="s">
        <v>14137</v>
      </c>
      <c r="D4811" s="988" t="s">
        <v>2669</v>
      </c>
      <c r="E4811" s="989">
        <v>148</v>
      </c>
      <c r="F4811" s="990"/>
      <c r="G4811" s="990"/>
      <c r="H4811" s="990"/>
      <c r="I4811" s="990"/>
      <c r="J4811" s="990"/>
      <c r="K4811" s="990"/>
      <c r="L4811" s="990"/>
      <c r="M4811" s="990"/>
      <c r="N4811" s="990"/>
      <c r="O4811" s="990"/>
      <c r="P4811" s="990"/>
      <c r="Q4811" s="990"/>
      <c r="R4811" s="990"/>
      <c r="S4811" s="990"/>
      <c r="T4811" s="990"/>
      <c r="U4811" s="990"/>
      <c r="V4811" s="990"/>
      <c r="W4811" s="990"/>
      <c r="X4811" s="990"/>
    </row>
    <row r="4812" spans="1:24" s="896" customFormat="1" ht="25.5">
      <c r="A4812" s="987">
        <f t="shared" ref="A4812:A4875" si="76">A4811+1</f>
        <v>4738</v>
      </c>
      <c r="B4812" s="988">
        <v>7753</v>
      </c>
      <c r="C4812" s="899" t="s">
        <v>14138</v>
      </c>
      <c r="D4812" s="988" t="s">
        <v>2669</v>
      </c>
      <c r="E4812" s="989">
        <v>288.52999999999997</v>
      </c>
      <c r="F4812" s="990"/>
      <c r="G4812" s="990"/>
      <c r="H4812" s="990"/>
      <c r="I4812" s="990"/>
      <c r="J4812" s="990"/>
      <c r="K4812" s="990"/>
      <c r="L4812" s="990"/>
      <c r="M4812" s="990"/>
      <c r="N4812" s="990"/>
      <c r="O4812" s="990"/>
      <c r="P4812" s="990"/>
      <c r="Q4812" s="990"/>
      <c r="R4812" s="990"/>
      <c r="S4812" s="990"/>
      <c r="T4812" s="990"/>
      <c r="U4812" s="990"/>
      <c r="V4812" s="990"/>
      <c r="W4812" s="990"/>
      <c r="X4812" s="990"/>
    </row>
    <row r="4813" spans="1:24" s="896" customFormat="1" ht="25.5">
      <c r="A4813" s="987">
        <f t="shared" si="76"/>
        <v>4739</v>
      </c>
      <c r="B4813" s="988">
        <v>13256</v>
      </c>
      <c r="C4813" s="899" t="s">
        <v>14139</v>
      </c>
      <c r="D4813" s="988" t="s">
        <v>2669</v>
      </c>
      <c r="E4813" s="989">
        <v>404.2</v>
      </c>
      <c r="F4813" s="990"/>
      <c r="G4813" s="990"/>
      <c r="H4813" s="990"/>
      <c r="I4813" s="990"/>
      <c r="J4813" s="990"/>
      <c r="K4813" s="990"/>
      <c r="L4813" s="990"/>
      <c r="M4813" s="990"/>
      <c r="N4813" s="990"/>
      <c r="O4813" s="990"/>
      <c r="P4813" s="990"/>
      <c r="Q4813" s="990"/>
      <c r="R4813" s="990"/>
      <c r="S4813" s="990"/>
      <c r="T4813" s="990"/>
      <c r="U4813" s="990"/>
      <c r="V4813" s="990"/>
      <c r="W4813" s="990"/>
      <c r="X4813" s="990"/>
    </row>
    <row r="4814" spans="1:24" s="896" customFormat="1" ht="25.5">
      <c r="A4814" s="987">
        <f t="shared" si="76"/>
        <v>4740</v>
      </c>
      <c r="B4814" s="988">
        <v>7757</v>
      </c>
      <c r="C4814" s="899" t="s">
        <v>14140</v>
      </c>
      <c r="D4814" s="988" t="s">
        <v>2669</v>
      </c>
      <c r="E4814" s="989">
        <v>430.94</v>
      </c>
      <c r="F4814" s="990"/>
      <c r="G4814" s="990"/>
      <c r="H4814" s="990"/>
      <c r="I4814" s="990"/>
      <c r="J4814" s="990"/>
      <c r="K4814" s="990"/>
      <c r="L4814" s="990"/>
      <c r="M4814" s="990"/>
      <c r="N4814" s="990"/>
      <c r="O4814" s="990"/>
      <c r="P4814" s="990"/>
      <c r="Q4814" s="990"/>
      <c r="R4814" s="990"/>
      <c r="S4814" s="990"/>
      <c r="T4814" s="990"/>
      <c r="U4814" s="990"/>
      <c r="V4814" s="990"/>
      <c r="W4814" s="990"/>
      <c r="X4814" s="990"/>
    </row>
    <row r="4815" spans="1:24" s="896" customFormat="1" ht="25.5">
      <c r="A4815" s="987">
        <f t="shared" si="76"/>
        <v>4741</v>
      </c>
      <c r="B4815" s="988">
        <v>7758</v>
      </c>
      <c r="C4815" s="899" t="s">
        <v>14141</v>
      </c>
      <c r="D4815" s="988" t="s">
        <v>2669</v>
      </c>
      <c r="E4815" s="989">
        <v>624.33000000000004</v>
      </c>
      <c r="F4815" s="990"/>
      <c r="G4815" s="990"/>
      <c r="H4815" s="990"/>
      <c r="I4815" s="990"/>
      <c r="J4815" s="990"/>
      <c r="K4815" s="990"/>
      <c r="L4815" s="990"/>
      <c r="M4815" s="990"/>
      <c r="N4815" s="990"/>
      <c r="O4815" s="990"/>
      <c r="P4815" s="990"/>
      <c r="Q4815" s="990"/>
      <c r="R4815" s="990"/>
      <c r="S4815" s="990"/>
      <c r="T4815" s="990"/>
      <c r="U4815" s="990"/>
      <c r="V4815" s="990"/>
      <c r="W4815" s="990"/>
      <c r="X4815" s="990"/>
    </row>
    <row r="4816" spans="1:24" s="896" customFormat="1" ht="25.5">
      <c r="A4816" s="987">
        <f t="shared" si="76"/>
        <v>4742</v>
      </c>
      <c r="B4816" s="988">
        <v>7759</v>
      </c>
      <c r="C4816" s="899" t="s">
        <v>14142</v>
      </c>
      <c r="D4816" s="988" t="s">
        <v>2669</v>
      </c>
      <c r="E4816" s="989">
        <v>1730.03</v>
      </c>
      <c r="F4816" s="990"/>
      <c r="G4816" s="990"/>
      <c r="H4816" s="990"/>
      <c r="I4816" s="990"/>
      <c r="J4816" s="990"/>
      <c r="K4816" s="990"/>
      <c r="L4816" s="990"/>
      <c r="M4816" s="990"/>
      <c r="N4816" s="990"/>
      <c r="O4816" s="990"/>
      <c r="P4816" s="990"/>
      <c r="Q4816" s="990"/>
      <c r="R4816" s="990"/>
      <c r="S4816" s="990"/>
      <c r="T4816" s="990"/>
      <c r="U4816" s="990"/>
      <c r="V4816" s="990"/>
      <c r="W4816" s="990"/>
      <c r="X4816" s="990"/>
    </row>
    <row r="4817" spans="1:24" s="896" customFormat="1" ht="25.5">
      <c r="A4817" s="987">
        <f t="shared" si="76"/>
        <v>4743</v>
      </c>
      <c r="B4817" s="988">
        <v>40334</v>
      </c>
      <c r="C4817" s="899" t="s">
        <v>14143</v>
      </c>
      <c r="D4817" s="988" t="s">
        <v>2669</v>
      </c>
      <c r="E4817" s="989">
        <v>67.78</v>
      </c>
      <c r="F4817" s="990"/>
      <c r="G4817" s="990"/>
      <c r="H4817" s="990"/>
      <c r="I4817" s="990"/>
      <c r="J4817" s="990"/>
      <c r="K4817" s="990"/>
      <c r="L4817" s="990"/>
      <c r="M4817" s="990"/>
      <c r="N4817" s="990"/>
      <c r="O4817" s="990"/>
      <c r="P4817" s="990"/>
      <c r="Q4817" s="990"/>
      <c r="R4817" s="990"/>
      <c r="S4817" s="990"/>
      <c r="T4817" s="990"/>
      <c r="U4817" s="990"/>
      <c r="V4817" s="990"/>
      <c r="W4817" s="990"/>
      <c r="X4817" s="990"/>
    </row>
    <row r="4818" spans="1:24" s="896" customFormat="1" ht="25.5">
      <c r="A4818" s="987">
        <f t="shared" si="76"/>
        <v>4744</v>
      </c>
      <c r="B4818" s="988">
        <v>7745</v>
      </c>
      <c r="C4818" s="899" t="s">
        <v>14144</v>
      </c>
      <c r="D4818" s="988" t="s">
        <v>2669</v>
      </c>
      <c r="E4818" s="989">
        <v>76.48</v>
      </c>
      <c r="F4818" s="990"/>
      <c r="G4818" s="990"/>
      <c r="H4818" s="990"/>
      <c r="I4818" s="990"/>
      <c r="J4818" s="990"/>
      <c r="K4818" s="990"/>
      <c r="L4818" s="990"/>
      <c r="M4818" s="990"/>
      <c r="N4818" s="990"/>
      <c r="O4818" s="990"/>
      <c r="P4818" s="990"/>
      <c r="Q4818" s="990"/>
      <c r="R4818" s="990"/>
      <c r="S4818" s="990"/>
      <c r="T4818" s="990"/>
      <c r="U4818" s="990"/>
      <c r="V4818" s="990"/>
      <c r="W4818" s="990"/>
      <c r="X4818" s="990"/>
    </row>
    <row r="4819" spans="1:24" s="896" customFormat="1" ht="25.5">
      <c r="A4819" s="987">
        <f t="shared" si="76"/>
        <v>4745</v>
      </c>
      <c r="B4819" s="988">
        <v>7714</v>
      </c>
      <c r="C4819" s="899" t="s">
        <v>14145</v>
      </c>
      <c r="D4819" s="988" t="s">
        <v>2669</v>
      </c>
      <c r="E4819" s="989">
        <v>91.41</v>
      </c>
      <c r="F4819" s="990"/>
      <c r="G4819" s="990"/>
      <c r="H4819" s="990"/>
      <c r="I4819" s="990"/>
      <c r="J4819" s="990"/>
      <c r="K4819" s="990"/>
      <c r="L4819" s="990"/>
      <c r="M4819" s="990"/>
      <c r="N4819" s="990"/>
      <c r="O4819" s="990"/>
      <c r="P4819" s="990"/>
      <c r="Q4819" s="990"/>
      <c r="R4819" s="990"/>
      <c r="S4819" s="990"/>
      <c r="T4819" s="990"/>
      <c r="U4819" s="990"/>
      <c r="V4819" s="990"/>
      <c r="W4819" s="990"/>
      <c r="X4819" s="990"/>
    </row>
    <row r="4820" spans="1:24" s="896" customFormat="1" ht="25.5">
      <c r="A4820" s="987">
        <f t="shared" si="76"/>
        <v>4746</v>
      </c>
      <c r="B4820" s="988">
        <v>7742</v>
      </c>
      <c r="C4820" s="899" t="s">
        <v>14146</v>
      </c>
      <c r="D4820" s="988" t="s">
        <v>2669</v>
      </c>
      <c r="E4820" s="989">
        <v>201.72</v>
      </c>
      <c r="F4820" s="990"/>
      <c r="G4820" s="990"/>
      <c r="H4820" s="990"/>
      <c r="I4820" s="990"/>
      <c r="J4820" s="990"/>
      <c r="K4820" s="990"/>
      <c r="L4820" s="990"/>
      <c r="M4820" s="990"/>
      <c r="N4820" s="990"/>
      <c r="O4820" s="990"/>
      <c r="P4820" s="990"/>
      <c r="Q4820" s="990"/>
      <c r="R4820" s="990"/>
      <c r="S4820" s="990"/>
      <c r="T4820" s="990"/>
      <c r="U4820" s="990"/>
      <c r="V4820" s="990"/>
      <c r="W4820" s="990"/>
      <c r="X4820" s="990"/>
    </row>
    <row r="4821" spans="1:24" s="896" customFormat="1" ht="25.5">
      <c r="A4821" s="987">
        <f t="shared" si="76"/>
        <v>4747</v>
      </c>
      <c r="B4821" s="988">
        <v>7750</v>
      </c>
      <c r="C4821" s="899" t="s">
        <v>14147</v>
      </c>
      <c r="D4821" s="988" t="s">
        <v>2669</v>
      </c>
      <c r="E4821" s="989">
        <v>246.25</v>
      </c>
      <c r="F4821" s="990"/>
      <c r="G4821" s="990"/>
      <c r="H4821" s="990"/>
      <c r="I4821" s="990"/>
      <c r="J4821" s="990"/>
      <c r="K4821" s="990"/>
      <c r="L4821" s="990"/>
      <c r="M4821" s="990"/>
      <c r="N4821" s="990"/>
      <c r="O4821" s="990"/>
      <c r="P4821" s="990"/>
      <c r="Q4821" s="990"/>
      <c r="R4821" s="990"/>
      <c r="S4821" s="990"/>
      <c r="T4821" s="990"/>
      <c r="U4821" s="990"/>
      <c r="V4821" s="990"/>
      <c r="W4821" s="990"/>
      <c r="X4821" s="990"/>
    </row>
    <row r="4822" spans="1:24" s="896" customFormat="1" ht="25.5">
      <c r="A4822" s="987">
        <f t="shared" si="76"/>
        <v>4748</v>
      </c>
      <c r="B4822" s="988">
        <v>7756</v>
      </c>
      <c r="C4822" s="899" t="s">
        <v>14148</v>
      </c>
      <c r="D4822" s="988" t="s">
        <v>2669</v>
      </c>
      <c r="E4822" s="989">
        <v>282.94</v>
      </c>
      <c r="F4822" s="990"/>
      <c r="G4822" s="990"/>
      <c r="H4822" s="990"/>
      <c r="I4822" s="990"/>
      <c r="J4822" s="990"/>
      <c r="K4822" s="990"/>
      <c r="L4822" s="990"/>
      <c r="M4822" s="990"/>
      <c r="N4822" s="990"/>
      <c r="O4822" s="990"/>
      <c r="P4822" s="990"/>
      <c r="Q4822" s="990"/>
      <c r="R4822" s="990"/>
      <c r="S4822" s="990"/>
      <c r="T4822" s="990"/>
      <c r="U4822" s="990"/>
      <c r="V4822" s="990"/>
      <c r="W4822" s="990"/>
      <c r="X4822" s="990"/>
    </row>
    <row r="4823" spans="1:24" s="896" customFormat="1" ht="25.5">
      <c r="A4823" s="987">
        <f t="shared" si="76"/>
        <v>4749</v>
      </c>
      <c r="B4823" s="988">
        <v>7765</v>
      </c>
      <c r="C4823" s="899" t="s">
        <v>14149</v>
      </c>
      <c r="D4823" s="988" t="s">
        <v>2669</v>
      </c>
      <c r="E4823" s="989">
        <v>317.14</v>
      </c>
      <c r="F4823" s="990"/>
      <c r="G4823" s="990"/>
      <c r="H4823" s="990"/>
      <c r="I4823" s="990"/>
      <c r="J4823" s="990"/>
      <c r="K4823" s="990"/>
      <c r="L4823" s="990"/>
      <c r="M4823" s="990"/>
      <c r="N4823" s="990"/>
      <c r="O4823" s="990"/>
      <c r="P4823" s="990"/>
      <c r="Q4823" s="990"/>
      <c r="R4823" s="990"/>
      <c r="S4823" s="990"/>
      <c r="T4823" s="990"/>
      <c r="U4823" s="990"/>
      <c r="V4823" s="990"/>
      <c r="W4823" s="990"/>
      <c r="X4823" s="990"/>
    </row>
    <row r="4824" spans="1:24" s="896" customFormat="1" ht="25.5">
      <c r="A4824" s="987">
        <f t="shared" si="76"/>
        <v>4750</v>
      </c>
      <c r="B4824" s="988">
        <v>12569</v>
      </c>
      <c r="C4824" s="899" t="s">
        <v>14150</v>
      </c>
      <c r="D4824" s="988" t="s">
        <v>2669</v>
      </c>
      <c r="E4824" s="989">
        <v>437.78</v>
      </c>
      <c r="F4824" s="990"/>
      <c r="G4824" s="990"/>
      <c r="H4824" s="990"/>
      <c r="I4824" s="990"/>
      <c r="J4824" s="990"/>
      <c r="K4824" s="990"/>
      <c r="L4824" s="990"/>
      <c r="M4824" s="990"/>
      <c r="N4824" s="990"/>
      <c r="O4824" s="990"/>
      <c r="P4824" s="990"/>
      <c r="Q4824" s="990"/>
      <c r="R4824" s="990"/>
      <c r="S4824" s="990"/>
      <c r="T4824" s="990"/>
      <c r="U4824" s="990"/>
      <c r="V4824" s="990"/>
      <c r="W4824" s="990"/>
      <c r="X4824" s="990"/>
    </row>
    <row r="4825" spans="1:24" s="896" customFormat="1" ht="25.5">
      <c r="A4825" s="987">
        <f t="shared" si="76"/>
        <v>4751</v>
      </c>
      <c r="B4825" s="988">
        <v>7766</v>
      </c>
      <c r="C4825" s="899" t="s">
        <v>14151</v>
      </c>
      <c r="D4825" s="988" t="s">
        <v>2669</v>
      </c>
      <c r="E4825" s="989">
        <v>465.14</v>
      </c>
      <c r="F4825" s="990"/>
      <c r="G4825" s="990"/>
      <c r="H4825" s="990"/>
      <c r="I4825" s="990"/>
      <c r="J4825" s="990"/>
      <c r="K4825" s="990"/>
      <c r="L4825" s="990"/>
      <c r="M4825" s="990"/>
      <c r="N4825" s="990"/>
      <c r="O4825" s="990"/>
      <c r="P4825" s="990"/>
      <c r="Q4825" s="990"/>
      <c r="R4825" s="990"/>
      <c r="S4825" s="990"/>
      <c r="T4825" s="990"/>
      <c r="U4825" s="990"/>
      <c r="V4825" s="990"/>
      <c r="W4825" s="990"/>
      <c r="X4825" s="990"/>
    </row>
    <row r="4826" spans="1:24" s="896" customFormat="1" ht="25.5">
      <c r="A4826" s="987">
        <f t="shared" si="76"/>
        <v>4752</v>
      </c>
      <c r="B4826" s="988">
        <v>7767</v>
      </c>
      <c r="C4826" s="899" t="s">
        <v>14152</v>
      </c>
      <c r="D4826" s="988" t="s">
        <v>2669</v>
      </c>
      <c r="E4826" s="989">
        <v>667.86</v>
      </c>
      <c r="F4826" s="990"/>
      <c r="G4826" s="990"/>
      <c r="H4826" s="990"/>
      <c r="I4826" s="990"/>
      <c r="J4826" s="990"/>
      <c r="K4826" s="990"/>
      <c r="L4826" s="990"/>
      <c r="M4826" s="990"/>
      <c r="N4826" s="990"/>
      <c r="O4826" s="990"/>
      <c r="P4826" s="990"/>
      <c r="Q4826" s="990"/>
      <c r="R4826" s="990"/>
      <c r="S4826" s="990"/>
      <c r="T4826" s="990"/>
      <c r="U4826" s="990"/>
      <c r="V4826" s="990"/>
      <c r="W4826" s="990"/>
      <c r="X4826" s="990"/>
    </row>
    <row r="4827" spans="1:24" s="896" customFormat="1" ht="25.5">
      <c r="A4827" s="987">
        <f t="shared" si="76"/>
        <v>4753</v>
      </c>
      <c r="B4827" s="988">
        <v>7727</v>
      </c>
      <c r="C4827" s="899" t="s">
        <v>14153</v>
      </c>
      <c r="D4827" s="988" t="s">
        <v>2669</v>
      </c>
      <c r="E4827" s="989">
        <v>1940.16</v>
      </c>
      <c r="F4827" s="990"/>
      <c r="G4827" s="990"/>
      <c r="H4827" s="990"/>
      <c r="I4827" s="990"/>
      <c r="J4827" s="990"/>
      <c r="K4827" s="990"/>
      <c r="L4827" s="990"/>
      <c r="M4827" s="990"/>
      <c r="N4827" s="990"/>
      <c r="O4827" s="990"/>
      <c r="P4827" s="990"/>
      <c r="Q4827" s="990"/>
      <c r="R4827" s="990"/>
      <c r="S4827" s="990"/>
      <c r="T4827" s="990"/>
      <c r="U4827" s="990"/>
      <c r="V4827" s="990"/>
      <c r="W4827" s="990"/>
      <c r="X4827" s="990"/>
    </row>
    <row r="4828" spans="1:24" s="896" customFormat="1" ht="25.5">
      <c r="A4828" s="987">
        <f t="shared" si="76"/>
        <v>4754</v>
      </c>
      <c r="B4828" s="988">
        <v>7760</v>
      </c>
      <c r="C4828" s="899" t="s">
        <v>14154</v>
      </c>
      <c r="D4828" s="988" t="s">
        <v>2669</v>
      </c>
      <c r="E4828" s="989">
        <v>77.099999999999994</v>
      </c>
      <c r="F4828" s="990"/>
      <c r="G4828" s="990"/>
      <c r="H4828" s="990"/>
      <c r="I4828" s="990"/>
      <c r="J4828" s="990"/>
      <c r="K4828" s="990"/>
      <c r="L4828" s="990"/>
      <c r="M4828" s="990"/>
      <c r="N4828" s="990"/>
      <c r="O4828" s="990"/>
      <c r="P4828" s="990"/>
      <c r="Q4828" s="990"/>
      <c r="R4828" s="990"/>
      <c r="S4828" s="990"/>
      <c r="T4828" s="990"/>
      <c r="U4828" s="990"/>
      <c r="V4828" s="990"/>
      <c r="W4828" s="990"/>
      <c r="X4828" s="990"/>
    </row>
    <row r="4829" spans="1:24" s="896" customFormat="1" ht="25.5">
      <c r="A4829" s="987">
        <f t="shared" si="76"/>
        <v>4755</v>
      </c>
      <c r="B4829" s="988">
        <v>7761</v>
      </c>
      <c r="C4829" s="899" t="s">
        <v>14155</v>
      </c>
      <c r="D4829" s="988" t="s">
        <v>2669</v>
      </c>
      <c r="E4829" s="989">
        <v>80.84</v>
      </c>
      <c r="F4829" s="990"/>
      <c r="G4829" s="990"/>
      <c r="H4829" s="990"/>
      <c r="I4829" s="990"/>
      <c r="J4829" s="990"/>
      <c r="K4829" s="990"/>
      <c r="L4829" s="990"/>
      <c r="M4829" s="990"/>
      <c r="N4829" s="990"/>
      <c r="O4829" s="990"/>
      <c r="P4829" s="990"/>
      <c r="Q4829" s="990"/>
      <c r="R4829" s="990"/>
      <c r="S4829" s="990"/>
      <c r="T4829" s="990"/>
      <c r="U4829" s="990"/>
      <c r="V4829" s="990"/>
      <c r="W4829" s="990"/>
      <c r="X4829" s="990"/>
    </row>
    <row r="4830" spans="1:24" s="896" customFormat="1" ht="25.5">
      <c r="A4830" s="987">
        <f t="shared" si="76"/>
        <v>4756</v>
      </c>
      <c r="B4830" s="988">
        <v>7752</v>
      </c>
      <c r="C4830" s="899" t="s">
        <v>14156</v>
      </c>
      <c r="D4830" s="988" t="s">
        <v>2669</v>
      </c>
      <c r="E4830" s="989">
        <v>98.25</v>
      </c>
      <c r="F4830" s="990"/>
      <c r="G4830" s="990"/>
      <c r="H4830" s="990"/>
      <c r="I4830" s="990"/>
      <c r="J4830" s="990"/>
      <c r="K4830" s="990"/>
      <c r="L4830" s="990"/>
      <c r="M4830" s="990"/>
      <c r="N4830" s="990"/>
      <c r="O4830" s="990"/>
      <c r="P4830" s="990"/>
      <c r="Q4830" s="990"/>
      <c r="R4830" s="990"/>
      <c r="S4830" s="990"/>
      <c r="T4830" s="990"/>
      <c r="U4830" s="990"/>
      <c r="V4830" s="990"/>
      <c r="W4830" s="990"/>
      <c r="X4830" s="990"/>
    </row>
    <row r="4831" spans="1:24" s="896" customFormat="1" ht="25.5">
      <c r="A4831" s="987">
        <f t="shared" si="76"/>
        <v>4757</v>
      </c>
      <c r="B4831" s="988">
        <v>7762</v>
      </c>
      <c r="C4831" s="899" t="s">
        <v>14157</v>
      </c>
      <c r="D4831" s="988" t="s">
        <v>2669</v>
      </c>
      <c r="E4831" s="989">
        <v>128.41</v>
      </c>
      <c r="F4831" s="990"/>
      <c r="G4831" s="990"/>
      <c r="H4831" s="990"/>
      <c r="I4831" s="990"/>
      <c r="J4831" s="990"/>
      <c r="K4831" s="990"/>
      <c r="L4831" s="990"/>
      <c r="M4831" s="990"/>
      <c r="N4831" s="990"/>
      <c r="O4831" s="990"/>
      <c r="P4831" s="990"/>
      <c r="Q4831" s="990"/>
      <c r="R4831" s="990"/>
      <c r="S4831" s="990"/>
      <c r="T4831" s="990"/>
      <c r="U4831" s="990"/>
      <c r="V4831" s="990"/>
      <c r="W4831" s="990"/>
      <c r="X4831" s="990"/>
    </row>
    <row r="4832" spans="1:24" s="896" customFormat="1" ht="25.5">
      <c r="A4832" s="987">
        <f t="shared" si="76"/>
        <v>4758</v>
      </c>
      <c r="B4832" s="988">
        <v>7722</v>
      </c>
      <c r="C4832" s="899" t="s">
        <v>14158</v>
      </c>
      <c r="D4832" s="988" t="s">
        <v>2669</v>
      </c>
      <c r="E4832" s="989">
        <v>196.5</v>
      </c>
      <c r="F4832" s="990"/>
      <c r="G4832" s="990"/>
      <c r="H4832" s="990"/>
      <c r="I4832" s="990"/>
      <c r="J4832" s="990"/>
      <c r="K4832" s="990"/>
      <c r="L4832" s="990"/>
      <c r="M4832" s="990"/>
      <c r="N4832" s="990"/>
      <c r="O4832" s="990"/>
      <c r="P4832" s="990"/>
      <c r="Q4832" s="990"/>
      <c r="R4832" s="990"/>
      <c r="S4832" s="990"/>
      <c r="T4832" s="990"/>
      <c r="U4832" s="990"/>
      <c r="V4832" s="990"/>
      <c r="W4832" s="990"/>
      <c r="X4832" s="990"/>
    </row>
    <row r="4833" spans="1:24" s="896" customFormat="1" ht="25.5">
      <c r="A4833" s="987">
        <f t="shared" si="76"/>
        <v>4759</v>
      </c>
      <c r="B4833" s="988">
        <v>7763</v>
      </c>
      <c r="C4833" s="899" t="s">
        <v>14159</v>
      </c>
      <c r="D4833" s="988" t="s">
        <v>2669</v>
      </c>
      <c r="E4833" s="989">
        <v>239.41</v>
      </c>
      <c r="F4833" s="990"/>
      <c r="G4833" s="990"/>
      <c r="H4833" s="990"/>
      <c r="I4833" s="990"/>
      <c r="J4833" s="990"/>
      <c r="K4833" s="990"/>
      <c r="L4833" s="990"/>
      <c r="M4833" s="990"/>
      <c r="N4833" s="990"/>
      <c r="O4833" s="990"/>
      <c r="P4833" s="990"/>
      <c r="Q4833" s="990"/>
      <c r="R4833" s="990"/>
      <c r="S4833" s="990"/>
      <c r="T4833" s="990"/>
      <c r="U4833" s="990"/>
      <c r="V4833" s="990"/>
      <c r="W4833" s="990"/>
      <c r="X4833" s="990"/>
    </row>
    <row r="4834" spans="1:24" s="896" customFormat="1" ht="25.5">
      <c r="A4834" s="987">
        <f t="shared" si="76"/>
        <v>4760</v>
      </c>
      <c r="B4834" s="988">
        <v>7764</v>
      </c>
      <c r="C4834" s="899" t="s">
        <v>14160</v>
      </c>
      <c r="D4834" s="988" t="s">
        <v>2669</v>
      </c>
      <c r="E4834" s="989">
        <v>286.05</v>
      </c>
      <c r="F4834" s="990"/>
      <c r="G4834" s="990"/>
      <c r="H4834" s="990"/>
      <c r="I4834" s="990"/>
      <c r="J4834" s="990"/>
      <c r="K4834" s="990"/>
      <c r="L4834" s="990"/>
      <c r="M4834" s="990"/>
      <c r="N4834" s="990"/>
      <c r="O4834" s="990"/>
      <c r="P4834" s="990"/>
      <c r="Q4834" s="990"/>
      <c r="R4834" s="990"/>
      <c r="S4834" s="990"/>
      <c r="T4834" s="990"/>
      <c r="U4834" s="990"/>
      <c r="V4834" s="990"/>
      <c r="W4834" s="990"/>
      <c r="X4834" s="990"/>
    </row>
    <row r="4835" spans="1:24" s="896" customFormat="1" ht="25.5">
      <c r="A4835" s="987">
        <f t="shared" si="76"/>
        <v>4761</v>
      </c>
      <c r="B4835" s="988">
        <v>12572</v>
      </c>
      <c r="C4835" s="899" t="s">
        <v>14161</v>
      </c>
      <c r="D4835" s="988" t="s">
        <v>2669</v>
      </c>
      <c r="E4835" s="989">
        <v>404.2</v>
      </c>
      <c r="F4835" s="990"/>
      <c r="G4835" s="990"/>
      <c r="H4835" s="990"/>
      <c r="I4835" s="990"/>
      <c r="J4835" s="990"/>
      <c r="K4835" s="990"/>
      <c r="L4835" s="990"/>
      <c r="M4835" s="990"/>
      <c r="N4835" s="990"/>
      <c r="O4835" s="990"/>
      <c r="P4835" s="990"/>
      <c r="Q4835" s="990"/>
      <c r="R4835" s="990"/>
      <c r="S4835" s="990"/>
      <c r="T4835" s="990"/>
      <c r="U4835" s="990"/>
      <c r="V4835" s="990"/>
      <c r="W4835" s="990"/>
      <c r="X4835" s="990"/>
    </row>
    <row r="4836" spans="1:24" s="896" customFormat="1" ht="25.5">
      <c r="A4836" s="987">
        <f t="shared" si="76"/>
        <v>4762</v>
      </c>
      <c r="B4836" s="988">
        <v>12573</v>
      </c>
      <c r="C4836" s="899" t="s">
        <v>14162</v>
      </c>
      <c r="D4836" s="988" t="s">
        <v>2669</v>
      </c>
      <c r="E4836" s="989">
        <v>531.67999999999995</v>
      </c>
      <c r="F4836" s="990"/>
      <c r="G4836" s="990"/>
      <c r="H4836" s="990"/>
      <c r="I4836" s="990"/>
      <c r="J4836" s="990"/>
      <c r="K4836" s="990"/>
      <c r="L4836" s="990"/>
      <c r="M4836" s="990"/>
      <c r="N4836" s="990"/>
      <c r="O4836" s="990"/>
      <c r="P4836" s="990"/>
      <c r="Q4836" s="990"/>
      <c r="R4836" s="990"/>
      <c r="S4836" s="990"/>
      <c r="T4836" s="990"/>
      <c r="U4836" s="990"/>
      <c r="V4836" s="990"/>
      <c r="W4836" s="990"/>
      <c r="X4836" s="990"/>
    </row>
    <row r="4837" spans="1:24" s="896" customFormat="1" ht="25.5">
      <c r="A4837" s="987">
        <f t="shared" si="76"/>
        <v>4763</v>
      </c>
      <c r="B4837" s="988">
        <v>12574</v>
      </c>
      <c r="C4837" s="899" t="s">
        <v>14163</v>
      </c>
      <c r="D4837" s="988" t="s">
        <v>2669</v>
      </c>
      <c r="E4837" s="989">
        <v>642.86</v>
      </c>
      <c r="F4837" s="990"/>
      <c r="G4837" s="990"/>
      <c r="H4837" s="990"/>
      <c r="I4837" s="990"/>
      <c r="J4837" s="990"/>
      <c r="K4837" s="990"/>
      <c r="L4837" s="990"/>
      <c r="M4837" s="990"/>
      <c r="N4837" s="990"/>
      <c r="O4837" s="990"/>
      <c r="P4837" s="990"/>
      <c r="Q4837" s="990"/>
      <c r="R4837" s="990"/>
      <c r="S4837" s="990"/>
      <c r="T4837" s="990"/>
      <c r="U4837" s="990"/>
      <c r="V4837" s="990"/>
      <c r="W4837" s="990"/>
      <c r="X4837" s="990"/>
    </row>
    <row r="4838" spans="1:24" s="896" customFormat="1" ht="25.5">
      <c r="A4838" s="987">
        <f t="shared" si="76"/>
        <v>4764</v>
      </c>
      <c r="B4838" s="988">
        <v>12575</v>
      </c>
      <c r="C4838" s="899" t="s">
        <v>14164</v>
      </c>
      <c r="D4838" s="988" t="s">
        <v>2669</v>
      </c>
      <c r="E4838" s="989">
        <v>976.3</v>
      </c>
      <c r="F4838" s="990"/>
      <c r="G4838" s="990"/>
      <c r="H4838" s="990"/>
      <c r="I4838" s="990"/>
      <c r="J4838" s="990"/>
      <c r="K4838" s="990"/>
      <c r="L4838" s="990"/>
      <c r="M4838" s="990"/>
      <c r="N4838" s="990"/>
      <c r="O4838" s="990"/>
      <c r="P4838" s="990"/>
      <c r="Q4838" s="990"/>
      <c r="R4838" s="990"/>
      <c r="S4838" s="990"/>
      <c r="T4838" s="990"/>
      <c r="U4838" s="990"/>
      <c r="V4838" s="990"/>
      <c r="W4838" s="990"/>
      <c r="X4838" s="990"/>
    </row>
    <row r="4839" spans="1:24" s="896" customFormat="1" ht="25.5">
      <c r="A4839" s="987">
        <f t="shared" si="76"/>
        <v>4765</v>
      </c>
      <c r="B4839" s="988">
        <v>12576</v>
      </c>
      <c r="C4839" s="899" t="s">
        <v>14165</v>
      </c>
      <c r="D4839" s="988" t="s">
        <v>2669</v>
      </c>
      <c r="E4839" s="989">
        <v>118.15</v>
      </c>
      <c r="F4839" s="990"/>
      <c r="G4839" s="990"/>
      <c r="H4839" s="990"/>
      <c r="I4839" s="990"/>
      <c r="J4839" s="990"/>
      <c r="K4839" s="990"/>
      <c r="L4839" s="990"/>
      <c r="M4839" s="990"/>
      <c r="N4839" s="990"/>
      <c r="O4839" s="990"/>
      <c r="P4839" s="990"/>
      <c r="Q4839" s="990"/>
      <c r="R4839" s="990"/>
      <c r="S4839" s="990"/>
      <c r="T4839" s="990"/>
      <c r="U4839" s="990"/>
      <c r="V4839" s="990"/>
      <c r="W4839" s="990"/>
      <c r="X4839" s="990"/>
    </row>
    <row r="4840" spans="1:24" s="896" customFormat="1" ht="25.5">
      <c r="A4840" s="987">
        <f t="shared" si="76"/>
        <v>4766</v>
      </c>
      <c r="B4840" s="988">
        <v>12577</v>
      </c>
      <c r="C4840" s="899" t="s">
        <v>14166</v>
      </c>
      <c r="D4840" s="988" t="s">
        <v>2669</v>
      </c>
      <c r="E4840" s="989">
        <v>159.19</v>
      </c>
      <c r="F4840" s="990"/>
      <c r="G4840" s="990"/>
      <c r="H4840" s="990"/>
      <c r="I4840" s="990"/>
      <c r="J4840" s="990"/>
      <c r="K4840" s="990"/>
      <c r="L4840" s="990"/>
      <c r="M4840" s="990"/>
      <c r="N4840" s="990"/>
      <c r="O4840" s="990"/>
      <c r="P4840" s="990"/>
      <c r="Q4840" s="990"/>
      <c r="R4840" s="990"/>
      <c r="S4840" s="990"/>
      <c r="T4840" s="990"/>
      <c r="U4840" s="990"/>
      <c r="V4840" s="990"/>
      <c r="W4840" s="990"/>
      <c r="X4840" s="990"/>
    </row>
    <row r="4841" spans="1:24" s="896" customFormat="1" ht="25.5">
      <c r="A4841" s="987">
        <f t="shared" si="76"/>
        <v>4767</v>
      </c>
      <c r="B4841" s="988">
        <v>12578</v>
      </c>
      <c r="C4841" s="899" t="s">
        <v>14167</v>
      </c>
      <c r="D4841" s="988" t="s">
        <v>2669</v>
      </c>
      <c r="E4841" s="989">
        <v>192.77</v>
      </c>
      <c r="F4841" s="990"/>
      <c r="G4841" s="990"/>
      <c r="H4841" s="990"/>
      <c r="I4841" s="990"/>
      <c r="J4841" s="990"/>
      <c r="K4841" s="990"/>
      <c r="L4841" s="990"/>
      <c r="M4841" s="990"/>
      <c r="N4841" s="990"/>
      <c r="O4841" s="990"/>
      <c r="P4841" s="990"/>
      <c r="Q4841" s="990"/>
      <c r="R4841" s="990"/>
      <c r="S4841" s="990"/>
      <c r="T4841" s="990"/>
      <c r="U4841" s="990"/>
      <c r="V4841" s="990"/>
      <c r="W4841" s="990"/>
      <c r="X4841" s="990"/>
    </row>
    <row r="4842" spans="1:24" s="896" customFormat="1" ht="25.5">
      <c r="A4842" s="987">
        <f t="shared" si="76"/>
        <v>4768</v>
      </c>
      <c r="B4842" s="988">
        <v>12579</v>
      </c>
      <c r="C4842" s="899" t="s">
        <v>14168</v>
      </c>
      <c r="D4842" s="988" t="s">
        <v>2669</v>
      </c>
      <c r="E4842" s="989">
        <v>332.06</v>
      </c>
      <c r="F4842" s="990"/>
      <c r="G4842" s="990"/>
      <c r="H4842" s="990"/>
      <c r="I4842" s="990"/>
      <c r="J4842" s="990"/>
      <c r="K4842" s="990"/>
      <c r="L4842" s="990"/>
      <c r="M4842" s="990"/>
      <c r="N4842" s="990"/>
      <c r="O4842" s="990"/>
      <c r="P4842" s="990"/>
      <c r="Q4842" s="990"/>
      <c r="R4842" s="990"/>
      <c r="S4842" s="990"/>
      <c r="T4842" s="990"/>
      <c r="U4842" s="990"/>
      <c r="V4842" s="990"/>
      <c r="W4842" s="990"/>
      <c r="X4842" s="990"/>
    </row>
    <row r="4843" spans="1:24" s="896" customFormat="1" ht="25.5">
      <c r="A4843" s="987">
        <f t="shared" si="76"/>
        <v>4769</v>
      </c>
      <c r="B4843" s="988">
        <v>12580</v>
      </c>
      <c r="C4843" s="899" t="s">
        <v>14169</v>
      </c>
      <c r="D4843" s="988" t="s">
        <v>2669</v>
      </c>
      <c r="E4843" s="989">
        <v>345.99</v>
      </c>
      <c r="F4843" s="990"/>
      <c r="G4843" s="990"/>
      <c r="H4843" s="990"/>
      <c r="I4843" s="990"/>
      <c r="J4843" s="990"/>
      <c r="K4843" s="990"/>
      <c r="L4843" s="990"/>
      <c r="M4843" s="990"/>
      <c r="N4843" s="990"/>
      <c r="O4843" s="990"/>
      <c r="P4843" s="990"/>
      <c r="Q4843" s="990"/>
      <c r="R4843" s="990"/>
      <c r="S4843" s="990"/>
      <c r="T4843" s="990"/>
      <c r="U4843" s="990"/>
      <c r="V4843" s="990"/>
      <c r="W4843" s="990"/>
      <c r="X4843" s="990"/>
    </row>
    <row r="4844" spans="1:24" s="896" customFormat="1" ht="25.5">
      <c r="A4844" s="987">
        <f t="shared" si="76"/>
        <v>4770</v>
      </c>
      <c r="B4844" s="988">
        <v>12581</v>
      </c>
      <c r="C4844" s="899" t="s">
        <v>14170</v>
      </c>
      <c r="D4844" s="988" t="s">
        <v>2669</v>
      </c>
      <c r="E4844" s="989">
        <v>370.62</v>
      </c>
      <c r="F4844" s="990"/>
      <c r="G4844" s="990"/>
      <c r="H4844" s="990"/>
      <c r="I4844" s="990"/>
      <c r="J4844" s="990"/>
      <c r="K4844" s="990"/>
      <c r="L4844" s="990"/>
      <c r="M4844" s="990"/>
      <c r="N4844" s="990"/>
      <c r="O4844" s="990"/>
      <c r="P4844" s="990"/>
      <c r="Q4844" s="990"/>
      <c r="R4844" s="990"/>
      <c r="S4844" s="990"/>
      <c r="T4844" s="990"/>
      <c r="U4844" s="990"/>
      <c r="V4844" s="990"/>
      <c r="W4844" s="990"/>
      <c r="X4844" s="990"/>
    </row>
    <row r="4845" spans="1:24" s="896" customFormat="1" ht="25.5">
      <c r="A4845" s="987">
        <f t="shared" si="76"/>
        <v>4771</v>
      </c>
      <c r="B4845" s="988">
        <v>7720</v>
      </c>
      <c r="C4845" s="899" t="s">
        <v>14171</v>
      </c>
      <c r="D4845" s="988" t="s">
        <v>2669</v>
      </c>
      <c r="E4845" s="989">
        <v>579.55999999999995</v>
      </c>
      <c r="F4845" s="990"/>
      <c r="G4845" s="990"/>
      <c r="H4845" s="990"/>
      <c r="I4845" s="990"/>
      <c r="J4845" s="990"/>
      <c r="K4845" s="990"/>
      <c r="L4845" s="990"/>
      <c r="M4845" s="990"/>
      <c r="N4845" s="990"/>
      <c r="O4845" s="990"/>
      <c r="P4845" s="990"/>
      <c r="Q4845" s="990"/>
      <c r="R4845" s="990"/>
      <c r="S4845" s="990"/>
      <c r="T4845" s="990"/>
      <c r="U4845" s="990"/>
      <c r="V4845" s="990"/>
      <c r="W4845" s="990"/>
      <c r="X4845" s="990"/>
    </row>
    <row r="4846" spans="1:24" s="896" customFormat="1" ht="25.5">
      <c r="A4846" s="987">
        <f t="shared" si="76"/>
        <v>4772</v>
      </c>
      <c r="B4846" s="988">
        <v>40335</v>
      </c>
      <c r="C4846" s="899" t="s">
        <v>14172</v>
      </c>
      <c r="D4846" s="988" t="s">
        <v>2669</v>
      </c>
      <c r="E4846" s="989">
        <v>121.26</v>
      </c>
      <c r="F4846" s="990"/>
      <c r="G4846" s="990"/>
      <c r="H4846" s="990"/>
      <c r="I4846" s="990"/>
      <c r="J4846" s="990"/>
      <c r="K4846" s="990"/>
      <c r="L4846" s="990"/>
      <c r="M4846" s="990"/>
      <c r="N4846" s="990"/>
      <c r="O4846" s="990"/>
      <c r="P4846" s="990"/>
      <c r="Q4846" s="990"/>
      <c r="R4846" s="990"/>
      <c r="S4846" s="990"/>
      <c r="T4846" s="990"/>
      <c r="U4846" s="990"/>
      <c r="V4846" s="990"/>
      <c r="W4846" s="990"/>
      <c r="X4846" s="990"/>
    </row>
    <row r="4847" spans="1:24" s="896" customFormat="1" ht="25.5">
      <c r="A4847" s="987">
        <f t="shared" si="76"/>
        <v>4773</v>
      </c>
      <c r="B4847" s="988">
        <v>7740</v>
      </c>
      <c r="C4847" s="899" t="s">
        <v>14173</v>
      </c>
      <c r="D4847" s="988" t="s">
        <v>2669</v>
      </c>
      <c r="E4847" s="989">
        <v>124.36</v>
      </c>
      <c r="F4847" s="990"/>
      <c r="G4847" s="990"/>
      <c r="H4847" s="990"/>
      <c r="I4847" s="990"/>
      <c r="J4847" s="990"/>
      <c r="K4847" s="990"/>
      <c r="L4847" s="990"/>
      <c r="M4847" s="990"/>
      <c r="N4847" s="990"/>
      <c r="O4847" s="990"/>
      <c r="P4847" s="990"/>
      <c r="Q4847" s="990"/>
      <c r="R4847" s="990"/>
      <c r="S4847" s="990"/>
      <c r="T4847" s="990"/>
      <c r="U4847" s="990"/>
      <c r="V4847" s="990"/>
      <c r="W4847" s="990"/>
      <c r="X4847" s="990"/>
    </row>
    <row r="4848" spans="1:24" s="896" customFormat="1" ht="25.5">
      <c r="A4848" s="987">
        <f t="shared" si="76"/>
        <v>4774</v>
      </c>
      <c r="B4848" s="988">
        <v>7741</v>
      </c>
      <c r="C4848" s="899" t="s">
        <v>14174</v>
      </c>
      <c r="D4848" s="988" t="s">
        <v>2669</v>
      </c>
      <c r="E4848" s="989">
        <v>230.08</v>
      </c>
      <c r="F4848" s="990"/>
      <c r="G4848" s="990"/>
      <c r="H4848" s="990"/>
      <c r="I4848" s="990"/>
      <c r="J4848" s="990"/>
      <c r="K4848" s="990"/>
      <c r="L4848" s="990"/>
      <c r="M4848" s="990"/>
      <c r="N4848" s="990"/>
      <c r="O4848" s="990"/>
      <c r="P4848" s="990"/>
      <c r="Q4848" s="990"/>
      <c r="R4848" s="990"/>
      <c r="S4848" s="990"/>
      <c r="T4848" s="990"/>
      <c r="U4848" s="990"/>
      <c r="V4848" s="990"/>
      <c r="W4848" s="990"/>
      <c r="X4848" s="990"/>
    </row>
    <row r="4849" spans="1:24" s="896" customFormat="1" ht="25.5">
      <c r="A4849" s="987">
        <f t="shared" si="76"/>
        <v>4775</v>
      </c>
      <c r="B4849" s="988">
        <v>7774</v>
      </c>
      <c r="C4849" s="899" t="s">
        <v>14175</v>
      </c>
      <c r="D4849" s="988" t="s">
        <v>2669</v>
      </c>
      <c r="E4849" s="989">
        <v>282.31</v>
      </c>
      <c r="F4849" s="990"/>
      <c r="G4849" s="990"/>
      <c r="H4849" s="990"/>
      <c r="I4849" s="990"/>
      <c r="J4849" s="990"/>
      <c r="K4849" s="990"/>
      <c r="L4849" s="990"/>
      <c r="M4849" s="990"/>
      <c r="N4849" s="990"/>
      <c r="O4849" s="990"/>
      <c r="P4849" s="990"/>
      <c r="Q4849" s="990"/>
      <c r="R4849" s="990"/>
      <c r="S4849" s="990"/>
      <c r="T4849" s="990"/>
      <c r="U4849" s="990"/>
      <c r="V4849" s="990"/>
      <c r="W4849" s="990"/>
      <c r="X4849" s="990"/>
    </row>
    <row r="4850" spans="1:24" s="896" customFormat="1" ht="25.5">
      <c r="A4850" s="987">
        <f t="shared" si="76"/>
        <v>4776</v>
      </c>
      <c r="B4850" s="988">
        <v>7744</v>
      </c>
      <c r="C4850" s="899" t="s">
        <v>14176</v>
      </c>
      <c r="D4850" s="988" t="s">
        <v>2669</v>
      </c>
      <c r="E4850" s="989">
        <v>368.75</v>
      </c>
      <c r="F4850" s="990"/>
      <c r="G4850" s="990"/>
      <c r="H4850" s="990"/>
      <c r="I4850" s="990"/>
      <c r="J4850" s="990"/>
      <c r="K4850" s="990"/>
      <c r="L4850" s="990"/>
      <c r="M4850" s="990"/>
      <c r="N4850" s="990"/>
      <c r="O4850" s="990"/>
      <c r="P4850" s="990"/>
      <c r="Q4850" s="990"/>
      <c r="R4850" s="990"/>
      <c r="S4850" s="990"/>
      <c r="T4850" s="990"/>
      <c r="U4850" s="990"/>
      <c r="V4850" s="990"/>
      <c r="W4850" s="990"/>
      <c r="X4850" s="990"/>
    </row>
    <row r="4851" spans="1:24" s="896" customFormat="1" ht="25.5">
      <c r="A4851" s="987">
        <f t="shared" si="76"/>
        <v>4777</v>
      </c>
      <c r="B4851" s="988">
        <v>7773</v>
      </c>
      <c r="C4851" s="899" t="s">
        <v>14177</v>
      </c>
      <c r="D4851" s="988" t="s">
        <v>2669</v>
      </c>
      <c r="E4851" s="989">
        <v>376.9</v>
      </c>
      <c r="F4851" s="990"/>
      <c r="G4851" s="990"/>
      <c r="H4851" s="990"/>
      <c r="I4851" s="990"/>
      <c r="J4851" s="990"/>
      <c r="K4851" s="990"/>
      <c r="L4851" s="990"/>
      <c r="M4851" s="990"/>
      <c r="N4851" s="990"/>
      <c r="O4851" s="990"/>
      <c r="P4851" s="990"/>
      <c r="Q4851" s="990"/>
      <c r="R4851" s="990"/>
      <c r="S4851" s="990"/>
      <c r="T4851" s="990"/>
      <c r="U4851" s="990"/>
      <c r="V4851" s="990"/>
      <c r="W4851" s="990"/>
      <c r="X4851" s="990"/>
    </row>
    <row r="4852" spans="1:24" s="896" customFormat="1" ht="25.5">
      <c r="A4852" s="987">
        <f t="shared" si="76"/>
        <v>4778</v>
      </c>
      <c r="B4852" s="988">
        <v>7754</v>
      </c>
      <c r="C4852" s="899" t="s">
        <v>14178</v>
      </c>
      <c r="D4852" s="988" t="s">
        <v>2669</v>
      </c>
      <c r="E4852" s="989">
        <v>571.47</v>
      </c>
      <c r="F4852" s="990"/>
      <c r="G4852" s="990"/>
      <c r="H4852" s="990"/>
      <c r="I4852" s="990"/>
      <c r="J4852" s="990"/>
      <c r="K4852" s="990"/>
      <c r="L4852" s="990"/>
      <c r="M4852" s="990"/>
      <c r="N4852" s="990"/>
      <c r="O4852" s="990"/>
      <c r="P4852" s="990"/>
      <c r="Q4852" s="990"/>
      <c r="R4852" s="990"/>
      <c r="S4852" s="990"/>
      <c r="T4852" s="990"/>
      <c r="U4852" s="990"/>
      <c r="V4852" s="990"/>
      <c r="W4852" s="990"/>
      <c r="X4852" s="990"/>
    </row>
    <row r="4853" spans="1:24" s="896" customFormat="1" ht="25.5">
      <c r="A4853" s="987">
        <f t="shared" si="76"/>
        <v>4779</v>
      </c>
      <c r="B4853" s="988">
        <v>7735</v>
      </c>
      <c r="C4853" s="899" t="s">
        <v>14179</v>
      </c>
      <c r="D4853" s="988" t="s">
        <v>2669</v>
      </c>
      <c r="E4853" s="989">
        <v>740</v>
      </c>
      <c r="F4853" s="990"/>
      <c r="G4853" s="990"/>
      <c r="H4853" s="990"/>
      <c r="I4853" s="990"/>
      <c r="J4853" s="990"/>
      <c r="K4853" s="990"/>
      <c r="L4853" s="990"/>
      <c r="M4853" s="990"/>
      <c r="N4853" s="990"/>
      <c r="O4853" s="990"/>
      <c r="P4853" s="990"/>
      <c r="Q4853" s="990"/>
      <c r="R4853" s="990"/>
      <c r="S4853" s="990"/>
      <c r="T4853" s="990"/>
      <c r="U4853" s="990"/>
      <c r="V4853" s="990"/>
      <c r="W4853" s="990"/>
      <c r="X4853" s="990"/>
    </row>
    <row r="4854" spans="1:24" s="896" customFormat="1" ht="25.5">
      <c r="A4854" s="987">
        <f t="shared" si="76"/>
        <v>4780</v>
      </c>
      <c r="B4854" s="988">
        <v>7755</v>
      </c>
      <c r="C4854" s="899" t="s">
        <v>14180</v>
      </c>
      <c r="D4854" s="988" t="s">
        <v>2669</v>
      </c>
      <c r="E4854" s="989">
        <v>146.75</v>
      </c>
      <c r="F4854" s="990"/>
      <c r="G4854" s="990"/>
      <c r="H4854" s="990"/>
      <c r="I4854" s="990"/>
      <c r="J4854" s="990"/>
      <c r="K4854" s="990"/>
      <c r="L4854" s="990"/>
      <c r="M4854" s="990"/>
      <c r="N4854" s="990"/>
      <c r="O4854" s="990"/>
      <c r="P4854" s="990"/>
      <c r="Q4854" s="990"/>
      <c r="R4854" s="990"/>
      <c r="S4854" s="990"/>
      <c r="T4854" s="990"/>
      <c r="U4854" s="990"/>
      <c r="V4854" s="990"/>
      <c r="W4854" s="990"/>
      <c r="X4854" s="990"/>
    </row>
    <row r="4855" spans="1:24" s="896" customFormat="1" ht="25.5">
      <c r="A4855" s="987">
        <f t="shared" si="76"/>
        <v>4781</v>
      </c>
      <c r="B4855" s="988">
        <v>7776</v>
      </c>
      <c r="C4855" s="899" t="s">
        <v>14181</v>
      </c>
      <c r="D4855" s="988" t="s">
        <v>2669</v>
      </c>
      <c r="E4855" s="989">
        <v>305.94</v>
      </c>
      <c r="F4855" s="990"/>
      <c r="G4855" s="990"/>
      <c r="H4855" s="990"/>
      <c r="I4855" s="990"/>
      <c r="J4855" s="990"/>
      <c r="K4855" s="990"/>
      <c r="L4855" s="990"/>
      <c r="M4855" s="990"/>
      <c r="N4855" s="990"/>
      <c r="O4855" s="990"/>
      <c r="P4855" s="990"/>
      <c r="Q4855" s="990"/>
      <c r="R4855" s="990"/>
      <c r="S4855" s="990"/>
      <c r="T4855" s="990"/>
      <c r="U4855" s="990"/>
      <c r="V4855" s="990"/>
      <c r="W4855" s="990"/>
      <c r="X4855" s="990"/>
    </row>
    <row r="4856" spans="1:24" s="896" customFormat="1" ht="25.5">
      <c r="A4856" s="987">
        <f t="shared" si="76"/>
        <v>4782</v>
      </c>
      <c r="B4856" s="988">
        <v>7743</v>
      </c>
      <c r="C4856" s="899" t="s">
        <v>14182</v>
      </c>
      <c r="D4856" s="988" t="s">
        <v>2669</v>
      </c>
      <c r="E4856" s="989">
        <v>323.98</v>
      </c>
      <c r="F4856" s="990"/>
      <c r="G4856" s="990"/>
      <c r="H4856" s="990"/>
      <c r="I4856" s="990"/>
      <c r="J4856" s="990"/>
      <c r="K4856" s="990"/>
      <c r="L4856" s="990"/>
      <c r="M4856" s="990"/>
      <c r="N4856" s="990"/>
      <c r="O4856" s="990"/>
      <c r="P4856" s="990"/>
      <c r="Q4856" s="990"/>
      <c r="R4856" s="990"/>
      <c r="S4856" s="990"/>
      <c r="T4856" s="990"/>
      <c r="U4856" s="990"/>
      <c r="V4856" s="990"/>
      <c r="W4856" s="990"/>
      <c r="X4856" s="990"/>
    </row>
    <row r="4857" spans="1:24" s="896" customFormat="1" ht="25.5">
      <c r="A4857" s="987">
        <f t="shared" si="76"/>
        <v>4783</v>
      </c>
      <c r="B4857" s="988">
        <v>7733</v>
      </c>
      <c r="C4857" s="899" t="s">
        <v>14183</v>
      </c>
      <c r="D4857" s="988" t="s">
        <v>2669</v>
      </c>
      <c r="E4857" s="989">
        <v>422.85</v>
      </c>
      <c r="F4857" s="990"/>
      <c r="G4857" s="990"/>
      <c r="H4857" s="990"/>
      <c r="I4857" s="990"/>
      <c r="J4857" s="990"/>
      <c r="K4857" s="990"/>
      <c r="L4857" s="990"/>
      <c r="M4857" s="990"/>
      <c r="N4857" s="990"/>
      <c r="O4857" s="990"/>
      <c r="P4857" s="990"/>
      <c r="Q4857" s="990"/>
      <c r="R4857" s="990"/>
      <c r="S4857" s="990"/>
      <c r="T4857" s="990"/>
      <c r="U4857" s="990"/>
      <c r="V4857" s="990"/>
      <c r="W4857" s="990"/>
      <c r="X4857" s="990"/>
    </row>
    <row r="4858" spans="1:24" s="896" customFormat="1" ht="25.5">
      <c r="A4858" s="987">
        <f t="shared" si="76"/>
        <v>4784</v>
      </c>
      <c r="B4858" s="988">
        <v>7775</v>
      </c>
      <c r="C4858" s="899" t="s">
        <v>14184</v>
      </c>
      <c r="D4858" s="988" t="s">
        <v>2669</v>
      </c>
      <c r="E4858" s="989">
        <v>463.27</v>
      </c>
      <c r="F4858" s="990"/>
      <c r="G4858" s="990"/>
      <c r="H4858" s="990"/>
      <c r="I4858" s="990"/>
      <c r="J4858" s="990"/>
      <c r="K4858" s="990"/>
      <c r="L4858" s="990"/>
      <c r="M4858" s="990"/>
      <c r="N4858" s="990"/>
      <c r="O4858" s="990"/>
      <c r="P4858" s="990"/>
      <c r="Q4858" s="990"/>
      <c r="R4858" s="990"/>
      <c r="S4858" s="990"/>
      <c r="T4858" s="990"/>
      <c r="U4858" s="990"/>
      <c r="V4858" s="990"/>
      <c r="W4858" s="990"/>
      <c r="X4858" s="990"/>
    </row>
    <row r="4859" spans="1:24" s="896" customFormat="1" ht="25.5">
      <c r="A4859" s="987">
        <f t="shared" si="76"/>
        <v>4785</v>
      </c>
      <c r="B4859" s="988">
        <v>7734</v>
      </c>
      <c r="C4859" s="899" t="s">
        <v>14185</v>
      </c>
      <c r="D4859" s="988" t="s">
        <v>2669</v>
      </c>
      <c r="E4859" s="989">
        <v>656.05</v>
      </c>
      <c r="F4859" s="990"/>
      <c r="G4859" s="990"/>
      <c r="H4859" s="990"/>
      <c r="I4859" s="990"/>
      <c r="J4859" s="990"/>
      <c r="K4859" s="990"/>
      <c r="L4859" s="990"/>
      <c r="M4859" s="990"/>
      <c r="N4859" s="990"/>
      <c r="O4859" s="990"/>
      <c r="P4859" s="990"/>
      <c r="Q4859" s="990"/>
      <c r="R4859" s="990"/>
      <c r="S4859" s="990"/>
      <c r="T4859" s="990"/>
      <c r="U4859" s="990"/>
      <c r="V4859" s="990"/>
      <c r="W4859" s="990"/>
      <c r="X4859" s="990"/>
    </row>
    <row r="4860" spans="1:24" s="896" customFormat="1" ht="25.5">
      <c r="A4860" s="987">
        <f t="shared" si="76"/>
        <v>4786</v>
      </c>
      <c r="B4860" s="988">
        <v>37449</v>
      </c>
      <c r="C4860" s="899" t="s">
        <v>14186</v>
      </c>
      <c r="D4860" s="988" t="s">
        <v>2669</v>
      </c>
      <c r="E4860" s="989">
        <v>16.940000000000001</v>
      </c>
      <c r="F4860" s="990"/>
      <c r="G4860" s="990"/>
      <c r="H4860" s="990"/>
      <c r="I4860" s="990"/>
      <c r="J4860" s="990"/>
      <c r="K4860" s="990"/>
      <c r="L4860" s="990"/>
      <c r="M4860" s="990"/>
      <c r="N4860" s="990"/>
      <c r="O4860" s="990"/>
      <c r="P4860" s="990"/>
      <c r="Q4860" s="990"/>
      <c r="R4860" s="990"/>
      <c r="S4860" s="990"/>
      <c r="T4860" s="990"/>
      <c r="U4860" s="990"/>
      <c r="V4860" s="990"/>
      <c r="W4860" s="990"/>
      <c r="X4860" s="990"/>
    </row>
    <row r="4861" spans="1:24" s="896" customFormat="1" ht="25.5">
      <c r="A4861" s="987">
        <f t="shared" si="76"/>
        <v>4787</v>
      </c>
      <c r="B4861" s="988">
        <v>37450</v>
      </c>
      <c r="C4861" s="899" t="s">
        <v>14187</v>
      </c>
      <c r="D4861" s="988" t="s">
        <v>2669</v>
      </c>
      <c r="E4861" s="989">
        <v>23.72</v>
      </c>
      <c r="F4861" s="990"/>
      <c r="G4861" s="990"/>
      <c r="H4861" s="990"/>
      <c r="I4861" s="990"/>
      <c r="J4861" s="990"/>
      <c r="K4861" s="990"/>
      <c r="L4861" s="990"/>
      <c r="M4861" s="990"/>
      <c r="N4861" s="990"/>
      <c r="O4861" s="990"/>
      <c r="P4861" s="990"/>
      <c r="Q4861" s="990"/>
      <c r="R4861" s="990"/>
      <c r="S4861" s="990"/>
      <c r="T4861" s="990"/>
      <c r="U4861" s="990"/>
      <c r="V4861" s="990"/>
      <c r="W4861" s="990"/>
      <c r="X4861" s="990"/>
    </row>
    <row r="4862" spans="1:24" s="896" customFormat="1" ht="25.5">
      <c r="A4862" s="987">
        <f t="shared" si="76"/>
        <v>4788</v>
      </c>
      <c r="B4862" s="988">
        <v>37451</v>
      </c>
      <c r="C4862" s="899" t="s">
        <v>14188</v>
      </c>
      <c r="D4862" s="988" t="s">
        <v>2669</v>
      </c>
      <c r="E4862" s="989">
        <v>33.119999999999997</v>
      </c>
      <c r="F4862" s="990"/>
      <c r="G4862" s="990"/>
      <c r="H4862" s="990"/>
      <c r="I4862" s="990"/>
      <c r="J4862" s="990"/>
      <c r="K4862" s="990"/>
      <c r="L4862" s="990"/>
      <c r="M4862" s="990"/>
      <c r="N4862" s="990"/>
      <c r="O4862" s="990"/>
      <c r="P4862" s="990"/>
      <c r="Q4862" s="990"/>
      <c r="R4862" s="990"/>
      <c r="S4862" s="990"/>
      <c r="T4862" s="990"/>
      <c r="U4862" s="990"/>
      <c r="V4862" s="990"/>
      <c r="W4862" s="990"/>
      <c r="X4862" s="990"/>
    </row>
    <row r="4863" spans="1:24" s="896" customFormat="1" ht="25.5">
      <c r="A4863" s="987">
        <f t="shared" si="76"/>
        <v>4789</v>
      </c>
      <c r="B4863" s="988">
        <v>37452</v>
      </c>
      <c r="C4863" s="899" t="s">
        <v>14189</v>
      </c>
      <c r="D4863" s="988" t="s">
        <v>2669</v>
      </c>
      <c r="E4863" s="989">
        <v>48.14</v>
      </c>
      <c r="F4863" s="990"/>
      <c r="G4863" s="990"/>
      <c r="H4863" s="990"/>
      <c r="I4863" s="990"/>
      <c r="J4863" s="990"/>
      <c r="K4863" s="990"/>
      <c r="L4863" s="990"/>
      <c r="M4863" s="990"/>
      <c r="N4863" s="990"/>
      <c r="O4863" s="990"/>
      <c r="P4863" s="990"/>
      <c r="Q4863" s="990"/>
      <c r="R4863" s="990"/>
      <c r="S4863" s="990"/>
      <c r="T4863" s="990"/>
      <c r="U4863" s="990"/>
      <c r="V4863" s="990"/>
      <c r="W4863" s="990"/>
      <c r="X4863" s="990"/>
    </row>
    <row r="4864" spans="1:24" s="896" customFormat="1" ht="25.5">
      <c r="A4864" s="987">
        <f t="shared" si="76"/>
        <v>4790</v>
      </c>
      <c r="B4864" s="988">
        <v>37453</v>
      </c>
      <c r="C4864" s="899" t="s">
        <v>14190</v>
      </c>
      <c r="D4864" s="988" t="s">
        <v>2669</v>
      </c>
      <c r="E4864" s="989">
        <v>55.44</v>
      </c>
      <c r="F4864" s="990"/>
      <c r="G4864" s="990"/>
      <c r="H4864" s="990"/>
      <c r="I4864" s="990"/>
      <c r="J4864" s="990"/>
      <c r="K4864" s="990"/>
      <c r="L4864" s="990"/>
      <c r="M4864" s="990"/>
      <c r="N4864" s="990"/>
      <c r="O4864" s="990"/>
      <c r="P4864" s="990"/>
      <c r="Q4864" s="990"/>
      <c r="R4864" s="990"/>
      <c r="S4864" s="990"/>
      <c r="T4864" s="990"/>
      <c r="U4864" s="990"/>
      <c r="V4864" s="990"/>
      <c r="W4864" s="990"/>
      <c r="X4864" s="990"/>
    </row>
    <row r="4865" spans="1:24" s="896" customFormat="1" ht="25.5">
      <c r="A4865" s="987">
        <f t="shared" si="76"/>
        <v>4791</v>
      </c>
      <c r="B4865" s="988">
        <v>7778</v>
      </c>
      <c r="C4865" s="899" t="s">
        <v>14191</v>
      </c>
      <c r="D4865" s="988" t="s">
        <v>2669</v>
      </c>
      <c r="E4865" s="989">
        <v>20.79</v>
      </c>
      <c r="F4865" s="990"/>
      <c r="G4865" s="990"/>
      <c r="H4865" s="990"/>
      <c r="I4865" s="990"/>
      <c r="J4865" s="990"/>
      <c r="K4865" s="990"/>
      <c r="L4865" s="990"/>
      <c r="M4865" s="990"/>
      <c r="N4865" s="990"/>
      <c r="O4865" s="990"/>
      <c r="P4865" s="990"/>
      <c r="Q4865" s="990"/>
      <c r="R4865" s="990"/>
      <c r="S4865" s="990"/>
      <c r="T4865" s="990"/>
      <c r="U4865" s="990"/>
      <c r="V4865" s="990"/>
      <c r="W4865" s="990"/>
      <c r="X4865" s="990"/>
    </row>
    <row r="4866" spans="1:24" s="896" customFormat="1" ht="25.5">
      <c r="A4866" s="987">
        <f t="shared" si="76"/>
        <v>4792</v>
      </c>
      <c r="B4866" s="988">
        <v>7796</v>
      </c>
      <c r="C4866" s="899" t="s">
        <v>14192</v>
      </c>
      <c r="D4866" s="988" t="s">
        <v>2669</v>
      </c>
      <c r="E4866" s="989">
        <v>28.5</v>
      </c>
      <c r="F4866" s="990"/>
      <c r="G4866" s="990"/>
      <c r="H4866" s="990"/>
      <c r="I4866" s="990"/>
      <c r="J4866" s="990"/>
      <c r="K4866" s="990"/>
      <c r="L4866" s="990"/>
      <c r="M4866" s="990"/>
      <c r="N4866" s="990"/>
      <c r="O4866" s="990"/>
      <c r="P4866" s="990"/>
      <c r="Q4866" s="990"/>
      <c r="R4866" s="990"/>
      <c r="S4866" s="990"/>
      <c r="T4866" s="990"/>
      <c r="U4866" s="990"/>
      <c r="V4866" s="990"/>
      <c r="W4866" s="990"/>
      <c r="X4866" s="990"/>
    </row>
    <row r="4867" spans="1:24" s="896" customFormat="1" ht="25.5">
      <c r="A4867" s="987">
        <f t="shared" si="76"/>
        <v>4793</v>
      </c>
      <c r="B4867" s="988">
        <v>7781</v>
      </c>
      <c r="C4867" s="899" t="s">
        <v>14193</v>
      </c>
      <c r="D4867" s="988" t="s">
        <v>2669</v>
      </c>
      <c r="E4867" s="989">
        <v>33.68</v>
      </c>
      <c r="F4867" s="990"/>
      <c r="G4867" s="990"/>
      <c r="H4867" s="990"/>
      <c r="I4867" s="990"/>
      <c r="J4867" s="990"/>
      <c r="K4867" s="990"/>
      <c r="L4867" s="990"/>
      <c r="M4867" s="990"/>
      <c r="N4867" s="990"/>
      <c r="O4867" s="990"/>
      <c r="P4867" s="990"/>
      <c r="Q4867" s="990"/>
      <c r="R4867" s="990"/>
      <c r="S4867" s="990"/>
      <c r="T4867" s="990"/>
      <c r="U4867" s="990"/>
      <c r="V4867" s="990"/>
      <c r="W4867" s="990"/>
      <c r="X4867" s="990"/>
    </row>
    <row r="4868" spans="1:24" s="896" customFormat="1" ht="25.5">
      <c r="A4868" s="987">
        <f t="shared" si="76"/>
        <v>4794</v>
      </c>
      <c r="B4868" s="988">
        <v>7795</v>
      </c>
      <c r="C4868" s="899" t="s">
        <v>14194</v>
      </c>
      <c r="D4868" s="988" t="s">
        <v>2669</v>
      </c>
      <c r="E4868" s="989">
        <v>50.12</v>
      </c>
      <c r="F4868" s="990"/>
      <c r="G4868" s="990"/>
      <c r="H4868" s="990"/>
      <c r="I4868" s="990"/>
      <c r="J4868" s="990"/>
      <c r="K4868" s="990"/>
      <c r="L4868" s="990"/>
      <c r="M4868" s="990"/>
      <c r="N4868" s="990"/>
      <c r="O4868" s="990"/>
      <c r="P4868" s="990"/>
      <c r="Q4868" s="990"/>
      <c r="R4868" s="990"/>
      <c r="S4868" s="990"/>
      <c r="T4868" s="990"/>
      <c r="U4868" s="990"/>
      <c r="V4868" s="990"/>
      <c r="W4868" s="990"/>
      <c r="X4868" s="990"/>
    </row>
    <row r="4869" spans="1:24" s="896" customFormat="1" ht="25.5">
      <c r="A4869" s="987">
        <f t="shared" si="76"/>
        <v>4795</v>
      </c>
      <c r="B4869" s="988">
        <v>7791</v>
      </c>
      <c r="C4869" s="899" t="s">
        <v>14195</v>
      </c>
      <c r="D4869" s="988" t="s">
        <v>2669</v>
      </c>
      <c r="E4869" s="989">
        <v>60</v>
      </c>
      <c r="F4869" s="990"/>
      <c r="G4869" s="990"/>
      <c r="H4869" s="990"/>
      <c r="I4869" s="990"/>
      <c r="J4869" s="990"/>
      <c r="K4869" s="990"/>
      <c r="L4869" s="990"/>
      <c r="M4869" s="990"/>
      <c r="N4869" s="990"/>
      <c r="O4869" s="990"/>
      <c r="P4869" s="990"/>
      <c r="Q4869" s="990"/>
      <c r="R4869" s="990"/>
      <c r="S4869" s="990"/>
      <c r="T4869" s="990"/>
      <c r="U4869" s="990"/>
      <c r="V4869" s="990"/>
      <c r="W4869" s="990"/>
      <c r="X4869" s="990"/>
    </row>
    <row r="4870" spans="1:24" s="896" customFormat="1" ht="25.5">
      <c r="A4870" s="987">
        <f t="shared" si="76"/>
        <v>4796</v>
      </c>
      <c r="B4870" s="988">
        <v>7783</v>
      </c>
      <c r="C4870" s="899" t="s">
        <v>14196</v>
      </c>
      <c r="D4870" s="988" t="s">
        <v>2669</v>
      </c>
      <c r="E4870" s="989">
        <v>21.26</v>
      </c>
      <c r="F4870" s="990"/>
      <c r="G4870" s="990"/>
      <c r="H4870" s="990"/>
      <c r="I4870" s="990"/>
      <c r="J4870" s="990"/>
      <c r="K4870" s="990"/>
      <c r="L4870" s="990"/>
      <c r="M4870" s="990"/>
      <c r="N4870" s="990"/>
      <c r="O4870" s="990"/>
      <c r="P4870" s="990"/>
      <c r="Q4870" s="990"/>
      <c r="R4870" s="990"/>
      <c r="S4870" s="990"/>
      <c r="T4870" s="990"/>
      <c r="U4870" s="990"/>
      <c r="V4870" s="990"/>
      <c r="W4870" s="990"/>
      <c r="X4870" s="990"/>
    </row>
    <row r="4871" spans="1:24" s="896" customFormat="1" ht="25.5">
      <c r="A4871" s="987">
        <f t="shared" si="76"/>
        <v>4797</v>
      </c>
      <c r="B4871" s="988">
        <v>7790</v>
      </c>
      <c r="C4871" s="899" t="s">
        <v>14197</v>
      </c>
      <c r="D4871" s="988" t="s">
        <v>2669</v>
      </c>
      <c r="E4871" s="989">
        <v>33.5</v>
      </c>
      <c r="F4871" s="990"/>
      <c r="G4871" s="990"/>
      <c r="H4871" s="990"/>
      <c r="I4871" s="990"/>
      <c r="J4871" s="990"/>
      <c r="K4871" s="990"/>
      <c r="L4871" s="990"/>
      <c r="M4871" s="990"/>
      <c r="N4871" s="990"/>
      <c r="O4871" s="990"/>
      <c r="P4871" s="990"/>
      <c r="Q4871" s="990"/>
      <c r="R4871" s="990"/>
      <c r="S4871" s="990"/>
      <c r="T4871" s="990"/>
      <c r="U4871" s="990"/>
      <c r="V4871" s="990"/>
      <c r="W4871" s="990"/>
      <c r="X4871" s="990"/>
    </row>
    <row r="4872" spans="1:24" s="896" customFormat="1" ht="25.5">
      <c r="A4872" s="987">
        <f t="shared" si="76"/>
        <v>4798</v>
      </c>
      <c r="B4872" s="988">
        <v>7785</v>
      </c>
      <c r="C4872" s="899" t="s">
        <v>14198</v>
      </c>
      <c r="D4872" s="988" t="s">
        <v>2669</v>
      </c>
      <c r="E4872" s="989">
        <v>36.97</v>
      </c>
      <c r="F4872" s="990"/>
      <c r="G4872" s="990"/>
      <c r="H4872" s="990"/>
      <c r="I4872" s="990"/>
      <c r="J4872" s="990"/>
      <c r="K4872" s="990"/>
      <c r="L4872" s="990"/>
      <c r="M4872" s="990"/>
      <c r="N4872" s="990"/>
      <c r="O4872" s="990"/>
      <c r="P4872" s="990"/>
      <c r="Q4872" s="990"/>
      <c r="R4872" s="990"/>
      <c r="S4872" s="990"/>
      <c r="T4872" s="990"/>
      <c r="U4872" s="990"/>
      <c r="V4872" s="990"/>
      <c r="W4872" s="990"/>
      <c r="X4872" s="990"/>
    </row>
    <row r="4873" spans="1:24" s="896" customFormat="1" ht="25.5">
      <c r="A4873" s="987">
        <f t="shared" si="76"/>
        <v>4799</v>
      </c>
      <c r="B4873" s="988">
        <v>7792</v>
      </c>
      <c r="C4873" s="899" t="s">
        <v>14199</v>
      </c>
      <c r="D4873" s="988" t="s">
        <v>2669</v>
      </c>
      <c r="E4873" s="989">
        <v>52.43</v>
      </c>
      <c r="F4873" s="990"/>
      <c r="G4873" s="990"/>
      <c r="H4873" s="990"/>
      <c r="I4873" s="990"/>
      <c r="J4873" s="990"/>
      <c r="K4873" s="990"/>
      <c r="L4873" s="990"/>
      <c r="M4873" s="990"/>
      <c r="N4873" s="990"/>
      <c r="O4873" s="990"/>
      <c r="P4873" s="990"/>
      <c r="Q4873" s="990"/>
      <c r="R4873" s="990"/>
      <c r="S4873" s="990"/>
      <c r="T4873" s="990"/>
      <c r="U4873" s="990"/>
      <c r="V4873" s="990"/>
      <c r="W4873" s="990"/>
      <c r="X4873" s="990"/>
    </row>
    <row r="4874" spans="1:24" s="896" customFormat="1" ht="25.5">
      <c r="A4874" s="987">
        <f t="shared" si="76"/>
        <v>4800</v>
      </c>
      <c r="B4874" s="988">
        <v>7793</v>
      </c>
      <c r="C4874" s="899" t="s">
        <v>14200</v>
      </c>
      <c r="D4874" s="988" t="s">
        <v>2669</v>
      </c>
      <c r="E4874" s="989">
        <v>61.92</v>
      </c>
      <c r="F4874" s="990"/>
      <c r="G4874" s="990"/>
      <c r="H4874" s="990"/>
      <c r="I4874" s="990"/>
      <c r="J4874" s="990"/>
      <c r="K4874" s="990"/>
      <c r="L4874" s="990"/>
      <c r="M4874" s="990"/>
      <c r="N4874" s="990"/>
      <c r="O4874" s="990"/>
      <c r="P4874" s="990"/>
      <c r="Q4874" s="990"/>
      <c r="R4874" s="990"/>
      <c r="S4874" s="990"/>
      <c r="T4874" s="990"/>
      <c r="U4874" s="990"/>
      <c r="V4874" s="990"/>
      <c r="W4874" s="990"/>
      <c r="X4874" s="990"/>
    </row>
    <row r="4875" spans="1:24" s="896" customFormat="1" ht="25.5">
      <c r="A4875" s="987">
        <f t="shared" si="76"/>
        <v>4801</v>
      </c>
      <c r="B4875" s="988">
        <v>13159</v>
      </c>
      <c r="C4875" s="899" t="s">
        <v>14201</v>
      </c>
      <c r="D4875" s="988" t="s">
        <v>2669</v>
      </c>
      <c r="E4875" s="989">
        <v>53.91</v>
      </c>
      <c r="F4875" s="990"/>
      <c r="G4875" s="990"/>
      <c r="H4875" s="990"/>
      <c r="I4875" s="990"/>
      <c r="J4875" s="990"/>
      <c r="K4875" s="990"/>
      <c r="L4875" s="990"/>
      <c r="M4875" s="990"/>
      <c r="N4875" s="990"/>
      <c r="O4875" s="990"/>
      <c r="P4875" s="990"/>
      <c r="Q4875" s="990"/>
      <c r="R4875" s="990"/>
      <c r="S4875" s="990"/>
      <c r="T4875" s="990"/>
      <c r="U4875" s="990"/>
      <c r="V4875" s="990"/>
      <c r="W4875" s="990"/>
      <c r="X4875" s="990"/>
    </row>
    <row r="4876" spans="1:24" s="896" customFormat="1" ht="25.5">
      <c r="A4876" s="987">
        <f t="shared" ref="A4876:A4939" si="77">A4875+1</f>
        <v>4802</v>
      </c>
      <c r="B4876" s="988">
        <v>13168</v>
      </c>
      <c r="C4876" s="899" t="s">
        <v>14202</v>
      </c>
      <c r="D4876" s="988" t="s">
        <v>2669</v>
      </c>
      <c r="E4876" s="989">
        <v>65.47</v>
      </c>
      <c r="F4876" s="990"/>
      <c r="G4876" s="990"/>
      <c r="H4876" s="990"/>
      <c r="I4876" s="990"/>
      <c r="J4876" s="990"/>
      <c r="K4876" s="990"/>
      <c r="L4876" s="990"/>
      <c r="M4876" s="990"/>
      <c r="N4876" s="990"/>
      <c r="O4876" s="990"/>
      <c r="P4876" s="990"/>
      <c r="Q4876" s="990"/>
      <c r="R4876" s="990"/>
      <c r="S4876" s="990"/>
      <c r="T4876" s="990"/>
      <c r="U4876" s="990"/>
      <c r="V4876" s="990"/>
      <c r="W4876" s="990"/>
      <c r="X4876" s="990"/>
    </row>
    <row r="4877" spans="1:24" s="896" customFormat="1" ht="25.5">
      <c r="A4877" s="987">
        <f t="shared" si="77"/>
        <v>4803</v>
      </c>
      <c r="B4877" s="988">
        <v>13173</v>
      </c>
      <c r="C4877" s="899" t="s">
        <v>14203</v>
      </c>
      <c r="D4877" s="988" t="s">
        <v>2669</v>
      </c>
      <c r="E4877" s="989">
        <v>88.58</v>
      </c>
      <c r="F4877" s="990"/>
      <c r="G4877" s="990"/>
      <c r="H4877" s="990"/>
      <c r="I4877" s="990"/>
      <c r="J4877" s="990"/>
      <c r="K4877" s="990"/>
      <c r="L4877" s="990"/>
      <c r="M4877" s="990"/>
      <c r="N4877" s="990"/>
      <c r="O4877" s="990"/>
      <c r="P4877" s="990"/>
      <c r="Q4877" s="990"/>
      <c r="R4877" s="990"/>
      <c r="S4877" s="990"/>
      <c r="T4877" s="990"/>
      <c r="U4877" s="990"/>
      <c r="V4877" s="990"/>
      <c r="W4877" s="990"/>
      <c r="X4877" s="990"/>
    </row>
    <row r="4878" spans="1:24" s="896" customFormat="1" ht="25.5">
      <c r="A4878" s="987">
        <f t="shared" si="77"/>
        <v>4804</v>
      </c>
      <c r="B4878" s="988">
        <v>12583</v>
      </c>
      <c r="C4878" s="899" t="s">
        <v>14204</v>
      </c>
      <c r="D4878" s="988" t="s">
        <v>2669</v>
      </c>
      <c r="E4878" s="989">
        <v>17.71</v>
      </c>
      <c r="F4878" s="990"/>
      <c r="G4878" s="990"/>
      <c r="H4878" s="990"/>
      <c r="I4878" s="990"/>
      <c r="J4878" s="990"/>
      <c r="K4878" s="990"/>
      <c r="L4878" s="990"/>
      <c r="M4878" s="990"/>
      <c r="N4878" s="990"/>
      <c r="O4878" s="990"/>
      <c r="P4878" s="990"/>
      <c r="Q4878" s="990"/>
      <c r="R4878" s="990"/>
      <c r="S4878" s="990"/>
      <c r="T4878" s="990"/>
      <c r="U4878" s="990"/>
      <c r="V4878" s="990"/>
      <c r="W4878" s="990"/>
      <c r="X4878" s="990"/>
    </row>
    <row r="4879" spans="1:24" s="896" customFormat="1" ht="25.5">
      <c r="A4879" s="987">
        <f t="shared" si="77"/>
        <v>4805</v>
      </c>
      <c r="B4879" s="988">
        <v>12584</v>
      </c>
      <c r="C4879" s="899" t="s">
        <v>14205</v>
      </c>
      <c r="D4879" s="988" t="s">
        <v>2669</v>
      </c>
      <c r="E4879" s="989">
        <v>23.1</v>
      </c>
      <c r="F4879" s="990"/>
      <c r="G4879" s="990"/>
      <c r="H4879" s="990"/>
      <c r="I4879" s="990"/>
      <c r="J4879" s="990"/>
      <c r="K4879" s="990"/>
      <c r="L4879" s="990"/>
      <c r="M4879" s="990"/>
      <c r="N4879" s="990"/>
      <c r="O4879" s="990"/>
      <c r="P4879" s="990"/>
      <c r="Q4879" s="990"/>
      <c r="R4879" s="990"/>
      <c r="S4879" s="990"/>
      <c r="T4879" s="990"/>
      <c r="U4879" s="990"/>
      <c r="V4879" s="990"/>
      <c r="W4879" s="990"/>
      <c r="X4879" s="990"/>
    </row>
    <row r="4880" spans="1:24" s="896" customFormat="1" ht="25.5">
      <c r="A4880" s="987">
        <f t="shared" si="77"/>
        <v>4806</v>
      </c>
      <c r="B4880" s="988">
        <v>12613</v>
      </c>
      <c r="C4880" s="899" t="s">
        <v>14206</v>
      </c>
      <c r="D4880" s="988" t="s">
        <v>2666</v>
      </c>
      <c r="E4880" s="989">
        <v>17.93</v>
      </c>
      <c r="F4880" s="990"/>
      <c r="G4880" s="990"/>
      <c r="H4880" s="990"/>
      <c r="I4880" s="990"/>
      <c r="J4880" s="990"/>
      <c r="K4880" s="990"/>
      <c r="L4880" s="990"/>
      <c r="M4880" s="990"/>
      <c r="N4880" s="990"/>
      <c r="O4880" s="990"/>
      <c r="P4880" s="990"/>
      <c r="Q4880" s="990"/>
      <c r="R4880" s="990"/>
      <c r="S4880" s="990"/>
      <c r="T4880" s="990"/>
      <c r="U4880" s="990"/>
      <c r="V4880" s="990"/>
      <c r="W4880" s="990"/>
      <c r="X4880" s="990"/>
    </row>
    <row r="4881" spans="1:24" s="896" customFormat="1" ht="25.5">
      <c r="A4881" s="987">
        <f t="shared" si="77"/>
        <v>4807</v>
      </c>
      <c r="B4881" s="988">
        <v>1031</v>
      </c>
      <c r="C4881" s="899" t="s">
        <v>14207</v>
      </c>
      <c r="D4881" s="988" t="s">
        <v>2666</v>
      </c>
      <c r="E4881" s="989">
        <v>14.55</v>
      </c>
      <c r="F4881" s="990"/>
      <c r="G4881" s="990"/>
      <c r="H4881" s="990"/>
      <c r="I4881" s="990"/>
      <c r="J4881" s="990"/>
      <c r="K4881" s="990"/>
      <c r="L4881" s="990"/>
      <c r="M4881" s="990"/>
      <c r="N4881" s="990"/>
      <c r="O4881" s="990"/>
      <c r="P4881" s="990"/>
      <c r="Q4881" s="990"/>
      <c r="R4881" s="990"/>
      <c r="S4881" s="990"/>
      <c r="T4881" s="990"/>
      <c r="U4881" s="990"/>
      <c r="V4881" s="990"/>
      <c r="W4881" s="990"/>
      <c r="X4881" s="990"/>
    </row>
    <row r="4882" spans="1:24" s="896" customFormat="1" ht="25.5">
      <c r="A4882" s="987">
        <f t="shared" si="77"/>
        <v>4808</v>
      </c>
      <c r="B4882" s="988">
        <v>39707</v>
      </c>
      <c r="C4882" s="899" t="s">
        <v>14208</v>
      </c>
      <c r="D4882" s="988" t="s">
        <v>2669</v>
      </c>
      <c r="E4882" s="989">
        <v>3.84</v>
      </c>
      <c r="F4882" s="990"/>
      <c r="G4882" s="990"/>
      <c r="H4882" s="990"/>
      <c r="I4882" s="990"/>
      <c r="J4882" s="990"/>
      <c r="K4882" s="990"/>
      <c r="L4882" s="990"/>
      <c r="M4882" s="990"/>
      <c r="N4882" s="990"/>
      <c r="O4882" s="990"/>
      <c r="P4882" s="990"/>
      <c r="Q4882" s="990"/>
      <c r="R4882" s="990"/>
      <c r="S4882" s="990"/>
      <c r="T4882" s="990"/>
      <c r="U4882" s="990"/>
      <c r="V4882" s="990"/>
      <c r="W4882" s="990"/>
      <c r="X4882" s="990"/>
    </row>
    <row r="4883" spans="1:24" s="896" customFormat="1" ht="25.5">
      <c r="A4883" s="987">
        <f t="shared" si="77"/>
        <v>4809</v>
      </c>
      <c r="B4883" s="988">
        <v>39708</v>
      </c>
      <c r="C4883" s="899" t="s">
        <v>14209</v>
      </c>
      <c r="D4883" s="988" t="s">
        <v>2669</v>
      </c>
      <c r="E4883" s="989">
        <v>3.72</v>
      </c>
      <c r="F4883" s="990"/>
      <c r="G4883" s="990"/>
      <c r="H4883" s="990"/>
      <c r="I4883" s="990"/>
      <c r="J4883" s="990"/>
      <c r="K4883" s="990"/>
      <c r="L4883" s="990"/>
      <c r="M4883" s="990"/>
      <c r="N4883" s="990"/>
      <c r="O4883" s="990"/>
      <c r="P4883" s="990"/>
      <c r="Q4883" s="990"/>
      <c r="R4883" s="990"/>
      <c r="S4883" s="990"/>
      <c r="T4883" s="990"/>
      <c r="U4883" s="990"/>
      <c r="V4883" s="990"/>
      <c r="W4883" s="990"/>
      <c r="X4883" s="990"/>
    </row>
    <row r="4884" spans="1:24" s="896" customFormat="1" ht="25.5">
      <c r="A4884" s="987">
        <f t="shared" si="77"/>
        <v>4810</v>
      </c>
      <c r="B4884" s="988">
        <v>39710</v>
      </c>
      <c r="C4884" s="899" t="s">
        <v>14210</v>
      </c>
      <c r="D4884" s="988" t="s">
        <v>2669</v>
      </c>
      <c r="E4884" s="989">
        <v>2.62</v>
      </c>
      <c r="F4884" s="990"/>
      <c r="G4884" s="990"/>
      <c r="H4884" s="990"/>
      <c r="I4884" s="990"/>
      <c r="J4884" s="990"/>
      <c r="K4884" s="990"/>
      <c r="L4884" s="990"/>
      <c r="M4884" s="990"/>
      <c r="N4884" s="990"/>
      <c r="O4884" s="990"/>
      <c r="P4884" s="990"/>
      <c r="Q4884" s="990"/>
      <c r="R4884" s="990"/>
      <c r="S4884" s="990"/>
      <c r="T4884" s="990"/>
      <c r="U4884" s="990"/>
      <c r="V4884" s="990"/>
      <c r="W4884" s="990"/>
      <c r="X4884" s="990"/>
    </row>
    <row r="4885" spans="1:24" s="896" customFormat="1" ht="25.5">
      <c r="A4885" s="987">
        <f t="shared" si="77"/>
        <v>4811</v>
      </c>
      <c r="B4885" s="988">
        <v>39709</v>
      </c>
      <c r="C4885" s="899" t="s">
        <v>14211</v>
      </c>
      <c r="D4885" s="988" t="s">
        <v>2669</v>
      </c>
      <c r="E4885" s="989">
        <v>3.63</v>
      </c>
      <c r="F4885" s="990"/>
      <c r="G4885" s="990"/>
      <c r="H4885" s="990"/>
      <c r="I4885" s="990"/>
      <c r="J4885" s="990"/>
      <c r="K4885" s="990"/>
      <c r="L4885" s="990"/>
      <c r="M4885" s="990"/>
      <c r="N4885" s="990"/>
      <c r="O4885" s="990"/>
      <c r="P4885" s="990"/>
      <c r="Q4885" s="990"/>
      <c r="R4885" s="990"/>
      <c r="S4885" s="990"/>
      <c r="T4885" s="990"/>
      <c r="U4885" s="990"/>
      <c r="V4885" s="990"/>
      <c r="W4885" s="990"/>
      <c r="X4885" s="990"/>
    </row>
    <row r="4886" spans="1:24" s="896" customFormat="1" ht="25.5">
      <c r="A4886" s="987">
        <f t="shared" si="77"/>
        <v>4812</v>
      </c>
      <c r="B4886" s="988">
        <v>39711</v>
      </c>
      <c r="C4886" s="899" t="s">
        <v>14212</v>
      </c>
      <c r="D4886" s="988" t="s">
        <v>2669</v>
      </c>
      <c r="E4886" s="989">
        <v>4.08</v>
      </c>
      <c r="F4886" s="990"/>
      <c r="G4886" s="990"/>
      <c r="H4886" s="990"/>
      <c r="I4886" s="990"/>
      <c r="J4886" s="990"/>
      <c r="K4886" s="990"/>
      <c r="L4886" s="990"/>
      <c r="M4886" s="990"/>
      <c r="N4886" s="990"/>
      <c r="O4886" s="990"/>
      <c r="P4886" s="990"/>
      <c r="Q4886" s="990"/>
      <c r="R4886" s="990"/>
      <c r="S4886" s="990"/>
      <c r="T4886" s="990"/>
      <c r="U4886" s="990"/>
      <c r="V4886" s="990"/>
      <c r="W4886" s="990"/>
      <c r="X4886" s="990"/>
    </row>
    <row r="4887" spans="1:24" s="896" customFormat="1" ht="25.5">
      <c r="A4887" s="987">
        <f t="shared" si="77"/>
        <v>4813</v>
      </c>
      <c r="B4887" s="988">
        <v>39712</v>
      </c>
      <c r="C4887" s="899" t="s">
        <v>14213</v>
      </c>
      <c r="D4887" s="988" t="s">
        <v>2669</v>
      </c>
      <c r="E4887" s="989">
        <v>1.43</v>
      </c>
      <c r="F4887" s="990"/>
      <c r="G4887" s="990"/>
      <c r="H4887" s="990"/>
      <c r="I4887" s="990"/>
      <c r="J4887" s="990"/>
      <c r="K4887" s="990"/>
      <c r="L4887" s="990"/>
      <c r="M4887" s="990"/>
      <c r="N4887" s="990"/>
      <c r="O4887" s="990"/>
      <c r="P4887" s="990"/>
      <c r="Q4887" s="990"/>
      <c r="R4887" s="990"/>
      <c r="S4887" s="990"/>
      <c r="T4887" s="990"/>
      <c r="U4887" s="990"/>
      <c r="V4887" s="990"/>
      <c r="W4887" s="990"/>
      <c r="X4887" s="990"/>
    </row>
    <row r="4888" spans="1:24" s="896" customFormat="1" ht="25.5">
      <c r="A4888" s="987">
        <f t="shared" si="77"/>
        <v>4814</v>
      </c>
      <c r="B4888" s="988">
        <v>39713</v>
      </c>
      <c r="C4888" s="899" t="s">
        <v>14214</v>
      </c>
      <c r="D4888" s="988" t="s">
        <v>2669</v>
      </c>
      <c r="E4888" s="989">
        <v>1.1299999999999999</v>
      </c>
      <c r="F4888" s="990"/>
      <c r="G4888" s="990"/>
      <c r="H4888" s="990"/>
      <c r="I4888" s="990"/>
      <c r="J4888" s="990"/>
      <c r="K4888" s="990"/>
      <c r="L4888" s="990"/>
      <c r="M4888" s="990"/>
      <c r="N4888" s="990"/>
      <c r="O4888" s="990"/>
      <c r="P4888" s="990"/>
      <c r="Q4888" s="990"/>
      <c r="R4888" s="990"/>
      <c r="S4888" s="990"/>
      <c r="T4888" s="990"/>
      <c r="U4888" s="990"/>
      <c r="V4888" s="990"/>
      <c r="W4888" s="990"/>
      <c r="X4888" s="990"/>
    </row>
    <row r="4889" spans="1:24" s="896" customFormat="1" ht="25.5">
      <c r="A4889" s="987">
        <f t="shared" si="77"/>
        <v>4815</v>
      </c>
      <c r="B4889" s="988">
        <v>39714</v>
      </c>
      <c r="C4889" s="899" t="s">
        <v>14215</v>
      </c>
      <c r="D4889" s="988" t="s">
        <v>2669</v>
      </c>
      <c r="E4889" s="989">
        <v>2.59</v>
      </c>
      <c r="F4889" s="990"/>
      <c r="G4889" s="990"/>
      <c r="H4889" s="990"/>
      <c r="I4889" s="990"/>
      <c r="J4889" s="990"/>
      <c r="K4889" s="990"/>
      <c r="L4889" s="990"/>
      <c r="M4889" s="990"/>
      <c r="N4889" s="990"/>
      <c r="O4889" s="990"/>
      <c r="P4889" s="990"/>
      <c r="Q4889" s="990"/>
      <c r="R4889" s="990"/>
      <c r="S4889" s="990"/>
      <c r="T4889" s="990"/>
      <c r="U4889" s="990"/>
      <c r="V4889" s="990"/>
      <c r="W4889" s="990"/>
      <c r="X4889" s="990"/>
    </row>
    <row r="4890" spans="1:24" s="896" customFormat="1" ht="25.5">
      <c r="A4890" s="987">
        <f t="shared" si="77"/>
        <v>4816</v>
      </c>
      <c r="B4890" s="988">
        <v>39715</v>
      </c>
      <c r="C4890" s="899" t="s">
        <v>14216</v>
      </c>
      <c r="D4890" s="988" t="s">
        <v>2669</v>
      </c>
      <c r="E4890" s="989">
        <v>1.84</v>
      </c>
      <c r="F4890" s="990"/>
      <c r="G4890" s="990"/>
      <c r="H4890" s="990"/>
      <c r="I4890" s="990"/>
      <c r="J4890" s="990"/>
      <c r="K4890" s="990"/>
      <c r="L4890" s="990"/>
      <c r="M4890" s="990"/>
      <c r="N4890" s="990"/>
      <c r="O4890" s="990"/>
      <c r="P4890" s="990"/>
      <c r="Q4890" s="990"/>
      <c r="R4890" s="990"/>
      <c r="S4890" s="990"/>
      <c r="T4890" s="990"/>
      <c r="U4890" s="990"/>
      <c r="V4890" s="990"/>
      <c r="W4890" s="990"/>
      <c r="X4890" s="990"/>
    </row>
    <row r="4891" spans="1:24" s="896" customFormat="1" ht="25.5">
      <c r="A4891" s="987">
        <f t="shared" si="77"/>
        <v>4817</v>
      </c>
      <c r="B4891" s="988">
        <v>39716</v>
      </c>
      <c r="C4891" s="899" t="s">
        <v>14217</v>
      </c>
      <c r="D4891" s="988" t="s">
        <v>2669</v>
      </c>
      <c r="E4891" s="989">
        <v>1.4</v>
      </c>
      <c r="F4891" s="990"/>
      <c r="G4891" s="990"/>
      <c r="H4891" s="990"/>
      <c r="I4891" s="990"/>
      <c r="J4891" s="990"/>
      <c r="K4891" s="990"/>
      <c r="L4891" s="990"/>
      <c r="M4891" s="990"/>
      <c r="N4891" s="990"/>
      <c r="O4891" s="990"/>
      <c r="P4891" s="990"/>
      <c r="Q4891" s="990"/>
      <c r="R4891" s="990"/>
      <c r="S4891" s="990"/>
      <c r="T4891" s="990"/>
      <c r="U4891" s="990"/>
      <c r="V4891" s="990"/>
      <c r="W4891" s="990"/>
      <c r="X4891" s="990"/>
    </row>
    <row r="4892" spans="1:24" s="896" customFormat="1" ht="25.5">
      <c r="A4892" s="987">
        <f t="shared" si="77"/>
        <v>4818</v>
      </c>
      <c r="B4892" s="988">
        <v>39718</v>
      </c>
      <c r="C4892" s="899" t="s">
        <v>14218</v>
      </c>
      <c r="D4892" s="988" t="s">
        <v>2669</v>
      </c>
      <c r="E4892" s="989">
        <v>2.38</v>
      </c>
      <c r="F4892" s="990"/>
      <c r="G4892" s="990"/>
      <c r="H4892" s="990"/>
      <c r="I4892" s="990"/>
      <c r="J4892" s="990"/>
      <c r="K4892" s="990"/>
      <c r="L4892" s="990"/>
      <c r="M4892" s="990"/>
      <c r="N4892" s="990"/>
      <c r="O4892" s="990"/>
      <c r="P4892" s="990"/>
      <c r="Q4892" s="990"/>
      <c r="R4892" s="990"/>
      <c r="S4892" s="990"/>
      <c r="T4892" s="990"/>
      <c r="U4892" s="990"/>
      <c r="V4892" s="990"/>
      <c r="W4892" s="990"/>
      <c r="X4892" s="990"/>
    </row>
    <row r="4893" spans="1:24" s="896" customFormat="1" ht="25.5">
      <c r="A4893" s="987">
        <f t="shared" si="77"/>
        <v>4819</v>
      </c>
      <c r="B4893" s="988">
        <v>9813</v>
      </c>
      <c r="C4893" s="899" t="s">
        <v>14219</v>
      </c>
      <c r="D4893" s="988" t="s">
        <v>2669</v>
      </c>
      <c r="E4893" s="989">
        <v>5.71</v>
      </c>
      <c r="F4893" s="990"/>
      <c r="G4893" s="990"/>
      <c r="H4893" s="990"/>
      <c r="I4893" s="990"/>
      <c r="J4893" s="990"/>
      <c r="K4893" s="990"/>
      <c r="L4893" s="990"/>
      <c r="M4893" s="990"/>
      <c r="N4893" s="990"/>
      <c r="O4893" s="990"/>
      <c r="P4893" s="990"/>
      <c r="Q4893" s="990"/>
      <c r="R4893" s="990"/>
      <c r="S4893" s="990"/>
      <c r="T4893" s="990"/>
      <c r="U4893" s="990"/>
      <c r="V4893" s="990"/>
      <c r="W4893" s="990"/>
      <c r="X4893" s="990"/>
    </row>
    <row r="4894" spans="1:24" s="896" customFormat="1" ht="25.5">
      <c r="A4894" s="987">
        <f t="shared" si="77"/>
        <v>4820</v>
      </c>
      <c r="B4894" s="988">
        <v>9815</v>
      </c>
      <c r="C4894" s="899" t="s">
        <v>14220</v>
      </c>
      <c r="D4894" s="988" t="s">
        <v>2669</v>
      </c>
      <c r="E4894" s="989">
        <v>11.27</v>
      </c>
      <c r="F4894" s="990"/>
      <c r="G4894" s="990"/>
      <c r="H4894" s="990"/>
      <c r="I4894" s="990"/>
      <c r="J4894" s="990"/>
      <c r="K4894" s="990"/>
      <c r="L4894" s="990"/>
      <c r="M4894" s="990"/>
      <c r="N4894" s="990"/>
      <c r="O4894" s="990"/>
      <c r="P4894" s="990"/>
      <c r="Q4894" s="990"/>
      <c r="R4894" s="990"/>
      <c r="S4894" s="990"/>
      <c r="T4894" s="990"/>
      <c r="U4894" s="990"/>
      <c r="V4894" s="990"/>
      <c r="W4894" s="990"/>
      <c r="X4894" s="990"/>
    </row>
    <row r="4895" spans="1:24" s="896" customFormat="1" ht="25.5">
      <c r="A4895" s="987">
        <f t="shared" si="77"/>
        <v>4821</v>
      </c>
      <c r="B4895" s="988">
        <v>44543</v>
      </c>
      <c r="C4895" s="899" t="s">
        <v>14221</v>
      </c>
      <c r="D4895" s="988" t="s">
        <v>2669</v>
      </c>
      <c r="E4895" s="989">
        <v>5611.02</v>
      </c>
      <c r="F4895" s="990"/>
      <c r="G4895" s="990"/>
      <c r="H4895" s="990"/>
      <c r="I4895" s="990"/>
      <c r="J4895" s="990"/>
      <c r="K4895" s="990"/>
      <c r="L4895" s="990"/>
      <c r="M4895" s="990"/>
      <c r="N4895" s="990"/>
      <c r="O4895" s="990"/>
      <c r="P4895" s="990"/>
      <c r="Q4895" s="990"/>
      <c r="R4895" s="990"/>
      <c r="S4895" s="990"/>
      <c r="T4895" s="990"/>
      <c r="U4895" s="990"/>
      <c r="V4895" s="990"/>
      <c r="W4895" s="990"/>
      <c r="X4895" s="990"/>
    </row>
    <row r="4896" spans="1:24" s="896" customFormat="1" ht="25.5">
      <c r="A4896" s="987">
        <f t="shared" si="77"/>
        <v>4822</v>
      </c>
      <c r="B4896" s="988">
        <v>44526</v>
      </c>
      <c r="C4896" s="899" t="s">
        <v>14222</v>
      </c>
      <c r="D4896" s="988" t="s">
        <v>2669</v>
      </c>
      <c r="E4896" s="989">
        <v>137.52000000000001</v>
      </c>
      <c r="F4896" s="990"/>
      <c r="G4896" s="990"/>
      <c r="H4896" s="990"/>
      <c r="I4896" s="990"/>
      <c r="J4896" s="990"/>
      <c r="K4896" s="990"/>
      <c r="L4896" s="990"/>
      <c r="M4896" s="990"/>
      <c r="N4896" s="990"/>
      <c r="O4896" s="990"/>
      <c r="P4896" s="990"/>
      <c r="Q4896" s="990"/>
      <c r="R4896" s="990"/>
      <c r="S4896" s="990"/>
      <c r="T4896" s="990"/>
      <c r="U4896" s="990"/>
      <c r="V4896" s="990"/>
      <c r="W4896" s="990"/>
      <c r="X4896" s="990"/>
    </row>
    <row r="4897" spans="1:24" s="896" customFormat="1" ht="25.5">
      <c r="A4897" s="987">
        <f t="shared" si="77"/>
        <v>4823</v>
      </c>
      <c r="B4897" s="988">
        <v>44518</v>
      </c>
      <c r="C4897" s="899" t="s">
        <v>14223</v>
      </c>
      <c r="D4897" s="988" t="s">
        <v>2669</v>
      </c>
      <c r="E4897" s="989">
        <v>4130.8900000000003</v>
      </c>
      <c r="F4897" s="990"/>
      <c r="G4897" s="990"/>
      <c r="H4897" s="990"/>
      <c r="I4897" s="990"/>
      <c r="J4897" s="990"/>
      <c r="K4897" s="990"/>
      <c r="L4897" s="990"/>
      <c r="M4897" s="990"/>
      <c r="N4897" s="990"/>
      <c r="O4897" s="990"/>
      <c r="P4897" s="990"/>
      <c r="Q4897" s="990"/>
      <c r="R4897" s="990"/>
      <c r="S4897" s="990"/>
      <c r="T4897" s="990"/>
      <c r="U4897" s="990"/>
      <c r="V4897" s="990"/>
      <c r="W4897" s="990"/>
      <c r="X4897" s="990"/>
    </row>
    <row r="4898" spans="1:24" s="896" customFormat="1" ht="25.5">
      <c r="A4898" s="987">
        <f t="shared" si="77"/>
        <v>4824</v>
      </c>
      <c r="B4898" s="988">
        <v>44544</v>
      </c>
      <c r="C4898" s="899" t="s">
        <v>14224</v>
      </c>
      <c r="D4898" s="988" t="s">
        <v>2669</v>
      </c>
      <c r="E4898" s="989">
        <v>2008.27</v>
      </c>
      <c r="F4898" s="990"/>
      <c r="G4898" s="990"/>
      <c r="H4898" s="990"/>
      <c r="I4898" s="990"/>
      <c r="J4898" s="990"/>
      <c r="K4898" s="990"/>
      <c r="L4898" s="990"/>
      <c r="M4898" s="990"/>
      <c r="N4898" s="990"/>
      <c r="O4898" s="990"/>
      <c r="P4898" s="990"/>
      <c r="Q4898" s="990"/>
      <c r="R4898" s="990"/>
      <c r="S4898" s="990"/>
      <c r="T4898" s="990"/>
      <c r="U4898" s="990"/>
      <c r="V4898" s="990"/>
      <c r="W4898" s="990"/>
      <c r="X4898" s="990"/>
    </row>
    <row r="4899" spans="1:24" s="896" customFormat="1" ht="25.5">
      <c r="A4899" s="987">
        <f t="shared" si="77"/>
        <v>4825</v>
      </c>
      <c r="B4899" s="988">
        <v>44545</v>
      </c>
      <c r="C4899" s="899" t="s">
        <v>14225</v>
      </c>
      <c r="D4899" s="988" t="s">
        <v>2669</v>
      </c>
      <c r="E4899" s="989">
        <v>295.18</v>
      </c>
      <c r="F4899" s="990"/>
      <c r="G4899" s="990"/>
      <c r="H4899" s="990"/>
      <c r="I4899" s="990"/>
      <c r="J4899" s="990"/>
      <c r="K4899" s="990"/>
      <c r="L4899" s="990"/>
      <c r="M4899" s="990"/>
      <c r="N4899" s="990"/>
      <c r="O4899" s="990"/>
      <c r="P4899" s="990"/>
      <c r="Q4899" s="990"/>
      <c r="R4899" s="990"/>
      <c r="S4899" s="990"/>
      <c r="T4899" s="990"/>
      <c r="U4899" s="990"/>
      <c r="V4899" s="990"/>
      <c r="W4899" s="990"/>
      <c r="X4899" s="990"/>
    </row>
    <row r="4900" spans="1:24" s="896" customFormat="1" ht="25.5">
      <c r="A4900" s="987">
        <f t="shared" si="77"/>
        <v>4826</v>
      </c>
      <c r="B4900" s="988">
        <v>44546</v>
      </c>
      <c r="C4900" s="899" t="s">
        <v>14226</v>
      </c>
      <c r="D4900" s="988" t="s">
        <v>2669</v>
      </c>
      <c r="E4900" s="989">
        <v>1318.31</v>
      </c>
      <c r="F4900" s="990"/>
      <c r="G4900" s="990"/>
      <c r="H4900" s="990"/>
      <c r="I4900" s="990"/>
      <c r="J4900" s="990"/>
      <c r="K4900" s="990"/>
      <c r="L4900" s="990"/>
      <c r="M4900" s="990"/>
      <c r="N4900" s="990"/>
      <c r="O4900" s="990"/>
      <c r="P4900" s="990"/>
      <c r="Q4900" s="990"/>
      <c r="R4900" s="990"/>
      <c r="S4900" s="990"/>
      <c r="T4900" s="990"/>
      <c r="U4900" s="990"/>
      <c r="V4900" s="990"/>
      <c r="W4900" s="990"/>
      <c r="X4900" s="990"/>
    </row>
    <row r="4901" spans="1:24" s="896" customFormat="1" ht="25.5">
      <c r="A4901" s="987">
        <f t="shared" si="77"/>
        <v>4827</v>
      </c>
      <c r="B4901" s="988">
        <v>44525</v>
      </c>
      <c r="C4901" s="899" t="s">
        <v>14227</v>
      </c>
      <c r="D4901" s="988" t="s">
        <v>2669</v>
      </c>
      <c r="E4901" s="989">
        <v>5089.16</v>
      </c>
      <c r="F4901" s="990"/>
      <c r="G4901" s="990"/>
      <c r="H4901" s="990"/>
      <c r="I4901" s="990"/>
      <c r="J4901" s="990"/>
      <c r="K4901" s="990"/>
      <c r="L4901" s="990"/>
      <c r="M4901" s="990"/>
      <c r="N4901" s="990"/>
      <c r="O4901" s="990"/>
      <c r="P4901" s="990"/>
      <c r="Q4901" s="990"/>
      <c r="R4901" s="990"/>
      <c r="S4901" s="990"/>
      <c r="T4901" s="990"/>
      <c r="U4901" s="990"/>
      <c r="V4901" s="990"/>
      <c r="W4901" s="990"/>
      <c r="X4901" s="990"/>
    </row>
    <row r="4902" spans="1:24" s="896" customFormat="1" ht="25.5">
      <c r="A4902" s="987">
        <f t="shared" si="77"/>
        <v>4828</v>
      </c>
      <c r="B4902" s="988">
        <v>44547</v>
      </c>
      <c r="C4902" s="899" t="s">
        <v>14228</v>
      </c>
      <c r="D4902" s="988" t="s">
        <v>2669</v>
      </c>
      <c r="E4902" s="989">
        <v>460.15</v>
      </c>
      <c r="F4902" s="990"/>
      <c r="G4902" s="990"/>
      <c r="H4902" s="990"/>
      <c r="I4902" s="990"/>
      <c r="J4902" s="990"/>
      <c r="K4902" s="990"/>
      <c r="L4902" s="990"/>
      <c r="M4902" s="990"/>
      <c r="N4902" s="990"/>
      <c r="O4902" s="990"/>
      <c r="P4902" s="990"/>
      <c r="Q4902" s="990"/>
      <c r="R4902" s="990"/>
      <c r="S4902" s="990"/>
      <c r="T4902" s="990"/>
      <c r="U4902" s="990"/>
      <c r="V4902" s="990"/>
      <c r="W4902" s="990"/>
      <c r="X4902" s="990"/>
    </row>
    <row r="4903" spans="1:24" s="896" customFormat="1" ht="25.5">
      <c r="A4903" s="987">
        <f t="shared" si="77"/>
        <v>4829</v>
      </c>
      <c r="B4903" s="988">
        <v>44519</v>
      </c>
      <c r="C4903" s="899" t="s">
        <v>14229</v>
      </c>
      <c r="D4903" s="988" t="s">
        <v>2669</v>
      </c>
      <c r="E4903" s="989">
        <v>1127.5</v>
      </c>
      <c r="F4903" s="990"/>
      <c r="G4903" s="990"/>
      <c r="H4903" s="990"/>
      <c r="I4903" s="990"/>
      <c r="J4903" s="990"/>
      <c r="K4903" s="990"/>
      <c r="L4903" s="990"/>
      <c r="M4903" s="990"/>
      <c r="N4903" s="990"/>
      <c r="O4903" s="990"/>
      <c r="P4903" s="990"/>
      <c r="Q4903" s="990"/>
      <c r="R4903" s="990"/>
      <c r="S4903" s="990"/>
      <c r="T4903" s="990"/>
      <c r="U4903" s="990"/>
      <c r="V4903" s="990"/>
      <c r="W4903" s="990"/>
      <c r="X4903" s="990"/>
    </row>
    <row r="4904" spans="1:24" s="896" customFormat="1" ht="25.5">
      <c r="A4904" s="987">
        <f t="shared" si="77"/>
        <v>4830</v>
      </c>
      <c r="B4904" s="988">
        <v>44520</v>
      </c>
      <c r="C4904" s="899" t="s">
        <v>14230</v>
      </c>
      <c r="D4904" s="988" t="s">
        <v>2669</v>
      </c>
      <c r="E4904" s="989">
        <v>1816</v>
      </c>
      <c r="F4904" s="990"/>
      <c r="G4904" s="990"/>
      <c r="H4904" s="990"/>
      <c r="I4904" s="990"/>
      <c r="J4904" s="990"/>
      <c r="K4904" s="990"/>
      <c r="L4904" s="990"/>
      <c r="M4904" s="990"/>
      <c r="N4904" s="990"/>
      <c r="O4904" s="990"/>
      <c r="P4904" s="990"/>
      <c r="Q4904" s="990"/>
      <c r="R4904" s="990"/>
      <c r="S4904" s="990"/>
      <c r="T4904" s="990"/>
      <c r="U4904" s="990"/>
      <c r="V4904" s="990"/>
      <c r="W4904" s="990"/>
      <c r="X4904" s="990"/>
    </row>
    <row r="4905" spans="1:24" s="896" customFormat="1" ht="25.5">
      <c r="A4905" s="987">
        <f t="shared" si="77"/>
        <v>4831</v>
      </c>
      <c r="B4905" s="988">
        <v>44521</v>
      </c>
      <c r="C4905" s="899" t="s">
        <v>14231</v>
      </c>
      <c r="D4905" s="988" t="s">
        <v>2669</v>
      </c>
      <c r="E4905" s="989">
        <v>29.29</v>
      </c>
      <c r="F4905" s="990"/>
      <c r="G4905" s="990"/>
      <c r="H4905" s="990"/>
      <c r="I4905" s="990"/>
      <c r="J4905" s="990"/>
      <c r="K4905" s="990"/>
      <c r="L4905" s="990"/>
      <c r="M4905" s="990"/>
      <c r="N4905" s="990"/>
      <c r="O4905" s="990"/>
      <c r="P4905" s="990"/>
      <c r="Q4905" s="990"/>
      <c r="R4905" s="990"/>
      <c r="S4905" s="990"/>
      <c r="T4905" s="990"/>
      <c r="U4905" s="990"/>
      <c r="V4905" s="990"/>
      <c r="W4905" s="990"/>
      <c r="X4905" s="990"/>
    </row>
    <row r="4906" spans="1:24" s="896" customFormat="1" ht="25.5">
      <c r="A4906" s="987">
        <f t="shared" si="77"/>
        <v>4832</v>
      </c>
      <c r="B4906" s="988">
        <v>44522</v>
      </c>
      <c r="C4906" s="899" t="s">
        <v>14232</v>
      </c>
      <c r="D4906" s="988" t="s">
        <v>2669</v>
      </c>
      <c r="E4906" s="989">
        <v>3188.22</v>
      </c>
      <c r="F4906" s="990"/>
      <c r="G4906" s="990"/>
      <c r="H4906" s="990"/>
      <c r="I4906" s="990"/>
      <c r="J4906" s="990"/>
      <c r="K4906" s="990"/>
      <c r="L4906" s="990"/>
      <c r="M4906" s="990"/>
      <c r="N4906" s="990"/>
      <c r="O4906" s="990"/>
      <c r="P4906" s="990"/>
      <c r="Q4906" s="990"/>
      <c r="R4906" s="990"/>
      <c r="S4906" s="990"/>
      <c r="T4906" s="990"/>
      <c r="U4906" s="990"/>
      <c r="V4906" s="990"/>
      <c r="W4906" s="990"/>
      <c r="X4906" s="990"/>
    </row>
    <row r="4907" spans="1:24" s="896" customFormat="1" ht="25.5">
      <c r="A4907" s="987">
        <f t="shared" si="77"/>
        <v>4833</v>
      </c>
      <c r="B4907" s="988">
        <v>44523</v>
      </c>
      <c r="C4907" s="899" t="s">
        <v>14233</v>
      </c>
      <c r="D4907" s="988" t="s">
        <v>2669</v>
      </c>
      <c r="E4907" s="989">
        <v>4741.78</v>
      </c>
      <c r="F4907" s="990"/>
      <c r="G4907" s="990"/>
      <c r="H4907" s="990"/>
      <c r="I4907" s="990"/>
      <c r="J4907" s="990"/>
      <c r="K4907" s="990"/>
      <c r="L4907" s="990"/>
      <c r="M4907" s="990"/>
      <c r="N4907" s="990"/>
      <c r="O4907" s="990"/>
      <c r="P4907" s="990"/>
      <c r="Q4907" s="990"/>
      <c r="R4907" s="990"/>
      <c r="S4907" s="990"/>
      <c r="T4907" s="990"/>
      <c r="U4907" s="990"/>
      <c r="V4907" s="990"/>
      <c r="W4907" s="990"/>
      <c r="X4907" s="990"/>
    </row>
    <row r="4908" spans="1:24" s="896" customFormat="1" ht="25.5">
      <c r="A4908" s="987">
        <f t="shared" si="77"/>
        <v>4834</v>
      </c>
      <c r="B4908" s="988">
        <v>44527</v>
      </c>
      <c r="C4908" s="899" t="s">
        <v>14234</v>
      </c>
      <c r="D4908" s="988" t="s">
        <v>2669</v>
      </c>
      <c r="E4908" s="989">
        <v>2377.88</v>
      </c>
      <c r="F4908" s="990"/>
      <c r="G4908" s="990"/>
      <c r="H4908" s="990"/>
      <c r="I4908" s="990"/>
      <c r="J4908" s="990"/>
      <c r="K4908" s="990"/>
      <c r="L4908" s="990"/>
      <c r="M4908" s="990"/>
      <c r="N4908" s="990"/>
      <c r="O4908" s="990"/>
      <c r="P4908" s="990"/>
      <c r="Q4908" s="990"/>
      <c r="R4908" s="990"/>
      <c r="S4908" s="990"/>
      <c r="T4908" s="990"/>
      <c r="U4908" s="990"/>
      <c r="V4908" s="990"/>
      <c r="W4908" s="990"/>
      <c r="X4908" s="990"/>
    </row>
    <row r="4909" spans="1:24" s="896" customFormat="1" ht="25.5">
      <c r="A4909" s="987">
        <f t="shared" si="77"/>
        <v>4835</v>
      </c>
      <c r="B4909" s="988">
        <v>44524</v>
      </c>
      <c r="C4909" s="899" t="s">
        <v>14235</v>
      </c>
      <c r="D4909" s="988" t="s">
        <v>2669</v>
      </c>
      <c r="E4909" s="989">
        <v>65.52</v>
      </c>
      <c r="F4909" s="990"/>
      <c r="G4909" s="990"/>
      <c r="H4909" s="990"/>
      <c r="I4909" s="990"/>
      <c r="J4909" s="990"/>
      <c r="K4909" s="990"/>
      <c r="L4909" s="990"/>
      <c r="M4909" s="990"/>
      <c r="N4909" s="990"/>
      <c r="O4909" s="990"/>
      <c r="P4909" s="990"/>
      <c r="Q4909" s="990"/>
      <c r="R4909" s="990"/>
      <c r="S4909" s="990"/>
      <c r="T4909" s="990"/>
      <c r="U4909" s="990"/>
      <c r="V4909" s="990"/>
      <c r="W4909" s="990"/>
      <c r="X4909" s="990"/>
    </row>
    <row r="4910" spans="1:24" s="896" customFormat="1" ht="25.5">
      <c r="A4910" s="987">
        <f t="shared" si="77"/>
        <v>4836</v>
      </c>
      <c r="B4910" s="988">
        <v>44542</v>
      </c>
      <c r="C4910" s="899" t="s">
        <v>14236</v>
      </c>
      <c r="D4910" s="988" t="s">
        <v>2669</v>
      </c>
      <c r="E4910" s="989">
        <v>3102.34</v>
      </c>
      <c r="F4910" s="990"/>
      <c r="G4910" s="990"/>
      <c r="H4910" s="990"/>
      <c r="I4910" s="990"/>
      <c r="J4910" s="990"/>
      <c r="K4910" s="990"/>
      <c r="L4910" s="990"/>
      <c r="M4910" s="990"/>
      <c r="N4910" s="990"/>
      <c r="O4910" s="990"/>
      <c r="P4910" s="990"/>
      <c r="Q4910" s="990"/>
      <c r="R4910" s="990"/>
      <c r="S4910" s="990"/>
      <c r="T4910" s="990"/>
      <c r="U4910" s="990"/>
      <c r="V4910" s="990"/>
      <c r="W4910" s="990"/>
      <c r="X4910" s="990"/>
    </row>
    <row r="4911" spans="1:24" s="896" customFormat="1">
      <c r="A4911" s="987">
        <f t="shared" si="77"/>
        <v>4837</v>
      </c>
      <c r="B4911" s="988">
        <v>9876</v>
      </c>
      <c r="C4911" s="899" t="s">
        <v>14237</v>
      </c>
      <c r="D4911" s="988" t="s">
        <v>2669</v>
      </c>
      <c r="E4911" s="989">
        <v>30.38</v>
      </c>
      <c r="F4911" s="990"/>
      <c r="G4911" s="990"/>
      <c r="H4911" s="990"/>
      <c r="I4911" s="990"/>
      <c r="J4911" s="990"/>
      <c r="K4911" s="990"/>
      <c r="L4911" s="990"/>
      <c r="M4911" s="990"/>
      <c r="N4911" s="990"/>
      <c r="O4911" s="990"/>
      <c r="P4911" s="990"/>
      <c r="Q4911" s="990"/>
      <c r="R4911" s="990"/>
      <c r="S4911" s="990"/>
      <c r="T4911" s="990"/>
      <c r="U4911" s="990"/>
      <c r="V4911" s="990"/>
      <c r="W4911" s="990"/>
      <c r="X4911" s="990"/>
    </row>
    <row r="4912" spans="1:24" s="896" customFormat="1">
      <c r="A4912" s="987">
        <f t="shared" si="77"/>
        <v>4838</v>
      </c>
      <c r="B4912" s="988">
        <v>9877</v>
      </c>
      <c r="C4912" s="899" t="s">
        <v>14238</v>
      </c>
      <c r="D4912" s="988" t="s">
        <v>2669</v>
      </c>
      <c r="E4912" s="989">
        <v>106.41</v>
      </c>
      <c r="F4912" s="990"/>
      <c r="G4912" s="990"/>
      <c r="H4912" s="990"/>
      <c r="I4912" s="990"/>
      <c r="J4912" s="990"/>
      <c r="K4912" s="990"/>
      <c r="L4912" s="990"/>
      <c r="M4912" s="990"/>
      <c r="N4912" s="990"/>
      <c r="O4912" s="990"/>
      <c r="P4912" s="990"/>
      <c r="Q4912" s="990"/>
      <c r="R4912" s="990"/>
      <c r="S4912" s="990"/>
      <c r="T4912" s="990"/>
      <c r="U4912" s="990"/>
      <c r="V4912" s="990"/>
      <c r="W4912" s="990"/>
      <c r="X4912" s="990"/>
    </row>
    <row r="4913" spans="1:24" s="896" customFormat="1">
      <c r="A4913" s="987">
        <f t="shared" si="77"/>
        <v>4839</v>
      </c>
      <c r="B4913" s="988">
        <v>9878</v>
      </c>
      <c r="C4913" s="899" t="s">
        <v>14239</v>
      </c>
      <c r="D4913" s="988" t="s">
        <v>2669</v>
      </c>
      <c r="E4913" s="989">
        <v>138.61000000000001</v>
      </c>
      <c r="F4913" s="990"/>
      <c r="G4913" s="990"/>
      <c r="H4913" s="990"/>
      <c r="I4913" s="990"/>
      <c r="J4913" s="990"/>
      <c r="K4913" s="990"/>
      <c r="L4913" s="990"/>
      <c r="M4913" s="990"/>
      <c r="N4913" s="990"/>
      <c r="O4913" s="990"/>
      <c r="P4913" s="990"/>
      <c r="Q4913" s="990"/>
      <c r="R4913" s="990"/>
      <c r="S4913" s="990"/>
      <c r="T4913" s="990"/>
      <c r="U4913" s="990"/>
      <c r="V4913" s="990"/>
      <c r="W4913" s="990"/>
      <c r="X4913" s="990"/>
    </row>
    <row r="4914" spans="1:24" s="896" customFormat="1">
      <c r="A4914" s="987">
        <f t="shared" si="77"/>
        <v>4840</v>
      </c>
      <c r="B4914" s="988">
        <v>9879</v>
      </c>
      <c r="C4914" s="899" t="s">
        <v>14240</v>
      </c>
      <c r="D4914" s="988" t="s">
        <v>2669</v>
      </c>
      <c r="E4914" s="989">
        <v>330.84</v>
      </c>
      <c r="F4914" s="990"/>
      <c r="G4914" s="990"/>
      <c r="H4914" s="990"/>
      <c r="I4914" s="990"/>
      <c r="J4914" s="990"/>
      <c r="K4914" s="990"/>
      <c r="L4914" s="990"/>
      <c r="M4914" s="990"/>
      <c r="N4914" s="990"/>
      <c r="O4914" s="990"/>
      <c r="P4914" s="990"/>
      <c r="Q4914" s="990"/>
      <c r="R4914" s="990"/>
      <c r="S4914" s="990"/>
      <c r="T4914" s="990"/>
      <c r="U4914" s="990"/>
      <c r="V4914" s="990"/>
      <c r="W4914" s="990"/>
      <c r="X4914" s="990"/>
    </row>
    <row r="4915" spans="1:24" s="896" customFormat="1" ht="25.5">
      <c r="A4915" s="987">
        <f t="shared" si="77"/>
        <v>4841</v>
      </c>
      <c r="B4915" s="988">
        <v>41986</v>
      </c>
      <c r="C4915" s="899" t="s">
        <v>14241</v>
      </c>
      <c r="D4915" s="988" t="s">
        <v>2669</v>
      </c>
      <c r="E4915" s="989">
        <v>3348.9</v>
      </c>
      <c r="F4915" s="990"/>
      <c r="G4915" s="990"/>
      <c r="H4915" s="990"/>
      <c r="I4915" s="990"/>
      <c r="J4915" s="990"/>
      <c r="K4915" s="990"/>
      <c r="L4915" s="990"/>
      <c r="M4915" s="990"/>
      <c r="N4915" s="990"/>
      <c r="O4915" s="990"/>
      <c r="P4915" s="990"/>
      <c r="Q4915" s="990"/>
      <c r="R4915" s="990"/>
      <c r="S4915" s="990"/>
      <c r="T4915" s="990"/>
      <c r="U4915" s="990"/>
      <c r="V4915" s="990"/>
      <c r="W4915" s="990"/>
      <c r="X4915" s="990"/>
    </row>
    <row r="4916" spans="1:24" s="896" customFormat="1" ht="25.5">
      <c r="A4916" s="987">
        <f t="shared" si="77"/>
        <v>4842</v>
      </c>
      <c r="B4916" s="988">
        <v>43422</v>
      </c>
      <c r="C4916" s="899" t="s">
        <v>14242</v>
      </c>
      <c r="D4916" s="988" t="s">
        <v>2669</v>
      </c>
      <c r="E4916" s="989">
        <v>4107.09</v>
      </c>
      <c r="F4916" s="990"/>
      <c r="G4916" s="990"/>
      <c r="H4916" s="990"/>
      <c r="I4916" s="990"/>
      <c r="J4916" s="990"/>
      <c r="K4916" s="990"/>
      <c r="L4916" s="990"/>
      <c r="M4916" s="990"/>
      <c r="N4916" s="990"/>
      <c r="O4916" s="990"/>
      <c r="P4916" s="990"/>
      <c r="Q4916" s="990"/>
      <c r="R4916" s="990"/>
      <c r="S4916" s="990"/>
      <c r="T4916" s="990"/>
      <c r="U4916" s="990"/>
      <c r="V4916" s="990"/>
      <c r="W4916" s="990"/>
      <c r="X4916" s="990"/>
    </row>
    <row r="4917" spans="1:24" s="896" customFormat="1" ht="25.5">
      <c r="A4917" s="987">
        <f t="shared" si="77"/>
        <v>4843</v>
      </c>
      <c r="B4917" s="988">
        <v>41987</v>
      </c>
      <c r="C4917" s="899" t="s">
        <v>14243</v>
      </c>
      <c r="D4917" s="988" t="s">
        <v>2669</v>
      </c>
      <c r="E4917" s="989">
        <v>4760.46</v>
      </c>
      <c r="F4917" s="990"/>
      <c r="G4917" s="990"/>
      <c r="H4917" s="990"/>
      <c r="I4917" s="990"/>
      <c r="J4917" s="990"/>
      <c r="K4917" s="990"/>
      <c r="L4917" s="990"/>
      <c r="M4917" s="990"/>
      <c r="N4917" s="990"/>
      <c r="O4917" s="990"/>
      <c r="P4917" s="990"/>
      <c r="Q4917" s="990"/>
      <c r="R4917" s="990"/>
      <c r="S4917" s="990"/>
      <c r="T4917" s="990"/>
      <c r="U4917" s="990"/>
      <c r="V4917" s="990"/>
      <c r="W4917" s="990"/>
      <c r="X4917" s="990"/>
    </row>
    <row r="4918" spans="1:24" s="896" customFormat="1" ht="25.5">
      <c r="A4918" s="987">
        <f t="shared" si="77"/>
        <v>4844</v>
      </c>
      <c r="B4918" s="988">
        <v>41988</v>
      </c>
      <c r="C4918" s="899" t="s">
        <v>14244</v>
      </c>
      <c r="D4918" s="988" t="s">
        <v>2669</v>
      </c>
      <c r="E4918" s="989">
        <v>6287.89</v>
      </c>
      <c r="F4918" s="990"/>
      <c r="G4918" s="990"/>
      <c r="H4918" s="990"/>
      <c r="I4918" s="990"/>
      <c r="J4918" s="990"/>
      <c r="K4918" s="990"/>
      <c r="L4918" s="990"/>
      <c r="M4918" s="990"/>
      <c r="N4918" s="990"/>
      <c r="O4918" s="990"/>
      <c r="P4918" s="990"/>
      <c r="Q4918" s="990"/>
      <c r="R4918" s="990"/>
      <c r="S4918" s="990"/>
      <c r="T4918" s="990"/>
      <c r="U4918" s="990"/>
      <c r="V4918" s="990"/>
      <c r="W4918" s="990"/>
      <c r="X4918" s="990"/>
    </row>
    <row r="4919" spans="1:24" s="896" customFormat="1" ht="25.5">
      <c r="A4919" s="987">
        <f t="shared" si="77"/>
        <v>4845</v>
      </c>
      <c r="B4919" s="988">
        <v>41697</v>
      </c>
      <c r="C4919" s="899" t="s">
        <v>14245</v>
      </c>
      <c r="D4919" s="988" t="s">
        <v>2669</v>
      </c>
      <c r="E4919" s="989">
        <v>1114.51</v>
      </c>
      <c r="F4919" s="990"/>
      <c r="G4919" s="990"/>
      <c r="H4919" s="990"/>
      <c r="I4919" s="990"/>
      <c r="J4919" s="990"/>
      <c r="K4919" s="990"/>
      <c r="L4919" s="990"/>
      <c r="M4919" s="990"/>
      <c r="N4919" s="990"/>
      <c r="O4919" s="990"/>
      <c r="P4919" s="990"/>
      <c r="Q4919" s="990"/>
      <c r="R4919" s="990"/>
      <c r="S4919" s="990"/>
      <c r="T4919" s="990"/>
      <c r="U4919" s="990"/>
      <c r="V4919" s="990"/>
      <c r="W4919" s="990"/>
      <c r="X4919" s="990"/>
    </row>
    <row r="4920" spans="1:24" s="896" customFormat="1" ht="25.5">
      <c r="A4920" s="987">
        <f t="shared" si="77"/>
        <v>4846</v>
      </c>
      <c r="B4920" s="988">
        <v>41985</v>
      </c>
      <c r="C4920" s="899" t="s">
        <v>14246</v>
      </c>
      <c r="D4920" s="988" t="s">
        <v>2669</v>
      </c>
      <c r="E4920" s="989">
        <v>1552.21</v>
      </c>
      <c r="F4920" s="990"/>
      <c r="G4920" s="990"/>
      <c r="H4920" s="990"/>
      <c r="I4920" s="990"/>
      <c r="J4920" s="990"/>
      <c r="K4920" s="990"/>
      <c r="L4920" s="990"/>
      <c r="M4920" s="990"/>
      <c r="N4920" s="990"/>
      <c r="O4920" s="990"/>
      <c r="P4920" s="990"/>
      <c r="Q4920" s="990"/>
      <c r="R4920" s="990"/>
      <c r="S4920" s="990"/>
      <c r="T4920" s="990"/>
      <c r="U4920" s="990"/>
      <c r="V4920" s="990"/>
      <c r="W4920" s="990"/>
      <c r="X4920" s="990"/>
    </row>
    <row r="4921" spans="1:24" s="896" customFormat="1" ht="25.5">
      <c r="A4921" s="987">
        <f t="shared" si="77"/>
        <v>4847</v>
      </c>
      <c r="B4921" s="988">
        <v>41699</v>
      </c>
      <c r="C4921" s="899" t="s">
        <v>14247</v>
      </c>
      <c r="D4921" s="988" t="s">
        <v>2669</v>
      </c>
      <c r="E4921" s="989">
        <v>2210.27</v>
      </c>
      <c r="F4921" s="990"/>
      <c r="G4921" s="990"/>
      <c r="H4921" s="990"/>
      <c r="I4921" s="990"/>
      <c r="J4921" s="990"/>
      <c r="K4921" s="990"/>
      <c r="L4921" s="990"/>
      <c r="M4921" s="990"/>
      <c r="N4921" s="990"/>
      <c r="O4921" s="990"/>
      <c r="P4921" s="990"/>
      <c r="Q4921" s="990"/>
      <c r="R4921" s="990"/>
      <c r="S4921" s="990"/>
      <c r="T4921" s="990"/>
      <c r="U4921" s="990"/>
      <c r="V4921" s="990"/>
      <c r="W4921" s="990"/>
      <c r="X4921" s="990"/>
    </row>
    <row r="4922" spans="1:24" s="896" customFormat="1" ht="38.25">
      <c r="A4922" s="987">
        <f t="shared" si="77"/>
        <v>4848</v>
      </c>
      <c r="B4922" s="988">
        <v>38053</v>
      </c>
      <c r="C4922" s="899" t="s">
        <v>14248</v>
      </c>
      <c r="D4922" s="988" t="s">
        <v>2669</v>
      </c>
      <c r="E4922" s="989">
        <v>23.48</v>
      </c>
      <c r="F4922" s="990"/>
      <c r="G4922" s="990"/>
      <c r="H4922" s="990"/>
      <c r="I4922" s="990"/>
      <c r="J4922" s="990"/>
      <c r="K4922" s="990"/>
      <c r="L4922" s="990"/>
      <c r="M4922" s="990"/>
      <c r="N4922" s="990"/>
      <c r="O4922" s="990"/>
      <c r="P4922" s="990"/>
      <c r="Q4922" s="990"/>
      <c r="R4922" s="990"/>
      <c r="S4922" s="990"/>
      <c r="T4922" s="990"/>
      <c r="U4922" s="990"/>
      <c r="V4922" s="990"/>
      <c r="W4922" s="990"/>
      <c r="X4922" s="990"/>
    </row>
    <row r="4923" spans="1:24" s="896" customFormat="1" ht="38.25">
      <c r="A4923" s="987">
        <f t="shared" si="77"/>
        <v>4849</v>
      </c>
      <c r="B4923" s="988">
        <v>38054</v>
      </c>
      <c r="C4923" s="899" t="s">
        <v>14249</v>
      </c>
      <c r="D4923" s="988" t="s">
        <v>2669</v>
      </c>
      <c r="E4923" s="989">
        <v>40.369999999999997</v>
      </c>
      <c r="F4923" s="990"/>
      <c r="G4923" s="990"/>
      <c r="H4923" s="990"/>
      <c r="I4923" s="990"/>
      <c r="J4923" s="990"/>
      <c r="K4923" s="990"/>
      <c r="L4923" s="990"/>
      <c r="M4923" s="990"/>
      <c r="N4923" s="990"/>
      <c r="O4923" s="990"/>
      <c r="P4923" s="990"/>
      <c r="Q4923" s="990"/>
      <c r="R4923" s="990"/>
      <c r="S4923" s="990"/>
      <c r="T4923" s="990"/>
      <c r="U4923" s="990"/>
      <c r="V4923" s="990"/>
      <c r="W4923" s="990"/>
      <c r="X4923" s="990"/>
    </row>
    <row r="4924" spans="1:24" s="896" customFormat="1" ht="38.25">
      <c r="A4924" s="987">
        <f t="shared" si="77"/>
        <v>4850</v>
      </c>
      <c r="B4924" s="988">
        <v>38052</v>
      </c>
      <c r="C4924" s="899" t="s">
        <v>14250</v>
      </c>
      <c r="D4924" s="988" t="s">
        <v>2669</v>
      </c>
      <c r="E4924" s="989">
        <v>11.37</v>
      </c>
      <c r="F4924" s="990"/>
      <c r="G4924" s="990"/>
      <c r="H4924" s="990"/>
      <c r="I4924" s="990"/>
      <c r="J4924" s="990"/>
      <c r="K4924" s="990"/>
      <c r="L4924" s="990"/>
      <c r="M4924" s="990"/>
      <c r="N4924" s="990"/>
      <c r="O4924" s="990"/>
      <c r="P4924" s="990"/>
      <c r="Q4924" s="990"/>
      <c r="R4924" s="990"/>
      <c r="S4924" s="990"/>
      <c r="T4924" s="990"/>
      <c r="U4924" s="990"/>
      <c r="V4924" s="990"/>
      <c r="W4924" s="990"/>
      <c r="X4924" s="990"/>
    </row>
    <row r="4925" spans="1:24" s="896" customFormat="1" ht="38.25">
      <c r="A4925" s="987">
        <f t="shared" si="77"/>
        <v>4851</v>
      </c>
      <c r="B4925" s="988">
        <v>38051</v>
      </c>
      <c r="C4925" s="899" t="s">
        <v>14251</v>
      </c>
      <c r="D4925" s="988" t="s">
        <v>2669</v>
      </c>
      <c r="E4925" s="989">
        <v>7.09</v>
      </c>
      <c r="F4925" s="990"/>
      <c r="G4925" s="990"/>
      <c r="H4925" s="990"/>
      <c r="I4925" s="990"/>
      <c r="J4925" s="990"/>
      <c r="K4925" s="990"/>
      <c r="L4925" s="990"/>
      <c r="M4925" s="990"/>
      <c r="N4925" s="990"/>
      <c r="O4925" s="990"/>
      <c r="P4925" s="990"/>
      <c r="Q4925" s="990"/>
      <c r="R4925" s="990"/>
      <c r="S4925" s="990"/>
      <c r="T4925" s="990"/>
      <c r="U4925" s="990"/>
      <c r="V4925" s="990"/>
      <c r="W4925" s="990"/>
      <c r="X4925" s="990"/>
    </row>
    <row r="4926" spans="1:24" s="896" customFormat="1">
      <c r="A4926" s="987">
        <f t="shared" si="77"/>
        <v>4852</v>
      </c>
      <c r="B4926" s="988">
        <v>38787</v>
      </c>
      <c r="C4926" s="899" t="s">
        <v>14252</v>
      </c>
      <c r="D4926" s="988" t="s">
        <v>2669</v>
      </c>
      <c r="E4926" s="989">
        <v>6.03</v>
      </c>
      <c r="F4926" s="990"/>
      <c r="G4926" s="990"/>
      <c r="H4926" s="990"/>
      <c r="I4926" s="990"/>
      <c r="J4926" s="990"/>
      <c r="K4926" s="990"/>
      <c r="L4926" s="990"/>
      <c r="M4926" s="990"/>
      <c r="N4926" s="990"/>
      <c r="O4926" s="990"/>
      <c r="P4926" s="990"/>
      <c r="Q4926" s="990"/>
      <c r="R4926" s="990"/>
      <c r="S4926" s="990"/>
      <c r="T4926" s="990"/>
      <c r="U4926" s="990"/>
      <c r="V4926" s="990"/>
      <c r="W4926" s="990"/>
      <c r="X4926" s="990"/>
    </row>
    <row r="4927" spans="1:24" s="896" customFormat="1">
      <c r="A4927" s="987">
        <f t="shared" si="77"/>
        <v>4853</v>
      </c>
      <c r="B4927" s="988">
        <v>38825</v>
      </c>
      <c r="C4927" s="899" t="s">
        <v>14253</v>
      </c>
      <c r="D4927" s="988" t="s">
        <v>2669</v>
      </c>
      <c r="E4927" s="989">
        <v>7.9</v>
      </c>
      <c r="F4927" s="990"/>
      <c r="G4927" s="990"/>
      <c r="H4927" s="990"/>
      <c r="I4927" s="990"/>
      <c r="J4927" s="990"/>
      <c r="K4927" s="990"/>
      <c r="L4927" s="990"/>
      <c r="M4927" s="990"/>
      <c r="N4927" s="990"/>
      <c r="O4927" s="990"/>
      <c r="P4927" s="990"/>
      <c r="Q4927" s="990"/>
      <c r="R4927" s="990"/>
      <c r="S4927" s="990"/>
      <c r="T4927" s="990"/>
      <c r="U4927" s="990"/>
      <c r="V4927" s="990"/>
      <c r="W4927" s="990"/>
      <c r="X4927" s="990"/>
    </row>
    <row r="4928" spans="1:24" s="896" customFormat="1">
      <c r="A4928" s="987">
        <f t="shared" si="77"/>
        <v>4854</v>
      </c>
      <c r="B4928" s="988">
        <v>38826</v>
      </c>
      <c r="C4928" s="899" t="s">
        <v>14254</v>
      </c>
      <c r="D4928" s="988" t="s">
        <v>2669</v>
      </c>
      <c r="E4928" s="989">
        <v>11.71</v>
      </c>
      <c r="F4928" s="990"/>
      <c r="G4928" s="990"/>
      <c r="H4928" s="990"/>
      <c r="I4928" s="990"/>
      <c r="J4928" s="990"/>
      <c r="K4928" s="990"/>
      <c r="L4928" s="990"/>
      <c r="M4928" s="990"/>
      <c r="N4928" s="990"/>
      <c r="O4928" s="990"/>
      <c r="P4928" s="990"/>
      <c r="Q4928" s="990"/>
      <c r="R4928" s="990"/>
      <c r="S4928" s="990"/>
      <c r="T4928" s="990"/>
      <c r="U4928" s="990"/>
      <c r="V4928" s="990"/>
      <c r="W4928" s="990"/>
      <c r="X4928" s="990"/>
    </row>
    <row r="4929" spans="1:24" s="896" customFormat="1">
      <c r="A4929" s="987">
        <f t="shared" si="77"/>
        <v>4855</v>
      </c>
      <c r="B4929" s="988">
        <v>38827</v>
      </c>
      <c r="C4929" s="899" t="s">
        <v>14255</v>
      </c>
      <c r="D4929" s="988" t="s">
        <v>2669</v>
      </c>
      <c r="E4929" s="989">
        <v>18.809999999999999</v>
      </c>
      <c r="F4929" s="990"/>
      <c r="G4929" s="990"/>
      <c r="H4929" s="990"/>
      <c r="I4929" s="990"/>
      <c r="J4929" s="990"/>
      <c r="K4929" s="990"/>
      <c r="L4929" s="990"/>
      <c r="M4929" s="990"/>
      <c r="N4929" s="990"/>
      <c r="O4929" s="990"/>
      <c r="P4929" s="990"/>
      <c r="Q4929" s="990"/>
      <c r="R4929" s="990"/>
      <c r="S4929" s="990"/>
      <c r="T4929" s="990"/>
      <c r="U4929" s="990"/>
      <c r="V4929" s="990"/>
      <c r="W4929" s="990"/>
      <c r="X4929" s="990"/>
    </row>
    <row r="4930" spans="1:24" s="896" customFormat="1">
      <c r="A4930" s="987">
        <f t="shared" si="77"/>
        <v>4856</v>
      </c>
      <c r="B4930" s="988">
        <v>38830</v>
      </c>
      <c r="C4930" s="899" t="s">
        <v>14256</v>
      </c>
      <c r="D4930" s="988" t="s">
        <v>2669</v>
      </c>
      <c r="E4930" s="989">
        <v>26.34</v>
      </c>
      <c r="F4930" s="990"/>
      <c r="G4930" s="990"/>
      <c r="H4930" s="990"/>
      <c r="I4930" s="990"/>
      <c r="J4930" s="990"/>
      <c r="K4930" s="990"/>
      <c r="L4930" s="990"/>
      <c r="M4930" s="990"/>
      <c r="N4930" s="990"/>
      <c r="O4930" s="990"/>
      <c r="P4930" s="990"/>
      <c r="Q4930" s="990"/>
      <c r="R4930" s="990"/>
      <c r="S4930" s="990"/>
      <c r="T4930" s="990"/>
      <c r="U4930" s="990"/>
      <c r="V4930" s="990"/>
      <c r="W4930" s="990"/>
      <c r="X4930" s="990"/>
    </row>
    <row r="4931" spans="1:24" s="896" customFormat="1">
      <c r="A4931" s="987">
        <f t="shared" si="77"/>
        <v>4857</v>
      </c>
      <c r="B4931" s="988">
        <v>38828</v>
      </c>
      <c r="C4931" s="899" t="s">
        <v>14257</v>
      </c>
      <c r="D4931" s="988" t="s">
        <v>2669</v>
      </c>
      <c r="E4931" s="989">
        <v>11.61</v>
      </c>
      <c r="F4931" s="990"/>
      <c r="G4931" s="990"/>
      <c r="H4931" s="990"/>
      <c r="I4931" s="990"/>
      <c r="J4931" s="990"/>
      <c r="K4931" s="990"/>
      <c r="L4931" s="990"/>
      <c r="M4931" s="990"/>
      <c r="N4931" s="990"/>
      <c r="O4931" s="990"/>
      <c r="P4931" s="990"/>
      <c r="Q4931" s="990"/>
      <c r="R4931" s="990"/>
      <c r="S4931" s="990"/>
      <c r="T4931" s="990"/>
      <c r="U4931" s="990"/>
      <c r="V4931" s="990"/>
      <c r="W4931" s="990"/>
      <c r="X4931" s="990"/>
    </row>
    <row r="4932" spans="1:24" s="896" customFormat="1">
      <c r="A4932" s="987">
        <f t="shared" si="77"/>
        <v>4858</v>
      </c>
      <c r="B4932" s="988">
        <v>38829</v>
      </c>
      <c r="C4932" s="899" t="s">
        <v>14258</v>
      </c>
      <c r="D4932" s="988" t="s">
        <v>2669</v>
      </c>
      <c r="E4932" s="989">
        <v>19.02</v>
      </c>
      <c r="F4932" s="990"/>
      <c r="G4932" s="990"/>
      <c r="H4932" s="990"/>
      <c r="I4932" s="990"/>
      <c r="J4932" s="990"/>
      <c r="K4932" s="990"/>
      <c r="L4932" s="990"/>
      <c r="M4932" s="990"/>
      <c r="N4932" s="990"/>
      <c r="O4932" s="990"/>
      <c r="P4932" s="990"/>
      <c r="Q4932" s="990"/>
      <c r="R4932" s="990"/>
      <c r="S4932" s="990"/>
      <c r="T4932" s="990"/>
      <c r="U4932" s="990"/>
      <c r="V4932" s="990"/>
      <c r="W4932" s="990"/>
      <c r="X4932" s="990"/>
    </row>
    <row r="4933" spans="1:24" s="896" customFormat="1">
      <c r="A4933" s="987">
        <f t="shared" si="77"/>
        <v>4859</v>
      </c>
      <c r="B4933" s="988">
        <v>38831</v>
      </c>
      <c r="C4933" s="899" t="s">
        <v>14259</v>
      </c>
      <c r="D4933" s="988" t="s">
        <v>2669</v>
      </c>
      <c r="E4933" s="989">
        <v>36.729999999999997</v>
      </c>
      <c r="F4933" s="990"/>
      <c r="G4933" s="990"/>
      <c r="H4933" s="990"/>
      <c r="I4933" s="990"/>
      <c r="J4933" s="990"/>
      <c r="K4933" s="990"/>
      <c r="L4933" s="990"/>
      <c r="M4933" s="990"/>
      <c r="N4933" s="990"/>
      <c r="O4933" s="990"/>
      <c r="P4933" s="990"/>
      <c r="Q4933" s="990"/>
      <c r="R4933" s="990"/>
      <c r="S4933" s="990"/>
      <c r="T4933" s="990"/>
      <c r="U4933" s="990"/>
      <c r="V4933" s="990"/>
      <c r="W4933" s="990"/>
      <c r="X4933" s="990"/>
    </row>
    <row r="4934" spans="1:24" s="896" customFormat="1">
      <c r="A4934" s="987">
        <f t="shared" si="77"/>
        <v>4860</v>
      </c>
      <c r="B4934" s="988">
        <v>36274</v>
      </c>
      <c r="C4934" s="899" t="s">
        <v>14260</v>
      </c>
      <c r="D4934" s="988" t="s">
        <v>2669</v>
      </c>
      <c r="E4934" s="989">
        <v>10.99</v>
      </c>
      <c r="F4934" s="990"/>
      <c r="G4934" s="990"/>
      <c r="H4934" s="990"/>
      <c r="I4934" s="990"/>
      <c r="J4934" s="990"/>
      <c r="K4934" s="990"/>
      <c r="L4934" s="990"/>
      <c r="M4934" s="990"/>
      <c r="N4934" s="990"/>
      <c r="O4934" s="990"/>
      <c r="P4934" s="990"/>
      <c r="Q4934" s="990"/>
      <c r="R4934" s="990"/>
      <c r="S4934" s="990"/>
      <c r="T4934" s="990"/>
      <c r="U4934" s="990"/>
      <c r="V4934" s="990"/>
      <c r="W4934" s="990"/>
      <c r="X4934" s="990"/>
    </row>
    <row r="4935" spans="1:24" s="896" customFormat="1">
      <c r="A4935" s="987">
        <f t="shared" si="77"/>
        <v>4861</v>
      </c>
      <c r="B4935" s="988">
        <v>36278</v>
      </c>
      <c r="C4935" s="899" t="s">
        <v>14261</v>
      </c>
      <c r="D4935" s="988" t="s">
        <v>2669</v>
      </c>
      <c r="E4935" s="989">
        <v>14.91</v>
      </c>
      <c r="F4935" s="990"/>
      <c r="G4935" s="990"/>
      <c r="H4935" s="990"/>
      <c r="I4935" s="990"/>
      <c r="J4935" s="990"/>
      <c r="K4935" s="990"/>
      <c r="L4935" s="990"/>
      <c r="M4935" s="990"/>
      <c r="N4935" s="990"/>
      <c r="O4935" s="990"/>
      <c r="P4935" s="990"/>
      <c r="Q4935" s="990"/>
      <c r="R4935" s="990"/>
      <c r="S4935" s="990"/>
      <c r="T4935" s="990"/>
      <c r="U4935" s="990"/>
      <c r="V4935" s="990"/>
      <c r="W4935" s="990"/>
      <c r="X4935" s="990"/>
    </row>
    <row r="4936" spans="1:24" s="896" customFormat="1">
      <c r="A4936" s="987">
        <f t="shared" si="77"/>
        <v>4862</v>
      </c>
      <c r="B4936" s="988">
        <v>38977</v>
      </c>
      <c r="C4936" s="899" t="s">
        <v>14262</v>
      </c>
      <c r="D4936" s="988" t="s">
        <v>2669</v>
      </c>
      <c r="E4936" s="989">
        <v>226.87</v>
      </c>
      <c r="F4936" s="990"/>
      <c r="G4936" s="990"/>
      <c r="H4936" s="990"/>
      <c r="I4936" s="990"/>
      <c r="J4936" s="990"/>
      <c r="K4936" s="990"/>
      <c r="L4936" s="990"/>
      <c r="M4936" s="990"/>
      <c r="N4936" s="990"/>
      <c r="O4936" s="990"/>
      <c r="P4936" s="990"/>
      <c r="Q4936" s="990"/>
      <c r="R4936" s="990"/>
      <c r="S4936" s="990"/>
      <c r="T4936" s="990"/>
      <c r="U4936" s="990"/>
      <c r="V4936" s="990"/>
      <c r="W4936" s="990"/>
      <c r="X4936" s="990"/>
    </row>
    <row r="4937" spans="1:24" s="896" customFormat="1">
      <c r="A4937" s="987">
        <f t="shared" si="77"/>
        <v>4863</v>
      </c>
      <c r="B4937" s="988">
        <v>38971</v>
      </c>
      <c r="C4937" s="899" t="s">
        <v>14263</v>
      </c>
      <c r="D4937" s="988" t="s">
        <v>2669</v>
      </c>
      <c r="E4937" s="989">
        <v>18.690000000000001</v>
      </c>
      <c r="F4937" s="990"/>
      <c r="G4937" s="990"/>
      <c r="H4937" s="990"/>
      <c r="I4937" s="990"/>
      <c r="J4937" s="990"/>
      <c r="K4937" s="990"/>
      <c r="L4937" s="990"/>
      <c r="M4937" s="990"/>
      <c r="N4937" s="990"/>
      <c r="O4937" s="990"/>
      <c r="P4937" s="990"/>
      <c r="Q4937" s="990"/>
      <c r="R4937" s="990"/>
      <c r="S4937" s="990"/>
      <c r="T4937" s="990"/>
      <c r="U4937" s="990"/>
      <c r="V4937" s="990"/>
      <c r="W4937" s="990"/>
      <c r="X4937" s="990"/>
    </row>
    <row r="4938" spans="1:24" s="896" customFormat="1">
      <c r="A4938" s="987">
        <f t="shared" si="77"/>
        <v>4864</v>
      </c>
      <c r="B4938" s="988">
        <v>38972</v>
      </c>
      <c r="C4938" s="899" t="s">
        <v>14264</v>
      </c>
      <c r="D4938" s="988" t="s">
        <v>2669</v>
      </c>
      <c r="E4938" s="989">
        <v>28.46</v>
      </c>
      <c r="F4938" s="990"/>
      <c r="G4938" s="990"/>
      <c r="H4938" s="990"/>
      <c r="I4938" s="990"/>
      <c r="J4938" s="990"/>
      <c r="K4938" s="990"/>
      <c r="L4938" s="990"/>
      <c r="M4938" s="990"/>
      <c r="N4938" s="990"/>
      <c r="O4938" s="990"/>
      <c r="P4938" s="990"/>
      <c r="Q4938" s="990"/>
      <c r="R4938" s="990"/>
      <c r="S4938" s="990"/>
      <c r="T4938" s="990"/>
      <c r="U4938" s="990"/>
      <c r="V4938" s="990"/>
      <c r="W4938" s="990"/>
      <c r="X4938" s="990"/>
    </row>
    <row r="4939" spans="1:24" s="896" customFormat="1">
      <c r="A4939" s="987">
        <f t="shared" si="77"/>
        <v>4865</v>
      </c>
      <c r="B4939" s="988">
        <v>38973</v>
      </c>
      <c r="C4939" s="899" t="s">
        <v>14265</v>
      </c>
      <c r="D4939" s="988" t="s">
        <v>2669</v>
      </c>
      <c r="E4939" s="989">
        <v>37.659999999999997</v>
      </c>
      <c r="F4939" s="990"/>
      <c r="G4939" s="990"/>
      <c r="H4939" s="990"/>
      <c r="I4939" s="990"/>
      <c r="J4939" s="990"/>
      <c r="K4939" s="990"/>
      <c r="L4939" s="990"/>
      <c r="M4939" s="990"/>
      <c r="N4939" s="990"/>
      <c r="O4939" s="990"/>
      <c r="P4939" s="990"/>
      <c r="Q4939" s="990"/>
      <c r="R4939" s="990"/>
      <c r="S4939" s="990"/>
      <c r="T4939" s="990"/>
      <c r="U4939" s="990"/>
      <c r="V4939" s="990"/>
      <c r="W4939" s="990"/>
      <c r="X4939" s="990"/>
    </row>
    <row r="4940" spans="1:24" s="896" customFormat="1">
      <c r="A4940" s="987">
        <f t="shared" ref="A4940:A5003" si="78">A4939+1</f>
        <v>4866</v>
      </c>
      <c r="B4940" s="988">
        <v>38974</v>
      </c>
      <c r="C4940" s="899" t="s">
        <v>14266</v>
      </c>
      <c r="D4940" s="988" t="s">
        <v>2669</v>
      </c>
      <c r="E4940" s="989">
        <v>54.91</v>
      </c>
      <c r="F4940" s="990"/>
      <c r="G4940" s="990"/>
      <c r="H4940" s="990"/>
      <c r="I4940" s="990"/>
      <c r="J4940" s="990"/>
      <c r="K4940" s="990"/>
      <c r="L4940" s="990"/>
      <c r="M4940" s="990"/>
      <c r="N4940" s="990"/>
      <c r="O4940" s="990"/>
      <c r="P4940" s="990"/>
      <c r="Q4940" s="990"/>
      <c r="R4940" s="990"/>
      <c r="S4940" s="990"/>
      <c r="T4940" s="990"/>
      <c r="U4940" s="990"/>
      <c r="V4940" s="990"/>
      <c r="W4940" s="990"/>
      <c r="X4940" s="990"/>
    </row>
    <row r="4941" spans="1:24" s="896" customFormat="1">
      <c r="A4941" s="987">
        <f t="shared" si="78"/>
        <v>4867</v>
      </c>
      <c r="B4941" s="988">
        <v>38975</v>
      </c>
      <c r="C4941" s="899" t="s">
        <v>14267</v>
      </c>
      <c r="D4941" s="988" t="s">
        <v>2669</v>
      </c>
      <c r="E4941" s="989">
        <v>91.51</v>
      </c>
      <c r="F4941" s="990"/>
      <c r="G4941" s="990"/>
      <c r="H4941" s="990"/>
      <c r="I4941" s="990"/>
      <c r="J4941" s="990"/>
      <c r="K4941" s="990"/>
      <c r="L4941" s="990"/>
      <c r="M4941" s="990"/>
      <c r="N4941" s="990"/>
      <c r="O4941" s="990"/>
      <c r="P4941" s="990"/>
      <c r="Q4941" s="990"/>
      <c r="R4941" s="990"/>
      <c r="S4941" s="990"/>
      <c r="T4941" s="990"/>
      <c r="U4941" s="990"/>
      <c r="V4941" s="990"/>
      <c r="W4941" s="990"/>
      <c r="X4941" s="990"/>
    </row>
    <row r="4942" spans="1:24" s="896" customFormat="1">
      <c r="A4942" s="987">
        <f t="shared" si="78"/>
        <v>4868</v>
      </c>
      <c r="B4942" s="988">
        <v>38976</v>
      </c>
      <c r="C4942" s="899" t="s">
        <v>14268</v>
      </c>
      <c r="D4942" s="988" t="s">
        <v>2669</v>
      </c>
      <c r="E4942" s="989">
        <v>128.34</v>
      </c>
      <c r="F4942" s="990"/>
      <c r="G4942" s="990"/>
      <c r="H4942" s="990"/>
      <c r="I4942" s="990"/>
      <c r="J4942" s="990"/>
      <c r="K4942" s="990"/>
      <c r="L4942" s="990"/>
      <c r="M4942" s="990"/>
      <c r="N4942" s="990"/>
      <c r="O4942" s="990"/>
      <c r="P4942" s="990"/>
      <c r="Q4942" s="990"/>
      <c r="R4942" s="990"/>
      <c r="S4942" s="990"/>
      <c r="T4942" s="990"/>
      <c r="U4942" s="990"/>
      <c r="V4942" s="990"/>
      <c r="W4942" s="990"/>
      <c r="X4942" s="990"/>
    </row>
    <row r="4943" spans="1:24" s="896" customFormat="1">
      <c r="A4943" s="987">
        <f t="shared" si="78"/>
        <v>4869</v>
      </c>
      <c r="B4943" s="988">
        <v>38986</v>
      </c>
      <c r="C4943" s="899" t="s">
        <v>14269</v>
      </c>
      <c r="D4943" s="988" t="s">
        <v>2669</v>
      </c>
      <c r="E4943" s="989">
        <v>258.27999999999997</v>
      </c>
      <c r="F4943" s="990"/>
      <c r="G4943" s="990"/>
      <c r="H4943" s="990"/>
      <c r="I4943" s="990"/>
      <c r="J4943" s="990"/>
      <c r="K4943" s="990"/>
      <c r="L4943" s="990"/>
      <c r="M4943" s="990"/>
      <c r="N4943" s="990"/>
      <c r="O4943" s="990"/>
      <c r="P4943" s="990"/>
      <c r="Q4943" s="990"/>
      <c r="R4943" s="990"/>
      <c r="S4943" s="990"/>
      <c r="T4943" s="990"/>
      <c r="U4943" s="990"/>
      <c r="V4943" s="990"/>
      <c r="W4943" s="990"/>
      <c r="X4943" s="990"/>
    </row>
    <row r="4944" spans="1:24" s="896" customFormat="1">
      <c r="A4944" s="987">
        <f t="shared" si="78"/>
        <v>4870</v>
      </c>
      <c r="B4944" s="988">
        <v>38978</v>
      </c>
      <c r="C4944" s="899" t="s">
        <v>14270</v>
      </c>
      <c r="D4944" s="988" t="s">
        <v>2669</v>
      </c>
      <c r="E4944" s="989">
        <v>10.99</v>
      </c>
      <c r="F4944" s="990"/>
      <c r="G4944" s="990"/>
      <c r="H4944" s="990"/>
      <c r="I4944" s="990"/>
      <c r="J4944" s="990"/>
      <c r="K4944" s="990"/>
      <c r="L4944" s="990"/>
      <c r="M4944" s="990"/>
      <c r="N4944" s="990"/>
      <c r="O4944" s="990"/>
      <c r="P4944" s="990"/>
      <c r="Q4944" s="990"/>
      <c r="R4944" s="990"/>
      <c r="S4944" s="990"/>
      <c r="T4944" s="990"/>
      <c r="U4944" s="990"/>
      <c r="V4944" s="990"/>
      <c r="W4944" s="990"/>
      <c r="X4944" s="990"/>
    </row>
    <row r="4945" spans="1:24" s="896" customFormat="1">
      <c r="A4945" s="987">
        <f t="shared" si="78"/>
        <v>4871</v>
      </c>
      <c r="B4945" s="988">
        <v>38979</v>
      </c>
      <c r="C4945" s="899" t="s">
        <v>14271</v>
      </c>
      <c r="D4945" s="988" t="s">
        <v>2669</v>
      </c>
      <c r="E4945" s="989">
        <v>14.91</v>
      </c>
      <c r="F4945" s="990"/>
      <c r="G4945" s="990"/>
      <c r="H4945" s="990"/>
      <c r="I4945" s="990"/>
      <c r="J4945" s="990"/>
      <c r="K4945" s="990"/>
      <c r="L4945" s="990"/>
      <c r="M4945" s="990"/>
      <c r="N4945" s="990"/>
      <c r="O4945" s="990"/>
      <c r="P4945" s="990"/>
      <c r="Q4945" s="990"/>
      <c r="R4945" s="990"/>
      <c r="S4945" s="990"/>
      <c r="T4945" s="990"/>
      <c r="U4945" s="990"/>
      <c r="V4945" s="990"/>
      <c r="W4945" s="990"/>
      <c r="X4945" s="990"/>
    </row>
    <row r="4946" spans="1:24" s="896" customFormat="1">
      <c r="A4946" s="987">
        <f t="shared" si="78"/>
        <v>4872</v>
      </c>
      <c r="B4946" s="988">
        <v>38980</v>
      </c>
      <c r="C4946" s="899" t="s">
        <v>14272</v>
      </c>
      <c r="D4946" s="988" t="s">
        <v>2669</v>
      </c>
      <c r="E4946" s="989">
        <v>24.92</v>
      </c>
      <c r="F4946" s="990"/>
      <c r="G4946" s="990"/>
      <c r="H4946" s="990"/>
      <c r="I4946" s="990"/>
      <c r="J4946" s="990"/>
      <c r="K4946" s="990"/>
      <c r="L4946" s="990"/>
      <c r="M4946" s="990"/>
      <c r="N4946" s="990"/>
      <c r="O4946" s="990"/>
      <c r="P4946" s="990"/>
      <c r="Q4946" s="990"/>
      <c r="R4946" s="990"/>
      <c r="S4946" s="990"/>
      <c r="T4946" s="990"/>
      <c r="U4946" s="990"/>
      <c r="V4946" s="990"/>
      <c r="W4946" s="990"/>
      <c r="X4946" s="990"/>
    </row>
    <row r="4947" spans="1:24" s="896" customFormat="1">
      <c r="A4947" s="987">
        <f t="shared" si="78"/>
        <v>4873</v>
      </c>
      <c r="B4947" s="988">
        <v>38981</v>
      </c>
      <c r="C4947" s="899" t="s">
        <v>14273</v>
      </c>
      <c r="D4947" s="988" t="s">
        <v>2669</v>
      </c>
      <c r="E4947" s="989">
        <v>34.51</v>
      </c>
      <c r="F4947" s="990"/>
      <c r="G4947" s="990"/>
      <c r="H4947" s="990"/>
      <c r="I4947" s="990"/>
      <c r="J4947" s="990"/>
      <c r="K4947" s="990"/>
      <c r="L4947" s="990"/>
      <c r="M4947" s="990"/>
      <c r="N4947" s="990"/>
      <c r="O4947" s="990"/>
      <c r="P4947" s="990"/>
      <c r="Q4947" s="990"/>
      <c r="R4947" s="990"/>
      <c r="S4947" s="990"/>
      <c r="T4947" s="990"/>
      <c r="U4947" s="990"/>
      <c r="V4947" s="990"/>
      <c r="W4947" s="990"/>
      <c r="X4947" s="990"/>
    </row>
    <row r="4948" spans="1:24" s="896" customFormat="1">
      <c r="A4948" s="987">
        <f t="shared" si="78"/>
        <v>4874</v>
      </c>
      <c r="B4948" s="988">
        <v>38982</v>
      </c>
      <c r="C4948" s="899" t="s">
        <v>14274</v>
      </c>
      <c r="D4948" s="988" t="s">
        <v>2669</v>
      </c>
      <c r="E4948" s="989">
        <v>50.22</v>
      </c>
      <c r="F4948" s="990"/>
      <c r="G4948" s="990"/>
      <c r="H4948" s="990"/>
      <c r="I4948" s="990"/>
      <c r="J4948" s="990"/>
      <c r="K4948" s="990"/>
      <c r="L4948" s="990"/>
      <c r="M4948" s="990"/>
      <c r="N4948" s="990"/>
      <c r="O4948" s="990"/>
      <c r="P4948" s="990"/>
      <c r="Q4948" s="990"/>
      <c r="R4948" s="990"/>
      <c r="S4948" s="990"/>
      <c r="T4948" s="990"/>
      <c r="U4948" s="990"/>
      <c r="V4948" s="990"/>
      <c r="W4948" s="990"/>
      <c r="X4948" s="990"/>
    </row>
    <row r="4949" spans="1:24" s="896" customFormat="1">
      <c r="A4949" s="987">
        <f t="shared" si="78"/>
        <v>4875</v>
      </c>
      <c r="B4949" s="988">
        <v>38983</v>
      </c>
      <c r="C4949" s="899" t="s">
        <v>14275</v>
      </c>
      <c r="D4949" s="988" t="s">
        <v>2669</v>
      </c>
      <c r="E4949" s="989">
        <v>66.58</v>
      </c>
      <c r="F4949" s="990"/>
      <c r="G4949" s="990"/>
      <c r="H4949" s="990"/>
      <c r="I4949" s="990"/>
      <c r="J4949" s="990"/>
      <c r="K4949" s="990"/>
      <c r="L4949" s="990"/>
      <c r="M4949" s="990"/>
      <c r="N4949" s="990"/>
      <c r="O4949" s="990"/>
      <c r="P4949" s="990"/>
      <c r="Q4949" s="990"/>
      <c r="R4949" s="990"/>
      <c r="S4949" s="990"/>
      <c r="T4949" s="990"/>
      <c r="U4949" s="990"/>
      <c r="V4949" s="990"/>
      <c r="W4949" s="990"/>
      <c r="X4949" s="990"/>
    </row>
    <row r="4950" spans="1:24" s="896" customFormat="1">
      <c r="A4950" s="987">
        <f t="shared" si="78"/>
        <v>4876</v>
      </c>
      <c r="B4950" s="988">
        <v>38984</v>
      </c>
      <c r="C4950" s="899" t="s">
        <v>14276</v>
      </c>
      <c r="D4950" s="988" t="s">
        <v>2669</v>
      </c>
      <c r="E4950" s="989">
        <v>128.43</v>
      </c>
      <c r="F4950" s="990"/>
      <c r="G4950" s="990"/>
      <c r="H4950" s="990"/>
      <c r="I4950" s="990"/>
      <c r="J4950" s="990"/>
      <c r="K4950" s="990"/>
      <c r="L4950" s="990"/>
      <c r="M4950" s="990"/>
      <c r="N4950" s="990"/>
      <c r="O4950" s="990"/>
      <c r="P4950" s="990"/>
      <c r="Q4950" s="990"/>
      <c r="R4950" s="990"/>
      <c r="S4950" s="990"/>
      <c r="T4950" s="990"/>
      <c r="U4950" s="990"/>
      <c r="V4950" s="990"/>
      <c r="W4950" s="990"/>
      <c r="X4950" s="990"/>
    </row>
    <row r="4951" spans="1:24" s="896" customFormat="1">
      <c r="A4951" s="987">
        <f t="shared" si="78"/>
        <v>4877</v>
      </c>
      <c r="B4951" s="988">
        <v>38985</v>
      </c>
      <c r="C4951" s="899" t="s">
        <v>14277</v>
      </c>
      <c r="D4951" s="988" t="s">
        <v>2669</v>
      </c>
      <c r="E4951" s="989">
        <v>190.12</v>
      </c>
      <c r="F4951" s="990"/>
      <c r="G4951" s="990"/>
      <c r="H4951" s="990"/>
      <c r="I4951" s="990"/>
      <c r="J4951" s="990"/>
      <c r="K4951" s="990"/>
      <c r="L4951" s="990"/>
      <c r="M4951" s="990"/>
      <c r="N4951" s="990"/>
      <c r="O4951" s="990"/>
      <c r="P4951" s="990"/>
      <c r="Q4951" s="990"/>
      <c r="R4951" s="990"/>
      <c r="S4951" s="990"/>
      <c r="T4951" s="990"/>
      <c r="U4951" s="990"/>
      <c r="V4951" s="990"/>
      <c r="W4951" s="990"/>
      <c r="X4951" s="990"/>
    </row>
    <row r="4952" spans="1:24" s="896" customFormat="1">
      <c r="A4952" s="987">
        <f t="shared" si="78"/>
        <v>4878</v>
      </c>
      <c r="B4952" s="988">
        <v>9836</v>
      </c>
      <c r="C4952" s="899" t="s">
        <v>14278</v>
      </c>
      <c r="D4952" s="988" t="s">
        <v>2669</v>
      </c>
      <c r="E4952" s="989">
        <v>19.809999999999999</v>
      </c>
      <c r="F4952" s="990"/>
      <c r="G4952" s="990"/>
      <c r="H4952" s="990"/>
      <c r="I4952" s="990"/>
      <c r="J4952" s="990"/>
      <c r="K4952" s="990"/>
      <c r="L4952" s="990"/>
      <c r="M4952" s="990"/>
      <c r="N4952" s="990"/>
      <c r="O4952" s="990"/>
      <c r="P4952" s="990"/>
      <c r="Q4952" s="990"/>
      <c r="R4952" s="990"/>
      <c r="S4952" s="990"/>
      <c r="T4952" s="990"/>
      <c r="U4952" s="990"/>
      <c r="V4952" s="990"/>
      <c r="W4952" s="990"/>
      <c r="X4952" s="990"/>
    </row>
    <row r="4953" spans="1:24" s="896" customFormat="1">
      <c r="A4953" s="987">
        <f t="shared" si="78"/>
        <v>4879</v>
      </c>
      <c r="B4953" s="988">
        <v>20065</v>
      </c>
      <c r="C4953" s="899" t="s">
        <v>14279</v>
      </c>
      <c r="D4953" s="988" t="s">
        <v>2669</v>
      </c>
      <c r="E4953" s="989">
        <v>50.68</v>
      </c>
      <c r="F4953" s="990"/>
      <c r="G4953" s="990"/>
      <c r="H4953" s="990"/>
      <c r="I4953" s="990"/>
      <c r="J4953" s="990"/>
      <c r="K4953" s="990"/>
      <c r="L4953" s="990"/>
      <c r="M4953" s="990"/>
      <c r="N4953" s="990"/>
      <c r="O4953" s="990"/>
      <c r="P4953" s="990"/>
      <c r="Q4953" s="990"/>
      <c r="R4953" s="990"/>
      <c r="S4953" s="990"/>
      <c r="T4953" s="990"/>
      <c r="U4953" s="990"/>
      <c r="V4953" s="990"/>
      <c r="W4953" s="990"/>
      <c r="X4953" s="990"/>
    </row>
    <row r="4954" spans="1:24" s="896" customFormat="1">
      <c r="A4954" s="987">
        <f t="shared" si="78"/>
        <v>4880</v>
      </c>
      <c r="B4954" s="988">
        <v>9835</v>
      </c>
      <c r="C4954" s="899" t="s">
        <v>14280</v>
      </c>
      <c r="D4954" s="988" t="s">
        <v>2669</v>
      </c>
      <c r="E4954" s="989">
        <v>7.14</v>
      </c>
      <c r="F4954" s="990"/>
      <c r="G4954" s="990"/>
      <c r="H4954" s="990"/>
      <c r="I4954" s="990"/>
      <c r="J4954" s="990"/>
      <c r="K4954" s="990"/>
      <c r="L4954" s="990"/>
      <c r="M4954" s="990"/>
      <c r="N4954" s="990"/>
      <c r="O4954" s="990"/>
      <c r="P4954" s="990"/>
      <c r="Q4954" s="990"/>
      <c r="R4954" s="990"/>
      <c r="S4954" s="990"/>
      <c r="T4954" s="990"/>
      <c r="U4954" s="990"/>
      <c r="V4954" s="990"/>
      <c r="W4954" s="990"/>
      <c r="X4954" s="990"/>
    </row>
    <row r="4955" spans="1:24" s="896" customFormat="1">
      <c r="A4955" s="987">
        <f t="shared" si="78"/>
        <v>4881</v>
      </c>
      <c r="B4955" s="988">
        <v>38032</v>
      </c>
      <c r="C4955" s="899" t="s">
        <v>14281</v>
      </c>
      <c r="D4955" s="988" t="s">
        <v>2669</v>
      </c>
      <c r="E4955" s="989">
        <v>49.81</v>
      </c>
      <c r="F4955" s="990"/>
      <c r="G4955" s="990"/>
      <c r="H4955" s="990"/>
      <c r="I4955" s="990"/>
      <c r="J4955" s="990"/>
      <c r="K4955" s="990"/>
      <c r="L4955" s="990"/>
      <c r="M4955" s="990"/>
      <c r="N4955" s="990"/>
      <c r="O4955" s="990"/>
      <c r="P4955" s="990"/>
      <c r="Q4955" s="990"/>
      <c r="R4955" s="990"/>
      <c r="S4955" s="990"/>
      <c r="T4955" s="990"/>
      <c r="U4955" s="990"/>
      <c r="V4955" s="990"/>
      <c r="W4955" s="990"/>
      <c r="X4955" s="990"/>
    </row>
    <row r="4956" spans="1:24" s="896" customFormat="1">
      <c r="A4956" s="987">
        <f t="shared" si="78"/>
        <v>4882</v>
      </c>
      <c r="B4956" s="988">
        <v>38033</v>
      </c>
      <c r="C4956" s="899" t="s">
        <v>14282</v>
      </c>
      <c r="D4956" s="988" t="s">
        <v>2669</v>
      </c>
      <c r="E4956" s="989">
        <v>81.5</v>
      </c>
      <c r="F4956" s="990"/>
      <c r="G4956" s="990"/>
      <c r="H4956" s="990"/>
      <c r="I4956" s="990"/>
      <c r="J4956" s="990"/>
      <c r="K4956" s="990"/>
      <c r="L4956" s="990"/>
      <c r="M4956" s="990"/>
      <c r="N4956" s="990"/>
      <c r="O4956" s="990"/>
      <c r="P4956" s="990"/>
      <c r="Q4956" s="990"/>
      <c r="R4956" s="990"/>
      <c r="S4956" s="990"/>
      <c r="T4956" s="990"/>
      <c r="U4956" s="990"/>
      <c r="V4956" s="990"/>
      <c r="W4956" s="990"/>
      <c r="X4956" s="990"/>
    </row>
    <row r="4957" spans="1:24" s="896" customFormat="1">
      <c r="A4957" s="987">
        <f t="shared" si="78"/>
        <v>4883</v>
      </c>
      <c r="B4957" s="988">
        <v>38034</v>
      </c>
      <c r="C4957" s="899" t="s">
        <v>14283</v>
      </c>
      <c r="D4957" s="988" t="s">
        <v>2669</v>
      </c>
      <c r="E4957" s="989">
        <v>134.83000000000001</v>
      </c>
      <c r="F4957" s="990"/>
      <c r="G4957" s="990"/>
      <c r="H4957" s="990"/>
      <c r="I4957" s="990"/>
      <c r="J4957" s="990"/>
      <c r="K4957" s="990"/>
      <c r="L4957" s="990"/>
      <c r="M4957" s="990"/>
      <c r="N4957" s="990"/>
      <c r="O4957" s="990"/>
      <c r="P4957" s="990"/>
      <c r="Q4957" s="990"/>
      <c r="R4957" s="990"/>
      <c r="S4957" s="990"/>
      <c r="T4957" s="990"/>
      <c r="U4957" s="990"/>
      <c r="V4957" s="990"/>
      <c r="W4957" s="990"/>
      <c r="X4957" s="990"/>
    </row>
    <row r="4958" spans="1:24" s="896" customFormat="1">
      <c r="A4958" s="987">
        <f t="shared" si="78"/>
        <v>4884</v>
      </c>
      <c r="B4958" s="988">
        <v>38035</v>
      </c>
      <c r="C4958" s="899" t="s">
        <v>14284</v>
      </c>
      <c r="D4958" s="988" t="s">
        <v>2669</v>
      </c>
      <c r="E4958" s="989">
        <v>187.88</v>
      </c>
      <c r="F4958" s="990"/>
      <c r="G4958" s="990"/>
      <c r="H4958" s="990"/>
      <c r="I4958" s="990"/>
      <c r="J4958" s="990"/>
      <c r="K4958" s="990"/>
      <c r="L4958" s="990"/>
      <c r="M4958" s="990"/>
      <c r="N4958" s="990"/>
      <c r="O4958" s="990"/>
      <c r="P4958" s="990"/>
      <c r="Q4958" s="990"/>
      <c r="R4958" s="990"/>
      <c r="S4958" s="990"/>
      <c r="T4958" s="990"/>
      <c r="U4958" s="990"/>
      <c r="V4958" s="990"/>
      <c r="W4958" s="990"/>
      <c r="X4958" s="990"/>
    </row>
    <row r="4959" spans="1:24" s="896" customFormat="1">
      <c r="A4959" s="987">
        <f t="shared" si="78"/>
        <v>4885</v>
      </c>
      <c r="B4959" s="988">
        <v>38036</v>
      </c>
      <c r="C4959" s="899" t="s">
        <v>14285</v>
      </c>
      <c r="D4959" s="988" t="s">
        <v>2669</v>
      </c>
      <c r="E4959" s="989">
        <v>265.11</v>
      </c>
      <c r="F4959" s="990"/>
      <c r="G4959" s="990"/>
      <c r="H4959" s="990"/>
      <c r="I4959" s="990"/>
      <c r="J4959" s="990"/>
      <c r="K4959" s="990"/>
      <c r="L4959" s="990"/>
      <c r="M4959" s="990"/>
      <c r="N4959" s="990"/>
      <c r="O4959" s="990"/>
      <c r="P4959" s="990"/>
      <c r="Q4959" s="990"/>
      <c r="R4959" s="990"/>
      <c r="S4959" s="990"/>
      <c r="T4959" s="990"/>
      <c r="U4959" s="990"/>
      <c r="V4959" s="990"/>
      <c r="W4959" s="990"/>
      <c r="X4959" s="990"/>
    </row>
    <row r="4960" spans="1:24" s="896" customFormat="1">
      <c r="A4960" s="987">
        <f t="shared" si="78"/>
        <v>4886</v>
      </c>
      <c r="B4960" s="988">
        <v>38037</v>
      </c>
      <c r="C4960" s="899" t="s">
        <v>14286</v>
      </c>
      <c r="D4960" s="988" t="s">
        <v>2669</v>
      </c>
      <c r="E4960" s="989">
        <v>307.39999999999998</v>
      </c>
      <c r="F4960" s="990"/>
      <c r="G4960" s="990"/>
      <c r="H4960" s="990"/>
      <c r="I4960" s="990"/>
      <c r="J4960" s="990"/>
      <c r="K4960" s="990"/>
      <c r="L4960" s="990"/>
      <c r="M4960" s="990"/>
      <c r="N4960" s="990"/>
      <c r="O4960" s="990"/>
      <c r="P4960" s="990"/>
      <c r="Q4960" s="990"/>
      <c r="R4960" s="990"/>
      <c r="S4960" s="990"/>
      <c r="T4960" s="990"/>
      <c r="U4960" s="990"/>
      <c r="V4960" s="990"/>
      <c r="W4960" s="990"/>
      <c r="X4960" s="990"/>
    </row>
    <row r="4961" spans="1:24" s="896" customFormat="1" ht="25.5">
      <c r="A4961" s="987">
        <f t="shared" si="78"/>
        <v>4887</v>
      </c>
      <c r="B4961" s="988">
        <v>9850</v>
      </c>
      <c r="C4961" s="899" t="s">
        <v>14287</v>
      </c>
      <c r="D4961" s="988" t="s">
        <v>2669</v>
      </c>
      <c r="E4961" s="989">
        <v>195</v>
      </c>
      <c r="F4961" s="990"/>
      <c r="G4961" s="990"/>
      <c r="H4961" s="990"/>
      <c r="I4961" s="990"/>
      <c r="J4961" s="990"/>
      <c r="K4961" s="990"/>
      <c r="L4961" s="990"/>
      <c r="M4961" s="990"/>
      <c r="N4961" s="990"/>
      <c r="O4961" s="990"/>
      <c r="P4961" s="990"/>
      <c r="Q4961" s="990"/>
      <c r="R4961" s="990"/>
      <c r="S4961" s="990"/>
      <c r="T4961" s="990"/>
      <c r="U4961" s="990"/>
      <c r="V4961" s="990"/>
      <c r="W4961" s="990"/>
      <c r="X4961" s="990"/>
    </row>
    <row r="4962" spans="1:24" s="896" customFormat="1" ht="25.5">
      <c r="A4962" s="987">
        <f t="shared" si="78"/>
        <v>4888</v>
      </c>
      <c r="B4962" s="988">
        <v>9853</v>
      </c>
      <c r="C4962" s="899" t="s">
        <v>14288</v>
      </c>
      <c r="D4962" s="988" t="s">
        <v>2669</v>
      </c>
      <c r="E4962" s="989">
        <v>346.77</v>
      </c>
      <c r="F4962" s="990"/>
      <c r="G4962" s="990"/>
      <c r="H4962" s="990"/>
      <c r="I4962" s="990"/>
      <c r="J4962" s="990"/>
      <c r="K4962" s="990"/>
      <c r="L4962" s="990"/>
      <c r="M4962" s="990"/>
      <c r="N4962" s="990"/>
      <c r="O4962" s="990"/>
      <c r="P4962" s="990"/>
      <c r="Q4962" s="990"/>
      <c r="R4962" s="990"/>
      <c r="S4962" s="990"/>
      <c r="T4962" s="990"/>
      <c r="U4962" s="990"/>
      <c r="V4962" s="990"/>
      <c r="W4962" s="990"/>
      <c r="X4962" s="990"/>
    </row>
    <row r="4963" spans="1:24" s="896" customFormat="1" ht="25.5">
      <c r="A4963" s="987">
        <f t="shared" si="78"/>
        <v>4889</v>
      </c>
      <c r="B4963" s="988">
        <v>9854</v>
      </c>
      <c r="C4963" s="899" t="s">
        <v>14289</v>
      </c>
      <c r="D4963" s="988" t="s">
        <v>2669</v>
      </c>
      <c r="E4963" s="989">
        <v>151.94</v>
      </c>
      <c r="F4963" s="990"/>
      <c r="G4963" s="990"/>
      <c r="H4963" s="990"/>
      <c r="I4963" s="990"/>
      <c r="J4963" s="990"/>
      <c r="K4963" s="990"/>
      <c r="L4963" s="990"/>
      <c r="M4963" s="990"/>
      <c r="N4963" s="990"/>
      <c r="O4963" s="990"/>
      <c r="P4963" s="990"/>
      <c r="Q4963" s="990"/>
      <c r="R4963" s="990"/>
      <c r="S4963" s="990"/>
      <c r="T4963" s="990"/>
      <c r="U4963" s="990"/>
      <c r="V4963" s="990"/>
      <c r="W4963" s="990"/>
      <c r="X4963" s="990"/>
    </row>
    <row r="4964" spans="1:24" s="896" customFormat="1" ht="25.5">
      <c r="A4964" s="987">
        <f t="shared" si="78"/>
        <v>4890</v>
      </c>
      <c r="B4964" s="988">
        <v>9851</v>
      </c>
      <c r="C4964" s="899" t="s">
        <v>14290</v>
      </c>
      <c r="D4964" s="988" t="s">
        <v>2669</v>
      </c>
      <c r="E4964" s="989">
        <v>263.45999999999998</v>
      </c>
      <c r="F4964" s="990"/>
      <c r="G4964" s="990"/>
      <c r="H4964" s="990"/>
      <c r="I4964" s="990"/>
      <c r="J4964" s="990"/>
      <c r="K4964" s="990"/>
      <c r="L4964" s="990"/>
      <c r="M4964" s="990"/>
      <c r="N4964" s="990"/>
      <c r="O4964" s="990"/>
      <c r="P4964" s="990"/>
      <c r="Q4964" s="990"/>
      <c r="R4964" s="990"/>
      <c r="S4964" s="990"/>
      <c r="T4964" s="990"/>
      <c r="U4964" s="990"/>
      <c r="V4964" s="990"/>
      <c r="W4964" s="990"/>
      <c r="X4964" s="990"/>
    </row>
    <row r="4965" spans="1:24" s="896" customFormat="1" ht="25.5">
      <c r="A4965" s="987">
        <f t="shared" si="78"/>
        <v>4891</v>
      </c>
      <c r="B4965" s="988">
        <v>9855</v>
      </c>
      <c r="C4965" s="899" t="s">
        <v>14291</v>
      </c>
      <c r="D4965" s="988" t="s">
        <v>2669</v>
      </c>
      <c r="E4965" s="989">
        <v>440.67</v>
      </c>
      <c r="F4965" s="990"/>
      <c r="G4965" s="990"/>
      <c r="H4965" s="990"/>
      <c r="I4965" s="990"/>
      <c r="J4965" s="990"/>
      <c r="K4965" s="990"/>
      <c r="L4965" s="990"/>
      <c r="M4965" s="990"/>
      <c r="N4965" s="990"/>
      <c r="O4965" s="990"/>
      <c r="P4965" s="990"/>
      <c r="Q4965" s="990"/>
      <c r="R4965" s="990"/>
      <c r="S4965" s="990"/>
      <c r="T4965" s="990"/>
      <c r="U4965" s="990"/>
      <c r="V4965" s="990"/>
      <c r="W4965" s="990"/>
      <c r="X4965" s="990"/>
    </row>
    <row r="4966" spans="1:24" s="896" customFormat="1">
      <c r="A4966" s="987">
        <f t="shared" si="78"/>
        <v>4892</v>
      </c>
      <c r="B4966" s="988">
        <v>9825</v>
      </c>
      <c r="C4966" s="899" t="s">
        <v>14292</v>
      </c>
      <c r="D4966" s="988" t="s">
        <v>2669</v>
      </c>
      <c r="E4966" s="989">
        <v>57.29</v>
      </c>
      <c r="F4966" s="990"/>
      <c r="G4966" s="990"/>
      <c r="H4966" s="990"/>
      <c r="I4966" s="990"/>
      <c r="J4966" s="990"/>
      <c r="K4966" s="990"/>
      <c r="L4966" s="990"/>
      <c r="M4966" s="990"/>
      <c r="N4966" s="990"/>
      <c r="O4966" s="990"/>
      <c r="P4966" s="990"/>
      <c r="Q4966" s="990"/>
      <c r="R4966" s="990"/>
      <c r="S4966" s="990"/>
      <c r="T4966" s="990"/>
      <c r="U4966" s="990"/>
      <c r="V4966" s="990"/>
      <c r="W4966" s="990"/>
      <c r="X4966" s="990"/>
    </row>
    <row r="4967" spans="1:24" s="896" customFormat="1">
      <c r="A4967" s="987">
        <f t="shared" si="78"/>
        <v>4893</v>
      </c>
      <c r="B4967" s="988">
        <v>9828</v>
      </c>
      <c r="C4967" s="899" t="s">
        <v>14293</v>
      </c>
      <c r="D4967" s="988" t="s">
        <v>2669</v>
      </c>
      <c r="E4967" s="989">
        <v>154.16</v>
      </c>
      <c r="F4967" s="990"/>
      <c r="G4967" s="990"/>
      <c r="H4967" s="990"/>
      <c r="I4967" s="990"/>
      <c r="J4967" s="990"/>
      <c r="K4967" s="990"/>
      <c r="L4967" s="990"/>
      <c r="M4967" s="990"/>
      <c r="N4967" s="990"/>
      <c r="O4967" s="990"/>
      <c r="P4967" s="990"/>
      <c r="Q4967" s="990"/>
      <c r="R4967" s="990"/>
      <c r="S4967" s="990"/>
      <c r="T4967" s="990"/>
      <c r="U4967" s="990"/>
      <c r="V4967" s="990"/>
      <c r="W4967" s="990"/>
      <c r="X4967" s="990"/>
    </row>
    <row r="4968" spans="1:24" s="896" customFormat="1">
      <c r="A4968" s="987">
        <f t="shared" si="78"/>
        <v>4894</v>
      </c>
      <c r="B4968" s="988">
        <v>9829</v>
      </c>
      <c r="C4968" s="899" t="s">
        <v>14294</v>
      </c>
      <c r="D4968" s="988" t="s">
        <v>2669</v>
      </c>
      <c r="E4968" s="989">
        <v>261.27</v>
      </c>
      <c r="F4968" s="990"/>
      <c r="G4968" s="990"/>
      <c r="H4968" s="990"/>
      <c r="I4968" s="990"/>
      <c r="J4968" s="990"/>
      <c r="K4968" s="990"/>
      <c r="L4968" s="990"/>
      <c r="M4968" s="990"/>
      <c r="N4968" s="990"/>
      <c r="O4968" s="990"/>
      <c r="P4968" s="990"/>
      <c r="Q4968" s="990"/>
      <c r="R4968" s="990"/>
      <c r="S4968" s="990"/>
      <c r="T4968" s="990"/>
      <c r="U4968" s="990"/>
      <c r="V4968" s="990"/>
      <c r="W4968" s="990"/>
      <c r="X4968" s="990"/>
    </row>
    <row r="4969" spans="1:24" s="896" customFormat="1">
      <c r="A4969" s="987">
        <f t="shared" si="78"/>
        <v>4895</v>
      </c>
      <c r="B4969" s="988">
        <v>9826</v>
      </c>
      <c r="C4969" s="899" t="s">
        <v>14295</v>
      </c>
      <c r="D4969" s="988" t="s">
        <v>2669</v>
      </c>
      <c r="E4969" s="989">
        <v>397.74</v>
      </c>
      <c r="F4969" s="990"/>
      <c r="G4969" s="990"/>
      <c r="H4969" s="990"/>
      <c r="I4969" s="990"/>
      <c r="J4969" s="990"/>
      <c r="K4969" s="990"/>
      <c r="L4969" s="990"/>
      <c r="M4969" s="990"/>
      <c r="N4969" s="990"/>
      <c r="O4969" s="990"/>
      <c r="P4969" s="990"/>
      <c r="Q4969" s="990"/>
      <c r="R4969" s="990"/>
      <c r="S4969" s="990"/>
      <c r="T4969" s="990"/>
      <c r="U4969" s="990"/>
      <c r="V4969" s="990"/>
      <c r="W4969" s="990"/>
      <c r="X4969" s="990"/>
    </row>
    <row r="4970" spans="1:24" s="896" customFormat="1">
      <c r="A4970" s="987">
        <f t="shared" si="78"/>
        <v>4896</v>
      </c>
      <c r="B4970" s="988">
        <v>9827</v>
      </c>
      <c r="C4970" s="899" t="s">
        <v>14296</v>
      </c>
      <c r="D4970" s="988" t="s">
        <v>2669</v>
      </c>
      <c r="E4970" s="989">
        <v>564.79</v>
      </c>
      <c r="F4970" s="990"/>
      <c r="G4970" s="990"/>
      <c r="H4970" s="990"/>
      <c r="I4970" s="990"/>
      <c r="J4970" s="990"/>
      <c r="K4970" s="990"/>
      <c r="L4970" s="990"/>
      <c r="M4970" s="990"/>
      <c r="N4970" s="990"/>
      <c r="O4970" s="990"/>
      <c r="P4970" s="990"/>
      <c r="Q4970" s="990"/>
      <c r="R4970" s="990"/>
      <c r="S4970" s="990"/>
      <c r="T4970" s="990"/>
      <c r="U4970" s="990"/>
      <c r="V4970" s="990"/>
      <c r="W4970" s="990"/>
      <c r="X4970" s="990"/>
    </row>
    <row r="4971" spans="1:24" s="896" customFormat="1">
      <c r="A4971" s="987">
        <f t="shared" si="78"/>
        <v>4897</v>
      </c>
      <c r="B4971" s="988">
        <v>36374</v>
      </c>
      <c r="C4971" s="899" t="s">
        <v>14297</v>
      </c>
      <c r="D4971" s="988" t="s">
        <v>2669</v>
      </c>
      <c r="E4971" s="989">
        <v>68.66</v>
      </c>
      <c r="F4971" s="990"/>
      <c r="G4971" s="990"/>
      <c r="H4971" s="990"/>
      <c r="I4971" s="990"/>
      <c r="J4971" s="990"/>
      <c r="K4971" s="990"/>
      <c r="L4971" s="990"/>
      <c r="M4971" s="990"/>
      <c r="N4971" s="990"/>
      <c r="O4971" s="990"/>
      <c r="P4971" s="990"/>
      <c r="Q4971" s="990"/>
      <c r="R4971" s="990"/>
      <c r="S4971" s="990"/>
      <c r="T4971" s="990"/>
      <c r="U4971" s="990"/>
      <c r="V4971" s="990"/>
      <c r="W4971" s="990"/>
      <c r="X4971" s="990"/>
    </row>
    <row r="4972" spans="1:24" s="896" customFormat="1">
      <c r="A4972" s="987">
        <f t="shared" si="78"/>
        <v>4898</v>
      </c>
      <c r="B4972" s="988">
        <v>36084</v>
      </c>
      <c r="C4972" s="899" t="s">
        <v>14298</v>
      </c>
      <c r="D4972" s="988" t="s">
        <v>2669</v>
      </c>
      <c r="E4972" s="989">
        <v>20.34</v>
      </c>
      <c r="F4972" s="990"/>
      <c r="G4972" s="990"/>
      <c r="H4972" s="990"/>
      <c r="I4972" s="990"/>
      <c r="J4972" s="990"/>
      <c r="K4972" s="990"/>
      <c r="L4972" s="990"/>
      <c r="M4972" s="990"/>
      <c r="N4972" s="990"/>
      <c r="O4972" s="990"/>
      <c r="P4972" s="990"/>
      <c r="Q4972" s="990"/>
      <c r="R4972" s="990"/>
      <c r="S4972" s="990"/>
      <c r="T4972" s="990"/>
      <c r="U4972" s="990"/>
      <c r="V4972" s="990"/>
      <c r="W4972" s="990"/>
      <c r="X4972" s="990"/>
    </row>
    <row r="4973" spans="1:24" s="896" customFormat="1">
      <c r="A4973" s="987">
        <f t="shared" si="78"/>
        <v>4899</v>
      </c>
      <c r="B4973" s="988">
        <v>36373</v>
      </c>
      <c r="C4973" s="899" t="s">
        <v>14299</v>
      </c>
      <c r="D4973" s="988" t="s">
        <v>2669</v>
      </c>
      <c r="E4973" s="989">
        <v>42.24</v>
      </c>
      <c r="F4973" s="990"/>
      <c r="G4973" s="990"/>
      <c r="H4973" s="990"/>
      <c r="I4973" s="990"/>
      <c r="J4973" s="990"/>
      <c r="K4973" s="990"/>
      <c r="L4973" s="990"/>
      <c r="M4973" s="990"/>
      <c r="N4973" s="990"/>
      <c r="O4973" s="990"/>
      <c r="P4973" s="990"/>
      <c r="Q4973" s="990"/>
      <c r="R4973" s="990"/>
      <c r="S4973" s="990"/>
      <c r="T4973" s="990"/>
      <c r="U4973" s="990"/>
      <c r="V4973" s="990"/>
      <c r="W4973" s="990"/>
      <c r="X4973" s="990"/>
    </row>
    <row r="4974" spans="1:24" s="896" customFormat="1">
      <c r="A4974" s="987">
        <f t="shared" si="78"/>
        <v>4900</v>
      </c>
      <c r="B4974" s="988">
        <v>36377</v>
      </c>
      <c r="C4974" s="899" t="s">
        <v>14300</v>
      </c>
      <c r="D4974" s="988" t="s">
        <v>2669</v>
      </c>
      <c r="E4974" s="989">
        <v>82.36</v>
      </c>
      <c r="F4974" s="990"/>
      <c r="G4974" s="990"/>
      <c r="H4974" s="990"/>
      <c r="I4974" s="990"/>
      <c r="J4974" s="990"/>
      <c r="K4974" s="990"/>
      <c r="L4974" s="990"/>
      <c r="M4974" s="990"/>
      <c r="N4974" s="990"/>
      <c r="O4974" s="990"/>
      <c r="P4974" s="990"/>
      <c r="Q4974" s="990"/>
      <c r="R4974" s="990"/>
      <c r="S4974" s="990"/>
      <c r="T4974" s="990"/>
      <c r="U4974" s="990"/>
      <c r="V4974" s="990"/>
      <c r="W4974" s="990"/>
      <c r="X4974" s="990"/>
    </row>
    <row r="4975" spans="1:24" s="896" customFormat="1">
      <c r="A4975" s="987">
        <f t="shared" si="78"/>
        <v>4901</v>
      </c>
      <c r="B4975" s="988">
        <v>36375</v>
      </c>
      <c r="C4975" s="899" t="s">
        <v>14301</v>
      </c>
      <c r="D4975" s="988" t="s">
        <v>2669</v>
      </c>
      <c r="E4975" s="989">
        <v>25.1</v>
      </c>
      <c r="F4975" s="990"/>
      <c r="G4975" s="990"/>
      <c r="H4975" s="990"/>
      <c r="I4975" s="990"/>
      <c r="J4975" s="990"/>
      <c r="K4975" s="990"/>
      <c r="L4975" s="990"/>
      <c r="M4975" s="990"/>
      <c r="N4975" s="990"/>
      <c r="O4975" s="990"/>
      <c r="P4975" s="990"/>
      <c r="Q4975" s="990"/>
      <c r="R4975" s="990"/>
      <c r="S4975" s="990"/>
      <c r="T4975" s="990"/>
      <c r="U4975" s="990"/>
      <c r="V4975" s="990"/>
      <c r="W4975" s="990"/>
      <c r="X4975" s="990"/>
    </row>
    <row r="4976" spans="1:24" s="896" customFormat="1">
      <c r="A4976" s="987">
        <f t="shared" si="78"/>
        <v>4902</v>
      </c>
      <c r="B4976" s="988">
        <v>36376</v>
      </c>
      <c r="C4976" s="899" t="s">
        <v>14302</v>
      </c>
      <c r="D4976" s="988" t="s">
        <v>2669</v>
      </c>
      <c r="E4976" s="989">
        <v>49.29</v>
      </c>
      <c r="F4976" s="990"/>
      <c r="G4976" s="990"/>
      <c r="H4976" s="990"/>
      <c r="I4976" s="990"/>
      <c r="J4976" s="990"/>
      <c r="K4976" s="990"/>
      <c r="L4976" s="990"/>
      <c r="M4976" s="990"/>
      <c r="N4976" s="990"/>
      <c r="O4976" s="990"/>
      <c r="P4976" s="990"/>
      <c r="Q4976" s="990"/>
      <c r="R4976" s="990"/>
      <c r="S4976" s="990"/>
      <c r="T4976" s="990"/>
      <c r="U4976" s="990"/>
      <c r="V4976" s="990"/>
      <c r="W4976" s="990"/>
      <c r="X4976" s="990"/>
    </row>
    <row r="4977" spans="1:24" s="896" customFormat="1">
      <c r="A4977" s="987">
        <f t="shared" si="78"/>
        <v>4903</v>
      </c>
      <c r="B4977" s="988">
        <v>36380</v>
      </c>
      <c r="C4977" s="899" t="s">
        <v>14303</v>
      </c>
      <c r="D4977" s="988" t="s">
        <v>2669</v>
      </c>
      <c r="E4977" s="989">
        <v>102.98</v>
      </c>
      <c r="F4977" s="990"/>
      <c r="G4977" s="990"/>
      <c r="H4977" s="990"/>
      <c r="I4977" s="990"/>
      <c r="J4977" s="990"/>
      <c r="K4977" s="990"/>
      <c r="L4977" s="990"/>
      <c r="M4977" s="990"/>
      <c r="N4977" s="990"/>
      <c r="O4977" s="990"/>
      <c r="P4977" s="990"/>
      <c r="Q4977" s="990"/>
      <c r="R4977" s="990"/>
      <c r="S4977" s="990"/>
      <c r="T4977" s="990"/>
      <c r="U4977" s="990"/>
      <c r="V4977" s="990"/>
      <c r="W4977" s="990"/>
      <c r="X4977" s="990"/>
    </row>
    <row r="4978" spans="1:24" s="896" customFormat="1">
      <c r="A4978" s="987">
        <f t="shared" si="78"/>
        <v>4904</v>
      </c>
      <c r="B4978" s="988">
        <v>36378</v>
      </c>
      <c r="C4978" s="899" t="s">
        <v>14304</v>
      </c>
      <c r="D4978" s="988" t="s">
        <v>2669</v>
      </c>
      <c r="E4978" s="989">
        <v>30.86</v>
      </c>
      <c r="F4978" s="990"/>
      <c r="G4978" s="990"/>
      <c r="H4978" s="990"/>
      <c r="I4978" s="990"/>
      <c r="J4978" s="990"/>
      <c r="K4978" s="990"/>
      <c r="L4978" s="990"/>
      <c r="M4978" s="990"/>
      <c r="N4978" s="990"/>
      <c r="O4978" s="990"/>
      <c r="P4978" s="990"/>
      <c r="Q4978" s="990"/>
      <c r="R4978" s="990"/>
      <c r="S4978" s="990"/>
      <c r="T4978" s="990"/>
      <c r="U4978" s="990"/>
      <c r="V4978" s="990"/>
      <c r="W4978" s="990"/>
      <c r="X4978" s="990"/>
    </row>
    <row r="4979" spans="1:24" s="896" customFormat="1">
      <c r="A4979" s="987">
        <f t="shared" si="78"/>
        <v>4905</v>
      </c>
      <c r="B4979" s="988">
        <v>36379</v>
      </c>
      <c r="C4979" s="899" t="s">
        <v>14305</v>
      </c>
      <c r="D4979" s="988" t="s">
        <v>2669</v>
      </c>
      <c r="E4979" s="989">
        <v>62.2</v>
      </c>
      <c r="F4979" s="990"/>
      <c r="G4979" s="990"/>
      <c r="H4979" s="990"/>
      <c r="I4979" s="990"/>
      <c r="J4979" s="990"/>
      <c r="K4979" s="990"/>
      <c r="L4979" s="990"/>
      <c r="M4979" s="990"/>
      <c r="N4979" s="990"/>
      <c r="O4979" s="990"/>
      <c r="P4979" s="990"/>
      <c r="Q4979" s="990"/>
      <c r="R4979" s="990"/>
      <c r="S4979" s="990"/>
      <c r="T4979" s="990"/>
      <c r="U4979" s="990"/>
      <c r="V4979" s="990"/>
      <c r="W4979" s="990"/>
      <c r="X4979" s="990"/>
    </row>
    <row r="4980" spans="1:24" s="896" customFormat="1">
      <c r="A4980" s="987">
        <f t="shared" si="78"/>
        <v>4906</v>
      </c>
      <c r="B4980" s="988">
        <v>9859</v>
      </c>
      <c r="C4980" s="899" t="s">
        <v>14306</v>
      </c>
      <c r="D4980" s="988" t="s">
        <v>2669</v>
      </c>
      <c r="E4980" s="989">
        <v>12.89</v>
      </c>
      <c r="F4980" s="990"/>
      <c r="G4980" s="990"/>
      <c r="H4980" s="990"/>
      <c r="I4980" s="990"/>
      <c r="J4980" s="990"/>
      <c r="K4980" s="990"/>
      <c r="L4980" s="990"/>
      <c r="M4980" s="990"/>
      <c r="N4980" s="990"/>
      <c r="O4980" s="990"/>
      <c r="P4980" s="990"/>
      <c r="Q4980" s="990"/>
      <c r="R4980" s="990"/>
      <c r="S4980" s="990"/>
      <c r="T4980" s="990"/>
      <c r="U4980" s="990"/>
      <c r="V4980" s="990"/>
      <c r="W4980" s="990"/>
      <c r="X4980" s="990"/>
    </row>
    <row r="4981" spans="1:24" s="896" customFormat="1">
      <c r="A4981" s="987">
        <f t="shared" si="78"/>
        <v>4907</v>
      </c>
      <c r="B4981" s="988">
        <v>9838</v>
      </c>
      <c r="C4981" s="899" t="s">
        <v>14307</v>
      </c>
      <c r="D4981" s="988" t="s">
        <v>2669</v>
      </c>
      <c r="E4981" s="989">
        <v>12.16</v>
      </c>
      <c r="F4981" s="990"/>
      <c r="G4981" s="990"/>
      <c r="H4981" s="990"/>
      <c r="I4981" s="990"/>
      <c r="J4981" s="990"/>
      <c r="K4981" s="990"/>
      <c r="L4981" s="990"/>
      <c r="M4981" s="990"/>
      <c r="N4981" s="990"/>
      <c r="O4981" s="990"/>
      <c r="P4981" s="990"/>
      <c r="Q4981" s="990"/>
      <c r="R4981" s="990"/>
      <c r="S4981" s="990"/>
      <c r="T4981" s="990"/>
      <c r="U4981" s="990"/>
      <c r="V4981" s="990"/>
      <c r="W4981" s="990"/>
      <c r="X4981" s="990"/>
    </row>
    <row r="4982" spans="1:24" s="896" customFormat="1">
      <c r="A4982" s="987">
        <f t="shared" si="78"/>
        <v>4908</v>
      </c>
      <c r="B4982" s="988">
        <v>9837</v>
      </c>
      <c r="C4982" s="899" t="s">
        <v>14308</v>
      </c>
      <c r="D4982" s="988" t="s">
        <v>2669</v>
      </c>
      <c r="E4982" s="989">
        <v>17.559999999999999</v>
      </c>
      <c r="F4982" s="990"/>
      <c r="G4982" s="990"/>
      <c r="H4982" s="990"/>
      <c r="I4982" s="990"/>
      <c r="J4982" s="990"/>
      <c r="K4982" s="990"/>
      <c r="L4982" s="990"/>
      <c r="M4982" s="990"/>
      <c r="N4982" s="990"/>
      <c r="O4982" s="990"/>
      <c r="P4982" s="990"/>
      <c r="Q4982" s="990"/>
      <c r="R4982" s="990"/>
      <c r="S4982" s="990"/>
      <c r="T4982" s="990"/>
      <c r="U4982" s="990"/>
      <c r="V4982" s="990"/>
      <c r="W4982" s="990"/>
      <c r="X4982" s="990"/>
    </row>
    <row r="4983" spans="1:24" s="896" customFormat="1" ht="25.5">
      <c r="A4983" s="987">
        <f t="shared" si="78"/>
        <v>4909</v>
      </c>
      <c r="B4983" s="988">
        <v>9833</v>
      </c>
      <c r="C4983" s="899" t="s">
        <v>14309</v>
      </c>
      <c r="D4983" s="988" t="s">
        <v>2669</v>
      </c>
      <c r="E4983" s="989">
        <v>13.19</v>
      </c>
      <c r="F4983" s="990"/>
      <c r="G4983" s="990"/>
      <c r="H4983" s="990"/>
      <c r="I4983" s="990"/>
      <c r="J4983" s="990"/>
      <c r="K4983" s="990"/>
      <c r="L4983" s="990"/>
      <c r="M4983" s="990"/>
      <c r="N4983" s="990"/>
      <c r="O4983" s="990"/>
      <c r="P4983" s="990"/>
      <c r="Q4983" s="990"/>
      <c r="R4983" s="990"/>
      <c r="S4983" s="990"/>
      <c r="T4983" s="990"/>
      <c r="U4983" s="990"/>
      <c r="V4983" s="990"/>
      <c r="W4983" s="990"/>
      <c r="X4983" s="990"/>
    </row>
    <row r="4984" spans="1:24" s="896" customFormat="1" ht="25.5">
      <c r="A4984" s="987">
        <f t="shared" si="78"/>
        <v>4910</v>
      </c>
      <c r="B4984" s="988">
        <v>9830</v>
      </c>
      <c r="C4984" s="899" t="s">
        <v>14310</v>
      </c>
      <c r="D4984" s="988" t="s">
        <v>2669</v>
      </c>
      <c r="E4984" s="989">
        <v>7.06</v>
      </c>
      <c r="F4984" s="990"/>
      <c r="G4984" s="990"/>
      <c r="H4984" s="990"/>
      <c r="I4984" s="990"/>
      <c r="J4984" s="990"/>
      <c r="K4984" s="990"/>
      <c r="L4984" s="990"/>
      <c r="M4984" s="990"/>
      <c r="N4984" s="990"/>
      <c r="O4984" s="990"/>
      <c r="P4984" s="990"/>
      <c r="Q4984" s="990"/>
      <c r="R4984" s="990"/>
      <c r="S4984" s="990"/>
      <c r="T4984" s="990"/>
      <c r="U4984" s="990"/>
      <c r="V4984" s="990"/>
      <c r="W4984" s="990"/>
      <c r="X4984" s="990"/>
    </row>
    <row r="4985" spans="1:24" s="896" customFormat="1" ht="25.5">
      <c r="A4985" s="987">
        <f t="shared" si="78"/>
        <v>4911</v>
      </c>
      <c r="B4985" s="988">
        <v>9834</v>
      </c>
      <c r="C4985" s="899" t="s">
        <v>14311</v>
      </c>
      <c r="D4985" s="988" t="s">
        <v>2669</v>
      </c>
      <c r="E4985" s="989">
        <v>36.72</v>
      </c>
      <c r="F4985" s="990"/>
      <c r="G4985" s="990"/>
      <c r="H4985" s="990"/>
      <c r="I4985" s="990"/>
      <c r="J4985" s="990"/>
      <c r="K4985" s="990"/>
      <c r="L4985" s="990"/>
      <c r="M4985" s="990"/>
      <c r="N4985" s="990"/>
      <c r="O4985" s="990"/>
      <c r="P4985" s="990"/>
      <c r="Q4985" s="990"/>
      <c r="R4985" s="990"/>
      <c r="S4985" s="990"/>
      <c r="T4985" s="990"/>
      <c r="U4985" s="990"/>
      <c r="V4985" s="990"/>
      <c r="W4985" s="990"/>
      <c r="X4985" s="990"/>
    </row>
    <row r="4986" spans="1:24" s="896" customFormat="1">
      <c r="A4986" s="987">
        <f t="shared" si="78"/>
        <v>4912</v>
      </c>
      <c r="B4986" s="988">
        <v>9863</v>
      </c>
      <c r="C4986" s="899" t="s">
        <v>14312</v>
      </c>
      <c r="D4986" s="988" t="s">
        <v>2669</v>
      </c>
      <c r="E4986" s="989">
        <v>93</v>
      </c>
      <c r="F4986" s="990"/>
      <c r="G4986" s="990"/>
      <c r="H4986" s="990"/>
      <c r="I4986" s="990"/>
      <c r="J4986" s="990"/>
      <c r="K4986" s="990"/>
      <c r="L4986" s="990"/>
      <c r="M4986" s="990"/>
      <c r="N4986" s="990"/>
      <c r="O4986" s="990"/>
      <c r="P4986" s="990"/>
      <c r="Q4986" s="990"/>
      <c r="R4986" s="990"/>
      <c r="S4986" s="990"/>
      <c r="T4986" s="990"/>
      <c r="U4986" s="990"/>
      <c r="V4986" s="990"/>
      <c r="W4986" s="990"/>
      <c r="X4986" s="990"/>
    </row>
    <row r="4987" spans="1:24" s="896" customFormat="1">
      <c r="A4987" s="987">
        <f t="shared" si="78"/>
        <v>4913</v>
      </c>
      <c r="B4987" s="988">
        <v>9860</v>
      </c>
      <c r="C4987" s="899" t="s">
        <v>14313</v>
      </c>
      <c r="D4987" s="988" t="s">
        <v>2669</v>
      </c>
      <c r="E4987" s="989">
        <v>59.7</v>
      </c>
      <c r="F4987" s="990"/>
      <c r="G4987" s="990"/>
      <c r="H4987" s="990"/>
      <c r="I4987" s="990"/>
      <c r="J4987" s="990"/>
      <c r="K4987" s="990"/>
      <c r="L4987" s="990"/>
      <c r="M4987" s="990"/>
      <c r="N4987" s="990"/>
      <c r="O4987" s="990"/>
      <c r="P4987" s="990"/>
      <c r="Q4987" s="990"/>
      <c r="R4987" s="990"/>
      <c r="S4987" s="990"/>
      <c r="T4987" s="990"/>
      <c r="U4987" s="990"/>
      <c r="V4987" s="990"/>
      <c r="W4987" s="990"/>
      <c r="X4987" s="990"/>
    </row>
    <row r="4988" spans="1:24" s="896" customFormat="1">
      <c r="A4988" s="987">
        <f t="shared" si="78"/>
        <v>4914</v>
      </c>
      <c r="B4988" s="988">
        <v>9862</v>
      </c>
      <c r="C4988" s="899" t="s">
        <v>14314</v>
      </c>
      <c r="D4988" s="988" t="s">
        <v>2669</v>
      </c>
      <c r="E4988" s="989">
        <v>42.13</v>
      </c>
      <c r="F4988" s="990"/>
      <c r="G4988" s="990"/>
      <c r="H4988" s="990"/>
      <c r="I4988" s="990"/>
      <c r="J4988" s="990"/>
      <c r="K4988" s="990"/>
      <c r="L4988" s="990"/>
      <c r="M4988" s="990"/>
      <c r="N4988" s="990"/>
      <c r="O4988" s="990"/>
      <c r="P4988" s="990"/>
      <c r="Q4988" s="990"/>
      <c r="R4988" s="990"/>
      <c r="S4988" s="990"/>
      <c r="T4988" s="990"/>
      <c r="U4988" s="990"/>
      <c r="V4988" s="990"/>
      <c r="W4988" s="990"/>
      <c r="X4988" s="990"/>
    </row>
    <row r="4989" spans="1:24" s="896" customFormat="1">
      <c r="A4989" s="987">
        <f t="shared" si="78"/>
        <v>4915</v>
      </c>
      <c r="B4989" s="988">
        <v>9861</v>
      </c>
      <c r="C4989" s="899" t="s">
        <v>14315</v>
      </c>
      <c r="D4989" s="988" t="s">
        <v>2669</v>
      </c>
      <c r="E4989" s="989">
        <v>33.86</v>
      </c>
      <c r="F4989" s="990"/>
      <c r="G4989" s="990"/>
      <c r="H4989" s="990"/>
      <c r="I4989" s="990"/>
      <c r="J4989" s="990"/>
      <c r="K4989" s="990"/>
      <c r="L4989" s="990"/>
      <c r="M4989" s="990"/>
      <c r="N4989" s="990"/>
      <c r="O4989" s="990"/>
      <c r="P4989" s="990"/>
      <c r="Q4989" s="990"/>
      <c r="R4989" s="990"/>
      <c r="S4989" s="990"/>
      <c r="T4989" s="990"/>
      <c r="U4989" s="990"/>
      <c r="V4989" s="990"/>
      <c r="W4989" s="990"/>
      <c r="X4989" s="990"/>
    </row>
    <row r="4990" spans="1:24" s="896" customFormat="1">
      <c r="A4990" s="987">
        <f t="shared" si="78"/>
        <v>4916</v>
      </c>
      <c r="B4990" s="988">
        <v>9856</v>
      </c>
      <c r="C4990" s="899" t="s">
        <v>14316</v>
      </c>
      <c r="D4990" s="988" t="s">
        <v>2669</v>
      </c>
      <c r="E4990" s="989">
        <v>9.1</v>
      </c>
      <c r="F4990" s="990"/>
      <c r="G4990" s="990"/>
      <c r="H4990" s="990"/>
      <c r="I4990" s="990"/>
      <c r="J4990" s="990"/>
      <c r="K4990" s="990"/>
      <c r="L4990" s="990"/>
      <c r="M4990" s="990"/>
      <c r="N4990" s="990"/>
      <c r="O4990" s="990"/>
      <c r="P4990" s="990"/>
      <c r="Q4990" s="990"/>
      <c r="R4990" s="990"/>
      <c r="S4990" s="990"/>
      <c r="T4990" s="990"/>
      <c r="U4990" s="990"/>
      <c r="V4990" s="990"/>
      <c r="W4990" s="990"/>
      <c r="X4990" s="990"/>
    </row>
    <row r="4991" spans="1:24" s="896" customFormat="1">
      <c r="A4991" s="987">
        <f t="shared" si="78"/>
        <v>4917</v>
      </c>
      <c r="B4991" s="988">
        <v>9866</v>
      </c>
      <c r="C4991" s="899" t="s">
        <v>14317</v>
      </c>
      <c r="D4991" s="988" t="s">
        <v>2669</v>
      </c>
      <c r="E4991" s="989">
        <v>25.01</v>
      </c>
      <c r="F4991" s="990"/>
      <c r="G4991" s="990"/>
      <c r="H4991" s="990"/>
      <c r="I4991" s="990"/>
      <c r="J4991" s="990"/>
      <c r="K4991" s="990"/>
      <c r="L4991" s="990"/>
      <c r="M4991" s="990"/>
      <c r="N4991" s="990"/>
      <c r="O4991" s="990"/>
      <c r="P4991" s="990"/>
      <c r="Q4991" s="990"/>
      <c r="R4991" s="990"/>
      <c r="S4991" s="990"/>
      <c r="T4991" s="990"/>
      <c r="U4991" s="990"/>
      <c r="V4991" s="990"/>
      <c r="W4991" s="990"/>
      <c r="X4991" s="990"/>
    </row>
    <row r="4992" spans="1:24" s="896" customFormat="1">
      <c r="A4992" s="987">
        <f t="shared" si="78"/>
        <v>4918</v>
      </c>
      <c r="B4992" s="988">
        <v>9857</v>
      </c>
      <c r="C4992" s="899" t="s">
        <v>14318</v>
      </c>
      <c r="D4992" s="988" t="s">
        <v>2669</v>
      </c>
      <c r="E4992" s="989">
        <v>120.27</v>
      </c>
      <c r="F4992" s="990"/>
      <c r="G4992" s="990"/>
      <c r="H4992" s="990"/>
      <c r="I4992" s="990"/>
      <c r="J4992" s="990"/>
      <c r="K4992" s="990"/>
      <c r="L4992" s="990"/>
      <c r="M4992" s="990"/>
      <c r="N4992" s="990"/>
      <c r="O4992" s="990"/>
      <c r="P4992" s="990"/>
      <c r="Q4992" s="990"/>
      <c r="R4992" s="990"/>
      <c r="S4992" s="990"/>
      <c r="T4992" s="990"/>
      <c r="U4992" s="990"/>
      <c r="V4992" s="990"/>
      <c r="W4992" s="990"/>
      <c r="X4992" s="990"/>
    </row>
    <row r="4993" spans="1:24" s="896" customFormat="1">
      <c r="A4993" s="987">
        <f t="shared" si="78"/>
        <v>4919</v>
      </c>
      <c r="B4993" s="988">
        <v>9864</v>
      </c>
      <c r="C4993" s="899" t="s">
        <v>14319</v>
      </c>
      <c r="D4993" s="988" t="s">
        <v>2669</v>
      </c>
      <c r="E4993" s="989">
        <v>145.19999999999999</v>
      </c>
      <c r="F4993" s="990"/>
      <c r="G4993" s="990"/>
      <c r="H4993" s="990"/>
      <c r="I4993" s="990"/>
      <c r="J4993" s="990"/>
      <c r="K4993" s="990"/>
      <c r="L4993" s="990"/>
      <c r="M4993" s="990"/>
      <c r="N4993" s="990"/>
      <c r="O4993" s="990"/>
      <c r="P4993" s="990"/>
      <c r="Q4993" s="990"/>
      <c r="R4993" s="990"/>
      <c r="S4993" s="990"/>
      <c r="T4993" s="990"/>
      <c r="U4993" s="990"/>
      <c r="V4993" s="990"/>
      <c r="W4993" s="990"/>
      <c r="X4993" s="990"/>
    </row>
    <row r="4994" spans="1:24" s="896" customFormat="1">
      <c r="A4994" s="987">
        <f t="shared" si="78"/>
        <v>4920</v>
      </c>
      <c r="B4994" s="988">
        <v>9865</v>
      </c>
      <c r="C4994" s="899" t="s">
        <v>14320</v>
      </c>
      <c r="D4994" s="988" t="s">
        <v>2669</v>
      </c>
      <c r="E4994" s="989">
        <v>208.82</v>
      </c>
      <c r="F4994" s="990"/>
      <c r="G4994" s="990"/>
      <c r="H4994" s="990"/>
      <c r="I4994" s="990"/>
      <c r="J4994" s="990"/>
      <c r="K4994" s="990"/>
      <c r="L4994" s="990"/>
      <c r="M4994" s="990"/>
      <c r="N4994" s="990"/>
      <c r="O4994" s="990"/>
      <c r="P4994" s="990"/>
      <c r="Q4994" s="990"/>
      <c r="R4994" s="990"/>
      <c r="S4994" s="990"/>
      <c r="T4994" s="990"/>
      <c r="U4994" s="990"/>
      <c r="V4994" s="990"/>
      <c r="W4994" s="990"/>
      <c r="X4994" s="990"/>
    </row>
    <row r="4995" spans="1:24" s="896" customFormat="1">
      <c r="A4995" s="987">
        <f t="shared" si="78"/>
        <v>4921</v>
      </c>
      <c r="B4995" s="988">
        <v>9858</v>
      </c>
      <c r="C4995" s="899" t="s">
        <v>14321</v>
      </c>
      <c r="D4995" s="988" t="s">
        <v>2669</v>
      </c>
      <c r="E4995" s="989">
        <v>218.92</v>
      </c>
      <c r="F4995" s="990"/>
      <c r="G4995" s="990"/>
      <c r="H4995" s="990"/>
      <c r="I4995" s="990"/>
      <c r="J4995" s="990"/>
      <c r="K4995" s="990"/>
      <c r="L4995" s="990"/>
      <c r="M4995" s="990"/>
      <c r="N4995" s="990"/>
      <c r="O4995" s="990"/>
      <c r="P4995" s="990"/>
      <c r="Q4995" s="990"/>
      <c r="R4995" s="990"/>
      <c r="S4995" s="990"/>
      <c r="T4995" s="990"/>
      <c r="U4995" s="990"/>
      <c r="V4995" s="990"/>
      <c r="W4995" s="990"/>
      <c r="X4995" s="990"/>
    </row>
    <row r="4996" spans="1:24" s="896" customFormat="1">
      <c r="A4996" s="987">
        <f t="shared" si="78"/>
        <v>4922</v>
      </c>
      <c r="B4996" s="988">
        <v>9841</v>
      </c>
      <c r="C4996" s="899" t="s">
        <v>14322</v>
      </c>
      <c r="D4996" s="988" t="s">
        <v>2669</v>
      </c>
      <c r="E4996" s="989">
        <v>48.89</v>
      </c>
      <c r="F4996" s="990"/>
      <c r="G4996" s="990"/>
      <c r="H4996" s="990"/>
      <c r="I4996" s="990"/>
      <c r="J4996" s="990"/>
      <c r="K4996" s="990"/>
      <c r="L4996" s="990"/>
      <c r="M4996" s="990"/>
      <c r="N4996" s="990"/>
      <c r="O4996" s="990"/>
      <c r="P4996" s="990"/>
      <c r="Q4996" s="990"/>
      <c r="R4996" s="990"/>
      <c r="S4996" s="990"/>
      <c r="T4996" s="990"/>
      <c r="U4996" s="990"/>
      <c r="V4996" s="990"/>
      <c r="W4996" s="990"/>
      <c r="X4996" s="990"/>
    </row>
    <row r="4997" spans="1:24" s="896" customFormat="1">
      <c r="A4997" s="987">
        <f t="shared" si="78"/>
        <v>4923</v>
      </c>
      <c r="B4997" s="988">
        <v>9840</v>
      </c>
      <c r="C4997" s="899" t="s">
        <v>14323</v>
      </c>
      <c r="D4997" s="988" t="s">
        <v>2669</v>
      </c>
      <c r="E4997" s="989">
        <v>99.37</v>
      </c>
      <c r="F4997" s="990"/>
      <c r="G4997" s="990"/>
      <c r="H4997" s="990"/>
      <c r="I4997" s="990"/>
      <c r="J4997" s="990"/>
      <c r="K4997" s="990"/>
      <c r="L4997" s="990"/>
      <c r="M4997" s="990"/>
      <c r="N4997" s="990"/>
      <c r="O4997" s="990"/>
      <c r="P4997" s="990"/>
      <c r="Q4997" s="990"/>
      <c r="R4997" s="990"/>
      <c r="S4997" s="990"/>
      <c r="T4997" s="990"/>
      <c r="U4997" s="990"/>
      <c r="V4997" s="990"/>
      <c r="W4997" s="990"/>
      <c r="X4997" s="990"/>
    </row>
    <row r="4998" spans="1:24" s="896" customFormat="1">
      <c r="A4998" s="987">
        <f t="shared" si="78"/>
        <v>4924</v>
      </c>
      <c r="B4998" s="988">
        <v>20067</v>
      </c>
      <c r="C4998" s="899" t="s">
        <v>14324</v>
      </c>
      <c r="D4998" s="988" t="s">
        <v>2669</v>
      </c>
      <c r="E4998" s="989">
        <v>17.07</v>
      </c>
      <c r="F4998" s="990"/>
      <c r="G4998" s="990"/>
      <c r="H4998" s="990"/>
      <c r="I4998" s="990"/>
      <c r="J4998" s="990"/>
      <c r="K4998" s="990"/>
      <c r="L4998" s="990"/>
      <c r="M4998" s="990"/>
      <c r="N4998" s="990"/>
      <c r="O4998" s="990"/>
      <c r="P4998" s="990"/>
      <c r="Q4998" s="990"/>
      <c r="R4998" s="990"/>
      <c r="S4998" s="990"/>
      <c r="T4998" s="990"/>
      <c r="U4998" s="990"/>
      <c r="V4998" s="990"/>
      <c r="W4998" s="990"/>
      <c r="X4998" s="990"/>
    </row>
    <row r="4999" spans="1:24" s="896" customFormat="1">
      <c r="A4999" s="987">
        <f t="shared" si="78"/>
        <v>4925</v>
      </c>
      <c r="B4999" s="988">
        <v>20068</v>
      </c>
      <c r="C4999" s="899" t="s">
        <v>14325</v>
      </c>
      <c r="D4999" s="988" t="s">
        <v>2669</v>
      </c>
      <c r="E4999" s="989">
        <v>21.29</v>
      </c>
      <c r="F4999" s="990"/>
      <c r="G4999" s="990"/>
      <c r="H4999" s="990"/>
      <c r="I4999" s="990"/>
      <c r="J4999" s="990"/>
      <c r="K4999" s="990"/>
      <c r="L4999" s="990"/>
      <c r="M4999" s="990"/>
      <c r="N4999" s="990"/>
      <c r="O4999" s="990"/>
      <c r="P4999" s="990"/>
      <c r="Q4999" s="990"/>
      <c r="R4999" s="990"/>
      <c r="S4999" s="990"/>
      <c r="T4999" s="990"/>
      <c r="U4999" s="990"/>
      <c r="V4999" s="990"/>
      <c r="W4999" s="990"/>
      <c r="X4999" s="990"/>
    </row>
    <row r="5000" spans="1:24" s="896" customFormat="1">
      <c r="A5000" s="987">
        <f t="shared" si="78"/>
        <v>4926</v>
      </c>
      <c r="B5000" s="988">
        <v>9839</v>
      </c>
      <c r="C5000" s="899" t="s">
        <v>14326</v>
      </c>
      <c r="D5000" s="988" t="s">
        <v>2669</v>
      </c>
      <c r="E5000" s="989">
        <v>27.91</v>
      </c>
      <c r="F5000" s="990"/>
      <c r="G5000" s="990"/>
      <c r="H5000" s="990"/>
      <c r="I5000" s="990"/>
      <c r="J5000" s="990"/>
      <c r="K5000" s="990"/>
      <c r="L5000" s="990"/>
      <c r="M5000" s="990"/>
      <c r="N5000" s="990"/>
      <c r="O5000" s="990"/>
      <c r="P5000" s="990"/>
      <c r="Q5000" s="990"/>
      <c r="R5000" s="990"/>
      <c r="S5000" s="990"/>
      <c r="T5000" s="990"/>
      <c r="U5000" s="990"/>
      <c r="V5000" s="990"/>
      <c r="W5000" s="990"/>
      <c r="X5000" s="990"/>
    </row>
    <row r="5001" spans="1:24" s="896" customFormat="1">
      <c r="A5001" s="987">
        <f t="shared" si="78"/>
        <v>4927</v>
      </c>
      <c r="B5001" s="988">
        <v>9870</v>
      </c>
      <c r="C5001" s="899" t="s">
        <v>14327</v>
      </c>
      <c r="D5001" s="988" t="s">
        <v>2669</v>
      </c>
      <c r="E5001" s="989">
        <v>101.41</v>
      </c>
      <c r="F5001" s="990"/>
      <c r="G5001" s="990"/>
      <c r="H5001" s="990"/>
      <c r="I5001" s="990"/>
      <c r="J5001" s="990"/>
      <c r="K5001" s="990"/>
      <c r="L5001" s="990"/>
      <c r="M5001" s="990"/>
      <c r="N5001" s="990"/>
      <c r="O5001" s="990"/>
      <c r="P5001" s="990"/>
      <c r="Q5001" s="990"/>
      <c r="R5001" s="990"/>
      <c r="S5001" s="990"/>
      <c r="T5001" s="990"/>
      <c r="U5001" s="990"/>
      <c r="V5001" s="990"/>
      <c r="W5001" s="990"/>
      <c r="X5001" s="990"/>
    </row>
    <row r="5002" spans="1:24" s="896" customFormat="1">
      <c r="A5002" s="987">
        <f t="shared" si="78"/>
        <v>4928</v>
      </c>
      <c r="B5002" s="988">
        <v>9867</v>
      </c>
      <c r="C5002" s="899" t="s">
        <v>14328</v>
      </c>
      <c r="D5002" s="988" t="s">
        <v>2669</v>
      </c>
      <c r="E5002" s="989">
        <v>3.73</v>
      </c>
      <c r="F5002" s="990"/>
      <c r="G5002" s="990"/>
      <c r="H5002" s="990"/>
      <c r="I5002" s="990"/>
      <c r="J5002" s="990"/>
      <c r="K5002" s="990"/>
      <c r="L5002" s="990"/>
      <c r="M5002" s="990"/>
      <c r="N5002" s="990"/>
      <c r="O5002" s="990"/>
      <c r="P5002" s="990"/>
      <c r="Q5002" s="990"/>
      <c r="R5002" s="990"/>
      <c r="S5002" s="990"/>
      <c r="T5002" s="990"/>
      <c r="U5002" s="990"/>
      <c r="V5002" s="990"/>
      <c r="W5002" s="990"/>
      <c r="X5002" s="990"/>
    </row>
    <row r="5003" spans="1:24" s="896" customFormat="1">
      <c r="A5003" s="987">
        <f t="shared" si="78"/>
        <v>4929</v>
      </c>
      <c r="B5003" s="988">
        <v>9868</v>
      </c>
      <c r="C5003" s="899" t="s">
        <v>14329</v>
      </c>
      <c r="D5003" s="988" t="s">
        <v>2669</v>
      </c>
      <c r="E5003" s="989">
        <v>4.78</v>
      </c>
      <c r="F5003" s="990"/>
      <c r="G5003" s="990"/>
      <c r="H5003" s="990"/>
      <c r="I5003" s="990"/>
      <c r="J5003" s="990"/>
      <c r="K5003" s="990"/>
      <c r="L5003" s="990"/>
      <c r="M5003" s="990"/>
      <c r="N5003" s="990"/>
      <c r="O5003" s="990"/>
      <c r="P5003" s="990"/>
      <c r="Q5003" s="990"/>
      <c r="R5003" s="990"/>
      <c r="S5003" s="990"/>
      <c r="T5003" s="990"/>
      <c r="U5003" s="990"/>
      <c r="V5003" s="990"/>
      <c r="W5003" s="990"/>
      <c r="X5003" s="990"/>
    </row>
    <row r="5004" spans="1:24" s="896" customFormat="1">
      <c r="A5004" s="987">
        <f t="shared" ref="A5004:A5067" si="79">A5003+1</f>
        <v>4930</v>
      </c>
      <c r="B5004" s="988">
        <v>9869</v>
      </c>
      <c r="C5004" s="899" t="s">
        <v>14330</v>
      </c>
      <c r="D5004" s="988" t="s">
        <v>2669</v>
      </c>
      <c r="E5004" s="989">
        <v>10.73</v>
      </c>
      <c r="F5004" s="990"/>
      <c r="G5004" s="990"/>
      <c r="H5004" s="990"/>
      <c r="I5004" s="990"/>
      <c r="J5004" s="990"/>
      <c r="K5004" s="990"/>
      <c r="L5004" s="990"/>
      <c r="M5004" s="990"/>
      <c r="N5004" s="990"/>
      <c r="O5004" s="990"/>
      <c r="P5004" s="990"/>
      <c r="Q5004" s="990"/>
      <c r="R5004" s="990"/>
      <c r="S5004" s="990"/>
      <c r="T5004" s="990"/>
      <c r="U5004" s="990"/>
      <c r="V5004" s="990"/>
      <c r="W5004" s="990"/>
      <c r="X5004" s="990"/>
    </row>
    <row r="5005" spans="1:24" s="896" customFormat="1">
      <c r="A5005" s="987">
        <f t="shared" si="79"/>
        <v>4931</v>
      </c>
      <c r="B5005" s="988">
        <v>9874</v>
      </c>
      <c r="C5005" s="899" t="s">
        <v>14331</v>
      </c>
      <c r="D5005" s="988" t="s">
        <v>2669</v>
      </c>
      <c r="E5005" s="989">
        <v>15.63</v>
      </c>
      <c r="F5005" s="990"/>
      <c r="G5005" s="990"/>
      <c r="H5005" s="990"/>
      <c r="I5005" s="990"/>
      <c r="J5005" s="990"/>
      <c r="K5005" s="990"/>
      <c r="L5005" s="990"/>
      <c r="M5005" s="990"/>
      <c r="N5005" s="990"/>
      <c r="O5005" s="990"/>
      <c r="P5005" s="990"/>
      <c r="Q5005" s="990"/>
      <c r="R5005" s="990"/>
      <c r="S5005" s="990"/>
      <c r="T5005" s="990"/>
      <c r="U5005" s="990"/>
      <c r="V5005" s="990"/>
      <c r="W5005" s="990"/>
      <c r="X5005" s="990"/>
    </row>
    <row r="5006" spans="1:24" s="896" customFormat="1">
      <c r="A5006" s="987">
        <f t="shared" si="79"/>
        <v>4932</v>
      </c>
      <c r="B5006" s="988">
        <v>9875</v>
      </c>
      <c r="C5006" s="899" t="s">
        <v>14332</v>
      </c>
      <c r="D5006" s="988" t="s">
        <v>2669</v>
      </c>
      <c r="E5006" s="989">
        <v>17.899999999999999</v>
      </c>
      <c r="F5006" s="990"/>
      <c r="G5006" s="990"/>
      <c r="H5006" s="990"/>
      <c r="I5006" s="990"/>
      <c r="J5006" s="990"/>
      <c r="K5006" s="990"/>
      <c r="L5006" s="990"/>
      <c r="M5006" s="990"/>
      <c r="N5006" s="990"/>
      <c r="O5006" s="990"/>
      <c r="P5006" s="990"/>
      <c r="Q5006" s="990"/>
      <c r="R5006" s="990"/>
      <c r="S5006" s="990"/>
      <c r="T5006" s="990"/>
      <c r="U5006" s="990"/>
      <c r="V5006" s="990"/>
      <c r="W5006" s="990"/>
      <c r="X5006" s="990"/>
    </row>
    <row r="5007" spans="1:24" s="896" customFormat="1">
      <c r="A5007" s="987">
        <f t="shared" si="79"/>
        <v>4933</v>
      </c>
      <c r="B5007" s="988">
        <v>9873</v>
      </c>
      <c r="C5007" s="899" t="s">
        <v>14333</v>
      </c>
      <c r="D5007" s="988" t="s">
        <v>2669</v>
      </c>
      <c r="E5007" s="989">
        <v>30.2</v>
      </c>
      <c r="F5007" s="990"/>
      <c r="G5007" s="990"/>
      <c r="H5007" s="990"/>
      <c r="I5007" s="990"/>
      <c r="J5007" s="990"/>
      <c r="K5007" s="990"/>
      <c r="L5007" s="990"/>
      <c r="M5007" s="990"/>
      <c r="N5007" s="990"/>
      <c r="O5007" s="990"/>
      <c r="P5007" s="990"/>
      <c r="Q5007" s="990"/>
      <c r="R5007" s="990"/>
      <c r="S5007" s="990"/>
      <c r="T5007" s="990"/>
      <c r="U5007" s="990"/>
      <c r="V5007" s="990"/>
      <c r="W5007" s="990"/>
      <c r="X5007" s="990"/>
    </row>
    <row r="5008" spans="1:24" s="896" customFormat="1">
      <c r="A5008" s="987">
        <f t="shared" si="79"/>
        <v>4934</v>
      </c>
      <c r="B5008" s="988">
        <v>9871</v>
      </c>
      <c r="C5008" s="899" t="s">
        <v>14334</v>
      </c>
      <c r="D5008" s="988" t="s">
        <v>2669</v>
      </c>
      <c r="E5008" s="989">
        <v>50.59</v>
      </c>
      <c r="F5008" s="990"/>
      <c r="G5008" s="990"/>
      <c r="H5008" s="990"/>
      <c r="I5008" s="990"/>
      <c r="J5008" s="990"/>
      <c r="K5008" s="990"/>
      <c r="L5008" s="990"/>
      <c r="M5008" s="990"/>
      <c r="N5008" s="990"/>
      <c r="O5008" s="990"/>
      <c r="P5008" s="990"/>
      <c r="Q5008" s="990"/>
      <c r="R5008" s="990"/>
      <c r="S5008" s="990"/>
      <c r="T5008" s="990"/>
      <c r="U5008" s="990"/>
      <c r="V5008" s="990"/>
      <c r="W5008" s="990"/>
      <c r="X5008" s="990"/>
    </row>
    <row r="5009" spans="1:24" s="896" customFormat="1">
      <c r="A5009" s="987">
        <f t="shared" si="79"/>
        <v>4935</v>
      </c>
      <c r="B5009" s="988">
        <v>9872</v>
      </c>
      <c r="C5009" s="899" t="s">
        <v>14335</v>
      </c>
      <c r="D5009" s="988" t="s">
        <v>2669</v>
      </c>
      <c r="E5009" s="989">
        <v>63.21</v>
      </c>
      <c r="F5009" s="990"/>
      <c r="G5009" s="990"/>
      <c r="H5009" s="990"/>
      <c r="I5009" s="990"/>
      <c r="J5009" s="990"/>
      <c r="K5009" s="990"/>
      <c r="L5009" s="990"/>
      <c r="M5009" s="990"/>
      <c r="N5009" s="990"/>
      <c r="O5009" s="990"/>
      <c r="P5009" s="990"/>
      <c r="Q5009" s="990"/>
      <c r="R5009" s="990"/>
      <c r="S5009" s="990"/>
      <c r="T5009" s="990"/>
      <c r="U5009" s="990"/>
      <c r="V5009" s="990"/>
      <c r="W5009" s="990"/>
      <c r="X5009" s="990"/>
    </row>
    <row r="5010" spans="1:24" s="896" customFormat="1">
      <c r="A5010" s="987">
        <f t="shared" si="79"/>
        <v>4936</v>
      </c>
      <c r="B5010" s="988">
        <v>7667</v>
      </c>
      <c r="C5010" s="899" t="s">
        <v>14336</v>
      </c>
      <c r="D5010" s="988" t="s">
        <v>2669</v>
      </c>
      <c r="E5010" s="989">
        <v>3160.72</v>
      </c>
      <c r="F5010" s="990"/>
      <c r="G5010" s="990"/>
      <c r="H5010" s="990"/>
      <c r="I5010" s="990"/>
      <c r="J5010" s="990"/>
      <c r="K5010" s="990"/>
      <c r="L5010" s="990"/>
      <c r="M5010" s="990"/>
      <c r="N5010" s="990"/>
      <c r="O5010" s="990"/>
      <c r="P5010" s="990"/>
      <c r="Q5010" s="990"/>
      <c r="R5010" s="990"/>
      <c r="S5010" s="990"/>
      <c r="T5010" s="990"/>
      <c r="U5010" s="990"/>
      <c r="V5010" s="990"/>
      <c r="W5010" s="990"/>
      <c r="X5010" s="990"/>
    </row>
    <row r="5011" spans="1:24" s="896" customFormat="1">
      <c r="A5011" s="987">
        <f t="shared" si="79"/>
        <v>4937</v>
      </c>
      <c r="B5011" s="988">
        <v>7660</v>
      </c>
      <c r="C5011" s="899" t="s">
        <v>14337</v>
      </c>
      <c r="D5011" s="988" t="s">
        <v>2669</v>
      </c>
      <c r="E5011" s="989">
        <v>4029.17</v>
      </c>
      <c r="F5011" s="990"/>
      <c r="G5011" s="990"/>
      <c r="H5011" s="990"/>
      <c r="I5011" s="990"/>
      <c r="J5011" s="990"/>
      <c r="K5011" s="990"/>
      <c r="L5011" s="990"/>
      <c r="M5011" s="990"/>
      <c r="N5011" s="990"/>
      <c r="O5011" s="990"/>
      <c r="P5011" s="990"/>
      <c r="Q5011" s="990"/>
      <c r="R5011" s="990"/>
      <c r="S5011" s="990"/>
      <c r="T5011" s="990"/>
      <c r="U5011" s="990"/>
      <c r="V5011" s="990"/>
      <c r="W5011" s="990"/>
      <c r="X5011" s="990"/>
    </row>
    <row r="5012" spans="1:24" s="896" customFormat="1">
      <c r="A5012" s="987">
        <f t="shared" si="79"/>
        <v>4938</v>
      </c>
      <c r="B5012" s="988">
        <v>7676</v>
      </c>
      <c r="C5012" s="899" t="s">
        <v>14338</v>
      </c>
      <c r="D5012" s="988" t="s">
        <v>2669</v>
      </c>
      <c r="E5012" s="989">
        <v>4075.21</v>
      </c>
      <c r="F5012" s="990"/>
      <c r="G5012" s="990"/>
      <c r="H5012" s="990"/>
      <c r="I5012" s="990"/>
      <c r="J5012" s="990"/>
      <c r="K5012" s="990"/>
      <c r="L5012" s="990"/>
      <c r="M5012" s="990"/>
      <c r="N5012" s="990"/>
      <c r="O5012" s="990"/>
      <c r="P5012" s="990"/>
      <c r="Q5012" s="990"/>
      <c r="R5012" s="990"/>
      <c r="S5012" s="990"/>
      <c r="T5012" s="990"/>
      <c r="U5012" s="990"/>
      <c r="V5012" s="990"/>
      <c r="W5012" s="990"/>
      <c r="X5012" s="990"/>
    </row>
    <row r="5013" spans="1:24" s="896" customFormat="1">
      <c r="A5013" s="987">
        <f t="shared" si="79"/>
        <v>4939</v>
      </c>
      <c r="B5013" s="988">
        <v>12426</v>
      </c>
      <c r="C5013" s="899" t="s">
        <v>14339</v>
      </c>
      <c r="D5013" s="988" t="s">
        <v>2666</v>
      </c>
      <c r="E5013" s="989">
        <v>47.61</v>
      </c>
      <c r="F5013" s="990"/>
      <c r="G5013" s="990"/>
      <c r="H5013" s="990"/>
      <c r="I5013" s="990"/>
      <c r="J5013" s="990"/>
      <c r="K5013" s="990"/>
      <c r="L5013" s="990"/>
      <c r="M5013" s="990"/>
      <c r="N5013" s="990"/>
      <c r="O5013" s="990"/>
      <c r="P5013" s="990"/>
      <c r="Q5013" s="990"/>
      <c r="R5013" s="990"/>
      <c r="S5013" s="990"/>
      <c r="T5013" s="990"/>
      <c r="U5013" s="990"/>
      <c r="V5013" s="990"/>
      <c r="W5013" s="990"/>
      <c r="X5013" s="990"/>
    </row>
    <row r="5014" spans="1:24" s="896" customFormat="1">
      <c r="A5014" s="987">
        <f t="shared" si="79"/>
        <v>4940</v>
      </c>
      <c r="B5014" s="988">
        <v>12425</v>
      </c>
      <c r="C5014" s="899" t="s">
        <v>14340</v>
      </c>
      <c r="D5014" s="988" t="s">
        <v>2666</v>
      </c>
      <c r="E5014" s="989">
        <v>65.41</v>
      </c>
      <c r="F5014" s="990"/>
      <c r="G5014" s="990"/>
      <c r="H5014" s="990"/>
      <c r="I5014" s="990"/>
      <c r="J5014" s="990"/>
      <c r="K5014" s="990"/>
      <c r="L5014" s="990"/>
      <c r="M5014" s="990"/>
      <c r="N5014" s="990"/>
      <c r="O5014" s="990"/>
      <c r="P5014" s="990"/>
      <c r="Q5014" s="990"/>
      <c r="R5014" s="990"/>
      <c r="S5014" s="990"/>
      <c r="T5014" s="990"/>
      <c r="U5014" s="990"/>
      <c r="V5014" s="990"/>
      <c r="W5014" s="990"/>
      <c r="X5014" s="990"/>
    </row>
    <row r="5015" spans="1:24" s="896" customFormat="1">
      <c r="A5015" s="987">
        <f t="shared" si="79"/>
        <v>4941</v>
      </c>
      <c r="B5015" s="988">
        <v>12427</v>
      </c>
      <c r="C5015" s="899" t="s">
        <v>14341</v>
      </c>
      <c r="D5015" s="988" t="s">
        <v>2666</v>
      </c>
      <c r="E5015" s="989">
        <v>271.51</v>
      </c>
      <c r="F5015" s="990"/>
      <c r="G5015" s="990"/>
      <c r="H5015" s="990"/>
      <c r="I5015" s="990"/>
      <c r="J5015" s="990"/>
      <c r="K5015" s="990"/>
      <c r="L5015" s="990"/>
      <c r="M5015" s="990"/>
      <c r="N5015" s="990"/>
      <c r="O5015" s="990"/>
      <c r="P5015" s="990"/>
      <c r="Q5015" s="990"/>
      <c r="R5015" s="990"/>
      <c r="S5015" s="990"/>
      <c r="T5015" s="990"/>
      <c r="U5015" s="990"/>
      <c r="V5015" s="990"/>
      <c r="W5015" s="990"/>
      <c r="X5015" s="990"/>
    </row>
    <row r="5016" spans="1:24" s="896" customFormat="1">
      <c r="A5016" s="987">
        <f t="shared" si="79"/>
        <v>4942</v>
      </c>
      <c r="B5016" s="988">
        <v>12428</v>
      </c>
      <c r="C5016" s="899" t="s">
        <v>14342</v>
      </c>
      <c r="D5016" s="988" t="s">
        <v>2666</v>
      </c>
      <c r="E5016" s="989">
        <v>174.27</v>
      </c>
      <c r="F5016" s="990"/>
      <c r="G5016" s="990"/>
      <c r="H5016" s="990"/>
      <c r="I5016" s="990"/>
      <c r="J5016" s="990"/>
      <c r="K5016" s="990"/>
      <c r="L5016" s="990"/>
      <c r="M5016" s="990"/>
      <c r="N5016" s="990"/>
      <c r="O5016" s="990"/>
      <c r="P5016" s="990"/>
      <c r="Q5016" s="990"/>
      <c r="R5016" s="990"/>
      <c r="S5016" s="990"/>
      <c r="T5016" s="990"/>
      <c r="U5016" s="990"/>
      <c r="V5016" s="990"/>
      <c r="W5016" s="990"/>
      <c r="X5016" s="990"/>
    </row>
    <row r="5017" spans="1:24" s="896" customFormat="1">
      <c r="A5017" s="987">
        <f t="shared" si="79"/>
        <v>4943</v>
      </c>
      <c r="B5017" s="988">
        <v>12430</v>
      </c>
      <c r="C5017" s="899" t="s">
        <v>14343</v>
      </c>
      <c r="D5017" s="988" t="s">
        <v>2666</v>
      </c>
      <c r="E5017" s="989">
        <v>58.37</v>
      </c>
      <c r="F5017" s="990"/>
      <c r="G5017" s="990"/>
      <c r="H5017" s="990"/>
      <c r="I5017" s="990"/>
      <c r="J5017" s="990"/>
      <c r="K5017" s="990"/>
      <c r="L5017" s="990"/>
      <c r="M5017" s="990"/>
      <c r="N5017" s="990"/>
      <c r="O5017" s="990"/>
      <c r="P5017" s="990"/>
      <c r="Q5017" s="990"/>
      <c r="R5017" s="990"/>
      <c r="S5017" s="990"/>
      <c r="T5017" s="990"/>
      <c r="U5017" s="990"/>
      <c r="V5017" s="990"/>
      <c r="W5017" s="990"/>
      <c r="X5017" s="990"/>
    </row>
    <row r="5018" spans="1:24" s="896" customFormat="1">
      <c r="A5018" s="987">
        <f t="shared" si="79"/>
        <v>4944</v>
      </c>
      <c r="B5018" s="988">
        <v>12429</v>
      </c>
      <c r="C5018" s="899" t="s">
        <v>14344</v>
      </c>
      <c r="D5018" s="988" t="s">
        <v>2666</v>
      </c>
      <c r="E5018" s="989">
        <v>439.04</v>
      </c>
      <c r="F5018" s="990"/>
      <c r="G5018" s="990"/>
      <c r="H5018" s="990"/>
      <c r="I5018" s="990"/>
      <c r="J5018" s="990"/>
      <c r="K5018" s="990"/>
      <c r="L5018" s="990"/>
      <c r="M5018" s="990"/>
      <c r="N5018" s="990"/>
      <c r="O5018" s="990"/>
      <c r="P5018" s="990"/>
      <c r="Q5018" s="990"/>
      <c r="R5018" s="990"/>
      <c r="S5018" s="990"/>
      <c r="T5018" s="990"/>
      <c r="U5018" s="990"/>
      <c r="V5018" s="990"/>
      <c r="W5018" s="990"/>
      <c r="X5018" s="990"/>
    </row>
    <row r="5019" spans="1:24" s="896" customFormat="1">
      <c r="A5019" s="987">
        <f t="shared" si="79"/>
        <v>4945</v>
      </c>
      <c r="B5019" s="988">
        <v>12431</v>
      </c>
      <c r="C5019" s="899" t="s">
        <v>14345</v>
      </c>
      <c r="D5019" s="988" t="s">
        <v>2666</v>
      </c>
      <c r="E5019" s="989">
        <v>747.17</v>
      </c>
      <c r="F5019" s="990"/>
      <c r="G5019" s="990"/>
      <c r="H5019" s="990"/>
      <c r="I5019" s="990"/>
      <c r="J5019" s="990"/>
      <c r="K5019" s="990"/>
      <c r="L5019" s="990"/>
      <c r="M5019" s="990"/>
      <c r="N5019" s="990"/>
      <c r="O5019" s="990"/>
      <c r="P5019" s="990"/>
      <c r="Q5019" s="990"/>
      <c r="R5019" s="990"/>
      <c r="S5019" s="990"/>
      <c r="T5019" s="990"/>
      <c r="U5019" s="990"/>
      <c r="V5019" s="990"/>
      <c r="W5019" s="990"/>
      <c r="X5019" s="990"/>
    </row>
    <row r="5020" spans="1:24" s="896" customFormat="1">
      <c r="A5020" s="987">
        <f t="shared" si="79"/>
        <v>4946</v>
      </c>
      <c r="B5020" s="988">
        <v>12432</v>
      </c>
      <c r="C5020" s="899" t="s">
        <v>14346</v>
      </c>
      <c r="D5020" s="988" t="s">
        <v>2666</v>
      </c>
      <c r="E5020" s="989">
        <v>153.66999999999999</v>
      </c>
      <c r="F5020" s="990"/>
      <c r="G5020" s="990"/>
      <c r="H5020" s="990"/>
      <c r="I5020" s="990"/>
      <c r="J5020" s="990"/>
      <c r="K5020" s="990"/>
      <c r="L5020" s="990"/>
      <c r="M5020" s="990"/>
      <c r="N5020" s="990"/>
      <c r="O5020" s="990"/>
      <c r="P5020" s="990"/>
      <c r="Q5020" s="990"/>
      <c r="R5020" s="990"/>
      <c r="S5020" s="990"/>
      <c r="T5020" s="990"/>
      <c r="U5020" s="990"/>
      <c r="V5020" s="990"/>
      <c r="W5020" s="990"/>
      <c r="X5020" s="990"/>
    </row>
    <row r="5021" spans="1:24" s="896" customFormat="1">
      <c r="A5021" s="987">
        <f t="shared" si="79"/>
        <v>4947</v>
      </c>
      <c r="B5021" s="988">
        <v>12434</v>
      </c>
      <c r="C5021" s="899" t="s">
        <v>14347</v>
      </c>
      <c r="D5021" s="988" t="s">
        <v>2666</v>
      </c>
      <c r="E5021" s="989">
        <v>50.07</v>
      </c>
      <c r="F5021" s="990"/>
      <c r="G5021" s="990"/>
      <c r="H5021" s="990"/>
      <c r="I5021" s="990"/>
      <c r="J5021" s="990"/>
      <c r="K5021" s="990"/>
      <c r="L5021" s="990"/>
      <c r="M5021" s="990"/>
      <c r="N5021" s="990"/>
      <c r="O5021" s="990"/>
      <c r="P5021" s="990"/>
      <c r="Q5021" s="990"/>
      <c r="R5021" s="990"/>
      <c r="S5021" s="990"/>
      <c r="T5021" s="990"/>
      <c r="U5021" s="990"/>
      <c r="V5021" s="990"/>
      <c r="W5021" s="990"/>
      <c r="X5021" s="990"/>
    </row>
    <row r="5022" spans="1:24" s="896" customFormat="1">
      <c r="A5022" s="987">
        <f t="shared" si="79"/>
        <v>4948</v>
      </c>
      <c r="B5022" s="988">
        <v>12433</v>
      </c>
      <c r="C5022" s="899" t="s">
        <v>14348</v>
      </c>
      <c r="D5022" s="988" t="s">
        <v>2666</v>
      </c>
      <c r="E5022" s="989">
        <v>97.83</v>
      </c>
      <c r="F5022" s="990"/>
      <c r="G5022" s="990"/>
      <c r="H5022" s="990"/>
      <c r="I5022" s="990"/>
      <c r="J5022" s="990"/>
      <c r="K5022" s="990"/>
      <c r="L5022" s="990"/>
      <c r="M5022" s="990"/>
      <c r="N5022" s="990"/>
      <c r="O5022" s="990"/>
      <c r="P5022" s="990"/>
      <c r="Q5022" s="990"/>
      <c r="R5022" s="990"/>
      <c r="S5022" s="990"/>
      <c r="T5022" s="990"/>
      <c r="U5022" s="990"/>
      <c r="V5022" s="990"/>
      <c r="W5022" s="990"/>
      <c r="X5022" s="990"/>
    </row>
    <row r="5023" spans="1:24" s="896" customFormat="1">
      <c r="A5023" s="987">
        <f t="shared" si="79"/>
        <v>4949</v>
      </c>
      <c r="B5023" s="988">
        <v>12435</v>
      </c>
      <c r="C5023" s="899" t="s">
        <v>14349</v>
      </c>
      <c r="D5023" s="988" t="s">
        <v>2666</v>
      </c>
      <c r="E5023" s="989">
        <v>302.75</v>
      </c>
      <c r="F5023" s="990"/>
      <c r="G5023" s="990"/>
      <c r="H5023" s="990"/>
      <c r="I5023" s="990"/>
      <c r="J5023" s="990"/>
      <c r="K5023" s="990"/>
      <c r="L5023" s="990"/>
      <c r="M5023" s="990"/>
      <c r="N5023" s="990"/>
      <c r="O5023" s="990"/>
      <c r="P5023" s="990"/>
      <c r="Q5023" s="990"/>
      <c r="R5023" s="990"/>
      <c r="S5023" s="990"/>
      <c r="T5023" s="990"/>
      <c r="U5023" s="990"/>
      <c r="V5023" s="990"/>
      <c r="W5023" s="990"/>
      <c r="X5023" s="990"/>
    </row>
    <row r="5024" spans="1:24" s="896" customFormat="1">
      <c r="A5024" s="987">
        <f t="shared" si="79"/>
        <v>4950</v>
      </c>
      <c r="B5024" s="988">
        <v>12437</v>
      </c>
      <c r="C5024" s="899" t="s">
        <v>14350</v>
      </c>
      <c r="D5024" s="988" t="s">
        <v>2666</v>
      </c>
      <c r="E5024" s="989">
        <v>244.51</v>
      </c>
      <c r="F5024" s="990"/>
      <c r="G5024" s="990"/>
      <c r="H5024" s="990"/>
      <c r="I5024" s="990"/>
      <c r="J5024" s="990"/>
      <c r="K5024" s="990"/>
      <c r="L5024" s="990"/>
      <c r="M5024" s="990"/>
      <c r="N5024" s="990"/>
      <c r="O5024" s="990"/>
      <c r="P5024" s="990"/>
      <c r="Q5024" s="990"/>
      <c r="R5024" s="990"/>
      <c r="S5024" s="990"/>
      <c r="T5024" s="990"/>
      <c r="U5024" s="990"/>
      <c r="V5024" s="990"/>
      <c r="W5024" s="990"/>
      <c r="X5024" s="990"/>
    </row>
    <row r="5025" spans="1:24" s="896" customFormat="1">
      <c r="A5025" s="987">
        <f t="shared" si="79"/>
        <v>4951</v>
      </c>
      <c r="B5025" s="988">
        <v>12439</v>
      </c>
      <c r="C5025" s="899" t="s">
        <v>14351</v>
      </c>
      <c r="D5025" s="988" t="s">
        <v>2666</v>
      </c>
      <c r="E5025" s="989">
        <v>78.47</v>
      </c>
      <c r="F5025" s="990"/>
      <c r="G5025" s="990"/>
      <c r="H5025" s="990"/>
      <c r="I5025" s="990"/>
      <c r="J5025" s="990"/>
      <c r="K5025" s="990"/>
      <c r="L5025" s="990"/>
      <c r="M5025" s="990"/>
      <c r="N5025" s="990"/>
      <c r="O5025" s="990"/>
      <c r="P5025" s="990"/>
      <c r="Q5025" s="990"/>
      <c r="R5025" s="990"/>
      <c r="S5025" s="990"/>
      <c r="T5025" s="990"/>
      <c r="U5025" s="990"/>
      <c r="V5025" s="990"/>
      <c r="W5025" s="990"/>
      <c r="X5025" s="990"/>
    </row>
    <row r="5026" spans="1:24" s="896" customFormat="1">
      <c r="A5026" s="987">
        <f t="shared" si="79"/>
        <v>4952</v>
      </c>
      <c r="B5026" s="988">
        <v>12438</v>
      </c>
      <c r="C5026" s="899" t="s">
        <v>14352</v>
      </c>
      <c r="D5026" s="988" t="s">
        <v>2666</v>
      </c>
      <c r="E5026" s="989">
        <v>442.49</v>
      </c>
      <c r="F5026" s="990"/>
      <c r="G5026" s="990"/>
      <c r="H5026" s="990"/>
      <c r="I5026" s="990"/>
      <c r="J5026" s="990"/>
      <c r="K5026" s="990"/>
      <c r="L5026" s="990"/>
      <c r="M5026" s="990"/>
      <c r="N5026" s="990"/>
      <c r="O5026" s="990"/>
      <c r="P5026" s="990"/>
      <c r="Q5026" s="990"/>
      <c r="R5026" s="990"/>
      <c r="S5026" s="990"/>
      <c r="T5026" s="990"/>
      <c r="U5026" s="990"/>
      <c r="V5026" s="990"/>
      <c r="W5026" s="990"/>
      <c r="X5026" s="990"/>
    </row>
    <row r="5027" spans="1:24" s="896" customFormat="1">
      <c r="A5027" s="987">
        <f t="shared" si="79"/>
        <v>4953</v>
      </c>
      <c r="B5027" s="988">
        <v>12436</v>
      </c>
      <c r="C5027" s="899" t="s">
        <v>14353</v>
      </c>
      <c r="D5027" s="988" t="s">
        <v>2666</v>
      </c>
      <c r="E5027" s="989">
        <v>558.95000000000005</v>
      </c>
      <c r="F5027" s="990"/>
      <c r="G5027" s="990"/>
      <c r="H5027" s="990"/>
      <c r="I5027" s="990"/>
      <c r="J5027" s="990"/>
      <c r="K5027" s="990"/>
      <c r="L5027" s="990"/>
      <c r="M5027" s="990"/>
      <c r="N5027" s="990"/>
      <c r="O5027" s="990"/>
      <c r="P5027" s="990"/>
      <c r="Q5027" s="990"/>
      <c r="R5027" s="990"/>
      <c r="S5027" s="990"/>
      <c r="T5027" s="990"/>
      <c r="U5027" s="990"/>
      <c r="V5027" s="990"/>
      <c r="W5027" s="990"/>
      <c r="X5027" s="990"/>
    </row>
    <row r="5028" spans="1:24" s="896" customFormat="1">
      <c r="A5028" s="987">
        <f t="shared" si="79"/>
        <v>4954</v>
      </c>
      <c r="B5028" s="988">
        <v>36357</v>
      </c>
      <c r="C5028" s="899" t="s">
        <v>14354</v>
      </c>
      <c r="D5028" s="988" t="s">
        <v>2666</v>
      </c>
      <c r="E5028" s="989">
        <v>195.52</v>
      </c>
      <c r="F5028" s="990"/>
      <c r="G5028" s="990"/>
      <c r="H5028" s="990"/>
      <c r="I5028" s="990"/>
      <c r="J5028" s="990"/>
      <c r="K5028" s="990"/>
      <c r="L5028" s="990"/>
      <c r="M5028" s="990"/>
      <c r="N5028" s="990"/>
      <c r="O5028" s="990"/>
      <c r="P5028" s="990"/>
      <c r="Q5028" s="990"/>
      <c r="R5028" s="990"/>
      <c r="S5028" s="990"/>
      <c r="T5028" s="990"/>
      <c r="U5028" s="990"/>
      <c r="V5028" s="990"/>
      <c r="W5028" s="990"/>
      <c r="X5028" s="990"/>
    </row>
    <row r="5029" spans="1:24" s="896" customFormat="1">
      <c r="A5029" s="987">
        <f t="shared" si="79"/>
        <v>4955</v>
      </c>
      <c r="B5029" s="988">
        <v>12424</v>
      </c>
      <c r="C5029" s="899" t="s">
        <v>14355</v>
      </c>
      <c r="D5029" s="988" t="s">
        <v>2666</v>
      </c>
      <c r="E5029" s="989">
        <v>100.72</v>
      </c>
      <c r="F5029" s="990"/>
      <c r="G5029" s="990"/>
      <c r="H5029" s="990"/>
      <c r="I5029" s="990"/>
      <c r="J5029" s="990"/>
      <c r="K5029" s="990"/>
      <c r="L5029" s="990"/>
      <c r="M5029" s="990"/>
      <c r="N5029" s="990"/>
      <c r="O5029" s="990"/>
      <c r="P5029" s="990"/>
      <c r="Q5029" s="990"/>
      <c r="R5029" s="990"/>
      <c r="S5029" s="990"/>
      <c r="T5029" s="990"/>
      <c r="U5029" s="990"/>
      <c r="V5029" s="990"/>
      <c r="W5029" s="990"/>
      <c r="X5029" s="990"/>
    </row>
    <row r="5030" spans="1:24" s="896" customFormat="1">
      <c r="A5030" s="987">
        <f t="shared" si="79"/>
        <v>4956</v>
      </c>
      <c r="B5030" s="988">
        <v>12440</v>
      </c>
      <c r="C5030" s="899" t="s">
        <v>14356</v>
      </c>
      <c r="D5030" s="988" t="s">
        <v>2666</v>
      </c>
      <c r="E5030" s="989">
        <v>97.35</v>
      </c>
      <c r="F5030" s="990"/>
      <c r="G5030" s="990"/>
      <c r="H5030" s="990"/>
      <c r="I5030" s="990"/>
      <c r="J5030" s="990"/>
      <c r="K5030" s="990"/>
      <c r="L5030" s="990"/>
      <c r="M5030" s="990"/>
      <c r="N5030" s="990"/>
      <c r="O5030" s="990"/>
      <c r="P5030" s="990"/>
      <c r="Q5030" s="990"/>
      <c r="R5030" s="990"/>
      <c r="S5030" s="990"/>
      <c r="T5030" s="990"/>
      <c r="U5030" s="990"/>
      <c r="V5030" s="990"/>
      <c r="W5030" s="990"/>
      <c r="X5030" s="990"/>
    </row>
    <row r="5031" spans="1:24" s="896" customFormat="1">
      <c r="A5031" s="987">
        <f t="shared" si="79"/>
        <v>4957</v>
      </c>
      <c r="B5031" s="988">
        <v>9884</v>
      </c>
      <c r="C5031" s="899" t="s">
        <v>14357</v>
      </c>
      <c r="D5031" s="988" t="s">
        <v>2666</v>
      </c>
      <c r="E5031" s="989">
        <v>72.62</v>
      </c>
      <c r="F5031" s="990"/>
      <c r="G5031" s="990"/>
      <c r="H5031" s="990"/>
      <c r="I5031" s="990"/>
      <c r="J5031" s="990"/>
      <c r="K5031" s="990"/>
      <c r="L5031" s="990"/>
      <c r="M5031" s="990"/>
      <c r="N5031" s="990"/>
      <c r="O5031" s="990"/>
      <c r="P5031" s="990"/>
      <c r="Q5031" s="990"/>
      <c r="R5031" s="990"/>
      <c r="S5031" s="990"/>
      <c r="T5031" s="990"/>
      <c r="U5031" s="990"/>
      <c r="V5031" s="990"/>
      <c r="W5031" s="990"/>
      <c r="X5031" s="990"/>
    </row>
    <row r="5032" spans="1:24" s="896" customFormat="1">
      <c r="A5032" s="987">
        <f t="shared" si="79"/>
        <v>4958</v>
      </c>
      <c r="B5032" s="988">
        <v>9888</v>
      </c>
      <c r="C5032" s="899" t="s">
        <v>14358</v>
      </c>
      <c r="D5032" s="988" t="s">
        <v>2666</v>
      </c>
      <c r="E5032" s="989">
        <v>58.34</v>
      </c>
      <c r="F5032" s="990"/>
      <c r="G5032" s="990"/>
      <c r="H5032" s="990"/>
      <c r="I5032" s="990"/>
      <c r="J5032" s="990"/>
      <c r="K5032" s="990"/>
      <c r="L5032" s="990"/>
      <c r="M5032" s="990"/>
      <c r="N5032" s="990"/>
      <c r="O5032" s="990"/>
      <c r="P5032" s="990"/>
      <c r="Q5032" s="990"/>
      <c r="R5032" s="990"/>
      <c r="S5032" s="990"/>
      <c r="T5032" s="990"/>
      <c r="U5032" s="990"/>
      <c r="V5032" s="990"/>
      <c r="W5032" s="990"/>
      <c r="X5032" s="990"/>
    </row>
    <row r="5033" spans="1:24" s="896" customFormat="1">
      <c r="A5033" s="987">
        <f t="shared" si="79"/>
        <v>4959</v>
      </c>
      <c r="B5033" s="988">
        <v>9883</v>
      </c>
      <c r="C5033" s="899" t="s">
        <v>14359</v>
      </c>
      <c r="D5033" s="988" t="s">
        <v>2666</v>
      </c>
      <c r="E5033" s="989">
        <v>25.46</v>
      </c>
      <c r="F5033" s="990"/>
      <c r="G5033" s="990"/>
      <c r="H5033" s="990"/>
      <c r="I5033" s="990"/>
      <c r="J5033" s="990"/>
      <c r="K5033" s="990"/>
      <c r="L5033" s="990"/>
      <c r="M5033" s="990"/>
      <c r="N5033" s="990"/>
      <c r="O5033" s="990"/>
      <c r="P5033" s="990"/>
      <c r="Q5033" s="990"/>
      <c r="R5033" s="990"/>
      <c r="S5033" s="990"/>
      <c r="T5033" s="990"/>
      <c r="U5033" s="990"/>
      <c r="V5033" s="990"/>
      <c r="W5033" s="990"/>
      <c r="X5033" s="990"/>
    </row>
    <row r="5034" spans="1:24" s="896" customFormat="1">
      <c r="A5034" s="987">
        <f t="shared" si="79"/>
        <v>4960</v>
      </c>
      <c r="B5034" s="988">
        <v>9886</v>
      </c>
      <c r="C5034" s="899" t="s">
        <v>14360</v>
      </c>
      <c r="D5034" s="988" t="s">
        <v>2666</v>
      </c>
      <c r="E5034" s="989">
        <v>34.869999999999997</v>
      </c>
      <c r="F5034" s="990"/>
      <c r="G5034" s="990"/>
      <c r="H5034" s="990"/>
      <c r="I5034" s="990"/>
      <c r="J5034" s="990"/>
      <c r="K5034" s="990"/>
      <c r="L5034" s="990"/>
      <c r="M5034" s="990"/>
      <c r="N5034" s="990"/>
      <c r="O5034" s="990"/>
      <c r="P5034" s="990"/>
      <c r="Q5034" s="990"/>
      <c r="R5034" s="990"/>
      <c r="S5034" s="990"/>
      <c r="T5034" s="990"/>
      <c r="U5034" s="990"/>
      <c r="V5034" s="990"/>
      <c r="W5034" s="990"/>
      <c r="X5034" s="990"/>
    </row>
    <row r="5035" spans="1:24" s="896" customFormat="1">
      <c r="A5035" s="987">
        <f t="shared" si="79"/>
        <v>4961</v>
      </c>
      <c r="B5035" s="988">
        <v>9889</v>
      </c>
      <c r="C5035" s="899" t="s">
        <v>14361</v>
      </c>
      <c r="D5035" s="988" t="s">
        <v>2666</v>
      </c>
      <c r="E5035" s="989">
        <v>176.67</v>
      </c>
      <c r="F5035" s="990"/>
      <c r="G5035" s="990"/>
      <c r="H5035" s="990"/>
      <c r="I5035" s="990"/>
      <c r="J5035" s="990"/>
      <c r="K5035" s="990"/>
      <c r="L5035" s="990"/>
      <c r="M5035" s="990"/>
      <c r="N5035" s="990"/>
      <c r="O5035" s="990"/>
      <c r="P5035" s="990"/>
      <c r="Q5035" s="990"/>
      <c r="R5035" s="990"/>
      <c r="S5035" s="990"/>
      <c r="T5035" s="990"/>
      <c r="U5035" s="990"/>
      <c r="V5035" s="990"/>
      <c r="W5035" s="990"/>
      <c r="X5035" s="990"/>
    </row>
    <row r="5036" spans="1:24" s="896" customFormat="1">
      <c r="A5036" s="987">
        <f t="shared" si="79"/>
        <v>4962</v>
      </c>
      <c r="B5036" s="988">
        <v>9887</v>
      </c>
      <c r="C5036" s="899" t="s">
        <v>14362</v>
      </c>
      <c r="D5036" s="988" t="s">
        <v>2666</v>
      </c>
      <c r="E5036" s="989">
        <v>106.78</v>
      </c>
      <c r="F5036" s="990"/>
      <c r="G5036" s="990"/>
      <c r="H5036" s="990"/>
      <c r="I5036" s="990"/>
      <c r="J5036" s="990"/>
      <c r="K5036" s="990"/>
      <c r="L5036" s="990"/>
      <c r="M5036" s="990"/>
      <c r="N5036" s="990"/>
      <c r="O5036" s="990"/>
      <c r="P5036" s="990"/>
      <c r="Q5036" s="990"/>
      <c r="R5036" s="990"/>
      <c r="S5036" s="990"/>
      <c r="T5036" s="990"/>
      <c r="U5036" s="990"/>
      <c r="V5036" s="990"/>
      <c r="W5036" s="990"/>
      <c r="X5036" s="990"/>
    </row>
    <row r="5037" spans="1:24" s="896" customFormat="1">
      <c r="A5037" s="987">
        <f t="shared" si="79"/>
        <v>4963</v>
      </c>
      <c r="B5037" s="988">
        <v>9885</v>
      </c>
      <c r="C5037" s="899" t="s">
        <v>14363</v>
      </c>
      <c r="D5037" s="988" t="s">
        <v>2666</v>
      </c>
      <c r="E5037" s="989">
        <v>33.71</v>
      </c>
      <c r="F5037" s="990"/>
      <c r="G5037" s="990"/>
      <c r="H5037" s="990"/>
      <c r="I5037" s="990"/>
      <c r="J5037" s="990"/>
      <c r="K5037" s="990"/>
      <c r="L5037" s="990"/>
      <c r="M5037" s="990"/>
      <c r="N5037" s="990"/>
      <c r="O5037" s="990"/>
      <c r="P5037" s="990"/>
      <c r="Q5037" s="990"/>
      <c r="R5037" s="990"/>
      <c r="S5037" s="990"/>
      <c r="T5037" s="990"/>
      <c r="U5037" s="990"/>
      <c r="V5037" s="990"/>
      <c r="W5037" s="990"/>
      <c r="X5037" s="990"/>
    </row>
    <row r="5038" spans="1:24" s="896" customFormat="1">
      <c r="A5038" s="987">
        <f t="shared" si="79"/>
        <v>4964</v>
      </c>
      <c r="B5038" s="988">
        <v>9890</v>
      </c>
      <c r="C5038" s="899" t="s">
        <v>14364</v>
      </c>
      <c r="D5038" s="988" t="s">
        <v>2666</v>
      </c>
      <c r="E5038" s="989">
        <v>273.7</v>
      </c>
      <c r="F5038" s="990"/>
      <c r="G5038" s="990"/>
      <c r="H5038" s="990"/>
      <c r="I5038" s="990"/>
      <c r="J5038" s="990"/>
      <c r="K5038" s="990"/>
      <c r="L5038" s="990"/>
      <c r="M5038" s="990"/>
      <c r="N5038" s="990"/>
      <c r="O5038" s="990"/>
      <c r="P5038" s="990"/>
      <c r="Q5038" s="990"/>
      <c r="R5038" s="990"/>
      <c r="S5038" s="990"/>
      <c r="T5038" s="990"/>
      <c r="U5038" s="990"/>
      <c r="V5038" s="990"/>
      <c r="W5038" s="990"/>
      <c r="X5038" s="990"/>
    </row>
    <row r="5039" spans="1:24" s="896" customFormat="1">
      <c r="A5039" s="987">
        <f t="shared" si="79"/>
        <v>4965</v>
      </c>
      <c r="B5039" s="988">
        <v>9891</v>
      </c>
      <c r="C5039" s="899" t="s">
        <v>14365</v>
      </c>
      <c r="D5039" s="988" t="s">
        <v>2666</v>
      </c>
      <c r="E5039" s="989">
        <v>384.23</v>
      </c>
      <c r="F5039" s="990"/>
      <c r="G5039" s="990"/>
      <c r="H5039" s="990"/>
      <c r="I5039" s="990"/>
      <c r="J5039" s="990"/>
      <c r="K5039" s="990"/>
      <c r="L5039" s="990"/>
      <c r="M5039" s="990"/>
      <c r="N5039" s="990"/>
      <c r="O5039" s="990"/>
      <c r="P5039" s="990"/>
      <c r="Q5039" s="990"/>
      <c r="R5039" s="990"/>
      <c r="S5039" s="990"/>
      <c r="T5039" s="990"/>
      <c r="U5039" s="990"/>
      <c r="V5039" s="990"/>
      <c r="W5039" s="990"/>
      <c r="X5039" s="990"/>
    </row>
    <row r="5040" spans="1:24" s="896" customFormat="1" ht="25.5">
      <c r="A5040" s="987">
        <f t="shared" si="79"/>
        <v>4966</v>
      </c>
      <c r="B5040" s="988">
        <v>39292</v>
      </c>
      <c r="C5040" s="899" t="s">
        <v>14366</v>
      </c>
      <c r="D5040" s="988" t="s">
        <v>2666</v>
      </c>
      <c r="E5040" s="989">
        <v>8.4700000000000006</v>
      </c>
      <c r="F5040" s="990"/>
      <c r="G5040" s="990"/>
      <c r="H5040" s="990"/>
      <c r="I5040" s="990"/>
      <c r="J5040" s="990"/>
      <c r="K5040" s="990"/>
      <c r="L5040" s="990"/>
      <c r="M5040" s="990"/>
      <c r="N5040" s="990"/>
      <c r="O5040" s="990"/>
      <c r="P5040" s="990"/>
      <c r="Q5040" s="990"/>
      <c r="R5040" s="990"/>
      <c r="S5040" s="990"/>
      <c r="T5040" s="990"/>
      <c r="U5040" s="990"/>
      <c r="V5040" s="990"/>
      <c r="W5040" s="990"/>
      <c r="X5040" s="990"/>
    </row>
    <row r="5041" spans="1:24" s="896" customFormat="1" ht="25.5">
      <c r="A5041" s="987">
        <f t="shared" si="79"/>
        <v>4967</v>
      </c>
      <c r="B5041" s="988">
        <v>39293</v>
      </c>
      <c r="C5041" s="899" t="s">
        <v>14367</v>
      </c>
      <c r="D5041" s="988" t="s">
        <v>2666</v>
      </c>
      <c r="E5041" s="989">
        <v>13.67</v>
      </c>
      <c r="F5041" s="990"/>
      <c r="G5041" s="990"/>
      <c r="H5041" s="990"/>
      <c r="I5041" s="990"/>
      <c r="J5041" s="990"/>
      <c r="K5041" s="990"/>
      <c r="L5041" s="990"/>
      <c r="M5041" s="990"/>
      <c r="N5041" s="990"/>
      <c r="O5041" s="990"/>
      <c r="P5041" s="990"/>
      <c r="Q5041" s="990"/>
      <c r="R5041" s="990"/>
      <c r="S5041" s="990"/>
      <c r="T5041" s="990"/>
      <c r="U5041" s="990"/>
      <c r="V5041" s="990"/>
      <c r="W5041" s="990"/>
      <c r="X5041" s="990"/>
    </row>
    <row r="5042" spans="1:24" s="896" customFormat="1" ht="25.5">
      <c r="A5042" s="987">
        <f t="shared" si="79"/>
        <v>4968</v>
      </c>
      <c r="B5042" s="988">
        <v>39294</v>
      </c>
      <c r="C5042" s="899" t="s">
        <v>14368</v>
      </c>
      <c r="D5042" s="988" t="s">
        <v>2666</v>
      </c>
      <c r="E5042" s="989">
        <v>13.67</v>
      </c>
      <c r="F5042" s="990"/>
      <c r="G5042" s="990"/>
      <c r="H5042" s="990"/>
      <c r="I5042" s="990"/>
      <c r="J5042" s="990"/>
      <c r="K5042" s="990"/>
      <c r="L5042" s="990"/>
      <c r="M5042" s="990"/>
      <c r="N5042" s="990"/>
      <c r="O5042" s="990"/>
      <c r="P5042" s="990"/>
      <c r="Q5042" s="990"/>
      <c r="R5042" s="990"/>
      <c r="S5042" s="990"/>
      <c r="T5042" s="990"/>
      <c r="U5042" s="990"/>
      <c r="V5042" s="990"/>
      <c r="W5042" s="990"/>
      <c r="X5042" s="990"/>
    </row>
    <row r="5043" spans="1:24" s="896" customFormat="1" ht="25.5">
      <c r="A5043" s="987">
        <f t="shared" si="79"/>
        <v>4969</v>
      </c>
      <c r="B5043" s="988">
        <v>39295</v>
      </c>
      <c r="C5043" s="899" t="s">
        <v>14369</v>
      </c>
      <c r="D5043" s="988" t="s">
        <v>2666</v>
      </c>
      <c r="E5043" s="989">
        <v>23.31</v>
      </c>
      <c r="F5043" s="990"/>
      <c r="G5043" s="990"/>
      <c r="H5043" s="990"/>
      <c r="I5043" s="990"/>
      <c r="J5043" s="990"/>
      <c r="K5043" s="990"/>
      <c r="L5043" s="990"/>
      <c r="M5043" s="990"/>
      <c r="N5043" s="990"/>
      <c r="O5043" s="990"/>
      <c r="P5043" s="990"/>
      <c r="Q5043" s="990"/>
      <c r="R5043" s="990"/>
      <c r="S5043" s="990"/>
      <c r="T5043" s="990"/>
      <c r="U5043" s="990"/>
      <c r="V5043" s="990"/>
      <c r="W5043" s="990"/>
      <c r="X5043" s="990"/>
    </row>
    <row r="5044" spans="1:24" s="896" customFormat="1">
      <c r="A5044" s="987">
        <f t="shared" si="79"/>
        <v>4970</v>
      </c>
      <c r="B5044" s="988">
        <v>36313</v>
      </c>
      <c r="C5044" s="899" t="s">
        <v>14370</v>
      </c>
      <c r="D5044" s="988" t="s">
        <v>2666</v>
      </c>
      <c r="E5044" s="989">
        <v>46.35</v>
      </c>
      <c r="F5044" s="990"/>
      <c r="G5044" s="990"/>
      <c r="H5044" s="990"/>
      <c r="I5044" s="990"/>
      <c r="J5044" s="990"/>
      <c r="K5044" s="990"/>
      <c r="L5044" s="990"/>
      <c r="M5044" s="990"/>
      <c r="N5044" s="990"/>
      <c r="O5044" s="990"/>
      <c r="P5044" s="990"/>
      <c r="Q5044" s="990"/>
      <c r="R5044" s="990"/>
      <c r="S5044" s="990"/>
      <c r="T5044" s="990"/>
      <c r="U5044" s="990"/>
      <c r="V5044" s="990"/>
      <c r="W5044" s="990"/>
      <c r="X5044" s="990"/>
    </row>
    <row r="5045" spans="1:24" s="896" customFormat="1">
      <c r="A5045" s="987">
        <f t="shared" si="79"/>
        <v>4971</v>
      </c>
      <c r="B5045" s="988">
        <v>36316</v>
      </c>
      <c r="C5045" s="899" t="s">
        <v>14371</v>
      </c>
      <c r="D5045" s="988" t="s">
        <v>2666</v>
      </c>
      <c r="E5045" s="989">
        <v>56.21</v>
      </c>
      <c r="F5045" s="990"/>
      <c r="G5045" s="990"/>
      <c r="H5045" s="990"/>
      <c r="I5045" s="990"/>
      <c r="J5045" s="990"/>
      <c r="K5045" s="990"/>
      <c r="L5045" s="990"/>
      <c r="M5045" s="990"/>
      <c r="N5045" s="990"/>
      <c r="O5045" s="990"/>
      <c r="P5045" s="990"/>
      <c r="Q5045" s="990"/>
      <c r="R5045" s="990"/>
      <c r="S5045" s="990"/>
      <c r="T5045" s="990"/>
      <c r="U5045" s="990"/>
      <c r="V5045" s="990"/>
      <c r="W5045" s="990"/>
      <c r="X5045" s="990"/>
    </row>
    <row r="5046" spans="1:24" s="896" customFormat="1">
      <c r="A5046" s="987">
        <f t="shared" si="79"/>
        <v>4972</v>
      </c>
      <c r="B5046" s="988">
        <v>64</v>
      </c>
      <c r="C5046" s="899" t="s">
        <v>14372</v>
      </c>
      <c r="D5046" s="988" t="s">
        <v>2666</v>
      </c>
      <c r="E5046" s="989">
        <v>5.71</v>
      </c>
      <c r="F5046" s="990"/>
      <c r="G5046" s="990"/>
      <c r="H5046" s="990"/>
      <c r="I5046" s="990"/>
      <c r="J5046" s="990"/>
      <c r="K5046" s="990"/>
      <c r="L5046" s="990"/>
      <c r="M5046" s="990"/>
      <c r="N5046" s="990"/>
      <c r="O5046" s="990"/>
      <c r="P5046" s="990"/>
      <c r="Q5046" s="990"/>
      <c r="R5046" s="990"/>
      <c r="S5046" s="990"/>
      <c r="T5046" s="990"/>
      <c r="U5046" s="990"/>
      <c r="V5046" s="990"/>
      <c r="W5046" s="990"/>
      <c r="X5046" s="990"/>
    </row>
    <row r="5047" spans="1:24" s="896" customFormat="1">
      <c r="A5047" s="987">
        <f t="shared" si="79"/>
        <v>4973</v>
      </c>
      <c r="B5047" s="988">
        <v>37423</v>
      </c>
      <c r="C5047" s="899" t="s">
        <v>14373</v>
      </c>
      <c r="D5047" s="988" t="s">
        <v>2666</v>
      </c>
      <c r="E5047" s="989">
        <v>14.1</v>
      </c>
      <c r="F5047" s="990"/>
      <c r="G5047" s="990"/>
      <c r="H5047" s="990"/>
      <c r="I5047" s="990"/>
      <c r="J5047" s="990"/>
      <c r="K5047" s="990"/>
      <c r="L5047" s="990"/>
      <c r="M5047" s="990"/>
      <c r="N5047" s="990"/>
      <c r="O5047" s="990"/>
      <c r="P5047" s="990"/>
      <c r="Q5047" s="990"/>
      <c r="R5047" s="990"/>
      <c r="S5047" s="990"/>
      <c r="T5047" s="990"/>
      <c r="U5047" s="990"/>
      <c r="V5047" s="990"/>
      <c r="W5047" s="990"/>
      <c r="X5047" s="990"/>
    </row>
    <row r="5048" spans="1:24" s="896" customFormat="1">
      <c r="A5048" s="987">
        <f t="shared" si="79"/>
        <v>4974</v>
      </c>
      <c r="B5048" s="988">
        <v>39296</v>
      </c>
      <c r="C5048" s="899" t="s">
        <v>14374</v>
      </c>
      <c r="D5048" s="988" t="s">
        <v>2666</v>
      </c>
      <c r="E5048" s="989">
        <v>6.54</v>
      </c>
      <c r="F5048" s="990"/>
      <c r="G5048" s="990"/>
      <c r="H5048" s="990"/>
      <c r="I5048" s="990"/>
      <c r="J5048" s="990"/>
      <c r="K5048" s="990"/>
      <c r="L5048" s="990"/>
      <c r="M5048" s="990"/>
      <c r="N5048" s="990"/>
      <c r="O5048" s="990"/>
      <c r="P5048" s="990"/>
      <c r="Q5048" s="990"/>
      <c r="R5048" s="990"/>
      <c r="S5048" s="990"/>
      <c r="T5048" s="990"/>
      <c r="U5048" s="990"/>
      <c r="V5048" s="990"/>
      <c r="W5048" s="990"/>
      <c r="X5048" s="990"/>
    </row>
    <row r="5049" spans="1:24" s="896" customFormat="1">
      <c r="A5049" s="987">
        <f t="shared" si="79"/>
        <v>4975</v>
      </c>
      <c r="B5049" s="988">
        <v>39297</v>
      </c>
      <c r="C5049" s="899" t="s">
        <v>14375</v>
      </c>
      <c r="D5049" s="988" t="s">
        <v>2666</v>
      </c>
      <c r="E5049" s="989">
        <v>9.35</v>
      </c>
      <c r="F5049" s="990"/>
      <c r="G5049" s="990"/>
      <c r="H5049" s="990"/>
      <c r="I5049" s="990"/>
      <c r="J5049" s="990"/>
      <c r="K5049" s="990"/>
      <c r="L5049" s="990"/>
      <c r="M5049" s="990"/>
      <c r="N5049" s="990"/>
      <c r="O5049" s="990"/>
      <c r="P5049" s="990"/>
      <c r="Q5049" s="990"/>
      <c r="R5049" s="990"/>
      <c r="S5049" s="990"/>
      <c r="T5049" s="990"/>
      <c r="U5049" s="990"/>
      <c r="V5049" s="990"/>
      <c r="W5049" s="990"/>
      <c r="X5049" s="990"/>
    </row>
    <row r="5050" spans="1:24" s="896" customFormat="1">
      <c r="A5050" s="987">
        <f t="shared" si="79"/>
        <v>4976</v>
      </c>
      <c r="B5050" s="988">
        <v>39298</v>
      </c>
      <c r="C5050" s="899" t="s">
        <v>14376</v>
      </c>
      <c r="D5050" s="988" t="s">
        <v>2666</v>
      </c>
      <c r="E5050" s="989">
        <v>16.48</v>
      </c>
      <c r="F5050" s="990"/>
      <c r="G5050" s="990"/>
      <c r="H5050" s="990"/>
      <c r="I5050" s="990"/>
      <c r="J5050" s="990"/>
      <c r="K5050" s="990"/>
      <c r="L5050" s="990"/>
      <c r="M5050" s="990"/>
      <c r="N5050" s="990"/>
      <c r="O5050" s="990"/>
      <c r="P5050" s="990"/>
      <c r="Q5050" s="990"/>
      <c r="R5050" s="990"/>
      <c r="S5050" s="990"/>
      <c r="T5050" s="990"/>
      <c r="U5050" s="990"/>
      <c r="V5050" s="990"/>
      <c r="W5050" s="990"/>
      <c r="X5050" s="990"/>
    </row>
    <row r="5051" spans="1:24" s="896" customFormat="1">
      <c r="A5051" s="987">
        <f t="shared" si="79"/>
        <v>4977</v>
      </c>
      <c r="B5051" s="988">
        <v>39299</v>
      </c>
      <c r="C5051" s="899" t="s">
        <v>14377</v>
      </c>
      <c r="D5051" s="988" t="s">
        <v>2666</v>
      </c>
      <c r="E5051" s="989">
        <v>28.05</v>
      </c>
      <c r="F5051" s="990"/>
      <c r="G5051" s="990"/>
      <c r="H5051" s="990"/>
      <c r="I5051" s="990"/>
      <c r="J5051" s="990"/>
      <c r="K5051" s="990"/>
      <c r="L5051" s="990"/>
      <c r="M5051" s="990"/>
      <c r="N5051" s="990"/>
      <c r="O5051" s="990"/>
      <c r="P5051" s="990"/>
      <c r="Q5051" s="990"/>
      <c r="R5051" s="990"/>
      <c r="S5051" s="990"/>
      <c r="T5051" s="990"/>
      <c r="U5051" s="990"/>
      <c r="V5051" s="990"/>
      <c r="W5051" s="990"/>
      <c r="X5051" s="990"/>
    </row>
    <row r="5052" spans="1:24" s="896" customFormat="1">
      <c r="A5052" s="987">
        <f t="shared" si="79"/>
        <v>4978</v>
      </c>
      <c r="B5052" s="988">
        <v>9892</v>
      </c>
      <c r="C5052" s="899" t="s">
        <v>14378</v>
      </c>
      <c r="D5052" s="988" t="s">
        <v>2666</v>
      </c>
      <c r="E5052" s="989">
        <v>8.1300000000000008</v>
      </c>
      <c r="F5052" s="990"/>
      <c r="G5052" s="990"/>
      <c r="H5052" s="990"/>
      <c r="I5052" s="990"/>
      <c r="J5052" s="990"/>
      <c r="K5052" s="990"/>
      <c r="L5052" s="990"/>
      <c r="M5052" s="990"/>
      <c r="N5052" s="990"/>
      <c r="O5052" s="990"/>
      <c r="P5052" s="990"/>
      <c r="Q5052" s="990"/>
      <c r="R5052" s="990"/>
      <c r="S5052" s="990"/>
      <c r="T5052" s="990"/>
      <c r="U5052" s="990"/>
      <c r="V5052" s="990"/>
      <c r="W5052" s="990"/>
      <c r="X5052" s="990"/>
    </row>
    <row r="5053" spans="1:24" s="896" customFormat="1">
      <c r="A5053" s="987">
        <f t="shared" si="79"/>
        <v>4979</v>
      </c>
      <c r="B5053" s="988">
        <v>9893</v>
      </c>
      <c r="C5053" s="899" t="s">
        <v>14379</v>
      </c>
      <c r="D5053" s="988" t="s">
        <v>2666</v>
      </c>
      <c r="E5053" s="989">
        <v>110.3</v>
      </c>
      <c r="F5053" s="990"/>
      <c r="G5053" s="990"/>
      <c r="H5053" s="990"/>
      <c r="I5053" s="990"/>
      <c r="J5053" s="990"/>
      <c r="K5053" s="990"/>
      <c r="L5053" s="990"/>
      <c r="M5053" s="990"/>
      <c r="N5053" s="990"/>
      <c r="O5053" s="990"/>
      <c r="P5053" s="990"/>
      <c r="Q5053" s="990"/>
      <c r="R5053" s="990"/>
      <c r="S5053" s="990"/>
      <c r="T5053" s="990"/>
      <c r="U5053" s="990"/>
      <c r="V5053" s="990"/>
      <c r="W5053" s="990"/>
      <c r="X5053" s="990"/>
    </row>
    <row r="5054" spans="1:24" s="896" customFormat="1">
      <c r="A5054" s="987">
        <f t="shared" si="79"/>
        <v>4980</v>
      </c>
      <c r="B5054" s="988">
        <v>9901</v>
      </c>
      <c r="C5054" s="899" t="s">
        <v>14380</v>
      </c>
      <c r="D5054" s="988" t="s">
        <v>2666</v>
      </c>
      <c r="E5054" s="989">
        <v>48.95</v>
      </c>
      <c r="F5054" s="990"/>
      <c r="G5054" s="990"/>
      <c r="H5054" s="990"/>
      <c r="I5054" s="990"/>
      <c r="J5054" s="990"/>
      <c r="K5054" s="990"/>
      <c r="L5054" s="990"/>
      <c r="M5054" s="990"/>
      <c r="N5054" s="990"/>
      <c r="O5054" s="990"/>
      <c r="P5054" s="990"/>
      <c r="Q5054" s="990"/>
      <c r="R5054" s="990"/>
      <c r="S5054" s="990"/>
      <c r="T5054" s="990"/>
      <c r="U5054" s="990"/>
      <c r="V5054" s="990"/>
      <c r="W5054" s="990"/>
      <c r="X5054" s="990"/>
    </row>
    <row r="5055" spans="1:24" s="896" customFormat="1">
      <c r="A5055" s="987">
        <f t="shared" si="79"/>
        <v>4981</v>
      </c>
      <c r="B5055" s="988">
        <v>9896</v>
      </c>
      <c r="C5055" s="899" t="s">
        <v>14381</v>
      </c>
      <c r="D5055" s="988" t="s">
        <v>2666</v>
      </c>
      <c r="E5055" s="989">
        <v>44.11</v>
      </c>
      <c r="F5055" s="990"/>
      <c r="G5055" s="990"/>
      <c r="H5055" s="990"/>
      <c r="I5055" s="990"/>
      <c r="J5055" s="990"/>
      <c r="K5055" s="990"/>
      <c r="L5055" s="990"/>
      <c r="M5055" s="990"/>
      <c r="N5055" s="990"/>
      <c r="O5055" s="990"/>
      <c r="P5055" s="990"/>
      <c r="Q5055" s="990"/>
      <c r="R5055" s="990"/>
      <c r="S5055" s="990"/>
      <c r="T5055" s="990"/>
      <c r="U5055" s="990"/>
      <c r="V5055" s="990"/>
      <c r="W5055" s="990"/>
      <c r="X5055" s="990"/>
    </row>
    <row r="5056" spans="1:24" s="896" customFormat="1">
      <c r="A5056" s="987">
        <f t="shared" si="79"/>
        <v>4982</v>
      </c>
      <c r="B5056" s="988">
        <v>9900</v>
      </c>
      <c r="C5056" s="899" t="s">
        <v>14382</v>
      </c>
      <c r="D5056" s="988" t="s">
        <v>2666</v>
      </c>
      <c r="E5056" s="989">
        <v>26.76</v>
      </c>
      <c r="F5056" s="990"/>
      <c r="G5056" s="990"/>
      <c r="H5056" s="990"/>
      <c r="I5056" s="990"/>
      <c r="J5056" s="990"/>
      <c r="K5056" s="990"/>
      <c r="L5056" s="990"/>
      <c r="M5056" s="990"/>
      <c r="N5056" s="990"/>
      <c r="O5056" s="990"/>
      <c r="P5056" s="990"/>
      <c r="Q5056" s="990"/>
      <c r="R5056" s="990"/>
      <c r="S5056" s="990"/>
      <c r="T5056" s="990"/>
      <c r="U5056" s="990"/>
      <c r="V5056" s="990"/>
      <c r="W5056" s="990"/>
      <c r="X5056" s="990"/>
    </row>
    <row r="5057" spans="1:24" s="896" customFormat="1">
      <c r="A5057" s="987">
        <f t="shared" si="79"/>
        <v>4983</v>
      </c>
      <c r="B5057" s="988">
        <v>9898</v>
      </c>
      <c r="C5057" s="899" t="s">
        <v>14383</v>
      </c>
      <c r="D5057" s="988" t="s">
        <v>2666</v>
      </c>
      <c r="E5057" s="989">
        <v>226.81</v>
      </c>
      <c r="F5057" s="990"/>
      <c r="G5057" s="990"/>
      <c r="H5057" s="990"/>
      <c r="I5057" s="990"/>
      <c r="J5057" s="990"/>
      <c r="K5057" s="990"/>
      <c r="L5057" s="990"/>
      <c r="M5057" s="990"/>
      <c r="N5057" s="990"/>
      <c r="O5057" s="990"/>
      <c r="P5057" s="990"/>
      <c r="Q5057" s="990"/>
      <c r="R5057" s="990"/>
      <c r="S5057" s="990"/>
      <c r="T5057" s="990"/>
      <c r="U5057" s="990"/>
      <c r="V5057" s="990"/>
      <c r="W5057" s="990"/>
      <c r="X5057" s="990"/>
    </row>
    <row r="5058" spans="1:24" s="896" customFormat="1">
      <c r="A5058" s="987">
        <f t="shared" si="79"/>
        <v>4984</v>
      </c>
      <c r="B5058" s="988">
        <v>9899</v>
      </c>
      <c r="C5058" s="899" t="s">
        <v>14384</v>
      </c>
      <c r="D5058" s="988" t="s">
        <v>2666</v>
      </c>
      <c r="E5058" s="989">
        <v>14.61</v>
      </c>
      <c r="F5058" s="990"/>
      <c r="G5058" s="990"/>
      <c r="H5058" s="990"/>
      <c r="I5058" s="990"/>
      <c r="J5058" s="990"/>
      <c r="K5058" s="990"/>
      <c r="L5058" s="990"/>
      <c r="M5058" s="990"/>
      <c r="N5058" s="990"/>
      <c r="O5058" s="990"/>
      <c r="P5058" s="990"/>
      <c r="Q5058" s="990"/>
      <c r="R5058" s="990"/>
      <c r="S5058" s="990"/>
      <c r="T5058" s="990"/>
      <c r="U5058" s="990"/>
      <c r="V5058" s="990"/>
      <c r="W5058" s="990"/>
      <c r="X5058" s="990"/>
    </row>
    <row r="5059" spans="1:24" s="896" customFormat="1">
      <c r="A5059" s="987">
        <f t="shared" si="79"/>
        <v>4985</v>
      </c>
      <c r="B5059" s="988">
        <v>9902</v>
      </c>
      <c r="C5059" s="899" t="s">
        <v>14385</v>
      </c>
      <c r="D5059" s="988" t="s">
        <v>2666</v>
      </c>
      <c r="E5059" s="989">
        <v>287.22000000000003</v>
      </c>
      <c r="F5059" s="990"/>
      <c r="G5059" s="990"/>
      <c r="H5059" s="990"/>
      <c r="I5059" s="990"/>
      <c r="J5059" s="990"/>
      <c r="K5059" s="990"/>
      <c r="L5059" s="990"/>
      <c r="M5059" s="990"/>
      <c r="N5059" s="990"/>
      <c r="O5059" s="990"/>
      <c r="P5059" s="990"/>
      <c r="Q5059" s="990"/>
      <c r="R5059" s="990"/>
      <c r="S5059" s="990"/>
      <c r="T5059" s="990"/>
      <c r="U5059" s="990"/>
      <c r="V5059" s="990"/>
      <c r="W5059" s="990"/>
      <c r="X5059" s="990"/>
    </row>
    <row r="5060" spans="1:24" s="896" customFormat="1">
      <c r="A5060" s="987">
        <f t="shared" si="79"/>
        <v>4986</v>
      </c>
      <c r="B5060" s="988">
        <v>9908</v>
      </c>
      <c r="C5060" s="899" t="s">
        <v>14386</v>
      </c>
      <c r="D5060" s="988" t="s">
        <v>2666</v>
      </c>
      <c r="E5060" s="989">
        <v>572.67999999999995</v>
      </c>
      <c r="F5060" s="990"/>
      <c r="G5060" s="990"/>
      <c r="H5060" s="990"/>
      <c r="I5060" s="990"/>
      <c r="J5060" s="990"/>
      <c r="K5060" s="990"/>
      <c r="L5060" s="990"/>
      <c r="M5060" s="990"/>
      <c r="N5060" s="990"/>
      <c r="O5060" s="990"/>
      <c r="P5060" s="990"/>
      <c r="Q5060" s="990"/>
      <c r="R5060" s="990"/>
      <c r="S5060" s="990"/>
      <c r="T5060" s="990"/>
      <c r="U5060" s="990"/>
      <c r="V5060" s="990"/>
      <c r="W5060" s="990"/>
      <c r="X5060" s="990"/>
    </row>
    <row r="5061" spans="1:24" s="896" customFormat="1">
      <c r="A5061" s="987">
        <f t="shared" si="79"/>
        <v>4987</v>
      </c>
      <c r="B5061" s="988">
        <v>9905</v>
      </c>
      <c r="C5061" s="899" t="s">
        <v>14387</v>
      </c>
      <c r="D5061" s="988" t="s">
        <v>2666</v>
      </c>
      <c r="E5061" s="989">
        <v>9.57</v>
      </c>
      <c r="F5061" s="990"/>
      <c r="G5061" s="990"/>
      <c r="H5061" s="990"/>
      <c r="I5061" s="990"/>
      <c r="J5061" s="990"/>
      <c r="K5061" s="990"/>
      <c r="L5061" s="990"/>
      <c r="M5061" s="990"/>
      <c r="N5061" s="990"/>
      <c r="O5061" s="990"/>
      <c r="P5061" s="990"/>
      <c r="Q5061" s="990"/>
      <c r="R5061" s="990"/>
      <c r="S5061" s="990"/>
      <c r="T5061" s="990"/>
      <c r="U5061" s="990"/>
      <c r="V5061" s="990"/>
      <c r="W5061" s="990"/>
      <c r="X5061" s="990"/>
    </row>
    <row r="5062" spans="1:24" s="896" customFormat="1">
      <c r="A5062" s="987">
        <f t="shared" si="79"/>
        <v>4988</v>
      </c>
      <c r="B5062" s="988">
        <v>9906</v>
      </c>
      <c r="C5062" s="899" t="s">
        <v>14388</v>
      </c>
      <c r="D5062" s="988" t="s">
        <v>2666</v>
      </c>
      <c r="E5062" s="989">
        <v>11.46</v>
      </c>
      <c r="F5062" s="990"/>
      <c r="G5062" s="990"/>
      <c r="H5062" s="990"/>
      <c r="I5062" s="990"/>
      <c r="J5062" s="990"/>
      <c r="K5062" s="990"/>
      <c r="L5062" s="990"/>
      <c r="M5062" s="990"/>
      <c r="N5062" s="990"/>
      <c r="O5062" s="990"/>
      <c r="P5062" s="990"/>
      <c r="Q5062" s="990"/>
      <c r="R5062" s="990"/>
      <c r="S5062" s="990"/>
      <c r="T5062" s="990"/>
      <c r="U5062" s="990"/>
      <c r="V5062" s="990"/>
      <c r="W5062" s="990"/>
      <c r="X5062" s="990"/>
    </row>
    <row r="5063" spans="1:24" s="896" customFormat="1">
      <c r="A5063" s="987">
        <f t="shared" si="79"/>
        <v>4989</v>
      </c>
      <c r="B5063" s="988">
        <v>9895</v>
      </c>
      <c r="C5063" s="899" t="s">
        <v>14389</v>
      </c>
      <c r="D5063" s="988" t="s">
        <v>2666</v>
      </c>
      <c r="E5063" s="989">
        <v>18.809999999999999</v>
      </c>
      <c r="F5063" s="990"/>
      <c r="G5063" s="990"/>
      <c r="H5063" s="990"/>
      <c r="I5063" s="990"/>
      <c r="J5063" s="990"/>
      <c r="K5063" s="990"/>
      <c r="L5063" s="990"/>
      <c r="M5063" s="990"/>
      <c r="N5063" s="990"/>
      <c r="O5063" s="990"/>
      <c r="P5063" s="990"/>
      <c r="Q5063" s="990"/>
      <c r="R5063" s="990"/>
      <c r="S5063" s="990"/>
      <c r="T5063" s="990"/>
      <c r="U5063" s="990"/>
      <c r="V5063" s="990"/>
      <c r="W5063" s="990"/>
      <c r="X5063" s="990"/>
    </row>
    <row r="5064" spans="1:24" s="896" customFormat="1">
      <c r="A5064" s="987">
        <f t="shared" si="79"/>
        <v>4990</v>
      </c>
      <c r="B5064" s="988">
        <v>9894</v>
      </c>
      <c r="C5064" s="899" t="s">
        <v>14390</v>
      </c>
      <c r="D5064" s="988" t="s">
        <v>2666</v>
      </c>
      <c r="E5064" s="989">
        <v>36.65</v>
      </c>
      <c r="F5064" s="990"/>
      <c r="G5064" s="990"/>
      <c r="H5064" s="990"/>
      <c r="I5064" s="990"/>
      <c r="J5064" s="990"/>
      <c r="K5064" s="990"/>
      <c r="L5064" s="990"/>
      <c r="M5064" s="990"/>
      <c r="N5064" s="990"/>
      <c r="O5064" s="990"/>
      <c r="P5064" s="990"/>
      <c r="Q5064" s="990"/>
      <c r="R5064" s="990"/>
      <c r="S5064" s="990"/>
      <c r="T5064" s="990"/>
      <c r="U5064" s="990"/>
      <c r="V5064" s="990"/>
      <c r="W5064" s="990"/>
      <c r="X5064" s="990"/>
    </row>
    <row r="5065" spans="1:24" s="896" customFormat="1">
      <c r="A5065" s="987">
        <f t="shared" si="79"/>
        <v>4991</v>
      </c>
      <c r="B5065" s="988">
        <v>9897</v>
      </c>
      <c r="C5065" s="899" t="s">
        <v>14391</v>
      </c>
      <c r="D5065" s="988" t="s">
        <v>2666</v>
      </c>
      <c r="E5065" s="989">
        <v>39.68</v>
      </c>
      <c r="F5065" s="990"/>
      <c r="G5065" s="990"/>
      <c r="H5065" s="990"/>
      <c r="I5065" s="990"/>
      <c r="J5065" s="990"/>
      <c r="K5065" s="990"/>
      <c r="L5065" s="990"/>
      <c r="M5065" s="990"/>
      <c r="N5065" s="990"/>
      <c r="O5065" s="990"/>
      <c r="P5065" s="990"/>
      <c r="Q5065" s="990"/>
      <c r="R5065" s="990"/>
      <c r="S5065" s="990"/>
      <c r="T5065" s="990"/>
      <c r="U5065" s="990"/>
      <c r="V5065" s="990"/>
      <c r="W5065" s="990"/>
      <c r="X5065" s="990"/>
    </row>
    <row r="5066" spans="1:24" s="896" customFormat="1">
      <c r="A5066" s="987">
        <f t="shared" si="79"/>
        <v>4992</v>
      </c>
      <c r="B5066" s="988">
        <v>9910</v>
      </c>
      <c r="C5066" s="899" t="s">
        <v>14392</v>
      </c>
      <c r="D5066" s="988" t="s">
        <v>2666</v>
      </c>
      <c r="E5066" s="989">
        <v>99.87</v>
      </c>
      <c r="F5066" s="990"/>
      <c r="G5066" s="990"/>
      <c r="H5066" s="990"/>
      <c r="I5066" s="990"/>
      <c r="J5066" s="990"/>
      <c r="K5066" s="990"/>
      <c r="L5066" s="990"/>
      <c r="M5066" s="990"/>
      <c r="N5066" s="990"/>
      <c r="O5066" s="990"/>
      <c r="P5066" s="990"/>
      <c r="Q5066" s="990"/>
      <c r="R5066" s="990"/>
      <c r="S5066" s="990"/>
      <c r="T5066" s="990"/>
      <c r="U5066" s="990"/>
      <c r="V5066" s="990"/>
      <c r="W5066" s="990"/>
      <c r="X5066" s="990"/>
    </row>
    <row r="5067" spans="1:24" s="896" customFormat="1">
      <c r="A5067" s="987">
        <f t="shared" si="79"/>
        <v>4993</v>
      </c>
      <c r="B5067" s="988">
        <v>9909</v>
      </c>
      <c r="C5067" s="899" t="s">
        <v>14393</v>
      </c>
      <c r="D5067" s="988" t="s">
        <v>2666</v>
      </c>
      <c r="E5067" s="989">
        <v>201.53</v>
      </c>
      <c r="F5067" s="990"/>
      <c r="G5067" s="990"/>
      <c r="H5067" s="990"/>
      <c r="I5067" s="990"/>
      <c r="J5067" s="990"/>
      <c r="K5067" s="990"/>
      <c r="L5067" s="990"/>
      <c r="M5067" s="990"/>
      <c r="N5067" s="990"/>
      <c r="O5067" s="990"/>
      <c r="P5067" s="990"/>
      <c r="Q5067" s="990"/>
      <c r="R5067" s="990"/>
      <c r="S5067" s="990"/>
      <c r="T5067" s="990"/>
      <c r="U5067" s="990"/>
      <c r="V5067" s="990"/>
      <c r="W5067" s="990"/>
      <c r="X5067" s="990"/>
    </row>
    <row r="5068" spans="1:24" s="896" customFormat="1">
      <c r="A5068" s="987">
        <f t="shared" ref="A5068:A5131" si="80">A5067+1</f>
        <v>4994</v>
      </c>
      <c r="B5068" s="988">
        <v>9907</v>
      </c>
      <c r="C5068" s="899" t="s">
        <v>14394</v>
      </c>
      <c r="D5068" s="988" t="s">
        <v>2666</v>
      </c>
      <c r="E5068" s="989">
        <v>309.87</v>
      </c>
      <c r="F5068" s="990"/>
      <c r="G5068" s="990"/>
      <c r="H5068" s="990"/>
      <c r="I5068" s="990"/>
      <c r="J5068" s="990"/>
      <c r="K5068" s="990"/>
      <c r="L5068" s="990"/>
      <c r="M5068" s="990"/>
      <c r="N5068" s="990"/>
      <c r="O5068" s="990"/>
      <c r="P5068" s="990"/>
      <c r="Q5068" s="990"/>
      <c r="R5068" s="990"/>
      <c r="S5068" s="990"/>
      <c r="T5068" s="990"/>
      <c r="U5068" s="990"/>
      <c r="V5068" s="990"/>
      <c r="W5068" s="990"/>
      <c r="X5068" s="990"/>
    </row>
    <row r="5069" spans="1:24" s="896" customFormat="1" ht="25.5">
      <c r="A5069" s="987">
        <f t="shared" si="80"/>
        <v>4995</v>
      </c>
      <c r="B5069" s="988">
        <v>20973</v>
      </c>
      <c r="C5069" s="899" t="s">
        <v>14395</v>
      </c>
      <c r="D5069" s="988" t="s">
        <v>2666</v>
      </c>
      <c r="E5069" s="989">
        <v>139.63</v>
      </c>
      <c r="F5069" s="990"/>
      <c r="G5069" s="990"/>
      <c r="H5069" s="990"/>
      <c r="I5069" s="990"/>
      <c r="J5069" s="990"/>
      <c r="K5069" s="990"/>
      <c r="L5069" s="990"/>
      <c r="M5069" s="990"/>
      <c r="N5069" s="990"/>
      <c r="O5069" s="990"/>
      <c r="P5069" s="990"/>
      <c r="Q5069" s="990"/>
      <c r="R5069" s="990"/>
      <c r="S5069" s="990"/>
      <c r="T5069" s="990"/>
      <c r="U5069" s="990"/>
      <c r="V5069" s="990"/>
      <c r="W5069" s="990"/>
      <c r="X5069" s="990"/>
    </row>
    <row r="5070" spans="1:24" s="896" customFormat="1" ht="25.5">
      <c r="A5070" s="987">
        <f t="shared" si="80"/>
        <v>4996</v>
      </c>
      <c r="B5070" s="988">
        <v>20974</v>
      </c>
      <c r="C5070" s="899" t="s">
        <v>14396</v>
      </c>
      <c r="D5070" s="988" t="s">
        <v>2666</v>
      </c>
      <c r="E5070" s="989">
        <v>199.77</v>
      </c>
      <c r="F5070" s="990"/>
      <c r="G5070" s="990"/>
      <c r="H5070" s="990"/>
      <c r="I5070" s="990"/>
      <c r="J5070" s="990"/>
      <c r="K5070" s="990"/>
      <c r="L5070" s="990"/>
      <c r="M5070" s="990"/>
      <c r="N5070" s="990"/>
      <c r="O5070" s="990"/>
      <c r="P5070" s="990"/>
      <c r="Q5070" s="990"/>
      <c r="R5070" s="990"/>
      <c r="S5070" s="990"/>
      <c r="T5070" s="990"/>
      <c r="U5070" s="990"/>
      <c r="V5070" s="990"/>
      <c r="W5070" s="990"/>
      <c r="X5070" s="990"/>
    </row>
    <row r="5071" spans="1:24" s="896" customFormat="1">
      <c r="A5071" s="987">
        <f t="shared" si="80"/>
        <v>4997</v>
      </c>
      <c r="B5071" s="988">
        <v>37989</v>
      </c>
      <c r="C5071" s="899" t="s">
        <v>14397</v>
      </c>
      <c r="D5071" s="988" t="s">
        <v>2666</v>
      </c>
      <c r="E5071" s="989">
        <v>17.63</v>
      </c>
      <c r="F5071" s="990"/>
      <c r="G5071" s="990"/>
      <c r="H5071" s="990"/>
      <c r="I5071" s="990"/>
      <c r="J5071" s="990"/>
      <c r="K5071" s="990"/>
      <c r="L5071" s="990"/>
      <c r="M5071" s="990"/>
      <c r="N5071" s="990"/>
      <c r="O5071" s="990"/>
      <c r="P5071" s="990"/>
      <c r="Q5071" s="990"/>
      <c r="R5071" s="990"/>
      <c r="S5071" s="990"/>
      <c r="T5071" s="990"/>
      <c r="U5071" s="990"/>
      <c r="V5071" s="990"/>
      <c r="W5071" s="990"/>
      <c r="X5071" s="990"/>
    </row>
    <row r="5072" spans="1:24" s="896" customFormat="1">
      <c r="A5072" s="987">
        <f t="shared" si="80"/>
        <v>4998</v>
      </c>
      <c r="B5072" s="988">
        <v>37990</v>
      </c>
      <c r="C5072" s="899" t="s">
        <v>14398</v>
      </c>
      <c r="D5072" s="988" t="s">
        <v>2666</v>
      </c>
      <c r="E5072" s="989">
        <v>20.48</v>
      </c>
      <c r="F5072" s="990"/>
      <c r="G5072" s="990"/>
      <c r="H5072" s="990"/>
      <c r="I5072" s="990"/>
      <c r="J5072" s="990"/>
      <c r="K5072" s="990"/>
      <c r="L5072" s="990"/>
      <c r="M5072" s="990"/>
      <c r="N5072" s="990"/>
      <c r="O5072" s="990"/>
      <c r="P5072" s="990"/>
      <c r="Q5072" s="990"/>
      <c r="R5072" s="990"/>
      <c r="S5072" s="990"/>
      <c r="T5072" s="990"/>
      <c r="U5072" s="990"/>
      <c r="V5072" s="990"/>
      <c r="W5072" s="990"/>
      <c r="X5072" s="990"/>
    </row>
    <row r="5073" spans="1:24" s="896" customFormat="1">
      <c r="A5073" s="987">
        <f t="shared" si="80"/>
        <v>4999</v>
      </c>
      <c r="B5073" s="988">
        <v>37991</v>
      </c>
      <c r="C5073" s="899" t="s">
        <v>14399</v>
      </c>
      <c r="D5073" s="988" t="s">
        <v>2666</v>
      </c>
      <c r="E5073" s="989">
        <v>32.409999999999997</v>
      </c>
      <c r="F5073" s="990"/>
      <c r="G5073" s="990"/>
      <c r="H5073" s="990"/>
      <c r="I5073" s="990"/>
      <c r="J5073" s="990"/>
      <c r="K5073" s="990"/>
      <c r="L5073" s="990"/>
      <c r="M5073" s="990"/>
      <c r="N5073" s="990"/>
      <c r="O5073" s="990"/>
      <c r="P5073" s="990"/>
      <c r="Q5073" s="990"/>
      <c r="R5073" s="990"/>
      <c r="S5073" s="990"/>
      <c r="T5073" s="990"/>
      <c r="U5073" s="990"/>
      <c r="V5073" s="990"/>
      <c r="W5073" s="990"/>
      <c r="X5073" s="990"/>
    </row>
    <row r="5074" spans="1:24" s="896" customFormat="1">
      <c r="A5074" s="987">
        <f t="shared" si="80"/>
        <v>5000</v>
      </c>
      <c r="B5074" s="988">
        <v>37992</v>
      </c>
      <c r="C5074" s="899" t="s">
        <v>14400</v>
      </c>
      <c r="D5074" s="988" t="s">
        <v>2666</v>
      </c>
      <c r="E5074" s="989">
        <v>49.49</v>
      </c>
      <c r="F5074" s="990"/>
      <c r="G5074" s="990"/>
      <c r="H5074" s="990"/>
      <c r="I5074" s="990"/>
      <c r="J5074" s="990"/>
      <c r="K5074" s="990"/>
      <c r="L5074" s="990"/>
      <c r="M5074" s="990"/>
      <c r="N5074" s="990"/>
      <c r="O5074" s="990"/>
      <c r="P5074" s="990"/>
      <c r="Q5074" s="990"/>
      <c r="R5074" s="990"/>
      <c r="S5074" s="990"/>
      <c r="T5074" s="990"/>
      <c r="U5074" s="990"/>
      <c r="V5074" s="990"/>
      <c r="W5074" s="990"/>
      <c r="X5074" s="990"/>
    </row>
    <row r="5075" spans="1:24" s="896" customFormat="1">
      <c r="A5075" s="987">
        <f t="shared" si="80"/>
        <v>5001</v>
      </c>
      <c r="B5075" s="988">
        <v>37993</v>
      </c>
      <c r="C5075" s="899" t="s">
        <v>14401</v>
      </c>
      <c r="D5075" s="988" t="s">
        <v>2666</v>
      </c>
      <c r="E5075" s="989">
        <v>73.459999999999994</v>
      </c>
      <c r="F5075" s="990"/>
      <c r="G5075" s="990"/>
      <c r="H5075" s="990"/>
      <c r="I5075" s="990"/>
      <c r="J5075" s="990"/>
      <c r="K5075" s="990"/>
      <c r="L5075" s="990"/>
      <c r="M5075" s="990"/>
      <c r="N5075" s="990"/>
      <c r="O5075" s="990"/>
      <c r="P5075" s="990"/>
      <c r="Q5075" s="990"/>
      <c r="R5075" s="990"/>
      <c r="S5075" s="990"/>
      <c r="T5075" s="990"/>
      <c r="U5075" s="990"/>
      <c r="V5075" s="990"/>
      <c r="W5075" s="990"/>
      <c r="X5075" s="990"/>
    </row>
    <row r="5076" spans="1:24" s="896" customFormat="1">
      <c r="A5076" s="987">
        <f t="shared" si="80"/>
        <v>5002</v>
      </c>
      <c r="B5076" s="988">
        <v>37994</v>
      </c>
      <c r="C5076" s="899" t="s">
        <v>14402</v>
      </c>
      <c r="D5076" s="988" t="s">
        <v>2666</v>
      </c>
      <c r="E5076" s="989">
        <v>176.53</v>
      </c>
      <c r="F5076" s="990"/>
      <c r="G5076" s="990"/>
      <c r="H5076" s="990"/>
      <c r="I5076" s="990"/>
      <c r="J5076" s="990"/>
      <c r="K5076" s="990"/>
      <c r="L5076" s="990"/>
      <c r="M5076" s="990"/>
      <c r="N5076" s="990"/>
      <c r="O5076" s="990"/>
      <c r="P5076" s="990"/>
      <c r="Q5076" s="990"/>
      <c r="R5076" s="990"/>
      <c r="S5076" s="990"/>
      <c r="T5076" s="990"/>
      <c r="U5076" s="990"/>
      <c r="V5076" s="990"/>
      <c r="W5076" s="990"/>
      <c r="X5076" s="990"/>
    </row>
    <row r="5077" spans="1:24" s="896" customFormat="1">
      <c r="A5077" s="987">
        <f t="shared" si="80"/>
        <v>5003</v>
      </c>
      <c r="B5077" s="988">
        <v>37995</v>
      </c>
      <c r="C5077" s="899" t="s">
        <v>14403</v>
      </c>
      <c r="D5077" s="988" t="s">
        <v>2666</v>
      </c>
      <c r="E5077" s="989">
        <v>256.20999999999998</v>
      </c>
      <c r="F5077" s="990"/>
      <c r="G5077" s="990"/>
      <c r="H5077" s="990"/>
      <c r="I5077" s="990"/>
      <c r="J5077" s="990"/>
      <c r="K5077" s="990"/>
      <c r="L5077" s="990"/>
      <c r="M5077" s="990"/>
      <c r="N5077" s="990"/>
      <c r="O5077" s="990"/>
      <c r="P5077" s="990"/>
      <c r="Q5077" s="990"/>
      <c r="R5077" s="990"/>
      <c r="S5077" s="990"/>
      <c r="T5077" s="990"/>
      <c r="U5077" s="990"/>
      <c r="V5077" s="990"/>
      <c r="W5077" s="990"/>
      <c r="X5077" s="990"/>
    </row>
    <row r="5078" spans="1:24" s="896" customFormat="1">
      <c r="A5078" s="987">
        <f t="shared" si="80"/>
        <v>5004</v>
      </c>
      <c r="B5078" s="988">
        <v>37996</v>
      </c>
      <c r="C5078" s="899" t="s">
        <v>14404</v>
      </c>
      <c r="D5078" s="988" t="s">
        <v>2666</v>
      </c>
      <c r="E5078" s="989">
        <v>377.77</v>
      </c>
      <c r="F5078" s="990"/>
      <c r="G5078" s="990"/>
      <c r="H5078" s="990"/>
      <c r="I5078" s="990"/>
      <c r="J5078" s="990"/>
      <c r="K5078" s="990"/>
      <c r="L5078" s="990"/>
      <c r="M5078" s="990"/>
      <c r="N5078" s="990"/>
      <c r="O5078" s="990"/>
      <c r="P5078" s="990"/>
      <c r="Q5078" s="990"/>
      <c r="R5078" s="990"/>
      <c r="S5078" s="990"/>
      <c r="T5078" s="990"/>
      <c r="U5078" s="990"/>
      <c r="V5078" s="990"/>
      <c r="W5078" s="990"/>
      <c r="X5078" s="990"/>
    </row>
    <row r="5079" spans="1:24" s="896" customFormat="1">
      <c r="A5079" s="987">
        <f t="shared" si="80"/>
        <v>5005</v>
      </c>
      <c r="B5079" s="988">
        <v>13883</v>
      </c>
      <c r="C5079" s="899" t="s">
        <v>14405</v>
      </c>
      <c r="D5079" s="988" t="s">
        <v>2666</v>
      </c>
      <c r="E5079" s="989">
        <v>134381.67000000001</v>
      </c>
      <c r="F5079" s="990"/>
      <c r="G5079" s="990"/>
      <c r="H5079" s="990"/>
      <c r="I5079" s="990"/>
      <c r="J5079" s="990"/>
      <c r="K5079" s="990"/>
      <c r="L5079" s="990"/>
      <c r="M5079" s="990"/>
      <c r="N5079" s="990"/>
      <c r="O5079" s="990"/>
      <c r="P5079" s="990"/>
      <c r="Q5079" s="990"/>
      <c r="R5079" s="990"/>
      <c r="S5079" s="990"/>
      <c r="T5079" s="990"/>
      <c r="U5079" s="990"/>
      <c r="V5079" s="990"/>
      <c r="W5079" s="990"/>
      <c r="X5079" s="990"/>
    </row>
    <row r="5080" spans="1:24" s="896" customFormat="1">
      <c r="A5080" s="987">
        <f t="shared" si="80"/>
        <v>5006</v>
      </c>
      <c r="B5080" s="988">
        <v>38604</v>
      </c>
      <c r="C5080" s="899" t="s">
        <v>14406</v>
      </c>
      <c r="D5080" s="988" t="s">
        <v>2666</v>
      </c>
      <c r="E5080" s="989">
        <v>167370.59</v>
      </c>
      <c r="F5080" s="990"/>
      <c r="G5080" s="990"/>
      <c r="H5080" s="990"/>
      <c r="I5080" s="990"/>
      <c r="J5080" s="990"/>
      <c r="K5080" s="990"/>
      <c r="L5080" s="990"/>
      <c r="M5080" s="990"/>
      <c r="N5080" s="990"/>
      <c r="O5080" s="990"/>
      <c r="P5080" s="990"/>
      <c r="Q5080" s="990"/>
      <c r="R5080" s="990"/>
      <c r="S5080" s="990"/>
      <c r="T5080" s="990"/>
      <c r="U5080" s="990"/>
      <c r="V5080" s="990"/>
      <c r="W5080" s="990"/>
      <c r="X5080" s="990"/>
    </row>
    <row r="5081" spans="1:24" s="896" customFormat="1" ht="25.5">
      <c r="A5081" s="987">
        <f t="shared" si="80"/>
        <v>5007</v>
      </c>
      <c r="B5081" s="988">
        <v>10601</v>
      </c>
      <c r="C5081" s="899" t="s">
        <v>14407</v>
      </c>
      <c r="D5081" s="988" t="s">
        <v>2666</v>
      </c>
      <c r="E5081" s="989">
        <v>3255691.84</v>
      </c>
      <c r="F5081" s="990"/>
      <c r="G5081" s="990"/>
      <c r="H5081" s="990"/>
      <c r="I5081" s="990"/>
      <c r="J5081" s="990"/>
      <c r="K5081" s="990"/>
      <c r="L5081" s="990"/>
      <c r="M5081" s="990"/>
      <c r="N5081" s="990"/>
      <c r="O5081" s="990"/>
      <c r="P5081" s="990"/>
      <c r="Q5081" s="990"/>
      <c r="R5081" s="990"/>
      <c r="S5081" s="990"/>
      <c r="T5081" s="990"/>
      <c r="U5081" s="990"/>
      <c r="V5081" s="990"/>
      <c r="W5081" s="990"/>
      <c r="X5081" s="990"/>
    </row>
    <row r="5082" spans="1:24" s="896" customFormat="1">
      <c r="A5082" s="987">
        <f t="shared" si="80"/>
        <v>5008</v>
      </c>
      <c r="B5082" s="988">
        <v>44469</v>
      </c>
      <c r="C5082" s="899" t="s">
        <v>14408</v>
      </c>
      <c r="D5082" s="988" t="s">
        <v>2666</v>
      </c>
      <c r="E5082" s="989">
        <v>8572121.7300000004</v>
      </c>
      <c r="F5082" s="990"/>
      <c r="G5082" s="990"/>
      <c r="H5082" s="990"/>
      <c r="I5082" s="990"/>
      <c r="J5082" s="990"/>
      <c r="K5082" s="990"/>
      <c r="L5082" s="990"/>
      <c r="M5082" s="990"/>
      <c r="N5082" s="990"/>
      <c r="O5082" s="990"/>
      <c r="P5082" s="990"/>
      <c r="Q5082" s="990"/>
      <c r="R5082" s="990"/>
      <c r="S5082" s="990"/>
      <c r="T5082" s="990"/>
      <c r="U5082" s="990"/>
      <c r="V5082" s="990"/>
      <c r="W5082" s="990"/>
      <c r="X5082" s="990"/>
    </row>
    <row r="5083" spans="1:24" s="896" customFormat="1">
      <c r="A5083" s="987">
        <f t="shared" si="80"/>
        <v>5009</v>
      </c>
      <c r="B5083" s="988">
        <v>13894</v>
      </c>
      <c r="C5083" s="899" t="s">
        <v>14409</v>
      </c>
      <c r="D5083" s="988" t="s">
        <v>2666</v>
      </c>
      <c r="E5083" s="989">
        <v>392649.25</v>
      </c>
      <c r="F5083" s="990"/>
      <c r="G5083" s="990"/>
      <c r="H5083" s="990"/>
      <c r="I5083" s="990"/>
      <c r="J5083" s="990"/>
      <c r="K5083" s="990"/>
      <c r="L5083" s="990"/>
      <c r="M5083" s="990"/>
      <c r="N5083" s="990"/>
      <c r="O5083" s="990"/>
      <c r="P5083" s="990"/>
      <c r="Q5083" s="990"/>
      <c r="R5083" s="990"/>
      <c r="S5083" s="990"/>
      <c r="T5083" s="990"/>
      <c r="U5083" s="990"/>
      <c r="V5083" s="990"/>
      <c r="W5083" s="990"/>
      <c r="X5083" s="990"/>
    </row>
    <row r="5084" spans="1:24" s="896" customFormat="1">
      <c r="A5084" s="987">
        <f t="shared" si="80"/>
        <v>5010</v>
      </c>
      <c r="B5084" s="988">
        <v>13895</v>
      </c>
      <c r="C5084" s="899" t="s">
        <v>14410</v>
      </c>
      <c r="D5084" s="988" t="s">
        <v>2666</v>
      </c>
      <c r="E5084" s="989">
        <v>527982.35</v>
      </c>
      <c r="F5084" s="990"/>
      <c r="G5084" s="990"/>
      <c r="H5084" s="990"/>
      <c r="I5084" s="990"/>
      <c r="J5084" s="990"/>
      <c r="K5084" s="990"/>
      <c r="L5084" s="990"/>
      <c r="M5084" s="990"/>
      <c r="N5084" s="990"/>
      <c r="O5084" s="990"/>
      <c r="P5084" s="990"/>
      <c r="Q5084" s="990"/>
      <c r="R5084" s="990"/>
      <c r="S5084" s="990"/>
      <c r="T5084" s="990"/>
      <c r="U5084" s="990"/>
      <c r="V5084" s="990"/>
      <c r="W5084" s="990"/>
      <c r="X5084" s="990"/>
    </row>
    <row r="5085" spans="1:24" s="896" customFormat="1">
      <c r="A5085" s="987">
        <f t="shared" si="80"/>
        <v>5011</v>
      </c>
      <c r="B5085" s="988">
        <v>13892</v>
      </c>
      <c r="C5085" s="899" t="s">
        <v>14411</v>
      </c>
      <c r="D5085" s="988" t="s">
        <v>2666</v>
      </c>
      <c r="E5085" s="989">
        <v>647029.46</v>
      </c>
      <c r="F5085" s="990"/>
      <c r="G5085" s="990"/>
      <c r="H5085" s="990"/>
      <c r="I5085" s="990"/>
      <c r="J5085" s="990"/>
      <c r="K5085" s="990"/>
      <c r="L5085" s="990"/>
      <c r="M5085" s="990"/>
      <c r="N5085" s="990"/>
      <c r="O5085" s="990"/>
      <c r="P5085" s="990"/>
      <c r="Q5085" s="990"/>
      <c r="R5085" s="990"/>
      <c r="S5085" s="990"/>
      <c r="T5085" s="990"/>
      <c r="U5085" s="990"/>
      <c r="V5085" s="990"/>
      <c r="W5085" s="990"/>
      <c r="X5085" s="990"/>
    </row>
    <row r="5086" spans="1:24" s="896" customFormat="1">
      <c r="A5086" s="987">
        <f t="shared" si="80"/>
        <v>5012</v>
      </c>
      <c r="B5086" s="988">
        <v>9914</v>
      </c>
      <c r="C5086" s="899" t="s">
        <v>14412</v>
      </c>
      <c r="D5086" s="988" t="s">
        <v>2666</v>
      </c>
      <c r="E5086" s="989">
        <v>700000</v>
      </c>
      <c r="F5086" s="990"/>
      <c r="G5086" s="990"/>
      <c r="H5086" s="990"/>
      <c r="I5086" s="990"/>
      <c r="J5086" s="990"/>
      <c r="K5086" s="990"/>
      <c r="L5086" s="990"/>
      <c r="M5086" s="990"/>
      <c r="N5086" s="990"/>
      <c r="O5086" s="990"/>
      <c r="P5086" s="990"/>
      <c r="Q5086" s="990"/>
      <c r="R5086" s="990"/>
      <c r="S5086" s="990"/>
      <c r="T5086" s="990"/>
      <c r="U5086" s="990"/>
      <c r="V5086" s="990"/>
      <c r="W5086" s="990"/>
      <c r="X5086" s="990"/>
    </row>
    <row r="5087" spans="1:24" s="896" customFormat="1" ht="38.25">
      <c r="A5087" s="987">
        <f t="shared" si="80"/>
        <v>5013</v>
      </c>
      <c r="B5087" s="988">
        <v>36485</v>
      </c>
      <c r="C5087" s="899" t="s">
        <v>14413</v>
      </c>
      <c r="D5087" s="988" t="s">
        <v>2666</v>
      </c>
      <c r="E5087" s="989">
        <v>705486.27</v>
      </c>
      <c r="F5087" s="990"/>
      <c r="G5087" s="990"/>
      <c r="H5087" s="990"/>
      <c r="I5087" s="990"/>
      <c r="J5087" s="990"/>
      <c r="K5087" s="990"/>
      <c r="L5087" s="990"/>
      <c r="M5087" s="990"/>
      <c r="N5087" s="990"/>
      <c r="O5087" s="990"/>
      <c r="P5087" s="990"/>
      <c r="Q5087" s="990"/>
      <c r="R5087" s="990"/>
      <c r="S5087" s="990"/>
      <c r="T5087" s="990"/>
      <c r="U5087" s="990"/>
      <c r="V5087" s="990"/>
      <c r="W5087" s="990"/>
      <c r="X5087" s="990"/>
    </row>
    <row r="5088" spans="1:24" s="896" customFormat="1" ht="25.5">
      <c r="A5088" s="987">
        <f t="shared" si="80"/>
        <v>5014</v>
      </c>
      <c r="B5088" s="988">
        <v>9912</v>
      </c>
      <c r="C5088" s="899" t="s">
        <v>14414</v>
      </c>
      <c r="D5088" s="988" t="s">
        <v>2666</v>
      </c>
      <c r="E5088" s="989">
        <v>2650500</v>
      </c>
      <c r="F5088" s="990"/>
      <c r="G5088" s="990"/>
      <c r="H5088" s="990"/>
      <c r="I5088" s="990"/>
      <c r="J5088" s="990"/>
      <c r="K5088" s="990"/>
      <c r="L5088" s="990"/>
      <c r="M5088" s="990"/>
      <c r="N5088" s="990"/>
      <c r="O5088" s="990"/>
      <c r="P5088" s="990"/>
      <c r="Q5088" s="990"/>
      <c r="R5088" s="990"/>
      <c r="S5088" s="990"/>
      <c r="T5088" s="990"/>
      <c r="U5088" s="990"/>
      <c r="V5088" s="990"/>
      <c r="W5088" s="990"/>
      <c r="X5088" s="990"/>
    </row>
    <row r="5089" spans="1:24" s="896" customFormat="1" ht="25.5">
      <c r="A5089" s="987">
        <f t="shared" si="80"/>
        <v>5015</v>
      </c>
      <c r="B5089" s="988">
        <v>9921</v>
      </c>
      <c r="C5089" s="899" t="s">
        <v>14415</v>
      </c>
      <c r="D5089" s="988" t="s">
        <v>2666</v>
      </c>
      <c r="E5089" s="989">
        <v>1367253.26</v>
      </c>
      <c r="F5089" s="990"/>
      <c r="G5089" s="990"/>
      <c r="H5089" s="990"/>
      <c r="I5089" s="990"/>
      <c r="J5089" s="990"/>
      <c r="K5089" s="990"/>
      <c r="L5089" s="990"/>
      <c r="M5089" s="990"/>
      <c r="N5089" s="990"/>
      <c r="O5089" s="990"/>
      <c r="P5089" s="990"/>
      <c r="Q5089" s="990"/>
      <c r="R5089" s="990"/>
      <c r="S5089" s="990"/>
      <c r="T5089" s="990"/>
      <c r="U5089" s="990"/>
      <c r="V5089" s="990"/>
      <c r="W5089" s="990"/>
      <c r="X5089" s="990"/>
    </row>
    <row r="5090" spans="1:24" s="896" customFormat="1" ht="25.5">
      <c r="A5090" s="987">
        <f t="shared" si="80"/>
        <v>5016</v>
      </c>
      <c r="B5090" s="988">
        <v>21112</v>
      </c>
      <c r="C5090" s="899" t="s">
        <v>14416</v>
      </c>
      <c r="D5090" s="988" t="s">
        <v>2666</v>
      </c>
      <c r="E5090" s="989">
        <v>230.69</v>
      </c>
      <c r="F5090" s="990"/>
      <c r="G5090" s="990"/>
      <c r="H5090" s="990"/>
      <c r="I5090" s="990"/>
      <c r="J5090" s="990"/>
      <c r="K5090" s="990"/>
      <c r="L5090" s="990"/>
      <c r="M5090" s="990"/>
      <c r="N5090" s="990"/>
      <c r="O5090" s="990"/>
      <c r="P5090" s="990"/>
      <c r="Q5090" s="990"/>
      <c r="R5090" s="990"/>
      <c r="S5090" s="990"/>
      <c r="T5090" s="990"/>
      <c r="U5090" s="990"/>
      <c r="V5090" s="990"/>
      <c r="W5090" s="990"/>
      <c r="X5090" s="990"/>
    </row>
    <row r="5091" spans="1:24" s="896" customFormat="1">
      <c r="A5091" s="987">
        <f t="shared" si="80"/>
        <v>5017</v>
      </c>
      <c r="B5091" s="988">
        <v>10228</v>
      </c>
      <c r="C5091" s="899" t="s">
        <v>14417</v>
      </c>
      <c r="D5091" s="988" t="s">
        <v>2666</v>
      </c>
      <c r="E5091" s="989">
        <v>268</v>
      </c>
      <c r="F5091" s="990"/>
      <c r="G5091" s="990"/>
      <c r="H5091" s="990"/>
      <c r="I5091" s="990"/>
      <c r="J5091" s="990"/>
      <c r="K5091" s="990"/>
      <c r="L5091" s="990"/>
      <c r="M5091" s="990"/>
      <c r="N5091" s="990"/>
      <c r="O5091" s="990"/>
      <c r="P5091" s="990"/>
      <c r="Q5091" s="990"/>
      <c r="R5091" s="990"/>
      <c r="S5091" s="990"/>
      <c r="T5091" s="990"/>
      <c r="U5091" s="990"/>
      <c r="V5091" s="990"/>
      <c r="W5091" s="990"/>
      <c r="X5091" s="990"/>
    </row>
    <row r="5092" spans="1:24" s="896" customFormat="1">
      <c r="A5092" s="987">
        <f t="shared" si="80"/>
        <v>5018</v>
      </c>
      <c r="B5092" s="988">
        <v>11781</v>
      </c>
      <c r="C5092" s="899" t="s">
        <v>14418</v>
      </c>
      <c r="D5092" s="988" t="s">
        <v>2666</v>
      </c>
      <c r="E5092" s="989">
        <v>217.11</v>
      </c>
      <c r="F5092" s="990"/>
      <c r="G5092" s="990"/>
      <c r="H5092" s="990"/>
      <c r="I5092" s="990"/>
      <c r="J5092" s="990"/>
      <c r="K5092" s="990"/>
      <c r="L5092" s="990"/>
      <c r="M5092" s="990"/>
      <c r="N5092" s="990"/>
      <c r="O5092" s="990"/>
      <c r="P5092" s="990"/>
      <c r="Q5092" s="990"/>
      <c r="R5092" s="990"/>
      <c r="S5092" s="990"/>
      <c r="T5092" s="990"/>
      <c r="U5092" s="990"/>
      <c r="V5092" s="990"/>
      <c r="W5092" s="990"/>
      <c r="X5092" s="990"/>
    </row>
    <row r="5093" spans="1:24" s="896" customFormat="1" ht="25.5">
      <c r="A5093" s="987">
        <f t="shared" si="80"/>
        <v>5019</v>
      </c>
      <c r="B5093" s="988">
        <v>37588</v>
      </c>
      <c r="C5093" s="899" t="s">
        <v>14419</v>
      </c>
      <c r="D5093" s="988" t="s">
        <v>2666</v>
      </c>
      <c r="E5093" s="989">
        <v>114.7</v>
      </c>
      <c r="F5093" s="990"/>
      <c r="G5093" s="990"/>
      <c r="H5093" s="990"/>
      <c r="I5093" s="990"/>
      <c r="J5093" s="990"/>
      <c r="K5093" s="990"/>
      <c r="L5093" s="990"/>
      <c r="M5093" s="990"/>
      <c r="N5093" s="990"/>
      <c r="O5093" s="990"/>
      <c r="P5093" s="990"/>
      <c r="Q5093" s="990"/>
      <c r="R5093" s="990"/>
      <c r="S5093" s="990"/>
      <c r="T5093" s="990"/>
      <c r="U5093" s="990"/>
      <c r="V5093" s="990"/>
      <c r="W5093" s="990"/>
      <c r="X5093" s="990"/>
    </row>
    <row r="5094" spans="1:24" s="896" customFormat="1">
      <c r="A5094" s="987">
        <f t="shared" si="80"/>
        <v>5020</v>
      </c>
      <c r="B5094" s="988">
        <v>11746</v>
      </c>
      <c r="C5094" s="899" t="s">
        <v>14420</v>
      </c>
      <c r="D5094" s="988" t="s">
        <v>2666</v>
      </c>
      <c r="E5094" s="989">
        <v>72.53</v>
      </c>
      <c r="F5094" s="990"/>
      <c r="G5094" s="990"/>
      <c r="H5094" s="990"/>
      <c r="I5094" s="990"/>
      <c r="J5094" s="990"/>
      <c r="K5094" s="990"/>
      <c r="L5094" s="990"/>
      <c r="M5094" s="990"/>
      <c r="N5094" s="990"/>
      <c r="O5094" s="990"/>
      <c r="P5094" s="990"/>
      <c r="Q5094" s="990"/>
      <c r="R5094" s="990"/>
      <c r="S5094" s="990"/>
      <c r="T5094" s="990"/>
      <c r="U5094" s="990"/>
      <c r="V5094" s="990"/>
      <c r="W5094" s="990"/>
      <c r="X5094" s="990"/>
    </row>
    <row r="5095" spans="1:24" s="896" customFormat="1">
      <c r="A5095" s="987">
        <f t="shared" si="80"/>
        <v>5021</v>
      </c>
      <c r="B5095" s="988">
        <v>11751</v>
      </c>
      <c r="C5095" s="899" t="s">
        <v>14421</v>
      </c>
      <c r="D5095" s="988" t="s">
        <v>2666</v>
      </c>
      <c r="E5095" s="989">
        <v>130.27000000000001</v>
      </c>
      <c r="F5095" s="990"/>
      <c r="G5095" s="990"/>
      <c r="H5095" s="990"/>
      <c r="I5095" s="990"/>
      <c r="J5095" s="990"/>
      <c r="K5095" s="990"/>
      <c r="L5095" s="990"/>
      <c r="M5095" s="990"/>
      <c r="N5095" s="990"/>
      <c r="O5095" s="990"/>
      <c r="P5095" s="990"/>
      <c r="Q5095" s="990"/>
      <c r="R5095" s="990"/>
      <c r="S5095" s="990"/>
      <c r="T5095" s="990"/>
      <c r="U5095" s="990"/>
      <c r="V5095" s="990"/>
      <c r="W5095" s="990"/>
      <c r="X5095" s="990"/>
    </row>
    <row r="5096" spans="1:24" s="896" customFormat="1">
      <c r="A5096" s="987">
        <f t="shared" si="80"/>
        <v>5022</v>
      </c>
      <c r="B5096" s="988">
        <v>11750</v>
      </c>
      <c r="C5096" s="899" t="s">
        <v>14422</v>
      </c>
      <c r="D5096" s="988" t="s">
        <v>2666</v>
      </c>
      <c r="E5096" s="989">
        <v>108.1</v>
      </c>
      <c r="F5096" s="990"/>
      <c r="G5096" s="990"/>
      <c r="H5096" s="990"/>
      <c r="I5096" s="990"/>
      <c r="J5096" s="990"/>
      <c r="K5096" s="990"/>
      <c r="L5096" s="990"/>
      <c r="M5096" s="990"/>
      <c r="N5096" s="990"/>
      <c r="O5096" s="990"/>
      <c r="P5096" s="990"/>
      <c r="Q5096" s="990"/>
      <c r="R5096" s="990"/>
      <c r="S5096" s="990"/>
      <c r="T5096" s="990"/>
      <c r="U5096" s="990"/>
      <c r="V5096" s="990"/>
      <c r="W5096" s="990"/>
      <c r="X5096" s="990"/>
    </row>
    <row r="5097" spans="1:24" s="896" customFormat="1">
      <c r="A5097" s="987">
        <f t="shared" si="80"/>
        <v>5023</v>
      </c>
      <c r="B5097" s="988">
        <v>11748</v>
      </c>
      <c r="C5097" s="899" t="s">
        <v>14423</v>
      </c>
      <c r="D5097" s="988" t="s">
        <v>2666</v>
      </c>
      <c r="E5097" s="989">
        <v>46.54</v>
      </c>
      <c r="F5097" s="990"/>
      <c r="G5097" s="990"/>
      <c r="H5097" s="990"/>
      <c r="I5097" s="990"/>
      <c r="J5097" s="990"/>
      <c r="K5097" s="990"/>
      <c r="L5097" s="990"/>
      <c r="M5097" s="990"/>
      <c r="N5097" s="990"/>
      <c r="O5097" s="990"/>
      <c r="P5097" s="990"/>
      <c r="Q5097" s="990"/>
      <c r="R5097" s="990"/>
      <c r="S5097" s="990"/>
      <c r="T5097" s="990"/>
      <c r="U5097" s="990"/>
      <c r="V5097" s="990"/>
      <c r="W5097" s="990"/>
      <c r="X5097" s="990"/>
    </row>
    <row r="5098" spans="1:24" s="896" customFormat="1">
      <c r="A5098" s="987">
        <f t="shared" si="80"/>
        <v>5024</v>
      </c>
      <c r="B5098" s="988">
        <v>11747</v>
      </c>
      <c r="C5098" s="899" t="s">
        <v>14424</v>
      </c>
      <c r="D5098" s="988" t="s">
        <v>2666</v>
      </c>
      <c r="E5098" s="989">
        <v>200.87</v>
      </c>
      <c r="F5098" s="990"/>
      <c r="G5098" s="990"/>
      <c r="H5098" s="990"/>
      <c r="I5098" s="990"/>
      <c r="J5098" s="990"/>
      <c r="K5098" s="990"/>
      <c r="L5098" s="990"/>
      <c r="M5098" s="990"/>
      <c r="N5098" s="990"/>
      <c r="O5098" s="990"/>
      <c r="P5098" s="990"/>
      <c r="Q5098" s="990"/>
      <c r="R5098" s="990"/>
      <c r="S5098" s="990"/>
      <c r="T5098" s="990"/>
      <c r="U5098" s="990"/>
      <c r="V5098" s="990"/>
      <c r="W5098" s="990"/>
      <c r="X5098" s="990"/>
    </row>
    <row r="5099" spans="1:24" s="896" customFormat="1">
      <c r="A5099" s="987">
        <f t="shared" si="80"/>
        <v>5025</v>
      </c>
      <c r="B5099" s="988">
        <v>11749</v>
      </c>
      <c r="C5099" s="899" t="s">
        <v>14425</v>
      </c>
      <c r="D5099" s="988" t="s">
        <v>2666</v>
      </c>
      <c r="E5099" s="989">
        <v>53.72</v>
      </c>
      <c r="F5099" s="990"/>
      <c r="G5099" s="990"/>
      <c r="H5099" s="990"/>
      <c r="I5099" s="990"/>
      <c r="J5099" s="990"/>
      <c r="K5099" s="990"/>
      <c r="L5099" s="990"/>
      <c r="M5099" s="990"/>
      <c r="N5099" s="990"/>
      <c r="O5099" s="990"/>
      <c r="P5099" s="990"/>
      <c r="Q5099" s="990"/>
      <c r="R5099" s="990"/>
      <c r="S5099" s="990"/>
      <c r="T5099" s="990"/>
      <c r="U5099" s="990"/>
      <c r="V5099" s="990"/>
      <c r="W5099" s="990"/>
      <c r="X5099" s="990"/>
    </row>
    <row r="5100" spans="1:24" s="896" customFormat="1" ht="25.5">
      <c r="A5100" s="987">
        <f t="shared" si="80"/>
        <v>5026</v>
      </c>
      <c r="B5100" s="988">
        <v>10236</v>
      </c>
      <c r="C5100" s="899" t="s">
        <v>14426</v>
      </c>
      <c r="D5100" s="988" t="s">
        <v>2666</v>
      </c>
      <c r="E5100" s="989">
        <v>108.64</v>
      </c>
      <c r="F5100" s="990"/>
      <c r="G5100" s="990"/>
      <c r="H5100" s="990"/>
      <c r="I5100" s="990"/>
      <c r="J5100" s="990"/>
      <c r="K5100" s="990"/>
      <c r="L5100" s="990"/>
      <c r="M5100" s="990"/>
      <c r="N5100" s="990"/>
      <c r="O5100" s="990"/>
      <c r="P5100" s="990"/>
      <c r="Q5100" s="990"/>
      <c r="R5100" s="990"/>
      <c r="S5100" s="990"/>
      <c r="T5100" s="990"/>
      <c r="U5100" s="990"/>
      <c r="V5100" s="990"/>
      <c r="W5100" s="990"/>
      <c r="X5100" s="990"/>
    </row>
    <row r="5101" spans="1:24" s="896" customFormat="1" ht="25.5">
      <c r="A5101" s="987">
        <f t="shared" si="80"/>
        <v>5027</v>
      </c>
      <c r="B5101" s="988">
        <v>10233</v>
      </c>
      <c r="C5101" s="899" t="s">
        <v>14427</v>
      </c>
      <c r="D5101" s="988" t="s">
        <v>2666</v>
      </c>
      <c r="E5101" s="989">
        <v>101.81</v>
      </c>
      <c r="F5101" s="990"/>
      <c r="G5101" s="990"/>
      <c r="H5101" s="990"/>
      <c r="I5101" s="990"/>
      <c r="J5101" s="990"/>
      <c r="K5101" s="990"/>
      <c r="L5101" s="990"/>
      <c r="M5101" s="990"/>
      <c r="N5101" s="990"/>
      <c r="O5101" s="990"/>
      <c r="P5101" s="990"/>
      <c r="Q5101" s="990"/>
      <c r="R5101" s="990"/>
      <c r="S5101" s="990"/>
      <c r="T5101" s="990"/>
      <c r="U5101" s="990"/>
      <c r="V5101" s="990"/>
      <c r="W5101" s="990"/>
      <c r="X5101" s="990"/>
    </row>
    <row r="5102" spans="1:24" s="896" customFormat="1" ht="25.5">
      <c r="A5102" s="987">
        <f t="shared" si="80"/>
        <v>5028</v>
      </c>
      <c r="B5102" s="988">
        <v>10234</v>
      </c>
      <c r="C5102" s="899" t="s">
        <v>14428</v>
      </c>
      <c r="D5102" s="988" t="s">
        <v>2666</v>
      </c>
      <c r="E5102" s="989">
        <v>64.13</v>
      </c>
      <c r="F5102" s="990"/>
      <c r="G5102" s="990"/>
      <c r="H5102" s="990"/>
      <c r="I5102" s="990"/>
      <c r="J5102" s="990"/>
      <c r="K5102" s="990"/>
      <c r="L5102" s="990"/>
      <c r="M5102" s="990"/>
      <c r="N5102" s="990"/>
      <c r="O5102" s="990"/>
      <c r="P5102" s="990"/>
      <c r="Q5102" s="990"/>
      <c r="R5102" s="990"/>
      <c r="S5102" s="990"/>
      <c r="T5102" s="990"/>
      <c r="U5102" s="990"/>
      <c r="V5102" s="990"/>
      <c r="W5102" s="990"/>
      <c r="X5102" s="990"/>
    </row>
    <row r="5103" spans="1:24" s="896" customFormat="1" ht="25.5">
      <c r="A5103" s="987">
        <f t="shared" si="80"/>
        <v>5029</v>
      </c>
      <c r="B5103" s="988">
        <v>10231</v>
      </c>
      <c r="C5103" s="899" t="s">
        <v>14429</v>
      </c>
      <c r="D5103" s="988" t="s">
        <v>2666</v>
      </c>
      <c r="E5103" s="989">
        <v>294.08999999999997</v>
      </c>
      <c r="F5103" s="990"/>
      <c r="G5103" s="990"/>
      <c r="H5103" s="990"/>
      <c r="I5103" s="990"/>
      <c r="J5103" s="990"/>
      <c r="K5103" s="990"/>
      <c r="L5103" s="990"/>
      <c r="M5103" s="990"/>
      <c r="N5103" s="990"/>
      <c r="O5103" s="990"/>
      <c r="P5103" s="990"/>
      <c r="Q5103" s="990"/>
      <c r="R5103" s="990"/>
      <c r="S5103" s="990"/>
      <c r="T5103" s="990"/>
      <c r="U5103" s="990"/>
      <c r="V5103" s="990"/>
      <c r="W5103" s="990"/>
      <c r="X5103" s="990"/>
    </row>
    <row r="5104" spans="1:24" s="896" customFormat="1" ht="25.5">
      <c r="A5104" s="987">
        <f t="shared" si="80"/>
        <v>5030</v>
      </c>
      <c r="B5104" s="988">
        <v>10232</v>
      </c>
      <c r="C5104" s="899" t="s">
        <v>14430</v>
      </c>
      <c r="D5104" s="988" t="s">
        <v>2666</v>
      </c>
      <c r="E5104" s="989">
        <v>164.57</v>
      </c>
      <c r="F5104" s="990"/>
      <c r="G5104" s="990"/>
      <c r="H5104" s="990"/>
      <c r="I5104" s="990"/>
      <c r="J5104" s="990"/>
      <c r="K5104" s="990"/>
      <c r="L5104" s="990"/>
      <c r="M5104" s="990"/>
      <c r="N5104" s="990"/>
      <c r="O5104" s="990"/>
      <c r="P5104" s="990"/>
      <c r="Q5104" s="990"/>
      <c r="R5104" s="990"/>
      <c r="S5104" s="990"/>
      <c r="T5104" s="990"/>
      <c r="U5104" s="990"/>
      <c r="V5104" s="990"/>
      <c r="W5104" s="990"/>
      <c r="X5104" s="990"/>
    </row>
    <row r="5105" spans="1:24" s="896" customFormat="1" ht="25.5">
      <c r="A5105" s="987">
        <f t="shared" si="80"/>
        <v>5031</v>
      </c>
      <c r="B5105" s="988">
        <v>10229</v>
      </c>
      <c r="C5105" s="899" t="s">
        <v>14431</v>
      </c>
      <c r="D5105" s="988" t="s">
        <v>2666</v>
      </c>
      <c r="E5105" s="989">
        <v>58</v>
      </c>
      <c r="F5105" s="990"/>
      <c r="G5105" s="990"/>
      <c r="H5105" s="990"/>
      <c r="I5105" s="990"/>
      <c r="J5105" s="990"/>
      <c r="K5105" s="990"/>
      <c r="L5105" s="990"/>
      <c r="M5105" s="990"/>
      <c r="N5105" s="990"/>
      <c r="O5105" s="990"/>
      <c r="P5105" s="990"/>
      <c r="Q5105" s="990"/>
      <c r="R5105" s="990"/>
      <c r="S5105" s="990"/>
      <c r="T5105" s="990"/>
      <c r="U5105" s="990"/>
      <c r="V5105" s="990"/>
      <c r="W5105" s="990"/>
      <c r="X5105" s="990"/>
    </row>
    <row r="5106" spans="1:24" s="896" customFormat="1" ht="25.5">
      <c r="A5106" s="987">
        <f t="shared" si="80"/>
        <v>5032</v>
      </c>
      <c r="B5106" s="988">
        <v>10235</v>
      </c>
      <c r="C5106" s="899" t="s">
        <v>14432</v>
      </c>
      <c r="D5106" s="988" t="s">
        <v>2666</v>
      </c>
      <c r="E5106" s="989">
        <v>403.17</v>
      </c>
      <c r="F5106" s="990"/>
      <c r="G5106" s="990"/>
      <c r="H5106" s="990"/>
      <c r="I5106" s="990"/>
      <c r="J5106" s="990"/>
      <c r="K5106" s="990"/>
      <c r="L5106" s="990"/>
      <c r="M5106" s="990"/>
      <c r="N5106" s="990"/>
      <c r="O5106" s="990"/>
      <c r="P5106" s="990"/>
      <c r="Q5106" s="990"/>
      <c r="R5106" s="990"/>
      <c r="S5106" s="990"/>
      <c r="T5106" s="990"/>
      <c r="U5106" s="990"/>
      <c r="V5106" s="990"/>
      <c r="W5106" s="990"/>
      <c r="X5106" s="990"/>
    </row>
    <row r="5107" spans="1:24" s="896" customFormat="1" ht="25.5">
      <c r="A5107" s="987">
        <f t="shared" si="80"/>
        <v>5033</v>
      </c>
      <c r="B5107" s="988">
        <v>10230</v>
      </c>
      <c r="C5107" s="899" t="s">
        <v>14433</v>
      </c>
      <c r="D5107" s="988" t="s">
        <v>2666</v>
      </c>
      <c r="E5107" s="989">
        <v>709.54</v>
      </c>
      <c r="F5107" s="990"/>
      <c r="G5107" s="990"/>
      <c r="H5107" s="990"/>
      <c r="I5107" s="990"/>
      <c r="J5107" s="990"/>
      <c r="K5107" s="990"/>
      <c r="L5107" s="990"/>
      <c r="M5107" s="990"/>
      <c r="N5107" s="990"/>
      <c r="O5107" s="990"/>
      <c r="P5107" s="990"/>
      <c r="Q5107" s="990"/>
      <c r="R5107" s="990"/>
      <c r="S5107" s="990"/>
      <c r="T5107" s="990"/>
      <c r="U5107" s="990"/>
      <c r="V5107" s="990"/>
      <c r="W5107" s="990"/>
      <c r="X5107" s="990"/>
    </row>
    <row r="5108" spans="1:24" s="896" customFormat="1" ht="25.5">
      <c r="A5108" s="987">
        <f t="shared" si="80"/>
        <v>5034</v>
      </c>
      <c r="B5108" s="988">
        <v>10409</v>
      </c>
      <c r="C5108" s="899" t="s">
        <v>14434</v>
      </c>
      <c r="D5108" s="988" t="s">
        <v>2666</v>
      </c>
      <c r="E5108" s="989">
        <v>210.8</v>
      </c>
      <c r="F5108" s="990"/>
      <c r="G5108" s="990"/>
      <c r="H5108" s="990"/>
      <c r="I5108" s="990"/>
      <c r="J5108" s="990"/>
      <c r="K5108" s="990"/>
      <c r="L5108" s="990"/>
      <c r="M5108" s="990"/>
      <c r="N5108" s="990"/>
      <c r="O5108" s="990"/>
      <c r="P5108" s="990"/>
      <c r="Q5108" s="990"/>
      <c r="R5108" s="990"/>
      <c r="S5108" s="990"/>
      <c r="T5108" s="990"/>
      <c r="U5108" s="990"/>
      <c r="V5108" s="990"/>
      <c r="W5108" s="990"/>
      <c r="X5108" s="990"/>
    </row>
    <row r="5109" spans="1:24" s="896" customFormat="1" ht="25.5">
      <c r="A5109" s="987">
        <f t="shared" si="80"/>
        <v>5035</v>
      </c>
      <c r="B5109" s="988">
        <v>10411</v>
      </c>
      <c r="C5109" s="899" t="s">
        <v>14435</v>
      </c>
      <c r="D5109" s="988" t="s">
        <v>2666</v>
      </c>
      <c r="E5109" s="989">
        <v>188.62</v>
      </c>
      <c r="F5109" s="990"/>
      <c r="G5109" s="990"/>
      <c r="H5109" s="990"/>
      <c r="I5109" s="990"/>
      <c r="J5109" s="990"/>
      <c r="K5109" s="990"/>
      <c r="L5109" s="990"/>
      <c r="M5109" s="990"/>
      <c r="N5109" s="990"/>
      <c r="O5109" s="990"/>
      <c r="P5109" s="990"/>
      <c r="Q5109" s="990"/>
      <c r="R5109" s="990"/>
      <c r="S5109" s="990"/>
      <c r="T5109" s="990"/>
      <c r="U5109" s="990"/>
      <c r="V5109" s="990"/>
      <c r="W5109" s="990"/>
      <c r="X5109" s="990"/>
    </row>
    <row r="5110" spans="1:24" s="896" customFormat="1" ht="25.5">
      <c r="A5110" s="987">
        <f t="shared" si="80"/>
        <v>5036</v>
      </c>
      <c r="B5110" s="988">
        <v>10404</v>
      </c>
      <c r="C5110" s="899" t="s">
        <v>14436</v>
      </c>
      <c r="D5110" s="988" t="s">
        <v>2666</v>
      </c>
      <c r="E5110" s="989">
        <v>76.489999999999995</v>
      </c>
      <c r="F5110" s="990"/>
      <c r="G5110" s="990"/>
      <c r="H5110" s="990"/>
      <c r="I5110" s="990"/>
      <c r="J5110" s="990"/>
      <c r="K5110" s="990"/>
      <c r="L5110" s="990"/>
      <c r="M5110" s="990"/>
      <c r="N5110" s="990"/>
      <c r="O5110" s="990"/>
      <c r="P5110" s="990"/>
      <c r="Q5110" s="990"/>
      <c r="R5110" s="990"/>
      <c r="S5110" s="990"/>
      <c r="T5110" s="990"/>
      <c r="U5110" s="990"/>
      <c r="V5110" s="990"/>
      <c r="W5110" s="990"/>
      <c r="X5110" s="990"/>
    </row>
    <row r="5111" spans="1:24" s="896" customFormat="1" ht="25.5">
      <c r="A5111" s="987">
        <f t="shared" si="80"/>
        <v>5037</v>
      </c>
      <c r="B5111" s="988">
        <v>10410</v>
      </c>
      <c r="C5111" s="899" t="s">
        <v>14437</v>
      </c>
      <c r="D5111" s="988" t="s">
        <v>2666</v>
      </c>
      <c r="E5111" s="989">
        <v>126</v>
      </c>
      <c r="F5111" s="990"/>
      <c r="G5111" s="990"/>
      <c r="H5111" s="990"/>
      <c r="I5111" s="990"/>
      <c r="J5111" s="990"/>
      <c r="K5111" s="990"/>
      <c r="L5111" s="990"/>
      <c r="M5111" s="990"/>
      <c r="N5111" s="990"/>
      <c r="O5111" s="990"/>
      <c r="P5111" s="990"/>
      <c r="Q5111" s="990"/>
      <c r="R5111" s="990"/>
      <c r="S5111" s="990"/>
      <c r="T5111" s="990"/>
      <c r="U5111" s="990"/>
      <c r="V5111" s="990"/>
      <c r="W5111" s="990"/>
      <c r="X5111" s="990"/>
    </row>
    <row r="5112" spans="1:24" s="896" customFormat="1" ht="25.5">
      <c r="A5112" s="987">
        <f t="shared" si="80"/>
        <v>5038</v>
      </c>
      <c r="B5112" s="988">
        <v>10405</v>
      </c>
      <c r="C5112" s="899" t="s">
        <v>14438</v>
      </c>
      <c r="D5112" s="988" t="s">
        <v>2666</v>
      </c>
      <c r="E5112" s="989">
        <v>422.33</v>
      </c>
      <c r="F5112" s="990"/>
      <c r="G5112" s="990"/>
      <c r="H5112" s="990"/>
      <c r="I5112" s="990"/>
      <c r="J5112" s="990"/>
      <c r="K5112" s="990"/>
      <c r="L5112" s="990"/>
      <c r="M5112" s="990"/>
      <c r="N5112" s="990"/>
      <c r="O5112" s="990"/>
      <c r="P5112" s="990"/>
      <c r="Q5112" s="990"/>
      <c r="R5112" s="990"/>
      <c r="S5112" s="990"/>
      <c r="T5112" s="990"/>
      <c r="U5112" s="990"/>
      <c r="V5112" s="990"/>
      <c r="W5112" s="990"/>
      <c r="X5112" s="990"/>
    </row>
    <row r="5113" spans="1:24" s="896" customFormat="1" ht="25.5">
      <c r="A5113" s="987">
        <f t="shared" si="80"/>
        <v>5039</v>
      </c>
      <c r="B5113" s="988">
        <v>10408</v>
      </c>
      <c r="C5113" s="899" t="s">
        <v>14439</v>
      </c>
      <c r="D5113" s="988" t="s">
        <v>2666</v>
      </c>
      <c r="E5113" s="989">
        <v>295.33</v>
      </c>
      <c r="F5113" s="990"/>
      <c r="G5113" s="990"/>
      <c r="H5113" s="990"/>
      <c r="I5113" s="990"/>
      <c r="J5113" s="990"/>
      <c r="K5113" s="990"/>
      <c r="L5113" s="990"/>
      <c r="M5113" s="990"/>
      <c r="N5113" s="990"/>
      <c r="O5113" s="990"/>
      <c r="P5113" s="990"/>
      <c r="Q5113" s="990"/>
      <c r="R5113" s="990"/>
      <c r="S5113" s="990"/>
      <c r="T5113" s="990"/>
      <c r="U5113" s="990"/>
      <c r="V5113" s="990"/>
      <c r="W5113" s="990"/>
      <c r="X5113" s="990"/>
    </row>
    <row r="5114" spans="1:24" s="896" customFormat="1" ht="25.5">
      <c r="A5114" s="987">
        <f t="shared" si="80"/>
        <v>5040</v>
      </c>
      <c r="B5114" s="988">
        <v>10412</v>
      </c>
      <c r="C5114" s="899" t="s">
        <v>14440</v>
      </c>
      <c r="D5114" s="988" t="s">
        <v>2666</v>
      </c>
      <c r="E5114" s="989">
        <v>92.7</v>
      </c>
      <c r="F5114" s="990"/>
      <c r="G5114" s="990"/>
      <c r="H5114" s="990"/>
      <c r="I5114" s="990"/>
      <c r="J5114" s="990"/>
      <c r="K5114" s="990"/>
      <c r="L5114" s="990"/>
      <c r="M5114" s="990"/>
      <c r="N5114" s="990"/>
      <c r="O5114" s="990"/>
      <c r="P5114" s="990"/>
      <c r="Q5114" s="990"/>
      <c r="R5114" s="990"/>
      <c r="S5114" s="990"/>
      <c r="T5114" s="990"/>
      <c r="U5114" s="990"/>
      <c r="V5114" s="990"/>
      <c r="W5114" s="990"/>
      <c r="X5114" s="990"/>
    </row>
    <row r="5115" spans="1:24" s="896" customFormat="1" ht="25.5">
      <c r="A5115" s="987">
        <f t="shared" si="80"/>
        <v>5041</v>
      </c>
      <c r="B5115" s="988">
        <v>10406</v>
      </c>
      <c r="C5115" s="899" t="s">
        <v>14441</v>
      </c>
      <c r="D5115" s="988" t="s">
        <v>2666</v>
      </c>
      <c r="E5115" s="989">
        <v>583.32000000000005</v>
      </c>
      <c r="F5115" s="990"/>
      <c r="G5115" s="990"/>
      <c r="H5115" s="990"/>
      <c r="I5115" s="990"/>
      <c r="J5115" s="990"/>
      <c r="K5115" s="990"/>
      <c r="L5115" s="990"/>
      <c r="M5115" s="990"/>
      <c r="N5115" s="990"/>
      <c r="O5115" s="990"/>
      <c r="P5115" s="990"/>
      <c r="Q5115" s="990"/>
      <c r="R5115" s="990"/>
      <c r="S5115" s="990"/>
      <c r="T5115" s="990"/>
      <c r="U5115" s="990"/>
      <c r="V5115" s="990"/>
      <c r="W5115" s="990"/>
      <c r="X5115" s="990"/>
    </row>
    <row r="5116" spans="1:24" s="896" customFormat="1" ht="25.5">
      <c r="A5116" s="987">
        <f t="shared" si="80"/>
        <v>5042</v>
      </c>
      <c r="B5116" s="988">
        <v>10407</v>
      </c>
      <c r="C5116" s="899" t="s">
        <v>14442</v>
      </c>
      <c r="D5116" s="988" t="s">
        <v>2666</v>
      </c>
      <c r="E5116" s="989">
        <v>904.74</v>
      </c>
      <c r="F5116" s="990"/>
      <c r="G5116" s="990"/>
      <c r="H5116" s="990"/>
      <c r="I5116" s="990"/>
      <c r="J5116" s="990"/>
      <c r="K5116" s="990"/>
      <c r="L5116" s="990"/>
      <c r="M5116" s="990"/>
      <c r="N5116" s="990"/>
      <c r="O5116" s="990"/>
      <c r="P5116" s="990"/>
      <c r="Q5116" s="990"/>
      <c r="R5116" s="990"/>
      <c r="S5116" s="990"/>
      <c r="T5116" s="990"/>
      <c r="U5116" s="990"/>
      <c r="V5116" s="990"/>
      <c r="W5116" s="990"/>
      <c r="X5116" s="990"/>
    </row>
    <row r="5117" spans="1:24" s="896" customFormat="1" ht="25.5">
      <c r="A5117" s="987">
        <f t="shared" si="80"/>
        <v>5043</v>
      </c>
      <c r="B5117" s="988">
        <v>10416</v>
      </c>
      <c r="C5117" s="899" t="s">
        <v>14443</v>
      </c>
      <c r="D5117" s="988" t="s">
        <v>2666</v>
      </c>
      <c r="E5117" s="989">
        <v>112.22</v>
      </c>
      <c r="F5117" s="990"/>
      <c r="G5117" s="990"/>
      <c r="H5117" s="990"/>
      <c r="I5117" s="990"/>
      <c r="J5117" s="990"/>
      <c r="K5117" s="990"/>
      <c r="L5117" s="990"/>
      <c r="M5117" s="990"/>
      <c r="N5117" s="990"/>
      <c r="O5117" s="990"/>
      <c r="P5117" s="990"/>
      <c r="Q5117" s="990"/>
      <c r="R5117" s="990"/>
      <c r="S5117" s="990"/>
      <c r="T5117" s="990"/>
      <c r="U5117" s="990"/>
      <c r="V5117" s="990"/>
      <c r="W5117" s="990"/>
      <c r="X5117" s="990"/>
    </row>
    <row r="5118" spans="1:24" s="896" customFormat="1" ht="25.5">
      <c r="A5118" s="987">
        <f t="shared" si="80"/>
        <v>5044</v>
      </c>
      <c r="B5118" s="988">
        <v>10419</v>
      </c>
      <c r="C5118" s="899" t="s">
        <v>14444</v>
      </c>
      <c r="D5118" s="988" t="s">
        <v>2666</v>
      </c>
      <c r="E5118" s="989">
        <v>97.41</v>
      </c>
      <c r="F5118" s="990"/>
      <c r="G5118" s="990"/>
      <c r="H5118" s="990"/>
      <c r="I5118" s="990"/>
      <c r="J5118" s="990"/>
      <c r="K5118" s="990"/>
      <c r="L5118" s="990"/>
      <c r="M5118" s="990"/>
      <c r="N5118" s="990"/>
      <c r="O5118" s="990"/>
      <c r="P5118" s="990"/>
      <c r="Q5118" s="990"/>
      <c r="R5118" s="990"/>
      <c r="S5118" s="990"/>
      <c r="T5118" s="990"/>
      <c r="U5118" s="990"/>
      <c r="V5118" s="990"/>
      <c r="W5118" s="990"/>
      <c r="X5118" s="990"/>
    </row>
    <row r="5119" spans="1:24" s="896" customFormat="1" ht="25.5">
      <c r="A5119" s="987">
        <f t="shared" si="80"/>
        <v>5045</v>
      </c>
      <c r="B5119" s="988">
        <v>21092</v>
      </c>
      <c r="C5119" s="899" t="s">
        <v>14445</v>
      </c>
      <c r="D5119" s="988" t="s">
        <v>2666</v>
      </c>
      <c r="E5119" s="989">
        <v>55.69</v>
      </c>
      <c r="F5119" s="990"/>
      <c r="G5119" s="990"/>
      <c r="H5119" s="990"/>
      <c r="I5119" s="990"/>
      <c r="J5119" s="990"/>
      <c r="K5119" s="990"/>
      <c r="L5119" s="990"/>
      <c r="M5119" s="990"/>
      <c r="N5119" s="990"/>
      <c r="O5119" s="990"/>
      <c r="P5119" s="990"/>
      <c r="Q5119" s="990"/>
      <c r="R5119" s="990"/>
      <c r="S5119" s="990"/>
      <c r="T5119" s="990"/>
      <c r="U5119" s="990"/>
      <c r="V5119" s="990"/>
      <c r="W5119" s="990"/>
      <c r="X5119" s="990"/>
    </row>
    <row r="5120" spans="1:24" s="896" customFormat="1" ht="25.5">
      <c r="A5120" s="987">
        <f t="shared" si="80"/>
        <v>5046</v>
      </c>
      <c r="B5120" s="988">
        <v>10418</v>
      </c>
      <c r="C5120" s="899" t="s">
        <v>14446</v>
      </c>
      <c r="D5120" s="988" t="s">
        <v>2666</v>
      </c>
      <c r="E5120" s="989">
        <v>64.930000000000007</v>
      </c>
      <c r="F5120" s="990"/>
      <c r="G5120" s="990"/>
      <c r="H5120" s="990"/>
      <c r="I5120" s="990"/>
      <c r="J5120" s="990"/>
      <c r="K5120" s="990"/>
      <c r="L5120" s="990"/>
      <c r="M5120" s="990"/>
      <c r="N5120" s="990"/>
      <c r="O5120" s="990"/>
      <c r="P5120" s="990"/>
      <c r="Q5120" s="990"/>
      <c r="R5120" s="990"/>
      <c r="S5120" s="990"/>
      <c r="T5120" s="990"/>
      <c r="U5120" s="990"/>
      <c r="V5120" s="990"/>
      <c r="W5120" s="990"/>
      <c r="X5120" s="990"/>
    </row>
    <row r="5121" spans="1:24" s="896" customFormat="1" ht="25.5">
      <c r="A5121" s="987">
        <f t="shared" si="80"/>
        <v>5047</v>
      </c>
      <c r="B5121" s="988">
        <v>12657</v>
      </c>
      <c r="C5121" s="899" t="s">
        <v>14447</v>
      </c>
      <c r="D5121" s="988" t="s">
        <v>2666</v>
      </c>
      <c r="E5121" s="989">
        <v>262.01</v>
      </c>
      <c r="F5121" s="990"/>
      <c r="G5121" s="990"/>
      <c r="H5121" s="990"/>
      <c r="I5121" s="990"/>
      <c r="J5121" s="990"/>
      <c r="K5121" s="990"/>
      <c r="L5121" s="990"/>
      <c r="M5121" s="990"/>
      <c r="N5121" s="990"/>
      <c r="O5121" s="990"/>
      <c r="P5121" s="990"/>
      <c r="Q5121" s="990"/>
      <c r="R5121" s="990"/>
      <c r="S5121" s="990"/>
      <c r="T5121" s="990"/>
      <c r="U5121" s="990"/>
      <c r="V5121" s="990"/>
      <c r="W5121" s="990"/>
      <c r="X5121" s="990"/>
    </row>
    <row r="5122" spans="1:24" s="896" customFormat="1" ht="25.5">
      <c r="A5122" s="987">
        <f t="shared" si="80"/>
        <v>5048</v>
      </c>
      <c r="B5122" s="988">
        <v>10417</v>
      </c>
      <c r="C5122" s="899" t="s">
        <v>14448</v>
      </c>
      <c r="D5122" s="988" t="s">
        <v>2666</v>
      </c>
      <c r="E5122" s="989">
        <v>163.51</v>
      </c>
      <c r="F5122" s="990"/>
      <c r="G5122" s="990"/>
      <c r="H5122" s="990"/>
      <c r="I5122" s="990"/>
      <c r="J5122" s="990"/>
      <c r="K5122" s="990"/>
      <c r="L5122" s="990"/>
      <c r="M5122" s="990"/>
      <c r="N5122" s="990"/>
      <c r="O5122" s="990"/>
      <c r="P5122" s="990"/>
      <c r="Q5122" s="990"/>
      <c r="R5122" s="990"/>
      <c r="S5122" s="990"/>
      <c r="T5122" s="990"/>
      <c r="U5122" s="990"/>
      <c r="V5122" s="990"/>
      <c r="W5122" s="990"/>
      <c r="X5122" s="990"/>
    </row>
    <row r="5123" spans="1:24" s="896" customFormat="1" ht="25.5">
      <c r="A5123" s="987">
        <f t="shared" si="80"/>
        <v>5049</v>
      </c>
      <c r="B5123" s="988">
        <v>10413</v>
      </c>
      <c r="C5123" s="899" t="s">
        <v>14449</v>
      </c>
      <c r="D5123" s="988" t="s">
        <v>2666</v>
      </c>
      <c r="E5123" s="989">
        <v>59.43</v>
      </c>
      <c r="F5123" s="990"/>
      <c r="G5123" s="990"/>
      <c r="H5123" s="990"/>
      <c r="I5123" s="990"/>
      <c r="J5123" s="990"/>
      <c r="K5123" s="990"/>
      <c r="L5123" s="990"/>
      <c r="M5123" s="990"/>
      <c r="N5123" s="990"/>
      <c r="O5123" s="990"/>
      <c r="P5123" s="990"/>
      <c r="Q5123" s="990"/>
      <c r="R5123" s="990"/>
      <c r="S5123" s="990"/>
      <c r="T5123" s="990"/>
      <c r="U5123" s="990"/>
      <c r="V5123" s="990"/>
      <c r="W5123" s="990"/>
      <c r="X5123" s="990"/>
    </row>
    <row r="5124" spans="1:24" s="896" customFormat="1" ht="25.5">
      <c r="A5124" s="987">
        <f t="shared" si="80"/>
        <v>5050</v>
      </c>
      <c r="B5124" s="988">
        <v>10414</v>
      </c>
      <c r="C5124" s="899" t="s">
        <v>14450</v>
      </c>
      <c r="D5124" s="988" t="s">
        <v>2666</v>
      </c>
      <c r="E5124" s="989">
        <v>357.8</v>
      </c>
      <c r="F5124" s="990"/>
      <c r="G5124" s="990"/>
      <c r="H5124" s="990"/>
      <c r="I5124" s="990"/>
      <c r="J5124" s="990"/>
      <c r="K5124" s="990"/>
      <c r="L5124" s="990"/>
      <c r="M5124" s="990"/>
      <c r="N5124" s="990"/>
      <c r="O5124" s="990"/>
      <c r="P5124" s="990"/>
      <c r="Q5124" s="990"/>
      <c r="R5124" s="990"/>
      <c r="S5124" s="990"/>
      <c r="T5124" s="990"/>
      <c r="U5124" s="990"/>
      <c r="V5124" s="990"/>
      <c r="W5124" s="990"/>
      <c r="X5124" s="990"/>
    </row>
    <row r="5125" spans="1:24" s="896" customFormat="1" ht="25.5">
      <c r="A5125" s="987">
        <f t="shared" si="80"/>
        <v>5051</v>
      </c>
      <c r="B5125" s="988">
        <v>10415</v>
      </c>
      <c r="C5125" s="899" t="s">
        <v>14451</v>
      </c>
      <c r="D5125" s="988" t="s">
        <v>2666</v>
      </c>
      <c r="E5125" s="989">
        <v>620.98</v>
      </c>
      <c r="F5125" s="990"/>
      <c r="G5125" s="990"/>
      <c r="H5125" s="990"/>
      <c r="I5125" s="990"/>
      <c r="J5125" s="990"/>
      <c r="K5125" s="990"/>
      <c r="L5125" s="990"/>
      <c r="M5125" s="990"/>
      <c r="N5125" s="990"/>
      <c r="O5125" s="990"/>
      <c r="P5125" s="990"/>
      <c r="Q5125" s="990"/>
      <c r="R5125" s="990"/>
      <c r="S5125" s="990"/>
      <c r="T5125" s="990"/>
      <c r="U5125" s="990"/>
      <c r="V5125" s="990"/>
      <c r="W5125" s="990"/>
      <c r="X5125" s="990"/>
    </row>
    <row r="5126" spans="1:24" s="896" customFormat="1">
      <c r="A5126" s="987">
        <f t="shared" si="80"/>
        <v>5052</v>
      </c>
      <c r="B5126" s="988">
        <v>38643</v>
      </c>
      <c r="C5126" s="899" t="s">
        <v>14452</v>
      </c>
      <c r="D5126" s="988" t="s">
        <v>2666</v>
      </c>
      <c r="E5126" s="989">
        <v>91.14</v>
      </c>
      <c r="F5126" s="990"/>
      <c r="G5126" s="990"/>
      <c r="H5126" s="990"/>
      <c r="I5126" s="990"/>
      <c r="J5126" s="990"/>
      <c r="K5126" s="990"/>
      <c r="L5126" s="990"/>
      <c r="M5126" s="990"/>
      <c r="N5126" s="990"/>
      <c r="O5126" s="990"/>
      <c r="P5126" s="990"/>
      <c r="Q5126" s="990"/>
      <c r="R5126" s="990"/>
      <c r="S5126" s="990"/>
      <c r="T5126" s="990"/>
      <c r="U5126" s="990"/>
      <c r="V5126" s="990"/>
      <c r="W5126" s="990"/>
      <c r="X5126" s="990"/>
    </row>
    <row r="5127" spans="1:24" s="896" customFormat="1">
      <c r="A5127" s="987">
        <f t="shared" si="80"/>
        <v>5053</v>
      </c>
      <c r="B5127" s="988">
        <v>6157</v>
      </c>
      <c r="C5127" s="899" t="s">
        <v>14453</v>
      </c>
      <c r="D5127" s="988" t="s">
        <v>2666</v>
      </c>
      <c r="E5127" s="989">
        <v>124.51</v>
      </c>
      <c r="F5127" s="990"/>
      <c r="G5127" s="990"/>
      <c r="H5127" s="990"/>
      <c r="I5127" s="990"/>
      <c r="J5127" s="990"/>
      <c r="K5127" s="990"/>
      <c r="L5127" s="990"/>
      <c r="M5127" s="990"/>
      <c r="N5127" s="990"/>
      <c r="O5127" s="990"/>
      <c r="P5127" s="990"/>
      <c r="Q5127" s="990"/>
      <c r="R5127" s="990"/>
      <c r="S5127" s="990"/>
      <c r="T5127" s="990"/>
      <c r="U5127" s="990"/>
      <c r="V5127" s="990"/>
      <c r="W5127" s="990"/>
      <c r="X5127" s="990"/>
    </row>
    <row r="5128" spans="1:24" s="896" customFormat="1">
      <c r="A5128" s="987">
        <f t="shared" si="80"/>
        <v>5054</v>
      </c>
      <c r="B5128" s="988">
        <v>6152</v>
      </c>
      <c r="C5128" s="899" t="s">
        <v>14454</v>
      </c>
      <c r="D5128" s="988" t="s">
        <v>2666</v>
      </c>
      <c r="E5128" s="989">
        <v>3.26</v>
      </c>
      <c r="F5128" s="990"/>
      <c r="G5128" s="990"/>
      <c r="H5128" s="990"/>
      <c r="I5128" s="990"/>
      <c r="J5128" s="990"/>
      <c r="K5128" s="990"/>
      <c r="L5128" s="990"/>
      <c r="M5128" s="990"/>
      <c r="N5128" s="990"/>
      <c r="O5128" s="990"/>
      <c r="P5128" s="990"/>
      <c r="Q5128" s="990"/>
      <c r="R5128" s="990"/>
      <c r="S5128" s="990"/>
      <c r="T5128" s="990"/>
      <c r="U5128" s="990"/>
      <c r="V5128" s="990"/>
      <c r="W5128" s="990"/>
      <c r="X5128" s="990"/>
    </row>
    <row r="5129" spans="1:24" s="896" customFormat="1">
      <c r="A5129" s="987">
        <f t="shared" si="80"/>
        <v>5055</v>
      </c>
      <c r="B5129" s="988">
        <v>6158</v>
      </c>
      <c r="C5129" s="899" t="s">
        <v>14455</v>
      </c>
      <c r="D5129" s="988" t="s">
        <v>2666</v>
      </c>
      <c r="E5129" s="989">
        <v>3.94</v>
      </c>
      <c r="F5129" s="990"/>
      <c r="G5129" s="990"/>
      <c r="H5129" s="990"/>
      <c r="I5129" s="990"/>
      <c r="J5129" s="990"/>
      <c r="K5129" s="990"/>
      <c r="L5129" s="990"/>
      <c r="M5129" s="990"/>
      <c r="N5129" s="990"/>
      <c r="O5129" s="990"/>
      <c r="P5129" s="990"/>
      <c r="Q5129" s="990"/>
      <c r="R5129" s="990"/>
      <c r="S5129" s="990"/>
      <c r="T5129" s="990"/>
      <c r="U5129" s="990"/>
      <c r="V5129" s="990"/>
      <c r="W5129" s="990"/>
      <c r="X5129" s="990"/>
    </row>
    <row r="5130" spans="1:24" s="896" customFormat="1" ht="25.5">
      <c r="A5130" s="987">
        <f t="shared" si="80"/>
        <v>5056</v>
      </c>
      <c r="B5130" s="988">
        <v>6153</v>
      </c>
      <c r="C5130" s="899" t="s">
        <v>14456</v>
      </c>
      <c r="D5130" s="988" t="s">
        <v>2666</v>
      </c>
      <c r="E5130" s="989">
        <v>3.07</v>
      </c>
      <c r="F5130" s="990"/>
      <c r="G5130" s="990"/>
      <c r="H5130" s="990"/>
      <c r="I5130" s="990"/>
      <c r="J5130" s="990"/>
      <c r="K5130" s="990"/>
      <c r="L5130" s="990"/>
      <c r="M5130" s="990"/>
      <c r="N5130" s="990"/>
      <c r="O5130" s="990"/>
      <c r="P5130" s="990"/>
      <c r="Q5130" s="990"/>
      <c r="R5130" s="990"/>
      <c r="S5130" s="990"/>
      <c r="T5130" s="990"/>
      <c r="U5130" s="990"/>
      <c r="V5130" s="990"/>
      <c r="W5130" s="990"/>
      <c r="X5130" s="990"/>
    </row>
    <row r="5131" spans="1:24" s="896" customFormat="1">
      <c r="A5131" s="987">
        <f t="shared" si="80"/>
        <v>5057</v>
      </c>
      <c r="B5131" s="988">
        <v>6156</v>
      </c>
      <c r="C5131" s="899" t="s">
        <v>14457</v>
      </c>
      <c r="D5131" s="988" t="s">
        <v>2666</v>
      </c>
      <c r="E5131" s="989">
        <v>3.87</v>
      </c>
      <c r="F5131" s="990"/>
      <c r="G5131" s="990"/>
      <c r="H5131" s="990"/>
      <c r="I5131" s="990"/>
      <c r="J5131" s="990"/>
      <c r="K5131" s="990"/>
      <c r="L5131" s="990"/>
      <c r="M5131" s="990"/>
      <c r="N5131" s="990"/>
      <c r="O5131" s="990"/>
      <c r="P5131" s="990"/>
      <c r="Q5131" s="990"/>
      <c r="R5131" s="990"/>
      <c r="S5131" s="990"/>
      <c r="T5131" s="990"/>
      <c r="U5131" s="990"/>
      <c r="V5131" s="990"/>
      <c r="W5131" s="990"/>
      <c r="X5131" s="990"/>
    </row>
    <row r="5132" spans="1:24" s="896" customFormat="1">
      <c r="A5132" s="987">
        <f t="shared" ref="A5132:A5195" si="81">A5131+1</f>
        <v>5058</v>
      </c>
      <c r="B5132" s="988">
        <v>6154</v>
      </c>
      <c r="C5132" s="899" t="s">
        <v>14458</v>
      </c>
      <c r="D5132" s="988" t="s">
        <v>2666</v>
      </c>
      <c r="E5132" s="989">
        <v>7.31</v>
      </c>
      <c r="F5132" s="990"/>
      <c r="G5132" s="990"/>
      <c r="H5132" s="990"/>
      <c r="I5132" s="990"/>
      <c r="J5132" s="990"/>
      <c r="K5132" s="990"/>
      <c r="L5132" s="990"/>
      <c r="M5132" s="990"/>
      <c r="N5132" s="990"/>
      <c r="O5132" s="990"/>
      <c r="P5132" s="990"/>
      <c r="Q5132" s="990"/>
      <c r="R5132" s="990"/>
      <c r="S5132" s="990"/>
      <c r="T5132" s="990"/>
      <c r="U5132" s="990"/>
      <c r="V5132" s="990"/>
      <c r="W5132" s="990"/>
      <c r="X5132" s="990"/>
    </row>
    <row r="5133" spans="1:24" s="896" customFormat="1" ht="25.5">
      <c r="A5133" s="987">
        <f t="shared" si="81"/>
        <v>5059</v>
      </c>
      <c r="B5133" s="988">
        <v>6155</v>
      </c>
      <c r="C5133" s="899" t="s">
        <v>14459</v>
      </c>
      <c r="D5133" s="988" t="s">
        <v>2666</v>
      </c>
      <c r="E5133" s="989">
        <v>15.13</v>
      </c>
      <c r="F5133" s="990"/>
      <c r="G5133" s="990"/>
      <c r="H5133" s="990"/>
      <c r="I5133" s="990"/>
      <c r="J5133" s="990"/>
      <c r="K5133" s="990"/>
      <c r="L5133" s="990"/>
      <c r="M5133" s="990"/>
      <c r="N5133" s="990"/>
      <c r="O5133" s="990"/>
      <c r="P5133" s="990"/>
      <c r="Q5133" s="990"/>
      <c r="R5133" s="990"/>
      <c r="S5133" s="990"/>
      <c r="T5133" s="990"/>
      <c r="U5133" s="990"/>
      <c r="V5133" s="990"/>
      <c r="W5133" s="990"/>
      <c r="X5133" s="990"/>
    </row>
    <row r="5134" spans="1:24" s="896" customFormat="1" ht="25.5">
      <c r="A5134" s="987">
        <f t="shared" si="81"/>
        <v>5060</v>
      </c>
      <c r="B5134" s="988">
        <v>43595</v>
      </c>
      <c r="C5134" s="899" t="s">
        <v>14460</v>
      </c>
      <c r="D5134" s="988" t="s">
        <v>2666</v>
      </c>
      <c r="E5134" s="989">
        <v>18.61</v>
      </c>
      <c r="F5134" s="990"/>
      <c r="G5134" s="990"/>
      <c r="H5134" s="990"/>
      <c r="I5134" s="990"/>
      <c r="J5134" s="990"/>
      <c r="K5134" s="990"/>
      <c r="L5134" s="990"/>
      <c r="M5134" s="990"/>
      <c r="N5134" s="990"/>
      <c r="O5134" s="990"/>
      <c r="P5134" s="990"/>
      <c r="Q5134" s="990"/>
      <c r="R5134" s="990"/>
      <c r="S5134" s="990"/>
      <c r="T5134" s="990"/>
      <c r="U5134" s="990"/>
      <c r="V5134" s="990"/>
      <c r="W5134" s="990"/>
      <c r="X5134" s="990"/>
    </row>
    <row r="5135" spans="1:24" s="896" customFormat="1" ht="25.5">
      <c r="A5135" s="987">
        <f t="shared" si="81"/>
        <v>5061</v>
      </c>
      <c r="B5135" s="988">
        <v>43596</v>
      </c>
      <c r="C5135" s="899" t="s">
        <v>14461</v>
      </c>
      <c r="D5135" s="988" t="s">
        <v>2666</v>
      </c>
      <c r="E5135" s="989">
        <v>21.51</v>
      </c>
      <c r="F5135" s="990"/>
      <c r="G5135" s="990"/>
      <c r="H5135" s="990"/>
      <c r="I5135" s="990"/>
      <c r="J5135" s="990"/>
      <c r="K5135" s="990"/>
      <c r="L5135" s="990"/>
      <c r="M5135" s="990"/>
      <c r="N5135" s="990"/>
      <c r="O5135" s="990"/>
      <c r="P5135" s="990"/>
      <c r="Q5135" s="990"/>
      <c r="R5135" s="990"/>
      <c r="S5135" s="990"/>
      <c r="T5135" s="990"/>
      <c r="U5135" s="990"/>
      <c r="V5135" s="990"/>
      <c r="W5135" s="990"/>
      <c r="X5135" s="990"/>
    </row>
    <row r="5136" spans="1:24" s="896" customFormat="1">
      <c r="A5136" s="987">
        <f t="shared" si="81"/>
        <v>5062</v>
      </c>
      <c r="B5136" s="988">
        <v>38108</v>
      </c>
      <c r="C5136" s="899" t="s">
        <v>14462</v>
      </c>
      <c r="D5136" s="988" t="s">
        <v>2666</v>
      </c>
      <c r="E5136" s="989">
        <v>59.63</v>
      </c>
      <c r="F5136" s="990"/>
      <c r="G5136" s="990"/>
      <c r="H5136" s="990"/>
      <c r="I5136" s="990"/>
      <c r="J5136" s="990"/>
      <c r="K5136" s="990"/>
      <c r="L5136" s="990"/>
      <c r="M5136" s="990"/>
      <c r="N5136" s="990"/>
      <c r="O5136" s="990"/>
      <c r="P5136" s="990"/>
      <c r="Q5136" s="990"/>
      <c r="R5136" s="990"/>
      <c r="S5136" s="990"/>
      <c r="T5136" s="990"/>
      <c r="U5136" s="990"/>
      <c r="V5136" s="990"/>
      <c r="W5136" s="990"/>
      <c r="X5136" s="990"/>
    </row>
    <row r="5137" spans="1:24" s="896" customFormat="1" ht="25.5">
      <c r="A5137" s="987">
        <f t="shared" si="81"/>
        <v>5063</v>
      </c>
      <c r="B5137" s="988">
        <v>38087</v>
      </c>
      <c r="C5137" s="899" t="s">
        <v>14463</v>
      </c>
      <c r="D5137" s="988" t="s">
        <v>2666</v>
      </c>
      <c r="E5137" s="989">
        <v>76.7</v>
      </c>
      <c r="F5137" s="990"/>
      <c r="G5137" s="990"/>
      <c r="H5137" s="990"/>
      <c r="I5137" s="990"/>
      <c r="J5137" s="990"/>
      <c r="K5137" s="990"/>
      <c r="L5137" s="990"/>
      <c r="M5137" s="990"/>
      <c r="N5137" s="990"/>
      <c r="O5137" s="990"/>
      <c r="P5137" s="990"/>
      <c r="Q5137" s="990"/>
      <c r="R5137" s="990"/>
      <c r="S5137" s="990"/>
      <c r="T5137" s="990"/>
      <c r="U5137" s="990"/>
      <c r="V5137" s="990"/>
      <c r="W5137" s="990"/>
      <c r="X5137" s="990"/>
    </row>
    <row r="5138" spans="1:24" s="896" customFormat="1">
      <c r="A5138" s="987">
        <f t="shared" si="81"/>
        <v>5064</v>
      </c>
      <c r="B5138" s="988">
        <v>38109</v>
      </c>
      <c r="C5138" s="899" t="s">
        <v>14464</v>
      </c>
      <c r="D5138" s="988" t="s">
        <v>2666</v>
      </c>
      <c r="E5138" s="989">
        <v>95.3</v>
      </c>
      <c r="F5138" s="990"/>
      <c r="G5138" s="990"/>
      <c r="H5138" s="990"/>
      <c r="I5138" s="990"/>
      <c r="J5138" s="990"/>
      <c r="K5138" s="990"/>
      <c r="L5138" s="990"/>
      <c r="M5138" s="990"/>
      <c r="N5138" s="990"/>
      <c r="O5138" s="990"/>
      <c r="P5138" s="990"/>
      <c r="Q5138" s="990"/>
      <c r="R5138" s="990"/>
      <c r="S5138" s="990"/>
      <c r="T5138" s="990"/>
      <c r="U5138" s="990"/>
      <c r="V5138" s="990"/>
      <c r="W5138" s="990"/>
      <c r="X5138" s="990"/>
    </row>
    <row r="5139" spans="1:24" s="896" customFormat="1" ht="25.5">
      <c r="A5139" s="987">
        <f t="shared" si="81"/>
        <v>5065</v>
      </c>
      <c r="B5139" s="988">
        <v>38088</v>
      </c>
      <c r="C5139" s="899" t="s">
        <v>14465</v>
      </c>
      <c r="D5139" s="988" t="s">
        <v>2666</v>
      </c>
      <c r="E5139" s="989">
        <v>100.21</v>
      </c>
      <c r="F5139" s="990"/>
      <c r="G5139" s="990"/>
      <c r="H5139" s="990"/>
      <c r="I5139" s="990"/>
      <c r="J5139" s="990"/>
      <c r="K5139" s="990"/>
      <c r="L5139" s="990"/>
      <c r="M5139" s="990"/>
      <c r="N5139" s="990"/>
      <c r="O5139" s="990"/>
      <c r="P5139" s="990"/>
      <c r="Q5139" s="990"/>
      <c r="R5139" s="990"/>
      <c r="S5139" s="990"/>
      <c r="T5139" s="990"/>
      <c r="U5139" s="990"/>
      <c r="V5139" s="990"/>
      <c r="W5139" s="990"/>
      <c r="X5139" s="990"/>
    </row>
    <row r="5140" spans="1:24" s="896" customFormat="1">
      <c r="A5140" s="987">
        <f t="shared" si="81"/>
        <v>5066</v>
      </c>
      <c r="B5140" s="988">
        <v>38110</v>
      </c>
      <c r="C5140" s="899" t="s">
        <v>14466</v>
      </c>
      <c r="D5140" s="988" t="s">
        <v>2666</v>
      </c>
      <c r="E5140" s="989">
        <v>36.659999999999997</v>
      </c>
      <c r="F5140" s="990"/>
      <c r="G5140" s="990"/>
      <c r="H5140" s="990"/>
      <c r="I5140" s="990"/>
      <c r="J5140" s="990"/>
      <c r="K5140" s="990"/>
      <c r="L5140" s="990"/>
      <c r="M5140" s="990"/>
      <c r="N5140" s="990"/>
      <c r="O5140" s="990"/>
      <c r="P5140" s="990"/>
      <c r="Q5140" s="990"/>
      <c r="R5140" s="990"/>
      <c r="S5140" s="990"/>
      <c r="T5140" s="990"/>
      <c r="U5140" s="990"/>
      <c r="V5140" s="990"/>
      <c r="W5140" s="990"/>
      <c r="X5140" s="990"/>
    </row>
    <row r="5141" spans="1:24" s="896" customFormat="1" ht="38.25">
      <c r="A5141" s="987">
        <f t="shared" si="81"/>
        <v>5067</v>
      </c>
      <c r="B5141" s="988">
        <v>38089</v>
      </c>
      <c r="C5141" s="899" t="s">
        <v>14467</v>
      </c>
      <c r="D5141" s="988" t="s">
        <v>2666</v>
      </c>
      <c r="E5141" s="989">
        <v>63.88</v>
      </c>
      <c r="F5141" s="990"/>
      <c r="G5141" s="990"/>
      <c r="H5141" s="990"/>
      <c r="I5141" s="990"/>
      <c r="J5141" s="990"/>
      <c r="K5141" s="990"/>
      <c r="L5141" s="990"/>
      <c r="M5141" s="990"/>
      <c r="N5141" s="990"/>
      <c r="O5141" s="990"/>
      <c r="P5141" s="990"/>
      <c r="Q5141" s="990"/>
      <c r="R5141" s="990"/>
      <c r="S5141" s="990"/>
      <c r="T5141" s="990"/>
      <c r="U5141" s="990"/>
      <c r="V5141" s="990"/>
      <c r="W5141" s="990"/>
      <c r="X5141" s="990"/>
    </row>
    <row r="5142" spans="1:24" s="896" customFormat="1">
      <c r="A5142" s="987">
        <f t="shared" si="81"/>
        <v>5068</v>
      </c>
      <c r="B5142" s="988">
        <v>38111</v>
      </c>
      <c r="C5142" s="899" t="s">
        <v>14468</v>
      </c>
      <c r="D5142" s="988" t="s">
        <v>2666</v>
      </c>
      <c r="E5142" s="989">
        <v>41</v>
      </c>
      <c r="F5142" s="990"/>
      <c r="G5142" s="990"/>
      <c r="H5142" s="990"/>
      <c r="I5142" s="990"/>
      <c r="J5142" s="990"/>
      <c r="K5142" s="990"/>
      <c r="L5142" s="990"/>
      <c r="M5142" s="990"/>
      <c r="N5142" s="990"/>
      <c r="O5142" s="990"/>
      <c r="P5142" s="990"/>
      <c r="Q5142" s="990"/>
      <c r="R5142" s="990"/>
      <c r="S5142" s="990"/>
      <c r="T5142" s="990"/>
      <c r="U5142" s="990"/>
      <c r="V5142" s="990"/>
      <c r="W5142" s="990"/>
      <c r="X5142" s="990"/>
    </row>
    <row r="5143" spans="1:24" s="896" customFormat="1" ht="38.25">
      <c r="A5143" s="987">
        <f t="shared" si="81"/>
        <v>5069</v>
      </c>
      <c r="B5143" s="988">
        <v>38090</v>
      </c>
      <c r="C5143" s="899" t="s">
        <v>14469</v>
      </c>
      <c r="D5143" s="988" t="s">
        <v>2666</v>
      </c>
      <c r="E5143" s="989">
        <v>66.03</v>
      </c>
      <c r="F5143" s="990"/>
      <c r="G5143" s="990"/>
      <c r="H5143" s="990"/>
      <c r="I5143" s="990"/>
      <c r="J5143" s="990"/>
      <c r="K5143" s="990"/>
      <c r="L5143" s="990"/>
      <c r="M5143" s="990"/>
      <c r="N5143" s="990"/>
      <c r="O5143" s="990"/>
      <c r="P5143" s="990"/>
      <c r="Q5143" s="990"/>
      <c r="R5143" s="990"/>
      <c r="S5143" s="990"/>
      <c r="T5143" s="990"/>
      <c r="U5143" s="990"/>
      <c r="V5143" s="990"/>
      <c r="W5143" s="990"/>
      <c r="X5143" s="990"/>
    </row>
    <row r="5144" spans="1:24" s="896" customFormat="1" ht="25.5">
      <c r="A5144" s="987">
        <f t="shared" si="81"/>
        <v>5070</v>
      </c>
      <c r="B5144" s="988">
        <v>13726</v>
      </c>
      <c r="C5144" s="899" t="s">
        <v>14470</v>
      </c>
      <c r="D5144" s="988" t="s">
        <v>2666</v>
      </c>
      <c r="E5144" s="989">
        <v>85178.57</v>
      </c>
      <c r="F5144" s="990"/>
      <c r="G5144" s="990"/>
      <c r="H5144" s="990"/>
      <c r="I5144" s="990"/>
      <c r="J5144" s="990"/>
      <c r="K5144" s="990"/>
      <c r="L5144" s="990"/>
      <c r="M5144" s="990"/>
      <c r="N5144" s="990"/>
      <c r="O5144" s="990"/>
      <c r="P5144" s="990"/>
      <c r="Q5144" s="990"/>
      <c r="R5144" s="990"/>
      <c r="S5144" s="990"/>
      <c r="T5144" s="990"/>
      <c r="U5144" s="990"/>
      <c r="V5144" s="990"/>
      <c r="W5144" s="990"/>
      <c r="X5144" s="990"/>
    </row>
    <row r="5145" spans="1:24" s="896" customFormat="1">
      <c r="A5145" s="987">
        <f t="shared" si="81"/>
        <v>5071</v>
      </c>
      <c r="B5145" s="988">
        <v>38400</v>
      </c>
      <c r="C5145" s="899" t="s">
        <v>14471</v>
      </c>
      <c r="D5145" s="988" t="s">
        <v>2666</v>
      </c>
      <c r="E5145" s="989">
        <v>20.149999999999999</v>
      </c>
      <c r="F5145" s="990"/>
      <c r="G5145" s="990"/>
      <c r="H5145" s="990"/>
      <c r="I5145" s="990"/>
      <c r="J5145" s="990"/>
      <c r="K5145" s="990"/>
      <c r="L5145" s="990"/>
      <c r="M5145" s="990"/>
      <c r="N5145" s="990"/>
      <c r="O5145" s="990"/>
      <c r="P5145" s="990"/>
      <c r="Q5145" s="990"/>
      <c r="R5145" s="990"/>
      <c r="S5145" s="990"/>
      <c r="T5145" s="990"/>
      <c r="U5145" s="990"/>
      <c r="V5145" s="990"/>
      <c r="W5145" s="990"/>
      <c r="X5145" s="990"/>
    </row>
    <row r="5146" spans="1:24" s="896" customFormat="1" ht="25.5">
      <c r="A5146" s="987">
        <f t="shared" si="81"/>
        <v>5072</v>
      </c>
      <c r="B5146" s="988">
        <v>12627</v>
      </c>
      <c r="C5146" s="899" t="s">
        <v>14472</v>
      </c>
      <c r="D5146" s="988" t="s">
        <v>2666</v>
      </c>
      <c r="E5146" s="989">
        <v>0.54</v>
      </c>
      <c r="F5146" s="990"/>
      <c r="G5146" s="990"/>
      <c r="H5146" s="990"/>
      <c r="I5146" s="990"/>
      <c r="J5146" s="990"/>
      <c r="K5146" s="990"/>
      <c r="L5146" s="990"/>
      <c r="M5146" s="990"/>
      <c r="N5146" s="990"/>
      <c r="O5146" s="990"/>
      <c r="P5146" s="990"/>
      <c r="Q5146" s="990"/>
      <c r="R5146" s="990"/>
      <c r="S5146" s="990"/>
      <c r="T5146" s="990"/>
      <c r="U5146" s="990"/>
      <c r="V5146" s="990"/>
      <c r="W5146" s="990"/>
      <c r="X5146" s="990"/>
    </row>
    <row r="5147" spans="1:24" s="896" customFormat="1">
      <c r="A5147" s="987">
        <f t="shared" si="81"/>
        <v>5073</v>
      </c>
      <c r="B5147" s="988">
        <v>39996</v>
      </c>
      <c r="C5147" s="899" t="s">
        <v>14473</v>
      </c>
      <c r="D5147" s="988" t="s">
        <v>2669</v>
      </c>
      <c r="E5147" s="989">
        <v>5.36</v>
      </c>
      <c r="F5147" s="990"/>
      <c r="G5147" s="990"/>
      <c r="H5147" s="990"/>
      <c r="I5147" s="990"/>
      <c r="J5147" s="990"/>
      <c r="K5147" s="990"/>
      <c r="L5147" s="990"/>
      <c r="M5147" s="990"/>
      <c r="N5147" s="990"/>
      <c r="O5147" s="990"/>
      <c r="P5147" s="990"/>
      <c r="Q5147" s="990"/>
      <c r="R5147" s="990"/>
      <c r="S5147" s="990"/>
      <c r="T5147" s="990"/>
      <c r="U5147" s="990"/>
      <c r="V5147" s="990"/>
      <c r="W5147" s="990"/>
      <c r="X5147" s="990"/>
    </row>
    <row r="5148" spans="1:24" s="896" customFormat="1" ht="25.5">
      <c r="A5148" s="987">
        <f t="shared" si="81"/>
        <v>5074</v>
      </c>
      <c r="B5148" s="988">
        <v>10478</v>
      </c>
      <c r="C5148" s="899" t="s">
        <v>14474</v>
      </c>
      <c r="D5148" s="988" t="s">
        <v>2671</v>
      </c>
      <c r="E5148" s="989">
        <v>33.6</v>
      </c>
      <c r="F5148" s="990"/>
      <c r="G5148" s="990"/>
      <c r="H5148" s="990"/>
      <c r="I5148" s="990"/>
      <c r="J5148" s="990"/>
      <c r="K5148" s="990"/>
      <c r="L5148" s="990"/>
      <c r="M5148" s="990"/>
      <c r="N5148" s="990"/>
      <c r="O5148" s="990"/>
      <c r="P5148" s="990"/>
      <c r="Q5148" s="990"/>
      <c r="R5148" s="990"/>
      <c r="S5148" s="990"/>
      <c r="T5148" s="990"/>
      <c r="U5148" s="990"/>
      <c r="V5148" s="990"/>
      <c r="W5148" s="990"/>
      <c r="X5148" s="990"/>
    </row>
    <row r="5149" spans="1:24" s="896" customFormat="1" ht="25.5">
      <c r="A5149" s="987">
        <f t="shared" si="81"/>
        <v>5075</v>
      </c>
      <c r="B5149" s="988">
        <v>10481</v>
      </c>
      <c r="C5149" s="899" t="s">
        <v>14475</v>
      </c>
      <c r="D5149" s="988" t="s">
        <v>2671</v>
      </c>
      <c r="E5149" s="989">
        <v>29.88</v>
      </c>
      <c r="F5149" s="990"/>
      <c r="G5149" s="990"/>
      <c r="H5149" s="990"/>
      <c r="I5149" s="990"/>
      <c r="J5149" s="990"/>
      <c r="K5149" s="990"/>
      <c r="L5149" s="990"/>
      <c r="M5149" s="990"/>
      <c r="N5149" s="990"/>
      <c r="O5149" s="990"/>
      <c r="P5149" s="990"/>
      <c r="Q5149" s="990"/>
      <c r="R5149" s="990"/>
      <c r="S5149" s="990"/>
      <c r="T5149" s="990"/>
      <c r="U5149" s="990"/>
      <c r="V5149" s="990"/>
      <c r="W5149" s="990"/>
      <c r="X5149" s="990"/>
    </row>
    <row r="5150" spans="1:24" s="896" customFormat="1">
      <c r="A5150" s="987">
        <f t="shared" si="81"/>
        <v>5076</v>
      </c>
      <c r="B5150" s="988">
        <v>10475</v>
      </c>
      <c r="C5150" s="899" t="s">
        <v>14476</v>
      </c>
      <c r="D5150" s="988" t="s">
        <v>2671</v>
      </c>
      <c r="E5150" s="989">
        <v>28.91</v>
      </c>
      <c r="F5150" s="990"/>
      <c r="G5150" s="990"/>
      <c r="H5150" s="990"/>
      <c r="I5150" s="990"/>
      <c r="J5150" s="990"/>
      <c r="K5150" s="990"/>
      <c r="L5150" s="990"/>
      <c r="M5150" s="990"/>
      <c r="N5150" s="990"/>
      <c r="O5150" s="990"/>
      <c r="P5150" s="990"/>
      <c r="Q5150" s="990"/>
      <c r="R5150" s="990"/>
      <c r="S5150" s="990"/>
      <c r="T5150" s="990"/>
      <c r="U5150" s="990"/>
      <c r="V5150" s="990"/>
      <c r="W5150" s="990"/>
      <c r="X5150" s="990"/>
    </row>
    <row r="5151" spans="1:24" s="896" customFormat="1">
      <c r="A5151" s="987">
        <f t="shared" si="81"/>
        <v>5077</v>
      </c>
      <c r="B5151" s="988">
        <v>4031</v>
      </c>
      <c r="C5151" s="899" t="s">
        <v>14477</v>
      </c>
      <c r="D5151" s="988" t="s">
        <v>2667</v>
      </c>
      <c r="E5151" s="989">
        <v>35.450000000000003</v>
      </c>
      <c r="F5151" s="990"/>
      <c r="G5151" s="990"/>
      <c r="H5151" s="990"/>
      <c r="I5151" s="990"/>
      <c r="J5151" s="990"/>
      <c r="K5151" s="990"/>
      <c r="L5151" s="990"/>
      <c r="M5151" s="990"/>
      <c r="N5151" s="990"/>
      <c r="O5151" s="990"/>
      <c r="P5151" s="990"/>
      <c r="Q5151" s="990"/>
      <c r="R5151" s="990"/>
      <c r="S5151" s="990"/>
      <c r="T5151" s="990"/>
      <c r="U5151" s="990"/>
      <c r="V5151" s="990"/>
      <c r="W5151" s="990"/>
      <c r="X5151" s="990"/>
    </row>
    <row r="5152" spans="1:24" s="896" customFormat="1">
      <c r="A5152" s="987">
        <f t="shared" si="81"/>
        <v>5078</v>
      </c>
      <c r="B5152" s="988">
        <v>4030</v>
      </c>
      <c r="C5152" s="899" t="s">
        <v>14478</v>
      </c>
      <c r="D5152" s="988" t="s">
        <v>2667</v>
      </c>
      <c r="E5152" s="989">
        <v>7.54</v>
      </c>
      <c r="F5152" s="990"/>
      <c r="G5152" s="990"/>
      <c r="H5152" s="990"/>
      <c r="I5152" s="990"/>
      <c r="J5152" s="990"/>
      <c r="K5152" s="990"/>
      <c r="L5152" s="990"/>
      <c r="M5152" s="990"/>
      <c r="N5152" s="990"/>
      <c r="O5152" s="990"/>
      <c r="P5152" s="990"/>
      <c r="Q5152" s="990"/>
      <c r="R5152" s="990"/>
      <c r="S5152" s="990"/>
      <c r="T5152" s="990"/>
      <c r="U5152" s="990"/>
      <c r="V5152" s="990"/>
      <c r="W5152" s="990"/>
      <c r="X5152" s="990"/>
    </row>
    <row r="5153" spans="1:24" s="896" customFormat="1">
      <c r="A5153" s="987">
        <f t="shared" si="81"/>
        <v>5079</v>
      </c>
      <c r="B5153" s="988">
        <v>39399</v>
      </c>
      <c r="C5153" s="899" t="s">
        <v>14479</v>
      </c>
      <c r="D5153" s="988" t="s">
        <v>2666</v>
      </c>
      <c r="E5153" s="989">
        <v>1690.69</v>
      </c>
      <c r="F5153" s="990"/>
      <c r="G5153" s="990"/>
      <c r="H5153" s="990"/>
      <c r="I5153" s="990"/>
      <c r="J5153" s="990"/>
      <c r="K5153" s="990"/>
      <c r="L5153" s="990"/>
      <c r="M5153" s="990"/>
      <c r="N5153" s="990"/>
      <c r="O5153" s="990"/>
      <c r="P5153" s="990"/>
      <c r="Q5153" s="990"/>
      <c r="R5153" s="990"/>
      <c r="S5153" s="990"/>
      <c r="T5153" s="990"/>
      <c r="U5153" s="990"/>
      <c r="V5153" s="990"/>
      <c r="W5153" s="990"/>
      <c r="X5153" s="990"/>
    </row>
    <row r="5154" spans="1:24" s="896" customFormat="1">
      <c r="A5154" s="987">
        <f t="shared" si="81"/>
        <v>5080</v>
      </c>
      <c r="B5154" s="988">
        <v>39400</v>
      </c>
      <c r="C5154" s="899" t="s">
        <v>14480</v>
      </c>
      <c r="D5154" s="988" t="s">
        <v>2666</v>
      </c>
      <c r="E5154" s="989">
        <v>1837.7</v>
      </c>
      <c r="F5154" s="990"/>
      <c r="G5154" s="990"/>
      <c r="H5154" s="990"/>
      <c r="I5154" s="990"/>
      <c r="J5154" s="990"/>
      <c r="K5154" s="990"/>
      <c r="L5154" s="990"/>
      <c r="M5154" s="990"/>
      <c r="N5154" s="990"/>
      <c r="O5154" s="990"/>
      <c r="P5154" s="990"/>
      <c r="Q5154" s="990"/>
      <c r="R5154" s="990"/>
      <c r="S5154" s="990"/>
      <c r="T5154" s="990"/>
      <c r="U5154" s="990"/>
      <c r="V5154" s="990"/>
      <c r="W5154" s="990"/>
      <c r="X5154" s="990"/>
    </row>
    <row r="5155" spans="1:24" s="896" customFormat="1">
      <c r="A5155" s="987">
        <f t="shared" si="81"/>
        <v>5081</v>
      </c>
      <c r="B5155" s="988">
        <v>39401</v>
      </c>
      <c r="C5155" s="899" t="s">
        <v>14481</v>
      </c>
      <c r="D5155" s="988" t="s">
        <v>2666</v>
      </c>
      <c r="E5155" s="989">
        <v>2061.46</v>
      </c>
      <c r="F5155" s="990"/>
      <c r="G5155" s="990"/>
      <c r="H5155" s="990"/>
      <c r="I5155" s="990"/>
      <c r="J5155" s="990"/>
      <c r="K5155" s="990"/>
      <c r="L5155" s="990"/>
      <c r="M5155" s="990"/>
      <c r="N5155" s="990"/>
      <c r="O5155" s="990"/>
      <c r="P5155" s="990"/>
      <c r="Q5155" s="990"/>
      <c r="R5155" s="990"/>
      <c r="S5155" s="990"/>
      <c r="T5155" s="990"/>
      <c r="U5155" s="990"/>
      <c r="V5155" s="990"/>
      <c r="W5155" s="990"/>
      <c r="X5155" s="990"/>
    </row>
    <row r="5156" spans="1:24" s="896" customFormat="1" ht="25.5">
      <c r="A5156" s="987">
        <f t="shared" si="81"/>
        <v>5082</v>
      </c>
      <c r="B5156" s="988">
        <v>11652</v>
      </c>
      <c r="C5156" s="899" t="s">
        <v>14482</v>
      </c>
      <c r="D5156" s="988" t="s">
        <v>2666</v>
      </c>
      <c r="E5156" s="989">
        <v>4435</v>
      </c>
      <c r="F5156" s="990"/>
      <c r="G5156" s="990"/>
      <c r="H5156" s="990"/>
      <c r="I5156" s="990"/>
      <c r="J5156" s="990"/>
      <c r="K5156" s="990"/>
      <c r="L5156" s="990"/>
      <c r="M5156" s="990"/>
      <c r="N5156" s="990"/>
      <c r="O5156" s="990"/>
      <c r="P5156" s="990"/>
      <c r="Q5156" s="990"/>
      <c r="R5156" s="990"/>
      <c r="S5156" s="990"/>
      <c r="T5156" s="990"/>
      <c r="U5156" s="990"/>
      <c r="V5156" s="990"/>
      <c r="W5156" s="990"/>
      <c r="X5156" s="990"/>
    </row>
    <row r="5157" spans="1:24" s="896" customFormat="1" ht="25.5">
      <c r="A5157" s="987">
        <f t="shared" si="81"/>
        <v>5083</v>
      </c>
      <c r="B5157" s="988">
        <v>13896</v>
      </c>
      <c r="C5157" s="899" t="s">
        <v>14483</v>
      </c>
      <c r="D5157" s="988" t="s">
        <v>2666</v>
      </c>
      <c r="E5157" s="989">
        <v>3978.58</v>
      </c>
      <c r="F5157" s="990"/>
      <c r="G5157" s="990"/>
      <c r="H5157" s="990"/>
      <c r="I5157" s="990"/>
      <c r="J5157" s="990"/>
      <c r="K5157" s="990"/>
      <c r="L5157" s="990"/>
      <c r="M5157" s="990"/>
      <c r="N5157" s="990"/>
      <c r="O5157" s="990"/>
      <c r="P5157" s="990"/>
      <c r="Q5157" s="990"/>
      <c r="R5157" s="990"/>
      <c r="S5157" s="990"/>
      <c r="T5157" s="990"/>
      <c r="U5157" s="990"/>
      <c r="V5157" s="990"/>
      <c r="W5157" s="990"/>
      <c r="X5157" s="990"/>
    </row>
    <row r="5158" spans="1:24" s="896" customFormat="1" ht="25.5">
      <c r="A5158" s="987">
        <f t="shared" si="81"/>
        <v>5084</v>
      </c>
      <c r="B5158" s="988">
        <v>13475</v>
      </c>
      <c r="C5158" s="899" t="s">
        <v>14484</v>
      </c>
      <c r="D5158" s="988" t="s">
        <v>2666</v>
      </c>
      <c r="E5158" s="989">
        <v>4846.3900000000003</v>
      </c>
      <c r="F5158" s="990"/>
      <c r="G5158" s="990"/>
      <c r="H5158" s="990"/>
      <c r="I5158" s="990"/>
      <c r="J5158" s="990"/>
      <c r="K5158" s="990"/>
      <c r="L5158" s="990"/>
      <c r="M5158" s="990"/>
      <c r="N5158" s="990"/>
      <c r="O5158" s="990"/>
      <c r="P5158" s="990"/>
      <c r="Q5158" s="990"/>
      <c r="R5158" s="990"/>
      <c r="S5158" s="990"/>
      <c r="T5158" s="990"/>
      <c r="U5158" s="990"/>
      <c r="V5158" s="990"/>
      <c r="W5158" s="990"/>
      <c r="X5158" s="990"/>
    </row>
    <row r="5159" spans="1:24" s="896" customFormat="1" ht="25.5">
      <c r="A5159" s="987">
        <f t="shared" si="81"/>
        <v>5085</v>
      </c>
      <c r="B5159" s="988">
        <v>44491</v>
      </c>
      <c r="C5159" s="899" t="s">
        <v>14485</v>
      </c>
      <c r="D5159" s="988" t="s">
        <v>2666</v>
      </c>
      <c r="E5159" s="989">
        <v>4853435.17</v>
      </c>
      <c r="F5159" s="990"/>
      <c r="G5159" s="990"/>
      <c r="H5159" s="990"/>
      <c r="I5159" s="990"/>
      <c r="J5159" s="990"/>
      <c r="K5159" s="990"/>
      <c r="L5159" s="990"/>
      <c r="M5159" s="990"/>
      <c r="N5159" s="990"/>
      <c r="O5159" s="990"/>
      <c r="P5159" s="990"/>
      <c r="Q5159" s="990"/>
      <c r="R5159" s="990"/>
      <c r="S5159" s="990"/>
      <c r="T5159" s="990"/>
      <c r="U5159" s="990"/>
      <c r="V5159" s="990"/>
      <c r="W5159" s="990"/>
      <c r="X5159" s="990"/>
    </row>
    <row r="5160" spans="1:24" s="896" customFormat="1" ht="25.5">
      <c r="A5160" s="987">
        <f t="shared" si="81"/>
        <v>5086</v>
      </c>
      <c r="B5160" s="988">
        <v>44470</v>
      </c>
      <c r="C5160" s="899" t="s">
        <v>14486</v>
      </c>
      <c r="D5160" s="988" t="s">
        <v>2666</v>
      </c>
      <c r="E5160" s="989">
        <v>2043239.87</v>
      </c>
      <c r="F5160" s="990"/>
      <c r="G5160" s="990"/>
      <c r="H5160" s="990"/>
      <c r="I5160" s="990"/>
      <c r="J5160" s="990"/>
      <c r="K5160" s="990"/>
      <c r="L5160" s="990"/>
      <c r="M5160" s="990"/>
      <c r="N5160" s="990"/>
      <c r="O5160" s="990"/>
      <c r="P5160" s="990"/>
      <c r="Q5160" s="990"/>
      <c r="R5160" s="990"/>
      <c r="S5160" s="990"/>
      <c r="T5160" s="990"/>
      <c r="U5160" s="990"/>
      <c r="V5160" s="990"/>
      <c r="W5160" s="990"/>
      <c r="X5160" s="990"/>
    </row>
    <row r="5161" spans="1:24" s="896" customFormat="1" ht="25.5">
      <c r="A5161" s="987">
        <f t="shared" si="81"/>
        <v>5087</v>
      </c>
      <c r="B5161" s="988">
        <v>13476</v>
      </c>
      <c r="C5161" s="899" t="s">
        <v>14487</v>
      </c>
      <c r="D5161" s="988" t="s">
        <v>2666</v>
      </c>
      <c r="E5161" s="989">
        <v>2058046.1</v>
      </c>
      <c r="F5161" s="990"/>
      <c r="G5161" s="990"/>
      <c r="H5161" s="990"/>
      <c r="I5161" s="990"/>
      <c r="J5161" s="990"/>
      <c r="K5161" s="990"/>
      <c r="L5161" s="990"/>
      <c r="M5161" s="990"/>
      <c r="N5161" s="990"/>
      <c r="O5161" s="990"/>
      <c r="P5161" s="990"/>
      <c r="Q5161" s="990"/>
      <c r="R5161" s="990"/>
      <c r="S5161" s="990"/>
      <c r="T5161" s="990"/>
      <c r="U5161" s="990"/>
      <c r="V5161" s="990"/>
      <c r="W5161" s="990"/>
      <c r="X5161" s="990"/>
    </row>
    <row r="5162" spans="1:24" s="896" customFormat="1" ht="25.5">
      <c r="A5162" s="987">
        <f t="shared" si="81"/>
        <v>5088</v>
      </c>
      <c r="B5162" s="988">
        <v>10488</v>
      </c>
      <c r="C5162" s="899" t="s">
        <v>14488</v>
      </c>
      <c r="D5162" s="988" t="s">
        <v>2666</v>
      </c>
      <c r="E5162" s="989">
        <v>2493345</v>
      </c>
      <c r="F5162" s="990"/>
      <c r="G5162" s="990"/>
      <c r="H5162" s="990"/>
      <c r="I5162" s="990"/>
      <c r="J5162" s="990"/>
      <c r="K5162" s="990"/>
      <c r="L5162" s="990"/>
      <c r="M5162" s="990"/>
      <c r="N5162" s="990"/>
      <c r="O5162" s="990"/>
      <c r="P5162" s="990"/>
      <c r="Q5162" s="990"/>
      <c r="R5162" s="990"/>
      <c r="S5162" s="990"/>
      <c r="T5162" s="990"/>
      <c r="U5162" s="990"/>
      <c r="V5162" s="990"/>
      <c r="W5162" s="990"/>
      <c r="X5162" s="990"/>
    </row>
    <row r="5163" spans="1:24" s="896" customFormat="1" ht="25.5">
      <c r="A5163" s="987">
        <f t="shared" si="81"/>
        <v>5089</v>
      </c>
      <c r="B5163" s="988">
        <v>13606</v>
      </c>
      <c r="C5163" s="899" t="s">
        <v>14489</v>
      </c>
      <c r="D5163" s="988" t="s">
        <v>2666</v>
      </c>
      <c r="E5163" s="989">
        <v>2209068.0099999998</v>
      </c>
      <c r="F5163" s="990"/>
      <c r="G5163" s="990"/>
      <c r="H5163" s="990"/>
      <c r="I5163" s="990"/>
      <c r="J5163" s="990"/>
      <c r="K5163" s="990"/>
      <c r="L5163" s="990"/>
      <c r="M5163" s="990"/>
      <c r="N5163" s="990"/>
      <c r="O5163" s="990"/>
      <c r="P5163" s="990"/>
      <c r="Q5163" s="990"/>
      <c r="R5163" s="990"/>
      <c r="S5163" s="990"/>
      <c r="T5163" s="990"/>
      <c r="U5163" s="990"/>
      <c r="V5163" s="990"/>
      <c r="W5163" s="990"/>
      <c r="X5163" s="990"/>
    </row>
    <row r="5164" spans="1:24" s="896" customFormat="1">
      <c r="A5164" s="987">
        <f t="shared" si="81"/>
        <v>5090</v>
      </c>
      <c r="B5164" s="988">
        <v>10489</v>
      </c>
      <c r="C5164" s="899" t="s">
        <v>14490</v>
      </c>
      <c r="D5164" s="988" t="s">
        <v>2665</v>
      </c>
      <c r="E5164" s="989">
        <v>24.28</v>
      </c>
      <c r="F5164" s="990"/>
      <c r="G5164" s="990"/>
      <c r="H5164" s="990"/>
      <c r="I5164" s="990"/>
      <c r="J5164" s="990"/>
      <c r="K5164" s="990"/>
      <c r="L5164" s="990"/>
      <c r="M5164" s="990"/>
      <c r="N5164" s="990"/>
      <c r="O5164" s="990"/>
      <c r="P5164" s="990"/>
      <c r="Q5164" s="990"/>
      <c r="R5164" s="990"/>
      <c r="S5164" s="990"/>
      <c r="T5164" s="990"/>
      <c r="U5164" s="990"/>
      <c r="V5164" s="990"/>
      <c r="W5164" s="990"/>
      <c r="X5164" s="990"/>
    </row>
    <row r="5165" spans="1:24" s="896" customFormat="1">
      <c r="A5165" s="987">
        <f t="shared" si="81"/>
        <v>5091</v>
      </c>
      <c r="B5165" s="988">
        <v>41073</v>
      </c>
      <c r="C5165" s="899" t="s">
        <v>14491</v>
      </c>
      <c r="D5165" s="988" t="s">
        <v>2672</v>
      </c>
      <c r="E5165" s="989">
        <v>4271.38</v>
      </c>
      <c r="F5165" s="990"/>
      <c r="G5165" s="990"/>
      <c r="H5165" s="990"/>
      <c r="I5165" s="990"/>
      <c r="J5165" s="990"/>
      <c r="K5165" s="990"/>
      <c r="L5165" s="990"/>
      <c r="M5165" s="990"/>
      <c r="N5165" s="990"/>
      <c r="O5165" s="990"/>
      <c r="P5165" s="990"/>
      <c r="Q5165" s="990"/>
      <c r="R5165" s="990"/>
      <c r="S5165" s="990"/>
      <c r="T5165" s="990"/>
      <c r="U5165" s="990"/>
      <c r="V5165" s="990"/>
      <c r="W5165" s="990"/>
      <c r="X5165" s="990"/>
    </row>
    <row r="5166" spans="1:24" s="896" customFormat="1" ht="25.5">
      <c r="A5166" s="987">
        <f t="shared" si="81"/>
        <v>5092</v>
      </c>
      <c r="B5166" s="988">
        <v>34391</v>
      </c>
      <c r="C5166" s="899" t="s">
        <v>14492</v>
      </c>
      <c r="D5166" s="988" t="s">
        <v>2667</v>
      </c>
      <c r="E5166" s="989">
        <v>861.58</v>
      </c>
      <c r="F5166" s="990"/>
      <c r="G5166" s="990"/>
      <c r="H5166" s="990"/>
      <c r="I5166" s="990"/>
      <c r="J5166" s="990"/>
      <c r="K5166" s="990"/>
      <c r="L5166" s="990"/>
      <c r="M5166" s="990"/>
      <c r="N5166" s="990"/>
      <c r="O5166" s="990"/>
      <c r="P5166" s="990"/>
      <c r="Q5166" s="990"/>
      <c r="R5166" s="990"/>
      <c r="S5166" s="990"/>
      <c r="T5166" s="990"/>
      <c r="U5166" s="990"/>
      <c r="V5166" s="990"/>
      <c r="W5166" s="990"/>
      <c r="X5166" s="990"/>
    </row>
    <row r="5167" spans="1:24" s="896" customFormat="1" ht="25.5">
      <c r="A5167" s="987">
        <f t="shared" si="81"/>
        <v>5093</v>
      </c>
      <c r="B5167" s="988">
        <v>10496</v>
      </c>
      <c r="C5167" s="899" t="s">
        <v>14493</v>
      </c>
      <c r="D5167" s="988" t="s">
        <v>2667</v>
      </c>
      <c r="E5167" s="989">
        <v>750</v>
      </c>
      <c r="F5167" s="990"/>
      <c r="G5167" s="990"/>
      <c r="H5167" s="990"/>
      <c r="I5167" s="990"/>
      <c r="J5167" s="990"/>
      <c r="K5167" s="990"/>
      <c r="L5167" s="990"/>
      <c r="M5167" s="990"/>
      <c r="N5167" s="990"/>
      <c r="O5167" s="990"/>
      <c r="P5167" s="990"/>
      <c r="Q5167" s="990"/>
      <c r="R5167" s="990"/>
      <c r="S5167" s="990"/>
      <c r="T5167" s="990"/>
      <c r="U5167" s="990"/>
      <c r="V5167" s="990"/>
      <c r="W5167" s="990"/>
      <c r="X5167" s="990"/>
    </row>
    <row r="5168" spans="1:24" s="896" customFormat="1" ht="25.5">
      <c r="A5168" s="987">
        <f t="shared" si="81"/>
        <v>5094</v>
      </c>
      <c r="B5168" s="988">
        <v>10497</v>
      </c>
      <c r="C5168" s="899" t="s">
        <v>14494</v>
      </c>
      <c r="D5168" s="988" t="s">
        <v>2667</v>
      </c>
      <c r="E5168" s="989">
        <v>1949.99</v>
      </c>
      <c r="F5168" s="990"/>
      <c r="G5168" s="990"/>
      <c r="H5168" s="990"/>
      <c r="I5168" s="990"/>
      <c r="J5168" s="990"/>
      <c r="K5168" s="990"/>
      <c r="L5168" s="990"/>
      <c r="M5168" s="990"/>
      <c r="N5168" s="990"/>
      <c r="O5168" s="990"/>
      <c r="P5168" s="990"/>
      <c r="Q5168" s="990"/>
      <c r="R5168" s="990"/>
      <c r="S5168" s="990"/>
      <c r="T5168" s="990"/>
      <c r="U5168" s="990"/>
      <c r="V5168" s="990"/>
      <c r="W5168" s="990"/>
      <c r="X5168" s="990"/>
    </row>
    <row r="5169" spans="1:24" s="896" customFormat="1" ht="25.5">
      <c r="A5169" s="987">
        <f t="shared" si="81"/>
        <v>5095</v>
      </c>
      <c r="B5169" s="988">
        <v>10504</v>
      </c>
      <c r="C5169" s="899" t="s">
        <v>14495</v>
      </c>
      <c r="D5169" s="988" t="s">
        <v>2667</v>
      </c>
      <c r="E5169" s="989">
        <v>2280</v>
      </c>
      <c r="F5169" s="990"/>
      <c r="G5169" s="990"/>
      <c r="H5169" s="990"/>
      <c r="I5169" s="990"/>
      <c r="J5169" s="990"/>
      <c r="K5169" s="990"/>
      <c r="L5169" s="990"/>
      <c r="M5169" s="990"/>
      <c r="N5169" s="990"/>
      <c r="O5169" s="990"/>
      <c r="P5169" s="990"/>
      <c r="Q5169" s="990"/>
      <c r="R5169" s="990"/>
      <c r="S5169" s="990"/>
      <c r="T5169" s="990"/>
      <c r="U5169" s="990"/>
      <c r="V5169" s="990"/>
      <c r="W5169" s="990"/>
      <c r="X5169" s="990"/>
    </row>
    <row r="5170" spans="1:24" s="896" customFormat="1">
      <c r="A5170" s="987">
        <f t="shared" si="81"/>
        <v>5096</v>
      </c>
      <c r="B5170" s="988">
        <v>34390</v>
      </c>
      <c r="C5170" s="899" t="s">
        <v>14496</v>
      </c>
      <c r="D5170" s="988" t="s">
        <v>2667</v>
      </c>
      <c r="E5170" s="989">
        <v>672</v>
      </c>
      <c r="F5170" s="990"/>
      <c r="G5170" s="990"/>
      <c r="H5170" s="990"/>
      <c r="I5170" s="990"/>
      <c r="J5170" s="990"/>
      <c r="K5170" s="990"/>
      <c r="L5170" s="990"/>
      <c r="M5170" s="990"/>
      <c r="N5170" s="990"/>
      <c r="O5170" s="990"/>
      <c r="P5170" s="990"/>
      <c r="Q5170" s="990"/>
      <c r="R5170" s="990"/>
      <c r="S5170" s="990"/>
      <c r="T5170" s="990"/>
      <c r="U5170" s="990"/>
      <c r="V5170" s="990"/>
      <c r="W5170" s="990"/>
      <c r="X5170" s="990"/>
    </row>
    <row r="5171" spans="1:24" s="896" customFormat="1">
      <c r="A5171" s="987">
        <f t="shared" si="81"/>
        <v>5097</v>
      </c>
      <c r="B5171" s="988">
        <v>34389</v>
      </c>
      <c r="C5171" s="899" t="s">
        <v>14497</v>
      </c>
      <c r="D5171" s="988" t="s">
        <v>2667</v>
      </c>
      <c r="E5171" s="989">
        <v>210</v>
      </c>
      <c r="F5171" s="990"/>
      <c r="G5171" s="990"/>
      <c r="H5171" s="990"/>
      <c r="I5171" s="990"/>
      <c r="J5171" s="990"/>
      <c r="K5171" s="990"/>
      <c r="L5171" s="990"/>
      <c r="M5171" s="990"/>
      <c r="N5171" s="990"/>
      <c r="O5171" s="990"/>
      <c r="P5171" s="990"/>
      <c r="Q5171" s="990"/>
      <c r="R5171" s="990"/>
      <c r="S5171" s="990"/>
      <c r="T5171" s="990"/>
      <c r="U5171" s="990"/>
      <c r="V5171" s="990"/>
      <c r="W5171" s="990"/>
      <c r="X5171" s="990"/>
    </row>
    <row r="5172" spans="1:24" s="896" customFormat="1">
      <c r="A5172" s="987">
        <f t="shared" si="81"/>
        <v>5098</v>
      </c>
      <c r="B5172" s="988">
        <v>34388</v>
      </c>
      <c r="C5172" s="899" t="s">
        <v>14498</v>
      </c>
      <c r="D5172" s="988" t="s">
        <v>2667</v>
      </c>
      <c r="E5172" s="989">
        <v>298.45</v>
      </c>
      <c r="F5172" s="990"/>
      <c r="G5172" s="990"/>
      <c r="H5172" s="990"/>
      <c r="I5172" s="990"/>
      <c r="J5172" s="990"/>
      <c r="K5172" s="990"/>
      <c r="L5172" s="990"/>
      <c r="M5172" s="990"/>
      <c r="N5172" s="990"/>
      <c r="O5172" s="990"/>
      <c r="P5172" s="990"/>
      <c r="Q5172" s="990"/>
      <c r="R5172" s="990"/>
      <c r="S5172" s="990"/>
      <c r="T5172" s="990"/>
      <c r="U5172" s="990"/>
      <c r="V5172" s="990"/>
      <c r="W5172" s="990"/>
      <c r="X5172" s="990"/>
    </row>
    <row r="5173" spans="1:24" s="896" customFormat="1">
      <c r="A5173" s="987">
        <f t="shared" si="81"/>
        <v>5099</v>
      </c>
      <c r="B5173" s="988">
        <v>34387</v>
      </c>
      <c r="C5173" s="899" t="s">
        <v>14499</v>
      </c>
      <c r="D5173" s="988" t="s">
        <v>2667</v>
      </c>
      <c r="E5173" s="989">
        <v>484.5</v>
      </c>
      <c r="F5173" s="990"/>
      <c r="G5173" s="990"/>
      <c r="H5173" s="990"/>
      <c r="I5173" s="990"/>
      <c r="J5173" s="990"/>
      <c r="K5173" s="990"/>
      <c r="L5173" s="990"/>
      <c r="M5173" s="990"/>
      <c r="N5173" s="990"/>
      <c r="O5173" s="990"/>
      <c r="P5173" s="990"/>
      <c r="Q5173" s="990"/>
      <c r="R5173" s="990"/>
      <c r="S5173" s="990"/>
      <c r="T5173" s="990"/>
      <c r="U5173" s="990"/>
      <c r="V5173" s="990"/>
      <c r="W5173" s="990"/>
      <c r="X5173" s="990"/>
    </row>
    <row r="5174" spans="1:24" s="896" customFormat="1">
      <c r="A5174" s="987">
        <f t="shared" si="81"/>
        <v>5100</v>
      </c>
      <c r="B5174" s="988">
        <v>11188</v>
      </c>
      <c r="C5174" s="899" t="s">
        <v>14500</v>
      </c>
      <c r="D5174" s="988" t="s">
        <v>2667</v>
      </c>
      <c r="E5174" s="989">
        <v>240</v>
      </c>
      <c r="F5174" s="990"/>
      <c r="G5174" s="990"/>
      <c r="H5174" s="990"/>
      <c r="I5174" s="990"/>
      <c r="J5174" s="990"/>
      <c r="K5174" s="990"/>
      <c r="L5174" s="990"/>
      <c r="M5174" s="990"/>
      <c r="N5174" s="990"/>
      <c r="O5174" s="990"/>
      <c r="P5174" s="990"/>
      <c r="Q5174" s="990"/>
      <c r="R5174" s="990"/>
      <c r="S5174" s="990"/>
      <c r="T5174" s="990"/>
      <c r="U5174" s="990"/>
      <c r="V5174" s="990"/>
      <c r="W5174" s="990"/>
      <c r="X5174" s="990"/>
    </row>
    <row r="5175" spans="1:24" s="896" customFormat="1">
      <c r="A5175" s="987">
        <f t="shared" si="81"/>
        <v>5101</v>
      </c>
      <c r="B5175" s="988">
        <v>11189</v>
      </c>
      <c r="C5175" s="899" t="s">
        <v>14501</v>
      </c>
      <c r="D5175" s="988" t="s">
        <v>2667</v>
      </c>
      <c r="E5175" s="989">
        <v>360</v>
      </c>
      <c r="F5175" s="990"/>
      <c r="G5175" s="990"/>
      <c r="H5175" s="990"/>
      <c r="I5175" s="990"/>
      <c r="J5175" s="990"/>
      <c r="K5175" s="990"/>
      <c r="L5175" s="990"/>
      <c r="M5175" s="990"/>
      <c r="N5175" s="990"/>
      <c r="O5175" s="990"/>
      <c r="P5175" s="990"/>
      <c r="Q5175" s="990"/>
      <c r="R5175" s="990"/>
      <c r="S5175" s="990"/>
      <c r="T5175" s="990"/>
      <c r="U5175" s="990"/>
      <c r="V5175" s="990"/>
      <c r="W5175" s="990"/>
      <c r="X5175" s="990"/>
    </row>
    <row r="5176" spans="1:24" s="896" customFormat="1">
      <c r="A5176" s="987">
        <f t="shared" si="81"/>
        <v>5102</v>
      </c>
      <c r="B5176" s="988">
        <v>21107</v>
      </c>
      <c r="C5176" s="899" t="s">
        <v>14502</v>
      </c>
      <c r="D5176" s="988" t="s">
        <v>2667</v>
      </c>
      <c r="E5176" s="989">
        <v>259.06</v>
      </c>
      <c r="F5176" s="990"/>
      <c r="G5176" s="990"/>
      <c r="H5176" s="990"/>
      <c r="I5176" s="990"/>
      <c r="J5176" s="990"/>
      <c r="K5176" s="990"/>
      <c r="L5176" s="990"/>
      <c r="M5176" s="990"/>
      <c r="N5176" s="990"/>
      <c r="O5176" s="990"/>
      <c r="P5176" s="990"/>
      <c r="Q5176" s="990"/>
      <c r="R5176" s="990"/>
      <c r="S5176" s="990"/>
      <c r="T5176" s="990"/>
      <c r="U5176" s="990"/>
      <c r="V5176" s="990"/>
      <c r="W5176" s="990"/>
      <c r="X5176" s="990"/>
    </row>
    <row r="5177" spans="1:24" s="896" customFormat="1">
      <c r="A5177" s="987">
        <f t="shared" si="81"/>
        <v>5103</v>
      </c>
      <c r="B5177" s="988">
        <v>34386</v>
      </c>
      <c r="C5177" s="899" t="s">
        <v>14503</v>
      </c>
      <c r="D5177" s="988" t="s">
        <v>2667</v>
      </c>
      <c r="E5177" s="989">
        <v>449.99</v>
      </c>
      <c r="F5177" s="990"/>
      <c r="G5177" s="990"/>
      <c r="H5177" s="990"/>
      <c r="I5177" s="990"/>
      <c r="J5177" s="990"/>
      <c r="K5177" s="990"/>
      <c r="L5177" s="990"/>
      <c r="M5177" s="990"/>
      <c r="N5177" s="990"/>
      <c r="O5177" s="990"/>
      <c r="P5177" s="990"/>
      <c r="Q5177" s="990"/>
      <c r="R5177" s="990"/>
      <c r="S5177" s="990"/>
      <c r="T5177" s="990"/>
      <c r="U5177" s="990"/>
      <c r="V5177" s="990"/>
      <c r="W5177" s="990"/>
      <c r="X5177" s="990"/>
    </row>
    <row r="5178" spans="1:24" s="896" customFormat="1">
      <c r="A5178" s="987">
        <f t="shared" si="81"/>
        <v>5104</v>
      </c>
      <c r="B5178" s="988">
        <v>10490</v>
      </c>
      <c r="C5178" s="899" t="s">
        <v>14504</v>
      </c>
      <c r="D5178" s="988" t="s">
        <v>2667</v>
      </c>
      <c r="E5178" s="989">
        <v>135</v>
      </c>
      <c r="F5178" s="990"/>
      <c r="G5178" s="990"/>
      <c r="H5178" s="990"/>
      <c r="I5178" s="990"/>
      <c r="J5178" s="990"/>
      <c r="K5178" s="990"/>
      <c r="L5178" s="990"/>
      <c r="M5178" s="990"/>
      <c r="N5178" s="990"/>
      <c r="O5178" s="990"/>
      <c r="P5178" s="990"/>
      <c r="Q5178" s="990"/>
      <c r="R5178" s="990"/>
      <c r="S5178" s="990"/>
      <c r="T5178" s="990"/>
      <c r="U5178" s="990"/>
      <c r="V5178" s="990"/>
      <c r="W5178" s="990"/>
      <c r="X5178" s="990"/>
    </row>
    <row r="5179" spans="1:24" s="896" customFormat="1">
      <c r="A5179" s="987">
        <f t="shared" si="81"/>
        <v>5105</v>
      </c>
      <c r="B5179" s="988">
        <v>10492</v>
      </c>
      <c r="C5179" s="899" t="s">
        <v>14505</v>
      </c>
      <c r="D5179" s="988" t="s">
        <v>2667</v>
      </c>
      <c r="E5179" s="989">
        <v>179.99</v>
      </c>
      <c r="F5179" s="990"/>
      <c r="G5179" s="990"/>
      <c r="H5179" s="990"/>
      <c r="I5179" s="990"/>
      <c r="J5179" s="990"/>
      <c r="K5179" s="990"/>
      <c r="L5179" s="990"/>
      <c r="M5179" s="990"/>
      <c r="N5179" s="990"/>
      <c r="O5179" s="990"/>
      <c r="P5179" s="990"/>
      <c r="Q5179" s="990"/>
      <c r="R5179" s="990"/>
      <c r="S5179" s="990"/>
      <c r="T5179" s="990"/>
      <c r="U5179" s="990"/>
      <c r="V5179" s="990"/>
      <c r="W5179" s="990"/>
      <c r="X5179" s="990"/>
    </row>
    <row r="5180" spans="1:24" s="896" customFormat="1">
      <c r="A5180" s="987">
        <f t="shared" si="81"/>
        <v>5106</v>
      </c>
      <c r="B5180" s="988">
        <v>10493</v>
      </c>
      <c r="C5180" s="899" t="s">
        <v>14506</v>
      </c>
      <c r="D5180" s="988" t="s">
        <v>2667</v>
      </c>
      <c r="E5180" s="989">
        <v>210</v>
      </c>
      <c r="F5180" s="990"/>
      <c r="G5180" s="990"/>
      <c r="H5180" s="990"/>
      <c r="I5180" s="990"/>
      <c r="J5180" s="990"/>
      <c r="K5180" s="990"/>
      <c r="L5180" s="990"/>
      <c r="M5180" s="990"/>
      <c r="N5180" s="990"/>
      <c r="O5180" s="990"/>
      <c r="P5180" s="990"/>
      <c r="Q5180" s="990"/>
      <c r="R5180" s="990"/>
      <c r="S5180" s="990"/>
      <c r="T5180" s="990"/>
      <c r="U5180" s="990"/>
      <c r="V5180" s="990"/>
      <c r="W5180" s="990"/>
      <c r="X5180" s="990"/>
    </row>
    <row r="5181" spans="1:24" s="896" customFormat="1">
      <c r="A5181" s="987">
        <f t="shared" si="81"/>
        <v>5107</v>
      </c>
      <c r="B5181" s="988">
        <v>10491</v>
      </c>
      <c r="C5181" s="899" t="s">
        <v>14507</v>
      </c>
      <c r="D5181" s="988" t="s">
        <v>2667</v>
      </c>
      <c r="E5181" s="989">
        <v>255</v>
      </c>
      <c r="F5181" s="990"/>
      <c r="G5181" s="990"/>
      <c r="H5181" s="990"/>
      <c r="I5181" s="990"/>
      <c r="J5181" s="990"/>
      <c r="K5181" s="990"/>
      <c r="L5181" s="990"/>
      <c r="M5181" s="990"/>
      <c r="N5181" s="990"/>
      <c r="O5181" s="990"/>
      <c r="P5181" s="990"/>
      <c r="Q5181" s="990"/>
      <c r="R5181" s="990"/>
      <c r="S5181" s="990"/>
      <c r="T5181" s="990"/>
      <c r="U5181" s="990"/>
      <c r="V5181" s="990"/>
      <c r="W5181" s="990"/>
      <c r="X5181" s="990"/>
    </row>
    <row r="5182" spans="1:24" s="896" customFormat="1">
      <c r="A5182" s="987">
        <f t="shared" si="81"/>
        <v>5108</v>
      </c>
      <c r="B5182" s="988">
        <v>34385</v>
      </c>
      <c r="C5182" s="899" t="s">
        <v>14508</v>
      </c>
      <c r="D5182" s="988" t="s">
        <v>2667</v>
      </c>
      <c r="E5182" s="989">
        <v>372</v>
      </c>
      <c r="F5182" s="990"/>
      <c r="G5182" s="990"/>
      <c r="H5182" s="990"/>
      <c r="I5182" s="990"/>
      <c r="J5182" s="990"/>
      <c r="K5182" s="990"/>
      <c r="L5182" s="990"/>
      <c r="M5182" s="990"/>
      <c r="N5182" s="990"/>
      <c r="O5182" s="990"/>
      <c r="P5182" s="990"/>
      <c r="Q5182" s="990"/>
      <c r="R5182" s="990"/>
      <c r="S5182" s="990"/>
      <c r="T5182" s="990"/>
      <c r="U5182" s="990"/>
      <c r="V5182" s="990"/>
      <c r="W5182" s="990"/>
      <c r="X5182" s="990"/>
    </row>
    <row r="5183" spans="1:24" s="896" customFormat="1">
      <c r="A5183" s="987">
        <f t="shared" si="81"/>
        <v>5109</v>
      </c>
      <c r="B5183" s="988">
        <v>10499</v>
      </c>
      <c r="C5183" s="899" t="s">
        <v>14509</v>
      </c>
      <c r="D5183" s="988" t="s">
        <v>2667</v>
      </c>
      <c r="E5183" s="989">
        <v>149.99</v>
      </c>
      <c r="F5183" s="990"/>
      <c r="G5183" s="990"/>
      <c r="H5183" s="990"/>
      <c r="I5183" s="990"/>
      <c r="J5183" s="990"/>
      <c r="K5183" s="990"/>
      <c r="L5183" s="990"/>
      <c r="M5183" s="990"/>
      <c r="N5183" s="990"/>
      <c r="O5183" s="990"/>
      <c r="P5183" s="990"/>
      <c r="Q5183" s="990"/>
      <c r="R5183" s="990"/>
      <c r="S5183" s="990"/>
      <c r="T5183" s="990"/>
      <c r="U5183" s="990"/>
      <c r="V5183" s="990"/>
      <c r="W5183" s="990"/>
      <c r="X5183" s="990"/>
    </row>
    <row r="5184" spans="1:24" s="896" customFormat="1">
      <c r="A5184" s="987">
        <f t="shared" si="81"/>
        <v>5110</v>
      </c>
      <c r="B5184" s="988">
        <v>34384</v>
      </c>
      <c r="C5184" s="899" t="s">
        <v>14510</v>
      </c>
      <c r="D5184" s="988" t="s">
        <v>2667</v>
      </c>
      <c r="E5184" s="989">
        <v>449.99</v>
      </c>
      <c r="F5184" s="990"/>
      <c r="G5184" s="990"/>
      <c r="H5184" s="990"/>
      <c r="I5184" s="990"/>
      <c r="J5184" s="990"/>
      <c r="K5184" s="990"/>
      <c r="L5184" s="990"/>
      <c r="M5184" s="990"/>
      <c r="N5184" s="990"/>
      <c r="O5184" s="990"/>
      <c r="P5184" s="990"/>
      <c r="Q5184" s="990"/>
      <c r="R5184" s="990"/>
      <c r="S5184" s="990"/>
      <c r="T5184" s="990"/>
      <c r="U5184" s="990"/>
      <c r="V5184" s="990"/>
      <c r="W5184" s="990"/>
      <c r="X5184" s="990"/>
    </row>
    <row r="5185" spans="1:24" s="896" customFormat="1">
      <c r="A5185" s="987">
        <f t="shared" si="81"/>
        <v>5111</v>
      </c>
      <c r="B5185" s="988">
        <v>11185</v>
      </c>
      <c r="C5185" s="899" t="s">
        <v>14511</v>
      </c>
      <c r="D5185" s="988" t="s">
        <v>2667</v>
      </c>
      <c r="E5185" s="989">
        <v>464.99</v>
      </c>
      <c r="F5185" s="990"/>
      <c r="G5185" s="990"/>
      <c r="H5185" s="990"/>
      <c r="I5185" s="990"/>
      <c r="J5185" s="990"/>
      <c r="K5185" s="990"/>
      <c r="L5185" s="990"/>
      <c r="M5185" s="990"/>
      <c r="N5185" s="990"/>
      <c r="O5185" s="990"/>
      <c r="P5185" s="990"/>
      <c r="Q5185" s="990"/>
      <c r="R5185" s="990"/>
      <c r="S5185" s="990"/>
      <c r="T5185" s="990"/>
      <c r="U5185" s="990"/>
      <c r="V5185" s="990"/>
      <c r="W5185" s="990"/>
      <c r="X5185" s="990"/>
    </row>
    <row r="5186" spans="1:24" s="896" customFormat="1">
      <c r="A5186" s="987">
        <f t="shared" si="81"/>
        <v>5112</v>
      </c>
      <c r="B5186" s="988">
        <v>10507</v>
      </c>
      <c r="C5186" s="899" t="s">
        <v>14512</v>
      </c>
      <c r="D5186" s="988" t="s">
        <v>2667</v>
      </c>
      <c r="E5186" s="989">
        <v>369.82</v>
      </c>
      <c r="F5186" s="990"/>
      <c r="G5186" s="990"/>
      <c r="H5186" s="990"/>
      <c r="I5186" s="990"/>
      <c r="J5186" s="990"/>
      <c r="K5186" s="990"/>
      <c r="L5186" s="990"/>
      <c r="M5186" s="990"/>
      <c r="N5186" s="990"/>
      <c r="O5186" s="990"/>
      <c r="P5186" s="990"/>
      <c r="Q5186" s="990"/>
      <c r="R5186" s="990"/>
      <c r="S5186" s="990"/>
      <c r="T5186" s="990"/>
      <c r="U5186" s="990"/>
      <c r="V5186" s="990"/>
      <c r="W5186" s="990"/>
      <c r="X5186" s="990"/>
    </row>
    <row r="5187" spans="1:24" s="896" customFormat="1">
      <c r="A5187" s="987">
        <f t="shared" si="81"/>
        <v>5113</v>
      </c>
      <c r="B5187" s="988">
        <v>10505</v>
      </c>
      <c r="C5187" s="899" t="s">
        <v>14513</v>
      </c>
      <c r="D5187" s="988" t="s">
        <v>2667</v>
      </c>
      <c r="E5187" s="989">
        <v>218.22</v>
      </c>
      <c r="F5187" s="990"/>
      <c r="G5187" s="990"/>
      <c r="H5187" s="990"/>
      <c r="I5187" s="990"/>
      <c r="J5187" s="990"/>
      <c r="K5187" s="990"/>
      <c r="L5187" s="990"/>
      <c r="M5187" s="990"/>
      <c r="N5187" s="990"/>
      <c r="O5187" s="990"/>
      <c r="P5187" s="990"/>
      <c r="Q5187" s="990"/>
      <c r="R5187" s="990"/>
      <c r="S5187" s="990"/>
      <c r="T5187" s="990"/>
      <c r="U5187" s="990"/>
      <c r="V5187" s="990"/>
      <c r="W5187" s="990"/>
      <c r="X5187" s="990"/>
    </row>
    <row r="5188" spans="1:24" s="896" customFormat="1">
      <c r="A5188" s="987">
        <f t="shared" si="81"/>
        <v>5114</v>
      </c>
      <c r="B5188" s="988">
        <v>10506</v>
      </c>
      <c r="C5188" s="899" t="s">
        <v>14514</v>
      </c>
      <c r="D5188" s="988" t="s">
        <v>2667</v>
      </c>
      <c r="E5188" s="989">
        <v>284.87</v>
      </c>
      <c r="F5188" s="990"/>
      <c r="G5188" s="990"/>
      <c r="H5188" s="990"/>
      <c r="I5188" s="990"/>
      <c r="J5188" s="990"/>
      <c r="K5188" s="990"/>
      <c r="L5188" s="990"/>
      <c r="M5188" s="990"/>
      <c r="N5188" s="990"/>
      <c r="O5188" s="990"/>
      <c r="P5188" s="990"/>
      <c r="Q5188" s="990"/>
      <c r="R5188" s="990"/>
      <c r="S5188" s="990"/>
      <c r="T5188" s="990"/>
      <c r="U5188" s="990"/>
      <c r="V5188" s="990"/>
      <c r="W5188" s="990"/>
      <c r="X5188" s="990"/>
    </row>
    <row r="5189" spans="1:24" s="896" customFormat="1" ht="25.5">
      <c r="A5189" s="987">
        <f t="shared" si="81"/>
        <v>5115</v>
      </c>
      <c r="B5189" s="988">
        <v>5031</v>
      </c>
      <c r="C5189" s="899" t="s">
        <v>14515</v>
      </c>
      <c r="D5189" s="988" t="s">
        <v>2667</v>
      </c>
      <c r="E5189" s="989">
        <v>400</v>
      </c>
      <c r="F5189" s="990"/>
      <c r="G5189" s="990"/>
      <c r="H5189" s="990"/>
      <c r="I5189" s="990"/>
      <c r="J5189" s="990"/>
      <c r="K5189" s="990"/>
      <c r="L5189" s="990"/>
      <c r="M5189" s="990"/>
      <c r="N5189" s="990"/>
      <c r="O5189" s="990"/>
      <c r="P5189" s="990"/>
      <c r="Q5189" s="990"/>
      <c r="R5189" s="990"/>
      <c r="S5189" s="990"/>
      <c r="T5189" s="990"/>
      <c r="U5189" s="990"/>
      <c r="V5189" s="990"/>
      <c r="W5189" s="990"/>
      <c r="X5189" s="990"/>
    </row>
    <row r="5190" spans="1:24" s="896" customFormat="1">
      <c r="A5190" s="987">
        <f t="shared" si="81"/>
        <v>5116</v>
      </c>
      <c r="B5190" s="988">
        <v>10502</v>
      </c>
      <c r="C5190" s="899" t="s">
        <v>14516</v>
      </c>
      <c r="D5190" s="988" t="s">
        <v>2667</v>
      </c>
      <c r="E5190" s="989">
        <v>466.09</v>
      </c>
      <c r="F5190" s="990"/>
      <c r="G5190" s="990"/>
      <c r="H5190" s="990"/>
      <c r="I5190" s="990"/>
      <c r="J5190" s="990"/>
      <c r="K5190" s="990"/>
      <c r="L5190" s="990"/>
      <c r="M5190" s="990"/>
      <c r="N5190" s="990"/>
      <c r="O5190" s="990"/>
      <c r="P5190" s="990"/>
      <c r="Q5190" s="990"/>
      <c r="R5190" s="990"/>
      <c r="S5190" s="990"/>
      <c r="T5190" s="990"/>
      <c r="U5190" s="990"/>
      <c r="V5190" s="990"/>
      <c r="W5190" s="990"/>
      <c r="X5190" s="990"/>
    </row>
    <row r="5191" spans="1:24" s="896" customFormat="1">
      <c r="A5191" s="987">
        <f t="shared" si="81"/>
        <v>5117</v>
      </c>
      <c r="B5191" s="988">
        <v>10501</v>
      </c>
      <c r="C5191" s="899" t="s">
        <v>14517</v>
      </c>
      <c r="D5191" s="988" t="s">
        <v>2667</v>
      </c>
      <c r="E5191" s="989">
        <v>263.33</v>
      </c>
      <c r="F5191" s="990"/>
      <c r="G5191" s="990"/>
      <c r="H5191" s="990"/>
      <c r="I5191" s="990"/>
      <c r="J5191" s="990"/>
      <c r="K5191" s="990"/>
      <c r="L5191" s="990"/>
      <c r="M5191" s="990"/>
      <c r="N5191" s="990"/>
      <c r="O5191" s="990"/>
      <c r="P5191" s="990"/>
      <c r="Q5191" s="990"/>
      <c r="R5191" s="990"/>
      <c r="S5191" s="990"/>
      <c r="T5191" s="990"/>
      <c r="U5191" s="990"/>
      <c r="V5191" s="990"/>
      <c r="W5191" s="990"/>
      <c r="X5191" s="990"/>
    </row>
    <row r="5192" spans="1:24" s="896" customFormat="1">
      <c r="A5192" s="987">
        <f t="shared" si="81"/>
        <v>5118</v>
      </c>
      <c r="B5192" s="988">
        <v>10503</v>
      </c>
      <c r="C5192" s="899" t="s">
        <v>14518</v>
      </c>
      <c r="D5192" s="988" t="s">
        <v>2667</v>
      </c>
      <c r="E5192" s="989">
        <v>355.76</v>
      </c>
      <c r="F5192" s="990"/>
      <c r="G5192" s="990"/>
      <c r="H5192" s="990"/>
      <c r="I5192" s="990"/>
      <c r="J5192" s="990"/>
      <c r="K5192" s="990"/>
      <c r="L5192" s="990"/>
      <c r="M5192" s="990"/>
      <c r="N5192" s="990"/>
      <c r="O5192" s="990"/>
      <c r="P5192" s="990"/>
      <c r="Q5192" s="990"/>
      <c r="R5192" s="990"/>
      <c r="S5192" s="990"/>
      <c r="T5192" s="990"/>
      <c r="U5192" s="990"/>
      <c r="V5192" s="990"/>
      <c r="W5192" s="990"/>
      <c r="X5192" s="990"/>
    </row>
    <row r="5193" spans="1:24" s="896" customFormat="1">
      <c r="A5193" s="987">
        <f t="shared" si="81"/>
        <v>5119</v>
      </c>
      <c r="B5193" s="988">
        <v>4500</v>
      </c>
      <c r="C5193" s="899" t="s">
        <v>14519</v>
      </c>
      <c r="D5193" s="988" t="s">
        <v>2669</v>
      </c>
      <c r="E5193" s="989">
        <v>13.44</v>
      </c>
      <c r="F5193" s="990"/>
      <c r="G5193" s="990"/>
      <c r="H5193" s="990"/>
      <c r="I5193" s="990"/>
      <c r="J5193" s="990"/>
      <c r="K5193" s="990"/>
      <c r="L5193" s="990"/>
      <c r="M5193" s="990"/>
      <c r="N5193" s="990"/>
      <c r="O5193" s="990"/>
      <c r="P5193" s="990"/>
      <c r="Q5193" s="990"/>
      <c r="R5193" s="990"/>
      <c r="S5193" s="990"/>
      <c r="T5193" s="990"/>
      <c r="U5193" s="990"/>
      <c r="V5193" s="990"/>
      <c r="W5193" s="990"/>
      <c r="X5193" s="990"/>
    </row>
    <row r="5194" spans="1:24" s="896" customFormat="1">
      <c r="A5194" s="987">
        <f t="shared" si="81"/>
        <v>5120</v>
      </c>
      <c r="B5194" s="988">
        <v>4448</v>
      </c>
      <c r="C5194" s="899" t="s">
        <v>14520</v>
      </c>
      <c r="D5194" s="988" t="s">
        <v>2669</v>
      </c>
      <c r="E5194" s="989">
        <v>18.46</v>
      </c>
      <c r="F5194" s="990"/>
      <c r="G5194" s="990"/>
      <c r="H5194" s="990"/>
      <c r="I5194" s="990"/>
      <c r="J5194" s="990"/>
      <c r="K5194" s="990"/>
      <c r="L5194" s="990"/>
      <c r="M5194" s="990"/>
      <c r="N5194" s="990"/>
      <c r="O5194" s="990"/>
      <c r="P5194" s="990"/>
      <c r="Q5194" s="990"/>
      <c r="R5194" s="990"/>
      <c r="S5194" s="990"/>
      <c r="T5194" s="990"/>
      <c r="U5194" s="990"/>
      <c r="V5194" s="990"/>
      <c r="W5194" s="990"/>
      <c r="X5194" s="990"/>
    </row>
    <row r="5195" spans="1:24" s="896" customFormat="1" ht="25.5">
      <c r="A5195" s="987">
        <f t="shared" si="81"/>
        <v>5121</v>
      </c>
      <c r="B5195" s="988">
        <v>20213</v>
      </c>
      <c r="C5195" s="899" t="s">
        <v>14521</v>
      </c>
      <c r="D5195" s="988" t="s">
        <v>2669</v>
      </c>
      <c r="E5195" s="989">
        <v>33.43</v>
      </c>
      <c r="F5195" s="990"/>
      <c r="G5195" s="990"/>
      <c r="H5195" s="990"/>
      <c r="I5195" s="990"/>
      <c r="J5195" s="990"/>
      <c r="K5195" s="990"/>
      <c r="L5195" s="990"/>
      <c r="M5195" s="990"/>
      <c r="N5195" s="990"/>
      <c r="O5195" s="990"/>
      <c r="P5195" s="990"/>
      <c r="Q5195" s="990"/>
      <c r="R5195" s="990"/>
      <c r="S5195" s="990"/>
      <c r="T5195" s="990"/>
      <c r="U5195" s="990"/>
      <c r="V5195" s="990"/>
      <c r="W5195" s="990"/>
      <c r="X5195" s="990"/>
    </row>
    <row r="5196" spans="1:24" s="896" customFormat="1">
      <c r="A5196" s="987">
        <f t="shared" ref="A5196:A5203" si="82">A5195+1</f>
        <v>5122</v>
      </c>
      <c r="B5196" s="988">
        <v>20211</v>
      </c>
      <c r="C5196" s="899" t="s">
        <v>14522</v>
      </c>
      <c r="D5196" s="988" t="s">
        <v>2669</v>
      </c>
      <c r="E5196" s="989">
        <v>44.27</v>
      </c>
      <c r="F5196" s="990"/>
      <c r="G5196" s="990"/>
      <c r="H5196" s="990"/>
      <c r="I5196" s="990"/>
      <c r="J5196" s="990"/>
      <c r="K5196" s="990"/>
      <c r="L5196" s="990"/>
      <c r="M5196" s="990"/>
      <c r="N5196" s="990"/>
      <c r="O5196" s="990"/>
      <c r="P5196" s="990"/>
      <c r="Q5196" s="990"/>
      <c r="R5196" s="990"/>
      <c r="S5196" s="990"/>
      <c r="T5196" s="990"/>
      <c r="U5196" s="990"/>
      <c r="V5196" s="990"/>
      <c r="W5196" s="990"/>
      <c r="X5196" s="990"/>
    </row>
    <row r="5197" spans="1:24" s="896" customFormat="1" ht="25.5">
      <c r="A5197" s="987">
        <f t="shared" si="82"/>
        <v>5123</v>
      </c>
      <c r="B5197" s="988">
        <v>40270</v>
      </c>
      <c r="C5197" s="899" t="s">
        <v>14523</v>
      </c>
      <c r="D5197" s="988" t="s">
        <v>2669</v>
      </c>
      <c r="E5197" s="989">
        <v>111.03</v>
      </c>
      <c r="F5197" s="990"/>
      <c r="G5197" s="990"/>
      <c r="H5197" s="990"/>
      <c r="I5197" s="990"/>
      <c r="J5197" s="990"/>
      <c r="K5197" s="990"/>
      <c r="L5197" s="990"/>
      <c r="M5197" s="990"/>
      <c r="N5197" s="990"/>
      <c r="O5197" s="990"/>
      <c r="P5197" s="990"/>
      <c r="Q5197" s="990"/>
      <c r="R5197" s="990"/>
      <c r="S5197" s="990"/>
      <c r="T5197" s="990"/>
      <c r="U5197" s="990"/>
      <c r="V5197" s="990"/>
      <c r="W5197" s="990"/>
      <c r="X5197" s="990"/>
    </row>
    <row r="5198" spans="1:24" s="896" customFormat="1" ht="25.5">
      <c r="A5198" s="987">
        <f t="shared" si="82"/>
        <v>5124</v>
      </c>
      <c r="B5198" s="988">
        <v>4425</v>
      </c>
      <c r="C5198" s="899" t="s">
        <v>14524</v>
      </c>
      <c r="D5198" s="988" t="s">
        <v>2669</v>
      </c>
      <c r="E5198" s="989">
        <v>36.590000000000003</v>
      </c>
      <c r="F5198" s="990"/>
      <c r="G5198" s="990"/>
      <c r="H5198" s="990"/>
      <c r="I5198" s="990"/>
      <c r="J5198" s="990"/>
      <c r="K5198" s="990"/>
      <c r="L5198" s="990"/>
      <c r="M5198" s="990"/>
      <c r="N5198" s="990"/>
      <c r="O5198" s="990"/>
      <c r="P5198" s="990"/>
      <c r="Q5198" s="990"/>
      <c r="R5198" s="990"/>
      <c r="S5198" s="990"/>
      <c r="T5198" s="990"/>
      <c r="U5198" s="990"/>
      <c r="V5198" s="990"/>
      <c r="W5198" s="990"/>
      <c r="X5198" s="990"/>
    </row>
    <row r="5199" spans="1:24" s="896" customFormat="1" ht="25.5">
      <c r="A5199" s="987">
        <f t="shared" si="82"/>
        <v>5125</v>
      </c>
      <c r="B5199" s="988">
        <v>4472</v>
      </c>
      <c r="C5199" s="899" t="s">
        <v>14525</v>
      </c>
      <c r="D5199" s="988" t="s">
        <v>2669</v>
      </c>
      <c r="E5199" s="989">
        <v>45.71</v>
      </c>
      <c r="F5199" s="990"/>
      <c r="G5199" s="990"/>
      <c r="H5199" s="990"/>
      <c r="I5199" s="990"/>
      <c r="J5199" s="990"/>
      <c r="K5199" s="990"/>
      <c r="L5199" s="990"/>
      <c r="M5199" s="990"/>
      <c r="N5199" s="990"/>
      <c r="O5199" s="990"/>
      <c r="P5199" s="990"/>
      <c r="Q5199" s="990"/>
      <c r="R5199" s="990"/>
      <c r="S5199" s="990"/>
      <c r="T5199" s="990"/>
      <c r="U5199" s="990"/>
      <c r="V5199" s="990"/>
      <c r="W5199" s="990"/>
      <c r="X5199" s="990"/>
    </row>
    <row r="5200" spans="1:24" s="896" customFormat="1" ht="25.5">
      <c r="A5200" s="987">
        <f t="shared" si="82"/>
        <v>5126</v>
      </c>
      <c r="B5200" s="988">
        <v>35272</v>
      </c>
      <c r="C5200" s="899" t="s">
        <v>14526</v>
      </c>
      <c r="D5200" s="988" t="s">
        <v>2669</v>
      </c>
      <c r="E5200" s="989">
        <v>66.08</v>
      </c>
      <c r="F5200" s="990"/>
      <c r="G5200" s="990"/>
      <c r="H5200" s="990"/>
      <c r="I5200" s="990"/>
      <c r="J5200" s="990"/>
      <c r="K5200" s="990"/>
      <c r="L5200" s="990"/>
      <c r="M5200" s="990"/>
      <c r="N5200" s="990"/>
      <c r="O5200" s="990"/>
      <c r="P5200" s="990"/>
      <c r="Q5200" s="990"/>
      <c r="R5200" s="990"/>
      <c r="S5200" s="990"/>
      <c r="T5200" s="990"/>
      <c r="U5200" s="990"/>
      <c r="V5200" s="990"/>
      <c r="W5200" s="990"/>
      <c r="X5200" s="990"/>
    </row>
    <row r="5201" spans="1:24" s="896" customFormat="1" ht="25.5">
      <c r="A5201" s="987">
        <f t="shared" si="82"/>
        <v>5127</v>
      </c>
      <c r="B5201" s="988">
        <v>4481</v>
      </c>
      <c r="C5201" s="899" t="s">
        <v>14527</v>
      </c>
      <c r="D5201" s="988" t="s">
        <v>2669</v>
      </c>
      <c r="E5201" s="989">
        <v>70.73</v>
      </c>
      <c r="F5201" s="990"/>
      <c r="G5201" s="990"/>
      <c r="H5201" s="990"/>
      <c r="I5201" s="990"/>
      <c r="J5201" s="990"/>
      <c r="K5201" s="990"/>
      <c r="L5201" s="990"/>
      <c r="M5201" s="990"/>
      <c r="N5201" s="990"/>
      <c r="O5201" s="990"/>
      <c r="P5201" s="990"/>
      <c r="Q5201" s="990"/>
      <c r="R5201" s="990"/>
      <c r="S5201" s="990"/>
      <c r="T5201" s="990"/>
      <c r="U5201" s="990"/>
      <c r="V5201" s="990"/>
      <c r="W5201" s="990"/>
      <c r="X5201" s="990"/>
    </row>
    <row r="5202" spans="1:24" s="896" customFormat="1">
      <c r="A5202" s="987">
        <f t="shared" si="82"/>
        <v>5128</v>
      </c>
      <c r="B5202" s="988">
        <v>34345</v>
      </c>
      <c r="C5202" s="899" t="s">
        <v>14528</v>
      </c>
      <c r="D5202" s="988" t="s">
        <v>2665</v>
      </c>
      <c r="E5202" s="989">
        <v>17.27</v>
      </c>
      <c r="F5202" s="990"/>
      <c r="G5202" s="990"/>
      <c r="H5202" s="990"/>
      <c r="I5202" s="990"/>
      <c r="J5202" s="990"/>
      <c r="K5202" s="990"/>
      <c r="L5202" s="990"/>
      <c r="M5202" s="990"/>
      <c r="N5202" s="990"/>
      <c r="O5202" s="990"/>
      <c r="P5202" s="990"/>
      <c r="Q5202" s="990"/>
      <c r="R5202" s="990"/>
      <c r="S5202" s="990"/>
      <c r="T5202" s="990"/>
      <c r="U5202" s="990"/>
      <c r="V5202" s="990"/>
      <c r="W5202" s="990"/>
      <c r="X5202" s="990"/>
    </row>
    <row r="5203" spans="1:24" s="896" customFormat="1">
      <c r="A5203" s="987">
        <f t="shared" si="82"/>
        <v>5129</v>
      </c>
      <c r="B5203" s="988">
        <v>41096</v>
      </c>
      <c r="C5203" s="899" t="s">
        <v>14529</v>
      </c>
      <c r="D5203" s="988" t="s">
        <v>2672</v>
      </c>
      <c r="E5203" s="989">
        <v>3037.4</v>
      </c>
      <c r="F5203" s="990"/>
      <c r="G5203" s="990"/>
      <c r="H5203" s="990"/>
      <c r="I5203" s="990"/>
      <c r="J5203" s="990"/>
      <c r="K5203" s="990"/>
      <c r="L5203" s="990"/>
      <c r="M5203" s="990"/>
      <c r="N5203" s="990"/>
      <c r="O5203" s="990"/>
      <c r="P5203" s="990"/>
      <c r="Q5203" s="990"/>
      <c r="R5203" s="990"/>
      <c r="S5203" s="990"/>
      <c r="T5203" s="990"/>
      <c r="U5203" s="990"/>
      <c r="V5203" s="990"/>
      <c r="W5203" s="990"/>
      <c r="X5203" s="990"/>
    </row>
    <row r="5204" spans="1:24" s="896" customFormat="1" ht="25.5">
      <c r="A5204" s="987"/>
      <c r="B5204" s="988">
        <v>41776</v>
      </c>
      <c r="C5204" s="899" t="s">
        <v>14530</v>
      </c>
      <c r="D5204" s="988" t="s">
        <v>2665</v>
      </c>
      <c r="E5204" s="989">
        <v>23.16</v>
      </c>
      <c r="F5204" s="990"/>
      <c r="G5204" s="990"/>
      <c r="H5204" s="990"/>
      <c r="I5204" s="990"/>
      <c r="J5204" s="990"/>
      <c r="K5204" s="990"/>
      <c r="L5204" s="990"/>
      <c r="M5204" s="990"/>
      <c r="N5204" s="990"/>
      <c r="O5204" s="990"/>
      <c r="P5204" s="990"/>
      <c r="Q5204" s="990"/>
      <c r="R5204" s="990"/>
      <c r="S5204" s="990"/>
      <c r="T5204" s="990"/>
      <c r="U5204" s="990"/>
      <c r="V5204" s="990"/>
      <c r="W5204" s="990"/>
      <c r="X5204" s="990"/>
    </row>
    <row r="5205" spans="1:24" s="896" customFormat="1">
      <c r="A5205" s="987"/>
      <c r="B5205" s="994" t="s">
        <v>3048</v>
      </c>
      <c r="C5205" s="995"/>
      <c r="D5205" s="994"/>
      <c r="E5205" s="996"/>
      <c r="F5205" s="990"/>
      <c r="G5205" s="990"/>
      <c r="H5205" s="990"/>
      <c r="I5205" s="990"/>
      <c r="J5205" s="990"/>
      <c r="K5205" s="990"/>
      <c r="L5205" s="990"/>
      <c r="M5205" s="990"/>
      <c r="N5205" s="990"/>
      <c r="O5205" s="990"/>
      <c r="P5205" s="990"/>
      <c r="Q5205" s="990"/>
      <c r="R5205" s="990"/>
      <c r="S5205" s="990"/>
      <c r="T5205" s="990"/>
      <c r="U5205" s="990"/>
      <c r="V5205" s="990"/>
      <c r="W5205" s="990"/>
      <c r="X5205" s="990"/>
    </row>
    <row r="5206" spans="1:24" s="896" customFormat="1">
      <c r="A5206" s="987"/>
      <c r="B5206" s="994" t="s">
        <v>14531</v>
      </c>
      <c r="C5206" s="995"/>
      <c r="D5206" s="994"/>
      <c r="E5206" s="996"/>
      <c r="F5206" s="990"/>
      <c r="G5206" s="990"/>
      <c r="H5206" s="990"/>
      <c r="I5206" s="990"/>
      <c r="J5206" s="990"/>
      <c r="K5206" s="990"/>
      <c r="L5206" s="990"/>
      <c r="M5206" s="990"/>
      <c r="N5206" s="990"/>
      <c r="O5206" s="990"/>
      <c r="P5206" s="990"/>
      <c r="Q5206" s="990"/>
      <c r="R5206" s="990"/>
      <c r="S5206" s="990"/>
      <c r="T5206" s="990"/>
      <c r="U5206" s="990"/>
      <c r="V5206" s="990"/>
      <c r="W5206" s="990"/>
      <c r="X5206" s="990"/>
    </row>
  </sheetData>
  <autoFilter ref="B4:E5207" xr:uid="{00000000-0009-0000-0000-000013000000}">
    <sortState xmlns:xlrd2="http://schemas.microsoft.com/office/spreadsheetml/2017/richdata2" ref="B5:E5265">
      <sortCondition ref="C4:C5265"/>
    </sortState>
  </autoFilter>
  <pageMargins left="0.511811024" right="0.511811024" top="0.78740157499999996" bottom="0.78740157499999996" header="0.31496062000000002" footer="0.31496062000000002"/>
  <pageSetup paperSize="9" scale="6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0">
    <tabColor rgb="FF92D050"/>
  </sheetPr>
  <dimension ref="E1:AQ314"/>
  <sheetViews>
    <sheetView view="pageBreakPreview" topLeftCell="B1" zoomScale="85" zoomScaleNormal="85" zoomScaleSheetLayoutView="85" workbookViewId="0">
      <pane ySplit="11" topLeftCell="A292" activePane="bottomLeft" state="frozen"/>
      <selection pane="bottomLeft" activeCell="N311" sqref="N311"/>
    </sheetView>
  </sheetViews>
  <sheetFormatPr defaultColWidth="10.42578125" defaultRowHeight="12.75"/>
  <cols>
    <col min="1" max="5" width="10.42578125" style="69"/>
    <col min="6" max="6" width="10" style="583" customWidth="1"/>
    <col min="7" max="7" width="16.140625" style="582" customWidth="1"/>
    <col min="8" max="8" width="75.85546875" style="584" customWidth="1"/>
    <col min="9" max="9" width="9.5703125" style="585" customWidth="1"/>
    <col min="10" max="10" width="11.7109375" style="726" bestFit="1" customWidth="1"/>
    <col min="11" max="11" width="10.85546875" style="81" bestFit="1" customWidth="1"/>
    <col min="12" max="12" width="7" style="81" bestFit="1" customWidth="1"/>
    <col min="13" max="13" width="11.28515625" style="81" bestFit="1" customWidth="1"/>
    <col min="14" max="14" width="16" style="81" bestFit="1" customWidth="1"/>
    <col min="15" max="15" width="12.85546875" style="81" bestFit="1" customWidth="1"/>
    <col min="16" max="16" width="11.42578125" style="726" customWidth="1"/>
    <col min="17" max="17" width="12.85546875" style="726" customWidth="1"/>
    <col min="18" max="18" width="11.28515625" style="81" bestFit="1" customWidth="1"/>
    <col min="19" max="19" width="13.5703125" style="81" customWidth="1"/>
    <col min="20" max="20" width="17.7109375" style="69" customWidth="1"/>
    <col min="21" max="43" width="10.42578125" style="69" customWidth="1"/>
    <col min="44" max="16384" width="10.42578125" style="69"/>
  </cols>
  <sheetData>
    <row r="1" spans="5:43" s="401" customFormat="1">
      <c r="F1" s="360" t="s">
        <v>2690</v>
      </c>
      <c r="G1" s="688"/>
      <c r="H1" s="361" t="str">
        <f>IF(DADOS!$D$9&lt;&gt;"",DADOS!$D$9,"")</f>
        <v>CÂMARA MUNICIPAL DE TAMARANA</v>
      </c>
      <c r="I1" s="689"/>
      <c r="J1" s="690"/>
      <c r="K1" s="691"/>
      <c r="L1" s="853"/>
      <c r="M1" s="853"/>
      <c r="N1" s="692"/>
      <c r="O1" s="693"/>
      <c r="P1" s="694" t="s">
        <v>29</v>
      </c>
      <c r="Q1" s="695"/>
      <c r="R1" s="696">
        <f>IF(BDI!D24&lt;&gt;"",BDI!D24,"")</f>
        <v>0.2354</v>
      </c>
      <c r="S1" s="406"/>
      <c r="T1" s="402"/>
      <c r="U1" s="402"/>
      <c r="V1" s="403"/>
      <c r="W1" s="402"/>
    </row>
    <row r="2" spans="5:43" s="401" customFormat="1">
      <c r="F2" s="697" t="s">
        <v>3714</v>
      </c>
      <c r="G2" s="698"/>
      <c r="H2" s="699">
        <f>IF(DADOS!N7&lt;&gt;"",DADOS!N7)</f>
        <v>81</v>
      </c>
      <c r="I2" s="402"/>
      <c r="J2" s="700"/>
      <c r="K2" s="701"/>
      <c r="L2" s="701"/>
      <c r="M2" s="701"/>
      <c r="N2" s="702"/>
      <c r="O2" s="703"/>
      <c r="P2" s="364"/>
      <c r="Q2" s="695"/>
      <c r="R2" s="366"/>
      <c r="S2" s="402"/>
      <c r="T2" s="402"/>
      <c r="U2" s="402"/>
      <c r="V2" s="402"/>
      <c r="W2" s="402"/>
    </row>
    <row r="3" spans="5:43" s="401" customFormat="1">
      <c r="F3" s="368" t="s">
        <v>5330</v>
      </c>
      <c r="G3" s="704"/>
      <c r="H3" s="361" t="str">
        <f>IF(DADOS!$D$13&lt;&gt;"",DADOS!$D$13,"")</f>
        <v>CÂMARA MUNICIPAL DE TAMARANA</v>
      </c>
      <c r="I3" s="373"/>
      <c r="J3" s="705"/>
      <c r="K3" s="691"/>
      <c r="L3" s="854"/>
      <c r="M3" s="854"/>
      <c r="N3" s="402"/>
      <c r="O3" s="402"/>
      <c r="P3" s="373"/>
      <c r="Q3" s="695"/>
      <c r="R3" s="375"/>
      <c r="S3" s="402"/>
      <c r="T3" s="402"/>
      <c r="U3" s="402"/>
      <c r="V3" s="402"/>
      <c r="W3" s="402"/>
    </row>
    <row r="4" spans="5:43" s="401" customFormat="1">
      <c r="F4" s="368" t="s">
        <v>6829</v>
      </c>
      <c r="G4" s="704"/>
      <c r="H4" s="377" t="str">
        <f>IF(DADOS!$D$11&lt;&gt;"",DADOS!$D$11,"")</f>
        <v>RUA UBALDINO DE SÁ BITERNCOURT, S/N. - PRAÇA "A-B-3"</v>
      </c>
      <c r="I4" s="706"/>
      <c r="J4" s="690"/>
      <c r="K4" s="691"/>
      <c r="L4" s="853"/>
      <c r="M4" s="853"/>
      <c r="N4" s="706"/>
      <c r="O4" s="707"/>
      <c r="P4" s="708" t="s">
        <v>903</v>
      </c>
      <c r="Q4" s="709"/>
      <c r="R4" s="710">
        <f ca="1">IF(DADOS!$D$19&lt;&gt;"",DADOS!$D$19,"")</f>
        <v>44860</v>
      </c>
      <c r="S4" s="402"/>
      <c r="T4" s="402"/>
      <c r="U4" s="402"/>
      <c r="V4" s="402"/>
      <c r="W4" s="402"/>
    </row>
    <row r="5" spans="5:43" s="401" customFormat="1">
      <c r="F5" s="711" t="s">
        <v>4877</v>
      </c>
      <c r="G5" s="712"/>
      <c r="H5" s="767" t="str">
        <f>DADOS!D21</f>
        <v>SINAPI PR - JULHO 2022 - NÃO DESONERADO</v>
      </c>
      <c r="I5" s="702"/>
      <c r="J5" s="702"/>
      <c r="K5" s="702"/>
      <c r="L5" s="702"/>
      <c r="M5" s="702"/>
      <c r="N5" s="713"/>
      <c r="O5" s="714"/>
      <c r="P5" s="382" t="s">
        <v>4879</v>
      </c>
      <c r="Q5" s="715"/>
      <c r="R5" s="393" t="str">
        <f>IF(DADOS!M19&lt;&gt;"",DADOS!M19)</f>
        <v>R01</v>
      </c>
      <c r="S5" s="402"/>
      <c r="T5" s="402"/>
      <c r="U5" s="402"/>
      <c r="V5" s="404"/>
      <c r="W5" s="402"/>
    </row>
    <row r="6" spans="5:43" s="401" customFormat="1">
      <c r="F6" s="716"/>
      <c r="G6" s="717"/>
      <c r="H6" s="718"/>
      <c r="I6" s="718"/>
      <c r="J6" s="718"/>
      <c r="K6" s="719"/>
      <c r="L6" s="719"/>
      <c r="M6" s="719"/>
      <c r="N6" s="719"/>
      <c r="O6" s="719"/>
      <c r="R6" s="720"/>
    </row>
    <row r="7" spans="5:43" s="401" customFormat="1">
      <c r="F7" s="1169" t="s">
        <v>4883</v>
      </c>
      <c r="G7" s="1170"/>
      <c r="H7" s="1170"/>
      <c r="I7" s="1170"/>
      <c r="J7" s="1170"/>
      <c r="K7" s="1170"/>
      <c r="L7" s="1118"/>
      <c r="M7" s="1118"/>
      <c r="N7" s="1170"/>
      <c r="O7" s="1170"/>
      <c r="P7" s="1170"/>
      <c r="Q7" s="1170"/>
      <c r="R7" s="1171"/>
      <c r="S7" s="407"/>
    </row>
    <row r="8" spans="5:43" s="401" customFormat="1">
      <c r="F8" s="1120" t="s">
        <v>6516</v>
      </c>
      <c r="G8" s="1120"/>
      <c r="H8" s="1120"/>
      <c r="I8" s="1120"/>
      <c r="J8" s="1120"/>
      <c r="K8" s="1120"/>
      <c r="L8" s="1120"/>
      <c r="M8" s="1120"/>
      <c r="N8" s="1120"/>
      <c r="O8" s="1120"/>
      <c r="P8" s="1120"/>
      <c r="Q8" s="1120"/>
      <c r="R8" s="1120"/>
      <c r="S8" s="407"/>
    </row>
    <row r="9" spans="5:43" s="401" customFormat="1">
      <c r="F9" s="716"/>
      <c r="G9" s="727"/>
      <c r="H9" s="728"/>
      <c r="I9" s="729"/>
      <c r="J9" s="730"/>
      <c r="K9" s="731"/>
      <c r="L9" s="731"/>
      <c r="M9" s="731"/>
      <c r="N9" s="731"/>
      <c r="O9" s="731"/>
      <c r="P9" s="731"/>
      <c r="Q9" s="731"/>
      <c r="R9" s="731"/>
      <c r="S9" s="405"/>
    </row>
    <row r="10" spans="5:43" ht="38.25">
      <c r="F10" s="732" t="s">
        <v>2236</v>
      </c>
      <c r="G10" s="733" t="s">
        <v>2694</v>
      </c>
      <c r="H10" s="734" t="s">
        <v>905</v>
      </c>
      <c r="I10" s="734" t="s">
        <v>906</v>
      </c>
      <c r="J10" s="735" t="s">
        <v>2231</v>
      </c>
      <c r="K10" s="735" t="s">
        <v>908</v>
      </c>
      <c r="L10" s="560" t="s">
        <v>543</v>
      </c>
      <c r="M10" s="559" t="s">
        <v>6510</v>
      </c>
      <c r="N10" s="561" t="s">
        <v>4876</v>
      </c>
      <c r="O10" s="735" t="s">
        <v>2234</v>
      </c>
      <c r="P10" s="735" t="s">
        <v>2232</v>
      </c>
      <c r="Q10" s="735" t="s">
        <v>2230</v>
      </c>
      <c r="R10" s="735" t="s">
        <v>2233</v>
      </c>
      <c r="S10" s="70"/>
      <c r="T10" s="116" t="s">
        <v>2709</v>
      </c>
    </row>
    <row r="11" spans="5:43" s="408" customFormat="1">
      <c r="E11" s="69"/>
      <c r="F11" s="721"/>
      <c r="G11" s="721"/>
      <c r="H11" s="722"/>
      <c r="I11" s="723"/>
      <c r="J11" s="724"/>
      <c r="K11" s="725"/>
      <c r="L11" s="725"/>
      <c r="M11" s="725"/>
      <c r="N11" s="736" t="str">
        <f>IF(J11="","",ROUND((J11*K11),2))</f>
        <v/>
      </c>
      <c r="O11" s="736"/>
      <c r="P11" s="737"/>
      <c r="Q11" s="737"/>
      <c r="R11" s="738"/>
      <c r="S11" s="409"/>
      <c r="T11" s="410"/>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row>
    <row r="12" spans="5:43" s="745" customFormat="1">
      <c r="E12" s="69"/>
      <c r="F12" s="910" t="s">
        <v>2239</v>
      </c>
      <c r="G12" s="911" t="s">
        <v>2944</v>
      </c>
      <c r="H12" s="913" t="s">
        <v>4865</v>
      </c>
      <c r="I12" s="914" t="s">
        <v>30</v>
      </c>
      <c r="J12" s="920">
        <v>100</v>
      </c>
      <c r="K12" s="1012">
        <f>IF($G12="","",IFERROR(VLOOKUP($G12,SERVIÇOS!$C:$H,6,0),IFERROR(VLOOKUP($G12,CPU!$F:$M,8,0),"")))</f>
        <v>1061.24</v>
      </c>
      <c r="L12" s="855">
        <f t="shared" ref="L12:L75" si="0">$R$1</f>
        <v>0.2354</v>
      </c>
      <c r="M12" s="825">
        <f t="shared" ref="M12:M75" si="1">IF(J12&lt;&gt;0,(ROUND(K12*(L12+1),2)),0)</f>
        <v>1311.06</v>
      </c>
      <c r="N12" s="826">
        <f t="shared" ref="N12:N75" si="2">IF(J12="","",ROUND((J12*M12),2))</f>
        <v>131106</v>
      </c>
      <c r="O12" s="856">
        <f t="shared" ref="O12:O75" si="3">+O11+N12</f>
        <v>131106</v>
      </c>
      <c r="P12" s="857">
        <f t="shared" ref="P12:P75" si="4">IF(N12&lt;&gt;"",N12/T12,"")</f>
        <v>6.2119655934451248E-2</v>
      </c>
      <c r="Q12" s="857">
        <f t="shared" ref="Q12:Q75" si="5">+P12+Q11</f>
        <v>6.2119655934451248E-2</v>
      </c>
      <c r="R12" s="858" t="str">
        <f t="shared" ref="R12:R75" si="6">IF(Q12&lt;50%,"A",IF(Q12&gt;=80%,"C",IF(Q12&gt;=50%,"B")))</f>
        <v>A</v>
      </c>
      <c r="S12" s="81"/>
      <c r="T12" s="410">
        <f t="shared" ref="T12:T75" si="7">T13</f>
        <v>2110539.7000000007</v>
      </c>
      <c r="U12" s="69"/>
      <c r="V12" s="69"/>
      <c r="W12" s="69"/>
      <c r="X12" s="744"/>
      <c r="Y12" s="744"/>
      <c r="Z12" s="744"/>
      <c r="AA12" s="744"/>
      <c r="AB12" s="744"/>
      <c r="AC12" s="744"/>
      <c r="AD12" s="744"/>
      <c r="AE12" s="744"/>
      <c r="AF12" s="744"/>
      <c r="AG12" s="744"/>
      <c r="AH12" s="744"/>
      <c r="AI12" s="744"/>
      <c r="AJ12" s="744"/>
      <c r="AK12" s="744"/>
      <c r="AL12" s="744"/>
      <c r="AM12" s="744"/>
      <c r="AN12" s="744"/>
      <c r="AO12" s="744"/>
      <c r="AP12" s="744"/>
      <c r="AQ12" s="744"/>
    </row>
    <row r="13" spans="5:43" s="745" customFormat="1" ht="25.5">
      <c r="E13" s="69"/>
      <c r="F13" s="910" t="s">
        <v>2239</v>
      </c>
      <c r="G13" s="911" t="s">
        <v>8585</v>
      </c>
      <c r="H13" s="913" t="s">
        <v>8598</v>
      </c>
      <c r="I13" s="914" t="s">
        <v>649</v>
      </c>
      <c r="J13" s="920">
        <v>479.35</v>
      </c>
      <c r="K13" s="1012">
        <f>IF($G13="","",IFERROR(VLOOKUP($G13,SERVIÇOS!$C:$H,6,0),IFERROR(VLOOKUP($G13,CPU!$F:$M,8,0),"")))</f>
        <v>213.99</v>
      </c>
      <c r="L13" s="855">
        <f t="shared" si="0"/>
        <v>0.2354</v>
      </c>
      <c r="M13" s="825">
        <f t="shared" si="1"/>
        <v>264.36</v>
      </c>
      <c r="N13" s="826">
        <f t="shared" si="2"/>
        <v>126720.97</v>
      </c>
      <c r="O13" s="856">
        <f t="shared" si="3"/>
        <v>257826.97</v>
      </c>
      <c r="P13" s="857">
        <f t="shared" si="4"/>
        <v>6.004197409790489E-2</v>
      </c>
      <c r="Q13" s="857">
        <f t="shared" si="5"/>
        <v>0.12216163003235614</v>
      </c>
      <c r="R13" s="858" t="str">
        <f t="shared" si="6"/>
        <v>A</v>
      </c>
      <c r="S13" s="81"/>
      <c r="T13" s="410">
        <f t="shared" si="7"/>
        <v>2110539.7000000007</v>
      </c>
      <c r="U13" s="69"/>
      <c r="V13" s="69"/>
      <c r="W13" s="69"/>
      <c r="X13" s="69"/>
      <c r="Y13" s="69"/>
      <c r="Z13" s="69"/>
      <c r="AA13" s="69"/>
      <c r="AB13" s="69"/>
      <c r="AC13" s="69"/>
      <c r="AD13" s="69"/>
      <c r="AE13" s="69"/>
      <c r="AF13" s="69"/>
      <c r="AG13" s="69"/>
      <c r="AH13" s="69"/>
      <c r="AI13" s="69"/>
      <c r="AJ13" s="69"/>
      <c r="AK13" s="69"/>
      <c r="AL13" s="69"/>
      <c r="AM13" s="69"/>
      <c r="AN13" s="69"/>
      <c r="AO13" s="69"/>
      <c r="AP13" s="69"/>
      <c r="AQ13" s="69"/>
    </row>
    <row r="14" spans="5:43" s="745" customFormat="1" ht="25.5">
      <c r="E14" s="69"/>
      <c r="F14" s="910" t="s">
        <v>2239</v>
      </c>
      <c r="G14" s="911" t="s">
        <v>8576</v>
      </c>
      <c r="H14" s="913" t="s">
        <v>8770</v>
      </c>
      <c r="I14" s="914" t="s">
        <v>649</v>
      </c>
      <c r="J14" s="920">
        <v>464.8</v>
      </c>
      <c r="K14" s="1012">
        <f>IF($G14="","",IFERROR(VLOOKUP($G14,SERVIÇOS!$C:$H,6,0),IFERROR(VLOOKUP($G14,CPU!$F:$M,8,0),"")))</f>
        <v>209.6</v>
      </c>
      <c r="L14" s="855">
        <f t="shared" si="0"/>
        <v>0.2354</v>
      </c>
      <c r="M14" s="825">
        <f t="shared" si="1"/>
        <v>258.94</v>
      </c>
      <c r="N14" s="826">
        <f t="shared" si="2"/>
        <v>120355.31</v>
      </c>
      <c r="O14" s="856">
        <f t="shared" si="3"/>
        <v>378182.28</v>
      </c>
      <c r="P14" s="857">
        <f t="shared" si="4"/>
        <v>5.7025845095451159E-2</v>
      </c>
      <c r="Q14" s="857">
        <f t="shared" si="5"/>
        <v>0.17918747512780731</v>
      </c>
      <c r="R14" s="858" t="str">
        <f t="shared" si="6"/>
        <v>A</v>
      </c>
      <c r="S14" s="81"/>
      <c r="T14" s="410">
        <f t="shared" si="7"/>
        <v>2110539.7000000007</v>
      </c>
      <c r="U14" s="69"/>
      <c r="V14" s="69"/>
      <c r="W14" s="69"/>
      <c r="X14" s="69"/>
      <c r="Y14" s="69"/>
      <c r="Z14" s="69"/>
      <c r="AA14" s="69"/>
      <c r="AB14" s="69"/>
      <c r="AC14" s="69"/>
      <c r="AD14" s="69"/>
      <c r="AE14" s="69"/>
      <c r="AF14" s="69"/>
      <c r="AG14" s="69"/>
      <c r="AH14" s="69"/>
      <c r="AI14" s="69"/>
      <c r="AJ14" s="69"/>
      <c r="AK14" s="69"/>
      <c r="AL14" s="69"/>
      <c r="AM14" s="69"/>
      <c r="AN14" s="69"/>
      <c r="AO14" s="69"/>
      <c r="AP14" s="69"/>
      <c r="AQ14" s="69"/>
    </row>
    <row r="15" spans="5:43" s="745" customFormat="1" ht="38.25">
      <c r="E15" s="69"/>
      <c r="F15" s="910" t="s">
        <v>2239</v>
      </c>
      <c r="G15" s="911" t="s">
        <v>8646</v>
      </c>
      <c r="H15" s="913" t="s">
        <v>8809</v>
      </c>
      <c r="I15" s="914" t="s">
        <v>649</v>
      </c>
      <c r="J15" s="920">
        <v>45.28</v>
      </c>
      <c r="K15" s="1012">
        <f>IF($G15="","",IFERROR(VLOOKUP($G15,SERVIÇOS!$C:$H,6,0),IFERROR(VLOOKUP($G15,CPU!$F:$M,8,0),"")))</f>
        <v>2006.2099999999998</v>
      </c>
      <c r="L15" s="855">
        <f t="shared" si="0"/>
        <v>0.2354</v>
      </c>
      <c r="M15" s="825">
        <f t="shared" si="1"/>
        <v>2478.4699999999998</v>
      </c>
      <c r="N15" s="826">
        <f t="shared" si="2"/>
        <v>112225.12</v>
      </c>
      <c r="O15" s="856">
        <f t="shared" si="3"/>
        <v>490407.4</v>
      </c>
      <c r="P15" s="857">
        <f t="shared" si="4"/>
        <v>5.317365979896041E-2</v>
      </c>
      <c r="Q15" s="857">
        <f t="shared" si="5"/>
        <v>0.23236113492676772</v>
      </c>
      <c r="R15" s="858" t="str">
        <f t="shared" si="6"/>
        <v>A</v>
      </c>
      <c r="S15" s="81"/>
      <c r="T15" s="410">
        <f t="shared" si="7"/>
        <v>2110539.7000000007</v>
      </c>
      <c r="U15" s="69"/>
      <c r="V15" s="69"/>
      <c r="W15" s="69"/>
      <c r="X15" s="744"/>
      <c r="Y15" s="744"/>
      <c r="Z15" s="744"/>
      <c r="AA15" s="744"/>
      <c r="AB15" s="744"/>
      <c r="AC15" s="744"/>
      <c r="AD15" s="744"/>
      <c r="AE15" s="744"/>
      <c r="AF15" s="744"/>
      <c r="AG15" s="744"/>
      <c r="AH15" s="744"/>
      <c r="AI15" s="744"/>
      <c r="AJ15" s="744"/>
      <c r="AK15" s="744"/>
      <c r="AL15" s="744"/>
      <c r="AM15" s="744"/>
      <c r="AN15" s="744"/>
      <c r="AO15" s="744"/>
      <c r="AP15" s="744"/>
      <c r="AQ15" s="744"/>
    </row>
    <row r="16" spans="5:43" s="745" customFormat="1" ht="51">
      <c r="E16" s="69"/>
      <c r="F16" s="910" t="s">
        <v>2239</v>
      </c>
      <c r="G16" s="911" t="s">
        <v>8657</v>
      </c>
      <c r="H16" s="913" t="s">
        <v>9148</v>
      </c>
      <c r="I16" s="914" t="s">
        <v>648</v>
      </c>
      <c r="J16" s="920">
        <v>32.35</v>
      </c>
      <c r="K16" s="1012">
        <f>IF($G16="","",IFERROR(VLOOKUP($G16,SERVIÇOS!$C:$H,6,0),IFERROR(VLOOKUP($G16,CPU!$F:$M,8,0),"")))</f>
        <v>1843.41</v>
      </c>
      <c r="L16" s="855">
        <f t="shared" si="0"/>
        <v>0.2354</v>
      </c>
      <c r="M16" s="825">
        <f t="shared" si="1"/>
        <v>2277.35</v>
      </c>
      <c r="N16" s="826">
        <f t="shared" si="2"/>
        <v>73672.27</v>
      </c>
      <c r="O16" s="856">
        <f t="shared" si="3"/>
        <v>564079.67000000004</v>
      </c>
      <c r="P16" s="857">
        <f t="shared" si="4"/>
        <v>3.4906839231690349E-2</v>
      </c>
      <c r="Q16" s="857">
        <f t="shared" si="5"/>
        <v>0.26726797415845804</v>
      </c>
      <c r="R16" s="858" t="str">
        <f t="shared" si="6"/>
        <v>A</v>
      </c>
      <c r="S16" s="81"/>
      <c r="T16" s="410">
        <f t="shared" si="7"/>
        <v>2110539.7000000007</v>
      </c>
      <c r="U16" s="69"/>
      <c r="V16" s="69"/>
      <c r="W16" s="69"/>
      <c r="X16" s="69"/>
      <c r="Y16" s="69"/>
      <c r="Z16" s="69"/>
      <c r="AA16" s="69"/>
      <c r="AB16" s="69"/>
      <c r="AC16" s="69"/>
      <c r="AD16" s="69"/>
      <c r="AE16" s="69"/>
      <c r="AF16" s="69"/>
      <c r="AG16" s="69"/>
      <c r="AH16" s="69"/>
      <c r="AI16" s="69"/>
      <c r="AJ16" s="69"/>
      <c r="AK16" s="69"/>
      <c r="AL16" s="69"/>
      <c r="AM16" s="69"/>
      <c r="AN16" s="69"/>
      <c r="AO16" s="69"/>
      <c r="AP16" s="69"/>
      <c r="AQ16" s="69"/>
    </row>
    <row r="17" spans="5:43" s="745" customFormat="1" ht="51">
      <c r="E17" s="69"/>
      <c r="F17" s="910" t="s">
        <v>2239</v>
      </c>
      <c r="G17" s="911" t="s">
        <v>8698</v>
      </c>
      <c r="H17" s="913" t="s">
        <v>8700</v>
      </c>
      <c r="I17" s="914" t="s">
        <v>646</v>
      </c>
      <c r="J17" s="920">
        <v>1</v>
      </c>
      <c r="K17" s="1012">
        <f>IF($G17="","",IFERROR(VLOOKUP($G17,SERVIÇOS!$C:$H,6,0),IFERROR(VLOOKUP($G17,CPU!$F:$M,8,0),"")))</f>
        <v>50930</v>
      </c>
      <c r="L17" s="855">
        <f t="shared" si="0"/>
        <v>0.2354</v>
      </c>
      <c r="M17" s="825">
        <f t="shared" si="1"/>
        <v>62918.92</v>
      </c>
      <c r="N17" s="826">
        <f t="shared" si="2"/>
        <v>62918.92</v>
      </c>
      <c r="O17" s="856">
        <f t="shared" si="3"/>
        <v>626998.59000000008</v>
      </c>
      <c r="P17" s="857">
        <f t="shared" si="4"/>
        <v>2.9811768051555713E-2</v>
      </c>
      <c r="Q17" s="857">
        <f t="shared" si="5"/>
        <v>0.29707974221001376</v>
      </c>
      <c r="R17" s="858" t="str">
        <f t="shared" si="6"/>
        <v>A</v>
      </c>
      <c r="S17" s="81"/>
      <c r="T17" s="410">
        <f t="shared" si="7"/>
        <v>2110539.7000000007</v>
      </c>
      <c r="U17" s="69"/>
      <c r="V17" s="69"/>
      <c r="W17" s="69"/>
      <c r="X17" s="69"/>
      <c r="Y17" s="69"/>
      <c r="Z17" s="69"/>
      <c r="AA17" s="69"/>
      <c r="AB17" s="69"/>
      <c r="AC17" s="69"/>
      <c r="AD17" s="69"/>
      <c r="AE17" s="69"/>
      <c r="AF17" s="69"/>
      <c r="AG17" s="69"/>
      <c r="AH17" s="69"/>
      <c r="AI17" s="69"/>
      <c r="AJ17" s="69"/>
      <c r="AK17" s="69"/>
      <c r="AL17" s="69"/>
      <c r="AM17" s="69"/>
      <c r="AN17" s="69"/>
      <c r="AO17" s="69"/>
      <c r="AP17" s="69"/>
      <c r="AQ17" s="69"/>
    </row>
    <row r="18" spans="5:43" s="745" customFormat="1" ht="38.25">
      <c r="E18" s="69"/>
      <c r="F18" s="910" t="s">
        <v>2239</v>
      </c>
      <c r="G18" s="911" t="s">
        <v>8632</v>
      </c>
      <c r="H18" s="913" t="s">
        <v>14578</v>
      </c>
      <c r="I18" s="914" t="s">
        <v>649</v>
      </c>
      <c r="J18" s="920">
        <v>49.5</v>
      </c>
      <c r="K18" s="1012">
        <f>IF($G18="","",IFERROR(VLOOKUP($G18,SERVIÇOS!$C:$H,6,0),IFERROR(VLOOKUP($G18,CPU!$F:$M,8,0),"")))</f>
        <v>871.47000000000014</v>
      </c>
      <c r="L18" s="855">
        <f t="shared" si="0"/>
        <v>0.2354</v>
      </c>
      <c r="M18" s="825">
        <f t="shared" si="1"/>
        <v>1076.6099999999999</v>
      </c>
      <c r="N18" s="826">
        <f t="shared" si="2"/>
        <v>53292.2</v>
      </c>
      <c r="O18" s="856">
        <f t="shared" si="3"/>
        <v>680290.79</v>
      </c>
      <c r="P18" s="857">
        <f t="shared" si="4"/>
        <v>2.5250508199395623E-2</v>
      </c>
      <c r="Q18" s="857">
        <f t="shared" si="5"/>
        <v>0.32233025040940938</v>
      </c>
      <c r="R18" s="858" t="str">
        <f t="shared" si="6"/>
        <v>A</v>
      </c>
      <c r="S18" s="81"/>
      <c r="T18" s="410">
        <f t="shared" si="7"/>
        <v>2110539.7000000007</v>
      </c>
      <c r="U18" s="69"/>
      <c r="V18" s="69"/>
      <c r="W18" s="69"/>
      <c r="X18" s="744"/>
      <c r="Y18" s="744"/>
      <c r="Z18" s="744"/>
      <c r="AA18" s="744"/>
      <c r="AB18" s="744"/>
      <c r="AC18" s="744"/>
      <c r="AD18" s="744"/>
      <c r="AE18" s="744"/>
      <c r="AF18" s="744"/>
      <c r="AG18" s="744"/>
      <c r="AH18" s="744"/>
      <c r="AI18" s="744"/>
      <c r="AJ18" s="744"/>
      <c r="AK18" s="744"/>
      <c r="AL18" s="744"/>
      <c r="AM18" s="744"/>
      <c r="AN18" s="744"/>
      <c r="AO18" s="744"/>
      <c r="AP18" s="744"/>
      <c r="AQ18" s="744"/>
    </row>
    <row r="19" spans="5:43" s="745" customFormat="1" ht="25.5">
      <c r="E19" s="69"/>
      <c r="F19" s="910" t="s">
        <v>2238</v>
      </c>
      <c r="G19" s="911">
        <v>92396</v>
      </c>
      <c r="H19" s="913" t="s">
        <v>1524</v>
      </c>
      <c r="I19" s="914" t="s">
        <v>649</v>
      </c>
      <c r="J19" s="920">
        <v>667.31</v>
      </c>
      <c r="K19" s="1012">
        <f>IF($G19="","",IFERROR(VLOOKUP($G19,SERVIÇOS!$C:$H,6,0),IFERROR(VLOOKUP($G19,CPU!$F:$M,8,0),"")))</f>
        <v>63.26</v>
      </c>
      <c r="L19" s="855">
        <f t="shared" si="0"/>
        <v>0.2354</v>
      </c>
      <c r="M19" s="825">
        <f t="shared" si="1"/>
        <v>78.150000000000006</v>
      </c>
      <c r="N19" s="826">
        <f t="shared" si="2"/>
        <v>52150.28</v>
      </c>
      <c r="O19" s="856">
        <f t="shared" si="3"/>
        <v>732441.07000000007</v>
      </c>
      <c r="P19" s="857">
        <f t="shared" si="4"/>
        <v>2.470945227895973E-2</v>
      </c>
      <c r="Q19" s="857">
        <f t="shared" si="5"/>
        <v>0.34703970268836909</v>
      </c>
      <c r="R19" s="858" t="str">
        <f t="shared" si="6"/>
        <v>A</v>
      </c>
      <c r="S19" s="81"/>
      <c r="T19" s="410">
        <f t="shared" si="7"/>
        <v>2110539.7000000007</v>
      </c>
      <c r="U19" s="69"/>
      <c r="V19" s="69"/>
      <c r="W19" s="69"/>
      <c r="X19" s="69"/>
      <c r="Y19" s="69"/>
      <c r="Z19" s="69"/>
      <c r="AA19" s="69"/>
      <c r="AB19" s="69"/>
      <c r="AC19" s="69"/>
      <c r="AD19" s="69"/>
      <c r="AE19" s="69"/>
      <c r="AF19" s="69"/>
      <c r="AG19" s="69"/>
      <c r="AH19" s="69"/>
      <c r="AI19" s="69"/>
      <c r="AJ19" s="69"/>
      <c r="AK19" s="69"/>
      <c r="AL19" s="69"/>
      <c r="AM19" s="69"/>
      <c r="AN19" s="69"/>
      <c r="AO19" s="69"/>
      <c r="AP19" s="69"/>
      <c r="AQ19" s="69"/>
    </row>
    <row r="20" spans="5:43" s="745" customFormat="1" ht="38.25">
      <c r="E20" s="69"/>
      <c r="F20" s="910" t="s">
        <v>2239</v>
      </c>
      <c r="G20" s="911" t="s">
        <v>8633</v>
      </c>
      <c r="H20" s="913" t="s">
        <v>14579</v>
      </c>
      <c r="I20" s="914" t="s">
        <v>649</v>
      </c>
      <c r="J20" s="920">
        <v>45.24</v>
      </c>
      <c r="K20" s="1012">
        <f>IF($G20="","",IFERROR(VLOOKUP($G20,SERVIÇOS!$C:$H,6,0),IFERROR(VLOOKUP($G20,CPU!$F:$M,8,0),"")))</f>
        <v>896.5200000000001</v>
      </c>
      <c r="L20" s="855">
        <f t="shared" si="0"/>
        <v>0.2354</v>
      </c>
      <c r="M20" s="825">
        <f t="shared" si="1"/>
        <v>1107.56</v>
      </c>
      <c r="N20" s="826">
        <f t="shared" si="2"/>
        <v>50106.01</v>
      </c>
      <c r="O20" s="856">
        <f t="shared" si="3"/>
        <v>782547.08000000007</v>
      </c>
      <c r="P20" s="857">
        <f t="shared" si="4"/>
        <v>2.37408516883146E-2</v>
      </c>
      <c r="Q20" s="857">
        <f t="shared" si="5"/>
        <v>0.37078055437668367</v>
      </c>
      <c r="R20" s="858" t="str">
        <f t="shared" si="6"/>
        <v>A</v>
      </c>
      <c r="S20" s="81"/>
      <c r="T20" s="410">
        <f t="shared" si="7"/>
        <v>2110539.7000000007</v>
      </c>
      <c r="U20" s="69"/>
      <c r="V20" s="69"/>
      <c r="W20" s="69"/>
      <c r="X20" s="744"/>
      <c r="Y20" s="744"/>
      <c r="Z20" s="744"/>
      <c r="AA20" s="744"/>
      <c r="AB20" s="744"/>
      <c r="AC20" s="744"/>
      <c r="AD20" s="744"/>
      <c r="AE20" s="744"/>
      <c r="AF20" s="744"/>
      <c r="AG20" s="744"/>
      <c r="AH20" s="744"/>
      <c r="AI20" s="744"/>
      <c r="AJ20" s="744"/>
      <c r="AK20" s="744"/>
      <c r="AL20" s="744"/>
      <c r="AM20" s="744"/>
      <c r="AN20" s="744"/>
      <c r="AO20" s="744"/>
      <c r="AP20" s="744"/>
      <c r="AQ20" s="744"/>
    </row>
    <row r="21" spans="5:43" s="745" customFormat="1">
      <c r="E21" s="69"/>
      <c r="F21" s="910" t="s">
        <v>2239</v>
      </c>
      <c r="G21" s="911" t="s">
        <v>8666</v>
      </c>
      <c r="H21" s="913" t="s">
        <v>8667</v>
      </c>
      <c r="I21" s="914" t="s">
        <v>648</v>
      </c>
      <c r="J21" s="920">
        <v>26.9</v>
      </c>
      <c r="K21" s="1012">
        <f>IF($G21="","",IFERROR(VLOOKUP($G21,SERVIÇOS!$C:$H,6,0),IFERROR(VLOOKUP($G21,CPU!$F:$M,8,0),"")))</f>
        <v>1448.24</v>
      </c>
      <c r="L21" s="855">
        <f t="shared" si="0"/>
        <v>0.2354</v>
      </c>
      <c r="M21" s="825">
        <f t="shared" si="1"/>
        <v>1789.16</v>
      </c>
      <c r="N21" s="826">
        <f t="shared" si="2"/>
        <v>48128.4</v>
      </c>
      <c r="O21" s="856">
        <f t="shared" si="3"/>
        <v>830675.4800000001</v>
      </c>
      <c r="P21" s="857">
        <f t="shared" si="4"/>
        <v>2.2803835436026144E-2</v>
      </c>
      <c r="Q21" s="857">
        <f t="shared" si="5"/>
        <v>0.39358438981270982</v>
      </c>
      <c r="R21" s="858" t="str">
        <f t="shared" si="6"/>
        <v>A</v>
      </c>
      <c r="S21" s="81"/>
      <c r="T21" s="410">
        <f t="shared" si="7"/>
        <v>2110539.7000000007</v>
      </c>
      <c r="U21" s="69"/>
      <c r="V21" s="69"/>
      <c r="W21" s="69"/>
      <c r="X21" s="744"/>
      <c r="Y21" s="744"/>
      <c r="Z21" s="744"/>
      <c r="AA21" s="744"/>
      <c r="AB21" s="744"/>
      <c r="AC21" s="744"/>
      <c r="AD21" s="744"/>
      <c r="AE21" s="744"/>
      <c r="AF21" s="744"/>
      <c r="AG21" s="744"/>
      <c r="AH21" s="744"/>
      <c r="AI21" s="744"/>
      <c r="AJ21" s="744"/>
      <c r="AK21" s="744"/>
      <c r="AL21" s="744"/>
      <c r="AM21" s="744"/>
      <c r="AN21" s="744"/>
      <c r="AO21" s="744"/>
      <c r="AP21" s="744"/>
      <c r="AQ21" s="744"/>
    </row>
    <row r="22" spans="5:43" s="745" customFormat="1" ht="25.5">
      <c r="E22" s="69"/>
      <c r="F22" s="910" t="s">
        <v>2238</v>
      </c>
      <c r="G22" s="911">
        <v>91928</v>
      </c>
      <c r="H22" s="913" t="s">
        <v>978</v>
      </c>
      <c r="I22" s="914" t="s">
        <v>648</v>
      </c>
      <c r="J22" s="920">
        <v>5400</v>
      </c>
      <c r="K22" s="1012">
        <f>IF($G22="","",IFERROR(VLOOKUP($G22,SERVIÇOS!$C:$H,6,0),IFERROR(VLOOKUP($G22,CPU!$F:$M,8,0),"")))</f>
        <v>6.84</v>
      </c>
      <c r="L22" s="855">
        <f t="shared" si="0"/>
        <v>0.2354</v>
      </c>
      <c r="M22" s="825">
        <f t="shared" si="1"/>
        <v>8.4499999999999993</v>
      </c>
      <c r="N22" s="826">
        <f t="shared" si="2"/>
        <v>45630</v>
      </c>
      <c r="O22" s="856">
        <f t="shared" si="3"/>
        <v>876305.4800000001</v>
      </c>
      <c r="P22" s="857">
        <f t="shared" si="4"/>
        <v>2.1620062394467152E-2</v>
      </c>
      <c r="Q22" s="857">
        <f t="shared" si="5"/>
        <v>0.415204452207177</v>
      </c>
      <c r="R22" s="858" t="str">
        <f t="shared" si="6"/>
        <v>A</v>
      </c>
      <c r="S22" s="81"/>
      <c r="T22" s="410">
        <f t="shared" si="7"/>
        <v>2110539.7000000007</v>
      </c>
      <c r="U22" s="69"/>
      <c r="V22" s="69"/>
      <c r="W22" s="69"/>
      <c r="X22" s="744"/>
      <c r="Y22" s="744"/>
      <c r="Z22" s="744"/>
      <c r="AA22" s="744"/>
      <c r="AB22" s="744"/>
      <c r="AC22" s="744"/>
      <c r="AD22" s="744"/>
      <c r="AE22" s="744"/>
      <c r="AF22" s="744"/>
      <c r="AG22" s="744"/>
      <c r="AH22" s="744"/>
      <c r="AI22" s="744"/>
      <c r="AJ22" s="744"/>
      <c r="AK22" s="744"/>
      <c r="AL22" s="744"/>
      <c r="AM22" s="744"/>
      <c r="AN22" s="744"/>
      <c r="AO22" s="744"/>
      <c r="AP22" s="744"/>
      <c r="AQ22" s="744"/>
    </row>
    <row r="23" spans="5:43" s="745" customFormat="1">
      <c r="E23" s="69"/>
      <c r="F23" s="910" t="s">
        <v>2239</v>
      </c>
      <c r="G23" s="911" t="s">
        <v>2875</v>
      </c>
      <c r="H23" s="913" t="s">
        <v>8669</v>
      </c>
      <c r="I23" s="914" t="s">
        <v>648</v>
      </c>
      <c r="J23" s="920">
        <v>19.899999999999999</v>
      </c>
      <c r="K23" s="1012">
        <f>IF($G23="","",IFERROR(VLOOKUP($G23,SERVIÇOS!$C:$H,6,0),IFERROR(VLOOKUP($G23,CPU!$F:$M,8,0),"")))</f>
        <v>1764.81</v>
      </c>
      <c r="L23" s="855">
        <f t="shared" si="0"/>
        <v>0.2354</v>
      </c>
      <c r="M23" s="825">
        <f t="shared" si="1"/>
        <v>2180.25</v>
      </c>
      <c r="N23" s="826">
        <f t="shared" si="2"/>
        <v>43386.98</v>
      </c>
      <c r="O23" s="856">
        <f t="shared" si="3"/>
        <v>919692.46000000008</v>
      </c>
      <c r="P23" s="857">
        <f t="shared" si="4"/>
        <v>2.0557291578073605E-2</v>
      </c>
      <c r="Q23" s="857">
        <f t="shared" si="5"/>
        <v>0.43576174378525062</v>
      </c>
      <c r="R23" s="858" t="str">
        <f t="shared" si="6"/>
        <v>A</v>
      </c>
      <c r="S23" s="81"/>
      <c r="T23" s="410">
        <f t="shared" si="7"/>
        <v>2110539.7000000007</v>
      </c>
      <c r="U23" s="69"/>
      <c r="V23" s="69"/>
      <c r="W23" s="69"/>
      <c r="X23" s="69"/>
      <c r="Y23" s="69"/>
      <c r="Z23" s="69"/>
      <c r="AA23" s="69"/>
      <c r="AB23" s="69"/>
      <c r="AC23" s="69"/>
      <c r="AD23" s="69"/>
      <c r="AE23" s="69"/>
      <c r="AF23" s="69"/>
      <c r="AG23" s="69"/>
      <c r="AH23" s="69"/>
      <c r="AI23" s="69"/>
      <c r="AJ23" s="69"/>
      <c r="AK23" s="69"/>
      <c r="AL23" s="69"/>
      <c r="AM23" s="69"/>
      <c r="AN23" s="69"/>
      <c r="AO23" s="69"/>
      <c r="AP23" s="69"/>
      <c r="AQ23" s="69"/>
    </row>
    <row r="24" spans="5:43" s="745" customFormat="1" ht="25.5">
      <c r="E24" s="69"/>
      <c r="F24" s="910" t="s">
        <v>2238</v>
      </c>
      <c r="G24" s="911">
        <v>91926</v>
      </c>
      <c r="H24" s="913" t="s">
        <v>977</v>
      </c>
      <c r="I24" s="914" t="s">
        <v>648</v>
      </c>
      <c r="J24" s="920">
        <v>7000</v>
      </c>
      <c r="K24" s="1012">
        <f>IF($G24="","",IFERROR(VLOOKUP($G24,SERVIÇOS!$C:$H,6,0),IFERROR(VLOOKUP($G24,CPU!$F:$M,8,0),"")))</f>
        <v>4.2699999999999996</v>
      </c>
      <c r="L24" s="855">
        <f t="shared" si="0"/>
        <v>0.2354</v>
      </c>
      <c r="M24" s="825">
        <f t="shared" si="1"/>
        <v>5.28</v>
      </c>
      <c r="N24" s="826">
        <f t="shared" si="2"/>
        <v>36960</v>
      </c>
      <c r="O24" s="856">
        <f t="shared" si="3"/>
        <v>956652.46000000008</v>
      </c>
      <c r="P24" s="857">
        <f t="shared" si="4"/>
        <v>1.7512108395781417E-2</v>
      </c>
      <c r="Q24" s="857">
        <f t="shared" si="5"/>
        <v>0.45327385218103206</v>
      </c>
      <c r="R24" s="858" t="str">
        <f t="shared" si="6"/>
        <v>A</v>
      </c>
      <c r="S24" s="81"/>
      <c r="T24" s="410">
        <f t="shared" si="7"/>
        <v>2110539.7000000007</v>
      </c>
      <c r="U24" s="69"/>
      <c r="V24" s="69"/>
      <c r="W24" s="69"/>
      <c r="X24" s="744"/>
      <c r="Y24" s="744"/>
      <c r="Z24" s="744"/>
      <c r="AA24" s="744"/>
      <c r="AB24" s="744"/>
      <c r="AC24" s="744"/>
      <c r="AD24" s="744"/>
      <c r="AE24" s="744"/>
      <c r="AF24" s="744"/>
      <c r="AG24" s="744"/>
      <c r="AH24" s="744"/>
      <c r="AI24" s="744"/>
      <c r="AJ24" s="744"/>
      <c r="AK24" s="744"/>
      <c r="AL24" s="744"/>
      <c r="AM24" s="744"/>
      <c r="AN24" s="744"/>
      <c r="AO24" s="744"/>
      <c r="AP24" s="744"/>
      <c r="AQ24" s="744"/>
    </row>
    <row r="25" spans="5:43" s="745" customFormat="1" ht="25.5">
      <c r="E25" s="69"/>
      <c r="F25" s="910" t="s">
        <v>2238</v>
      </c>
      <c r="G25" s="911">
        <v>88489</v>
      </c>
      <c r="H25" s="913" t="s">
        <v>314</v>
      </c>
      <c r="I25" s="914" t="s">
        <v>649</v>
      </c>
      <c r="J25" s="920">
        <v>1439.41</v>
      </c>
      <c r="K25" s="1012">
        <f>IF($G25="","",IFERROR(VLOOKUP($G25,SERVIÇOS!$C:$H,6,0),IFERROR(VLOOKUP($G25,CPU!$F:$M,8,0),"")))</f>
        <v>16.27</v>
      </c>
      <c r="L25" s="855">
        <f t="shared" si="0"/>
        <v>0.2354</v>
      </c>
      <c r="M25" s="825">
        <f t="shared" si="1"/>
        <v>20.100000000000001</v>
      </c>
      <c r="N25" s="826">
        <f t="shared" si="2"/>
        <v>28932.14</v>
      </c>
      <c r="O25" s="856">
        <f t="shared" si="3"/>
        <v>985584.60000000009</v>
      </c>
      <c r="P25" s="857">
        <f t="shared" si="4"/>
        <v>1.3708408327974115E-2</v>
      </c>
      <c r="Q25" s="857">
        <f t="shared" si="5"/>
        <v>0.46698226050900615</v>
      </c>
      <c r="R25" s="858" t="str">
        <f t="shared" si="6"/>
        <v>A</v>
      </c>
      <c r="S25" s="81"/>
      <c r="T25" s="410">
        <f t="shared" si="7"/>
        <v>2110539.7000000007</v>
      </c>
      <c r="U25" s="69"/>
      <c r="V25" s="69"/>
      <c r="W25" s="69"/>
      <c r="X25" s="69"/>
      <c r="Y25" s="69"/>
      <c r="Z25" s="69"/>
      <c r="AA25" s="69"/>
      <c r="AB25" s="69"/>
      <c r="AC25" s="69"/>
      <c r="AD25" s="69"/>
      <c r="AE25" s="69"/>
      <c r="AF25" s="69"/>
      <c r="AG25" s="69"/>
      <c r="AH25" s="69"/>
      <c r="AI25" s="69"/>
      <c r="AJ25" s="69"/>
      <c r="AK25" s="69"/>
      <c r="AL25" s="69"/>
      <c r="AM25" s="69"/>
      <c r="AN25" s="69"/>
      <c r="AO25" s="69"/>
      <c r="AP25" s="69"/>
      <c r="AQ25" s="69"/>
    </row>
    <row r="26" spans="5:43" s="745" customFormat="1" ht="25.5">
      <c r="E26" s="69"/>
      <c r="F26" s="910" t="s">
        <v>2238</v>
      </c>
      <c r="G26" s="911">
        <v>98297</v>
      </c>
      <c r="H26" s="913" t="s">
        <v>3398</v>
      </c>
      <c r="I26" s="914" t="s">
        <v>648</v>
      </c>
      <c r="J26" s="920">
        <v>2500</v>
      </c>
      <c r="K26" s="1012">
        <f>IF($G26="","",IFERROR(VLOOKUP($G26,SERVIÇOS!$C:$H,6,0),IFERROR(VLOOKUP($G26,CPU!$F:$M,8,0),"")))</f>
        <v>8.81</v>
      </c>
      <c r="L26" s="855">
        <f t="shared" si="0"/>
        <v>0.2354</v>
      </c>
      <c r="M26" s="825">
        <f t="shared" si="1"/>
        <v>10.88</v>
      </c>
      <c r="N26" s="826">
        <f t="shared" si="2"/>
        <v>27200</v>
      </c>
      <c r="O26" s="856">
        <f t="shared" si="3"/>
        <v>1012784.6000000001</v>
      </c>
      <c r="P26" s="857">
        <f t="shared" si="4"/>
        <v>1.2887698819406237E-2</v>
      </c>
      <c r="Q26" s="857">
        <f t="shared" si="5"/>
        <v>0.47986995932841237</v>
      </c>
      <c r="R26" s="858" t="str">
        <f t="shared" si="6"/>
        <v>A</v>
      </c>
      <c r="S26" s="81"/>
      <c r="T26" s="410">
        <f t="shared" si="7"/>
        <v>2110539.7000000007</v>
      </c>
      <c r="U26" s="69"/>
      <c r="V26" s="69"/>
      <c r="W26" s="69"/>
      <c r="X26" s="69"/>
      <c r="Y26" s="69"/>
      <c r="Z26" s="69"/>
      <c r="AA26" s="69"/>
      <c r="AB26" s="69"/>
      <c r="AC26" s="69"/>
      <c r="AD26" s="69"/>
      <c r="AE26" s="69"/>
      <c r="AF26" s="69"/>
      <c r="AG26" s="69"/>
      <c r="AH26" s="69"/>
      <c r="AI26" s="69"/>
      <c r="AJ26" s="69"/>
      <c r="AK26" s="69"/>
      <c r="AL26" s="69"/>
      <c r="AM26" s="69"/>
      <c r="AN26" s="69"/>
      <c r="AO26" s="69"/>
      <c r="AP26" s="69"/>
      <c r="AQ26" s="69"/>
    </row>
    <row r="27" spans="5:43" s="745" customFormat="1">
      <c r="E27" s="69"/>
      <c r="F27" s="910" t="s">
        <v>2239</v>
      </c>
      <c r="G27" s="911" t="s">
        <v>8939</v>
      </c>
      <c r="H27" s="913" t="s">
        <v>8941</v>
      </c>
      <c r="I27" s="914" t="s">
        <v>646</v>
      </c>
      <c r="J27" s="1013">
        <v>83</v>
      </c>
      <c r="K27" s="1012">
        <f>IF($G27="","",IFERROR(VLOOKUP($G27,SERVIÇOS!$C:$H,6,0),IFERROR(VLOOKUP($G27,CPU!$F:$M,8,0),"")))</f>
        <v>252.99</v>
      </c>
      <c r="L27" s="855">
        <f t="shared" si="0"/>
        <v>0.2354</v>
      </c>
      <c r="M27" s="825">
        <f t="shared" si="1"/>
        <v>312.54000000000002</v>
      </c>
      <c r="N27" s="826">
        <f t="shared" si="2"/>
        <v>25940.82</v>
      </c>
      <c r="O27" s="856">
        <f t="shared" si="3"/>
        <v>1038725.42</v>
      </c>
      <c r="P27" s="857">
        <f t="shared" si="4"/>
        <v>1.2291083650309915E-2</v>
      </c>
      <c r="Q27" s="857">
        <f t="shared" si="5"/>
        <v>0.49216104297872226</v>
      </c>
      <c r="R27" s="858" t="str">
        <f t="shared" si="6"/>
        <v>A</v>
      </c>
      <c r="S27" s="81"/>
      <c r="T27" s="410">
        <f t="shared" si="7"/>
        <v>2110539.7000000007</v>
      </c>
      <c r="U27" s="69"/>
      <c r="V27" s="69"/>
      <c r="W27" s="69"/>
      <c r="X27" s="744"/>
      <c r="Y27" s="744"/>
      <c r="Z27" s="744"/>
      <c r="AA27" s="744"/>
      <c r="AB27" s="744"/>
      <c r="AC27" s="744"/>
      <c r="AD27" s="744"/>
      <c r="AE27" s="744"/>
      <c r="AF27" s="744"/>
      <c r="AG27" s="744"/>
      <c r="AH27" s="744"/>
      <c r="AI27" s="744"/>
      <c r="AJ27" s="744"/>
      <c r="AK27" s="744"/>
      <c r="AL27" s="744"/>
      <c r="AM27" s="744"/>
      <c r="AN27" s="744"/>
      <c r="AO27" s="744"/>
      <c r="AP27" s="744"/>
      <c r="AQ27" s="744"/>
    </row>
    <row r="28" spans="5:43" s="745" customFormat="1" ht="25.5">
      <c r="E28" s="69"/>
      <c r="F28" s="910" t="s">
        <v>2239</v>
      </c>
      <c r="G28" s="911" t="s">
        <v>8595</v>
      </c>
      <c r="H28" s="913" t="s">
        <v>8596</v>
      </c>
      <c r="I28" s="914" t="s">
        <v>649</v>
      </c>
      <c r="J28" s="920">
        <v>135.01</v>
      </c>
      <c r="K28" s="1012">
        <f>IF($G28="","",IFERROR(VLOOKUP($G28,SERVIÇOS!$C:$H,6,0),IFERROR(VLOOKUP($G28,CPU!$F:$M,8,0),"")))</f>
        <v>155.37</v>
      </c>
      <c r="L28" s="855">
        <f t="shared" si="0"/>
        <v>0.2354</v>
      </c>
      <c r="M28" s="825">
        <f t="shared" si="1"/>
        <v>191.94</v>
      </c>
      <c r="N28" s="826">
        <f t="shared" si="2"/>
        <v>25913.82</v>
      </c>
      <c r="O28" s="856">
        <f t="shared" si="3"/>
        <v>1064639.24</v>
      </c>
      <c r="P28" s="857">
        <f t="shared" si="4"/>
        <v>1.2278290713981828E-2</v>
      </c>
      <c r="Q28" s="857">
        <f t="shared" si="5"/>
        <v>0.50443933369270411</v>
      </c>
      <c r="R28" s="858" t="str">
        <f t="shared" si="6"/>
        <v>B</v>
      </c>
      <c r="S28" s="81"/>
      <c r="T28" s="410">
        <f t="shared" si="7"/>
        <v>2110539.7000000007</v>
      </c>
      <c r="U28" s="69"/>
      <c r="V28" s="69"/>
      <c r="W28" s="69"/>
      <c r="X28" s="744"/>
      <c r="Y28" s="744"/>
      <c r="Z28" s="744"/>
      <c r="AA28" s="744"/>
      <c r="AB28" s="744"/>
      <c r="AC28" s="744"/>
      <c r="AD28" s="744"/>
      <c r="AE28" s="744"/>
      <c r="AF28" s="744"/>
      <c r="AG28" s="744"/>
      <c r="AH28" s="744"/>
      <c r="AI28" s="744"/>
      <c r="AJ28" s="744"/>
      <c r="AK28" s="744"/>
      <c r="AL28" s="744"/>
      <c r="AM28" s="744"/>
      <c r="AN28" s="744"/>
      <c r="AO28" s="744"/>
      <c r="AP28" s="744"/>
      <c r="AQ28" s="744"/>
    </row>
    <row r="29" spans="5:43" s="745" customFormat="1" ht="25.5">
      <c r="E29" s="69"/>
      <c r="F29" s="910" t="s">
        <v>2239</v>
      </c>
      <c r="G29" s="911" t="s">
        <v>8393</v>
      </c>
      <c r="H29" s="913" t="s">
        <v>8416</v>
      </c>
      <c r="I29" s="914" t="s">
        <v>649</v>
      </c>
      <c r="J29" s="920">
        <v>478.73</v>
      </c>
      <c r="K29" s="1012">
        <f>IF($G29="","",IFERROR(VLOOKUP($G29,SERVIÇOS!$C:$H,6,0),IFERROR(VLOOKUP($G29,CPU!$F:$M,8,0),"")))</f>
        <v>43.32</v>
      </c>
      <c r="L29" s="855">
        <f t="shared" si="0"/>
        <v>0.2354</v>
      </c>
      <c r="M29" s="825">
        <f t="shared" si="1"/>
        <v>53.52</v>
      </c>
      <c r="N29" s="826">
        <f t="shared" si="2"/>
        <v>25621.63</v>
      </c>
      <c r="O29" s="856">
        <f t="shared" si="3"/>
        <v>1090260.8699999999</v>
      </c>
      <c r="P29" s="857">
        <f t="shared" si="4"/>
        <v>1.2139847452289096E-2</v>
      </c>
      <c r="Q29" s="857">
        <f t="shared" si="5"/>
        <v>0.51657918114499324</v>
      </c>
      <c r="R29" s="858" t="str">
        <f t="shared" si="6"/>
        <v>B</v>
      </c>
      <c r="S29" s="81"/>
      <c r="T29" s="410">
        <f t="shared" si="7"/>
        <v>2110539.7000000007</v>
      </c>
      <c r="U29" s="69"/>
      <c r="V29" s="69"/>
      <c r="W29" s="69"/>
      <c r="X29" s="69"/>
      <c r="Y29" s="69"/>
      <c r="Z29" s="69"/>
      <c r="AA29" s="69"/>
      <c r="AB29" s="69"/>
      <c r="AC29" s="69"/>
      <c r="AD29" s="69"/>
      <c r="AE29" s="69"/>
      <c r="AF29" s="69"/>
      <c r="AG29" s="69"/>
      <c r="AH29" s="69"/>
      <c r="AI29" s="69"/>
      <c r="AJ29" s="69"/>
      <c r="AK29" s="69"/>
      <c r="AL29" s="69"/>
      <c r="AM29" s="69"/>
      <c r="AN29" s="69"/>
      <c r="AO29" s="69"/>
      <c r="AP29" s="69"/>
      <c r="AQ29" s="69"/>
    </row>
    <row r="30" spans="5:43" s="745" customFormat="1" ht="51">
      <c r="E30" s="69"/>
      <c r="F30" s="910" t="s">
        <v>2239</v>
      </c>
      <c r="G30" s="911" t="s">
        <v>8599</v>
      </c>
      <c r="H30" s="913" t="s">
        <v>8604</v>
      </c>
      <c r="I30" s="914" t="s">
        <v>649</v>
      </c>
      <c r="J30" s="920">
        <v>30.56</v>
      </c>
      <c r="K30" s="1012">
        <f>IF($G30="","",IFERROR(VLOOKUP($G30,SERVIÇOS!$C:$H,6,0),IFERROR(VLOOKUP($G30,CPU!$F:$M,8,0),"")))</f>
        <v>656.63999999999987</v>
      </c>
      <c r="L30" s="855">
        <f t="shared" si="0"/>
        <v>0.2354</v>
      </c>
      <c r="M30" s="825">
        <f t="shared" si="1"/>
        <v>811.21</v>
      </c>
      <c r="N30" s="826">
        <f t="shared" si="2"/>
        <v>24790.58</v>
      </c>
      <c r="O30" s="856">
        <f t="shared" si="3"/>
        <v>1115051.45</v>
      </c>
      <c r="P30" s="857">
        <f t="shared" si="4"/>
        <v>1.1746085610235142E-2</v>
      </c>
      <c r="Q30" s="857">
        <f t="shared" si="5"/>
        <v>0.5283252667552284</v>
      </c>
      <c r="R30" s="858" t="str">
        <f t="shared" si="6"/>
        <v>B</v>
      </c>
      <c r="S30" s="81"/>
      <c r="T30" s="410">
        <f t="shared" si="7"/>
        <v>2110539.7000000007</v>
      </c>
      <c r="U30" s="69"/>
      <c r="V30" s="69"/>
      <c r="W30" s="69"/>
      <c r="X30" s="744"/>
      <c r="Y30" s="744"/>
      <c r="Z30" s="744"/>
      <c r="AA30" s="744"/>
      <c r="AB30" s="744"/>
      <c r="AC30" s="744"/>
      <c r="AD30" s="744"/>
      <c r="AE30" s="744"/>
      <c r="AF30" s="744"/>
      <c r="AG30" s="744"/>
      <c r="AH30" s="744"/>
      <c r="AI30" s="744"/>
      <c r="AJ30" s="744"/>
      <c r="AK30" s="744"/>
      <c r="AL30" s="744"/>
      <c r="AM30" s="744"/>
      <c r="AN30" s="744"/>
      <c r="AO30" s="744"/>
      <c r="AP30" s="744"/>
      <c r="AQ30" s="744"/>
    </row>
    <row r="31" spans="5:43" s="745" customFormat="1" ht="51">
      <c r="E31" s="69"/>
      <c r="F31" s="910" t="s">
        <v>2239</v>
      </c>
      <c r="G31" s="911" t="s">
        <v>8655</v>
      </c>
      <c r="H31" s="913" t="s">
        <v>8649</v>
      </c>
      <c r="I31" s="914" t="s">
        <v>649</v>
      </c>
      <c r="J31" s="920">
        <v>42.18</v>
      </c>
      <c r="K31" s="1012">
        <f>IF($G31="","",IFERROR(VLOOKUP($G31,SERVIÇOS!$C:$H,6,0),IFERROR(VLOOKUP($G31,CPU!$F:$M,8,0),"")))</f>
        <v>470.57000000000005</v>
      </c>
      <c r="L31" s="855">
        <f t="shared" si="0"/>
        <v>0.2354</v>
      </c>
      <c r="M31" s="825">
        <f t="shared" si="1"/>
        <v>581.34</v>
      </c>
      <c r="N31" s="826">
        <f t="shared" si="2"/>
        <v>24520.92</v>
      </c>
      <c r="O31" s="856">
        <f t="shared" si="3"/>
        <v>1139572.3699999999</v>
      </c>
      <c r="P31" s="857">
        <f t="shared" si="4"/>
        <v>1.1618317343189513E-2</v>
      </c>
      <c r="Q31" s="857">
        <f t="shared" si="5"/>
        <v>0.53994358409841792</v>
      </c>
      <c r="R31" s="858" t="str">
        <f t="shared" si="6"/>
        <v>B</v>
      </c>
      <c r="S31" s="81"/>
      <c r="T31" s="410">
        <f t="shared" si="7"/>
        <v>2110539.7000000007</v>
      </c>
      <c r="U31" s="69"/>
      <c r="V31" s="69"/>
      <c r="W31" s="69"/>
      <c r="X31" s="744"/>
      <c r="Y31" s="744"/>
      <c r="Z31" s="744"/>
      <c r="AA31" s="744"/>
      <c r="AB31" s="744"/>
      <c r="AC31" s="744"/>
      <c r="AD31" s="744"/>
      <c r="AE31" s="744"/>
      <c r="AF31" s="744"/>
      <c r="AG31" s="744"/>
      <c r="AH31" s="744"/>
      <c r="AI31" s="744"/>
      <c r="AJ31" s="744"/>
      <c r="AK31" s="744"/>
      <c r="AL31" s="744"/>
      <c r="AM31" s="744"/>
      <c r="AN31" s="744"/>
      <c r="AO31" s="744"/>
      <c r="AP31" s="744"/>
      <c r="AQ31" s="744"/>
    </row>
    <row r="32" spans="5:43" s="745" customFormat="1" ht="38.25">
      <c r="E32" s="69"/>
      <c r="F32" s="910" t="s">
        <v>2239</v>
      </c>
      <c r="G32" s="918" t="s">
        <v>8491</v>
      </c>
      <c r="H32" s="913" t="s">
        <v>8486</v>
      </c>
      <c r="I32" s="914" t="s">
        <v>648</v>
      </c>
      <c r="J32" s="920">
        <v>124</v>
      </c>
      <c r="K32" s="1012">
        <f>IF($G32="","",IFERROR(VLOOKUP($G32,SERVIÇOS!$C:$H,6,0),IFERROR(VLOOKUP($G32,CPU!$F:$M,8,0),"")))</f>
        <v>158.27999999999997</v>
      </c>
      <c r="L32" s="855">
        <f t="shared" si="0"/>
        <v>0.2354</v>
      </c>
      <c r="M32" s="825">
        <f t="shared" si="1"/>
        <v>195.54</v>
      </c>
      <c r="N32" s="826">
        <f t="shared" si="2"/>
        <v>24246.959999999999</v>
      </c>
      <c r="O32" s="856">
        <f t="shared" si="3"/>
        <v>1163819.3299999998</v>
      </c>
      <c r="P32" s="857">
        <f t="shared" si="4"/>
        <v>1.1488511682580523E-2</v>
      </c>
      <c r="Q32" s="857">
        <f t="shared" si="5"/>
        <v>0.55143209578099839</v>
      </c>
      <c r="R32" s="858" t="str">
        <f t="shared" si="6"/>
        <v>B</v>
      </c>
      <c r="S32" s="81"/>
      <c r="T32" s="410">
        <f t="shared" si="7"/>
        <v>2110539.7000000007</v>
      </c>
      <c r="U32" s="69"/>
      <c r="V32" s="69"/>
      <c r="W32" s="69"/>
      <c r="X32" s="69"/>
      <c r="Y32" s="69"/>
      <c r="Z32" s="69"/>
      <c r="AA32" s="69"/>
      <c r="AB32" s="69"/>
      <c r="AC32" s="69"/>
      <c r="AD32" s="69"/>
      <c r="AE32" s="69"/>
      <c r="AF32" s="69"/>
      <c r="AG32" s="69"/>
      <c r="AH32" s="69"/>
      <c r="AI32" s="69"/>
      <c r="AJ32" s="69"/>
      <c r="AK32" s="69"/>
      <c r="AL32" s="69"/>
      <c r="AM32" s="69"/>
      <c r="AN32" s="69"/>
      <c r="AO32" s="69"/>
      <c r="AP32" s="69"/>
      <c r="AQ32" s="69"/>
    </row>
    <row r="33" spans="5:43" s="745" customFormat="1">
      <c r="E33" s="69"/>
      <c r="F33" s="910" t="s">
        <v>2238</v>
      </c>
      <c r="G33" s="911">
        <v>88495</v>
      </c>
      <c r="H33" s="913" t="s">
        <v>316</v>
      </c>
      <c r="I33" s="914" t="s">
        <v>649</v>
      </c>
      <c r="J33" s="920">
        <v>1201.7</v>
      </c>
      <c r="K33" s="1012">
        <f>IF($G33="","",IFERROR(VLOOKUP($G33,SERVIÇOS!$C:$H,6,0),IFERROR(VLOOKUP($G33,CPU!$F:$M,8,0),"")))</f>
        <v>14.73</v>
      </c>
      <c r="L33" s="855">
        <f t="shared" si="0"/>
        <v>0.2354</v>
      </c>
      <c r="M33" s="825">
        <f t="shared" si="1"/>
        <v>18.2</v>
      </c>
      <c r="N33" s="826">
        <f t="shared" si="2"/>
        <v>21870.94</v>
      </c>
      <c r="O33" s="856">
        <f t="shared" si="3"/>
        <v>1185690.2699999998</v>
      </c>
      <c r="P33" s="857">
        <f t="shared" si="4"/>
        <v>1.0362723809459727E-2</v>
      </c>
      <c r="Q33" s="857">
        <f t="shared" si="5"/>
        <v>0.56179481959045807</v>
      </c>
      <c r="R33" s="858" t="str">
        <f t="shared" si="6"/>
        <v>B</v>
      </c>
      <c r="S33" s="81"/>
      <c r="T33" s="410">
        <f t="shared" si="7"/>
        <v>2110539.7000000007</v>
      </c>
      <c r="U33" s="69"/>
      <c r="V33" s="69"/>
      <c r="W33" s="69"/>
      <c r="X33" s="69"/>
      <c r="Y33" s="69"/>
      <c r="Z33" s="69"/>
      <c r="AA33" s="69"/>
      <c r="AB33" s="69"/>
      <c r="AC33" s="69"/>
      <c r="AD33" s="69"/>
      <c r="AE33" s="69"/>
      <c r="AF33" s="69"/>
      <c r="AG33" s="69"/>
      <c r="AH33" s="69"/>
      <c r="AI33" s="69"/>
      <c r="AJ33" s="69"/>
      <c r="AK33" s="69"/>
      <c r="AL33" s="69"/>
      <c r="AM33" s="69"/>
      <c r="AN33" s="69"/>
      <c r="AO33" s="69"/>
      <c r="AP33" s="69"/>
      <c r="AQ33" s="69"/>
    </row>
    <row r="34" spans="5:43" s="745" customFormat="1" ht="51">
      <c r="E34" s="69"/>
      <c r="F34" s="910" t="s">
        <v>2238</v>
      </c>
      <c r="G34" s="911">
        <v>90843</v>
      </c>
      <c r="H34" s="913" t="s">
        <v>3812</v>
      </c>
      <c r="I34" s="914" t="s">
        <v>646</v>
      </c>
      <c r="J34" s="920">
        <v>15</v>
      </c>
      <c r="K34" s="1012">
        <f>IF($G34="","",IFERROR(VLOOKUP($G34,SERVIÇOS!$C:$H,6,0),IFERROR(VLOOKUP($G34,CPU!$F:$M,8,0),"")))</f>
        <v>1090.68</v>
      </c>
      <c r="L34" s="855">
        <f t="shared" si="0"/>
        <v>0.2354</v>
      </c>
      <c r="M34" s="825">
        <f t="shared" si="1"/>
        <v>1347.43</v>
      </c>
      <c r="N34" s="826">
        <f t="shared" si="2"/>
        <v>20211.45</v>
      </c>
      <c r="O34" s="856">
        <f t="shared" si="3"/>
        <v>1205901.7199999997</v>
      </c>
      <c r="P34" s="857">
        <f t="shared" si="4"/>
        <v>9.5764367758635355E-3</v>
      </c>
      <c r="Q34" s="857">
        <f t="shared" si="5"/>
        <v>0.57137125636632158</v>
      </c>
      <c r="R34" s="858" t="str">
        <f t="shared" si="6"/>
        <v>B</v>
      </c>
      <c r="S34" s="81"/>
      <c r="T34" s="410">
        <f t="shared" si="7"/>
        <v>2110539.7000000007</v>
      </c>
      <c r="U34" s="69"/>
      <c r="V34" s="69"/>
      <c r="W34" s="69"/>
      <c r="X34" s="744"/>
      <c r="Y34" s="744"/>
      <c r="Z34" s="744"/>
      <c r="AA34" s="744"/>
      <c r="AB34" s="744"/>
      <c r="AC34" s="744"/>
      <c r="AD34" s="744"/>
      <c r="AE34" s="744"/>
      <c r="AF34" s="744"/>
      <c r="AG34" s="744"/>
      <c r="AH34" s="744"/>
      <c r="AI34" s="744"/>
      <c r="AJ34" s="744"/>
      <c r="AK34" s="744"/>
      <c r="AL34" s="744"/>
      <c r="AM34" s="744"/>
      <c r="AN34" s="744"/>
      <c r="AO34" s="744"/>
      <c r="AP34" s="744"/>
      <c r="AQ34" s="744"/>
    </row>
    <row r="35" spans="5:43" s="745" customFormat="1" ht="38.25">
      <c r="E35" s="69"/>
      <c r="F35" s="910" t="s">
        <v>2238</v>
      </c>
      <c r="G35" s="911">
        <v>87620</v>
      </c>
      <c r="H35" s="913" t="s">
        <v>5341</v>
      </c>
      <c r="I35" s="914" t="s">
        <v>649</v>
      </c>
      <c r="J35" s="920">
        <v>551.15</v>
      </c>
      <c r="K35" s="1012">
        <f>IF($G35="","",IFERROR(VLOOKUP($G35,SERVIÇOS!$C:$H,6,0),IFERROR(VLOOKUP($G35,CPU!$F:$M,8,0),"")))</f>
        <v>29.24</v>
      </c>
      <c r="L35" s="855">
        <f t="shared" si="0"/>
        <v>0.2354</v>
      </c>
      <c r="M35" s="825">
        <f t="shared" si="1"/>
        <v>36.119999999999997</v>
      </c>
      <c r="N35" s="826">
        <f t="shared" si="2"/>
        <v>19907.54</v>
      </c>
      <c r="O35" s="856">
        <f t="shared" si="3"/>
        <v>1225809.2599999998</v>
      </c>
      <c r="P35" s="857">
        <f t="shared" si="4"/>
        <v>9.4324404321795008E-3</v>
      </c>
      <c r="Q35" s="857">
        <f t="shared" si="5"/>
        <v>0.58080369679850108</v>
      </c>
      <c r="R35" s="858" t="str">
        <f t="shared" si="6"/>
        <v>B</v>
      </c>
      <c r="S35" s="81"/>
      <c r="T35" s="410">
        <f t="shared" si="7"/>
        <v>2110539.7000000007</v>
      </c>
      <c r="U35" s="69"/>
      <c r="V35" s="69"/>
      <c r="W35" s="69"/>
      <c r="X35" s="69"/>
      <c r="Y35" s="69"/>
      <c r="Z35" s="69"/>
      <c r="AA35" s="69"/>
      <c r="AB35" s="69"/>
      <c r="AC35" s="69"/>
      <c r="AD35" s="69"/>
      <c r="AE35" s="69"/>
      <c r="AF35" s="69"/>
      <c r="AG35" s="69"/>
      <c r="AH35" s="69"/>
      <c r="AI35" s="69"/>
      <c r="AJ35" s="69"/>
      <c r="AK35" s="69"/>
      <c r="AL35" s="69"/>
      <c r="AM35" s="69"/>
      <c r="AN35" s="69"/>
      <c r="AO35" s="69"/>
      <c r="AP35" s="69"/>
      <c r="AQ35" s="69"/>
    </row>
    <row r="36" spans="5:43" s="745" customFormat="1" ht="25.5">
      <c r="E36" s="69"/>
      <c r="F36" s="910" t="s">
        <v>2239</v>
      </c>
      <c r="G36" s="911" t="s">
        <v>8580</v>
      </c>
      <c r="H36" s="913" t="s">
        <v>8582</v>
      </c>
      <c r="I36" s="914" t="s">
        <v>649</v>
      </c>
      <c r="J36" s="919">
        <v>236.65</v>
      </c>
      <c r="K36" s="1012">
        <f>IF($G36="","",IFERROR(VLOOKUP($G36,SERVIÇOS!$C:$H,6,0),IFERROR(VLOOKUP($G36,CPU!$F:$M,8,0),"")))</f>
        <v>67.929999999999993</v>
      </c>
      <c r="L36" s="855">
        <f t="shared" si="0"/>
        <v>0.2354</v>
      </c>
      <c r="M36" s="825">
        <f t="shared" si="1"/>
        <v>83.92</v>
      </c>
      <c r="N36" s="826">
        <f t="shared" si="2"/>
        <v>19859.669999999998</v>
      </c>
      <c r="O36" s="856">
        <f t="shared" si="3"/>
        <v>1245668.9299999997</v>
      </c>
      <c r="P36" s="857">
        <f t="shared" si="4"/>
        <v>9.4097590298822583E-3</v>
      </c>
      <c r="Q36" s="857">
        <f t="shared" si="5"/>
        <v>0.59021345582838336</v>
      </c>
      <c r="R36" s="858" t="str">
        <f t="shared" si="6"/>
        <v>B</v>
      </c>
      <c r="S36" s="81"/>
      <c r="T36" s="410">
        <f t="shared" si="7"/>
        <v>2110539.7000000007</v>
      </c>
      <c r="U36" s="69"/>
      <c r="V36" s="69"/>
      <c r="W36" s="69"/>
      <c r="X36" s="69"/>
      <c r="Y36" s="69"/>
      <c r="Z36" s="69"/>
      <c r="AA36" s="69"/>
      <c r="AB36" s="69"/>
      <c r="AC36" s="69"/>
      <c r="AD36" s="69"/>
      <c r="AE36" s="69"/>
      <c r="AF36" s="69"/>
      <c r="AG36" s="69"/>
      <c r="AH36" s="69"/>
      <c r="AI36" s="69"/>
      <c r="AJ36" s="69"/>
      <c r="AK36" s="69"/>
      <c r="AL36" s="69"/>
      <c r="AM36" s="69"/>
      <c r="AN36" s="69"/>
      <c r="AO36" s="69"/>
      <c r="AP36" s="69"/>
      <c r="AQ36" s="69"/>
    </row>
    <row r="37" spans="5:43" s="745" customFormat="1" ht="25.5">
      <c r="E37" s="69"/>
      <c r="F37" s="910" t="s">
        <v>2238</v>
      </c>
      <c r="G37" s="911">
        <v>102253</v>
      </c>
      <c r="H37" s="913" t="s">
        <v>6097</v>
      </c>
      <c r="I37" s="914" t="s">
        <v>649</v>
      </c>
      <c r="J37" s="920">
        <v>16.75</v>
      </c>
      <c r="K37" s="1012">
        <f>IF($G37="","",IFERROR(VLOOKUP($G37,SERVIÇOS!$C:$H,6,0),IFERROR(VLOOKUP($G37,CPU!$F:$M,8,0),"")))</f>
        <v>948.82</v>
      </c>
      <c r="L37" s="855">
        <f t="shared" si="0"/>
        <v>0.2354</v>
      </c>
      <c r="M37" s="825">
        <f t="shared" si="1"/>
        <v>1172.17</v>
      </c>
      <c r="N37" s="826">
        <f t="shared" si="2"/>
        <v>19633.849999999999</v>
      </c>
      <c r="O37" s="856">
        <f t="shared" si="3"/>
        <v>1265302.7799999998</v>
      </c>
      <c r="P37" s="857">
        <f t="shared" si="4"/>
        <v>9.3027627009337911E-3</v>
      </c>
      <c r="Q37" s="857">
        <f t="shared" si="5"/>
        <v>0.59951621852931714</v>
      </c>
      <c r="R37" s="858" t="str">
        <f t="shared" si="6"/>
        <v>B</v>
      </c>
      <c r="S37" s="81"/>
      <c r="T37" s="410">
        <f t="shared" si="7"/>
        <v>2110539.7000000007</v>
      </c>
      <c r="U37" s="69"/>
      <c r="V37" s="69"/>
      <c r="W37" s="69"/>
      <c r="X37" s="69"/>
      <c r="Y37" s="69"/>
      <c r="Z37" s="69"/>
      <c r="AA37" s="69"/>
      <c r="AB37" s="69"/>
      <c r="AC37" s="69"/>
      <c r="AD37" s="69"/>
      <c r="AE37" s="69"/>
      <c r="AF37" s="69"/>
      <c r="AG37" s="69"/>
      <c r="AH37" s="69"/>
      <c r="AI37" s="69"/>
      <c r="AJ37" s="69"/>
      <c r="AK37" s="69"/>
      <c r="AL37" s="69"/>
      <c r="AM37" s="69"/>
      <c r="AN37" s="69"/>
      <c r="AO37" s="69"/>
      <c r="AP37" s="69"/>
      <c r="AQ37" s="69"/>
    </row>
    <row r="38" spans="5:43" s="745" customFormat="1" ht="38.25">
      <c r="E38" s="69"/>
      <c r="F38" s="910" t="s">
        <v>2238</v>
      </c>
      <c r="G38" s="918">
        <v>87529</v>
      </c>
      <c r="H38" s="913" t="s">
        <v>1536</v>
      </c>
      <c r="I38" s="914" t="s">
        <v>649</v>
      </c>
      <c r="J38" s="920">
        <v>434.06</v>
      </c>
      <c r="K38" s="1012">
        <f>IF($G38="","",IFERROR(VLOOKUP($G38,SERVIÇOS!$C:$H,6,0),IFERROR(VLOOKUP($G38,CPU!$F:$M,8,0),"")))</f>
        <v>35.450000000000003</v>
      </c>
      <c r="L38" s="855">
        <f t="shared" si="0"/>
        <v>0.2354</v>
      </c>
      <c r="M38" s="825">
        <f t="shared" si="1"/>
        <v>43.79</v>
      </c>
      <c r="N38" s="826">
        <f t="shared" si="2"/>
        <v>19007.490000000002</v>
      </c>
      <c r="O38" s="856">
        <f t="shared" si="3"/>
        <v>1284310.2699999998</v>
      </c>
      <c r="P38" s="857">
        <f t="shared" si="4"/>
        <v>9.0059855306204358E-3</v>
      </c>
      <c r="Q38" s="857">
        <f t="shared" si="5"/>
        <v>0.60852220405993762</v>
      </c>
      <c r="R38" s="858" t="str">
        <f t="shared" si="6"/>
        <v>B</v>
      </c>
      <c r="S38" s="81"/>
      <c r="T38" s="410">
        <f t="shared" si="7"/>
        <v>2110539.7000000007</v>
      </c>
      <c r="U38" s="69"/>
      <c r="V38" s="69"/>
      <c r="W38" s="69"/>
      <c r="X38" s="69"/>
      <c r="Y38" s="69"/>
      <c r="Z38" s="69"/>
      <c r="AA38" s="69"/>
      <c r="AB38" s="69"/>
      <c r="AC38" s="69"/>
      <c r="AD38" s="69"/>
      <c r="AE38" s="69"/>
      <c r="AF38" s="69"/>
      <c r="AG38" s="69"/>
      <c r="AH38" s="69"/>
      <c r="AI38" s="69"/>
      <c r="AJ38" s="69"/>
      <c r="AK38" s="69"/>
      <c r="AL38" s="69"/>
      <c r="AM38" s="69"/>
      <c r="AN38" s="69"/>
      <c r="AO38" s="69"/>
      <c r="AP38" s="69"/>
      <c r="AQ38" s="69"/>
    </row>
    <row r="39" spans="5:43" s="745" customFormat="1">
      <c r="E39" s="69"/>
      <c r="F39" s="910" t="s">
        <v>2239</v>
      </c>
      <c r="G39" s="911" t="s">
        <v>8592</v>
      </c>
      <c r="H39" s="913" t="s">
        <v>8593</v>
      </c>
      <c r="I39" s="914" t="s">
        <v>649</v>
      </c>
      <c r="J39" s="920">
        <v>79.41</v>
      </c>
      <c r="K39" s="1012">
        <f>IF($G39="","",IFERROR(VLOOKUP($G39,SERVIÇOS!$C:$H,6,0),IFERROR(VLOOKUP($G39,CPU!$F:$M,8,0),"")))</f>
        <v>177.11</v>
      </c>
      <c r="L39" s="855">
        <f t="shared" si="0"/>
        <v>0.2354</v>
      </c>
      <c r="M39" s="825">
        <f t="shared" si="1"/>
        <v>218.8</v>
      </c>
      <c r="N39" s="826">
        <f t="shared" si="2"/>
        <v>17374.91</v>
      </c>
      <c r="O39" s="856">
        <f t="shared" si="3"/>
        <v>1301685.1799999997</v>
      </c>
      <c r="P39" s="857">
        <f t="shared" si="4"/>
        <v>8.2324487902312362E-3</v>
      </c>
      <c r="Q39" s="857">
        <f t="shared" si="5"/>
        <v>0.61675465285016884</v>
      </c>
      <c r="R39" s="858" t="str">
        <f t="shared" si="6"/>
        <v>B</v>
      </c>
      <c r="S39" s="81"/>
      <c r="T39" s="410">
        <f t="shared" si="7"/>
        <v>2110539.7000000007</v>
      </c>
      <c r="U39" s="69"/>
      <c r="V39" s="69"/>
      <c r="W39" s="69"/>
      <c r="X39" s="744"/>
      <c r="Y39" s="744"/>
      <c r="Z39" s="744"/>
      <c r="AA39" s="744"/>
      <c r="AB39" s="744"/>
      <c r="AC39" s="744"/>
      <c r="AD39" s="744"/>
      <c r="AE39" s="744"/>
      <c r="AF39" s="744"/>
      <c r="AG39" s="744"/>
      <c r="AH39" s="744"/>
      <c r="AI39" s="744"/>
      <c r="AJ39" s="744"/>
      <c r="AK39" s="744"/>
      <c r="AL39" s="744"/>
      <c r="AM39" s="744"/>
      <c r="AN39" s="744"/>
      <c r="AO39" s="744"/>
      <c r="AP39" s="744"/>
      <c r="AQ39" s="744"/>
    </row>
    <row r="40" spans="5:43" s="745" customFormat="1" ht="76.5">
      <c r="E40" s="69"/>
      <c r="F40" s="910" t="s">
        <v>2239</v>
      </c>
      <c r="G40" s="911" t="s">
        <v>6814</v>
      </c>
      <c r="H40" s="913" t="s">
        <v>7523</v>
      </c>
      <c r="I40" s="914" t="s">
        <v>646</v>
      </c>
      <c r="J40" s="920">
        <v>3</v>
      </c>
      <c r="K40" s="1012">
        <f>IF($G40="","",IFERROR(VLOOKUP($G40,SERVIÇOS!$C:$H,6,0),IFERROR(VLOOKUP($G40,CPU!$F:$M,8,0),"")))</f>
        <v>4651.9799999999996</v>
      </c>
      <c r="L40" s="855">
        <f t="shared" si="0"/>
        <v>0.2354</v>
      </c>
      <c r="M40" s="825">
        <f t="shared" si="1"/>
        <v>5747.06</v>
      </c>
      <c r="N40" s="826">
        <f t="shared" si="2"/>
        <v>17241.18</v>
      </c>
      <c r="O40" s="856">
        <f t="shared" si="3"/>
        <v>1318926.3599999996</v>
      </c>
      <c r="P40" s="857">
        <f t="shared" si="4"/>
        <v>8.1690858504106772E-3</v>
      </c>
      <c r="Q40" s="857">
        <f t="shared" si="5"/>
        <v>0.62492373870057949</v>
      </c>
      <c r="R40" s="858" t="str">
        <f t="shared" si="6"/>
        <v>B</v>
      </c>
      <c r="S40" s="81"/>
      <c r="T40" s="410">
        <f t="shared" si="7"/>
        <v>2110539.7000000007</v>
      </c>
      <c r="U40" s="69"/>
      <c r="V40" s="69"/>
      <c r="W40" s="69"/>
      <c r="X40" s="69"/>
      <c r="Y40" s="69"/>
      <c r="Z40" s="69"/>
      <c r="AA40" s="69"/>
      <c r="AB40" s="69"/>
      <c r="AC40" s="69"/>
      <c r="AD40" s="69"/>
      <c r="AE40" s="69"/>
      <c r="AF40" s="69"/>
      <c r="AG40" s="69"/>
      <c r="AH40" s="69"/>
      <c r="AI40" s="69"/>
      <c r="AJ40" s="69"/>
      <c r="AK40" s="69"/>
      <c r="AL40" s="69"/>
      <c r="AM40" s="69"/>
      <c r="AN40" s="69"/>
      <c r="AO40" s="69"/>
      <c r="AP40" s="69"/>
      <c r="AQ40" s="69"/>
    </row>
    <row r="41" spans="5:43" s="745" customFormat="1">
      <c r="E41" s="69"/>
      <c r="F41" s="910" t="s">
        <v>2238</v>
      </c>
      <c r="G41" s="911">
        <v>95305</v>
      </c>
      <c r="H41" s="913" t="s">
        <v>1972</v>
      </c>
      <c r="I41" s="914" t="s">
        <v>649</v>
      </c>
      <c r="J41" s="920">
        <v>887.87</v>
      </c>
      <c r="K41" s="1012">
        <f>IF($G41="","",IFERROR(VLOOKUP($G41,SERVIÇOS!$C:$H,6,0),IFERROR(VLOOKUP($G41,CPU!$F:$M,8,0),"")))</f>
        <v>14.77</v>
      </c>
      <c r="L41" s="855">
        <f t="shared" si="0"/>
        <v>0.2354</v>
      </c>
      <c r="M41" s="825">
        <f t="shared" si="1"/>
        <v>18.25</v>
      </c>
      <c r="N41" s="826">
        <f t="shared" si="2"/>
        <v>16203.63</v>
      </c>
      <c r="O41" s="856">
        <f t="shared" si="3"/>
        <v>1335129.9899999995</v>
      </c>
      <c r="P41" s="857">
        <f t="shared" si="4"/>
        <v>7.677481736069686E-3</v>
      </c>
      <c r="Q41" s="857">
        <f t="shared" si="5"/>
        <v>0.63260122043664913</v>
      </c>
      <c r="R41" s="858" t="str">
        <f t="shared" si="6"/>
        <v>B</v>
      </c>
      <c r="S41" s="81"/>
      <c r="T41" s="410">
        <f t="shared" si="7"/>
        <v>2110539.7000000007</v>
      </c>
      <c r="U41" s="69"/>
      <c r="V41" s="69"/>
      <c r="W41" s="69"/>
      <c r="X41" s="69"/>
      <c r="Y41" s="69"/>
      <c r="Z41" s="69"/>
      <c r="AA41" s="69"/>
      <c r="AB41" s="69"/>
      <c r="AC41" s="69"/>
      <c r="AD41" s="69"/>
      <c r="AE41" s="69"/>
      <c r="AF41" s="69"/>
      <c r="AG41" s="69"/>
      <c r="AH41" s="69"/>
      <c r="AI41" s="69"/>
      <c r="AJ41" s="69"/>
      <c r="AK41" s="69"/>
      <c r="AL41" s="69"/>
      <c r="AM41" s="69"/>
      <c r="AN41" s="69"/>
      <c r="AO41" s="69"/>
      <c r="AP41" s="69"/>
      <c r="AQ41" s="69"/>
    </row>
    <row r="42" spans="5:43" s="745" customFormat="1">
      <c r="E42" s="69"/>
      <c r="F42" s="910" t="s">
        <v>2239</v>
      </c>
      <c r="G42" s="911" t="s">
        <v>8881</v>
      </c>
      <c r="H42" s="913" t="s">
        <v>9152</v>
      </c>
      <c r="I42" s="914" t="s">
        <v>648</v>
      </c>
      <c r="J42" s="920">
        <v>491.46</v>
      </c>
      <c r="K42" s="1012">
        <f>IF($G42="","",IFERROR(VLOOKUP($G42,SERVIÇOS!$C:$H,6,0),IFERROR(VLOOKUP($G42,CPU!$F:$M,8,0),"")))</f>
        <v>26.34</v>
      </c>
      <c r="L42" s="855">
        <f t="shared" si="0"/>
        <v>0.2354</v>
      </c>
      <c r="M42" s="825">
        <f t="shared" si="1"/>
        <v>32.54</v>
      </c>
      <c r="N42" s="826">
        <f t="shared" si="2"/>
        <v>15992.11</v>
      </c>
      <c r="O42" s="856">
        <f t="shared" si="3"/>
        <v>1351122.0999999996</v>
      </c>
      <c r="P42" s="857">
        <f t="shared" si="4"/>
        <v>7.5772609252505391E-3</v>
      </c>
      <c r="Q42" s="857">
        <f t="shared" si="5"/>
        <v>0.6401784813618997</v>
      </c>
      <c r="R42" s="858" t="str">
        <f t="shared" si="6"/>
        <v>B</v>
      </c>
      <c r="S42" s="81"/>
      <c r="T42" s="410">
        <f t="shared" si="7"/>
        <v>2110539.7000000007</v>
      </c>
      <c r="U42" s="69"/>
      <c r="V42" s="69"/>
      <c r="W42" s="69"/>
      <c r="X42" s="69"/>
      <c r="Y42" s="69"/>
      <c r="Z42" s="69"/>
      <c r="AA42" s="69"/>
      <c r="AB42" s="69"/>
      <c r="AC42" s="69"/>
      <c r="AD42" s="69"/>
      <c r="AE42" s="69"/>
      <c r="AF42" s="69"/>
      <c r="AG42" s="69"/>
      <c r="AH42" s="69"/>
      <c r="AI42" s="69"/>
      <c r="AJ42" s="69"/>
      <c r="AK42" s="69"/>
      <c r="AL42" s="69"/>
      <c r="AM42" s="69"/>
      <c r="AN42" s="69"/>
      <c r="AO42" s="69"/>
      <c r="AP42" s="69"/>
      <c r="AQ42" s="69"/>
    </row>
    <row r="43" spans="5:43" s="745" customFormat="1" ht="38.25">
      <c r="E43" s="69"/>
      <c r="F43" s="910" t="s">
        <v>2239</v>
      </c>
      <c r="G43" s="911" t="s">
        <v>8489</v>
      </c>
      <c r="H43" s="913" t="s">
        <v>8481</v>
      </c>
      <c r="I43" s="914" t="s">
        <v>648</v>
      </c>
      <c r="J43" s="920">
        <v>242</v>
      </c>
      <c r="K43" s="1012">
        <f>IF($G43="","",IFERROR(VLOOKUP($G43,SERVIÇOS!$C:$H,6,0),IFERROR(VLOOKUP($G43,CPU!$F:$M,8,0),"")))</f>
        <v>52.430000000000007</v>
      </c>
      <c r="L43" s="855">
        <f t="shared" si="0"/>
        <v>0.2354</v>
      </c>
      <c r="M43" s="825">
        <f t="shared" si="1"/>
        <v>64.77</v>
      </c>
      <c r="N43" s="826">
        <f t="shared" si="2"/>
        <v>15674.34</v>
      </c>
      <c r="O43" s="856">
        <f t="shared" si="3"/>
        <v>1366796.4399999997</v>
      </c>
      <c r="P43" s="857">
        <f t="shared" si="4"/>
        <v>7.4266975409180858E-3</v>
      </c>
      <c r="Q43" s="857">
        <f t="shared" si="5"/>
        <v>0.64760517890281777</v>
      </c>
      <c r="R43" s="858" t="str">
        <f t="shared" si="6"/>
        <v>B</v>
      </c>
      <c r="S43" s="81"/>
      <c r="T43" s="410">
        <f t="shared" si="7"/>
        <v>2110539.7000000007</v>
      </c>
      <c r="U43" s="69"/>
      <c r="V43" s="69"/>
      <c r="W43" s="69"/>
      <c r="X43" s="69"/>
      <c r="Y43" s="69"/>
      <c r="Z43" s="69"/>
      <c r="AA43" s="69"/>
      <c r="AB43" s="69"/>
      <c r="AC43" s="69"/>
      <c r="AD43" s="69"/>
      <c r="AE43" s="69"/>
      <c r="AF43" s="69"/>
      <c r="AG43" s="69"/>
      <c r="AH43" s="69"/>
      <c r="AI43" s="69"/>
      <c r="AJ43" s="69"/>
      <c r="AK43" s="69"/>
      <c r="AL43" s="69"/>
      <c r="AM43" s="69"/>
      <c r="AN43" s="69"/>
      <c r="AO43" s="69"/>
      <c r="AP43" s="69"/>
      <c r="AQ43" s="69"/>
    </row>
    <row r="44" spans="5:43" s="745" customFormat="1">
      <c r="E44" s="69"/>
      <c r="F44" s="910" t="s">
        <v>2239</v>
      </c>
      <c r="G44" s="911" t="s">
        <v>8661</v>
      </c>
      <c r="H44" s="913" t="s">
        <v>8665</v>
      </c>
      <c r="I44" s="914" t="s">
        <v>648</v>
      </c>
      <c r="J44" s="920">
        <v>23.85</v>
      </c>
      <c r="K44" s="1012">
        <f>IF($G44="","",IFERROR(VLOOKUP($G44,SERVIÇOS!$C:$H,6,0),IFERROR(VLOOKUP($G44,CPU!$F:$M,8,0),"")))</f>
        <v>489.37</v>
      </c>
      <c r="L44" s="855">
        <f t="shared" si="0"/>
        <v>0.2354</v>
      </c>
      <c r="M44" s="825">
        <f t="shared" si="1"/>
        <v>604.57000000000005</v>
      </c>
      <c r="N44" s="826">
        <f t="shared" si="2"/>
        <v>14418.99</v>
      </c>
      <c r="O44" s="856">
        <f t="shared" si="3"/>
        <v>1381215.4299999997</v>
      </c>
      <c r="P44" s="857">
        <f t="shared" si="4"/>
        <v>6.8318970735305263E-3</v>
      </c>
      <c r="Q44" s="857">
        <f t="shared" si="5"/>
        <v>0.65443707597634826</v>
      </c>
      <c r="R44" s="858" t="str">
        <f t="shared" si="6"/>
        <v>B</v>
      </c>
      <c r="S44" s="81"/>
      <c r="T44" s="410">
        <f t="shared" si="7"/>
        <v>2110539.7000000007</v>
      </c>
      <c r="U44" s="69"/>
      <c r="V44" s="69"/>
      <c r="W44" s="69"/>
      <c r="X44" s="744"/>
      <c r="Y44" s="744"/>
      <c r="Z44" s="744"/>
      <c r="AA44" s="744"/>
      <c r="AB44" s="744"/>
      <c r="AC44" s="744"/>
      <c r="AD44" s="744"/>
      <c r="AE44" s="744"/>
      <c r="AF44" s="744"/>
      <c r="AG44" s="744"/>
      <c r="AH44" s="744"/>
      <c r="AI44" s="744"/>
      <c r="AJ44" s="744"/>
      <c r="AK44" s="744"/>
      <c r="AL44" s="744"/>
      <c r="AM44" s="744"/>
      <c r="AN44" s="744"/>
      <c r="AO44" s="744"/>
      <c r="AP44" s="744"/>
      <c r="AQ44" s="744"/>
    </row>
    <row r="45" spans="5:43" s="745" customFormat="1" ht="25.5">
      <c r="E45" s="69"/>
      <c r="F45" s="910" t="s">
        <v>2239</v>
      </c>
      <c r="G45" s="911" t="s">
        <v>8639</v>
      </c>
      <c r="H45" s="913" t="s">
        <v>8640</v>
      </c>
      <c r="I45" s="914" t="s">
        <v>649</v>
      </c>
      <c r="J45" s="920">
        <v>11.76</v>
      </c>
      <c r="K45" s="1012">
        <f>IF($G45="","",IFERROR(VLOOKUP($G45,SERVIÇOS!$C:$H,6,0),IFERROR(VLOOKUP($G45,CPU!$F:$M,8,0),"")))</f>
        <v>962.7</v>
      </c>
      <c r="L45" s="855">
        <f t="shared" si="0"/>
        <v>0.2354</v>
      </c>
      <c r="M45" s="825">
        <f t="shared" si="1"/>
        <v>1189.32</v>
      </c>
      <c r="N45" s="826">
        <f t="shared" si="2"/>
        <v>13986.4</v>
      </c>
      <c r="O45" s="856">
        <f t="shared" si="3"/>
        <v>1395201.8299999996</v>
      </c>
      <c r="P45" s="857">
        <f t="shared" si="4"/>
        <v>6.6269305429317417E-3</v>
      </c>
      <c r="Q45" s="857">
        <f t="shared" si="5"/>
        <v>0.66106400651927999</v>
      </c>
      <c r="R45" s="858" t="str">
        <f t="shared" si="6"/>
        <v>B</v>
      </c>
      <c r="S45" s="81"/>
      <c r="T45" s="410">
        <f t="shared" si="7"/>
        <v>2110539.7000000007</v>
      </c>
      <c r="U45" s="69"/>
      <c r="V45" s="69"/>
      <c r="W45" s="69"/>
      <c r="X45" s="744"/>
      <c r="Y45" s="744"/>
      <c r="Z45" s="744"/>
      <c r="AA45" s="744"/>
      <c r="AB45" s="744"/>
      <c r="AC45" s="744"/>
      <c r="AD45" s="744"/>
      <c r="AE45" s="744"/>
      <c r="AF45" s="744"/>
      <c r="AG45" s="744"/>
      <c r="AH45" s="744"/>
      <c r="AI45" s="744"/>
      <c r="AJ45" s="744"/>
      <c r="AK45" s="744"/>
      <c r="AL45" s="744"/>
      <c r="AM45" s="744"/>
      <c r="AN45" s="744"/>
      <c r="AO45" s="744"/>
      <c r="AP45" s="744"/>
      <c r="AQ45" s="744"/>
    </row>
    <row r="46" spans="5:43" s="745" customFormat="1">
      <c r="E46" s="69"/>
      <c r="F46" s="910" t="s">
        <v>2239</v>
      </c>
      <c r="G46" s="915" t="s">
        <v>8951</v>
      </c>
      <c r="H46" s="916" t="s">
        <v>8953</v>
      </c>
      <c r="I46" s="917" t="s">
        <v>648</v>
      </c>
      <c r="J46" s="1014">
        <v>37</v>
      </c>
      <c r="K46" s="1012">
        <f>IF($G46="","",IFERROR(VLOOKUP($G46,SERVIÇOS!$C:$H,6,0),IFERROR(VLOOKUP($G46,CPU!$F:$M,8,0),"")))</f>
        <v>304.05</v>
      </c>
      <c r="L46" s="855">
        <f t="shared" si="0"/>
        <v>0.2354</v>
      </c>
      <c r="M46" s="825">
        <f t="shared" si="1"/>
        <v>375.62</v>
      </c>
      <c r="N46" s="826">
        <f t="shared" si="2"/>
        <v>13897.94</v>
      </c>
      <c r="O46" s="856">
        <f t="shared" si="3"/>
        <v>1409099.7699999996</v>
      </c>
      <c r="P46" s="857">
        <f t="shared" si="4"/>
        <v>6.5850170930212759E-3</v>
      </c>
      <c r="Q46" s="857">
        <f t="shared" si="5"/>
        <v>0.66764902361230127</v>
      </c>
      <c r="R46" s="858" t="str">
        <f t="shared" si="6"/>
        <v>B</v>
      </c>
      <c r="S46" s="81"/>
      <c r="T46" s="410">
        <f t="shared" si="7"/>
        <v>2110539.7000000007</v>
      </c>
      <c r="U46" s="69"/>
      <c r="V46" s="69"/>
      <c r="W46" s="69"/>
      <c r="X46" s="744"/>
      <c r="Y46" s="744"/>
      <c r="Z46" s="744"/>
      <c r="AA46" s="744"/>
      <c r="AB46" s="744"/>
      <c r="AC46" s="744"/>
      <c r="AD46" s="744"/>
      <c r="AE46" s="744"/>
      <c r="AF46" s="744"/>
      <c r="AG46" s="744"/>
      <c r="AH46" s="744"/>
      <c r="AI46" s="744"/>
      <c r="AJ46" s="744"/>
      <c r="AK46" s="744"/>
      <c r="AL46" s="744"/>
      <c r="AM46" s="744"/>
      <c r="AN46" s="744"/>
      <c r="AO46" s="744"/>
      <c r="AP46" s="744"/>
      <c r="AQ46" s="744"/>
    </row>
    <row r="47" spans="5:43" s="745" customFormat="1">
      <c r="E47" s="69"/>
      <c r="F47" s="910" t="s">
        <v>2239</v>
      </c>
      <c r="G47" s="911" t="s">
        <v>8673</v>
      </c>
      <c r="H47" s="913" t="s">
        <v>8674</v>
      </c>
      <c r="I47" s="914" t="s">
        <v>648</v>
      </c>
      <c r="J47" s="920">
        <v>69.8</v>
      </c>
      <c r="K47" s="1012">
        <f>IF($G47="","",IFERROR(VLOOKUP($G47,SERVIÇOS!$C:$H,6,0),IFERROR(VLOOKUP($G47,CPU!$F:$M,8,0),"")))</f>
        <v>156.74</v>
      </c>
      <c r="L47" s="855">
        <f t="shared" si="0"/>
        <v>0.2354</v>
      </c>
      <c r="M47" s="825">
        <f t="shared" si="1"/>
        <v>193.64</v>
      </c>
      <c r="N47" s="826">
        <f t="shared" si="2"/>
        <v>13516.07</v>
      </c>
      <c r="O47" s="856">
        <f t="shared" si="3"/>
        <v>1422615.8399999996</v>
      </c>
      <c r="P47" s="857">
        <f t="shared" si="4"/>
        <v>6.4040823302210313E-3</v>
      </c>
      <c r="Q47" s="857">
        <f t="shared" si="5"/>
        <v>0.67405310594252232</v>
      </c>
      <c r="R47" s="858" t="str">
        <f t="shared" si="6"/>
        <v>B</v>
      </c>
      <c r="S47" s="81"/>
      <c r="T47" s="410">
        <f t="shared" si="7"/>
        <v>2110539.7000000007</v>
      </c>
      <c r="U47" s="69"/>
      <c r="V47" s="69"/>
      <c r="W47" s="69"/>
      <c r="X47" s="744"/>
      <c r="Y47" s="744"/>
      <c r="Z47" s="744"/>
      <c r="AA47" s="744"/>
      <c r="AB47" s="744"/>
      <c r="AC47" s="744"/>
      <c r="AD47" s="744"/>
      <c r="AE47" s="744"/>
      <c r="AF47" s="744"/>
      <c r="AG47" s="744"/>
      <c r="AH47" s="744"/>
      <c r="AI47" s="744"/>
      <c r="AJ47" s="744"/>
      <c r="AK47" s="744"/>
      <c r="AL47" s="744"/>
      <c r="AM47" s="744"/>
      <c r="AN47" s="744"/>
      <c r="AO47" s="744"/>
      <c r="AP47" s="744"/>
      <c r="AQ47" s="744"/>
    </row>
    <row r="48" spans="5:43" s="745" customFormat="1" ht="38.25">
      <c r="E48" s="69"/>
      <c r="F48" s="910" t="s">
        <v>2239</v>
      </c>
      <c r="G48" s="911" t="s">
        <v>5272</v>
      </c>
      <c r="H48" s="913" t="s">
        <v>8458</v>
      </c>
      <c r="I48" s="914" t="s">
        <v>645</v>
      </c>
      <c r="J48" s="920">
        <v>790.80000000000007</v>
      </c>
      <c r="K48" s="1012">
        <f>IF($G48="","",IFERROR(VLOOKUP($G48,SERVIÇOS!$C:$H,6,0),IFERROR(VLOOKUP($G48,CPU!$F:$M,8,0),"")))</f>
        <v>13.64</v>
      </c>
      <c r="L48" s="855">
        <f t="shared" si="0"/>
        <v>0.2354</v>
      </c>
      <c r="M48" s="825">
        <f t="shared" si="1"/>
        <v>16.850000000000001</v>
      </c>
      <c r="N48" s="826">
        <f t="shared" si="2"/>
        <v>13324.98</v>
      </c>
      <c r="O48" s="856">
        <f t="shared" si="3"/>
        <v>1435940.8199999996</v>
      </c>
      <c r="P48" s="857">
        <f t="shared" si="4"/>
        <v>6.313541507890136E-3</v>
      </c>
      <c r="Q48" s="857">
        <f t="shared" si="5"/>
        <v>0.68036664745041242</v>
      </c>
      <c r="R48" s="858" t="str">
        <f t="shared" si="6"/>
        <v>B</v>
      </c>
      <c r="S48" s="81"/>
      <c r="T48" s="410">
        <f t="shared" si="7"/>
        <v>2110539.7000000007</v>
      </c>
      <c r="U48" s="69"/>
      <c r="V48" s="69"/>
      <c r="W48" s="69"/>
      <c r="X48" s="744"/>
      <c r="Y48" s="744"/>
      <c r="Z48" s="744"/>
      <c r="AA48" s="744"/>
      <c r="AB48" s="744"/>
      <c r="AC48" s="744"/>
      <c r="AD48" s="744"/>
      <c r="AE48" s="744"/>
      <c r="AF48" s="744"/>
      <c r="AG48" s="744"/>
      <c r="AH48" s="744"/>
      <c r="AI48" s="744"/>
      <c r="AJ48" s="744"/>
      <c r="AK48" s="744"/>
      <c r="AL48" s="744"/>
      <c r="AM48" s="744"/>
      <c r="AN48" s="744"/>
      <c r="AO48" s="744"/>
      <c r="AP48" s="744"/>
      <c r="AQ48" s="744"/>
    </row>
    <row r="49" spans="5:43" s="745" customFormat="1" ht="25.5">
      <c r="E49" s="69"/>
      <c r="F49" s="910" t="s">
        <v>2239</v>
      </c>
      <c r="G49" s="911" t="s">
        <v>8637</v>
      </c>
      <c r="H49" s="913" t="s">
        <v>8638</v>
      </c>
      <c r="I49" s="914" t="s">
        <v>649</v>
      </c>
      <c r="J49" s="920">
        <v>10.58</v>
      </c>
      <c r="K49" s="1012">
        <f>IF($G49="","",IFERROR(VLOOKUP($G49,SERVIÇOS!$C:$H,6,0),IFERROR(VLOOKUP($G49,CPU!$F:$M,8,0),"")))</f>
        <v>977.08</v>
      </c>
      <c r="L49" s="855">
        <f t="shared" si="0"/>
        <v>0.2354</v>
      </c>
      <c r="M49" s="825">
        <f t="shared" si="1"/>
        <v>1207.08</v>
      </c>
      <c r="N49" s="826">
        <f t="shared" si="2"/>
        <v>12770.91</v>
      </c>
      <c r="O49" s="856">
        <f t="shared" si="3"/>
        <v>1448711.7299999995</v>
      </c>
      <c r="P49" s="857">
        <f t="shared" si="4"/>
        <v>6.0510162400640912E-3</v>
      </c>
      <c r="Q49" s="857">
        <f t="shared" si="5"/>
        <v>0.68641766369047652</v>
      </c>
      <c r="R49" s="858" t="str">
        <f t="shared" si="6"/>
        <v>B</v>
      </c>
      <c r="S49" s="81"/>
      <c r="T49" s="410">
        <f t="shared" si="7"/>
        <v>2110539.7000000007</v>
      </c>
      <c r="U49" s="69"/>
      <c r="V49" s="69"/>
      <c r="W49" s="69"/>
      <c r="X49" s="69"/>
      <c r="Y49" s="69"/>
      <c r="Z49" s="69"/>
      <c r="AA49" s="69"/>
      <c r="AB49" s="69"/>
      <c r="AC49" s="69"/>
      <c r="AD49" s="69"/>
      <c r="AE49" s="69"/>
      <c r="AF49" s="69"/>
      <c r="AG49" s="69"/>
      <c r="AH49" s="69"/>
      <c r="AI49" s="69"/>
      <c r="AJ49" s="69"/>
      <c r="AK49" s="69"/>
      <c r="AL49" s="69"/>
      <c r="AM49" s="69"/>
      <c r="AN49" s="69"/>
      <c r="AO49" s="69"/>
      <c r="AP49" s="69"/>
      <c r="AQ49" s="69"/>
    </row>
    <row r="50" spans="5:43" s="745" customFormat="1" ht="38.25">
      <c r="E50" s="69"/>
      <c r="F50" s="910" t="s">
        <v>2238</v>
      </c>
      <c r="G50" s="911">
        <v>91790</v>
      </c>
      <c r="H50" s="913" t="s">
        <v>1572</v>
      </c>
      <c r="I50" s="914" t="s">
        <v>648</v>
      </c>
      <c r="J50" s="920">
        <v>113.6</v>
      </c>
      <c r="K50" s="1012">
        <f>IF($G50="","",IFERROR(VLOOKUP($G50,SERVIÇOS!$C:$H,6,0),IFERROR(VLOOKUP($G50,CPU!$F:$M,8,0),"")))</f>
        <v>90.41</v>
      </c>
      <c r="L50" s="855">
        <f t="shared" si="0"/>
        <v>0.2354</v>
      </c>
      <c r="M50" s="825">
        <f t="shared" si="1"/>
        <v>111.69</v>
      </c>
      <c r="N50" s="826">
        <f t="shared" si="2"/>
        <v>12687.98</v>
      </c>
      <c r="O50" s="856">
        <f t="shared" si="3"/>
        <v>1461399.7099999995</v>
      </c>
      <c r="P50" s="857">
        <f t="shared" si="4"/>
        <v>6.0117229730385999E-3</v>
      </c>
      <c r="Q50" s="857">
        <f t="shared" si="5"/>
        <v>0.69242938666351517</v>
      </c>
      <c r="R50" s="858" t="str">
        <f t="shared" si="6"/>
        <v>B</v>
      </c>
      <c r="S50" s="81"/>
      <c r="T50" s="410">
        <f t="shared" si="7"/>
        <v>2110539.7000000007</v>
      </c>
      <c r="U50" s="69"/>
      <c r="V50" s="69"/>
      <c r="W50" s="69"/>
      <c r="X50" s="69"/>
      <c r="Y50" s="69"/>
      <c r="Z50" s="69"/>
      <c r="AA50" s="69"/>
      <c r="AB50" s="69"/>
      <c r="AC50" s="69"/>
      <c r="AD50" s="69"/>
      <c r="AE50" s="69"/>
      <c r="AF50" s="69"/>
      <c r="AG50" s="69"/>
      <c r="AH50" s="69"/>
      <c r="AI50" s="69"/>
      <c r="AJ50" s="69"/>
      <c r="AK50" s="69"/>
      <c r="AL50" s="69"/>
      <c r="AM50" s="69"/>
      <c r="AN50" s="69"/>
      <c r="AO50" s="69"/>
      <c r="AP50" s="69"/>
      <c r="AQ50" s="69"/>
    </row>
    <row r="51" spans="5:43" s="745" customFormat="1" ht="38.25">
      <c r="E51" s="69"/>
      <c r="F51" s="910" t="s">
        <v>2238</v>
      </c>
      <c r="G51" s="911">
        <v>87775</v>
      </c>
      <c r="H51" s="913" t="s">
        <v>319</v>
      </c>
      <c r="I51" s="914" t="s">
        <v>649</v>
      </c>
      <c r="J51" s="920">
        <v>165.88</v>
      </c>
      <c r="K51" s="1012">
        <f>IF($G51="","",IFERROR(VLOOKUP($G51,SERVIÇOS!$C:$H,6,0),IFERROR(VLOOKUP($G51,CPU!$F:$M,8,0),"")))</f>
        <v>60.1</v>
      </c>
      <c r="L51" s="855">
        <f t="shared" si="0"/>
        <v>0.2354</v>
      </c>
      <c r="M51" s="825">
        <f t="shared" si="1"/>
        <v>74.25</v>
      </c>
      <c r="N51" s="826">
        <f t="shared" si="2"/>
        <v>12316.59</v>
      </c>
      <c r="O51" s="856">
        <f t="shared" si="3"/>
        <v>1473716.2999999996</v>
      </c>
      <c r="P51" s="857">
        <f t="shared" si="4"/>
        <v>5.8357537647834795E-3</v>
      </c>
      <c r="Q51" s="857">
        <f t="shared" si="5"/>
        <v>0.69826514042829868</v>
      </c>
      <c r="R51" s="858" t="str">
        <f t="shared" si="6"/>
        <v>B</v>
      </c>
      <c r="S51" s="81"/>
      <c r="T51" s="410">
        <f t="shared" si="7"/>
        <v>2110539.7000000007</v>
      </c>
      <c r="U51" s="69"/>
      <c r="V51" s="69"/>
      <c r="W51" s="69"/>
      <c r="X51" s="744"/>
      <c r="Y51" s="744"/>
      <c r="Z51" s="744"/>
      <c r="AA51" s="744"/>
      <c r="AB51" s="744"/>
      <c r="AC51" s="744"/>
      <c r="AD51" s="744"/>
      <c r="AE51" s="744"/>
      <c r="AF51" s="744"/>
      <c r="AG51" s="744"/>
      <c r="AH51" s="744"/>
      <c r="AI51" s="744"/>
      <c r="AJ51" s="744"/>
      <c r="AK51" s="744"/>
      <c r="AL51" s="744"/>
      <c r="AM51" s="744"/>
      <c r="AN51" s="744"/>
      <c r="AO51" s="744"/>
      <c r="AP51" s="744"/>
      <c r="AQ51" s="744"/>
    </row>
    <row r="52" spans="5:43" s="745" customFormat="1" ht="25.5">
      <c r="E52" s="69"/>
      <c r="F52" s="910" t="s">
        <v>2238</v>
      </c>
      <c r="G52" s="911">
        <v>93208</v>
      </c>
      <c r="H52" s="913" t="s">
        <v>940</v>
      </c>
      <c r="I52" s="914" t="s">
        <v>649</v>
      </c>
      <c r="J52" s="920">
        <v>9</v>
      </c>
      <c r="K52" s="1012">
        <f>IF($G52="","",IFERROR(VLOOKUP($G52,SERVIÇOS!$C:$H,6,0),IFERROR(VLOOKUP($G52,CPU!$F:$M,8,0),"")))</f>
        <v>1052.29</v>
      </c>
      <c r="L52" s="855">
        <f t="shared" si="0"/>
        <v>0.2354</v>
      </c>
      <c r="M52" s="825">
        <f t="shared" si="1"/>
        <v>1300</v>
      </c>
      <c r="N52" s="826">
        <f t="shared" si="2"/>
        <v>11700</v>
      </c>
      <c r="O52" s="856">
        <f t="shared" si="3"/>
        <v>1485416.2999999996</v>
      </c>
      <c r="P52" s="857">
        <f t="shared" si="4"/>
        <v>5.5436057421710651E-3</v>
      </c>
      <c r="Q52" s="857">
        <f t="shared" si="5"/>
        <v>0.70380874617046973</v>
      </c>
      <c r="R52" s="858" t="str">
        <f t="shared" si="6"/>
        <v>B</v>
      </c>
      <c r="S52" s="81"/>
      <c r="T52" s="410">
        <f t="shared" si="7"/>
        <v>2110539.7000000007</v>
      </c>
      <c r="U52" s="69"/>
      <c r="V52" s="69"/>
      <c r="W52" s="69"/>
      <c r="X52" s="69"/>
      <c r="Y52" s="69"/>
      <c r="Z52" s="69"/>
      <c r="AA52" s="69"/>
      <c r="AB52" s="69"/>
      <c r="AC52" s="69"/>
      <c r="AD52" s="69"/>
      <c r="AE52" s="69"/>
      <c r="AF52" s="69"/>
      <c r="AG52" s="69"/>
      <c r="AH52" s="69"/>
      <c r="AI52" s="69"/>
      <c r="AJ52" s="69"/>
      <c r="AK52" s="69"/>
      <c r="AL52" s="69"/>
      <c r="AM52" s="69"/>
      <c r="AN52" s="69"/>
      <c r="AO52" s="69"/>
      <c r="AP52" s="69"/>
      <c r="AQ52" s="69"/>
    </row>
    <row r="53" spans="5:43" s="745" customFormat="1">
      <c r="E53" s="69"/>
      <c r="F53" s="910" t="s">
        <v>2239</v>
      </c>
      <c r="G53" s="911" t="s">
        <v>8415</v>
      </c>
      <c r="H53" s="913" t="s">
        <v>8417</v>
      </c>
      <c r="I53" s="914" t="s">
        <v>649</v>
      </c>
      <c r="J53" s="920">
        <v>478.73</v>
      </c>
      <c r="K53" s="1012">
        <f>IF($G53="","",IFERROR(VLOOKUP($G53,SERVIÇOS!$C:$H,6,0),IFERROR(VLOOKUP($G53,CPU!$F:$M,8,0),"")))</f>
        <v>19.209999999999997</v>
      </c>
      <c r="L53" s="855">
        <f t="shared" si="0"/>
        <v>0.2354</v>
      </c>
      <c r="M53" s="825">
        <f t="shared" si="1"/>
        <v>23.73</v>
      </c>
      <c r="N53" s="826">
        <f t="shared" si="2"/>
        <v>11360.26</v>
      </c>
      <c r="O53" s="856">
        <f t="shared" si="3"/>
        <v>1496776.5599999996</v>
      </c>
      <c r="P53" s="857">
        <f t="shared" si="4"/>
        <v>5.382632698167202E-3</v>
      </c>
      <c r="Q53" s="857">
        <f t="shared" si="5"/>
        <v>0.70919137886863692</v>
      </c>
      <c r="R53" s="858" t="str">
        <f t="shared" si="6"/>
        <v>B</v>
      </c>
      <c r="S53" s="81"/>
      <c r="T53" s="410">
        <f t="shared" si="7"/>
        <v>2110539.7000000007</v>
      </c>
      <c r="U53" s="69"/>
      <c r="V53" s="69"/>
      <c r="W53" s="69"/>
      <c r="X53" s="69"/>
      <c r="Y53" s="69"/>
      <c r="Z53" s="69"/>
      <c r="AA53" s="69"/>
      <c r="AB53" s="69"/>
      <c r="AC53" s="69"/>
      <c r="AD53" s="69"/>
      <c r="AE53" s="69"/>
      <c r="AF53" s="69"/>
      <c r="AG53" s="69"/>
      <c r="AH53" s="69"/>
      <c r="AI53" s="69"/>
      <c r="AJ53" s="69"/>
      <c r="AK53" s="69"/>
      <c r="AL53" s="69"/>
      <c r="AM53" s="69"/>
      <c r="AN53" s="69"/>
      <c r="AO53" s="69"/>
      <c r="AP53" s="69"/>
      <c r="AQ53" s="69"/>
    </row>
    <row r="54" spans="5:43" s="745" customFormat="1" ht="38.25">
      <c r="E54" s="69"/>
      <c r="F54" s="910" t="s">
        <v>2238</v>
      </c>
      <c r="G54" s="911">
        <v>91793</v>
      </c>
      <c r="H54" s="913" t="s">
        <v>1419</v>
      </c>
      <c r="I54" s="914" t="s">
        <v>648</v>
      </c>
      <c r="J54" s="920">
        <v>76.399999999999991</v>
      </c>
      <c r="K54" s="1012">
        <f>IF($G54="","",IFERROR(VLOOKUP($G54,SERVIÇOS!$C:$H,6,0),IFERROR(VLOOKUP($G54,CPU!$F:$M,8,0),"")))</f>
        <v>102.4</v>
      </c>
      <c r="L54" s="855">
        <f t="shared" si="0"/>
        <v>0.2354</v>
      </c>
      <c r="M54" s="825">
        <f t="shared" si="1"/>
        <v>126.5</v>
      </c>
      <c r="N54" s="826">
        <f t="shared" si="2"/>
        <v>9664.6</v>
      </c>
      <c r="O54" s="856">
        <f t="shared" si="3"/>
        <v>1506441.1599999997</v>
      </c>
      <c r="P54" s="857">
        <f t="shared" si="4"/>
        <v>4.5792078680159378E-3</v>
      </c>
      <c r="Q54" s="857">
        <f t="shared" si="5"/>
        <v>0.71377058673665283</v>
      </c>
      <c r="R54" s="858" t="str">
        <f t="shared" si="6"/>
        <v>B</v>
      </c>
      <c r="S54" s="81"/>
      <c r="T54" s="410">
        <f t="shared" si="7"/>
        <v>2110539.7000000007</v>
      </c>
      <c r="U54" s="69"/>
      <c r="V54" s="69"/>
      <c r="W54" s="69"/>
      <c r="X54" s="744"/>
      <c r="Y54" s="744"/>
      <c r="Z54" s="744"/>
      <c r="AA54" s="744"/>
      <c r="AB54" s="744"/>
      <c r="AC54" s="744"/>
      <c r="AD54" s="744"/>
      <c r="AE54" s="744"/>
      <c r="AF54" s="744"/>
      <c r="AG54" s="744"/>
      <c r="AH54" s="744"/>
      <c r="AI54" s="744"/>
      <c r="AJ54" s="744"/>
      <c r="AK54" s="744"/>
      <c r="AL54" s="744"/>
      <c r="AM54" s="744"/>
      <c r="AN54" s="744"/>
      <c r="AO54" s="744"/>
      <c r="AP54" s="744"/>
      <c r="AQ54" s="744"/>
    </row>
    <row r="55" spans="5:43" s="745" customFormat="1">
      <c r="E55" s="69"/>
      <c r="F55" s="910" t="s">
        <v>2239</v>
      </c>
      <c r="G55" s="911" t="s">
        <v>6810</v>
      </c>
      <c r="H55" s="913" t="s">
        <v>6958</v>
      </c>
      <c r="I55" s="914" t="s">
        <v>648</v>
      </c>
      <c r="J55" s="920">
        <v>791</v>
      </c>
      <c r="K55" s="1012">
        <f>IF($G55="","",IFERROR(VLOOKUP($G55,SERVIÇOS!$C:$H,6,0),IFERROR(VLOOKUP($G55,CPU!$F:$M,8,0),"")))</f>
        <v>9.6499999999999986</v>
      </c>
      <c r="L55" s="855">
        <f t="shared" si="0"/>
        <v>0.2354</v>
      </c>
      <c r="M55" s="825">
        <f t="shared" si="1"/>
        <v>11.92</v>
      </c>
      <c r="N55" s="826">
        <f t="shared" si="2"/>
        <v>9428.7199999999993</v>
      </c>
      <c r="O55" s="856">
        <f t="shared" si="3"/>
        <v>1515869.8799999997</v>
      </c>
      <c r="P55" s="857">
        <f t="shared" si="4"/>
        <v>4.4674449857541165E-3</v>
      </c>
      <c r="Q55" s="857">
        <f t="shared" si="5"/>
        <v>0.71823803172240697</v>
      </c>
      <c r="R55" s="858" t="str">
        <f t="shared" si="6"/>
        <v>B</v>
      </c>
      <c r="S55" s="81"/>
      <c r="T55" s="410">
        <f t="shared" si="7"/>
        <v>2110539.7000000007</v>
      </c>
      <c r="U55" s="69"/>
      <c r="V55" s="69"/>
      <c r="W55" s="69"/>
      <c r="X55" s="69"/>
      <c r="Y55" s="69"/>
      <c r="Z55" s="69"/>
      <c r="AA55" s="69"/>
      <c r="AB55" s="69"/>
      <c r="AC55" s="69"/>
      <c r="AD55" s="69"/>
      <c r="AE55" s="69"/>
      <c r="AF55" s="69"/>
      <c r="AG55" s="69"/>
      <c r="AH55" s="69"/>
      <c r="AI55" s="69"/>
      <c r="AJ55" s="69"/>
      <c r="AK55" s="69"/>
      <c r="AL55" s="69"/>
      <c r="AM55" s="69"/>
      <c r="AN55" s="69"/>
      <c r="AO55" s="69"/>
      <c r="AP55" s="69"/>
      <c r="AQ55" s="69"/>
    </row>
    <row r="56" spans="5:43" s="745" customFormat="1" ht="25.5">
      <c r="E56" s="69"/>
      <c r="F56" s="910" t="s">
        <v>2239</v>
      </c>
      <c r="G56" s="911" t="s">
        <v>881</v>
      </c>
      <c r="H56" s="913" t="s">
        <v>9293</v>
      </c>
      <c r="I56" s="914" t="s">
        <v>2672</v>
      </c>
      <c r="J56" s="920">
        <v>10</v>
      </c>
      <c r="K56" s="1012">
        <f>IF($G56="","",IFERROR(VLOOKUP($G56,SERVIÇOS!$C:$H,6,0),IFERROR(VLOOKUP($G56,CPU!$F:$M,8,0),"")))</f>
        <v>762.5</v>
      </c>
      <c r="L56" s="855">
        <f t="shared" si="0"/>
        <v>0.2354</v>
      </c>
      <c r="M56" s="825">
        <f t="shared" si="1"/>
        <v>941.99</v>
      </c>
      <c r="N56" s="826">
        <f t="shared" si="2"/>
        <v>9419.9</v>
      </c>
      <c r="O56" s="856">
        <f t="shared" si="3"/>
        <v>1525289.7799999996</v>
      </c>
      <c r="P56" s="857">
        <f t="shared" si="4"/>
        <v>4.4632659598869409E-3</v>
      </c>
      <c r="Q56" s="857">
        <f t="shared" si="5"/>
        <v>0.72270129768229385</v>
      </c>
      <c r="R56" s="858" t="str">
        <f t="shared" si="6"/>
        <v>B</v>
      </c>
      <c r="S56" s="81"/>
      <c r="T56" s="410">
        <f t="shared" si="7"/>
        <v>2110539.7000000007</v>
      </c>
      <c r="U56" s="69"/>
      <c r="V56" s="69"/>
      <c r="W56" s="69"/>
      <c r="X56" s="744"/>
      <c r="Y56" s="744"/>
      <c r="Z56" s="744"/>
      <c r="AA56" s="744"/>
      <c r="AB56" s="744"/>
      <c r="AC56" s="744"/>
      <c r="AD56" s="744"/>
      <c r="AE56" s="744"/>
      <c r="AF56" s="744"/>
      <c r="AG56" s="744"/>
      <c r="AH56" s="744"/>
      <c r="AI56" s="744"/>
      <c r="AJ56" s="744"/>
      <c r="AK56" s="744"/>
      <c r="AL56" s="744"/>
      <c r="AM56" s="744"/>
      <c r="AN56" s="744"/>
      <c r="AO56" s="744"/>
      <c r="AP56" s="744"/>
      <c r="AQ56" s="744"/>
    </row>
    <row r="57" spans="5:43" s="745" customFormat="1" ht="38.25">
      <c r="E57" s="69"/>
      <c r="F57" s="910" t="s">
        <v>2238</v>
      </c>
      <c r="G57" s="911">
        <v>91791</v>
      </c>
      <c r="H57" s="913" t="s">
        <v>1466</v>
      </c>
      <c r="I57" s="914" t="s">
        <v>648</v>
      </c>
      <c r="J57" s="920">
        <v>61.5</v>
      </c>
      <c r="K57" s="1012">
        <f>IF($G57="","",IFERROR(VLOOKUP($G57,SERVIÇOS!$C:$H,6,0),IFERROR(VLOOKUP($G57,CPU!$F:$M,8,0),"")))</f>
        <v>119.53</v>
      </c>
      <c r="L57" s="855">
        <f t="shared" si="0"/>
        <v>0.2354</v>
      </c>
      <c r="M57" s="825">
        <f t="shared" si="1"/>
        <v>147.66999999999999</v>
      </c>
      <c r="N57" s="826">
        <f t="shared" si="2"/>
        <v>9081.7099999999991</v>
      </c>
      <c r="O57" s="856">
        <f t="shared" si="3"/>
        <v>1534371.4899999995</v>
      </c>
      <c r="P57" s="857">
        <f t="shared" si="4"/>
        <v>4.3030273251908014E-3</v>
      </c>
      <c r="Q57" s="857">
        <f t="shared" si="5"/>
        <v>0.72700432500748469</v>
      </c>
      <c r="R57" s="858" t="str">
        <f t="shared" si="6"/>
        <v>B</v>
      </c>
      <c r="S57" s="81"/>
      <c r="T57" s="410">
        <f t="shared" si="7"/>
        <v>2110539.7000000007</v>
      </c>
      <c r="U57" s="69"/>
      <c r="V57" s="69"/>
      <c r="W57" s="69"/>
      <c r="X57" s="744"/>
      <c r="Y57" s="744"/>
      <c r="Z57" s="744"/>
      <c r="AA57" s="744"/>
      <c r="AB57" s="744"/>
      <c r="AC57" s="744"/>
      <c r="AD57" s="744"/>
      <c r="AE57" s="744"/>
      <c r="AF57" s="744"/>
      <c r="AG57" s="744"/>
      <c r="AH57" s="744"/>
      <c r="AI57" s="744"/>
      <c r="AJ57" s="744"/>
      <c r="AK57" s="744"/>
      <c r="AL57" s="744"/>
      <c r="AM57" s="744"/>
      <c r="AN57" s="744"/>
      <c r="AO57" s="744"/>
      <c r="AP57" s="744"/>
      <c r="AQ57" s="744"/>
    </row>
    <row r="58" spans="5:43" s="745" customFormat="1" ht="38.25">
      <c r="E58" s="69"/>
      <c r="F58" s="910" t="s">
        <v>2238</v>
      </c>
      <c r="G58" s="911">
        <v>92419</v>
      </c>
      <c r="H58" s="913" t="s">
        <v>3979</v>
      </c>
      <c r="I58" s="914" t="s">
        <v>649</v>
      </c>
      <c r="J58" s="920">
        <v>84.65</v>
      </c>
      <c r="K58" s="1012">
        <f>IF($G58="","",IFERROR(VLOOKUP($G58,SERVIÇOS!$C:$H,6,0),IFERROR(VLOOKUP($G58,CPU!$F:$M,8,0),"")))</f>
        <v>85.05</v>
      </c>
      <c r="L58" s="855">
        <f t="shared" si="0"/>
        <v>0.2354</v>
      </c>
      <c r="M58" s="825">
        <f t="shared" si="1"/>
        <v>105.07</v>
      </c>
      <c r="N58" s="826">
        <f t="shared" si="2"/>
        <v>8894.18</v>
      </c>
      <c r="O58" s="856">
        <f t="shared" si="3"/>
        <v>1543265.6699999995</v>
      </c>
      <c r="P58" s="857">
        <f t="shared" si="4"/>
        <v>4.2141732752053879E-3</v>
      </c>
      <c r="Q58" s="857">
        <f t="shared" si="5"/>
        <v>0.73121849828269003</v>
      </c>
      <c r="R58" s="858" t="str">
        <f t="shared" si="6"/>
        <v>B</v>
      </c>
      <c r="S58" s="81"/>
      <c r="T58" s="410">
        <f t="shared" si="7"/>
        <v>2110539.7000000007</v>
      </c>
      <c r="U58" s="69"/>
      <c r="V58" s="69"/>
      <c r="W58" s="69"/>
      <c r="X58" s="744"/>
      <c r="Y58" s="744"/>
      <c r="Z58" s="744"/>
      <c r="AA58" s="744"/>
      <c r="AB58" s="744"/>
      <c r="AC58" s="744"/>
      <c r="AD58" s="744"/>
      <c r="AE58" s="744"/>
      <c r="AF58" s="744"/>
      <c r="AG58" s="744"/>
      <c r="AH58" s="744"/>
      <c r="AI58" s="744"/>
      <c r="AJ58" s="744"/>
      <c r="AK58" s="744"/>
      <c r="AL58" s="744"/>
      <c r="AM58" s="744"/>
      <c r="AN58" s="744"/>
      <c r="AO58" s="744"/>
      <c r="AP58" s="744"/>
      <c r="AQ58" s="744"/>
    </row>
    <row r="59" spans="5:43" s="745" customFormat="1" ht="25.5">
      <c r="E59" s="69"/>
      <c r="F59" s="910" t="s">
        <v>2238</v>
      </c>
      <c r="G59" s="911">
        <v>96977</v>
      </c>
      <c r="H59" s="913" t="s">
        <v>2790</v>
      </c>
      <c r="I59" s="914" t="s">
        <v>648</v>
      </c>
      <c r="J59" s="920">
        <v>120</v>
      </c>
      <c r="K59" s="1012">
        <f>IF($G59="","",IFERROR(VLOOKUP($G59,SERVIÇOS!$C:$H,6,0),IFERROR(VLOOKUP($G59,CPU!$F:$M,8,0),"")))</f>
        <v>59.86</v>
      </c>
      <c r="L59" s="855">
        <f t="shared" si="0"/>
        <v>0.2354</v>
      </c>
      <c r="M59" s="825">
        <f t="shared" si="1"/>
        <v>73.95</v>
      </c>
      <c r="N59" s="826">
        <f t="shared" si="2"/>
        <v>8874</v>
      </c>
      <c r="O59" s="856">
        <f t="shared" si="3"/>
        <v>1552139.6699999995</v>
      </c>
      <c r="P59" s="857">
        <f t="shared" si="4"/>
        <v>4.2046117398312844E-3</v>
      </c>
      <c r="Q59" s="857">
        <f t="shared" si="5"/>
        <v>0.73542311002252136</v>
      </c>
      <c r="R59" s="858" t="str">
        <f t="shared" si="6"/>
        <v>B</v>
      </c>
      <c r="S59" s="81"/>
      <c r="T59" s="410">
        <f t="shared" si="7"/>
        <v>2110539.7000000007</v>
      </c>
      <c r="U59" s="69"/>
      <c r="V59" s="69"/>
      <c r="W59" s="69"/>
      <c r="X59" s="69"/>
      <c r="Y59" s="69"/>
      <c r="Z59" s="69"/>
      <c r="AA59" s="69"/>
      <c r="AB59" s="69"/>
      <c r="AC59" s="69"/>
      <c r="AD59" s="69"/>
      <c r="AE59" s="69"/>
      <c r="AF59" s="69"/>
      <c r="AG59" s="69"/>
      <c r="AH59" s="69"/>
      <c r="AI59" s="69"/>
      <c r="AJ59" s="69"/>
      <c r="AK59" s="69"/>
      <c r="AL59" s="69"/>
      <c r="AM59" s="69"/>
      <c r="AN59" s="69"/>
      <c r="AO59" s="69"/>
      <c r="AP59" s="69"/>
      <c r="AQ59" s="69"/>
    </row>
    <row r="60" spans="5:43" s="745" customFormat="1" ht="25.5">
      <c r="E60" s="69"/>
      <c r="F60" s="910" t="s">
        <v>2238</v>
      </c>
      <c r="G60" s="911">
        <v>94231</v>
      </c>
      <c r="H60" s="913" t="s">
        <v>3202</v>
      </c>
      <c r="I60" s="914" t="s">
        <v>648</v>
      </c>
      <c r="J60" s="920">
        <v>108.17</v>
      </c>
      <c r="K60" s="1012">
        <f>IF($G60="","",IFERROR(VLOOKUP($G60,SERVIÇOS!$C:$H,6,0),IFERROR(VLOOKUP($G60,CPU!$F:$M,8,0),"")))</f>
        <v>62.16</v>
      </c>
      <c r="L60" s="855">
        <f t="shared" si="0"/>
        <v>0.2354</v>
      </c>
      <c r="M60" s="825">
        <f t="shared" si="1"/>
        <v>76.790000000000006</v>
      </c>
      <c r="N60" s="826">
        <f t="shared" si="2"/>
        <v>8306.3700000000008</v>
      </c>
      <c r="O60" s="856">
        <f t="shared" si="3"/>
        <v>1560446.0399999996</v>
      </c>
      <c r="P60" s="857">
        <f t="shared" si="4"/>
        <v>3.9356615750938007E-3</v>
      </c>
      <c r="Q60" s="857">
        <f t="shared" si="5"/>
        <v>0.73935877159761521</v>
      </c>
      <c r="R60" s="858" t="str">
        <f t="shared" si="6"/>
        <v>B</v>
      </c>
      <c r="S60" s="81"/>
      <c r="T60" s="410">
        <f t="shared" si="7"/>
        <v>2110539.7000000007</v>
      </c>
      <c r="U60" s="69"/>
      <c r="V60" s="69"/>
      <c r="W60" s="69"/>
      <c r="X60" s="744"/>
      <c r="Y60" s="744"/>
      <c r="Z60" s="744"/>
      <c r="AA60" s="744"/>
      <c r="AB60" s="744"/>
      <c r="AC60" s="744"/>
      <c r="AD60" s="744"/>
      <c r="AE60" s="744"/>
      <c r="AF60" s="744"/>
      <c r="AG60" s="744"/>
      <c r="AH60" s="744"/>
      <c r="AI60" s="744"/>
      <c r="AJ60" s="744"/>
      <c r="AK60" s="744"/>
      <c r="AL60" s="744"/>
      <c r="AM60" s="744"/>
      <c r="AN60" s="744"/>
      <c r="AO60" s="744"/>
      <c r="AP60" s="744"/>
      <c r="AQ60" s="744"/>
    </row>
    <row r="61" spans="5:43" s="745" customFormat="1">
      <c r="E61" s="69"/>
      <c r="F61" s="910" t="s">
        <v>2238</v>
      </c>
      <c r="G61" s="911">
        <v>96113</v>
      </c>
      <c r="H61" s="913" t="s">
        <v>2652</v>
      </c>
      <c r="I61" s="914" t="s">
        <v>649</v>
      </c>
      <c r="J61" s="920">
        <v>165.23</v>
      </c>
      <c r="K61" s="1012">
        <f>IF($G61="","",IFERROR(VLOOKUP($G61,SERVIÇOS!$C:$H,6,0),IFERROR(VLOOKUP($G61,CPU!$F:$M,8,0),"")))</f>
        <v>40.47</v>
      </c>
      <c r="L61" s="855">
        <f t="shared" si="0"/>
        <v>0.2354</v>
      </c>
      <c r="M61" s="825">
        <f t="shared" si="1"/>
        <v>50</v>
      </c>
      <c r="N61" s="826">
        <f t="shared" si="2"/>
        <v>8261.5</v>
      </c>
      <c r="O61" s="856">
        <f t="shared" si="3"/>
        <v>1568707.5399999996</v>
      </c>
      <c r="P61" s="857">
        <f t="shared" si="4"/>
        <v>3.9144016101663459E-3</v>
      </c>
      <c r="Q61" s="857">
        <f t="shared" si="5"/>
        <v>0.74327317320778152</v>
      </c>
      <c r="R61" s="858" t="str">
        <f t="shared" si="6"/>
        <v>B</v>
      </c>
      <c r="S61" s="81"/>
      <c r="T61" s="410">
        <f t="shared" si="7"/>
        <v>2110539.7000000007</v>
      </c>
      <c r="U61" s="69"/>
      <c r="V61" s="69"/>
      <c r="W61" s="69"/>
      <c r="X61" s="744"/>
      <c r="Y61" s="744"/>
      <c r="Z61" s="744"/>
      <c r="AA61" s="744"/>
      <c r="AB61" s="744"/>
      <c r="AC61" s="744"/>
      <c r="AD61" s="744"/>
      <c r="AE61" s="744"/>
      <c r="AF61" s="744"/>
      <c r="AG61" s="744"/>
      <c r="AH61" s="744"/>
      <c r="AI61" s="744"/>
      <c r="AJ61" s="744"/>
      <c r="AK61" s="744"/>
      <c r="AL61" s="744"/>
      <c r="AM61" s="744"/>
      <c r="AN61" s="744"/>
      <c r="AO61" s="744"/>
      <c r="AP61" s="744"/>
      <c r="AQ61" s="744"/>
    </row>
    <row r="62" spans="5:43" s="745" customFormat="1" ht="25.5">
      <c r="E62" s="69"/>
      <c r="F62" s="910" t="s">
        <v>2239</v>
      </c>
      <c r="G62" s="911" t="s">
        <v>8663</v>
      </c>
      <c r="H62" s="913" t="s">
        <v>9138</v>
      </c>
      <c r="I62" s="914" t="s">
        <v>648</v>
      </c>
      <c r="J62" s="920">
        <v>8.0500000000000007</v>
      </c>
      <c r="K62" s="1012">
        <f>IF($G62="","",IFERROR(VLOOKUP($G62,SERVIÇOS!$C:$H,6,0),IFERROR(VLOOKUP($G62,CPU!$F:$M,8,0),"")))</f>
        <v>796.43</v>
      </c>
      <c r="L62" s="855">
        <f t="shared" si="0"/>
        <v>0.2354</v>
      </c>
      <c r="M62" s="825">
        <f t="shared" si="1"/>
        <v>983.91</v>
      </c>
      <c r="N62" s="826">
        <f t="shared" si="2"/>
        <v>7920.48</v>
      </c>
      <c r="O62" s="856">
        <f t="shared" si="3"/>
        <v>1576628.0199999996</v>
      </c>
      <c r="P62" s="857">
        <f t="shared" si="4"/>
        <v>3.7528220862180404E-3</v>
      </c>
      <c r="Q62" s="857">
        <f t="shared" si="5"/>
        <v>0.7470259952939996</v>
      </c>
      <c r="R62" s="858" t="str">
        <f t="shared" si="6"/>
        <v>B</v>
      </c>
      <c r="S62" s="81"/>
      <c r="T62" s="410">
        <f t="shared" si="7"/>
        <v>2110539.7000000007</v>
      </c>
      <c r="U62" s="69"/>
      <c r="V62" s="69"/>
      <c r="W62" s="69"/>
      <c r="X62" s="69"/>
      <c r="Y62" s="69"/>
      <c r="Z62" s="69"/>
      <c r="AA62" s="69"/>
      <c r="AB62" s="69"/>
      <c r="AC62" s="69"/>
      <c r="AD62" s="69"/>
      <c r="AE62" s="69"/>
      <c r="AF62" s="69"/>
      <c r="AG62" s="69"/>
      <c r="AH62" s="69"/>
      <c r="AI62" s="69"/>
      <c r="AJ62" s="69"/>
      <c r="AK62" s="69"/>
      <c r="AL62" s="69"/>
      <c r="AM62" s="69"/>
      <c r="AN62" s="69"/>
      <c r="AO62" s="69"/>
      <c r="AP62" s="69"/>
      <c r="AQ62" s="69"/>
    </row>
    <row r="63" spans="5:43" s="745" customFormat="1" ht="25.5">
      <c r="E63" s="69"/>
      <c r="F63" s="910" t="s">
        <v>2238</v>
      </c>
      <c r="G63" s="911">
        <v>101989</v>
      </c>
      <c r="H63" s="913" t="s">
        <v>5929</v>
      </c>
      <c r="I63" s="914" t="s">
        <v>649</v>
      </c>
      <c r="J63" s="920">
        <v>43.58</v>
      </c>
      <c r="K63" s="1012">
        <f>IF($G63="","",IFERROR(VLOOKUP($G63,SERVIÇOS!$C:$H,6,0),IFERROR(VLOOKUP($G63,CPU!$F:$M,8,0),"")))</f>
        <v>146.97</v>
      </c>
      <c r="L63" s="855">
        <f t="shared" si="0"/>
        <v>0.2354</v>
      </c>
      <c r="M63" s="825">
        <f t="shared" si="1"/>
        <v>181.57</v>
      </c>
      <c r="N63" s="826">
        <f t="shared" si="2"/>
        <v>7912.82</v>
      </c>
      <c r="O63" s="856">
        <f t="shared" si="3"/>
        <v>1584540.8399999996</v>
      </c>
      <c r="P63" s="857">
        <f t="shared" si="4"/>
        <v>3.7491926828005164E-3</v>
      </c>
      <c r="Q63" s="857">
        <f t="shared" si="5"/>
        <v>0.7507751879768001</v>
      </c>
      <c r="R63" s="858" t="str">
        <f t="shared" si="6"/>
        <v>B</v>
      </c>
      <c r="S63" s="81"/>
      <c r="T63" s="410">
        <f t="shared" si="7"/>
        <v>2110539.7000000007</v>
      </c>
      <c r="U63" s="69"/>
      <c r="V63" s="69"/>
      <c r="W63" s="69"/>
      <c r="X63" s="744"/>
      <c r="Y63" s="744"/>
      <c r="Z63" s="744"/>
      <c r="AA63" s="744"/>
      <c r="AB63" s="744"/>
      <c r="AC63" s="744"/>
      <c r="AD63" s="744"/>
      <c r="AE63" s="744"/>
      <c r="AF63" s="744"/>
      <c r="AG63" s="744"/>
      <c r="AH63" s="744"/>
      <c r="AI63" s="744"/>
      <c r="AJ63" s="744"/>
      <c r="AK63" s="744"/>
      <c r="AL63" s="744"/>
      <c r="AM63" s="744"/>
      <c r="AN63" s="744"/>
      <c r="AO63" s="744"/>
      <c r="AP63" s="744"/>
      <c r="AQ63" s="744"/>
    </row>
    <row r="64" spans="5:43" s="745" customFormat="1" ht="25.5">
      <c r="E64" s="69"/>
      <c r="F64" s="910" t="s">
        <v>2239</v>
      </c>
      <c r="G64" s="911" t="s">
        <v>8512</v>
      </c>
      <c r="H64" s="913" t="s">
        <v>8517</v>
      </c>
      <c r="I64" s="914" t="s">
        <v>646</v>
      </c>
      <c r="J64" s="920">
        <v>11</v>
      </c>
      <c r="K64" s="1012">
        <f>IF($G64="","",IFERROR(VLOOKUP($G64,SERVIÇOS!$C:$H,6,0),IFERROR(VLOOKUP($G64,CPU!$F:$M,8,0),"")))</f>
        <v>577.41000000000008</v>
      </c>
      <c r="L64" s="855">
        <f t="shared" si="0"/>
        <v>0.2354</v>
      </c>
      <c r="M64" s="825">
        <f t="shared" si="1"/>
        <v>713.33</v>
      </c>
      <c r="N64" s="826">
        <f t="shared" si="2"/>
        <v>7846.63</v>
      </c>
      <c r="O64" s="856">
        <f t="shared" si="3"/>
        <v>1592387.4699999995</v>
      </c>
      <c r="P64" s="857">
        <f t="shared" si="4"/>
        <v>3.7178310362984395E-3</v>
      </c>
      <c r="Q64" s="857">
        <f t="shared" si="5"/>
        <v>0.75449301901309851</v>
      </c>
      <c r="R64" s="858" t="str">
        <f t="shared" si="6"/>
        <v>B</v>
      </c>
      <c r="S64" s="81"/>
      <c r="T64" s="410">
        <f t="shared" si="7"/>
        <v>2110539.7000000007</v>
      </c>
      <c r="U64" s="69"/>
      <c r="V64" s="69"/>
      <c r="W64" s="69"/>
      <c r="X64" s="69"/>
      <c r="Y64" s="69"/>
      <c r="Z64" s="69"/>
      <c r="AA64" s="69"/>
      <c r="AB64" s="69"/>
      <c r="AC64" s="69"/>
      <c r="AD64" s="69"/>
      <c r="AE64" s="69"/>
      <c r="AF64" s="69"/>
      <c r="AG64" s="69"/>
      <c r="AH64" s="69"/>
      <c r="AI64" s="69"/>
      <c r="AJ64" s="69"/>
      <c r="AK64" s="69"/>
      <c r="AL64" s="69"/>
      <c r="AM64" s="69"/>
      <c r="AN64" s="69"/>
      <c r="AO64" s="69"/>
      <c r="AP64" s="69"/>
      <c r="AQ64" s="69"/>
    </row>
    <row r="65" spans="5:43" s="745" customFormat="1" ht="25.5">
      <c r="E65" s="69"/>
      <c r="F65" s="910" t="s">
        <v>2239</v>
      </c>
      <c r="G65" s="911" t="s">
        <v>8376</v>
      </c>
      <c r="H65" s="913" t="s">
        <v>8378</v>
      </c>
      <c r="I65" s="914" t="s">
        <v>648</v>
      </c>
      <c r="J65" s="920">
        <v>134.54</v>
      </c>
      <c r="K65" s="1012">
        <f>IF($G65="","",IFERROR(VLOOKUP($G65,SERVIÇOS!$C:$H,6,0),IFERROR(VLOOKUP($G65,CPU!$F:$M,8,0),"")))</f>
        <v>46.92</v>
      </c>
      <c r="L65" s="855">
        <f t="shared" si="0"/>
        <v>0.2354</v>
      </c>
      <c r="M65" s="825">
        <f t="shared" si="1"/>
        <v>57.96</v>
      </c>
      <c r="N65" s="826">
        <f t="shared" si="2"/>
        <v>7797.94</v>
      </c>
      <c r="O65" s="856">
        <f t="shared" si="3"/>
        <v>1600185.4099999995</v>
      </c>
      <c r="P65" s="857">
        <f t="shared" si="4"/>
        <v>3.694761107786789E-3</v>
      </c>
      <c r="Q65" s="857">
        <f t="shared" si="5"/>
        <v>0.75818778012088528</v>
      </c>
      <c r="R65" s="858" t="str">
        <f t="shared" si="6"/>
        <v>B</v>
      </c>
      <c r="S65" s="81"/>
      <c r="T65" s="410">
        <f t="shared" si="7"/>
        <v>2110539.7000000007</v>
      </c>
      <c r="U65" s="69"/>
      <c r="V65" s="69"/>
      <c r="W65" s="69"/>
      <c r="X65" s="69"/>
      <c r="Y65" s="69"/>
      <c r="Z65" s="69"/>
      <c r="AA65" s="69"/>
      <c r="AB65" s="69"/>
      <c r="AC65" s="69"/>
      <c r="AD65" s="69"/>
      <c r="AE65" s="69"/>
      <c r="AF65" s="69"/>
      <c r="AG65" s="69"/>
      <c r="AH65" s="69"/>
      <c r="AI65" s="69"/>
      <c r="AJ65" s="69"/>
      <c r="AK65" s="69"/>
      <c r="AL65" s="69"/>
      <c r="AM65" s="69"/>
      <c r="AN65" s="69"/>
      <c r="AO65" s="69"/>
      <c r="AP65" s="69"/>
      <c r="AQ65" s="69"/>
    </row>
    <row r="66" spans="5:43" s="745" customFormat="1" ht="25.5">
      <c r="E66" s="69"/>
      <c r="F66" s="910" t="s">
        <v>2238</v>
      </c>
      <c r="G66" s="911">
        <v>99253</v>
      </c>
      <c r="H66" s="913" t="s">
        <v>5719</v>
      </c>
      <c r="I66" s="914" t="s">
        <v>646</v>
      </c>
      <c r="J66" s="920">
        <v>11</v>
      </c>
      <c r="K66" s="1012">
        <f>IF($G66="","",IFERROR(VLOOKUP($G66,SERVIÇOS!$C:$H,6,0),IFERROR(VLOOKUP($G66,CPU!$F:$M,8,0),"")))</f>
        <v>568.41999999999996</v>
      </c>
      <c r="L66" s="855">
        <f t="shared" si="0"/>
        <v>0.2354</v>
      </c>
      <c r="M66" s="825">
        <f t="shared" si="1"/>
        <v>702.23</v>
      </c>
      <c r="N66" s="826">
        <f t="shared" si="2"/>
        <v>7724.53</v>
      </c>
      <c r="O66" s="856">
        <f t="shared" si="3"/>
        <v>1607909.9399999995</v>
      </c>
      <c r="P66" s="857">
        <f t="shared" si="4"/>
        <v>3.65997853534809E-3</v>
      </c>
      <c r="Q66" s="857">
        <f t="shared" si="5"/>
        <v>0.76184775865623333</v>
      </c>
      <c r="R66" s="858" t="str">
        <f t="shared" si="6"/>
        <v>B</v>
      </c>
      <c r="S66" s="81"/>
      <c r="T66" s="410">
        <f t="shared" si="7"/>
        <v>2110539.7000000007</v>
      </c>
      <c r="U66" s="69"/>
      <c r="V66" s="69"/>
      <c r="W66" s="69"/>
      <c r="X66" s="744"/>
      <c r="Y66" s="744"/>
      <c r="Z66" s="744"/>
      <c r="AA66" s="744"/>
      <c r="AB66" s="744"/>
      <c r="AC66" s="744"/>
      <c r="AD66" s="744"/>
      <c r="AE66" s="744"/>
      <c r="AF66" s="744"/>
      <c r="AG66" s="744"/>
      <c r="AH66" s="744"/>
      <c r="AI66" s="744"/>
      <c r="AJ66" s="744"/>
      <c r="AK66" s="744"/>
      <c r="AL66" s="744"/>
      <c r="AM66" s="744"/>
      <c r="AN66" s="744"/>
      <c r="AO66" s="744"/>
      <c r="AP66" s="744"/>
      <c r="AQ66" s="744"/>
    </row>
    <row r="67" spans="5:43" s="745" customFormat="1" ht="25.5">
      <c r="E67" s="69"/>
      <c r="F67" s="910" t="s">
        <v>2239</v>
      </c>
      <c r="G67" s="911" t="s">
        <v>2877</v>
      </c>
      <c r="H67" s="913" t="s">
        <v>2867</v>
      </c>
      <c r="I67" s="914" t="s">
        <v>646</v>
      </c>
      <c r="J67" s="920">
        <v>4</v>
      </c>
      <c r="K67" s="1012">
        <f>IF($G67="","",IFERROR(VLOOKUP($G67,SERVIÇOS!$C:$H,6,0),IFERROR(VLOOKUP($G67,CPU!$F:$M,8,0),"")))</f>
        <v>1543.8400000000001</v>
      </c>
      <c r="L67" s="855">
        <f t="shared" si="0"/>
        <v>0.2354</v>
      </c>
      <c r="M67" s="825">
        <f t="shared" si="1"/>
        <v>1907.26</v>
      </c>
      <c r="N67" s="826">
        <f t="shared" si="2"/>
        <v>7629.04</v>
      </c>
      <c r="O67" s="856">
        <f t="shared" si="3"/>
        <v>1615538.9799999995</v>
      </c>
      <c r="P67" s="857">
        <f t="shared" si="4"/>
        <v>3.6147341838677557E-3</v>
      </c>
      <c r="Q67" s="857">
        <f t="shared" si="5"/>
        <v>0.76546249284010104</v>
      </c>
      <c r="R67" s="858" t="str">
        <f t="shared" si="6"/>
        <v>B</v>
      </c>
      <c r="S67" s="81"/>
      <c r="T67" s="410">
        <f t="shared" si="7"/>
        <v>2110539.7000000007</v>
      </c>
      <c r="U67" s="69"/>
      <c r="V67" s="69"/>
      <c r="W67" s="69"/>
      <c r="X67" s="744"/>
      <c r="Y67" s="744"/>
      <c r="Z67" s="744"/>
      <c r="AA67" s="744"/>
      <c r="AB67" s="744"/>
      <c r="AC67" s="744"/>
      <c r="AD67" s="744"/>
      <c r="AE67" s="744"/>
      <c r="AF67" s="744"/>
      <c r="AG67" s="744"/>
      <c r="AH67" s="744"/>
      <c r="AI67" s="744"/>
      <c r="AJ67" s="744"/>
      <c r="AK67" s="744"/>
      <c r="AL67" s="744"/>
      <c r="AM67" s="744"/>
      <c r="AN67" s="744"/>
      <c r="AO67" s="744"/>
      <c r="AP67" s="744"/>
      <c r="AQ67" s="744"/>
    </row>
    <row r="68" spans="5:43" s="745" customFormat="1" ht="25.5">
      <c r="E68" s="69"/>
      <c r="F68" s="910" t="s">
        <v>2239</v>
      </c>
      <c r="G68" s="911" t="s">
        <v>8630</v>
      </c>
      <c r="H68" s="913" t="s">
        <v>8631</v>
      </c>
      <c r="I68" s="914" t="s">
        <v>649</v>
      </c>
      <c r="J68" s="920">
        <v>3.84</v>
      </c>
      <c r="K68" s="1012">
        <f>IF($G68="","",IFERROR(VLOOKUP($G68,SERVIÇOS!$C:$H,6,0),IFERROR(VLOOKUP($G68,CPU!$F:$M,8,0),"")))</f>
        <v>1604.94</v>
      </c>
      <c r="L68" s="855">
        <f t="shared" si="0"/>
        <v>0.2354</v>
      </c>
      <c r="M68" s="825">
        <f t="shared" si="1"/>
        <v>1982.74</v>
      </c>
      <c r="N68" s="826">
        <f t="shared" si="2"/>
        <v>7613.72</v>
      </c>
      <c r="O68" s="856">
        <f t="shared" si="3"/>
        <v>1623152.6999999995</v>
      </c>
      <c r="P68" s="857">
        <f t="shared" si="4"/>
        <v>3.6074753770327078E-3</v>
      </c>
      <c r="Q68" s="857">
        <f t="shared" si="5"/>
        <v>0.76906996821713369</v>
      </c>
      <c r="R68" s="858" t="str">
        <f t="shared" si="6"/>
        <v>B</v>
      </c>
      <c r="S68" s="81"/>
      <c r="T68" s="410">
        <f t="shared" si="7"/>
        <v>2110539.7000000007</v>
      </c>
      <c r="U68" s="69"/>
      <c r="V68" s="69"/>
      <c r="W68" s="69"/>
      <c r="X68" s="69"/>
      <c r="Y68" s="69"/>
      <c r="Z68" s="69"/>
      <c r="AA68" s="69"/>
      <c r="AB68" s="69"/>
      <c r="AC68" s="69"/>
      <c r="AD68" s="69"/>
      <c r="AE68" s="69"/>
      <c r="AF68" s="69"/>
      <c r="AG68" s="69"/>
      <c r="AH68" s="69"/>
      <c r="AI68" s="69"/>
      <c r="AJ68" s="69"/>
      <c r="AK68" s="69"/>
      <c r="AL68" s="69"/>
      <c r="AM68" s="69"/>
      <c r="AN68" s="69"/>
      <c r="AO68" s="69"/>
      <c r="AP68" s="69"/>
      <c r="AQ68" s="69"/>
    </row>
    <row r="69" spans="5:43" s="745" customFormat="1" ht="25.5">
      <c r="E69" s="69"/>
      <c r="F69" s="910" t="s">
        <v>2238</v>
      </c>
      <c r="G69" s="911">
        <v>93210</v>
      </c>
      <c r="H69" s="913" t="s">
        <v>942</v>
      </c>
      <c r="I69" s="914" t="s">
        <v>649</v>
      </c>
      <c r="J69" s="920">
        <v>9</v>
      </c>
      <c r="K69" s="1012">
        <f>IF($G69="","",IFERROR(VLOOKUP($G69,SERVIÇOS!$C:$H,6,0),IFERROR(VLOOKUP($G69,CPU!$F:$M,8,0),"")))</f>
        <v>661.83</v>
      </c>
      <c r="L69" s="855">
        <f t="shared" si="0"/>
        <v>0.2354</v>
      </c>
      <c r="M69" s="825">
        <f t="shared" si="1"/>
        <v>817.62</v>
      </c>
      <c r="N69" s="826">
        <f t="shared" si="2"/>
        <v>7358.58</v>
      </c>
      <c r="O69" s="856">
        <f t="shared" si="3"/>
        <v>1630511.2799999996</v>
      </c>
      <c r="P69" s="857">
        <f t="shared" si="4"/>
        <v>3.4865868668568509E-3</v>
      </c>
      <c r="Q69" s="857">
        <f t="shared" si="5"/>
        <v>0.77255655508399057</v>
      </c>
      <c r="R69" s="858" t="str">
        <f t="shared" si="6"/>
        <v>B</v>
      </c>
      <c r="S69" s="81"/>
      <c r="T69" s="410">
        <f t="shared" si="7"/>
        <v>2110539.7000000007</v>
      </c>
      <c r="U69" s="69"/>
      <c r="V69" s="69"/>
      <c r="W69" s="69"/>
      <c r="X69" s="744"/>
      <c r="Y69" s="744"/>
      <c r="Z69" s="744"/>
      <c r="AA69" s="744"/>
      <c r="AB69" s="744"/>
      <c r="AC69" s="744"/>
      <c r="AD69" s="744"/>
      <c r="AE69" s="744"/>
      <c r="AF69" s="744"/>
      <c r="AG69" s="744"/>
      <c r="AH69" s="744"/>
      <c r="AI69" s="744"/>
      <c r="AJ69" s="744"/>
      <c r="AK69" s="744"/>
      <c r="AL69" s="744"/>
      <c r="AM69" s="744"/>
      <c r="AN69" s="744"/>
      <c r="AO69" s="744"/>
      <c r="AP69" s="744"/>
      <c r="AQ69" s="744"/>
    </row>
    <row r="70" spans="5:43" s="745" customFormat="1" ht="38.25">
      <c r="E70" s="69"/>
      <c r="F70" s="910" t="s">
        <v>2238</v>
      </c>
      <c r="G70" s="911">
        <v>103326</v>
      </c>
      <c r="H70" s="913" t="s">
        <v>7139</v>
      </c>
      <c r="I70" s="914" t="s">
        <v>649</v>
      </c>
      <c r="J70" s="920">
        <v>61.22</v>
      </c>
      <c r="K70" s="1012">
        <f>IF($G70="","",IFERROR(VLOOKUP($G70,SERVIÇOS!$C:$H,6,0),IFERROR(VLOOKUP($G70,CPU!$F:$M,8,0),"")))</f>
        <v>97.08</v>
      </c>
      <c r="L70" s="855">
        <f t="shared" si="0"/>
        <v>0.2354</v>
      </c>
      <c r="M70" s="825">
        <f t="shared" si="1"/>
        <v>119.93</v>
      </c>
      <c r="N70" s="826">
        <f t="shared" si="2"/>
        <v>7342.11</v>
      </c>
      <c r="O70" s="856">
        <f t="shared" si="3"/>
        <v>1637853.3899999997</v>
      </c>
      <c r="P70" s="857">
        <f t="shared" si="4"/>
        <v>3.4787831756967176E-3</v>
      </c>
      <c r="Q70" s="857">
        <f t="shared" si="5"/>
        <v>0.77603533825968729</v>
      </c>
      <c r="R70" s="858" t="str">
        <f t="shared" si="6"/>
        <v>B</v>
      </c>
      <c r="S70" s="81"/>
      <c r="T70" s="410">
        <f t="shared" si="7"/>
        <v>2110539.7000000007</v>
      </c>
      <c r="U70" s="69"/>
      <c r="V70" s="69"/>
      <c r="W70" s="69"/>
      <c r="X70" s="744"/>
      <c r="Y70" s="744"/>
      <c r="Z70" s="744"/>
      <c r="AA70" s="744"/>
      <c r="AB70" s="744"/>
      <c r="AC70" s="744"/>
      <c r="AD70" s="744"/>
      <c r="AE70" s="744"/>
      <c r="AF70" s="744"/>
      <c r="AG70" s="744"/>
      <c r="AH70" s="744"/>
      <c r="AI70" s="744"/>
      <c r="AJ70" s="744"/>
      <c r="AK70" s="744"/>
      <c r="AL70" s="744"/>
      <c r="AM70" s="744"/>
      <c r="AN70" s="744"/>
      <c r="AO70" s="744"/>
      <c r="AP70" s="744"/>
      <c r="AQ70" s="744"/>
    </row>
    <row r="71" spans="5:43" s="745" customFormat="1" ht="25.5">
      <c r="E71" s="69"/>
      <c r="F71" s="910" t="s">
        <v>2239</v>
      </c>
      <c r="G71" s="911" t="s">
        <v>8625</v>
      </c>
      <c r="H71" s="913" t="s">
        <v>7175</v>
      </c>
      <c r="I71" s="914" t="s">
        <v>648</v>
      </c>
      <c r="J71" s="920">
        <v>110.96</v>
      </c>
      <c r="K71" s="1012">
        <f>IF($G71="","",IFERROR(VLOOKUP($G71,SERVIÇOS!$C:$H,6,0),IFERROR(VLOOKUP($G71,CPU!$F:$M,8,0),"")))</f>
        <v>53.05</v>
      </c>
      <c r="L71" s="855">
        <f t="shared" si="0"/>
        <v>0.2354</v>
      </c>
      <c r="M71" s="825">
        <f t="shared" si="1"/>
        <v>65.540000000000006</v>
      </c>
      <c r="N71" s="826">
        <f t="shared" si="2"/>
        <v>7272.32</v>
      </c>
      <c r="O71" s="856">
        <f t="shared" si="3"/>
        <v>1645125.7099999997</v>
      </c>
      <c r="P71" s="857">
        <f t="shared" si="4"/>
        <v>3.4457158043508956E-3</v>
      </c>
      <c r="Q71" s="857">
        <f t="shared" si="5"/>
        <v>0.77948105406403823</v>
      </c>
      <c r="R71" s="858" t="str">
        <f t="shared" si="6"/>
        <v>B</v>
      </c>
      <c r="S71" s="81"/>
      <c r="T71" s="410">
        <f t="shared" si="7"/>
        <v>2110539.7000000007</v>
      </c>
      <c r="U71" s="69"/>
      <c r="V71" s="69"/>
      <c r="W71" s="69"/>
      <c r="X71" s="69"/>
      <c r="Y71" s="69"/>
      <c r="Z71" s="69"/>
      <c r="AA71" s="69"/>
      <c r="AB71" s="69"/>
      <c r="AC71" s="69"/>
      <c r="AD71" s="69"/>
      <c r="AE71" s="69"/>
      <c r="AF71" s="69"/>
      <c r="AG71" s="69"/>
      <c r="AH71" s="69"/>
      <c r="AI71" s="69"/>
      <c r="AJ71" s="69"/>
      <c r="AK71" s="69"/>
      <c r="AL71" s="69"/>
      <c r="AM71" s="69"/>
      <c r="AN71" s="69"/>
      <c r="AO71" s="69"/>
      <c r="AP71" s="69"/>
      <c r="AQ71" s="69"/>
    </row>
    <row r="72" spans="5:43" s="745" customFormat="1" ht="51">
      <c r="E72" s="69"/>
      <c r="F72" s="910" t="s">
        <v>2238</v>
      </c>
      <c r="G72" s="911">
        <v>90844</v>
      </c>
      <c r="H72" s="913" t="s">
        <v>3813</v>
      </c>
      <c r="I72" s="914" t="s">
        <v>646</v>
      </c>
      <c r="J72" s="920">
        <v>5</v>
      </c>
      <c r="K72" s="1012">
        <f>IF($G72="","",IFERROR(VLOOKUP($G72,SERVIÇOS!$C:$H,6,0),IFERROR(VLOOKUP($G72,CPU!$F:$M,8,0),"")))</f>
        <v>1169.49</v>
      </c>
      <c r="L72" s="855">
        <f t="shared" si="0"/>
        <v>0.2354</v>
      </c>
      <c r="M72" s="825">
        <f t="shared" si="1"/>
        <v>1444.79</v>
      </c>
      <c r="N72" s="826">
        <f t="shared" si="2"/>
        <v>7223.95</v>
      </c>
      <c r="O72" s="856">
        <f t="shared" si="3"/>
        <v>1652349.6599999997</v>
      </c>
      <c r="P72" s="857">
        <f t="shared" si="4"/>
        <v>3.4227974958253556E-3</v>
      </c>
      <c r="Q72" s="857">
        <f t="shared" si="5"/>
        <v>0.78290385155986353</v>
      </c>
      <c r="R72" s="858" t="str">
        <f t="shared" si="6"/>
        <v>B</v>
      </c>
      <c r="S72" s="81"/>
      <c r="T72" s="410">
        <f t="shared" si="7"/>
        <v>2110539.7000000007</v>
      </c>
      <c r="U72" s="69"/>
      <c r="V72" s="69"/>
      <c r="W72" s="69"/>
      <c r="X72" s="744"/>
      <c r="Y72" s="744"/>
      <c r="Z72" s="744"/>
      <c r="AA72" s="744"/>
      <c r="AB72" s="744"/>
      <c r="AC72" s="744"/>
      <c r="AD72" s="744"/>
      <c r="AE72" s="744"/>
      <c r="AF72" s="744"/>
      <c r="AG72" s="744"/>
      <c r="AH72" s="744"/>
      <c r="AI72" s="744"/>
      <c r="AJ72" s="744"/>
      <c r="AK72" s="744"/>
      <c r="AL72" s="744"/>
      <c r="AM72" s="744"/>
      <c r="AN72" s="744"/>
      <c r="AO72" s="744"/>
      <c r="AP72" s="744"/>
      <c r="AQ72" s="744"/>
    </row>
    <row r="73" spans="5:43" s="745" customFormat="1" ht="25.5">
      <c r="E73" s="69"/>
      <c r="F73" s="910" t="s">
        <v>2238</v>
      </c>
      <c r="G73" s="911">
        <v>91990</v>
      </c>
      <c r="H73" s="913" t="s">
        <v>1040</v>
      </c>
      <c r="I73" s="914" t="s">
        <v>646</v>
      </c>
      <c r="J73" s="920">
        <v>146</v>
      </c>
      <c r="K73" s="1012">
        <f>IF($G73="","",IFERROR(VLOOKUP($G73,SERVIÇOS!$C:$H,6,0),IFERROR(VLOOKUP($G73,CPU!$F:$M,8,0),"")))</f>
        <v>37.93</v>
      </c>
      <c r="L73" s="855">
        <f t="shared" si="0"/>
        <v>0.2354</v>
      </c>
      <c r="M73" s="825">
        <f t="shared" si="1"/>
        <v>46.86</v>
      </c>
      <c r="N73" s="826">
        <f t="shared" si="2"/>
        <v>6841.56</v>
      </c>
      <c r="O73" s="856">
        <f t="shared" si="3"/>
        <v>1659191.2199999997</v>
      </c>
      <c r="P73" s="857">
        <f t="shared" si="4"/>
        <v>3.2416163505476813E-3</v>
      </c>
      <c r="Q73" s="857">
        <f t="shared" si="5"/>
        <v>0.78614546791041118</v>
      </c>
      <c r="R73" s="858" t="str">
        <f t="shared" si="6"/>
        <v>B</v>
      </c>
      <c r="S73" s="81"/>
      <c r="T73" s="410">
        <f t="shared" si="7"/>
        <v>2110539.7000000007</v>
      </c>
      <c r="U73" s="69"/>
      <c r="V73" s="69"/>
      <c r="W73" s="69"/>
      <c r="X73" s="744"/>
      <c r="Y73" s="744"/>
      <c r="Z73" s="744"/>
      <c r="AA73" s="744"/>
      <c r="AB73" s="744"/>
      <c r="AC73" s="744"/>
      <c r="AD73" s="744"/>
      <c r="AE73" s="744"/>
      <c r="AF73" s="744"/>
      <c r="AG73" s="744"/>
      <c r="AH73" s="744"/>
      <c r="AI73" s="744"/>
      <c r="AJ73" s="744"/>
      <c r="AK73" s="744"/>
      <c r="AL73" s="744"/>
      <c r="AM73" s="744"/>
      <c r="AN73" s="744"/>
      <c r="AO73" s="744"/>
      <c r="AP73" s="744"/>
      <c r="AQ73" s="744"/>
    </row>
    <row r="74" spans="5:43" s="745" customFormat="1" ht="25.5">
      <c r="E74" s="69"/>
      <c r="F74" s="910" t="s">
        <v>2238</v>
      </c>
      <c r="G74" s="911">
        <v>96533</v>
      </c>
      <c r="H74" s="913" t="s">
        <v>2311</v>
      </c>
      <c r="I74" s="914" t="s">
        <v>649</v>
      </c>
      <c r="J74" s="920">
        <v>40.230000000000004</v>
      </c>
      <c r="K74" s="1012">
        <f>IF($G74="","",IFERROR(VLOOKUP($G74,SERVIÇOS!$C:$H,6,0),IFERROR(VLOOKUP($G74,CPU!$F:$M,8,0),"")))</f>
        <v>136.02000000000001</v>
      </c>
      <c r="L74" s="855">
        <f t="shared" si="0"/>
        <v>0.2354</v>
      </c>
      <c r="M74" s="825">
        <f t="shared" si="1"/>
        <v>168.04</v>
      </c>
      <c r="N74" s="826">
        <f t="shared" si="2"/>
        <v>6760.25</v>
      </c>
      <c r="O74" s="856">
        <f t="shared" si="3"/>
        <v>1665951.4699999997</v>
      </c>
      <c r="P74" s="857">
        <f t="shared" si="4"/>
        <v>3.2030906597018752E-3</v>
      </c>
      <c r="Q74" s="857">
        <f t="shared" si="5"/>
        <v>0.7893485585701131</v>
      </c>
      <c r="R74" s="858" t="str">
        <f t="shared" si="6"/>
        <v>B</v>
      </c>
      <c r="S74" s="81"/>
      <c r="T74" s="410">
        <f t="shared" si="7"/>
        <v>2110539.7000000007</v>
      </c>
      <c r="U74" s="69"/>
      <c r="V74" s="69"/>
      <c r="W74" s="69"/>
      <c r="X74" s="744"/>
      <c r="Y74" s="744"/>
      <c r="Z74" s="744"/>
      <c r="AA74" s="744"/>
      <c r="AB74" s="744"/>
      <c r="AC74" s="744"/>
      <c r="AD74" s="744"/>
      <c r="AE74" s="744"/>
      <c r="AF74" s="744"/>
      <c r="AG74" s="744"/>
      <c r="AH74" s="744"/>
      <c r="AI74" s="744"/>
      <c r="AJ74" s="744"/>
      <c r="AK74" s="744"/>
      <c r="AL74" s="744"/>
      <c r="AM74" s="744"/>
      <c r="AN74" s="744"/>
      <c r="AO74" s="744"/>
      <c r="AP74" s="744"/>
      <c r="AQ74" s="744"/>
    </row>
    <row r="75" spans="5:43" s="745" customFormat="1">
      <c r="E75" s="69"/>
      <c r="F75" s="910" t="s">
        <v>2239</v>
      </c>
      <c r="G75" s="911" t="s">
        <v>8771</v>
      </c>
      <c r="H75" s="913" t="s">
        <v>8772</v>
      </c>
      <c r="I75" s="914" t="s">
        <v>649</v>
      </c>
      <c r="J75" s="920">
        <v>5.69</v>
      </c>
      <c r="K75" s="1012">
        <f>IF($G75="","",IFERROR(VLOOKUP($G75,SERVIÇOS!$C:$H,6,0),IFERROR(VLOOKUP($G75,CPU!$F:$M,8,0),"")))</f>
        <v>957.92</v>
      </c>
      <c r="L75" s="855">
        <f t="shared" si="0"/>
        <v>0.2354</v>
      </c>
      <c r="M75" s="825">
        <f t="shared" si="1"/>
        <v>1183.4100000000001</v>
      </c>
      <c r="N75" s="826">
        <f t="shared" si="2"/>
        <v>6733.6</v>
      </c>
      <c r="O75" s="856">
        <f t="shared" si="3"/>
        <v>1672685.0699999998</v>
      </c>
      <c r="P75" s="857">
        <f t="shared" si="4"/>
        <v>3.1904635577335969E-3</v>
      </c>
      <c r="Q75" s="857">
        <f t="shared" si="5"/>
        <v>0.79253902212784666</v>
      </c>
      <c r="R75" s="858" t="str">
        <f t="shared" si="6"/>
        <v>B</v>
      </c>
      <c r="S75" s="81"/>
      <c r="T75" s="410">
        <f t="shared" si="7"/>
        <v>2110539.7000000007</v>
      </c>
      <c r="U75" s="69"/>
      <c r="V75" s="69"/>
      <c r="W75" s="69"/>
      <c r="X75" s="69"/>
      <c r="Y75" s="69"/>
      <c r="Z75" s="69"/>
      <c r="AA75" s="69"/>
      <c r="AB75" s="69"/>
      <c r="AC75" s="69"/>
      <c r="AD75" s="69"/>
      <c r="AE75" s="69"/>
      <c r="AF75" s="69"/>
      <c r="AG75" s="69"/>
      <c r="AH75" s="69"/>
      <c r="AI75" s="69"/>
      <c r="AJ75" s="69"/>
      <c r="AK75" s="69"/>
      <c r="AL75" s="69"/>
      <c r="AM75" s="69"/>
      <c r="AN75" s="69"/>
      <c r="AO75" s="69"/>
      <c r="AP75" s="69"/>
      <c r="AQ75" s="69"/>
    </row>
    <row r="76" spans="5:43" s="745" customFormat="1" ht="38.25">
      <c r="E76" s="69"/>
      <c r="F76" s="910" t="s">
        <v>2238</v>
      </c>
      <c r="G76" s="911">
        <v>103322</v>
      </c>
      <c r="H76" s="913" t="s">
        <v>7135</v>
      </c>
      <c r="I76" s="914" t="s">
        <v>649</v>
      </c>
      <c r="J76" s="920">
        <v>90.37</v>
      </c>
      <c r="K76" s="1012">
        <f>IF($G76="","",IFERROR(VLOOKUP($G76,SERVIÇOS!$C:$H,6,0),IFERROR(VLOOKUP($G76,CPU!$F:$M,8,0),"")))</f>
        <v>59.66</v>
      </c>
      <c r="L76" s="855">
        <f t="shared" ref="L76:L139" si="8">$R$1</f>
        <v>0.2354</v>
      </c>
      <c r="M76" s="825">
        <f t="shared" ref="M76:M139" si="9">IF(J76&lt;&gt;0,(ROUND(K76*(L76+1),2)),0)</f>
        <v>73.7</v>
      </c>
      <c r="N76" s="826">
        <f t="shared" ref="N76:N139" si="10">IF(J76="","",ROUND((J76*M76),2))</f>
        <v>6660.27</v>
      </c>
      <c r="O76" s="856">
        <f t="shared" ref="O76:O139" si="11">+O75+N76</f>
        <v>1679345.3399999999</v>
      </c>
      <c r="P76" s="857">
        <f t="shared" ref="P76:P139" si="12">IF(N76&lt;&gt;"",N76/T76,"")</f>
        <v>3.1557188902914257E-3</v>
      </c>
      <c r="Q76" s="857">
        <f t="shared" ref="Q76:Q139" si="13">+P76+Q75</f>
        <v>0.79569474101813809</v>
      </c>
      <c r="R76" s="858" t="str">
        <f t="shared" ref="R76:R139" si="14">IF(Q76&lt;50%,"A",IF(Q76&gt;=80%,"C",IF(Q76&gt;=50%,"B")))</f>
        <v>B</v>
      </c>
      <c r="S76" s="81"/>
      <c r="T76" s="410">
        <f t="shared" ref="T76:T139" si="15">T77</f>
        <v>2110539.7000000007</v>
      </c>
      <c r="U76" s="69"/>
      <c r="V76" s="69"/>
      <c r="W76" s="69"/>
      <c r="X76" s="744"/>
      <c r="Y76" s="744"/>
      <c r="Z76" s="744"/>
      <c r="AA76" s="744"/>
      <c r="AB76" s="744"/>
      <c r="AC76" s="744"/>
      <c r="AD76" s="744"/>
      <c r="AE76" s="744"/>
      <c r="AF76" s="744"/>
      <c r="AG76" s="744"/>
      <c r="AH76" s="744"/>
      <c r="AI76" s="744"/>
      <c r="AJ76" s="744"/>
      <c r="AK76" s="744"/>
      <c r="AL76" s="744"/>
      <c r="AM76" s="744"/>
      <c r="AN76" s="744"/>
      <c r="AO76" s="744"/>
      <c r="AP76" s="744"/>
      <c r="AQ76" s="744"/>
    </row>
    <row r="77" spans="5:43" s="745" customFormat="1" ht="38.25">
      <c r="E77" s="69"/>
      <c r="F77" s="910" t="s">
        <v>2239</v>
      </c>
      <c r="G77" s="911" t="s">
        <v>8505</v>
      </c>
      <c r="H77" s="913" t="s">
        <v>8510</v>
      </c>
      <c r="I77" s="914" t="s">
        <v>646</v>
      </c>
      <c r="J77" s="920">
        <v>5</v>
      </c>
      <c r="K77" s="1012">
        <f>IF($G77="","",IFERROR(VLOOKUP($G77,SERVIÇOS!$C:$H,6,0),IFERROR(VLOOKUP($G77,CPU!$F:$M,8,0),"")))</f>
        <v>1030.1199999999999</v>
      </c>
      <c r="L77" s="855">
        <f t="shared" si="8"/>
        <v>0.2354</v>
      </c>
      <c r="M77" s="825">
        <f t="shared" si="9"/>
        <v>1272.6099999999999</v>
      </c>
      <c r="N77" s="826">
        <f t="shared" si="10"/>
        <v>6363.05</v>
      </c>
      <c r="O77" s="856">
        <f t="shared" si="11"/>
        <v>1685708.39</v>
      </c>
      <c r="P77" s="857">
        <f t="shared" si="12"/>
        <v>3.0148923519420167E-3</v>
      </c>
      <c r="Q77" s="857">
        <f t="shared" si="13"/>
        <v>0.79870963337008005</v>
      </c>
      <c r="R77" s="858" t="str">
        <f t="shared" si="14"/>
        <v>B</v>
      </c>
      <c r="S77" s="81"/>
      <c r="T77" s="410">
        <f t="shared" si="15"/>
        <v>2110539.7000000007</v>
      </c>
      <c r="U77" s="69"/>
      <c r="V77" s="69"/>
      <c r="W77" s="69"/>
      <c r="X77" s="69"/>
      <c r="Y77" s="69"/>
      <c r="Z77" s="69"/>
      <c r="AA77" s="69"/>
      <c r="AB77" s="69"/>
      <c r="AC77" s="69"/>
      <c r="AD77" s="69"/>
      <c r="AE77" s="69"/>
      <c r="AF77" s="69"/>
      <c r="AG77" s="69"/>
      <c r="AH77" s="69"/>
      <c r="AI77" s="69"/>
      <c r="AJ77" s="69"/>
      <c r="AK77" s="69"/>
      <c r="AL77" s="69"/>
      <c r="AM77" s="69"/>
      <c r="AN77" s="69"/>
      <c r="AO77" s="69"/>
      <c r="AP77" s="69"/>
      <c r="AQ77" s="69"/>
    </row>
    <row r="78" spans="5:43" s="745" customFormat="1" ht="25.5">
      <c r="E78" s="69"/>
      <c r="F78" s="910" t="s">
        <v>2238</v>
      </c>
      <c r="G78" s="911">
        <v>92452</v>
      </c>
      <c r="H78" s="913" t="s">
        <v>3999</v>
      </c>
      <c r="I78" s="914" t="s">
        <v>649</v>
      </c>
      <c r="J78" s="920">
        <v>31.39</v>
      </c>
      <c r="K78" s="1012">
        <f>IF($G78="","",IFERROR(VLOOKUP($G78,SERVIÇOS!$C:$H,6,0),IFERROR(VLOOKUP($G78,CPU!$F:$M,8,0),"")))</f>
        <v>163.72999999999999</v>
      </c>
      <c r="L78" s="855">
        <f t="shared" si="8"/>
        <v>0.2354</v>
      </c>
      <c r="M78" s="825">
        <f t="shared" si="9"/>
        <v>202.27</v>
      </c>
      <c r="N78" s="826">
        <f t="shared" si="10"/>
        <v>6349.26</v>
      </c>
      <c r="O78" s="856">
        <f t="shared" si="11"/>
        <v>1692057.65</v>
      </c>
      <c r="P78" s="857">
        <f t="shared" si="12"/>
        <v>3.0083584781655601E-3</v>
      </c>
      <c r="Q78" s="857">
        <f t="shared" si="13"/>
        <v>0.80171799184824566</v>
      </c>
      <c r="R78" s="858" t="str">
        <f t="shared" si="14"/>
        <v>C</v>
      </c>
      <c r="S78" s="81"/>
      <c r="T78" s="410">
        <f t="shared" si="15"/>
        <v>2110539.7000000007</v>
      </c>
      <c r="U78" s="69"/>
      <c r="V78" s="69"/>
      <c r="W78" s="69"/>
      <c r="X78" s="744"/>
      <c r="Y78" s="744"/>
      <c r="Z78" s="744"/>
      <c r="AA78" s="744"/>
      <c r="AB78" s="744"/>
      <c r="AC78" s="744"/>
      <c r="AD78" s="744"/>
      <c r="AE78" s="744"/>
      <c r="AF78" s="744"/>
      <c r="AG78" s="744"/>
      <c r="AH78" s="744"/>
      <c r="AI78" s="744"/>
      <c r="AJ78" s="744"/>
      <c r="AK78" s="744"/>
      <c r="AL78" s="744"/>
      <c r="AM78" s="744"/>
      <c r="AN78" s="744"/>
      <c r="AO78" s="744"/>
      <c r="AP78" s="744"/>
      <c r="AQ78" s="744"/>
    </row>
    <row r="79" spans="5:43" s="745" customFormat="1" ht="25.5">
      <c r="E79" s="69"/>
      <c r="F79" s="910" t="s">
        <v>2238</v>
      </c>
      <c r="G79" s="911">
        <v>91940</v>
      </c>
      <c r="H79" s="913" t="s">
        <v>1100</v>
      </c>
      <c r="I79" s="914" t="s">
        <v>646</v>
      </c>
      <c r="J79" s="920">
        <v>283</v>
      </c>
      <c r="K79" s="1012">
        <f>IF($G79="","",IFERROR(VLOOKUP($G79,SERVIÇOS!$C:$H,6,0),IFERROR(VLOOKUP($G79,CPU!$F:$M,8,0),"")))</f>
        <v>18.03</v>
      </c>
      <c r="L79" s="855">
        <f t="shared" si="8"/>
        <v>0.2354</v>
      </c>
      <c r="M79" s="825">
        <f t="shared" si="9"/>
        <v>22.27</v>
      </c>
      <c r="N79" s="826">
        <f t="shared" si="10"/>
        <v>6302.41</v>
      </c>
      <c r="O79" s="856">
        <f t="shared" si="11"/>
        <v>1698360.0599999998</v>
      </c>
      <c r="P79" s="857">
        <f t="shared" si="12"/>
        <v>2.9861603645740462E-3</v>
      </c>
      <c r="Q79" s="857">
        <f t="shared" si="13"/>
        <v>0.80470415221281966</v>
      </c>
      <c r="R79" s="858" t="str">
        <f t="shared" si="14"/>
        <v>C</v>
      </c>
      <c r="S79" s="81"/>
      <c r="T79" s="410">
        <f t="shared" si="15"/>
        <v>2110539.7000000007</v>
      </c>
      <c r="U79" s="69"/>
      <c r="V79" s="69"/>
      <c r="W79" s="69"/>
      <c r="X79" s="69"/>
      <c r="Y79" s="69"/>
      <c r="Z79" s="69"/>
      <c r="AA79" s="69"/>
      <c r="AB79" s="69"/>
      <c r="AC79" s="69"/>
      <c r="AD79" s="69"/>
      <c r="AE79" s="69"/>
      <c r="AF79" s="69"/>
      <c r="AG79" s="69"/>
      <c r="AH79" s="69"/>
      <c r="AI79" s="69"/>
      <c r="AJ79" s="69"/>
      <c r="AK79" s="69"/>
      <c r="AL79" s="69"/>
      <c r="AM79" s="69"/>
      <c r="AN79" s="69"/>
      <c r="AO79" s="69"/>
      <c r="AP79" s="69"/>
      <c r="AQ79" s="69"/>
    </row>
    <row r="80" spans="5:43" s="745" customFormat="1" ht="25.5">
      <c r="E80" s="69"/>
      <c r="F80" s="910" t="s">
        <v>2239</v>
      </c>
      <c r="G80" s="911" t="s">
        <v>8634</v>
      </c>
      <c r="H80" s="913" t="s">
        <v>8636</v>
      </c>
      <c r="I80" s="914" t="s">
        <v>648</v>
      </c>
      <c r="J80" s="919">
        <v>217.73999999999998</v>
      </c>
      <c r="K80" s="1012">
        <f>IF($G80="","",IFERROR(VLOOKUP($G80,SERVIÇOS!$C:$H,6,0),IFERROR(VLOOKUP($G80,CPU!$F:$M,8,0),"")))</f>
        <v>23.189999999999998</v>
      </c>
      <c r="L80" s="855">
        <f t="shared" si="8"/>
        <v>0.2354</v>
      </c>
      <c r="M80" s="825">
        <f t="shared" si="9"/>
        <v>28.65</v>
      </c>
      <c r="N80" s="826">
        <f t="shared" si="10"/>
        <v>6238.25</v>
      </c>
      <c r="O80" s="856">
        <f t="shared" si="11"/>
        <v>1704598.3099999998</v>
      </c>
      <c r="P80" s="857">
        <f t="shared" si="12"/>
        <v>2.9557605573588587E-3</v>
      </c>
      <c r="Q80" s="857">
        <f t="shared" si="13"/>
        <v>0.80765991277017857</v>
      </c>
      <c r="R80" s="858" t="str">
        <f t="shared" si="14"/>
        <v>C</v>
      </c>
      <c r="S80" s="81"/>
      <c r="T80" s="410">
        <f t="shared" si="15"/>
        <v>2110539.7000000007</v>
      </c>
      <c r="U80" s="69"/>
      <c r="V80" s="69"/>
      <c r="W80" s="69"/>
      <c r="X80" s="744"/>
      <c r="Y80" s="744"/>
      <c r="Z80" s="744"/>
      <c r="AA80" s="744"/>
      <c r="AB80" s="744"/>
      <c r="AC80" s="744"/>
      <c r="AD80" s="744"/>
      <c r="AE80" s="744"/>
      <c r="AF80" s="744"/>
      <c r="AG80" s="744"/>
      <c r="AH80" s="744"/>
      <c r="AI80" s="744"/>
      <c r="AJ80" s="744"/>
      <c r="AK80" s="744"/>
      <c r="AL80" s="744"/>
      <c r="AM80" s="744"/>
      <c r="AN80" s="744"/>
      <c r="AO80" s="744"/>
      <c r="AP80" s="744"/>
      <c r="AQ80" s="744"/>
    </row>
    <row r="81" spans="5:43" s="745" customFormat="1" ht="38.25">
      <c r="E81" s="69"/>
      <c r="F81" s="910" t="s">
        <v>2238</v>
      </c>
      <c r="G81" s="911">
        <v>91785</v>
      </c>
      <c r="H81" s="913" t="s">
        <v>1210</v>
      </c>
      <c r="I81" s="914" t="s">
        <v>648</v>
      </c>
      <c r="J81" s="920">
        <v>97.4</v>
      </c>
      <c r="K81" s="1012">
        <f>IF($G81="","",IFERROR(VLOOKUP($G81,SERVIÇOS!$C:$H,6,0),IFERROR(VLOOKUP($G81,CPU!$F:$M,8,0),"")))</f>
        <v>51.04</v>
      </c>
      <c r="L81" s="855">
        <f t="shared" si="8"/>
        <v>0.2354</v>
      </c>
      <c r="M81" s="825">
        <f t="shared" si="9"/>
        <v>63.05</v>
      </c>
      <c r="N81" s="826">
        <f t="shared" si="10"/>
        <v>6141.07</v>
      </c>
      <c r="O81" s="856">
        <f t="shared" si="11"/>
        <v>1710739.38</v>
      </c>
      <c r="P81" s="857">
        <f t="shared" si="12"/>
        <v>2.9097154628268769E-3</v>
      </c>
      <c r="Q81" s="857">
        <f t="shared" si="13"/>
        <v>0.81056962823300549</v>
      </c>
      <c r="R81" s="858" t="str">
        <f t="shared" si="14"/>
        <v>C</v>
      </c>
      <c r="S81" s="81"/>
      <c r="T81" s="410">
        <f t="shared" si="15"/>
        <v>2110539.7000000007</v>
      </c>
      <c r="U81" s="69"/>
      <c r="V81" s="69"/>
      <c r="W81" s="69"/>
      <c r="X81" s="744"/>
      <c r="Y81" s="744"/>
      <c r="Z81" s="744"/>
      <c r="AA81" s="744"/>
      <c r="AB81" s="744"/>
      <c r="AC81" s="744"/>
      <c r="AD81" s="744"/>
      <c r="AE81" s="744"/>
      <c r="AF81" s="744"/>
      <c r="AG81" s="744"/>
      <c r="AH81" s="744"/>
      <c r="AI81" s="744"/>
      <c r="AJ81" s="744"/>
      <c r="AK81" s="744"/>
      <c r="AL81" s="744"/>
      <c r="AM81" s="744"/>
      <c r="AN81" s="744"/>
      <c r="AO81" s="744"/>
      <c r="AP81" s="744"/>
      <c r="AQ81" s="744"/>
    </row>
    <row r="82" spans="5:43" s="745" customFormat="1" ht="25.5">
      <c r="E82" s="69"/>
      <c r="F82" s="910" t="s">
        <v>2238</v>
      </c>
      <c r="G82" s="911">
        <v>97903</v>
      </c>
      <c r="H82" s="913" t="s">
        <v>5622</v>
      </c>
      <c r="I82" s="914" t="s">
        <v>646</v>
      </c>
      <c r="J82" s="920">
        <v>6</v>
      </c>
      <c r="K82" s="1012">
        <f>IF($G82="","",IFERROR(VLOOKUP($G82,SERVIÇOS!$C:$H,6,0),IFERROR(VLOOKUP($G82,CPU!$F:$M,8,0),"")))</f>
        <v>811.72</v>
      </c>
      <c r="L82" s="855">
        <f t="shared" si="8"/>
        <v>0.2354</v>
      </c>
      <c r="M82" s="825">
        <f t="shared" si="9"/>
        <v>1002.8</v>
      </c>
      <c r="N82" s="826">
        <f t="shared" si="10"/>
        <v>6016.8</v>
      </c>
      <c r="O82" s="856">
        <f t="shared" si="11"/>
        <v>1716756.18</v>
      </c>
      <c r="P82" s="857">
        <f t="shared" si="12"/>
        <v>2.8508347888457149E-3</v>
      </c>
      <c r="Q82" s="857">
        <f t="shared" si="13"/>
        <v>0.81342046302185123</v>
      </c>
      <c r="R82" s="858" t="str">
        <f t="shared" si="14"/>
        <v>C</v>
      </c>
      <c r="S82" s="81"/>
      <c r="T82" s="410">
        <f t="shared" si="15"/>
        <v>2110539.7000000007</v>
      </c>
      <c r="U82" s="69"/>
      <c r="V82" s="69"/>
      <c r="W82" s="69"/>
      <c r="X82" s="744"/>
      <c r="Y82" s="744"/>
      <c r="Z82" s="744"/>
      <c r="AA82" s="744"/>
      <c r="AB82" s="744"/>
      <c r="AC82" s="744"/>
      <c r="AD82" s="744"/>
      <c r="AE82" s="744"/>
      <c r="AF82" s="744"/>
      <c r="AG82" s="744"/>
      <c r="AH82" s="744"/>
      <c r="AI82" s="744"/>
      <c r="AJ82" s="744"/>
      <c r="AK82" s="744"/>
      <c r="AL82" s="744"/>
      <c r="AM82" s="744"/>
      <c r="AN82" s="744"/>
      <c r="AO82" s="744"/>
      <c r="AP82" s="744"/>
      <c r="AQ82" s="744"/>
    </row>
    <row r="83" spans="5:43" s="745" customFormat="1" ht="38.25">
      <c r="E83" s="69"/>
      <c r="F83" s="910" t="s">
        <v>2239</v>
      </c>
      <c r="G83" s="911" t="s">
        <v>8499</v>
      </c>
      <c r="H83" s="913" t="s">
        <v>8506</v>
      </c>
      <c r="I83" s="914" t="s">
        <v>646</v>
      </c>
      <c r="J83" s="920">
        <v>11</v>
      </c>
      <c r="K83" s="1012">
        <f>IF($G83="","",IFERROR(VLOOKUP($G83,SERVIÇOS!$C:$H,6,0),IFERROR(VLOOKUP($G83,CPU!$F:$M,8,0),"")))</f>
        <v>439.74000000000007</v>
      </c>
      <c r="L83" s="855">
        <f t="shared" si="8"/>
        <v>0.2354</v>
      </c>
      <c r="M83" s="825">
        <f t="shared" si="9"/>
        <v>543.25</v>
      </c>
      <c r="N83" s="826">
        <f t="shared" si="10"/>
        <v>5975.75</v>
      </c>
      <c r="O83" s="856">
        <f t="shared" si="11"/>
        <v>1722731.93</v>
      </c>
      <c r="P83" s="857">
        <f t="shared" si="12"/>
        <v>2.8313847875024566E-3</v>
      </c>
      <c r="Q83" s="857">
        <f t="shared" si="13"/>
        <v>0.81625184780935367</v>
      </c>
      <c r="R83" s="858" t="str">
        <f t="shared" si="14"/>
        <v>C</v>
      </c>
      <c r="S83" s="81"/>
      <c r="T83" s="410">
        <f t="shared" si="15"/>
        <v>2110539.7000000007</v>
      </c>
      <c r="U83" s="69"/>
      <c r="V83" s="69"/>
      <c r="W83" s="69"/>
      <c r="X83" s="69"/>
      <c r="Y83" s="69"/>
      <c r="Z83" s="69"/>
      <c r="AA83" s="69"/>
      <c r="AB83" s="69"/>
      <c r="AC83" s="69"/>
      <c r="AD83" s="69"/>
      <c r="AE83" s="69"/>
      <c r="AF83" s="69"/>
      <c r="AG83" s="69"/>
      <c r="AH83" s="69"/>
      <c r="AI83" s="69"/>
      <c r="AJ83" s="69"/>
      <c r="AK83" s="69"/>
      <c r="AL83" s="69"/>
      <c r="AM83" s="69"/>
      <c r="AN83" s="69"/>
      <c r="AO83" s="69"/>
      <c r="AP83" s="69"/>
      <c r="AQ83" s="69"/>
    </row>
    <row r="84" spans="5:43" s="745" customFormat="1" ht="38.25">
      <c r="E84" s="69"/>
      <c r="F84" s="910" t="s">
        <v>2238</v>
      </c>
      <c r="G84" s="911">
        <v>91795</v>
      </c>
      <c r="H84" s="913" t="s">
        <v>1421</v>
      </c>
      <c r="I84" s="914" t="s">
        <v>648</v>
      </c>
      <c r="J84" s="920">
        <v>57.6</v>
      </c>
      <c r="K84" s="1012">
        <f>IF($G84="","",IFERROR(VLOOKUP($G84,SERVIÇOS!$C:$H,6,0),IFERROR(VLOOKUP($G84,CPU!$F:$M,8,0),"")))</f>
        <v>83.72</v>
      </c>
      <c r="L84" s="855">
        <f t="shared" si="8"/>
        <v>0.2354</v>
      </c>
      <c r="M84" s="825">
        <f t="shared" si="9"/>
        <v>103.43</v>
      </c>
      <c r="N84" s="826">
        <f t="shared" si="10"/>
        <v>5957.57</v>
      </c>
      <c r="O84" s="856">
        <f t="shared" si="11"/>
        <v>1728689.5</v>
      </c>
      <c r="P84" s="857">
        <f t="shared" si="12"/>
        <v>2.8227708770415445E-3</v>
      </c>
      <c r="Q84" s="857">
        <f t="shared" si="13"/>
        <v>0.81907461868639519</v>
      </c>
      <c r="R84" s="858" t="str">
        <f t="shared" si="14"/>
        <v>C</v>
      </c>
      <c r="S84" s="81"/>
      <c r="T84" s="410">
        <f t="shared" si="15"/>
        <v>2110539.7000000007</v>
      </c>
      <c r="U84" s="69"/>
      <c r="V84" s="69"/>
      <c r="W84" s="69"/>
      <c r="X84" s="744"/>
      <c r="Y84" s="744"/>
      <c r="Z84" s="744"/>
      <c r="AA84" s="744"/>
      <c r="AB84" s="744"/>
      <c r="AC84" s="744"/>
      <c r="AD84" s="744"/>
      <c r="AE84" s="744"/>
      <c r="AF84" s="744"/>
      <c r="AG84" s="744"/>
      <c r="AH84" s="744"/>
      <c r="AI84" s="744"/>
      <c r="AJ84" s="744"/>
      <c r="AK84" s="744"/>
      <c r="AL84" s="744"/>
      <c r="AM84" s="744"/>
      <c r="AN84" s="744"/>
      <c r="AO84" s="744"/>
      <c r="AP84" s="744"/>
      <c r="AQ84" s="744"/>
    </row>
    <row r="85" spans="5:43" s="745" customFormat="1">
      <c r="E85" s="69"/>
      <c r="F85" s="910" t="s">
        <v>2239</v>
      </c>
      <c r="G85" s="911" t="s">
        <v>2951</v>
      </c>
      <c r="H85" s="913" t="s">
        <v>7663</v>
      </c>
      <c r="I85" s="914" t="s">
        <v>648</v>
      </c>
      <c r="J85" s="920">
        <v>180</v>
      </c>
      <c r="K85" s="1012">
        <f>IF($G85="","",IFERROR(VLOOKUP($G85,SERVIÇOS!$C:$H,6,0),IFERROR(VLOOKUP($G85,CPU!$F:$M,8,0),"")))</f>
        <v>26.71</v>
      </c>
      <c r="L85" s="855">
        <f t="shared" si="8"/>
        <v>0.2354</v>
      </c>
      <c r="M85" s="825">
        <f t="shared" si="9"/>
        <v>33</v>
      </c>
      <c r="N85" s="826">
        <f t="shared" si="10"/>
        <v>5940</v>
      </c>
      <c r="O85" s="856">
        <f t="shared" si="11"/>
        <v>1734629.5</v>
      </c>
      <c r="P85" s="857">
        <f t="shared" si="12"/>
        <v>2.8144459921791562E-3</v>
      </c>
      <c r="Q85" s="857">
        <f t="shared" si="13"/>
        <v>0.82188906467857437</v>
      </c>
      <c r="R85" s="858" t="str">
        <f t="shared" si="14"/>
        <v>C</v>
      </c>
      <c r="S85" s="81"/>
      <c r="T85" s="410">
        <f t="shared" si="15"/>
        <v>2110539.7000000007</v>
      </c>
      <c r="U85" s="69"/>
      <c r="V85" s="69"/>
      <c r="W85" s="69"/>
      <c r="X85" s="69"/>
      <c r="Y85" s="69"/>
      <c r="Z85" s="69"/>
      <c r="AA85" s="69"/>
      <c r="AB85" s="69"/>
      <c r="AC85" s="69"/>
      <c r="AD85" s="69"/>
      <c r="AE85" s="69"/>
      <c r="AF85" s="69"/>
      <c r="AG85" s="69"/>
      <c r="AH85" s="69"/>
      <c r="AI85" s="69"/>
      <c r="AJ85" s="69"/>
      <c r="AK85" s="69"/>
      <c r="AL85" s="69"/>
      <c r="AM85" s="69"/>
      <c r="AN85" s="69"/>
      <c r="AO85" s="69"/>
      <c r="AP85" s="69"/>
      <c r="AQ85" s="69"/>
    </row>
    <row r="86" spans="5:43" s="745" customFormat="1">
      <c r="E86" s="69"/>
      <c r="F86" s="910" t="s">
        <v>2238</v>
      </c>
      <c r="G86" s="911">
        <v>88494</v>
      </c>
      <c r="H86" s="913" t="s">
        <v>315</v>
      </c>
      <c r="I86" s="914" t="s">
        <v>649</v>
      </c>
      <c r="J86" s="920">
        <v>183.07000000000002</v>
      </c>
      <c r="K86" s="1012">
        <f>IF($G86="","",IFERROR(VLOOKUP($G86,SERVIÇOS!$C:$H,6,0),IFERROR(VLOOKUP($G86,CPU!$F:$M,8,0),"")))</f>
        <v>25.72</v>
      </c>
      <c r="L86" s="855">
        <f t="shared" si="8"/>
        <v>0.2354</v>
      </c>
      <c r="M86" s="825">
        <f t="shared" si="9"/>
        <v>31.77</v>
      </c>
      <c r="N86" s="826">
        <f t="shared" si="10"/>
        <v>5816.13</v>
      </c>
      <c r="O86" s="856">
        <f t="shared" si="11"/>
        <v>1740445.63</v>
      </c>
      <c r="P86" s="857">
        <f t="shared" si="12"/>
        <v>2.7557548431806321E-3</v>
      </c>
      <c r="Q86" s="857">
        <f t="shared" si="13"/>
        <v>0.82464481952175495</v>
      </c>
      <c r="R86" s="858" t="str">
        <f t="shared" si="14"/>
        <v>C</v>
      </c>
      <c r="S86" s="81"/>
      <c r="T86" s="410">
        <f t="shared" si="15"/>
        <v>2110539.7000000007</v>
      </c>
      <c r="U86" s="69"/>
      <c r="V86" s="69"/>
      <c r="W86" s="69"/>
      <c r="X86" s="69"/>
      <c r="Y86" s="69"/>
      <c r="Z86" s="69"/>
      <c r="AA86" s="69"/>
      <c r="AB86" s="69"/>
      <c r="AC86" s="69"/>
      <c r="AD86" s="69"/>
      <c r="AE86" s="69"/>
      <c r="AF86" s="69"/>
      <c r="AG86" s="69"/>
      <c r="AH86" s="69"/>
      <c r="AI86" s="69"/>
      <c r="AJ86" s="69"/>
      <c r="AK86" s="69"/>
      <c r="AL86" s="69"/>
      <c r="AM86" s="69"/>
      <c r="AN86" s="69"/>
      <c r="AO86" s="69"/>
      <c r="AP86" s="69"/>
      <c r="AQ86" s="69"/>
    </row>
    <row r="87" spans="5:43" s="745" customFormat="1" ht="25.5">
      <c r="E87" s="69"/>
      <c r="F87" s="910" t="s">
        <v>2239</v>
      </c>
      <c r="G87" s="911" t="s">
        <v>8931</v>
      </c>
      <c r="H87" s="913" t="s">
        <v>8933</v>
      </c>
      <c r="I87" s="914" t="s">
        <v>648</v>
      </c>
      <c r="J87" s="920">
        <v>114</v>
      </c>
      <c r="K87" s="1012">
        <f>IF($G87="","",IFERROR(VLOOKUP($G87,SERVIÇOS!$C:$H,6,0),IFERROR(VLOOKUP($G87,CPU!$F:$M,8,0),"")))</f>
        <v>41.28</v>
      </c>
      <c r="L87" s="855">
        <f t="shared" si="8"/>
        <v>0.2354</v>
      </c>
      <c r="M87" s="825">
        <f t="shared" si="9"/>
        <v>51</v>
      </c>
      <c r="N87" s="826">
        <f t="shared" si="10"/>
        <v>5814</v>
      </c>
      <c r="O87" s="856">
        <f t="shared" si="11"/>
        <v>1746259.63</v>
      </c>
      <c r="P87" s="857">
        <f t="shared" si="12"/>
        <v>2.7547456226480831E-3</v>
      </c>
      <c r="Q87" s="857">
        <f t="shared" si="13"/>
        <v>0.82739956514440305</v>
      </c>
      <c r="R87" s="858" t="str">
        <f t="shared" si="14"/>
        <v>C</v>
      </c>
      <c r="S87" s="81"/>
      <c r="T87" s="410">
        <f t="shared" si="15"/>
        <v>2110539.7000000007</v>
      </c>
      <c r="U87" s="69"/>
      <c r="V87" s="69"/>
      <c r="W87" s="69"/>
      <c r="X87" s="69"/>
      <c r="Y87" s="69"/>
      <c r="Z87" s="69"/>
      <c r="AA87" s="69"/>
      <c r="AB87" s="69"/>
      <c r="AC87" s="69"/>
      <c r="AD87" s="69"/>
      <c r="AE87" s="69"/>
      <c r="AF87" s="69"/>
      <c r="AG87" s="69"/>
      <c r="AH87" s="69"/>
      <c r="AI87" s="69"/>
      <c r="AJ87" s="69"/>
      <c r="AK87" s="69"/>
      <c r="AL87" s="69"/>
      <c r="AM87" s="69"/>
      <c r="AN87" s="69"/>
      <c r="AO87" s="69"/>
      <c r="AP87" s="69"/>
      <c r="AQ87" s="69"/>
    </row>
    <row r="88" spans="5:43" s="745" customFormat="1" ht="25.5">
      <c r="E88" s="69"/>
      <c r="F88" s="910" t="s">
        <v>2239</v>
      </c>
      <c r="G88" s="911" t="s">
        <v>2939</v>
      </c>
      <c r="H88" s="913" t="s">
        <v>2680</v>
      </c>
      <c r="I88" s="914" t="s">
        <v>4860</v>
      </c>
      <c r="J88" s="920">
        <v>260</v>
      </c>
      <c r="K88" s="1012">
        <f>IF($G88="","",IFERROR(VLOOKUP($G88,SERVIÇOS!$C:$H,6,0),IFERROR(VLOOKUP($G88,CPU!$F:$M,8,0),"")))</f>
        <v>18</v>
      </c>
      <c r="L88" s="855">
        <f t="shared" si="8"/>
        <v>0.2354</v>
      </c>
      <c r="M88" s="825">
        <f t="shared" si="9"/>
        <v>22.24</v>
      </c>
      <c r="N88" s="826">
        <f t="shared" si="10"/>
        <v>5782.4</v>
      </c>
      <c r="O88" s="856">
        <f t="shared" si="11"/>
        <v>1752042.0299999998</v>
      </c>
      <c r="P88" s="857">
        <f t="shared" si="12"/>
        <v>2.7397731490196552E-3</v>
      </c>
      <c r="Q88" s="857">
        <f t="shared" si="13"/>
        <v>0.83013933829342268</v>
      </c>
      <c r="R88" s="858" t="str">
        <f t="shared" si="14"/>
        <v>C</v>
      </c>
      <c r="S88" s="81"/>
      <c r="T88" s="410">
        <f t="shared" si="15"/>
        <v>2110539.7000000007</v>
      </c>
      <c r="U88" s="69"/>
      <c r="V88" s="69"/>
      <c r="W88" s="69"/>
      <c r="X88" s="744"/>
      <c r="Y88" s="744"/>
      <c r="Z88" s="744"/>
      <c r="AA88" s="744"/>
      <c r="AB88" s="744"/>
      <c r="AC88" s="744"/>
      <c r="AD88" s="744"/>
      <c r="AE88" s="744"/>
      <c r="AF88" s="744"/>
      <c r="AG88" s="744"/>
      <c r="AH88" s="744"/>
      <c r="AI88" s="744"/>
      <c r="AJ88" s="744"/>
      <c r="AK88" s="744"/>
      <c r="AL88" s="744"/>
      <c r="AM88" s="744"/>
      <c r="AN88" s="744"/>
      <c r="AO88" s="744"/>
      <c r="AP88" s="744"/>
      <c r="AQ88" s="744"/>
    </row>
    <row r="89" spans="5:43" s="745" customFormat="1">
      <c r="E89" s="69"/>
      <c r="F89" s="910" t="s">
        <v>2239</v>
      </c>
      <c r="G89" s="911" t="s">
        <v>2943</v>
      </c>
      <c r="H89" s="913" t="s">
        <v>4863</v>
      </c>
      <c r="I89" s="914" t="s">
        <v>648</v>
      </c>
      <c r="J89" s="920">
        <v>179.04</v>
      </c>
      <c r="K89" s="1012">
        <f>IF($G89="","",IFERROR(VLOOKUP($G89,SERVIÇOS!$C:$H,6,0),IFERROR(VLOOKUP($G89,CPU!$F:$M,8,0),"")))</f>
        <v>25.95</v>
      </c>
      <c r="L89" s="855">
        <f t="shared" si="8"/>
        <v>0.2354</v>
      </c>
      <c r="M89" s="825">
        <f t="shared" si="9"/>
        <v>32.06</v>
      </c>
      <c r="N89" s="826">
        <f t="shared" si="10"/>
        <v>5740.02</v>
      </c>
      <c r="O89" s="856">
        <f t="shared" si="11"/>
        <v>1757782.0499999998</v>
      </c>
      <c r="P89" s="857">
        <f t="shared" si="12"/>
        <v>2.7196929771091246E-3</v>
      </c>
      <c r="Q89" s="857">
        <f t="shared" si="13"/>
        <v>0.83285903127053185</v>
      </c>
      <c r="R89" s="858" t="str">
        <f t="shared" si="14"/>
        <v>C</v>
      </c>
      <c r="S89" s="81"/>
      <c r="T89" s="410">
        <f t="shared" si="15"/>
        <v>2110539.7000000007</v>
      </c>
      <c r="U89" s="69"/>
      <c r="V89" s="69"/>
      <c r="W89" s="69"/>
      <c r="X89" s="69"/>
      <c r="Y89" s="69"/>
      <c r="Z89" s="69"/>
      <c r="AA89" s="69"/>
      <c r="AB89" s="69"/>
      <c r="AC89" s="69"/>
      <c r="AD89" s="69"/>
      <c r="AE89" s="69"/>
      <c r="AF89" s="69"/>
      <c r="AG89" s="69"/>
      <c r="AH89" s="69"/>
      <c r="AI89" s="69"/>
      <c r="AJ89" s="69"/>
      <c r="AK89" s="69"/>
      <c r="AL89" s="69"/>
      <c r="AM89" s="69"/>
      <c r="AN89" s="69"/>
      <c r="AO89" s="69"/>
      <c r="AP89" s="69"/>
      <c r="AQ89" s="69"/>
    </row>
    <row r="90" spans="5:43" s="745" customFormat="1" ht="25.5">
      <c r="E90" s="69"/>
      <c r="F90" s="910" t="s">
        <v>2239</v>
      </c>
      <c r="G90" s="911" t="s">
        <v>8524</v>
      </c>
      <c r="H90" s="913" t="s">
        <v>8518</v>
      </c>
      <c r="I90" s="914" t="s">
        <v>646</v>
      </c>
      <c r="J90" s="920">
        <v>5</v>
      </c>
      <c r="K90" s="1012">
        <f>IF($G90="","",IFERROR(VLOOKUP($G90,SERVIÇOS!$C:$H,6,0),IFERROR(VLOOKUP($G90,CPU!$F:$M,8,0),"")))</f>
        <v>917.93</v>
      </c>
      <c r="L90" s="855">
        <f t="shared" si="8"/>
        <v>0.2354</v>
      </c>
      <c r="M90" s="825">
        <f t="shared" si="9"/>
        <v>1134.01</v>
      </c>
      <c r="N90" s="826">
        <f t="shared" si="10"/>
        <v>5670.05</v>
      </c>
      <c r="O90" s="856">
        <f t="shared" si="11"/>
        <v>1763452.0999999999</v>
      </c>
      <c r="P90" s="857">
        <f t="shared" si="12"/>
        <v>2.6865403195211151E-3</v>
      </c>
      <c r="Q90" s="857">
        <f t="shared" si="13"/>
        <v>0.83554557159005294</v>
      </c>
      <c r="R90" s="858" t="str">
        <f t="shared" si="14"/>
        <v>C</v>
      </c>
      <c r="S90" s="81"/>
      <c r="T90" s="410">
        <f t="shared" si="15"/>
        <v>2110539.7000000007</v>
      </c>
      <c r="U90" s="69"/>
      <c r="V90" s="69"/>
      <c r="W90" s="69"/>
      <c r="X90" s="69"/>
      <c r="Y90" s="69"/>
      <c r="Z90" s="69"/>
      <c r="AA90" s="69"/>
      <c r="AB90" s="69"/>
      <c r="AC90" s="69"/>
      <c r="AD90" s="69"/>
      <c r="AE90" s="69"/>
      <c r="AF90" s="69"/>
      <c r="AG90" s="69"/>
      <c r="AH90" s="69"/>
      <c r="AI90" s="69"/>
      <c r="AJ90" s="69"/>
      <c r="AK90" s="69"/>
      <c r="AL90" s="69"/>
      <c r="AM90" s="69"/>
      <c r="AN90" s="69"/>
      <c r="AO90" s="69"/>
      <c r="AP90" s="69"/>
      <c r="AQ90" s="69"/>
    </row>
    <row r="91" spans="5:43" s="745" customFormat="1" ht="25.5">
      <c r="E91" s="69"/>
      <c r="F91" s="910" t="s">
        <v>2239</v>
      </c>
      <c r="G91" s="911" t="s">
        <v>8380</v>
      </c>
      <c r="H91" s="913" t="s">
        <v>8382</v>
      </c>
      <c r="I91" s="914" t="s">
        <v>648</v>
      </c>
      <c r="J91" s="920">
        <v>54.64</v>
      </c>
      <c r="K91" s="1012">
        <f>IF($G91="","",IFERROR(VLOOKUP($G91,SERVIÇOS!$C:$H,6,0),IFERROR(VLOOKUP($G91,CPU!$F:$M,8,0),"")))</f>
        <v>81.039999999999992</v>
      </c>
      <c r="L91" s="855">
        <f t="shared" si="8"/>
        <v>0.2354</v>
      </c>
      <c r="M91" s="825">
        <f t="shared" si="9"/>
        <v>100.12</v>
      </c>
      <c r="N91" s="826">
        <f t="shared" si="10"/>
        <v>5470.56</v>
      </c>
      <c r="O91" s="856">
        <f t="shared" si="11"/>
        <v>1768922.66</v>
      </c>
      <c r="P91" s="857">
        <f t="shared" si="12"/>
        <v>2.5920194725548157E-3</v>
      </c>
      <c r="Q91" s="857">
        <f t="shared" si="13"/>
        <v>0.83813759106260777</v>
      </c>
      <c r="R91" s="858" t="str">
        <f t="shared" si="14"/>
        <v>C</v>
      </c>
      <c r="S91" s="81"/>
      <c r="T91" s="410">
        <f t="shared" si="15"/>
        <v>2110539.7000000007</v>
      </c>
      <c r="U91" s="69"/>
      <c r="V91" s="69"/>
      <c r="W91" s="69"/>
      <c r="X91" s="744"/>
      <c r="Y91" s="744"/>
      <c r="Z91" s="744"/>
      <c r="AA91" s="744"/>
      <c r="AB91" s="744"/>
      <c r="AC91" s="744"/>
      <c r="AD91" s="744"/>
      <c r="AE91" s="744"/>
      <c r="AF91" s="744"/>
      <c r="AG91" s="744"/>
      <c r="AH91" s="744"/>
      <c r="AI91" s="744"/>
      <c r="AJ91" s="744"/>
      <c r="AK91" s="744"/>
      <c r="AL91" s="744"/>
      <c r="AM91" s="744"/>
      <c r="AN91" s="744"/>
      <c r="AO91" s="744"/>
      <c r="AP91" s="744"/>
      <c r="AQ91" s="744"/>
    </row>
    <row r="92" spans="5:43" s="745" customFormat="1" ht="25.5">
      <c r="E92" s="69"/>
      <c r="F92" s="910" t="s">
        <v>2238</v>
      </c>
      <c r="G92" s="911">
        <v>96396</v>
      </c>
      <c r="H92" s="913" t="s">
        <v>3412</v>
      </c>
      <c r="I92" s="914" t="s">
        <v>644</v>
      </c>
      <c r="J92" s="920">
        <v>42.04</v>
      </c>
      <c r="K92" s="1012">
        <f>IF($G92="","",IFERROR(VLOOKUP($G92,SERVIÇOS!$C:$H,6,0),IFERROR(VLOOKUP($G92,CPU!$F:$M,8,0),"")))</f>
        <v>104.96</v>
      </c>
      <c r="L92" s="855">
        <f t="shared" si="8"/>
        <v>0.2354</v>
      </c>
      <c r="M92" s="825">
        <f t="shared" si="9"/>
        <v>129.66999999999999</v>
      </c>
      <c r="N92" s="826">
        <f t="shared" si="10"/>
        <v>5451.33</v>
      </c>
      <c r="O92" s="856">
        <f t="shared" si="11"/>
        <v>1774373.99</v>
      </c>
      <c r="P92" s="857">
        <f t="shared" si="12"/>
        <v>2.5829080590144778E-3</v>
      </c>
      <c r="Q92" s="857">
        <f t="shared" si="13"/>
        <v>0.84072049912162228</v>
      </c>
      <c r="R92" s="858" t="str">
        <f t="shared" si="14"/>
        <v>C</v>
      </c>
      <c r="S92" s="81"/>
      <c r="T92" s="410">
        <f t="shared" si="15"/>
        <v>2110539.7000000007</v>
      </c>
      <c r="U92" s="69"/>
      <c r="V92" s="69"/>
      <c r="W92" s="69"/>
      <c r="X92" s="69"/>
      <c r="Y92" s="69"/>
      <c r="Z92" s="69"/>
      <c r="AA92" s="69"/>
      <c r="AB92" s="69"/>
      <c r="AC92" s="69"/>
      <c r="AD92" s="69"/>
      <c r="AE92" s="69"/>
      <c r="AF92" s="69"/>
      <c r="AG92" s="69"/>
      <c r="AH92" s="69"/>
      <c r="AI92" s="69"/>
      <c r="AJ92" s="69"/>
      <c r="AK92" s="69"/>
      <c r="AL92" s="69"/>
      <c r="AM92" s="69"/>
      <c r="AN92" s="69"/>
      <c r="AO92" s="69"/>
      <c r="AP92" s="69"/>
      <c r="AQ92" s="69"/>
    </row>
    <row r="93" spans="5:43" s="745" customFormat="1" ht="25.5">
      <c r="E93" s="69"/>
      <c r="F93" s="910" t="s">
        <v>2239</v>
      </c>
      <c r="G93" s="911" t="s">
        <v>8692</v>
      </c>
      <c r="H93" s="913" t="s">
        <v>8696</v>
      </c>
      <c r="I93" s="914" t="s">
        <v>646</v>
      </c>
      <c r="J93" s="920">
        <v>1</v>
      </c>
      <c r="K93" s="1012">
        <f>IF($G93="","",IFERROR(VLOOKUP($G93,SERVIÇOS!$C:$H,6,0),IFERROR(VLOOKUP($G93,CPU!$F:$M,8,0),"")))</f>
        <v>4238.78</v>
      </c>
      <c r="L93" s="855">
        <f t="shared" si="8"/>
        <v>0.2354</v>
      </c>
      <c r="M93" s="825">
        <f t="shared" si="9"/>
        <v>5236.59</v>
      </c>
      <c r="N93" s="826">
        <f t="shared" si="10"/>
        <v>5236.59</v>
      </c>
      <c r="O93" s="856">
        <f t="shared" si="11"/>
        <v>1779610.58</v>
      </c>
      <c r="P93" s="857">
        <f t="shared" si="12"/>
        <v>2.4811615720850919E-3</v>
      </c>
      <c r="Q93" s="857">
        <f t="shared" si="13"/>
        <v>0.84320166069370739</v>
      </c>
      <c r="R93" s="858" t="str">
        <f t="shared" si="14"/>
        <v>C</v>
      </c>
      <c r="S93" s="81"/>
      <c r="T93" s="410">
        <f t="shared" si="15"/>
        <v>2110539.7000000007</v>
      </c>
      <c r="U93" s="69"/>
      <c r="V93" s="69"/>
      <c r="W93" s="69"/>
      <c r="X93" s="69"/>
      <c r="Y93" s="69"/>
      <c r="Z93" s="69"/>
      <c r="AA93" s="69"/>
      <c r="AB93" s="69"/>
      <c r="AC93" s="69"/>
      <c r="AD93" s="69"/>
      <c r="AE93" s="69"/>
      <c r="AF93" s="69"/>
      <c r="AG93" s="69"/>
      <c r="AH93" s="69"/>
      <c r="AI93" s="69"/>
      <c r="AJ93" s="69"/>
      <c r="AK93" s="69"/>
      <c r="AL93" s="69"/>
      <c r="AM93" s="69"/>
      <c r="AN93" s="69"/>
      <c r="AO93" s="69"/>
      <c r="AP93" s="69"/>
      <c r="AQ93" s="69"/>
    </row>
    <row r="94" spans="5:43" s="745" customFormat="1" ht="25.5">
      <c r="E94" s="69"/>
      <c r="F94" s="910" t="s">
        <v>2238</v>
      </c>
      <c r="G94" s="911">
        <v>103669</v>
      </c>
      <c r="H94" s="913" t="s">
        <v>7075</v>
      </c>
      <c r="I94" s="914" t="s">
        <v>644</v>
      </c>
      <c r="J94" s="920">
        <v>5.05</v>
      </c>
      <c r="K94" s="1012">
        <f>IF($G94="","",IFERROR(VLOOKUP($G94,SERVIÇOS!$C:$H,6,0),IFERROR(VLOOKUP($G94,CPU!$F:$M,8,0),"")))</f>
        <v>830.65</v>
      </c>
      <c r="L94" s="855">
        <f t="shared" si="8"/>
        <v>0.2354</v>
      </c>
      <c r="M94" s="825">
        <f t="shared" si="9"/>
        <v>1026.19</v>
      </c>
      <c r="N94" s="826">
        <f t="shared" si="10"/>
        <v>5182.26</v>
      </c>
      <c r="O94" s="856">
        <f t="shared" si="11"/>
        <v>1784792.84</v>
      </c>
      <c r="P94" s="857">
        <f t="shared" si="12"/>
        <v>2.4554193413182414E-3</v>
      </c>
      <c r="Q94" s="857">
        <f t="shared" si="13"/>
        <v>0.8456570800350256</v>
      </c>
      <c r="R94" s="858" t="str">
        <f t="shared" si="14"/>
        <v>C</v>
      </c>
      <c r="S94" s="81"/>
      <c r="T94" s="410">
        <f t="shared" si="15"/>
        <v>2110539.7000000007</v>
      </c>
      <c r="U94" s="69"/>
      <c r="V94" s="69"/>
      <c r="W94" s="69"/>
      <c r="X94" s="744"/>
      <c r="Y94" s="744"/>
      <c r="Z94" s="744"/>
      <c r="AA94" s="744"/>
      <c r="AB94" s="744"/>
      <c r="AC94" s="744"/>
      <c r="AD94" s="744"/>
      <c r="AE94" s="744"/>
      <c r="AF94" s="744"/>
      <c r="AG94" s="744"/>
      <c r="AH94" s="744"/>
      <c r="AI94" s="744"/>
      <c r="AJ94" s="744"/>
      <c r="AK94" s="744"/>
      <c r="AL94" s="744"/>
      <c r="AM94" s="744"/>
      <c r="AN94" s="744"/>
      <c r="AO94" s="744"/>
      <c r="AP94" s="744"/>
      <c r="AQ94" s="744"/>
    </row>
    <row r="95" spans="5:43" s="745" customFormat="1" ht="38.25">
      <c r="E95" s="69"/>
      <c r="F95" s="910" t="s">
        <v>2239</v>
      </c>
      <c r="G95" s="911" t="s">
        <v>8488</v>
      </c>
      <c r="H95" s="913" t="s">
        <v>8480</v>
      </c>
      <c r="I95" s="914" t="s">
        <v>648</v>
      </c>
      <c r="J95" s="920">
        <v>135</v>
      </c>
      <c r="K95" s="1012">
        <f>IF($G95="","",IFERROR(VLOOKUP($G95,SERVIÇOS!$C:$H,6,0),IFERROR(VLOOKUP($G95,CPU!$F:$M,8,0),"")))</f>
        <v>30.880000000000003</v>
      </c>
      <c r="L95" s="855">
        <f t="shared" si="8"/>
        <v>0.2354</v>
      </c>
      <c r="M95" s="825">
        <f t="shared" si="9"/>
        <v>38.15</v>
      </c>
      <c r="N95" s="826">
        <f t="shared" si="10"/>
        <v>5150.25</v>
      </c>
      <c r="O95" s="856">
        <f t="shared" si="11"/>
        <v>1789943.09</v>
      </c>
      <c r="P95" s="857">
        <f t="shared" si="12"/>
        <v>2.4402526045826092E-3</v>
      </c>
      <c r="Q95" s="857">
        <f t="shared" si="13"/>
        <v>0.84809733263960818</v>
      </c>
      <c r="R95" s="858" t="str">
        <f t="shared" si="14"/>
        <v>C</v>
      </c>
      <c r="S95" s="81"/>
      <c r="T95" s="410">
        <f t="shared" si="15"/>
        <v>2110539.7000000007</v>
      </c>
      <c r="U95" s="69"/>
      <c r="V95" s="69"/>
      <c r="W95" s="69"/>
      <c r="X95" s="69"/>
      <c r="Y95" s="69"/>
      <c r="Z95" s="69"/>
      <c r="AA95" s="69"/>
      <c r="AB95" s="69"/>
      <c r="AC95" s="69"/>
      <c r="AD95" s="69"/>
      <c r="AE95" s="69"/>
      <c r="AF95" s="69"/>
      <c r="AG95" s="69"/>
      <c r="AH95" s="69"/>
      <c r="AI95" s="69"/>
      <c r="AJ95" s="69"/>
      <c r="AK95" s="69"/>
      <c r="AL95" s="69"/>
      <c r="AM95" s="69"/>
      <c r="AN95" s="69"/>
      <c r="AO95" s="69"/>
      <c r="AP95" s="69"/>
      <c r="AQ95" s="69"/>
    </row>
    <row r="96" spans="5:43" s="745" customFormat="1" ht="25.5">
      <c r="E96" s="69"/>
      <c r="F96" s="910" t="s">
        <v>2238</v>
      </c>
      <c r="G96" s="911">
        <v>86881</v>
      </c>
      <c r="H96" s="913" t="s">
        <v>4242</v>
      </c>
      <c r="I96" s="914" t="s">
        <v>646</v>
      </c>
      <c r="J96" s="920">
        <v>11</v>
      </c>
      <c r="K96" s="1012">
        <f>IF($G96="","",IFERROR(VLOOKUP($G96,SERVIÇOS!$C:$H,6,0),IFERROR(VLOOKUP($G96,CPU!$F:$M,8,0),"")))</f>
        <v>375.07</v>
      </c>
      <c r="L96" s="855">
        <f t="shared" si="8"/>
        <v>0.2354</v>
      </c>
      <c r="M96" s="825">
        <f t="shared" si="9"/>
        <v>463.36</v>
      </c>
      <c r="N96" s="826">
        <f t="shared" si="10"/>
        <v>5096.96</v>
      </c>
      <c r="O96" s="856">
        <f t="shared" si="11"/>
        <v>1795040.05</v>
      </c>
      <c r="P96" s="857">
        <f t="shared" si="12"/>
        <v>2.415003138770618E-3</v>
      </c>
      <c r="Q96" s="857">
        <f t="shared" si="13"/>
        <v>0.85051233577837881</v>
      </c>
      <c r="R96" s="858" t="str">
        <f t="shared" si="14"/>
        <v>C</v>
      </c>
      <c r="S96" s="81"/>
      <c r="T96" s="410">
        <f t="shared" si="15"/>
        <v>2110539.7000000007</v>
      </c>
      <c r="U96" s="69"/>
      <c r="V96" s="69"/>
      <c r="W96" s="69"/>
      <c r="X96" s="69"/>
      <c r="Y96" s="69"/>
      <c r="Z96" s="69"/>
      <c r="AA96" s="69"/>
      <c r="AB96" s="69"/>
      <c r="AC96" s="69"/>
      <c r="AD96" s="69"/>
      <c r="AE96" s="69"/>
      <c r="AF96" s="69"/>
      <c r="AG96" s="69"/>
      <c r="AH96" s="69"/>
      <c r="AI96" s="69"/>
      <c r="AJ96" s="69"/>
      <c r="AK96" s="69"/>
      <c r="AL96" s="69"/>
      <c r="AM96" s="69"/>
      <c r="AN96" s="69"/>
      <c r="AO96" s="69"/>
      <c r="AP96" s="69"/>
      <c r="AQ96" s="69"/>
    </row>
    <row r="97" spans="5:43" s="745" customFormat="1">
      <c r="E97" s="69"/>
      <c r="F97" s="910" t="s">
        <v>2238</v>
      </c>
      <c r="G97" s="911">
        <v>102197</v>
      </c>
      <c r="H97" s="913" t="s">
        <v>6070</v>
      </c>
      <c r="I97" s="914" t="s">
        <v>649</v>
      </c>
      <c r="J97" s="920">
        <v>120.69</v>
      </c>
      <c r="K97" s="1012">
        <f>IF($G97="","",IFERROR(VLOOKUP($G97,SERVIÇOS!$C:$H,6,0),IFERROR(VLOOKUP($G97,CPU!$F:$M,8,0),"")))</f>
        <v>34.130000000000003</v>
      </c>
      <c r="L97" s="855">
        <f t="shared" si="8"/>
        <v>0.2354</v>
      </c>
      <c r="M97" s="825">
        <f t="shared" si="9"/>
        <v>42.16</v>
      </c>
      <c r="N97" s="826">
        <f t="shared" si="10"/>
        <v>5088.29</v>
      </c>
      <c r="O97" s="856">
        <f t="shared" si="11"/>
        <v>1800128.34</v>
      </c>
      <c r="P97" s="857">
        <f t="shared" si="12"/>
        <v>2.4108951847719323E-3</v>
      </c>
      <c r="Q97" s="857">
        <f t="shared" si="13"/>
        <v>0.8529232309631507</v>
      </c>
      <c r="R97" s="858" t="str">
        <f t="shared" si="14"/>
        <v>C</v>
      </c>
      <c r="S97" s="81"/>
      <c r="T97" s="410">
        <f t="shared" si="15"/>
        <v>2110539.7000000007</v>
      </c>
      <c r="U97" s="69"/>
      <c r="V97" s="69"/>
      <c r="W97" s="69"/>
      <c r="X97" s="69"/>
      <c r="Y97" s="69"/>
      <c r="Z97" s="69"/>
      <c r="AA97" s="69"/>
      <c r="AB97" s="69"/>
      <c r="AC97" s="69"/>
      <c r="AD97" s="69"/>
      <c r="AE97" s="69"/>
      <c r="AF97" s="69"/>
      <c r="AG97" s="69"/>
      <c r="AH97" s="69"/>
      <c r="AI97" s="69"/>
      <c r="AJ97" s="69"/>
      <c r="AK97" s="69"/>
      <c r="AL97" s="69"/>
      <c r="AM97" s="69"/>
      <c r="AN97" s="69"/>
      <c r="AO97" s="69"/>
      <c r="AP97" s="69"/>
      <c r="AQ97" s="69"/>
    </row>
    <row r="98" spans="5:43" s="745" customFormat="1" ht="25.5">
      <c r="E98" s="69"/>
      <c r="F98" s="910" t="s">
        <v>2238</v>
      </c>
      <c r="G98" s="911">
        <v>94281</v>
      </c>
      <c r="H98" s="913" t="s">
        <v>1722</v>
      </c>
      <c r="I98" s="914" t="s">
        <v>648</v>
      </c>
      <c r="J98" s="920">
        <v>75.290000000000006</v>
      </c>
      <c r="K98" s="1012">
        <f>IF($G98="","",IFERROR(VLOOKUP($G98,SERVIÇOS!$C:$H,6,0),IFERROR(VLOOKUP($G98,CPU!$F:$M,8,0),"")))</f>
        <v>54.54</v>
      </c>
      <c r="L98" s="855">
        <f t="shared" si="8"/>
        <v>0.2354</v>
      </c>
      <c r="M98" s="825">
        <f t="shared" si="9"/>
        <v>67.38</v>
      </c>
      <c r="N98" s="826">
        <f t="shared" si="10"/>
        <v>5073.04</v>
      </c>
      <c r="O98" s="856">
        <f t="shared" si="11"/>
        <v>1805201.3800000001</v>
      </c>
      <c r="P98" s="857">
        <f t="shared" si="12"/>
        <v>2.4036695448088458E-3</v>
      </c>
      <c r="Q98" s="857">
        <f t="shared" si="13"/>
        <v>0.85532690050795956</v>
      </c>
      <c r="R98" s="858" t="str">
        <f t="shared" si="14"/>
        <v>C</v>
      </c>
      <c r="S98" s="81"/>
      <c r="T98" s="410">
        <f t="shared" si="15"/>
        <v>2110539.7000000007</v>
      </c>
      <c r="U98" s="69"/>
      <c r="V98" s="69"/>
      <c r="W98" s="69"/>
      <c r="X98" s="69"/>
      <c r="Y98" s="69"/>
      <c r="Z98" s="69"/>
      <c r="AA98" s="69"/>
      <c r="AB98" s="69"/>
      <c r="AC98" s="69"/>
      <c r="AD98" s="69"/>
      <c r="AE98" s="69"/>
      <c r="AF98" s="69"/>
      <c r="AG98" s="69"/>
      <c r="AH98" s="69"/>
      <c r="AI98" s="69"/>
      <c r="AJ98" s="69"/>
      <c r="AK98" s="69"/>
      <c r="AL98" s="69"/>
      <c r="AM98" s="69"/>
      <c r="AN98" s="69"/>
      <c r="AO98" s="69"/>
      <c r="AP98" s="69"/>
      <c r="AQ98" s="69"/>
    </row>
    <row r="99" spans="5:43" s="745" customFormat="1" ht="25.5">
      <c r="E99" s="69"/>
      <c r="F99" s="910" t="s">
        <v>2239</v>
      </c>
      <c r="G99" s="911" t="s">
        <v>7168</v>
      </c>
      <c r="H99" s="913" t="s">
        <v>7169</v>
      </c>
      <c r="I99" s="914" t="s">
        <v>644</v>
      </c>
      <c r="J99" s="920">
        <v>6.68</v>
      </c>
      <c r="K99" s="1012">
        <f>IF($G99="","",IFERROR(VLOOKUP($G99,SERVIÇOS!$C:$H,6,0),IFERROR(VLOOKUP($G99,CPU!$F:$M,8,0),"")))</f>
        <v>612.45000000000005</v>
      </c>
      <c r="L99" s="855">
        <f t="shared" si="8"/>
        <v>0.2354</v>
      </c>
      <c r="M99" s="825">
        <f t="shared" si="9"/>
        <v>756.62</v>
      </c>
      <c r="N99" s="826">
        <f t="shared" si="10"/>
        <v>5054.22</v>
      </c>
      <c r="O99" s="856">
        <f t="shared" si="11"/>
        <v>1810255.6</v>
      </c>
      <c r="P99" s="857">
        <f t="shared" si="12"/>
        <v>2.3947523943757131E-3</v>
      </c>
      <c r="Q99" s="857">
        <f t="shared" si="13"/>
        <v>0.85772165290233526</v>
      </c>
      <c r="R99" s="858" t="str">
        <f t="shared" si="14"/>
        <v>C</v>
      </c>
      <c r="S99" s="81"/>
      <c r="T99" s="410">
        <f t="shared" si="15"/>
        <v>2110539.7000000007</v>
      </c>
      <c r="U99" s="69"/>
      <c r="V99" s="69"/>
      <c r="W99" s="69"/>
      <c r="X99" s="69"/>
      <c r="Y99" s="69"/>
      <c r="Z99" s="69"/>
      <c r="AA99" s="69"/>
      <c r="AB99" s="69"/>
      <c r="AC99" s="69"/>
      <c r="AD99" s="69"/>
      <c r="AE99" s="69"/>
      <c r="AF99" s="69"/>
      <c r="AG99" s="69"/>
      <c r="AH99" s="69"/>
      <c r="AI99" s="69"/>
      <c r="AJ99" s="69"/>
      <c r="AK99" s="69"/>
      <c r="AL99" s="69"/>
      <c r="AM99" s="69"/>
      <c r="AN99" s="69"/>
      <c r="AO99" s="69"/>
      <c r="AP99" s="69"/>
      <c r="AQ99" s="69"/>
    </row>
    <row r="100" spans="5:43" s="745" customFormat="1" ht="25.5">
      <c r="E100" s="69"/>
      <c r="F100" s="910" t="s">
        <v>2238</v>
      </c>
      <c r="G100" s="911">
        <v>86888</v>
      </c>
      <c r="H100" s="913" t="s">
        <v>4249</v>
      </c>
      <c r="I100" s="914" t="s">
        <v>646</v>
      </c>
      <c r="J100" s="919">
        <v>9</v>
      </c>
      <c r="K100" s="1012">
        <f>IF($G100="","",IFERROR(VLOOKUP($G100,SERVIÇOS!$C:$H,6,0),IFERROR(VLOOKUP($G100,CPU!$F:$M,8,0),"")))</f>
        <v>440.67</v>
      </c>
      <c r="L100" s="855">
        <f t="shared" si="8"/>
        <v>0.2354</v>
      </c>
      <c r="M100" s="825">
        <f t="shared" si="9"/>
        <v>544.4</v>
      </c>
      <c r="N100" s="826">
        <f t="shared" si="10"/>
        <v>4899.6000000000004</v>
      </c>
      <c r="O100" s="856">
        <f t="shared" si="11"/>
        <v>1815155.2000000002</v>
      </c>
      <c r="P100" s="857">
        <f t="shared" si="12"/>
        <v>2.3214915123368676E-3</v>
      </c>
      <c r="Q100" s="857">
        <f t="shared" si="13"/>
        <v>0.86004314441467211</v>
      </c>
      <c r="R100" s="858" t="str">
        <f t="shared" si="14"/>
        <v>C</v>
      </c>
      <c r="S100" s="81"/>
      <c r="T100" s="410">
        <f t="shared" si="15"/>
        <v>2110539.7000000007</v>
      </c>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row>
    <row r="101" spans="5:43" s="745" customFormat="1" ht="25.5">
      <c r="E101" s="69"/>
      <c r="F101" s="910" t="s">
        <v>2239</v>
      </c>
      <c r="G101" s="911" t="s">
        <v>8641</v>
      </c>
      <c r="H101" s="913" t="s">
        <v>8642</v>
      </c>
      <c r="I101" s="914" t="s">
        <v>649</v>
      </c>
      <c r="J101" s="920">
        <v>3.78</v>
      </c>
      <c r="K101" s="1012">
        <f>IF($G101="","",IFERROR(VLOOKUP($G101,SERVIÇOS!$C:$H,6,0),IFERROR(VLOOKUP($G101,CPU!$F:$M,8,0),"")))</f>
        <v>1037.1499999999999</v>
      </c>
      <c r="L101" s="855">
        <f t="shared" si="8"/>
        <v>0.2354</v>
      </c>
      <c r="M101" s="825">
        <f t="shared" si="9"/>
        <v>1281.3</v>
      </c>
      <c r="N101" s="826">
        <f t="shared" si="10"/>
        <v>4843.3100000000004</v>
      </c>
      <c r="O101" s="856">
        <f t="shared" si="11"/>
        <v>1819998.5100000002</v>
      </c>
      <c r="P101" s="857">
        <f t="shared" si="12"/>
        <v>2.2948206091550892E-3</v>
      </c>
      <c r="Q101" s="857">
        <f t="shared" si="13"/>
        <v>0.8623379650238272</v>
      </c>
      <c r="R101" s="858" t="str">
        <f t="shared" si="14"/>
        <v>C</v>
      </c>
      <c r="S101" s="81"/>
      <c r="T101" s="410">
        <f t="shared" si="15"/>
        <v>2110539.7000000007</v>
      </c>
      <c r="U101" s="69"/>
      <c r="V101" s="69"/>
      <c r="W101" s="69"/>
      <c r="X101" s="744"/>
      <c r="Y101" s="744"/>
      <c r="Z101" s="744"/>
      <c r="AA101" s="744"/>
      <c r="AB101" s="744"/>
      <c r="AC101" s="744"/>
      <c r="AD101" s="744"/>
      <c r="AE101" s="744"/>
      <c r="AF101" s="744"/>
      <c r="AG101" s="744"/>
      <c r="AH101" s="744"/>
      <c r="AI101" s="744"/>
      <c r="AJ101" s="744"/>
      <c r="AK101" s="744"/>
      <c r="AL101" s="744"/>
      <c r="AM101" s="744"/>
      <c r="AN101" s="744"/>
      <c r="AO101" s="744"/>
      <c r="AP101" s="744"/>
      <c r="AQ101" s="744"/>
    </row>
    <row r="102" spans="5:43" s="745" customFormat="1" ht="38.25">
      <c r="E102" s="69"/>
      <c r="F102" s="910" t="s">
        <v>2238</v>
      </c>
      <c r="G102" s="911">
        <v>94273</v>
      </c>
      <c r="H102" s="913" t="s">
        <v>1573</v>
      </c>
      <c r="I102" s="914" t="s">
        <v>648</v>
      </c>
      <c r="J102" s="920">
        <v>75.290000000000006</v>
      </c>
      <c r="K102" s="1012">
        <f>IF($G102="","",IFERROR(VLOOKUP($G102,SERVIÇOS!$C:$H,6,0),IFERROR(VLOOKUP($G102,CPU!$F:$M,8,0),"")))</f>
        <v>51.97</v>
      </c>
      <c r="L102" s="855">
        <f t="shared" si="8"/>
        <v>0.2354</v>
      </c>
      <c r="M102" s="825">
        <f t="shared" si="9"/>
        <v>64.2</v>
      </c>
      <c r="N102" s="826">
        <f t="shared" si="10"/>
        <v>4833.62</v>
      </c>
      <c r="O102" s="856">
        <f t="shared" si="11"/>
        <v>1824832.1300000004</v>
      </c>
      <c r="P102" s="857">
        <f t="shared" si="12"/>
        <v>2.2902293664506753E-3</v>
      </c>
      <c r="Q102" s="857">
        <f t="shared" si="13"/>
        <v>0.86462819439027783</v>
      </c>
      <c r="R102" s="858" t="str">
        <f t="shared" si="14"/>
        <v>C</v>
      </c>
      <c r="S102" s="81"/>
      <c r="T102" s="410">
        <f t="shared" si="15"/>
        <v>2110539.7000000007</v>
      </c>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row>
    <row r="103" spans="5:43" s="745" customFormat="1">
      <c r="E103" s="69"/>
      <c r="F103" s="910" t="s">
        <v>2238</v>
      </c>
      <c r="G103" s="911">
        <v>88485</v>
      </c>
      <c r="H103" s="913" t="s">
        <v>312</v>
      </c>
      <c r="I103" s="914" t="s">
        <v>649</v>
      </c>
      <c r="J103" s="920">
        <v>1201.7</v>
      </c>
      <c r="K103" s="1012">
        <f>IF($G103="","",IFERROR(VLOOKUP($G103,SERVIÇOS!$C:$H,6,0),IFERROR(VLOOKUP($G103,CPU!$F:$M,8,0),"")))</f>
        <v>3.25</v>
      </c>
      <c r="L103" s="855">
        <f t="shared" si="8"/>
        <v>0.2354</v>
      </c>
      <c r="M103" s="825">
        <f t="shared" si="9"/>
        <v>4.0199999999999996</v>
      </c>
      <c r="N103" s="826">
        <f t="shared" si="10"/>
        <v>4830.83</v>
      </c>
      <c r="O103" s="856">
        <f t="shared" si="11"/>
        <v>1829662.9600000004</v>
      </c>
      <c r="P103" s="857">
        <f t="shared" si="12"/>
        <v>2.2889074296967731E-3</v>
      </c>
      <c r="Q103" s="857">
        <f t="shared" si="13"/>
        <v>0.86691710181997461</v>
      </c>
      <c r="R103" s="858" t="str">
        <f t="shared" si="14"/>
        <v>C</v>
      </c>
      <c r="S103" s="81"/>
      <c r="T103" s="410">
        <f t="shared" si="15"/>
        <v>2110539.7000000007</v>
      </c>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row>
    <row r="104" spans="5:43" s="745" customFormat="1" ht="38.25">
      <c r="E104" s="69"/>
      <c r="F104" s="910" t="s">
        <v>2238</v>
      </c>
      <c r="G104" s="911">
        <v>91792</v>
      </c>
      <c r="H104" s="913" t="s">
        <v>1326</v>
      </c>
      <c r="I104" s="914" t="s">
        <v>648</v>
      </c>
      <c r="J104" s="920">
        <v>56.099999999999994</v>
      </c>
      <c r="K104" s="1012">
        <f>IF($G104="","",IFERROR(VLOOKUP($G104,SERVIÇOS!$C:$H,6,0),IFERROR(VLOOKUP($G104,CPU!$F:$M,8,0),"")))</f>
        <v>69.61</v>
      </c>
      <c r="L104" s="855">
        <f t="shared" si="8"/>
        <v>0.2354</v>
      </c>
      <c r="M104" s="825">
        <f t="shared" si="9"/>
        <v>86</v>
      </c>
      <c r="N104" s="826">
        <f t="shared" si="10"/>
        <v>4824.6000000000004</v>
      </c>
      <c r="O104" s="856">
        <f t="shared" si="11"/>
        <v>1834487.5600000005</v>
      </c>
      <c r="P104" s="857">
        <f t="shared" si="12"/>
        <v>2.2859555780921814E-3</v>
      </c>
      <c r="Q104" s="857">
        <f t="shared" si="13"/>
        <v>0.8692030573980668</v>
      </c>
      <c r="R104" s="858" t="str">
        <f t="shared" si="14"/>
        <v>C</v>
      </c>
      <c r="S104" s="81"/>
      <c r="T104" s="410">
        <f t="shared" si="15"/>
        <v>2110539.7000000007</v>
      </c>
      <c r="U104" s="69"/>
      <c r="V104" s="69"/>
      <c r="W104" s="69"/>
      <c r="X104" s="744"/>
      <c r="Y104" s="744"/>
      <c r="Z104" s="744"/>
      <c r="AA104" s="744"/>
      <c r="AB104" s="744"/>
      <c r="AC104" s="744"/>
      <c r="AD104" s="744"/>
      <c r="AE104" s="744"/>
      <c r="AF104" s="744"/>
      <c r="AG104" s="744"/>
      <c r="AH104" s="744"/>
      <c r="AI104" s="744"/>
      <c r="AJ104" s="744"/>
      <c r="AK104" s="744"/>
      <c r="AL104" s="744"/>
      <c r="AM104" s="744"/>
      <c r="AN104" s="744"/>
      <c r="AO104" s="744"/>
      <c r="AP104" s="744"/>
      <c r="AQ104" s="744"/>
    </row>
    <row r="105" spans="5:43" s="745" customFormat="1" ht="25.5">
      <c r="E105" s="69"/>
      <c r="F105" s="910" t="s">
        <v>2238</v>
      </c>
      <c r="G105" s="911">
        <v>92763</v>
      </c>
      <c r="H105" s="913" t="s">
        <v>7768</v>
      </c>
      <c r="I105" s="914" t="s">
        <v>645</v>
      </c>
      <c r="J105" s="920">
        <v>355.83</v>
      </c>
      <c r="K105" s="1012">
        <f>IF($G105="","",IFERROR(VLOOKUP($G105,SERVIÇOS!$C:$H,6,0),IFERROR(VLOOKUP($G105,CPU!$F:$M,8,0),"")))</f>
        <v>10.92</v>
      </c>
      <c r="L105" s="855">
        <f t="shared" si="8"/>
        <v>0.2354</v>
      </c>
      <c r="M105" s="825">
        <f t="shared" si="9"/>
        <v>13.49</v>
      </c>
      <c r="N105" s="826">
        <f t="shared" si="10"/>
        <v>4800.1499999999996</v>
      </c>
      <c r="O105" s="856">
        <f t="shared" si="11"/>
        <v>1839287.7100000004</v>
      </c>
      <c r="P105" s="857">
        <f t="shared" si="12"/>
        <v>2.2743708635284132E-3</v>
      </c>
      <c r="Q105" s="857">
        <f t="shared" si="13"/>
        <v>0.87147742826159524</v>
      </c>
      <c r="R105" s="858" t="str">
        <f t="shared" si="14"/>
        <v>C</v>
      </c>
      <c r="S105" s="81"/>
      <c r="T105" s="410">
        <f t="shared" si="15"/>
        <v>2110539.7000000007</v>
      </c>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row>
    <row r="106" spans="5:43" s="745" customFormat="1" ht="25.5">
      <c r="E106" s="69"/>
      <c r="F106" s="910" t="s">
        <v>2239</v>
      </c>
      <c r="G106" s="911" t="s">
        <v>2878</v>
      </c>
      <c r="H106" s="913" t="s">
        <v>7509</v>
      </c>
      <c r="I106" s="914" t="s">
        <v>646</v>
      </c>
      <c r="J106" s="920">
        <v>4</v>
      </c>
      <c r="K106" s="1012">
        <f>IF($G106="","",IFERROR(VLOOKUP($G106,SERVIÇOS!$C:$H,6,0),IFERROR(VLOOKUP($G106,CPU!$F:$M,8,0),"")))</f>
        <v>958.27</v>
      </c>
      <c r="L106" s="855">
        <f t="shared" si="8"/>
        <v>0.2354</v>
      </c>
      <c r="M106" s="825">
        <f t="shared" si="9"/>
        <v>1183.8499999999999</v>
      </c>
      <c r="N106" s="826">
        <f t="shared" si="10"/>
        <v>4735.3999999999996</v>
      </c>
      <c r="O106" s="856">
        <f t="shared" si="11"/>
        <v>1844023.1100000003</v>
      </c>
      <c r="P106" s="857">
        <f t="shared" si="12"/>
        <v>2.2436915069638341E-3</v>
      </c>
      <c r="Q106" s="857">
        <f t="shared" si="13"/>
        <v>0.87372111976855904</v>
      </c>
      <c r="R106" s="858" t="str">
        <f t="shared" si="14"/>
        <v>C</v>
      </c>
      <c r="S106" s="81"/>
      <c r="T106" s="410">
        <f t="shared" si="15"/>
        <v>2110539.7000000007</v>
      </c>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row>
    <row r="107" spans="5:43" s="745" customFormat="1" ht="25.5">
      <c r="E107" s="69"/>
      <c r="F107" s="910" t="s">
        <v>2239</v>
      </c>
      <c r="G107" s="911" t="s">
        <v>14580</v>
      </c>
      <c r="H107" s="913" t="s">
        <v>14582</v>
      </c>
      <c r="I107" s="914" t="s">
        <v>648</v>
      </c>
      <c r="J107" s="920">
        <v>51</v>
      </c>
      <c r="K107" s="1012">
        <f>IF($G107="","",IFERROR(VLOOKUP($G107,SERVIÇOS!$C:$H,6,0),IFERROR(VLOOKUP($G107,CPU!$F:$M,8,0),"")))</f>
        <v>74.62</v>
      </c>
      <c r="L107" s="855">
        <f t="shared" si="8"/>
        <v>0.2354</v>
      </c>
      <c r="M107" s="825">
        <f t="shared" si="9"/>
        <v>92.19</v>
      </c>
      <c r="N107" s="826">
        <f t="shared" si="10"/>
        <v>4701.6899999999996</v>
      </c>
      <c r="O107" s="856">
        <f t="shared" si="11"/>
        <v>1848724.8000000003</v>
      </c>
      <c r="P107" s="857">
        <f t="shared" si="12"/>
        <v>2.2277192890519889E-3</v>
      </c>
      <c r="Q107" s="857">
        <f t="shared" si="13"/>
        <v>0.87594883905761101</v>
      </c>
      <c r="R107" s="858" t="str">
        <f t="shared" si="14"/>
        <v>C</v>
      </c>
      <c r="S107" s="81"/>
      <c r="T107" s="410">
        <f t="shared" si="15"/>
        <v>2110539.7000000007</v>
      </c>
      <c r="U107" s="69"/>
      <c r="V107" s="69"/>
      <c r="W107" s="69"/>
      <c r="X107" s="744"/>
      <c r="Y107" s="744"/>
      <c r="Z107" s="744"/>
      <c r="AA107" s="744"/>
      <c r="AB107" s="744"/>
      <c r="AC107" s="744"/>
      <c r="AD107" s="744"/>
      <c r="AE107" s="744"/>
      <c r="AF107" s="744"/>
      <c r="AG107" s="744"/>
      <c r="AH107" s="744"/>
      <c r="AI107" s="744"/>
      <c r="AJ107" s="744"/>
      <c r="AK107" s="744"/>
      <c r="AL107" s="744"/>
      <c r="AM107" s="744"/>
      <c r="AN107" s="744"/>
      <c r="AO107" s="744"/>
      <c r="AP107" s="744"/>
      <c r="AQ107" s="744"/>
    </row>
    <row r="108" spans="5:43" s="745" customFormat="1">
      <c r="E108" s="69"/>
      <c r="F108" s="910" t="s">
        <v>2239</v>
      </c>
      <c r="G108" s="911" t="s">
        <v>8769</v>
      </c>
      <c r="H108" s="913" t="s">
        <v>6995</v>
      </c>
      <c r="I108" s="914" t="s">
        <v>644</v>
      </c>
      <c r="J108" s="920">
        <v>126.52000000000001</v>
      </c>
      <c r="K108" s="1012">
        <f>IF($G108="","",IFERROR(VLOOKUP($G108,SERVIÇOS!$C:$H,6,0),IFERROR(VLOOKUP($G108,CPU!$F:$M,8,0),"")))</f>
        <v>29.24</v>
      </c>
      <c r="L108" s="855">
        <f t="shared" si="8"/>
        <v>0.2354</v>
      </c>
      <c r="M108" s="825">
        <f t="shared" si="9"/>
        <v>36.119999999999997</v>
      </c>
      <c r="N108" s="826">
        <f t="shared" si="10"/>
        <v>4569.8999999999996</v>
      </c>
      <c r="O108" s="856">
        <f t="shared" si="11"/>
        <v>1853294.7000000002</v>
      </c>
      <c r="P108" s="857">
        <f t="shared" si="12"/>
        <v>2.1652755453972264E-3</v>
      </c>
      <c r="Q108" s="857">
        <f t="shared" si="13"/>
        <v>0.87811411460300826</v>
      </c>
      <c r="R108" s="858" t="str">
        <f t="shared" si="14"/>
        <v>C</v>
      </c>
      <c r="S108" s="81"/>
      <c r="T108" s="410">
        <f t="shared" si="15"/>
        <v>2110539.7000000007</v>
      </c>
      <c r="U108" s="69"/>
      <c r="V108" s="69"/>
      <c r="W108" s="69"/>
      <c r="X108" s="744"/>
      <c r="Y108" s="744"/>
      <c r="Z108" s="744"/>
      <c r="AA108" s="744"/>
      <c r="AB108" s="744"/>
      <c r="AC108" s="744"/>
      <c r="AD108" s="744"/>
      <c r="AE108" s="744"/>
      <c r="AF108" s="744"/>
      <c r="AG108" s="744"/>
      <c r="AH108" s="744"/>
      <c r="AI108" s="744"/>
      <c r="AJ108" s="744"/>
      <c r="AK108" s="744"/>
      <c r="AL108" s="744"/>
      <c r="AM108" s="744"/>
      <c r="AN108" s="744"/>
      <c r="AO108" s="744"/>
      <c r="AP108" s="744"/>
      <c r="AQ108" s="744"/>
    </row>
    <row r="109" spans="5:43" s="745" customFormat="1" ht="38.25">
      <c r="E109" s="69"/>
      <c r="F109" s="910" t="s">
        <v>2239</v>
      </c>
      <c r="G109" s="911" t="s">
        <v>5266</v>
      </c>
      <c r="H109" s="913" t="s">
        <v>7666</v>
      </c>
      <c r="I109" s="914" t="s">
        <v>648</v>
      </c>
      <c r="J109" s="920">
        <v>76</v>
      </c>
      <c r="K109" s="1012">
        <f>IF($G109="","",IFERROR(VLOOKUP($G109,SERVIÇOS!$C:$H,6,0),IFERROR(VLOOKUP($G109,CPU!$F:$M,8,0),"")))</f>
        <v>48.53</v>
      </c>
      <c r="L109" s="855">
        <f t="shared" si="8"/>
        <v>0.2354</v>
      </c>
      <c r="M109" s="825">
        <f t="shared" si="9"/>
        <v>59.95</v>
      </c>
      <c r="N109" s="826">
        <f t="shared" si="10"/>
        <v>4556.2</v>
      </c>
      <c r="O109" s="856">
        <f t="shared" si="11"/>
        <v>1857850.9000000001</v>
      </c>
      <c r="P109" s="857">
        <f t="shared" si="12"/>
        <v>2.1587843147418636E-3</v>
      </c>
      <c r="Q109" s="857">
        <f t="shared" si="13"/>
        <v>0.88027289891775007</v>
      </c>
      <c r="R109" s="858" t="str">
        <f t="shared" si="14"/>
        <v>C</v>
      </c>
      <c r="S109" s="81"/>
      <c r="T109" s="410">
        <f t="shared" si="15"/>
        <v>2110539.7000000007</v>
      </c>
      <c r="U109" s="69"/>
      <c r="V109" s="69"/>
      <c r="W109" s="69"/>
      <c r="X109" s="744"/>
      <c r="Y109" s="744"/>
      <c r="Z109" s="744"/>
      <c r="AA109" s="744"/>
      <c r="AB109" s="744"/>
      <c r="AC109" s="744"/>
      <c r="AD109" s="744"/>
      <c r="AE109" s="744"/>
      <c r="AF109" s="744"/>
      <c r="AG109" s="744"/>
      <c r="AH109" s="744"/>
      <c r="AI109" s="744"/>
      <c r="AJ109" s="744"/>
      <c r="AK109" s="744"/>
      <c r="AL109" s="744"/>
      <c r="AM109" s="744"/>
      <c r="AN109" s="744"/>
      <c r="AO109" s="744"/>
      <c r="AP109" s="744"/>
      <c r="AQ109" s="744"/>
    </row>
    <row r="110" spans="5:43" s="745" customFormat="1" ht="25.5">
      <c r="E110" s="69"/>
      <c r="F110" s="910" t="s">
        <v>2238</v>
      </c>
      <c r="G110" s="911">
        <v>95946</v>
      </c>
      <c r="H110" s="913" t="s">
        <v>5570</v>
      </c>
      <c r="I110" s="914" t="s">
        <v>645</v>
      </c>
      <c r="J110" s="920">
        <v>237.89</v>
      </c>
      <c r="K110" s="1012">
        <f>IF($G110="","",IFERROR(VLOOKUP($G110,SERVIÇOS!$C:$H,6,0),IFERROR(VLOOKUP($G110,CPU!$F:$M,8,0),"")))</f>
        <v>14.86</v>
      </c>
      <c r="L110" s="855">
        <f t="shared" si="8"/>
        <v>0.2354</v>
      </c>
      <c r="M110" s="825">
        <f t="shared" si="9"/>
        <v>18.36</v>
      </c>
      <c r="N110" s="826">
        <f t="shared" si="10"/>
        <v>4367.66</v>
      </c>
      <c r="O110" s="856">
        <f t="shared" si="11"/>
        <v>1862218.56</v>
      </c>
      <c r="P110" s="857">
        <f t="shared" si="12"/>
        <v>2.0694517141752883E-3</v>
      </c>
      <c r="Q110" s="857">
        <f t="shared" si="13"/>
        <v>0.88234235063192534</v>
      </c>
      <c r="R110" s="858" t="str">
        <f t="shared" si="14"/>
        <v>C</v>
      </c>
      <c r="S110" s="81"/>
      <c r="T110" s="410">
        <f t="shared" si="15"/>
        <v>2110539.7000000007</v>
      </c>
      <c r="U110" s="69"/>
      <c r="V110" s="69"/>
      <c r="W110" s="69"/>
      <c r="X110" s="744"/>
      <c r="Y110" s="744"/>
      <c r="Z110" s="744"/>
      <c r="AA110" s="744"/>
      <c r="AB110" s="744"/>
      <c r="AC110" s="744"/>
      <c r="AD110" s="744"/>
      <c r="AE110" s="744"/>
      <c r="AF110" s="744"/>
      <c r="AG110" s="744"/>
      <c r="AH110" s="744"/>
      <c r="AI110" s="744"/>
      <c r="AJ110" s="744"/>
      <c r="AK110" s="744"/>
      <c r="AL110" s="744"/>
      <c r="AM110" s="744"/>
      <c r="AN110" s="744"/>
      <c r="AO110" s="744"/>
      <c r="AP110" s="744"/>
      <c r="AQ110" s="744"/>
    </row>
    <row r="111" spans="5:43" s="745" customFormat="1" ht="38.25">
      <c r="E111" s="69"/>
      <c r="F111" s="910" t="s">
        <v>2238</v>
      </c>
      <c r="G111" s="911">
        <v>103324</v>
      </c>
      <c r="H111" s="913" t="s">
        <v>7137</v>
      </c>
      <c r="I111" s="914" t="s">
        <v>649</v>
      </c>
      <c r="J111" s="920">
        <v>43.08</v>
      </c>
      <c r="K111" s="1012">
        <f>IF($G111="","",IFERROR(VLOOKUP($G111,SERVIÇOS!$C:$H,6,0),IFERROR(VLOOKUP($G111,CPU!$F:$M,8,0),"")))</f>
        <v>80.48</v>
      </c>
      <c r="L111" s="855">
        <f t="shared" si="8"/>
        <v>0.2354</v>
      </c>
      <c r="M111" s="825">
        <f t="shared" si="9"/>
        <v>99.42</v>
      </c>
      <c r="N111" s="826">
        <f t="shared" si="10"/>
        <v>4283.01</v>
      </c>
      <c r="O111" s="856">
        <f t="shared" si="11"/>
        <v>1866501.57</v>
      </c>
      <c r="P111" s="857">
        <f t="shared" si="12"/>
        <v>2.0293434897244523E-3</v>
      </c>
      <c r="Q111" s="857">
        <f t="shared" si="13"/>
        <v>0.88437169412164984</v>
      </c>
      <c r="R111" s="858" t="str">
        <f t="shared" si="14"/>
        <v>C</v>
      </c>
      <c r="S111" s="81"/>
      <c r="T111" s="410">
        <f t="shared" si="15"/>
        <v>2110539.7000000007</v>
      </c>
      <c r="U111" s="69"/>
      <c r="V111" s="69"/>
      <c r="W111" s="69"/>
      <c r="X111" s="744"/>
      <c r="Y111" s="744"/>
      <c r="Z111" s="744"/>
      <c r="AA111" s="744"/>
      <c r="AB111" s="744"/>
      <c r="AC111" s="744"/>
      <c r="AD111" s="744"/>
      <c r="AE111" s="744"/>
      <c r="AF111" s="744"/>
      <c r="AG111" s="744"/>
      <c r="AH111" s="744"/>
      <c r="AI111" s="744"/>
      <c r="AJ111" s="744"/>
      <c r="AK111" s="744"/>
      <c r="AL111" s="744"/>
      <c r="AM111" s="744"/>
      <c r="AN111" s="744"/>
      <c r="AO111" s="744"/>
      <c r="AP111" s="744"/>
      <c r="AQ111" s="744"/>
    </row>
    <row r="112" spans="5:43" s="745" customFormat="1" ht="25.5">
      <c r="E112" s="69"/>
      <c r="F112" s="910" t="s">
        <v>2238</v>
      </c>
      <c r="G112" s="911">
        <v>88488</v>
      </c>
      <c r="H112" s="913" t="s">
        <v>313</v>
      </c>
      <c r="I112" s="914" t="s">
        <v>649</v>
      </c>
      <c r="J112" s="920">
        <v>183.07000000000002</v>
      </c>
      <c r="K112" s="1012">
        <f>IF($G112="","",IFERROR(VLOOKUP($G112,SERVIÇOS!$C:$H,6,0),IFERROR(VLOOKUP($G112,CPU!$F:$M,8,0),"")))</f>
        <v>18.579999999999998</v>
      </c>
      <c r="L112" s="855">
        <f t="shared" si="8"/>
        <v>0.2354</v>
      </c>
      <c r="M112" s="825">
        <f t="shared" si="9"/>
        <v>22.95</v>
      </c>
      <c r="N112" s="826">
        <f t="shared" si="10"/>
        <v>4201.46</v>
      </c>
      <c r="O112" s="856">
        <f t="shared" si="11"/>
        <v>1870703.03</v>
      </c>
      <c r="P112" s="857">
        <f t="shared" si="12"/>
        <v>1.9907040838890635E-3</v>
      </c>
      <c r="Q112" s="857">
        <f t="shared" si="13"/>
        <v>0.88636239820553886</v>
      </c>
      <c r="R112" s="858" t="str">
        <f t="shared" si="14"/>
        <v>C</v>
      </c>
      <c r="S112" s="81"/>
      <c r="T112" s="410">
        <f t="shared" si="15"/>
        <v>2110539.7000000007</v>
      </c>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row>
    <row r="113" spans="5:43" s="745" customFormat="1" ht="51">
      <c r="E113" s="69"/>
      <c r="F113" s="910" t="s">
        <v>2239</v>
      </c>
      <c r="G113" s="911" t="s">
        <v>7179</v>
      </c>
      <c r="H113" s="913" t="s">
        <v>7180</v>
      </c>
      <c r="I113" s="914" t="s">
        <v>646</v>
      </c>
      <c r="J113" s="920">
        <v>2</v>
      </c>
      <c r="K113" s="1012">
        <f>IF($G113="","",IFERROR(VLOOKUP($G113,SERVIÇOS!$C:$H,6,0),IFERROR(VLOOKUP($G113,CPU!$F:$M,8,0),"")))</f>
        <v>1661.5</v>
      </c>
      <c r="L113" s="855">
        <f t="shared" si="8"/>
        <v>0.2354</v>
      </c>
      <c r="M113" s="825">
        <f t="shared" si="9"/>
        <v>2052.62</v>
      </c>
      <c r="N113" s="826">
        <f t="shared" si="10"/>
        <v>4105.24</v>
      </c>
      <c r="O113" s="856">
        <f t="shared" si="11"/>
        <v>1874808.27</v>
      </c>
      <c r="P113" s="857">
        <f t="shared" si="12"/>
        <v>1.9451138493154138E-3</v>
      </c>
      <c r="Q113" s="857">
        <f t="shared" si="13"/>
        <v>0.88830751205485425</v>
      </c>
      <c r="R113" s="858" t="str">
        <f t="shared" si="14"/>
        <v>C</v>
      </c>
      <c r="S113" s="81"/>
      <c r="T113" s="410">
        <f t="shared" si="15"/>
        <v>2110539.7000000007</v>
      </c>
      <c r="U113" s="69"/>
      <c r="V113" s="69"/>
      <c r="W113" s="69"/>
      <c r="X113" s="744"/>
      <c r="Y113" s="744"/>
      <c r="Z113" s="744"/>
      <c r="AA113" s="744"/>
      <c r="AB113" s="744"/>
      <c r="AC113" s="744"/>
      <c r="AD113" s="744"/>
      <c r="AE113" s="744"/>
      <c r="AF113" s="744"/>
      <c r="AG113" s="744"/>
      <c r="AH113" s="744"/>
      <c r="AI113" s="744"/>
      <c r="AJ113" s="744"/>
      <c r="AK113" s="744"/>
      <c r="AL113" s="744"/>
      <c r="AM113" s="744"/>
      <c r="AN113" s="744"/>
      <c r="AO113" s="744"/>
      <c r="AP113" s="744"/>
      <c r="AQ113" s="744"/>
    </row>
    <row r="114" spans="5:43" s="745" customFormat="1" ht="25.5">
      <c r="E114" s="69"/>
      <c r="F114" s="910" t="s">
        <v>2238</v>
      </c>
      <c r="G114" s="911">
        <v>92764</v>
      </c>
      <c r="H114" s="913" t="s">
        <v>7769</v>
      </c>
      <c r="I114" s="914" t="s">
        <v>645</v>
      </c>
      <c r="J114" s="919">
        <v>308.66000000000003</v>
      </c>
      <c r="K114" s="1012">
        <f>IF($G114="","",IFERROR(VLOOKUP($G114,SERVIÇOS!$C:$H,6,0),IFERROR(VLOOKUP($G114,CPU!$F:$M,8,0),"")))</f>
        <v>10.6</v>
      </c>
      <c r="L114" s="855">
        <f t="shared" si="8"/>
        <v>0.2354</v>
      </c>
      <c r="M114" s="825">
        <f t="shared" si="9"/>
        <v>13.1</v>
      </c>
      <c r="N114" s="826">
        <f t="shared" si="10"/>
        <v>4043.45</v>
      </c>
      <c r="O114" s="856">
        <f t="shared" si="11"/>
        <v>1878851.72</v>
      </c>
      <c r="P114" s="857">
        <f t="shared" si="12"/>
        <v>1.9158369776223583E-3</v>
      </c>
      <c r="Q114" s="857">
        <f t="shared" si="13"/>
        <v>0.89022334903247657</v>
      </c>
      <c r="R114" s="858" t="str">
        <f t="shared" si="14"/>
        <v>C</v>
      </c>
      <c r="S114" s="81"/>
      <c r="T114" s="410">
        <f t="shared" si="15"/>
        <v>2110539.7000000007</v>
      </c>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row>
    <row r="115" spans="5:43" s="745" customFormat="1" ht="25.5">
      <c r="E115" s="69"/>
      <c r="F115" s="910" t="s">
        <v>2238</v>
      </c>
      <c r="G115" s="911">
        <v>96531</v>
      </c>
      <c r="H115" s="913" t="s">
        <v>2309</v>
      </c>
      <c r="I115" s="914" t="s">
        <v>649</v>
      </c>
      <c r="J115" s="920">
        <v>21.103999999999999</v>
      </c>
      <c r="K115" s="1012">
        <f>IF($G115="","",IFERROR(VLOOKUP($G115,SERVIÇOS!$C:$H,6,0),IFERROR(VLOOKUP($G115,CPU!$F:$M,8,0),"")))</f>
        <v>152.66999999999999</v>
      </c>
      <c r="L115" s="855">
        <f t="shared" si="8"/>
        <v>0.2354</v>
      </c>
      <c r="M115" s="825">
        <f t="shared" si="9"/>
        <v>188.61</v>
      </c>
      <c r="N115" s="826">
        <f t="shared" si="10"/>
        <v>3980.43</v>
      </c>
      <c r="O115" s="856">
        <f t="shared" si="11"/>
        <v>1882832.15</v>
      </c>
      <c r="P115" s="857">
        <f t="shared" si="12"/>
        <v>1.8859773166076898E-3</v>
      </c>
      <c r="Q115" s="857">
        <f t="shared" si="13"/>
        <v>0.89210932634908424</v>
      </c>
      <c r="R115" s="858" t="str">
        <f t="shared" si="14"/>
        <v>C</v>
      </c>
      <c r="S115" s="81"/>
      <c r="T115" s="410">
        <f t="shared" si="15"/>
        <v>2110539.7000000007</v>
      </c>
      <c r="U115" s="69"/>
      <c r="V115" s="69"/>
      <c r="W115" s="69"/>
      <c r="X115" s="744"/>
      <c r="Y115" s="744"/>
      <c r="Z115" s="744"/>
      <c r="AA115" s="744"/>
      <c r="AB115" s="744"/>
      <c r="AC115" s="744"/>
      <c r="AD115" s="744"/>
      <c r="AE115" s="744"/>
      <c r="AF115" s="744"/>
      <c r="AG115" s="744"/>
      <c r="AH115" s="744"/>
      <c r="AI115" s="744"/>
      <c r="AJ115" s="744"/>
      <c r="AK115" s="744"/>
      <c r="AL115" s="744"/>
      <c r="AM115" s="744"/>
      <c r="AN115" s="744"/>
      <c r="AO115" s="744"/>
      <c r="AP115" s="744"/>
      <c r="AQ115" s="744"/>
    </row>
    <row r="116" spans="5:43" s="745" customFormat="1" ht="25.5">
      <c r="E116" s="69"/>
      <c r="F116" s="910" t="s">
        <v>2238</v>
      </c>
      <c r="G116" s="911">
        <v>86938</v>
      </c>
      <c r="H116" s="913" t="s">
        <v>4289</v>
      </c>
      <c r="I116" s="914" t="s">
        <v>646</v>
      </c>
      <c r="J116" s="920">
        <v>5</v>
      </c>
      <c r="K116" s="1012">
        <f>IF($G116="","",IFERROR(VLOOKUP($G116,SERVIÇOS!$C:$H,6,0),IFERROR(VLOOKUP($G116,CPU!$F:$M,8,0),"")))</f>
        <v>639.29</v>
      </c>
      <c r="L116" s="855">
        <f t="shared" si="8"/>
        <v>0.2354</v>
      </c>
      <c r="M116" s="825">
        <f t="shared" si="9"/>
        <v>789.78</v>
      </c>
      <c r="N116" s="826">
        <f t="shared" si="10"/>
        <v>3948.9</v>
      </c>
      <c r="O116" s="856">
        <f t="shared" si="11"/>
        <v>1886781.0499999998</v>
      </c>
      <c r="P116" s="857">
        <f t="shared" si="12"/>
        <v>1.8710380098512238E-3</v>
      </c>
      <c r="Q116" s="857">
        <f t="shared" si="13"/>
        <v>0.89398036435893546</v>
      </c>
      <c r="R116" s="858" t="str">
        <f t="shared" si="14"/>
        <v>C</v>
      </c>
      <c r="S116" s="81"/>
      <c r="T116" s="410">
        <f t="shared" si="15"/>
        <v>2110539.7000000007</v>
      </c>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row>
    <row r="117" spans="5:43" s="745" customFormat="1">
      <c r="E117" s="69"/>
      <c r="F117" s="910" t="s">
        <v>2239</v>
      </c>
      <c r="G117" s="911" t="s">
        <v>14560</v>
      </c>
      <c r="H117" s="913" t="s">
        <v>14561</v>
      </c>
      <c r="I117" s="914" t="s">
        <v>646</v>
      </c>
      <c r="J117" s="920">
        <v>21</v>
      </c>
      <c r="K117" s="1012">
        <f>IF($G117="","",IFERROR(VLOOKUP($G117,SERVIÇOS!$C:$H,6,0),IFERROR(VLOOKUP($G117,CPU!$F:$M,8,0),"")))</f>
        <v>151.84000000000003</v>
      </c>
      <c r="L117" s="855">
        <f t="shared" si="8"/>
        <v>0.2354</v>
      </c>
      <c r="M117" s="825">
        <f t="shared" si="9"/>
        <v>187.58</v>
      </c>
      <c r="N117" s="826">
        <f t="shared" si="10"/>
        <v>3939.18</v>
      </c>
      <c r="O117" s="856">
        <f t="shared" si="11"/>
        <v>1890720.2299999997</v>
      </c>
      <c r="P117" s="857">
        <f t="shared" si="12"/>
        <v>1.8664325527731123E-3</v>
      </c>
      <c r="Q117" s="857">
        <f t="shared" si="13"/>
        <v>0.89584679691170854</v>
      </c>
      <c r="R117" s="858" t="str">
        <f t="shared" si="14"/>
        <v>C</v>
      </c>
      <c r="S117" s="81"/>
      <c r="T117" s="410">
        <f t="shared" si="15"/>
        <v>2110539.7000000007</v>
      </c>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row>
    <row r="118" spans="5:43" s="745" customFormat="1" ht="25.5">
      <c r="E118" s="69"/>
      <c r="F118" s="910" t="s">
        <v>2238</v>
      </c>
      <c r="G118" s="911">
        <v>95875</v>
      </c>
      <c r="H118" s="913" t="s">
        <v>4594</v>
      </c>
      <c r="I118" s="914" t="s">
        <v>84</v>
      </c>
      <c r="J118" s="920">
        <v>1265.2</v>
      </c>
      <c r="K118" s="1012">
        <f>IF($G118="","",IFERROR(VLOOKUP($G118,SERVIÇOS!$C:$H,6,0),IFERROR(VLOOKUP($G118,CPU!$F:$M,8,0),"")))</f>
        <v>2.5099999999999998</v>
      </c>
      <c r="L118" s="855">
        <f t="shared" si="8"/>
        <v>0.2354</v>
      </c>
      <c r="M118" s="825">
        <f t="shared" si="9"/>
        <v>3.1</v>
      </c>
      <c r="N118" s="826">
        <f t="shared" si="10"/>
        <v>3922.12</v>
      </c>
      <c r="O118" s="856">
        <f t="shared" si="11"/>
        <v>1894642.3499999999</v>
      </c>
      <c r="P118" s="857">
        <f t="shared" si="12"/>
        <v>1.8583493122635876E-3</v>
      </c>
      <c r="Q118" s="857">
        <f t="shared" si="13"/>
        <v>0.89770514622397213</v>
      </c>
      <c r="R118" s="858" t="str">
        <f t="shared" si="14"/>
        <v>C</v>
      </c>
      <c r="S118" s="81"/>
      <c r="T118" s="410">
        <f t="shared" si="15"/>
        <v>2110539.7000000007</v>
      </c>
      <c r="U118" s="69"/>
      <c r="V118" s="69"/>
      <c r="W118" s="69"/>
      <c r="X118" s="744"/>
      <c r="Y118" s="744"/>
      <c r="Z118" s="744"/>
      <c r="AA118" s="744"/>
      <c r="AB118" s="744"/>
      <c r="AC118" s="744"/>
      <c r="AD118" s="744"/>
      <c r="AE118" s="744"/>
      <c r="AF118" s="744"/>
      <c r="AG118" s="744"/>
      <c r="AH118" s="744"/>
      <c r="AI118" s="744"/>
      <c r="AJ118" s="744"/>
      <c r="AK118" s="744"/>
      <c r="AL118" s="744"/>
      <c r="AM118" s="744"/>
      <c r="AN118" s="744"/>
      <c r="AO118" s="744"/>
      <c r="AP118" s="744"/>
      <c r="AQ118" s="744"/>
    </row>
    <row r="119" spans="5:43" s="745" customFormat="1" ht="25.5">
      <c r="E119" s="69"/>
      <c r="F119" s="910" t="s">
        <v>2239</v>
      </c>
      <c r="G119" s="911" t="s">
        <v>882</v>
      </c>
      <c r="H119" s="913" t="s">
        <v>8379</v>
      </c>
      <c r="I119" s="914" t="s">
        <v>648</v>
      </c>
      <c r="J119" s="920">
        <v>54.64</v>
      </c>
      <c r="K119" s="1012">
        <f>IF($G119="","",IFERROR(VLOOKUP($G119,SERVIÇOS!$C:$H,6,0),IFERROR(VLOOKUP($G119,CPU!$F:$M,8,0),"")))</f>
        <v>56.960000000000008</v>
      </c>
      <c r="L119" s="855">
        <f t="shared" si="8"/>
        <v>0.2354</v>
      </c>
      <c r="M119" s="825">
        <f t="shared" si="9"/>
        <v>70.37</v>
      </c>
      <c r="N119" s="826">
        <f t="shared" si="10"/>
        <v>3845.02</v>
      </c>
      <c r="O119" s="856">
        <f t="shared" si="11"/>
        <v>1898487.3699999999</v>
      </c>
      <c r="P119" s="857">
        <f t="shared" si="12"/>
        <v>1.8218183718600501E-3</v>
      </c>
      <c r="Q119" s="857">
        <f t="shared" si="13"/>
        <v>0.89952696459583215</v>
      </c>
      <c r="R119" s="858" t="str">
        <f t="shared" si="14"/>
        <v>C</v>
      </c>
      <c r="S119" s="81"/>
      <c r="T119" s="410">
        <f t="shared" si="15"/>
        <v>2110539.7000000007</v>
      </c>
      <c r="U119" s="69"/>
      <c r="V119" s="69"/>
      <c r="W119" s="69"/>
      <c r="X119" s="744"/>
      <c r="Y119" s="744"/>
      <c r="Z119" s="744"/>
      <c r="AA119" s="744"/>
      <c r="AB119" s="744"/>
      <c r="AC119" s="744"/>
      <c r="AD119" s="744"/>
      <c r="AE119" s="744"/>
      <c r="AF119" s="744"/>
      <c r="AG119" s="744"/>
      <c r="AH119" s="744"/>
      <c r="AI119" s="744"/>
      <c r="AJ119" s="744"/>
      <c r="AK119" s="744"/>
      <c r="AL119" s="744"/>
      <c r="AM119" s="744"/>
      <c r="AN119" s="744"/>
      <c r="AO119" s="744"/>
      <c r="AP119" s="744"/>
      <c r="AQ119" s="744"/>
    </row>
    <row r="120" spans="5:43" s="745" customFormat="1" ht="25.5">
      <c r="E120" s="69"/>
      <c r="F120" s="910" t="s">
        <v>2238</v>
      </c>
      <c r="G120" s="911">
        <v>95945</v>
      </c>
      <c r="H120" s="913" t="s">
        <v>5569</v>
      </c>
      <c r="I120" s="914" t="s">
        <v>645</v>
      </c>
      <c r="J120" s="920">
        <v>165.47</v>
      </c>
      <c r="K120" s="1012">
        <f>IF($G120="","",IFERROR(VLOOKUP($G120,SERVIÇOS!$C:$H,6,0),IFERROR(VLOOKUP($G120,CPU!$F:$M,8,0),"")))</f>
        <v>18.59</v>
      </c>
      <c r="L120" s="855">
        <f t="shared" si="8"/>
        <v>0.2354</v>
      </c>
      <c r="M120" s="825">
        <f t="shared" si="9"/>
        <v>22.97</v>
      </c>
      <c r="N120" s="826">
        <f t="shared" si="10"/>
        <v>3800.85</v>
      </c>
      <c r="O120" s="856">
        <f t="shared" si="11"/>
        <v>1902288.22</v>
      </c>
      <c r="P120" s="857">
        <f t="shared" si="12"/>
        <v>1.8008900756522129E-3</v>
      </c>
      <c r="Q120" s="857">
        <f t="shared" si="13"/>
        <v>0.90132785467148435</v>
      </c>
      <c r="R120" s="858" t="str">
        <f t="shared" si="14"/>
        <v>C</v>
      </c>
      <c r="S120" s="81"/>
      <c r="T120" s="410">
        <f t="shared" si="15"/>
        <v>2110539.7000000007</v>
      </c>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row>
    <row r="121" spans="5:43" s="745" customFormat="1">
      <c r="E121" s="69"/>
      <c r="F121" s="910" t="s">
        <v>2238</v>
      </c>
      <c r="G121" s="911">
        <v>103946</v>
      </c>
      <c r="H121" s="913" t="s">
        <v>8372</v>
      </c>
      <c r="I121" s="914" t="s">
        <v>649</v>
      </c>
      <c r="J121" s="920">
        <v>228.14</v>
      </c>
      <c r="K121" s="1012">
        <f>IF($G121="","",IFERROR(VLOOKUP($G121,SERVIÇOS!$C:$H,6,0),IFERROR(VLOOKUP($G121,CPU!$F:$M,8,0),"")))</f>
        <v>13.41</v>
      </c>
      <c r="L121" s="855">
        <f t="shared" si="8"/>
        <v>0.2354</v>
      </c>
      <c r="M121" s="825">
        <f t="shared" si="9"/>
        <v>16.57</v>
      </c>
      <c r="N121" s="826">
        <f t="shared" si="10"/>
        <v>3780.28</v>
      </c>
      <c r="O121" s="856">
        <f t="shared" si="11"/>
        <v>1906068.5</v>
      </c>
      <c r="P121" s="857">
        <f t="shared" si="12"/>
        <v>1.7911437534200371E-3</v>
      </c>
      <c r="Q121" s="857">
        <f t="shared" si="13"/>
        <v>0.9031189984249044</v>
      </c>
      <c r="R121" s="858" t="str">
        <f t="shared" si="14"/>
        <v>C</v>
      </c>
      <c r="S121" s="81"/>
      <c r="T121" s="410">
        <f t="shared" si="15"/>
        <v>2110539.7000000007</v>
      </c>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row>
    <row r="122" spans="5:43" s="745" customFormat="1" ht="25.5">
      <c r="E122" s="69"/>
      <c r="F122" s="910" t="s">
        <v>2239</v>
      </c>
      <c r="G122" s="911" t="s">
        <v>2945</v>
      </c>
      <c r="H122" s="913" t="s">
        <v>6806</v>
      </c>
      <c r="I122" s="914" t="s">
        <v>646</v>
      </c>
      <c r="J122" s="920">
        <v>9</v>
      </c>
      <c r="K122" s="1012">
        <f>IF($G122="","",IFERROR(VLOOKUP($G122,SERVIÇOS!$C:$H,6,0),IFERROR(VLOOKUP($G122,CPU!$F:$M,8,0),"")))</f>
        <v>339.76</v>
      </c>
      <c r="L122" s="855">
        <f t="shared" si="8"/>
        <v>0.2354</v>
      </c>
      <c r="M122" s="825">
        <f t="shared" si="9"/>
        <v>419.74</v>
      </c>
      <c r="N122" s="826">
        <f t="shared" si="10"/>
        <v>3777.66</v>
      </c>
      <c r="O122" s="856">
        <f t="shared" si="11"/>
        <v>1909846.16</v>
      </c>
      <c r="P122" s="857">
        <f t="shared" si="12"/>
        <v>1.7899023647837558E-3</v>
      </c>
      <c r="Q122" s="857">
        <f t="shared" si="13"/>
        <v>0.90490890078968811</v>
      </c>
      <c r="R122" s="858" t="str">
        <f t="shared" si="14"/>
        <v>C</v>
      </c>
      <c r="S122" s="81"/>
      <c r="T122" s="410">
        <f t="shared" si="15"/>
        <v>2110539.7000000007</v>
      </c>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row>
    <row r="123" spans="5:43" s="745" customFormat="1">
      <c r="E123" s="69"/>
      <c r="F123" s="910" t="s">
        <v>2238</v>
      </c>
      <c r="G123" s="911">
        <v>95576</v>
      </c>
      <c r="H123" s="913" t="s">
        <v>5547</v>
      </c>
      <c r="I123" s="914" t="s">
        <v>645</v>
      </c>
      <c r="J123" s="920">
        <v>205.89999999999998</v>
      </c>
      <c r="K123" s="1012">
        <f>IF($G123="","",IFERROR(VLOOKUP($G123,SERVIÇOS!$C:$H,6,0),IFERROR(VLOOKUP($G123,CPU!$F:$M,8,0),"")))</f>
        <v>14.71</v>
      </c>
      <c r="L123" s="855">
        <f t="shared" si="8"/>
        <v>0.2354</v>
      </c>
      <c r="M123" s="825">
        <f t="shared" si="9"/>
        <v>18.170000000000002</v>
      </c>
      <c r="N123" s="826">
        <f t="shared" si="10"/>
        <v>3741.2</v>
      </c>
      <c r="O123" s="856">
        <f t="shared" si="11"/>
        <v>1913587.3599999999</v>
      </c>
      <c r="P123" s="857">
        <f t="shared" si="12"/>
        <v>1.7726271626162724E-3</v>
      </c>
      <c r="Q123" s="857">
        <f t="shared" si="13"/>
        <v>0.90668152795230439</v>
      </c>
      <c r="R123" s="858" t="str">
        <f t="shared" si="14"/>
        <v>C</v>
      </c>
      <c r="S123" s="81"/>
      <c r="T123" s="410">
        <f t="shared" si="15"/>
        <v>2110539.7000000007</v>
      </c>
      <c r="U123" s="69"/>
      <c r="V123" s="69"/>
      <c r="W123" s="69"/>
      <c r="X123" s="744"/>
      <c r="Y123" s="744"/>
      <c r="Z123" s="744"/>
      <c r="AA123" s="744"/>
      <c r="AB123" s="744"/>
      <c r="AC123" s="744"/>
      <c r="AD123" s="744"/>
      <c r="AE123" s="744"/>
      <c r="AF123" s="744"/>
      <c r="AG123" s="744"/>
      <c r="AH123" s="744"/>
      <c r="AI123" s="744"/>
      <c r="AJ123" s="744"/>
      <c r="AK123" s="744"/>
      <c r="AL123" s="744"/>
      <c r="AM123" s="744"/>
      <c r="AN123" s="744"/>
      <c r="AO123" s="744"/>
      <c r="AP123" s="744"/>
      <c r="AQ123" s="744"/>
    </row>
    <row r="124" spans="5:43" s="745" customFormat="1">
      <c r="E124" s="69"/>
      <c r="F124" s="910" t="s">
        <v>2239</v>
      </c>
      <c r="G124" s="911" t="s">
        <v>6769</v>
      </c>
      <c r="H124" s="913" t="s">
        <v>6793</v>
      </c>
      <c r="I124" s="914" t="s">
        <v>5280</v>
      </c>
      <c r="J124" s="920">
        <v>10</v>
      </c>
      <c r="K124" s="1012">
        <f>IF($G124="","",IFERROR(VLOOKUP($G124,SERVIÇOS!$C:$H,6,0),IFERROR(VLOOKUP($G124,CPU!$F:$M,8,0),"")))</f>
        <v>297.91000000000003</v>
      </c>
      <c r="L124" s="855">
        <f t="shared" si="8"/>
        <v>0.2354</v>
      </c>
      <c r="M124" s="825">
        <f t="shared" si="9"/>
        <v>368.04</v>
      </c>
      <c r="N124" s="826">
        <f t="shared" si="10"/>
        <v>3680.4</v>
      </c>
      <c r="O124" s="856">
        <f t="shared" si="11"/>
        <v>1917267.7599999998</v>
      </c>
      <c r="P124" s="857">
        <f t="shared" si="12"/>
        <v>1.7438193652552468E-3</v>
      </c>
      <c r="Q124" s="857">
        <f t="shared" si="13"/>
        <v>0.90842534731755964</v>
      </c>
      <c r="R124" s="858" t="str">
        <f t="shared" si="14"/>
        <v>C</v>
      </c>
      <c r="S124" s="81"/>
      <c r="T124" s="410">
        <f t="shared" si="15"/>
        <v>2110539.7000000007</v>
      </c>
      <c r="U124" s="69"/>
      <c r="V124" s="69"/>
      <c r="W124" s="69"/>
      <c r="X124" s="744"/>
      <c r="Y124" s="744"/>
      <c r="Z124" s="744"/>
      <c r="AA124" s="744"/>
      <c r="AB124" s="744"/>
      <c r="AC124" s="744"/>
      <c r="AD124" s="744"/>
      <c r="AE124" s="744"/>
      <c r="AF124" s="744"/>
      <c r="AG124" s="744"/>
      <c r="AH124" s="744"/>
      <c r="AI124" s="744"/>
      <c r="AJ124" s="744"/>
      <c r="AK124" s="744"/>
      <c r="AL124" s="744"/>
      <c r="AM124" s="744"/>
      <c r="AN124" s="744"/>
      <c r="AO124" s="744"/>
      <c r="AP124" s="744"/>
      <c r="AQ124" s="744"/>
    </row>
    <row r="125" spans="5:43" s="745" customFormat="1" ht="25.5">
      <c r="E125" s="69"/>
      <c r="F125" s="910" t="s">
        <v>2238</v>
      </c>
      <c r="G125" s="911">
        <v>100868</v>
      </c>
      <c r="H125" s="913" t="s">
        <v>4325</v>
      </c>
      <c r="I125" s="914" t="s">
        <v>646</v>
      </c>
      <c r="J125" s="920">
        <v>9</v>
      </c>
      <c r="K125" s="1012">
        <f>IF($G125="","",IFERROR(VLOOKUP($G125,SERVIÇOS!$C:$H,6,0),IFERROR(VLOOKUP($G125,CPU!$F:$M,8,0),"")))</f>
        <v>330.99</v>
      </c>
      <c r="L125" s="855">
        <f t="shared" si="8"/>
        <v>0.2354</v>
      </c>
      <c r="M125" s="825">
        <f t="shared" si="9"/>
        <v>408.91</v>
      </c>
      <c r="N125" s="826">
        <f t="shared" si="10"/>
        <v>3680.19</v>
      </c>
      <c r="O125" s="856">
        <f t="shared" si="11"/>
        <v>1920947.9499999997</v>
      </c>
      <c r="P125" s="857">
        <f t="shared" si="12"/>
        <v>1.7437198646393615E-3</v>
      </c>
      <c r="Q125" s="857">
        <f t="shared" si="13"/>
        <v>0.91016906718219903</v>
      </c>
      <c r="R125" s="858" t="str">
        <f t="shared" si="14"/>
        <v>C</v>
      </c>
      <c r="S125" s="81"/>
      <c r="T125" s="410">
        <f t="shared" si="15"/>
        <v>2110539.7000000007</v>
      </c>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row>
    <row r="126" spans="5:43" s="745" customFormat="1" ht="25.5">
      <c r="E126" s="69"/>
      <c r="F126" s="910" t="s">
        <v>2238</v>
      </c>
      <c r="G126" s="911">
        <v>91863</v>
      </c>
      <c r="H126" s="913" t="s">
        <v>967</v>
      </c>
      <c r="I126" s="914" t="s">
        <v>648</v>
      </c>
      <c r="J126" s="920">
        <v>210</v>
      </c>
      <c r="K126" s="1012">
        <f>IF($G126="","",IFERROR(VLOOKUP($G126,SERVIÇOS!$C:$H,6,0),IFERROR(VLOOKUP($G126,CPU!$F:$M,8,0),"")))</f>
        <v>14.14</v>
      </c>
      <c r="L126" s="855">
        <f t="shared" si="8"/>
        <v>0.2354</v>
      </c>
      <c r="M126" s="825">
        <f t="shared" si="9"/>
        <v>17.47</v>
      </c>
      <c r="N126" s="826">
        <f t="shared" si="10"/>
        <v>3668.7</v>
      </c>
      <c r="O126" s="856">
        <f t="shared" si="11"/>
        <v>1924616.6499999997</v>
      </c>
      <c r="P126" s="857">
        <f t="shared" si="12"/>
        <v>1.7382757595130755E-3</v>
      </c>
      <c r="Q126" s="857">
        <f t="shared" si="13"/>
        <v>0.91190734294171216</v>
      </c>
      <c r="R126" s="858" t="str">
        <f t="shared" si="14"/>
        <v>C</v>
      </c>
      <c r="S126" s="81"/>
      <c r="T126" s="410">
        <f t="shared" si="15"/>
        <v>2110539.7000000007</v>
      </c>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row>
    <row r="127" spans="5:43" s="745" customFormat="1" ht="25.5">
      <c r="E127" s="69"/>
      <c r="F127" s="910" t="s">
        <v>2238</v>
      </c>
      <c r="G127" s="911">
        <v>97064</v>
      </c>
      <c r="H127" s="913" t="s">
        <v>2817</v>
      </c>
      <c r="I127" s="914" t="s">
        <v>648</v>
      </c>
      <c r="J127" s="920">
        <v>130</v>
      </c>
      <c r="K127" s="1012">
        <f>IF($G127="","",IFERROR(VLOOKUP($G127,SERVIÇOS!$C:$H,6,0),IFERROR(VLOOKUP($G127,CPU!$F:$M,8,0),"")))</f>
        <v>22.25</v>
      </c>
      <c r="L127" s="855">
        <f t="shared" si="8"/>
        <v>0.2354</v>
      </c>
      <c r="M127" s="825">
        <f t="shared" si="9"/>
        <v>27.49</v>
      </c>
      <c r="N127" s="826">
        <f t="shared" si="10"/>
        <v>3573.7</v>
      </c>
      <c r="O127" s="856">
        <f t="shared" si="11"/>
        <v>1928190.3499999996</v>
      </c>
      <c r="P127" s="857">
        <f t="shared" si="12"/>
        <v>1.6932635761364729E-3</v>
      </c>
      <c r="Q127" s="857">
        <f t="shared" si="13"/>
        <v>0.91360060651784869</v>
      </c>
      <c r="R127" s="858" t="str">
        <f t="shared" si="14"/>
        <v>C</v>
      </c>
      <c r="S127" s="81"/>
      <c r="T127" s="410">
        <f t="shared" si="15"/>
        <v>2110539.7000000007</v>
      </c>
      <c r="U127" s="69"/>
      <c r="V127" s="69"/>
      <c r="W127" s="69"/>
      <c r="X127" s="744"/>
      <c r="Y127" s="744"/>
      <c r="Z127" s="744"/>
      <c r="AA127" s="744"/>
      <c r="AB127" s="744"/>
      <c r="AC127" s="744"/>
      <c r="AD127" s="744"/>
      <c r="AE127" s="744"/>
      <c r="AF127" s="744"/>
      <c r="AG127" s="744"/>
      <c r="AH127" s="744"/>
      <c r="AI127" s="744"/>
      <c r="AJ127" s="744"/>
      <c r="AK127" s="744"/>
      <c r="AL127" s="744"/>
      <c r="AM127" s="744"/>
      <c r="AN127" s="744"/>
      <c r="AO127" s="744"/>
      <c r="AP127" s="744"/>
      <c r="AQ127" s="744"/>
    </row>
    <row r="128" spans="5:43" s="745" customFormat="1" ht="25.5">
      <c r="E128" s="69"/>
      <c r="F128" s="910" t="s">
        <v>2238</v>
      </c>
      <c r="G128" s="911">
        <v>92760</v>
      </c>
      <c r="H128" s="913" t="s">
        <v>7765</v>
      </c>
      <c r="I128" s="914" t="s">
        <v>645</v>
      </c>
      <c r="J128" s="920">
        <v>181.07</v>
      </c>
      <c r="K128" s="1012">
        <f>IF($G128="","",IFERROR(VLOOKUP($G128,SERVIÇOS!$C:$H,6,0),IFERROR(VLOOKUP($G128,CPU!$F:$M,8,0),"")))</f>
        <v>15.4</v>
      </c>
      <c r="L128" s="855">
        <f t="shared" si="8"/>
        <v>0.2354</v>
      </c>
      <c r="M128" s="825">
        <f t="shared" si="9"/>
        <v>19.03</v>
      </c>
      <c r="N128" s="826">
        <f t="shared" si="10"/>
        <v>3445.76</v>
      </c>
      <c r="O128" s="856">
        <f t="shared" si="11"/>
        <v>1931636.1099999996</v>
      </c>
      <c r="P128" s="857">
        <f t="shared" si="12"/>
        <v>1.6326440104396042E-3</v>
      </c>
      <c r="Q128" s="857">
        <f t="shared" si="13"/>
        <v>0.9152332505282883</v>
      </c>
      <c r="R128" s="858" t="str">
        <f t="shared" si="14"/>
        <v>C</v>
      </c>
      <c r="S128" s="81"/>
      <c r="T128" s="410">
        <f t="shared" si="15"/>
        <v>2110539.7000000007</v>
      </c>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row>
    <row r="129" spans="5:43" s="745" customFormat="1" ht="25.5">
      <c r="E129" s="69"/>
      <c r="F129" s="910" t="s">
        <v>2239</v>
      </c>
      <c r="G129" s="911" t="s">
        <v>8583</v>
      </c>
      <c r="H129" s="913" t="s">
        <v>8584</v>
      </c>
      <c r="I129" s="914" t="s">
        <v>649</v>
      </c>
      <c r="J129" s="920">
        <v>26.69</v>
      </c>
      <c r="K129" s="1012">
        <f>IF($G129="","",IFERROR(VLOOKUP($G129,SERVIÇOS!$C:$H,6,0),IFERROR(VLOOKUP($G129,CPU!$F:$M,8,0),"")))</f>
        <v>103.77999999999999</v>
      </c>
      <c r="L129" s="855">
        <f t="shared" si="8"/>
        <v>0.2354</v>
      </c>
      <c r="M129" s="825">
        <f t="shared" si="9"/>
        <v>128.21</v>
      </c>
      <c r="N129" s="826">
        <f t="shared" si="10"/>
        <v>3421.92</v>
      </c>
      <c r="O129" s="856">
        <f t="shared" si="11"/>
        <v>1935058.0299999996</v>
      </c>
      <c r="P129" s="857">
        <f t="shared" si="12"/>
        <v>1.6213483214743598E-3</v>
      </c>
      <c r="Q129" s="857">
        <f t="shared" si="13"/>
        <v>0.91685459884976261</v>
      </c>
      <c r="R129" s="858" t="str">
        <f t="shared" si="14"/>
        <v>C</v>
      </c>
      <c r="S129" s="81"/>
      <c r="T129" s="410">
        <f t="shared" si="15"/>
        <v>2110539.7000000007</v>
      </c>
      <c r="U129" s="69"/>
      <c r="V129" s="69"/>
      <c r="W129" s="69"/>
      <c r="X129" s="744"/>
      <c r="Y129" s="744"/>
      <c r="Z129" s="744"/>
      <c r="AA129" s="744"/>
      <c r="AB129" s="744"/>
      <c r="AC129" s="744"/>
      <c r="AD129" s="744"/>
      <c r="AE129" s="744"/>
      <c r="AF129" s="744"/>
      <c r="AG129" s="744"/>
      <c r="AH129" s="744"/>
      <c r="AI129" s="744"/>
      <c r="AJ129" s="744"/>
      <c r="AK129" s="744"/>
      <c r="AL129" s="744"/>
      <c r="AM129" s="744"/>
      <c r="AN129" s="744"/>
      <c r="AO129" s="744"/>
      <c r="AP129" s="744"/>
      <c r="AQ129" s="744"/>
    </row>
    <row r="130" spans="5:43" s="745" customFormat="1" ht="38.25">
      <c r="E130" s="69"/>
      <c r="F130" s="910" t="s">
        <v>2238</v>
      </c>
      <c r="G130" s="911">
        <v>90408</v>
      </c>
      <c r="H130" s="913" t="s">
        <v>16</v>
      </c>
      <c r="I130" s="914" t="s">
        <v>649</v>
      </c>
      <c r="J130" s="920">
        <v>74.2</v>
      </c>
      <c r="K130" s="1012">
        <f>IF($G130="","",IFERROR(VLOOKUP($G130,SERVIÇOS!$C:$H,6,0),IFERROR(VLOOKUP($G130,CPU!$F:$M,8,0),"")))</f>
        <v>35.75</v>
      </c>
      <c r="L130" s="855">
        <f t="shared" si="8"/>
        <v>0.2354</v>
      </c>
      <c r="M130" s="825">
        <f t="shared" si="9"/>
        <v>44.17</v>
      </c>
      <c r="N130" s="826">
        <f t="shared" si="10"/>
        <v>3277.41</v>
      </c>
      <c r="O130" s="856">
        <f t="shared" si="11"/>
        <v>1938335.4399999995</v>
      </c>
      <c r="P130" s="857">
        <f t="shared" si="12"/>
        <v>1.5528776833716982E-3</v>
      </c>
      <c r="Q130" s="857">
        <f t="shared" si="13"/>
        <v>0.91840747653313426</v>
      </c>
      <c r="R130" s="858" t="str">
        <f t="shared" si="14"/>
        <v>C</v>
      </c>
      <c r="S130" s="81"/>
      <c r="T130" s="410">
        <f t="shared" si="15"/>
        <v>2110539.7000000007</v>
      </c>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row>
    <row r="131" spans="5:43" s="745" customFormat="1" ht="25.5">
      <c r="E131" s="69"/>
      <c r="F131" s="910" t="s">
        <v>2239</v>
      </c>
      <c r="G131" s="911" t="s">
        <v>8678</v>
      </c>
      <c r="H131" s="913" t="s">
        <v>8679</v>
      </c>
      <c r="I131" s="914" t="s">
        <v>649</v>
      </c>
      <c r="J131" s="920">
        <v>11.83</v>
      </c>
      <c r="K131" s="1012">
        <f>IF($G131="","",IFERROR(VLOOKUP($G131,SERVIÇOS!$C:$H,6,0),IFERROR(VLOOKUP($G131,CPU!$F:$M,8,0),"")))</f>
        <v>213.99</v>
      </c>
      <c r="L131" s="855">
        <f t="shared" si="8"/>
        <v>0.2354</v>
      </c>
      <c r="M131" s="825">
        <f t="shared" si="9"/>
        <v>264.36</v>
      </c>
      <c r="N131" s="826">
        <f t="shared" si="10"/>
        <v>3127.38</v>
      </c>
      <c r="O131" s="856">
        <f t="shared" si="11"/>
        <v>1941462.8199999994</v>
      </c>
      <c r="P131" s="857">
        <f t="shared" si="12"/>
        <v>1.4817916005086277E-3</v>
      </c>
      <c r="Q131" s="857">
        <f t="shared" si="13"/>
        <v>0.91988926813364291</v>
      </c>
      <c r="R131" s="858" t="str">
        <f t="shared" si="14"/>
        <v>C</v>
      </c>
      <c r="S131" s="81"/>
      <c r="T131" s="410">
        <f t="shared" si="15"/>
        <v>2110539.7000000007</v>
      </c>
      <c r="U131" s="69"/>
      <c r="V131" s="69"/>
      <c r="W131" s="69"/>
      <c r="X131" s="744"/>
      <c r="Y131" s="744"/>
      <c r="Z131" s="744"/>
      <c r="AA131" s="744"/>
      <c r="AB131" s="744"/>
      <c r="AC131" s="744"/>
      <c r="AD131" s="744"/>
      <c r="AE131" s="744"/>
      <c r="AF131" s="744"/>
      <c r="AG131" s="744"/>
      <c r="AH131" s="744"/>
      <c r="AI131" s="744"/>
      <c r="AJ131" s="744"/>
      <c r="AK131" s="744"/>
      <c r="AL131" s="744"/>
      <c r="AM131" s="744"/>
      <c r="AN131" s="744"/>
      <c r="AO131" s="744"/>
      <c r="AP131" s="744"/>
      <c r="AQ131" s="744"/>
    </row>
    <row r="132" spans="5:43" s="745" customFormat="1" ht="25.5">
      <c r="E132" s="69"/>
      <c r="F132" s="910" t="s">
        <v>2238</v>
      </c>
      <c r="G132" s="911">
        <v>91936</v>
      </c>
      <c r="H132" s="913" t="s">
        <v>1020</v>
      </c>
      <c r="I132" s="914" t="s">
        <v>646</v>
      </c>
      <c r="J132" s="920">
        <v>147</v>
      </c>
      <c r="K132" s="1012">
        <f>IF($G132="","",IFERROR(VLOOKUP($G132,SERVIÇOS!$C:$H,6,0),IFERROR(VLOOKUP($G132,CPU!$F:$M,8,0),"")))</f>
        <v>17.05</v>
      </c>
      <c r="L132" s="855">
        <f t="shared" si="8"/>
        <v>0.2354</v>
      </c>
      <c r="M132" s="825">
        <f t="shared" si="9"/>
        <v>21.06</v>
      </c>
      <c r="N132" s="826">
        <f t="shared" si="10"/>
        <v>3095.82</v>
      </c>
      <c r="O132" s="856">
        <f t="shared" si="11"/>
        <v>1944558.6399999994</v>
      </c>
      <c r="P132" s="857">
        <f t="shared" si="12"/>
        <v>1.4668380793784639E-3</v>
      </c>
      <c r="Q132" s="857">
        <f t="shared" si="13"/>
        <v>0.92135610621302133</v>
      </c>
      <c r="R132" s="858" t="str">
        <f t="shared" si="14"/>
        <v>C</v>
      </c>
      <c r="S132" s="81"/>
      <c r="T132" s="410">
        <f t="shared" si="15"/>
        <v>2110539.7000000007</v>
      </c>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row>
    <row r="133" spans="5:43" s="745" customFormat="1">
      <c r="E133" s="69"/>
      <c r="F133" s="910" t="s">
        <v>2238</v>
      </c>
      <c r="G133" s="911">
        <v>98524</v>
      </c>
      <c r="H133" s="913" t="s">
        <v>2925</v>
      </c>
      <c r="I133" s="914" t="s">
        <v>649</v>
      </c>
      <c r="J133" s="920">
        <v>718.93</v>
      </c>
      <c r="K133" s="1012">
        <f>IF($G133="","",IFERROR(VLOOKUP($G133,SERVIÇOS!$C:$H,6,0),IFERROR(VLOOKUP($G133,CPU!$F:$M,8,0),"")))</f>
        <v>3.47</v>
      </c>
      <c r="L133" s="855">
        <f t="shared" si="8"/>
        <v>0.2354</v>
      </c>
      <c r="M133" s="825">
        <f t="shared" si="9"/>
        <v>4.29</v>
      </c>
      <c r="N133" s="826">
        <f t="shared" si="10"/>
        <v>3084.21</v>
      </c>
      <c r="O133" s="856">
        <f t="shared" si="11"/>
        <v>1947642.8499999994</v>
      </c>
      <c r="P133" s="857">
        <f t="shared" si="12"/>
        <v>1.4613371167573864E-3</v>
      </c>
      <c r="Q133" s="857">
        <f t="shared" si="13"/>
        <v>0.92281744332977866</v>
      </c>
      <c r="R133" s="858" t="str">
        <f t="shared" si="14"/>
        <v>C</v>
      </c>
      <c r="S133" s="81"/>
      <c r="T133" s="410">
        <f t="shared" si="15"/>
        <v>2110539.7000000007</v>
      </c>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row>
    <row r="134" spans="5:43" s="745" customFormat="1">
      <c r="E134" s="69"/>
      <c r="F134" s="910" t="s">
        <v>2238</v>
      </c>
      <c r="G134" s="911">
        <v>95577</v>
      </c>
      <c r="H134" s="913" t="s">
        <v>5548</v>
      </c>
      <c r="I134" s="914" t="s">
        <v>645</v>
      </c>
      <c r="J134" s="920">
        <v>197.6</v>
      </c>
      <c r="K134" s="1012">
        <f>IF($G134="","",IFERROR(VLOOKUP($G134,SERVIÇOS!$C:$H,6,0),IFERROR(VLOOKUP($G134,CPU!$F:$M,8,0),"")))</f>
        <v>12.58</v>
      </c>
      <c r="L134" s="855">
        <f t="shared" si="8"/>
        <v>0.2354</v>
      </c>
      <c r="M134" s="825">
        <f t="shared" si="9"/>
        <v>15.54</v>
      </c>
      <c r="N134" s="826">
        <f t="shared" si="10"/>
        <v>3070.7</v>
      </c>
      <c r="O134" s="856">
        <f t="shared" si="11"/>
        <v>1950713.5499999993</v>
      </c>
      <c r="P134" s="857">
        <f t="shared" si="12"/>
        <v>1.4549359104687766E-3</v>
      </c>
      <c r="Q134" s="857">
        <f t="shared" si="13"/>
        <v>0.92427237924024741</v>
      </c>
      <c r="R134" s="858" t="str">
        <f t="shared" si="14"/>
        <v>C</v>
      </c>
      <c r="S134" s="81"/>
      <c r="T134" s="410">
        <f t="shared" si="15"/>
        <v>2110539.7000000007</v>
      </c>
      <c r="U134" s="69"/>
      <c r="V134" s="69"/>
      <c r="W134" s="69"/>
      <c r="X134" s="744"/>
      <c r="Y134" s="744"/>
      <c r="Z134" s="744"/>
      <c r="AA134" s="744"/>
      <c r="AB134" s="744"/>
      <c r="AC134" s="744"/>
      <c r="AD134" s="744"/>
      <c r="AE134" s="744"/>
      <c r="AF134" s="744"/>
      <c r="AG134" s="744"/>
      <c r="AH134" s="744"/>
      <c r="AI134" s="744"/>
      <c r="AJ134" s="744"/>
      <c r="AK134" s="744"/>
      <c r="AL134" s="744"/>
      <c r="AM134" s="744"/>
      <c r="AN134" s="744"/>
      <c r="AO134" s="744"/>
      <c r="AP134" s="744"/>
      <c r="AQ134" s="744"/>
    </row>
    <row r="135" spans="5:43" s="745" customFormat="1" ht="25.5">
      <c r="E135" s="69"/>
      <c r="F135" s="910" t="s">
        <v>2239</v>
      </c>
      <c r="G135" s="911" t="s">
        <v>2949</v>
      </c>
      <c r="H135" s="913" t="s">
        <v>6886</v>
      </c>
      <c r="I135" s="914" t="s">
        <v>646</v>
      </c>
      <c r="J135" s="919">
        <v>13</v>
      </c>
      <c r="K135" s="1012">
        <f>IF($G135="","",IFERROR(VLOOKUP($G135,SERVIÇOS!$C:$H,6,0),IFERROR(VLOOKUP($G135,CPU!$F:$M,8,0),"")))</f>
        <v>189.7</v>
      </c>
      <c r="L135" s="855">
        <f t="shared" si="8"/>
        <v>0.2354</v>
      </c>
      <c r="M135" s="825">
        <f t="shared" si="9"/>
        <v>234.36</v>
      </c>
      <c r="N135" s="826">
        <f t="shared" si="10"/>
        <v>3046.68</v>
      </c>
      <c r="O135" s="856">
        <f t="shared" si="11"/>
        <v>1953760.2299999993</v>
      </c>
      <c r="P135" s="857">
        <f t="shared" si="12"/>
        <v>1.4435549352613453E-3</v>
      </c>
      <c r="Q135" s="857">
        <f t="shared" si="13"/>
        <v>0.92571593417550879</v>
      </c>
      <c r="R135" s="858" t="str">
        <f t="shared" si="14"/>
        <v>C</v>
      </c>
      <c r="S135" s="81"/>
      <c r="T135" s="410">
        <f t="shared" si="15"/>
        <v>2110539.7000000007</v>
      </c>
      <c r="U135" s="69"/>
      <c r="V135" s="69"/>
      <c r="W135" s="69"/>
      <c r="X135" s="744"/>
      <c r="Y135" s="744"/>
      <c r="Z135" s="744"/>
      <c r="AA135" s="744"/>
      <c r="AB135" s="744"/>
      <c r="AC135" s="744"/>
      <c r="AD135" s="744"/>
      <c r="AE135" s="744"/>
      <c r="AF135" s="744"/>
      <c r="AG135" s="744"/>
      <c r="AH135" s="744"/>
      <c r="AI135" s="744"/>
      <c r="AJ135" s="744"/>
      <c r="AK135" s="744"/>
      <c r="AL135" s="744"/>
      <c r="AM135" s="744"/>
      <c r="AN135" s="744"/>
      <c r="AO135" s="744"/>
      <c r="AP135" s="744"/>
      <c r="AQ135" s="744"/>
    </row>
    <row r="136" spans="5:43" s="745" customFormat="1" ht="25.5">
      <c r="E136" s="69"/>
      <c r="F136" s="910" t="s">
        <v>2239</v>
      </c>
      <c r="G136" s="911" t="s">
        <v>8962</v>
      </c>
      <c r="H136" s="913" t="s">
        <v>8963</v>
      </c>
      <c r="I136" s="914" t="s">
        <v>646</v>
      </c>
      <c r="J136" s="920">
        <v>1</v>
      </c>
      <c r="K136" s="1012">
        <f>IF($G136="","",IFERROR(VLOOKUP($G136,SERVIÇOS!$C:$H,6,0),IFERROR(VLOOKUP($G136,CPU!$F:$M,8,0),"")))</f>
        <v>2444.8000000000002</v>
      </c>
      <c r="L136" s="855">
        <f t="shared" si="8"/>
        <v>0.2354</v>
      </c>
      <c r="M136" s="825">
        <f t="shared" si="9"/>
        <v>3020.31</v>
      </c>
      <c r="N136" s="826">
        <f t="shared" si="10"/>
        <v>3020.31</v>
      </c>
      <c r="O136" s="856">
        <f t="shared" si="11"/>
        <v>1956780.5399999993</v>
      </c>
      <c r="P136" s="857">
        <f t="shared" si="12"/>
        <v>1.4310605007809135E-3</v>
      </c>
      <c r="Q136" s="857">
        <f t="shared" si="13"/>
        <v>0.92714699467628969</v>
      </c>
      <c r="R136" s="858" t="str">
        <f t="shared" si="14"/>
        <v>C</v>
      </c>
      <c r="S136" s="81"/>
      <c r="T136" s="410">
        <f t="shared" si="15"/>
        <v>2110539.7000000007</v>
      </c>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row>
    <row r="137" spans="5:43" s="745" customFormat="1">
      <c r="E137" s="69"/>
      <c r="F137" s="910" t="s">
        <v>2239</v>
      </c>
      <c r="G137" s="911" t="s">
        <v>5286</v>
      </c>
      <c r="H137" s="913" t="s">
        <v>5282</v>
      </c>
      <c r="I137" s="914" t="s">
        <v>646</v>
      </c>
      <c r="J137" s="920">
        <v>1</v>
      </c>
      <c r="K137" s="1012">
        <f>IF($G137="","",IFERROR(VLOOKUP($G137,SERVIÇOS!$C:$H,6,0),IFERROR(VLOOKUP($G137,CPU!$F:$M,8,0),"")))</f>
        <v>2434.04</v>
      </c>
      <c r="L137" s="855">
        <f t="shared" si="8"/>
        <v>0.2354</v>
      </c>
      <c r="M137" s="825">
        <f t="shared" si="9"/>
        <v>3007.01</v>
      </c>
      <c r="N137" s="826">
        <f t="shared" si="10"/>
        <v>3007.01</v>
      </c>
      <c r="O137" s="856">
        <f t="shared" si="11"/>
        <v>1959787.5499999993</v>
      </c>
      <c r="P137" s="857">
        <f t="shared" si="12"/>
        <v>1.4247587951081893E-3</v>
      </c>
      <c r="Q137" s="857">
        <f t="shared" si="13"/>
        <v>0.92857175347139786</v>
      </c>
      <c r="R137" s="858" t="str">
        <f t="shared" si="14"/>
        <v>C</v>
      </c>
      <c r="S137" s="81"/>
      <c r="T137" s="410">
        <f t="shared" si="15"/>
        <v>2110539.7000000007</v>
      </c>
      <c r="U137" s="69"/>
      <c r="V137" s="69"/>
      <c r="W137" s="69"/>
      <c r="X137" s="744"/>
      <c r="Y137" s="744"/>
      <c r="Z137" s="744"/>
      <c r="AA137" s="744"/>
      <c r="AB137" s="744"/>
      <c r="AC137" s="744"/>
      <c r="AD137" s="744"/>
      <c r="AE137" s="744"/>
      <c r="AF137" s="744"/>
      <c r="AG137" s="744"/>
      <c r="AH137" s="744"/>
      <c r="AI137" s="744"/>
      <c r="AJ137" s="744"/>
      <c r="AK137" s="744"/>
      <c r="AL137" s="744"/>
      <c r="AM137" s="744"/>
      <c r="AN137" s="744"/>
      <c r="AO137" s="744"/>
      <c r="AP137" s="744"/>
      <c r="AQ137" s="744"/>
    </row>
    <row r="138" spans="5:43" s="745" customFormat="1">
      <c r="E138" s="69"/>
      <c r="F138" s="910" t="s">
        <v>2239</v>
      </c>
      <c r="G138" s="911" t="s">
        <v>2942</v>
      </c>
      <c r="H138" s="913" t="s">
        <v>4861</v>
      </c>
      <c r="I138" s="914" t="s">
        <v>649</v>
      </c>
      <c r="J138" s="920">
        <v>713.26</v>
      </c>
      <c r="K138" s="1012">
        <f>IF($G138="","",IFERROR(VLOOKUP($G138,SERVIÇOS!$C:$H,6,0),IFERROR(VLOOKUP($G138,CPU!$F:$M,8,0),"")))</f>
        <v>3.31</v>
      </c>
      <c r="L138" s="855">
        <f t="shared" si="8"/>
        <v>0.2354</v>
      </c>
      <c r="M138" s="825">
        <f t="shared" si="9"/>
        <v>4.09</v>
      </c>
      <c r="N138" s="826">
        <f t="shared" si="10"/>
        <v>2917.23</v>
      </c>
      <c r="O138" s="856">
        <f t="shared" si="11"/>
        <v>1962704.7799999993</v>
      </c>
      <c r="P138" s="857">
        <f t="shared" si="12"/>
        <v>1.3822199127550166E-3</v>
      </c>
      <c r="Q138" s="857">
        <f t="shared" si="13"/>
        <v>0.92995397338415287</v>
      </c>
      <c r="R138" s="858" t="str">
        <f t="shared" si="14"/>
        <v>C</v>
      </c>
      <c r="S138" s="81"/>
      <c r="T138" s="410">
        <f t="shared" si="15"/>
        <v>2110539.7000000007</v>
      </c>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row>
    <row r="139" spans="5:43" s="745" customFormat="1" ht="38.25">
      <c r="E139" s="69"/>
      <c r="F139" s="910" t="s">
        <v>2238</v>
      </c>
      <c r="G139" s="911">
        <v>103683</v>
      </c>
      <c r="H139" s="913" t="s">
        <v>7089</v>
      </c>
      <c r="I139" s="914" t="s">
        <v>644</v>
      </c>
      <c r="J139" s="920">
        <v>1.9</v>
      </c>
      <c r="K139" s="1012">
        <f>IF($G139="","",IFERROR(VLOOKUP($G139,SERVIÇOS!$C:$H,6,0),IFERROR(VLOOKUP($G139,CPU!$F:$M,8,0),"")))</f>
        <v>1168.3699999999999</v>
      </c>
      <c r="L139" s="855">
        <f t="shared" si="8"/>
        <v>0.2354</v>
      </c>
      <c r="M139" s="825">
        <f t="shared" si="9"/>
        <v>1443.4</v>
      </c>
      <c r="N139" s="826">
        <f t="shared" si="10"/>
        <v>2742.46</v>
      </c>
      <c r="O139" s="856">
        <f t="shared" si="11"/>
        <v>1965447.2399999993</v>
      </c>
      <c r="P139" s="857">
        <f t="shared" si="12"/>
        <v>1.2994117097157656E-3</v>
      </c>
      <c r="Q139" s="857">
        <f t="shared" si="13"/>
        <v>0.93125338509386868</v>
      </c>
      <c r="R139" s="858" t="str">
        <f t="shared" si="14"/>
        <v>C</v>
      </c>
      <c r="S139" s="81"/>
      <c r="T139" s="410">
        <f t="shared" si="15"/>
        <v>2110539.7000000007</v>
      </c>
      <c r="U139" s="69"/>
      <c r="V139" s="69"/>
      <c r="W139" s="69"/>
      <c r="X139" s="744"/>
      <c r="Y139" s="744"/>
      <c r="Z139" s="744"/>
      <c r="AA139" s="744"/>
      <c r="AB139" s="744"/>
      <c r="AC139" s="744"/>
      <c r="AD139" s="744"/>
      <c r="AE139" s="744"/>
      <c r="AF139" s="744"/>
      <c r="AG139" s="744"/>
      <c r="AH139" s="744"/>
      <c r="AI139" s="744"/>
      <c r="AJ139" s="744"/>
      <c r="AK139" s="744"/>
      <c r="AL139" s="744"/>
      <c r="AM139" s="744"/>
      <c r="AN139" s="744"/>
      <c r="AO139" s="744"/>
      <c r="AP139" s="744"/>
      <c r="AQ139" s="744"/>
    </row>
    <row r="140" spans="5:43" s="745" customFormat="1" ht="25.5">
      <c r="E140" s="69"/>
      <c r="F140" s="910" t="s">
        <v>2238</v>
      </c>
      <c r="G140" s="911">
        <v>95944</v>
      </c>
      <c r="H140" s="913" t="s">
        <v>5568</v>
      </c>
      <c r="I140" s="914" t="s">
        <v>645</v>
      </c>
      <c r="J140" s="920">
        <v>96.710000000000008</v>
      </c>
      <c r="K140" s="1012">
        <f>IF($G140="","",IFERROR(VLOOKUP($G140,SERVIÇOS!$C:$H,6,0),IFERROR(VLOOKUP($G140,CPU!$F:$M,8,0),"")))</f>
        <v>22.89</v>
      </c>
      <c r="L140" s="855">
        <f t="shared" ref="L140:L203" si="16">$R$1</f>
        <v>0.2354</v>
      </c>
      <c r="M140" s="825">
        <f t="shared" ref="M140:M203" si="17">IF(J140&lt;&gt;0,(ROUND(K140*(L140+1),2)),0)</f>
        <v>28.28</v>
      </c>
      <c r="N140" s="826">
        <f t="shared" ref="N140:N203" si="18">IF(J140="","",ROUND((J140*M140),2))</f>
        <v>2734.96</v>
      </c>
      <c r="O140" s="856">
        <f t="shared" ref="O140:O203" si="19">+O139+N140</f>
        <v>1968182.1999999993</v>
      </c>
      <c r="P140" s="857">
        <f t="shared" ref="P140:P203" si="20">IF(N140&lt;&gt;"",N140/T140,"")</f>
        <v>1.2958581162912971E-3</v>
      </c>
      <c r="Q140" s="857">
        <f t="shared" ref="Q140:Q203" si="21">+P140+Q139</f>
        <v>0.93254924321015997</v>
      </c>
      <c r="R140" s="858" t="str">
        <f t="shared" ref="R140:R203" si="22">IF(Q140&lt;50%,"A",IF(Q140&gt;=80%,"C",IF(Q140&gt;=50%,"B")))</f>
        <v>C</v>
      </c>
      <c r="S140" s="81"/>
      <c r="T140" s="410">
        <f t="shared" ref="T140:T203" si="23">T141</f>
        <v>2110539.7000000007</v>
      </c>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row>
    <row r="141" spans="5:43" s="745" customFormat="1" ht="25.5">
      <c r="E141" s="69"/>
      <c r="F141" s="910" t="s">
        <v>2238</v>
      </c>
      <c r="G141" s="911">
        <v>92762</v>
      </c>
      <c r="H141" s="913" t="s">
        <v>7767</v>
      </c>
      <c r="I141" s="914" t="s">
        <v>645</v>
      </c>
      <c r="J141" s="920">
        <v>168.61</v>
      </c>
      <c r="K141" s="1012">
        <f>IF($G141="","",IFERROR(VLOOKUP($G141,SERVIÇOS!$C:$H,6,0),IFERROR(VLOOKUP($G141,CPU!$F:$M,8,0),"")))</f>
        <v>12.99</v>
      </c>
      <c r="L141" s="855">
        <f t="shared" si="16"/>
        <v>0.2354</v>
      </c>
      <c r="M141" s="825">
        <f t="shared" si="17"/>
        <v>16.05</v>
      </c>
      <c r="N141" s="826">
        <f t="shared" si="18"/>
        <v>2706.19</v>
      </c>
      <c r="O141" s="856">
        <f t="shared" si="19"/>
        <v>1970888.3899999992</v>
      </c>
      <c r="P141" s="857">
        <f t="shared" si="20"/>
        <v>1.2822265319150355E-3</v>
      </c>
      <c r="Q141" s="857">
        <f t="shared" si="21"/>
        <v>0.93383146974207498</v>
      </c>
      <c r="R141" s="858" t="str">
        <f t="shared" si="22"/>
        <v>C</v>
      </c>
      <c r="S141" s="81"/>
      <c r="T141" s="410">
        <f t="shared" si="23"/>
        <v>2110539.7000000007</v>
      </c>
      <c r="U141" s="69"/>
      <c r="V141" s="69"/>
      <c r="W141" s="69"/>
      <c r="X141" s="744"/>
      <c r="Y141" s="744"/>
      <c r="Z141" s="744"/>
      <c r="AA141" s="744"/>
      <c r="AB141" s="744"/>
      <c r="AC141" s="744"/>
      <c r="AD141" s="744"/>
      <c r="AE141" s="744"/>
      <c r="AF141" s="744"/>
      <c r="AG141" s="744"/>
      <c r="AH141" s="744"/>
      <c r="AI141" s="744"/>
      <c r="AJ141" s="744"/>
      <c r="AK141" s="744"/>
      <c r="AL141" s="744"/>
      <c r="AM141" s="744"/>
      <c r="AN141" s="744"/>
      <c r="AO141" s="744"/>
      <c r="AP141" s="744"/>
      <c r="AQ141" s="744"/>
    </row>
    <row r="142" spans="5:43" s="745" customFormat="1">
      <c r="E142" s="69"/>
      <c r="F142" s="910" t="s">
        <v>2239</v>
      </c>
      <c r="G142" s="911" t="s">
        <v>2946</v>
      </c>
      <c r="H142" s="913" t="s">
        <v>4866</v>
      </c>
      <c r="I142" s="914" t="s">
        <v>649</v>
      </c>
      <c r="J142" s="920">
        <v>3.75</v>
      </c>
      <c r="K142" s="1012">
        <f>IF($G142="","",IFERROR(VLOOKUP($G142,SERVIÇOS!$C:$H,6,0),IFERROR(VLOOKUP($G142,CPU!$F:$M,8,0),"")))</f>
        <v>564.66999999999996</v>
      </c>
      <c r="L142" s="855">
        <f t="shared" si="16"/>
        <v>0.2354</v>
      </c>
      <c r="M142" s="825">
        <f t="shared" si="17"/>
        <v>697.59</v>
      </c>
      <c r="N142" s="826">
        <f t="shared" si="18"/>
        <v>2615.96</v>
      </c>
      <c r="O142" s="856">
        <f t="shared" si="19"/>
        <v>1973504.3499999992</v>
      </c>
      <c r="P142" s="857">
        <f t="shared" si="20"/>
        <v>1.2394744339563949E-3</v>
      </c>
      <c r="Q142" s="857">
        <f t="shared" si="21"/>
        <v>0.93507094417603143</v>
      </c>
      <c r="R142" s="858" t="str">
        <f t="shared" si="22"/>
        <v>C</v>
      </c>
      <c r="S142" s="81"/>
      <c r="T142" s="410">
        <f t="shared" si="23"/>
        <v>2110539.7000000007</v>
      </c>
      <c r="U142" s="69"/>
      <c r="V142" s="69"/>
      <c r="W142" s="69"/>
      <c r="X142" s="744"/>
      <c r="Y142" s="744"/>
      <c r="Z142" s="744"/>
      <c r="AA142" s="744"/>
      <c r="AB142" s="744"/>
      <c r="AC142" s="744"/>
      <c r="AD142" s="744"/>
      <c r="AE142" s="744"/>
      <c r="AF142" s="744"/>
      <c r="AG142" s="744"/>
      <c r="AH142" s="744"/>
      <c r="AI142" s="744"/>
      <c r="AJ142" s="744"/>
      <c r="AK142" s="744"/>
      <c r="AL142" s="744"/>
      <c r="AM142" s="744"/>
      <c r="AN142" s="744"/>
      <c r="AO142" s="744"/>
      <c r="AP142" s="744"/>
      <c r="AQ142" s="744"/>
    </row>
    <row r="143" spans="5:43" s="745" customFormat="1" ht="25.5">
      <c r="E143" s="69"/>
      <c r="F143" s="910" t="s">
        <v>2238</v>
      </c>
      <c r="G143" s="911">
        <v>102219</v>
      </c>
      <c r="H143" s="913" t="s">
        <v>6085</v>
      </c>
      <c r="I143" s="914" t="s">
        <v>649</v>
      </c>
      <c r="J143" s="920">
        <v>120.69</v>
      </c>
      <c r="K143" s="1012">
        <f>IF($G143="","",IFERROR(VLOOKUP($G143,SERVIÇOS!$C:$H,6,0),IFERROR(VLOOKUP($G143,CPU!$F:$M,8,0),"")))</f>
        <v>17.46</v>
      </c>
      <c r="L143" s="855">
        <f t="shared" si="16"/>
        <v>0.2354</v>
      </c>
      <c r="M143" s="825">
        <f t="shared" si="17"/>
        <v>21.57</v>
      </c>
      <c r="N143" s="826">
        <f t="shared" si="18"/>
        <v>2603.2800000000002</v>
      </c>
      <c r="O143" s="856">
        <f t="shared" si="19"/>
        <v>1976107.6299999992</v>
      </c>
      <c r="P143" s="857">
        <f t="shared" si="20"/>
        <v>1.2334664920067599E-3</v>
      </c>
      <c r="Q143" s="857">
        <f t="shared" si="21"/>
        <v>0.93630441066803816</v>
      </c>
      <c r="R143" s="858" t="str">
        <f t="shared" si="22"/>
        <v>C</v>
      </c>
      <c r="S143" s="81"/>
      <c r="T143" s="410">
        <f t="shared" si="23"/>
        <v>2110539.7000000007</v>
      </c>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row>
    <row r="144" spans="5:43" s="745" customFormat="1" ht="25.5">
      <c r="E144" s="69"/>
      <c r="F144" s="910" t="s">
        <v>2238</v>
      </c>
      <c r="G144" s="911">
        <v>103686</v>
      </c>
      <c r="H144" s="913" t="s">
        <v>7092</v>
      </c>
      <c r="I144" s="914" t="s">
        <v>644</v>
      </c>
      <c r="J144" s="920">
        <v>3.55</v>
      </c>
      <c r="K144" s="1012">
        <f>IF($G144="","",IFERROR(VLOOKUP($G144,SERVIÇOS!$C:$H,6,0),IFERROR(VLOOKUP($G144,CPU!$F:$M,8,0),"")))</f>
        <v>593.1</v>
      </c>
      <c r="L144" s="855">
        <f t="shared" si="16"/>
        <v>0.2354</v>
      </c>
      <c r="M144" s="825">
        <f t="shared" si="17"/>
        <v>732.72</v>
      </c>
      <c r="N144" s="826">
        <f t="shared" si="18"/>
        <v>2601.16</v>
      </c>
      <c r="O144" s="856">
        <f t="shared" si="19"/>
        <v>1978708.7899999991</v>
      </c>
      <c r="P144" s="857">
        <f t="shared" si="20"/>
        <v>1.2324620095987766E-3</v>
      </c>
      <c r="Q144" s="857">
        <f t="shared" si="21"/>
        <v>0.93753687267763697</v>
      </c>
      <c r="R144" s="858" t="str">
        <f t="shared" si="22"/>
        <v>C</v>
      </c>
      <c r="S144" s="81"/>
      <c r="T144" s="410">
        <f t="shared" si="23"/>
        <v>2110539.7000000007</v>
      </c>
      <c r="U144" s="69"/>
      <c r="V144" s="69"/>
      <c r="W144" s="69"/>
      <c r="X144" s="744"/>
      <c r="Y144" s="744"/>
      <c r="Z144" s="744"/>
      <c r="AA144" s="744"/>
      <c r="AB144" s="744"/>
      <c r="AC144" s="744"/>
      <c r="AD144" s="744"/>
      <c r="AE144" s="744"/>
      <c r="AF144" s="744"/>
      <c r="AG144" s="744"/>
      <c r="AH144" s="744"/>
      <c r="AI144" s="744"/>
      <c r="AJ144" s="744"/>
      <c r="AK144" s="744"/>
      <c r="AL144" s="744"/>
      <c r="AM144" s="744"/>
      <c r="AN144" s="744"/>
      <c r="AO144" s="744"/>
      <c r="AP144" s="744"/>
      <c r="AQ144" s="744"/>
    </row>
    <row r="145" spans="5:43" s="745" customFormat="1" ht="38.25">
      <c r="E145" s="69"/>
      <c r="F145" s="910" t="s">
        <v>2239</v>
      </c>
      <c r="G145" s="911" t="s">
        <v>6873</v>
      </c>
      <c r="H145" s="913" t="s">
        <v>8688</v>
      </c>
      <c r="I145" s="914" t="s">
        <v>646</v>
      </c>
      <c r="J145" s="920">
        <v>30</v>
      </c>
      <c r="K145" s="1012">
        <f>IF($G145="","",IFERROR(VLOOKUP($G145,SERVIÇOS!$C:$H,6,0),IFERROR(VLOOKUP($G145,CPU!$F:$M,8,0),"")))</f>
        <v>65.39</v>
      </c>
      <c r="L145" s="855">
        <f t="shared" si="16"/>
        <v>0.2354</v>
      </c>
      <c r="M145" s="825">
        <f t="shared" si="17"/>
        <v>80.78</v>
      </c>
      <c r="N145" s="826">
        <f t="shared" si="18"/>
        <v>2423.4</v>
      </c>
      <c r="O145" s="856">
        <f t="shared" si="19"/>
        <v>1981132.189999999</v>
      </c>
      <c r="P145" s="857">
        <f t="shared" si="20"/>
        <v>1.1482371073143042E-3</v>
      </c>
      <c r="Q145" s="857">
        <f t="shared" si="21"/>
        <v>0.93868510978495123</v>
      </c>
      <c r="R145" s="858" t="str">
        <f t="shared" si="22"/>
        <v>C</v>
      </c>
      <c r="S145" s="81"/>
      <c r="T145" s="410">
        <f t="shared" si="23"/>
        <v>2110539.7000000007</v>
      </c>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row>
    <row r="146" spans="5:43" s="745" customFormat="1" ht="25.5">
      <c r="E146" s="69"/>
      <c r="F146" s="910" t="s">
        <v>2238</v>
      </c>
      <c r="G146" s="911">
        <v>87417</v>
      </c>
      <c r="H146" s="913" t="s">
        <v>116</v>
      </c>
      <c r="I146" s="914" t="s">
        <v>649</v>
      </c>
      <c r="J146" s="920">
        <v>99.72</v>
      </c>
      <c r="K146" s="1012">
        <f>IF($G146="","",IFERROR(VLOOKUP($G146,SERVIÇOS!$C:$H,6,0),IFERROR(VLOOKUP($G146,CPU!$F:$M,8,0),"")))</f>
        <v>18.87</v>
      </c>
      <c r="L146" s="855">
        <f t="shared" si="16"/>
        <v>0.2354</v>
      </c>
      <c r="M146" s="825">
        <f t="shared" si="17"/>
        <v>23.31</v>
      </c>
      <c r="N146" s="826">
        <f t="shared" si="18"/>
        <v>2324.4699999999998</v>
      </c>
      <c r="O146" s="856">
        <f t="shared" si="19"/>
        <v>1983456.659999999</v>
      </c>
      <c r="P146" s="857">
        <f t="shared" si="20"/>
        <v>1.1013628409832798E-3</v>
      </c>
      <c r="Q146" s="857">
        <f t="shared" si="21"/>
        <v>0.93978647262593451</v>
      </c>
      <c r="R146" s="858" t="str">
        <f t="shared" si="22"/>
        <v>C</v>
      </c>
      <c r="S146" s="81"/>
      <c r="T146" s="410">
        <f t="shared" si="23"/>
        <v>2110539.7000000007</v>
      </c>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row>
    <row r="147" spans="5:43" s="745" customFormat="1" ht="25.5">
      <c r="E147" s="69"/>
      <c r="F147" s="910" t="s">
        <v>2238</v>
      </c>
      <c r="G147" s="911">
        <v>87879</v>
      </c>
      <c r="H147" s="913" t="s">
        <v>1474</v>
      </c>
      <c r="I147" s="914" t="s">
        <v>649</v>
      </c>
      <c r="J147" s="920">
        <v>434.06</v>
      </c>
      <c r="K147" s="1012">
        <f>IF($G147="","",IFERROR(VLOOKUP($G147,SERVIÇOS!$C:$H,6,0),IFERROR(VLOOKUP($G147,CPU!$F:$M,8,0),"")))</f>
        <v>4.28</v>
      </c>
      <c r="L147" s="855">
        <f t="shared" si="16"/>
        <v>0.2354</v>
      </c>
      <c r="M147" s="825">
        <f t="shared" si="17"/>
        <v>5.29</v>
      </c>
      <c r="N147" s="826">
        <f t="shared" si="18"/>
        <v>2296.1799999999998</v>
      </c>
      <c r="O147" s="856">
        <f t="shared" si="19"/>
        <v>1985752.8399999989</v>
      </c>
      <c r="P147" s="857">
        <f t="shared" si="20"/>
        <v>1.0879586865861842E-3</v>
      </c>
      <c r="Q147" s="857">
        <f t="shared" si="21"/>
        <v>0.94087443131252069</v>
      </c>
      <c r="R147" s="858" t="str">
        <f t="shared" si="22"/>
        <v>C</v>
      </c>
      <c r="S147" s="81"/>
      <c r="T147" s="410">
        <f t="shared" si="23"/>
        <v>2110539.7000000007</v>
      </c>
      <c r="U147" s="69"/>
      <c r="V147" s="69"/>
      <c r="W147" s="69"/>
      <c r="X147" s="744"/>
      <c r="Y147" s="744"/>
      <c r="Z147" s="744"/>
      <c r="AA147" s="744"/>
      <c r="AB147" s="744"/>
      <c r="AC147" s="744"/>
      <c r="AD147" s="744"/>
      <c r="AE147" s="744"/>
      <c r="AF147" s="744"/>
      <c r="AG147" s="744"/>
      <c r="AH147" s="744"/>
      <c r="AI147" s="744"/>
      <c r="AJ147" s="744"/>
      <c r="AK147" s="744"/>
      <c r="AL147" s="744"/>
      <c r="AM147" s="744"/>
      <c r="AN147" s="744"/>
      <c r="AO147" s="744"/>
      <c r="AP147" s="744"/>
      <c r="AQ147" s="744"/>
    </row>
    <row r="148" spans="5:43" s="745" customFormat="1">
      <c r="E148" s="69"/>
      <c r="F148" s="910" t="s">
        <v>2239</v>
      </c>
      <c r="G148" s="911" t="s">
        <v>7658</v>
      </c>
      <c r="H148" s="913" t="s">
        <v>7647</v>
      </c>
      <c r="I148" s="914" t="s">
        <v>644</v>
      </c>
      <c r="J148" s="920">
        <v>122.9</v>
      </c>
      <c r="K148" s="1012">
        <f>IF($G148="","",IFERROR(VLOOKUP($G148,SERVIÇOS!$C:$H,6,0),IFERROR(VLOOKUP($G148,CPU!$F:$M,8,0),"")))</f>
        <v>15</v>
      </c>
      <c r="L148" s="855">
        <f t="shared" si="16"/>
        <v>0.2354</v>
      </c>
      <c r="M148" s="825">
        <f t="shared" si="17"/>
        <v>18.53</v>
      </c>
      <c r="N148" s="826">
        <f t="shared" si="18"/>
        <v>2277.34</v>
      </c>
      <c r="O148" s="856">
        <f t="shared" si="19"/>
        <v>1988030.179999999</v>
      </c>
      <c r="P148" s="857">
        <f t="shared" si="20"/>
        <v>1.079032059903919E-3</v>
      </c>
      <c r="Q148" s="857">
        <f t="shared" si="21"/>
        <v>0.94195346337242458</v>
      </c>
      <c r="R148" s="858" t="str">
        <f t="shared" si="22"/>
        <v>C</v>
      </c>
      <c r="S148" s="81"/>
      <c r="T148" s="410">
        <f t="shared" si="23"/>
        <v>2110539.7000000007</v>
      </c>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row>
    <row r="149" spans="5:43" s="745" customFormat="1">
      <c r="E149" s="69"/>
      <c r="F149" s="910" t="s">
        <v>2239</v>
      </c>
      <c r="G149" s="911" t="s">
        <v>9013</v>
      </c>
      <c r="H149" s="913" t="s">
        <v>9014</v>
      </c>
      <c r="I149" s="914" t="s">
        <v>646</v>
      </c>
      <c r="J149" s="920">
        <v>16</v>
      </c>
      <c r="K149" s="1012">
        <f>IF($G149="","",IFERROR(VLOOKUP($G149,SERVIÇOS!$C:$H,6,0),IFERROR(VLOOKUP($G149,CPU!$F:$M,8,0),"")))</f>
        <v>114.18</v>
      </c>
      <c r="L149" s="855">
        <f t="shared" si="16"/>
        <v>0.2354</v>
      </c>
      <c r="M149" s="825">
        <f t="shared" si="17"/>
        <v>141.06</v>
      </c>
      <c r="N149" s="826">
        <f t="shared" si="18"/>
        <v>2256.96</v>
      </c>
      <c r="O149" s="856">
        <f t="shared" si="19"/>
        <v>1990287.139999999</v>
      </c>
      <c r="P149" s="857">
        <f t="shared" si="20"/>
        <v>1.0693757620384963E-3</v>
      </c>
      <c r="Q149" s="857">
        <f t="shared" si="21"/>
        <v>0.94302283913446305</v>
      </c>
      <c r="R149" s="858" t="str">
        <f t="shared" si="22"/>
        <v>C</v>
      </c>
      <c r="S149" s="81"/>
      <c r="T149" s="410">
        <f t="shared" si="23"/>
        <v>2110539.7000000007</v>
      </c>
      <c r="U149" s="69"/>
      <c r="V149" s="69"/>
      <c r="W149" s="69"/>
      <c r="X149" s="744"/>
      <c r="Y149" s="744"/>
      <c r="Z149" s="744"/>
      <c r="AA149" s="744"/>
      <c r="AB149" s="744"/>
      <c r="AC149" s="744"/>
      <c r="AD149" s="744"/>
      <c r="AE149" s="744"/>
      <c r="AF149" s="744"/>
      <c r="AG149" s="744"/>
      <c r="AH149" s="744"/>
      <c r="AI149" s="744"/>
      <c r="AJ149" s="744"/>
      <c r="AK149" s="744"/>
      <c r="AL149" s="744"/>
      <c r="AM149" s="744"/>
      <c r="AN149" s="744"/>
      <c r="AO149" s="744"/>
      <c r="AP149" s="744"/>
      <c r="AQ149" s="744"/>
    </row>
    <row r="150" spans="5:43" s="745" customFormat="1">
      <c r="E150" s="69"/>
      <c r="F150" s="910" t="s">
        <v>2239</v>
      </c>
      <c r="G150" s="911" t="s">
        <v>8589</v>
      </c>
      <c r="H150" s="913" t="s">
        <v>8590</v>
      </c>
      <c r="I150" s="914" t="s">
        <v>649</v>
      </c>
      <c r="J150" s="920">
        <v>7.16</v>
      </c>
      <c r="K150" s="1012">
        <f>IF($G150="","",IFERROR(VLOOKUP($G150,SERVIÇOS!$C:$H,6,0),IFERROR(VLOOKUP($G150,CPU!$F:$M,8,0),"")))</f>
        <v>252.96</v>
      </c>
      <c r="L150" s="855">
        <f t="shared" si="16"/>
        <v>0.2354</v>
      </c>
      <c r="M150" s="825">
        <f t="shared" si="17"/>
        <v>312.51</v>
      </c>
      <c r="N150" s="826">
        <f t="shared" si="18"/>
        <v>2237.5700000000002</v>
      </c>
      <c r="O150" s="856">
        <f t="shared" si="19"/>
        <v>1992524.709999999</v>
      </c>
      <c r="P150" s="857">
        <f t="shared" si="20"/>
        <v>1.0601885385051035E-3</v>
      </c>
      <c r="Q150" s="857">
        <f t="shared" si="21"/>
        <v>0.94408302767296814</v>
      </c>
      <c r="R150" s="858" t="str">
        <f t="shared" si="22"/>
        <v>C</v>
      </c>
      <c r="S150" s="81"/>
      <c r="T150" s="410">
        <f t="shared" si="23"/>
        <v>2110539.7000000007</v>
      </c>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row>
    <row r="151" spans="5:43" s="745" customFormat="1">
      <c r="E151" s="69"/>
      <c r="F151" s="910" t="s">
        <v>2239</v>
      </c>
      <c r="G151" s="911" t="s">
        <v>8611</v>
      </c>
      <c r="H151" s="913" t="s">
        <v>8612</v>
      </c>
      <c r="I151" s="914" t="s">
        <v>648</v>
      </c>
      <c r="J151" s="920">
        <v>22.96</v>
      </c>
      <c r="K151" s="1012">
        <f>IF($G151="","",IFERROR(VLOOKUP($G151,SERVIÇOS!$C:$H,6,0),IFERROR(VLOOKUP($G151,CPU!$F:$M,8,0),"")))</f>
        <v>78.36</v>
      </c>
      <c r="L151" s="855">
        <f t="shared" si="16"/>
        <v>0.2354</v>
      </c>
      <c r="M151" s="825">
        <f t="shared" si="17"/>
        <v>96.81</v>
      </c>
      <c r="N151" s="826">
        <f t="shared" si="18"/>
        <v>2222.7600000000002</v>
      </c>
      <c r="O151" s="856">
        <f t="shared" si="19"/>
        <v>1994747.469999999</v>
      </c>
      <c r="P151" s="857">
        <f t="shared" si="20"/>
        <v>1.0531713760229195E-3</v>
      </c>
      <c r="Q151" s="857">
        <f t="shared" si="21"/>
        <v>0.94513619904899104</v>
      </c>
      <c r="R151" s="858" t="str">
        <f t="shared" si="22"/>
        <v>C</v>
      </c>
      <c r="S151" s="81"/>
      <c r="T151" s="410">
        <f t="shared" si="23"/>
        <v>2110539.7000000007</v>
      </c>
      <c r="U151" s="69"/>
      <c r="V151" s="69"/>
      <c r="W151" s="69"/>
      <c r="X151" s="744"/>
      <c r="Y151" s="744"/>
      <c r="Z151" s="744"/>
      <c r="AA151" s="744"/>
      <c r="AB151" s="744"/>
      <c r="AC151" s="744"/>
      <c r="AD151" s="744"/>
      <c r="AE151" s="744"/>
      <c r="AF151" s="744"/>
      <c r="AG151" s="744"/>
      <c r="AH151" s="744"/>
      <c r="AI151" s="744"/>
      <c r="AJ151" s="744"/>
      <c r="AK151" s="744"/>
      <c r="AL151" s="744"/>
      <c r="AM151" s="744"/>
      <c r="AN151" s="744"/>
      <c r="AO151" s="744"/>
      <c r="AP151" s="744"/>
      <c r="AQ151" s="744"/>
    </row>
    <row r="152" spans="5:43" s="745" customFormat="1">
      <c r="E152" s="69"/>
      <c r="F152" s="910" t="s">
        <v>2239</v>
      </c>
      <c r="G152" s="911" t="s">
        <v>8470</v>
      </c>
      <c r="H152" s="913" t="s">
        <v>8374</v>
      </c>
      <c r="I152" s="914" t="s">
        <v>644</v>
      </c>
      <c r="J152" s="920">
        <v>12.649999999999999</v>
      </c>
      <c r="K152" s="1012">
        <f>IF($G152="","",IFERROR(VLOOKUP($G152,SERVIÇOS!$C:$H,6,0),IFERROR(VLOOKUP($G152,CPU!$F:$M,8,0),"")))</f>
        <v>139.19</v>
      </c>
      <c r="L152" s="855">
        <f t="shared" si="16"/>
        <v>0.2354</v>
      </c>
      <c r="M152" s="825">
        <f t="shared" si="17"/>
        <v>171.96</v>
      </c>
      <c r="N152" s="826">
        <f t="shared" si="18"/>
        <v>2175.29</v>
      </c>
      <c r="O152" s="856">
        <f t="shared" si="19"/>
        <v>1996922.7599999991</v>
      </c>
      <c r="P152" s="857">
        <f t="shared" si="20"/>
        <v>1.0306794987083158E-3</v>
      </c>
      <c r="Q152" s="857">
        <f t="shared" si="21"/>
        <v>0.94616687854769932</v>
      </c>
      <c r="R152" s="858" t="str">
        <f t="shared" si="22"/>
        <v>C</v>
      </c>
      <c r="S152" s="81"/>
      <c r="T152" s="410">
        <f t="shared" si="23"/>
        <v>2110539.7000000007</v>
      </c>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row>
    <row r="153" spans="5:43" s="745" customFormat="1">
      <c r="E153" s="69"/>
      <c r="F153" s="910" t="s">
        <v>2239</v>
      </c>
      <c r="G153" s="911" t="s">
        <v>9010</v>
      </c>
      <c r="H153" s="913" t="s">
        <v>9012</v>
      </c>
      <c r="I153" s="914" t="s">
        <v>648</v>
      </c>
      <c r="J153" s="920">
        <v>6</v>
      </c>
      <c r="K153" s="1012">
        <f>IF($G153="","",IFERROR(VLOOKUP($G153,SERVIÇOS!$C:$H,6,0),IFERROR(VLOOKUP($G153,CPU!$F:$M,8,0),"")))</f>
        <v>290.75</v>
      </c>
      <c r="L153" s="855">
        <f t="shared" si="16"/>
        <v>0.2354</v>
      </c>
      <c r="M153" s="825">
        <f t="shared" si="17"/>
        <v>359.19</v>
      </c>
      <c r="N153" s="826">
        <f t="shared" si="18"/>
        <v>2155.14</v>
      </c>
      <c r="O153" s="856">
        <f t="shared" si="19"/>
        <v>1999077.899999999</v>
      </c>
      <c r="P153" s="857">
        <f t="shared" si="20"/>
        <v>1.0211321777079101E-3</v>
      </c>
      <c r="Q153" s="857">
        <f t="shared" si="21"/>
        <v>0.94718801072540726</v>
      </c>
      <c r="R153" s="858" t="str">
        <f t="shared" si="22"/>
        <v>C</v>
      </c>
      <c r="S153" s="81"/>
      <c r="T153" s="410">
        <f t="shared" si="23"/>
        <v>2110539.7000000007</v>
      </c>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row>
    <row r="154" spans="5:43" s="745" customFormat="1" ht="25.5">
      <c r="E154" s="69"/>
      <c r="F154" s="910" t="s">
        <v>2238</v>
      </c>
      <c r="G154" s="911">
        <v>96545</v>
      </c>
      <c r="H154" s="913" t="s">
        <v>2323</v>
      </c>
      <c r="I154" s="914" t="s">
        <v>645</v>
      </c>
      <c r="J154" s="920">
        <v>99.699999999999989</v>
      </c>
      <c r="K154" s="1012">
        <f>IF($G154="","",IFERROR(VLOOKUP($G154,SERVIÇOS!$C:$H,6,0),IFERROR(VLOOKUP($G154,CPU!$F:$M,8,0),"")))</f>
        <v>16.989999999999998</v>
      </c>
      <c r="L154" s="855">
        <f t="shared" si="16"/>
        <v>0.2354</v>
      </c>
      <c r="M154" s="825">
        <f t="shared" si="17"/>
        <v>20.99</v>
      </c>
      <c r="N154" s="826">
        <f t="shared" si="18"/>
        <v>2092.6999999999998</v>
      </c>
      <c r="O154" s="856">
        <f t="shared" si="19"/>
        <v>2001170.5999999989</v>
      </c>
      <c r="P154" s="857">
        <f t="shared" si="20"/>
        <v>9.9154732791806722E-4</v>
      </c>
      <c r="Q154" s="857">
        <f t="shared" si="21"/>
        <v>0.94817955805332532</v>
      </c>
      <c r="R154" s="858" t="str">
        <f t="shared" si="22"/>
        <v>C</v>
      </c>
      <c r="S154" s="81"/>
      <c r="T154" s="410">
        <f t="shared" si="23"/>
        <v>2110539.7000000007</v>
      </c>
      <c r="U154" s="69"/>
      <c r="V154" s="69"/>
      <c r="W154" s="69"/>
      <c r="X154" s="744"/>
      <c r="Y154" s="744"/>
      <c r="Z154" s="744"/>
      <c r="AA154" s="744"/>
      <c r="AB154" s="744"/>
      <c r="AC154" s="744"/>
      <c r="AD154" s="744"/>
      <c r="AE154" s="744"/>
      <c r="AF154" s="744"/>
      <c r="AG154" s="744"/>
      <c r="AH154" s="744"/>
      <c r="AI154" s="744"/>
      <c r="AJ154" s="744"/>
      <c r="AK154" s="744"/>
      <c r="AL154" s="744"/>
      <c r="AM154" s="744"/>
      <c r="AN154" s="744"/>
      <c r="AO154" s="744"/>
      <c r="AP154" s="744"/>
      <c r="AQ154" s="744"/>
    </row>
    <row r="155" spans="5:43" s="745" customFormat="1" ht="25.5">
      <c r="E155" s="69"/>
      <c r="F155" s="910" t="s">
        <v>2239</v>
      </c>
      <c r="G155" s="911" t="s">
        <v>8619</v>
      </c>
      <c r="H155" s="913" t="s">
        <v>8620</v>
      </c>
      <c r="I155" s="914" t="s">
        <v>648</v>
      </c>
      <c r="J155" s="920">
        <v>46.46</v>
      </c>
      <c r="K155" s="1012">
        <f>IF($G155="","",IFERROR(VLOOKUP($G155,SERVIÇOS!$C:$H,6,0),IFERROR(VLOOKUP($G155,CPU!$F:$M,8,0),"")))</f>
        <v>35.61</v>
      </c>
      <c r="L155" s="855">
        <f t="shared" si="16"/>
        <v>0.2354</v>
      </c>
      <c r="M155" s="825">
        <f t="shared" si="17"/>
        <v>43.99</v>
      </c>
      <c r="N155" s="826">
        <f t="shared" si="18"/>
        <v>2043.78</v>
      </c>
      <c r="O155" s="856">
        <f t="shared" si="19"/>
        <v>2003214.379999999</v>
      </c>
      <c r="P155" s="857">
        <f t="shared" si="20"/>
        <v>9.6836842254139992E-4</v>
      </c>
      <c r="Q155" s="857">
        <f t="shared" si="21"/>
        <v>0.94914792647586677</v>
      </c>
      <c r="R155" s="858" t="str">
        <f t="shared" si="22"/>
        <v>C</v>
      </c>
      <c r="S155" s="81"/>
      <c r="T155" s="410">
        <f t="shared" si="23"/>
        <v>2110539.7000000007</v>
      </c>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row>
    <row r="156" spans="5:43" s="745" customFormat="1" ht="38.25">
      <c r="E156" s="69"/>
      <c r="F156" s="910" t="s">
        <v>2238</v>
      </c>
      <c r="G156" s="911">
        <v>87905</v>
      </c>
      <c r="H156" s="913" t="s">
        <v>1583</v>
      </c>
      <c r="I156" s="914" t="s">
        <v>649</v>
      </c>
      <c r="J156" s="920">
        <v>165.88</v>
      </c>
      <c r="K156" s="1012">
        <f>IF($G156="","",IFERROR(VLOOKUP($G156,SERVIÇOS!$C:$H,6,0),IFERROR(VLOOKUP($G156,CPU!$F:$M,8,0),"")))</f>
        <v>9.7799999999999994</v>
      </c>
      <c r="L156" s="855">
        <f t="shared" si="16"/>
        <v>0.2354</v>
      </c>
      <c r="M156" s="825">
        <f t="shared" si="17"/>
        <v>12.08</v>
      </c>
      <c r="N156" s="826">
        <f t="shared" si="18"/>
        <v>2003.83</v>
      </c>
      <c r="O156" s="856">
        <f t="shared" si="19"/>
        <v>2005218.209999999</v>
      </c>
      <c r="P156" s="857">
        <f t="shared" si="20"/>
        <v>9.4943961490039693E-4</v>
      </c>
      <c r="Q156" s="857">
        <f t="shared" si="21"/>
        <v>0.95009736609076711</v>
      </c>
      <c r="R156" s="858" t="str">
        <f t="shared" si="22"/>
        <v>C</v>
      </c>
      <c r="S156" s="81"/>
      <c r="T156" s="410">
        <f t="shared" si="23"/>
        <v>2110539.7000000007</v>
      </c>
      <c r="U156" s="69"/>
      <c r="V156" s="69"/>
      <c r="W156" s="69"/>
      <c r="X156" s="744"/>
      <c r="Y156" s="744"/>
      <c r="Z156" s="744"/>
      <c r="AA156" s="744"/>
      <c r="AB156" s="744"/>
      <c r="AC156" s="744"/>
      <c r="AD156" s="744"/>
      <c r="AE156" s="744"/>
      <c r="AF156" s="744"/>
      <c r="AG156" s="744"/>
      <c r="AH156" s="744"/>
      <c r="AI156" s="744"/>
      <c r="AJ156" s="744"/>
      <c r="AK156" s="744"/>
      <c r="AL156" s="744"/>
      <c r="AM156" s="744"/>
      <c r="AN156" s="744"/>
      <c r="AO156" s="744"/>
      <c r="AP156" s="744"/>
      <c r="AQ156" s="744"/>
    </row>
    <row r="157" spans="5:43" s="745" customFormat="1" ht="38.25">
      <c r="E157" s="69"/>
      <c r="F157" s="910" t="s">
        <v>2239</v>
      </c>
      <c r="G157" s="911" t="s">
        <v>6883</v>
      </c>
      <c r="H157" s="913" t="s">
        <v>6884</v>
      </c>
      <c r="I157" s="914" t="s">
        <v>646</v>
      </c>
      <c r="J157" s="920">
        <v>2</v>
      </c>
      <c r="K157" s="1012">
        <f>IF($G157="","",IFERROR(VLOOKUP($G157,SERVIÇOS!$C:$H,6,0),IFERROR(VLOOKUP($G157,CPU!$F:$M,8,0),"")))</f>
        <v>809.93</v>
      </c>
      <c r="L157" s="855">
        <f t="shared" si="16"/>
        <v>0.2354</v>
      </c>
      <c r="M157" s="825">
        <f t="shared" si="17"/>
        <v>1000.59</v>
      </c>
      <c r="N157" s="826">
        <f t="shared" si="18"/>
        <v>2001.18</v>
      </c>
      <c r="O157" s="856">
        <f t="shared" si="19"/>
        <v>2007219.389999999</v>
      </c>
      <c r="P157" s="857">
        <f t="shared" si="20"/>
        <v>9.4818401189041815E-4</v>
      </c>
      <c r="Q157" s="857">
        <f t="shared" si="21"/>
        <v>0.95104555010265757</v>
      </c>
      <c r="R157" s="858" t="str">
        <f t="shared" si="22"/>
        <v>C</v>
      </c>
      <c r="S157" s="81"/>
      <c r="T157" s="410">
        <f t="shared" si="23"/>
        <v>2110539.7000000007</v>
      </c>
      <c r="U157" s="69"/>
      <c r="V157" s="69"/>
      <c r="W157" s="69"/>
      <c r="X157" s="744"/>
      <c r="Y157" s="744"/>
      <c r="Z157" s="744"/>
      <c r="AA157" s="744"/>
      <c r="AB157" s="744"/>
      <c r="AC157" s="744"/>
      <c r="AD157" s="744"/>
      <c r="AE157" s="744"/>
      <c r="AF157" s="744"/>
      <c r="AG157" s="744"/>
      <c r="AH157" s="744"/>
      <c r="AI157" s="744"/>
      <c r="AJ157" s="744"/>
      <c r="AK157" s="744"/>
      <c r="AL157" s="744"/>
      <c r="AM157" s="744"/>
      <c r="AN157" s="744"/>
      <c r="AO157" s="744"/>
      <c r="AP157" s="744"/>
      <c r="AQ157" s="744"/>
    </row>
    <row r="158" spans="5:43" s="745" customFormat="1" ht="25.5">
      <c r="E158" s="69"/>
      <c r="F158" s="910" t="s">
        <v>2238</v>
      </c>
      <c r="G158" s="911">
        <v>96370</v>
      </c>
      <c r="H158" s="913" t="s">
        <v>2605</v>
      </c>
      <c r="I158" s="914" t="s">
        <v>649</v>
      </c>
      <c r="J158" s="920">
        <v>20.88</v>
      </c>
      <c r="K158" s="1012">
        <f>IF($G158="","",IFERROR(VLOOKUP($G158,SERVIÇOS!$C:$H,6,0),IFERROR(VLOOKUP($G158,CPU!$F:$M,8,0),"")))</f>
        <v>73.83</v>
      </c>
      <c r="L158" s="855">
        <f t="shared" si="16"/>
        <v>0.2354</v>
      </c>
      <c r="M158" s="825">
        <f t="shared" si="17"/>
        <v>91.21</v>
      </c>
      <c r="N158" s="826">
        <f t="shared" si="18"/>
        <v>1904.46</v>
      </c>
      <c r="O158" s="856">
        <f t="shared" si="19"/>
        <v>2009123.8499999989</v>
      </c>
      <c r="P158" s="857">
        <f t="shared" si="20"/>
        <v>9.0235687108847066E-4</v>
      </c>
      <c r="Q158" s="857">
        <f t="shared" si="21"/>
        <v>0.95194790697374598</v>
      </c>
      <c r="R158" s="858" t="str">
        <f t="shared" si="22"/>
        <v>C</v>
      </c>
      <c r="S158" s="81"/>
      <c r="T158" s="410">
        <f t="shared" si="23"/>
        <v>2110539.7000000007</v>
      </c>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row>
    <row r="159" spans="5:43" s="745" customFormat="1" ht="38.25">
      <c r="E159" s="69"/>
      <c r="F159" s="910" t="s">
        <v>2239</v>
      </c>
      <c r="G159" s="911" t="s">
        <v>8490</v>
      </c>
      <c r="H159" s="913" t="s">
        <v>8484</v>
      </c>
      <c r="I159" s="914" t="s">
        <v>648</v>
      </c>
      <c r="J159" s="920">
        <v>19</v>
      </c>
      <c r="K159" s="1012">
        <f>IF($G159="","",IFERROR(VLOOKUP($G159,SERVIÇOS!$C:$H,6,0),IFERROR(VLOOKUP($G159,CPU!$F:$M,8,0),"")))</f>
        <v>79.89</v>
      </c>
      <c r="L159" s="855">
        <f t="shared" si="16"/>
        <v>0.2354</v>
      </c>
      <c r="M159" s="825">
        <f t="shared" si="17"/>
        <v>98.7</v>
      </c>
      <c r="N159" s="826">
        <f t="shared" si="18"/>
        <v>1875.3</v>
      </c>
      <c r="O159" s="856">
        <f t="shared" si="19"/>
        <v>2010999.149999999</v>
      </c>
      <c r="P159" s="857">
        <f t="shared" si="20"/>
        <v>8.8854049985413654E-4</v>
      </c>
      <c r="Q159" s="857">
        <f t="shared" si="21"/>
        <v>0.95283644747360008</v>
      </c>
      <c r="R159" s="858" t="str">
        <f t="shared" si="22"/>
        <v>C</v>
      </c>
      <c r="S159" s="81"/>
      <c r="T159" s="410">
        <f t="shared" si="23"/>
        <v>2110539.7000000007</v>
      </c>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row>
    <row r="160" spans="5:43" s="745" customFormat="1" ht="25.5">
      <c r="E160" s="69"/>
      <c r="F160" s="910" t="s">
        <v>2238</v>
      </c>
      <c r="G160" s="911">
        <v>95583</v>
      </c>
      <c r="H160" s="913" t="s">
        <v>5554</v>
      </c>
      <c r="I160" s="914" t="s">
        <v>645</v>
      </c>
      <c r="J160" s="920">
        <v>82.3</v>
      </c>
      <c r="K160" s="1012">
        <f>IF($G160="","",IFERROR(VLOOKUP($G160,SERVIÇOS!$C:$H,6,0),IFERROR(VLOOKUP($G160,CPU!$F:$M,8,0),"")))</f>
        <v>18.25</v>
      </c>
      <c r="L160" s="855">
        <f t="shared" si="16"/>
        <v>0.2354</v>
      </c>
      <c r="M160" s="825">
        <f t="shared" si="17"/>
        <v>22.55</v>
      </c>
      <c r="N160" s="826">
        <f t="shared" si="18"/>
        <v>1855.87</v>
      </c>
      <c r="O160" s="856">
        <f t="shared" si="19"/>
        <v>2012855.0199999991</v>
      </c>
      <c r="P160" s="857">
        <f t="shared" si="20"/>
        <v>8.7933432382247974E-4</v>
      </c>
      <c r="Q160" s="857">
        <f t="shared" si="21"/>
        <v>0.95371578179742256</v>
      </c>
      <c r="R160" s="858" t="str">
        <f t="shared" si="22"/>
        <v>C</v>
      </c>
      <c r="S160" s="81"/>
      <c r="T160" s="410">
        <f t="shared" si="23"/>
        <v>2110539.7000000007</v>
      </c>
      <c r="U160" s="69"/>
      <c r="V160" s="69"/>
      <c r="W160" s="69"/>
      <c r="X160" s="744"/>
      <c r="Y160" s="744"/>
      <c r="Z160" s="744"/>
      <c r="AA160" s="744"/>
      <c r="AB160" s="744"/>
      <c r="AC160" s="744"/>
      <c r="AD160" s="744"/>
      <c r="AE160" s="744"/>
      <c r="AF160" s="744"/>
      <c r="AG160" s="744"/>
      <c r="AH160" s="744"/>
      <c r="AI160" s="744"/>
      <c r="AJ160" s="744"/>
      <c r="AK160" s="744"/>
      <c r="AL160" s="744"/>
      <c r="AM160" s="744"/>
      <c r="AN160" s="744"/>
      <c r="AO160" s="744"/>
      <c r="AP160" s="744"/>
      <c r="AQ160" s="744"/>
    </row>
    <row r="161" spans="5:43" s="745" customFormat="1" ht="38.25">
      <c r="E161" s="69"/>
      <c r="F161" s="910" t="s">
        <v>2239</v>
      </c>
      <c r="G161" s="911" t="s">
        <v>6870</v>
      </c>
      <c r="H161" s="913" t="s">
        <v>8685</v>
      </c>
      <c r="I161" s="914" t="s">
        <v>646</v>
      </c>
      <c r="J161" s="920">
        <v>1</v>
      </c>
      <c r="K161" s="1012">
        <f>IF($G161="","",IFERROR(VLOOKUP($G161,SERVIÇOS!$C:$H,6,0),IFERROR(VLOOKUP($G161,CPU!$F:$M,8,0),"")))</f>
        <v>1485.3400000000001</v>
      </c>
      <c r="L161" s="855">
        <f t="shared" si="16"/>
        <v>0.2354</v>
      </c>
      <c r="M161" s="825">
        <f t="shared" si="17"/>
        <v>1834.99</v>
      </c>
      <c r="N161" s="826">
        <f t="shared" si="18"/>
        <v>1834.99</v>
      </c>
      <c r="O161" s="856">
        <f t="shared" si="19"/>
        <v>2014690.0099999991</v>
      </c>
      <c r="P161" s="857">
        <f t="shared" si="20"/>
        <v>8.6944111972875912E-4</v>
      </c>
      <c r="Q161" s="857">
        <f t="shared" si="21"/>
        <v>0.95458522291715131</v>
      </c>
      <c r="R161" s="858" t="str">
        <f t="shared" si="22"/>
        <v>C</v>
      </c>
      <c r="S161" s="81"/>
      <c r="T161" s="410">
        <f t="shared" si="23"/>
        <v>2110539.7000000007</v>
      </c>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row>
    <row r="162" spans="5:43" s="745" customFormat="1" ht="25.5">
      <c r="E162" s="69"/>
      <c r="F162" s="910" t="s">
        <v>2238</v>
      </c>
      <c r="G162" s="911">
        <v>91946</v>
      </c>
      <c r="H162" s="913" t="s">
        <v>1216</v>
      </c>
      <c r="I162" s="914" t="s">
        <v>646</v>
      </c>
      <c r="J162" s="920">
        <v>155</v>
      </c>
      <c r="K162" s="1012">
        <f>IF($G162="","",IFERROR(VLOOKUP($G162,SERVIÇOS!$C:$H,6,0),IFERROR(VLOOKUP($G162,CPU!$F:$M,8,0),"")))</f>
        <v>9.39</v>
      </c>
      <c r="L162" s="855">
        <f t="shared" si="16"/>
        <v>0.2354</v>
      </c>
      <c r="M162" s="825">
        <f t="shared" si="17"/>
        <v>11.6</v>
      </c>
      <c r="N162" s="826">
        <f t="shared" si="18"/>
        <v>1798</v>
      </c>
      <c r="O162" s="856">
        <f t="shared" si="19"/>
        <v>2016488.0099999991</v>
      </c>
      <c r="P162" s="857">
        <f t="shared" si="20"/>
        <v>8.5191479695927988E-4</v>
      </c>
      <c r="Q162" s="857">
        <f t="shared" si="21"/>
        <v>0.95543713771411054</v>
      </c>
      <c r="R162" s="858" t="str">
        <f t="shared" si="22"/>
        <v>C</v>
      </c>
      <c r="S162" s="81"/>
      <c r="T162" s="410">
        <f t="shared" si="23"/>
        <v>2110539.7000000007</v>
      </c>
      <c r="U162" s="69"/>
      <c r="V162" s="69"/>
      <c r="W162" s="69"/>
      <c r="X162" s="744"/>
      <c r="Y162" s="744"/>
      <c r="Z162" s="744"/>
      <c r="AA162" s="744"/>
      <c r="AB162" s="744"/>
      <c r="AC162" s="744"/>
      <c r="AD162" s="744"/>
      <c r="AE162" s="744"/>
      <c r="AF162" s="744"/>
      <c r="AG162" s="744"/>
      <c r="AH162" s="744"/>
      <c r="AI162" s="744"/>
      <c r="AJ162" s="744"/>
      <c r="AK162" s="744"/>
      <c r="AL162" s="744"/>
      <c r="AM162" s="744"/>
      <c r="AN162" s="744"/>
      <c r="AO162" s="744"/>
      <c r="AP162" s="744"/>
      <c r="AQ162" s="744"/>
    </row>
    <row r="163" spans="5:43" s="745" customFormat="1" ht="38.25">
      <c r="E163" s="69"/>
      <c r="F163" s="910" t="s">
        <v>2239</v>
      </c>
      <c r="G163" s="911" t="s">
        <v>6872</v>
      </c>
      <c r="H163" s="913" t="s">
        <v>8686</v>
      </c>
      <c r="I163" s="914" t="s">
        <v>646</v>
      </c>
      <c r="J163" s="920">
        <v>1</v>
      </c>
      <c r="K163" s="1012">
        <f>IF($G163="","",IFERROR(VLOOKUP($G163,SERVIÇOS!$C:$H,6,0),IFERROR(VLOOKUP($G163,CPU!$F:$M,8,0),"")))</f>
        <v>1454.98</v>
      </c>
      <c r="L163" s="855">
        <f t="shared" si="16"/>
        <v>0.2354</v>
      </c>
      <c r="M163" s="825">
        <f t="shared" si="17"/>
        <v>1797.48</v>
      </c>
      <c r="N163" s="826">
        <f t="shared" si="18"/>
        <v>1797.48</v>
      </c>
      <c r="O163" s="856">
        <f t="shared" si="19"/>
        <v>2018285.4899999991</v>
      </c>
      <c r="P163" s="857">
        <f t="shared" si="20"/>
        <v>8.5166841448185008E-4</v>
      </c>
      <c r="Q163" s="857">
        <f t="shared" si="21"/>
        <v>0.95628880612859235</v>
      </c>
      <c r="R163" s="858" t="str">
        <f t="shared" si="22"/>
        <v>C</v>
      </c>
      <c r="S163" s="81"/>
      <c r="T163" s="410">
        <f t="shared" si="23"/>
        <v>2110539.7000000007</v>
      </c>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row>
    <row r="164" spans="5:43" s="745" customFormat="1">
      <c r="E164" s="69"/>
      <c r="F164" s="910" t="s">
        <v>2239</v>
      </c>
      <c r="G164" s="912" t="s">
        <v>6800</v>
      </c>
      <c r="H164" s="913" t="s">
        <v>8983</v>
      </c>
      <c r="I164" s="914" t="s">
        <v>646</v>
      </c>
      <c r="J164" s="920">
        <v>19</v>
      </c>
      <c r="K164" s="1012">
        <f>IF($G164="","",IFERROR(VLOOKUP($G164,SERVIÇOS!$C:$H,6,0),IFERROR(VLOOKUP($G164,CPU!$F:$M,8,0),"")))</f>
        <v>74.680000000000007</v>
      </c>
      <c r="L164" s="855">
        <f t="shared" si="16"/>
        <v>0.2354</v>
      </c>
      <c r="M164" s="825">
        <f t="shared" si="17"/>
        <v>92.26</v>
      </c>
      <c r="N164" s="826">
        <f t="shared" si="18"/>
        <v>1752.94</v>
      </c>
      <c r="O164" s="856">
        <f t="shared" si="19"/>
        <v>2020038.429999999</v>
      </c>
      <c r="P164" s="857">
        <f t="shared" si="20"/>
        <v>8.3056480766507241E-4</v>
      </c>
      <c r="Q164" s="857">
        <f t="shared" si="21"/>
        <v>0.95711937093625743</v>
      </c>
      <c r="R164" s="858" t="str">
        <f t="shared" si="22"/>
        <v>C</v>
      </c>
      <c r="S164" s="81"/>
      <c r="T164" s="410">
        <f t="shared" si="23"/>
        <v>2110539.7000000007</v>
      </c>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row>
    <row r="165" spans="5:43" s="745" customFormat="1" ht="25.5">
      <c r="E165" s="69"/>
      <c r="F165" s="910" t="s">
        <v>2239</v>
      </c>
      <c r="G165" s="911" t="s">
        <v>8965</v>
      </c>
      <c r="H165" s="913" t="s">
        <v>8966</v>
      </c>
      <c r="I165" s="914" t="s">
        <v>646</v>
      </c>
      <c r="J165" s="920">
        <v>1</v>
      </c>
      <c r="K165" s="1012">
        <f>IF($G165="","",IFERROR(VLOOKUP($G165,SERVIÇOS!$C:$H,6,0),IFERROR(VLOOKUP($G165,CPU!$F:$M,8,0),"")))</f>
        <v>1414.8</v>
      </c>
      <c r="L165" s="855">
        <f t="shared" si="16"/>
        <v>0.2354</v>
      </c>
      <c r="M165" s="825">
        <f t="shared" si="17"/>
        <v>1747.84</v>
      </c>
      <c r="N165" s="826">
        <f t="shared" si="18"/>
        <v>1747.84</v>
      </c>
      <c r="O165" s="856">
        <f t="shared" si="19"/>
        <v>2021786.2699999991</v>
      </c>
      <c r="P165" s="857">
        <f t="shared" si="20"/>
        <v>8.2814836413643358E-4</v>
      </c>
      <c r="Q165" s="857">
        <f t="shared" si="21"/>
        <v>0.9579475193003939</v>
      </c>
      <c r="R165" s="858" t="str">
        <f t="shared" si="22"/>
        <v>C</v>
      </c>
      <c r="S165" s="81"/>
      <c r="T165" s="410">
        <f t="shared" si="23"/>
        <v>2110539.7000000007</v>
      </c>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row>
    <row r="166" spans="5:43" s="745" customFormat="1" ht="25.5">
      <c r="E166" s="69"/>
      <c r="F166" s="910" t="s">
        <v>2238</v>
      </c>
      <c r="G166" s="911">
        <v>93662</v>
      </c>
      <c r="H166" s="913" t="s">
        <v>5079</v>
      </c>
      <c r="I166" s="914" t="s">
        <v>646</v>
      </c>
      <c r="J166" s="920">
        <v>19</v>
      </c>
      <c r="K166" s="1012">
        <f>IF($G166="","",IFERROR(VLOOKUP($G166,SERVIÇOS!$C:$H,6,0),IFERROR(VLOOKUP($G166,CPU!$F:$M,8,0),"")))</f>
        <v>72.27</v>
      </c>
      <c r="L166" s="855">
        <f t="shared" si="16"/>
        <v>0.2354</v>
      </c>
      <c r="M166" s="825">
        <f t="shared" si="17"/>
        <v>89.28</v>
      </c>
      <c r="N166" s="826">
        <f t="shared" si="18"/>
        <v>1696.32</v>
      </c>
      <c r="O166" s="856">
        <f t="shared" si="19"/>
        <v>2023482.5899999992</v>
      </c>
      <c r="P166" s="857">
        <f t="shared" si="20"/>
        <v>8.0373754637261708E-4</v>
      </c>
      <c r="Q166" s="857">
        <f t="shared" si="21"/>
        <v>0.95875125684676654</v>
      </c>
      <c r="R166" s="858" t="str">
        <f t="shared" si="22"/>
        <v>C</v>
      </c>
      <c r="S166" s="81"/>
      <c r="T166" s="410">
        <f t="shared" si="23"/>
        <v>2110539.7000000007</v>
      </c>
      <c r="U166" s="69"/>
      <c r="V166" s="69"/>
      <c r="W166" s="69"/>
      <c r="X166" s="744"/>
      <c r="Y166" s="744"/>
      <c r="Z166" s="744"/>
      <c r="AA166" s="744"/>
      <c r="AB166" s="744"/>
      <c r="AC166" s="744"/>
      <c r="AD166" s="744"/>
      <c r="AE166" s="744"/>
      <c r="AF166" s="744"/>
      <c r="AG166" s="744"/>
      <c r="AH166" s="744"/>
      <c r="AI166" s="744"/>
      <c r="AJ166" s="744"/>
      <c r="AK166" s="744"/>
      <c r="AL166" s="744"/>
      <c r="AM166" s="744"/>
      <c r="AN166" s="744"/>
      <c r="AO166" s="744"/>
      <c r="AP166" s="744"/>
      <c r="AQ166" s="744"/>
    </row>
    <row r="167" spans="5:43" s="745" customFormat="1" ht="25.5">
      <c r="E167" s="69"/>
      <c r="F167" s="910" t="s">
        <v>2239</v>
      </c>
      <c r="G167" s="911" t="s">
        <v>8743</v>
      </c>
      <c r="H167" s="913" t="s">
        <v>8395</v>
      </c>
      <c r="I167" s="914" t="s">
        <v>646</v>
      </c>
      <c r="J167" s="920">
        <v>9</v>
      </c>
      <c r="K167" s="1012">
        <f>IF($G167="","",IFERROR(VLOOKUP($G167,SERVIÇOS!$C:$H,6,0),IFERROR(VLOOKUP($G167,CPU!$F:$M,8,0),"")))</f>
        <v>150.85</v>
      </c>
      <c r="L167" s="855">
        <f t="shared" si="16"/>
        <v>0.2354</v>
      </c>
      <c r="M167" s="825">
        <f t="shared" si="17"/>
        <v>186.36</v>
      </c>
      <c r="N167" s="826">
        <f t="shared" si="18"/>
        <v>1677.24</v>
      </c>
      <c r="O167" s="856">
        <f t="shared" si="19"/>
        <v>2025159.8299999991</v>
      </c>
      <c r="P167" s="857">
        <f t="shared" si="20"/>
        <v>7.9469720470076895E-4</v>
      </c>
      <c r="Q167" s="857">
        <f t="shared" si="21"/>
        <v>0.95954595405146736</v>
      </c>
      <c r="R167" s="858" t="str">
        <f t="shared" si="22"/>
        <v>C</v>
      </c>
      <c r="S167" s="81"/>
      <c r="T167" s="410">
        <f t="shared" si="23"/>
        <v>2110539.7000000007</v>
      </c>
      <c r="U167" s="69"/>
      <c r="V167" s="69"/>
      <c r="W167" s="69"/>
      <c r="X167" s="744"/>
      <c r="Y167" s="744"/>
      <c r="Z167" s="744"/>
      <c r="AA167" s="744"/>
      <c r="AB167" s="744"/>
      <c r="AC167" s="744"/>
      <c r="AD167" s="744"/>
      <c r="AE167" s="744"/>
      <c r="AF167" s="744"/>
      <c r="AG167" s="744"/>
      <c r="AH167" s="744"/>
      <c r="AI167" s="744"/>
      <c r="AJ167" s="744"/>
      <c r="AK167" s="744"/>
      <c r="AL167" s="744"/>
      <c r="AM167" s="744"/>
      <c r="AN167" s="744"/>
      <c r="AO167" s="744"/>
      <c r="AP167" s="744"/>
      <c r="AQ167" s="744"/>
    </row>
    <row r="168" spans="5:43" s="745" customFormat="1" ht="25.5">
      <c r="E168" s="69"/>
      <c r="F168" s="910" t="s">
        <v>2238</v>
      </c>
      <c r="G168" s="911">
        <v>96973</v>
      </c>
      <c r="H168" s="913" t="s">
        <v>2786</v>
      </c>
      <c r="I168" s="914" t="s">
        <v>648</v>
      </c>
      <c r="J168" s="920">
        <v>20</v>
      </c>
      <c r="K168" s="1012">
        <f>IF($G168="","",IFERROR(VLOOKUP($G168,SERVIÇOS!$C:$H,6,0),IFERROR(VLOOKUP($G168,CPU!$F:$M,8,0),"")))</f>
        <v>67.61</v>
      </c>
      <c r="L168" s="855">
        <f t="shared" si="16"/>
        <v>0.2354</v>
      </c>
      <c r="M168" s="825">
        <f t="shared" si="17"/>
        <v>83.53</v>
      </c>
      <c r="N168" s="826">
        <f t="shared" si="18"/>
        <v>1670.6</v>
      </c>
      <c r="O168" s="856">
        <f t="shared" si="19"/>
        <v>2026830.4299999992</v>
      </c>
      <c r="P168" s="857">
        <f t="shared" si="20"/>
        <v>7.9155108998897269E-4</v>
      </c>
      <c r="Q168" s="857">
        <f t="shared" si="21"/>
        <v>0.96033750514145633</v>
      </c>
      <c r="R168" s="858" t="str">
        <f t="shared" si="22"/>
        <v>C</v>
      </c>
      <c r="S168" s="81"/>
      <c r="T168" s="410">
        <f t="shared" si="23"/>
        <v>2110539.7000000007</v>
      </c>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row>
    <row r="169" spans="5:43" s="745" customFormat="1" ht="25.5">
      <c r="E169" s="69"/>
      <c r="F169" s="910" t="s">
        <v>2238</v>
      </c>
      <c r="G169" s="911">
        <v>98564</v>
      </c>
      <c r="H169" s="913" t="s">
        <v>2988</v>
      </c>
      <c r="I169" s="914" t="s">
        <v>649</v>
      </c>
      <c r="J169" s="920">
        <v>26.19</v>
      </c>
      <c r="K169" s="1012">
        <f>IF($G169="","",IFERROR(VLOOKUP($G169,SERVIÇOS!$C:$H,6,0),IFERROR(VLOOKUP($G169,CPU!$F:$M,8,0),"")))</f>
        <v>51.4</v>
      </c>
      <c r="L169" s="855">
        <f t="shared" si="16"/>
        <v>0.2354</v>
      </c>
      <c r="M169" s="825">
        <f t="shared" si="17"/>
        <v>63.5</v>
      </c>
      <c r="N169" s="826">
        <f t="shared" si="18"/>
        <v>1663.07</v>
      </c>
      <c r="O169" s="856">
        <f t="shared" si="19"/>
        <v>2028493.4999999993</v>
      </c>
      <c r="P169" s="857">
        <f t="shared" si="20"/>
        <v>7.8798328219080623E-4</v>
      </c>
      <c r="Q169" s="857">
        <f t="shared" si="21"/>
        <v>0.96112548842364709</v>
      </c>
      <c r="R169" s="858" t="str">
        <f t="shared" si="22"/>
        <v>C</v>
      </c>
      <c r="S169" s="81"/>
      <c r="T169" s="410">
        <f t="shared" si="23"/>
        <v>2110539.7000000007</v>
      </c>
      <c r="U169" s="69"/>
      <c r="V169" s="69"/>
      <c r="W169" s="69"/>
      <c r="X169" s="744"/>
      <c r="Y169" s="744"/>
      <c r="Z169" s="744"/>
      <c r="AA169" s="744"/>
      <c r="AB169" s="744"/>
      <c r="AC169" s="744"/>
      <c r="AD169" s="744"/>
      <c r="AE169" s="744"/>
      <c r="AF169" s="744"/>
      <c r="AG169" s="744"/>
      <c r="AH169" s="744"/>
      <c r="AI169" s="744"/>
      <c r="AJ169" s="744"/>
      <c r="AK169" s="744"/>
      <c r="AL169" s="744"/>
      <c r="AM169" s="744"/>
      <c r="AN169" s="744"/>
      <c r="AO169" s="744"/>
      <c r="AP169" s="744"/>
      <c r="AQ169" s="744"/>
    </row>
    <row r="170" spans="5:43" s="745" customFormat="1" ht="25.5">
      <c r="E170" s="69"/>
      <c r="F170" s="910" t="s">
        <v>2239</v>
      </c>
      <c r="G170" s="911" t="s">
        <v>6809</v>
      </c>
      <c r="H170" s="913" t="s">
        <v>8384</v>
      </c>
      <c r="I170" s="914" t="s">
        <v>646</v>
      </c>
      <c r="J170" s="920">
        <v>5</v>
      </c>
      <c r="K170" s="1012">
        <f>IF($G170="","",IFERROR(VLOOKUP($G170,SERVIÇOS!$C:$H,6,0),IFERROR(VLOOKUP($G170,CPU!$F:$M,8,0),"")))</f>
        <v>268.52000000000004</v>
      </c>
      <c r="L170" s="855">
        <f t="shared" si="16"/>
        <v>0.2354</v>
      </c>
      <c r="M170" s="825">
        <f t="shared" si="17"/>
        <v>331.73</v>
      </c>
      <c r="N170" s="826">
        <f t="shared" si="18"/>
        <v>1658.65</v>
      </c>
      <c r="O170" s="856">
        <f t="shared" si="19"/>
        <v>2030152.1499999992</v>
      </c>
      <c r="P170" s="857">
        <f t="shared" si="20"/>
        <v>7.8588903113265278E-4</v>
      </c>
      <c r="Q170" s="857">
        <f t="shared" si="21"/>
        <v>0.96191137745477973</v>
      </c>
      <c r="R170" s="858" t="str">
        <f t="shared" si="22"/>
        <v>C</v>
      </c>
      <c r="S170" s="81"/>
      <c r="T170" s="410">
        <f t="shared" si="23"/>
        <v>2110539.7000000007</v>
      </c>
      <c r="U170" s="69"/>
      <c r="V170" s="69"/>
      <c r="W170" s="69"/>
      <c r="X170" s="744"/>
      <c r="Y170" s="744"/>
      <c r="Z170" s="744"/>
      <c r="AA170" s="744"/>
      <c r="AB170" s="744"/>
      <c r="AC170" s="744"/>
      <c r="AD170" s="744"/>
      <c r="AE170" s="744"/>
      <c r="AF170" s="744"/>
      <c r="AG170" s="744"/>
      <c r="AH170" s="744"/>
      <c r="AI170" s="744"/>
      <c r="AJ170" s="744"/>
      <c r="AK170" s="744"/>
      <c r="AL170" s="744"/>
      <c r="AM170" s="744"/>
      <c r="AN170" s="744"/>
      <c r="AO170" s="744"/>
      <c r="AP170" s="744"/>
      <c r="AQ170" s="744"/>
    </row>
    <row r="171" spans="5:43" s="745" customFormat="1">
      <c r="E171" s="69"/>
      <c r="F171" s="910" t="s">
        <v>2239</v>
      </c>
      <c r="G171" s="911" t="s">
        <v>7487</v>
      </c>
      <c r="H171" s="913" t="s">
        <v>7489</v>
      </c>
      <c r="I171" s="914" t="s">
        <v>646</v>
      </c>
      <c r="J171" s="920">
        <v>19</v>
      </c>
      <c r="K171" s="1012">
        <f>IF($G171="","",IFERROR(VLOOKUP($G171,SERVIÇOS!$C:$H,6,0),IFERROR(VLOOKUP($G171,CPU!$F:$M,8,0),"")))</f>
        <v>69.11</v>
      </c>
      <c r="L171" s="855">
        <f t="shared" si="16"/>
        <v>0.2354</v>
      </c>
      <c r="M171" s="825">
        <f t="shared" si="17"/>
        <v>85.38</v>
      </c>
      <c r="N171" s="826">
        <f t="shared" si="18"/>
        <v>1622.22</v>
      </c>
      <c r="O171" s="856">
        <f t="shared" si="19"/>
        <v>2031774.3699999992</v>
      </c>
      <c r="P171" s="857">
        <f t="shared" si="20"/>
        <v>7.6862804333886704E-4</v>
      </c>
      <c r="Q171" s="857">
        <f t="shared" si="21"/>
        <v>0.96268000549811861</v>
      </c>
      <c r="R171" s="858" t="str">
        <f t="shared" si="22"/>
        <v>C</v>
      </c>
      <c r="S171" s="81"/>
      <c r="T171" s="410">
        <f t="shared" si="23"/>
        <v>2110539.7000000007</v>
      </c>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row>
    <row r="172" spans="5:43" s="745" customFormat="1" ht="38.25">
      <c r="E172" s="69"/>
      <c r="F172" s="910" t="s">
        <v>2239</v>
      </c>
      <c r="G172" s="911" t="s">
        <v>8465</v>
      </c>
      <c r="H172" s="913" t="s">
        <v>8467</v>
      </c>
      <c r="I172" s="914" t="s">
        <v>649</v>
      </c>
      <c r="J172" s="920">
        <v>10.19</v>
      </c>
      <c r="K172" s="1012">
        <f>IF($G172="","",IFERROR(VLOOKUP($G172,SERVIÇOS!$C:$H,6,0),IFERROR(VLOOKUP($G172,CPU!$F:$M,8,0),"")))</f>
        <v>127.28999999999999</v>
      </c>
      <c r="L172" s="855">
        <f t="shared" si="16"/>
        <v>0.2354</v>
      </c>
      <c r="M172" s="825">
        <f t="shared" si="17"/>
        <v>157.25</v>
      </c>
      <c r="N172" s="826">
        <f t="shared" si="18"/>
        <v>1602.38</v>
      </c>
      <c r="O172" s="856">
        <f t="shared" si="19"/>
        <v>2033376.7499999991</v>
      </c>
      <c r="P172" s="857">
        <f t="shared" si="20"/>
        <v>7.5922760420000612E-4</v>
      </c>
      <c r="Q172" s="857">
        <f t="shared" si="21"/>
        <v>0.9634392331023186</v>
      </c>
      <c r="R172" s="858" t="str">
        <f t="shared" si="22"/>
        <v>C</v>
      </c>
      <c r="S172" s="81"/>
      <c r="T172" s="410">
        <f t="shared" si="23"/>
        <v>2110539.7000000007</v>
      </c>
      <c r="U172" s="69"/>
      <c r="V172" s="69"/>
      <c r="W172" s="69"/>
      <c r="X172" s="744"/>
      <c r="Y172" s="744"/>
      <c r="Z172" s="744"/>
      <c r="AA172" s="744"/>
      <c r="AB172" s="744"/>
      <c r="AC172" s="744"/>
      <c r="AD172" s="744"/>
      <c r="AE172" s="744"/>
      <c r="AF172" s="744"/>
      <c r="AG172" s="744"/>
      <c r="AH172" s="744"/>
      <c r="AI172" s="744"/>
      <c r="AJ172" s="744"/>
      <c r="AK172" s="744"/>
      <c r="AL172" s="744"/>
      <c r="AM172" s="744"/>
      <c r="AN172" s="744"/>
      <c r="AO172" s="744"/>
      <c r="AP172" s="744"/>
      <c r="AQ172" s="744"/>
    </row>
    <row r="173" spans="5:43" s="745" customFormat="1">
      <c r="E173" s="69"/>
      <c r="F173" s="910" t="s">
        <v>2239</v>
      </c>
      <c r="G173" s="911" t="s">
        <v>8947</v>
      </c>
      <c r="H173" s="913" t="s">
        <v>8944</v>
      </c>
      <c r="I173" s="914" t="s">
        <v>646</v>
      </c>
      <c r="J173" s="920">
        <v>15</v>
      </c>
      <c r="K173" s="1012">
        <f>IF($G173="","",IFERROR(VLOOKUP($G173,SERVIÇOS!$C:$H,6,0),IFERROR(VLOOKUP($G173,CPU!$F:$M,8,0),"")))</f>
        <v>85.109999999999985</v>
      </c>
      <c r="L173" s="855">
        <f t="shared" si="16"/>
        <v>0.2354</v>
      </c>
      <c r="M173" s="825">
        <f t="shared" si="17"/>
        <v>105.14</v>
      </c>
      <c r="N173" s="826">
        <f t="shared" si="18"/>
        <v>1577.1</v>
      </c>
      <c r="O173" s="856">
        <f t="shared" si="19"/>
        <v>2034953.8499999992</v>
      </c>
      <c r="P173" s="857">
        <f t="shared" si="20"/>
        <v>7.4724962529726369E-4</v>
      </c>
      <c r="Q173" s="857">
        <f t="shared" si="21"/>
        <v>0.96418648272761587</v>
      </c>
      <c r="R173" s="858" t="str">
        <f t="shared" si="22"/>
        <v>C</v>
      </c>
      <c r="S173" s="81"/>
      <c r="T173" s="410">
        <f t="shared" si="23"/>
        <v>2110539.7000000007</v>
      </c>
      <c r="U173" s="69"/>
      <c r="V173" s="69"/>
      <c r="W173" s="69"/>
      <c r="X173" s="744"/>
      <c r="Y173" s="744"/>
      <c r="Z173" s="744"/>
      <c r="AA173" s="744"/>
      <c r="AB173" s="744"/>
      <c r="AC173" s="744"/>
      <c r="AD173" s="744"/>
      <c r="AE173" s="744"/>
      <c r="AF173" s="744"/>
      <c r="AG173" s="744"/>
      <c r="AH173" s="744"/>
      <c r="AI173" s="744"/>
      <c r="AJ173" s="744"/>
      <c r="AK173" s="744"/>
      <c r="AL173" s="744"/>
      <c r="AM173" s="744"/>
      <c r="AN173" s="744"/>
      <c r="AO173" s="744"/>
      <c r="AP173" s="744"/>
      <c r="AQ173" s="744"/>
    </row>
    <row r="174" spans="5:43" s="745" customFormat="1" ht="25.5">
      <c r="E174" s="69"/>
      <c r="F174" s="910" t="s">
        <v>2238</v>
      </c>
      <c r="G174" s="911">
        <v>96543</v>
      </c>
      <c r="H174" s="913" t="s">
        <v>2321</v>
      </c>
      <c r="I174" s="914" t="s">
        <v>645</v>
      </c>
      <c r="J174" s="920">
        <v>62.89</v>
      </c>
      <c r="K174" s="1012">
        <f>IF($G174="","",IFERROR(VLOOKUP($G174,SERVIÇOS!$C:$H,6,0),IFERROR(VLOOKUP($G174,CPU!$F:$M,8,0),"")))</f>
        <v>20.170000000000002</v>
      </c>
      <c r="L174" s="855">
        <f t="shared" si="16"/>
        <v>0.2354</v>
      </c>
      <c r="M174" s="825">
        <f t="shared" si="17"/>
        <v>24.92</v>
      </c>
      <c r="N174" s="826">
        <f t="shared" si="18"/>
        <v>1567.22</v>
      </c>
      <c r="O174" s="856">
        <f t="shared" si="19"/>
        <v>2036521.0699999991</v>
      </c>
      <c r="P174" s="857">
        <f t="shared" si="20"/>
        <v>7.425683582260971E-4</v>
      </c>
      <c r="Q174" s="857">
        <f t="shared" si="21"/>
        <v>0.96492905108584193</v>
      </c>
      <c r="R174" s="858" t="str">
        <f t="shared" si="22"/>
        <v>C</v>
      </c>
      <c r="S174" s="81"/>
      <c r="T174" s="410">
        <f t="shared" si="23"/>
        <v>2110539.7000000007</v>
      </c>
      <c r="U174" s="69"/>
      <c r="V174" s="69"/>
      <c r="W174" s="69"/>
      <c r="X174" s="744"/>
      <c r="Y174" s="744"/>
      <c r="Z174" s="744"/>
      <c r="AA174" s="744"/>
      <c r="AB174" s="744"/>
      <c r="AC174" s="744"/>
      <c r="AD174" s="744"/>
      <c r="AE174" s="744"/>
      <c r="AF174" s="744"/>
      <c r="AG174" s="744"/>
      <c r="AH174" s="744"/>
      <c r="AI174" s="744"/>
      <c r="AJ174" s="744"/>
      <c r="AK174" s="744"/>
      <c r="AL174" s="744"/>
      <c r="AM174" s="744"/>
      <c r="AN174" s="744"/>
      <c r="AO174" s="744"/>
      <c r="AP174" s="744"/>
      <c r="AQ174" s="744"/>
    </row>
    <row r="175" spans="5:43" s="745" customFormat="1" ht="38.25">
      <c r="E175" s="69"/>
      <c r="F175" s="910" t="s">
        <v>2239</v>
      </c>
      <c r="G175" s="911" t="s">
        <v>6874</v>
      </c>
      <c r="H175" s="913" t="s">
        <v>8687</v>
      </c>
      <c r="I175" s="914" t="s">
        <v>646</v>
      </c>
      <c r="J175" s="920">
        <v>1</v>
      </c>
      <c r="K175" s="1012">
        <f>IF($G175="","",IFERROR(VLOOKUP($G175,SERVIÇOS!$C:$H,6,0),IFERROR(VLOOKUP($G175,CPU!$F:$M,8,0),"")))</f>
        <v>1253.9900000000002</v>
      </c>
      <c r="L175" s="855">
        <f t="shared" si="16"/>
        <v>0.2354</v>
      </c>
      <c r="M175" s="825">
        <f t="shared" si="17"/>
        <v>1549.18</v>
      </c>
      <c r="N175" s="826">
        <f t="shared" si="18"/>
        <v>1549.18</v>
      </c>
      <c r="O175" s="856">
        <f t="shared" si="19"/>
        <v>2038070.2499999991</v>
      </c>
      <c r="P175" s="857">
        <f t="shared" si="20"/>
        <v>7.3402078150910856E-4</v>
      </c>
      <c r="Q175" s="857">
        <f t="shared" si="21"/>
        <v>0.96566307186735101</v>
      </c>
      <c r="R175" s="858" t="str">
        <f t="shared" si="22"/>
        <v>C</v>
      </c>
      <c r="S175" s="81"/>
      <c r="T175" s="410">
        <f t="shared" si="23"/>
        <v>2110539.7000000007</v>
      </c>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row>
    <row r="176" spans="5:43" s="745" customFormat="1" ht="25.5">
      <c r="E176" s="69"/>
      <c r="F176" s="910" t="s">
        <v>2238</v>
      </c>
      <c r="G176" s="911">
        <v>91837</v>
      </c>
      <c r="H176" s="913" t="s">
        <v>3285</v>
      </c>
      <c r="I176" s="914" t="s">
        <v>648</v>
      </c>
      <c r="J176" s="920">
        <v>67</v>
      </c>
      <c r="K176" s="1012">
        <f>IF($G176="","",IFERROR(VLOOKUP($G176,SERVIÇOS!$C:$H,6,0),IFERROR(VLOOKUP($G176,CPU!$F:$M,8,0),"")))</f>
        <v>18.600000000000001</v>
      </c>
      <c r="L176" s="855">
        <f t="shared" si="16"/>
        <v>0.2354</v>
      </c>
      <c r="M176" s="825">
        <f t="shared" si="17"/>
        <v>22.98</v>
      </c>
      <c r="N176" s="826">
        <f t="shared" si="18"/>
        <v>1539.66</v>
      </c>
      <c r="O176" s="856">
        <f t="shared" si="19"/>
        <v>2039609.909999999</v>
      </c>
      <c r="P176" s="857">
        <f t="shared" si="20"/>
        <v>7.295100869223164E-4</v>
      </c>
      <c r="Q176" s="857">
        <f t="shared" si="21"/>
        <v>0.96639258195427336</v>
      </c>
      <c r="R176" s="858" t="str">
        <f t="shared" si="22"/>
        <v>C</v>
      </c>
      <c r="S176" s="81"/>
      <c r="T176" s="410">
        <f t="shared" si="23"/>
        <v>2110539.7000000007</v>
      </c>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row>
    <row r="177" spans="5:43" s="745" customFormat="1" ht="38.25">
      <c r="E177" s="69"/>
      <c r="F177" s="910" t="s">
        <v>2238</v>
      </c>
      <c r="G177" s="911">
        <v>91786</v>
      </c>
      <c r="H177" s="913" t="s">
        <v>1211</v>
      </c>
      <c r="I177" s="914" t="s">
        <v>648</v>
      </c>
      <c r="J177" s="920">
        <v>32.4</v>
      </c>
      <c r="K177" s="1012">
        <f>IF($G177="","",IFERROR(VLOOKUP($G177,SERVIÇOS!$C:$H,6,0),IFERROR(VLOOKUP($G177,CPU!$F:$M,8,0),"")))</f>
        <v>36.33</v>
      </c>
      <c r="L177" s="855">
        <f t="shared" si="16"/>
        <v>0.2354</v>
      </c>
      <c r="M177" s="825">
        <f t="shared" si="17"/>
        <v>44.88</v>
      </c>
      <c r="N177" s="826">
        <f t="shared" si="18"/>
        <v>1454.11</v>
      </c>
      <c r="O177" s="856">
        <f t="shared" si="19"/>
        <v>2041064.0199999991</v>
      </c>
      <c r="P177" s="857">
        <f t="shared" si="20"/>
        <v>6.8897543126054419E-4</v>
      </c>
      <c r="Q177" s="857">
        <f t="shared" si="21"/>
        <v>0.96708155738553392</v>
      </c>
      <c r="R177" s="858" t="str">
        <f t="shared" si="22"/>
        <v>C</v>
      </c>
      <c r="S177" s="81"/>
      <c r="T177" s="410">
        <f t="shared" si="23"/>
        <v>2110539.7000000007</v>
      </c>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row>
    <row r="178" spans="5:43" s="745" customFormat="1" ht="25.5">
      <c r="E178" s="69"/>
      <c r="F178" s="910" t="s">
        <v>2238</v>
      </c>
      <c r="G178" s="911">
        <v>97599</v>
      </c>
      <c r="H178" s="913" t="s">
        <v>4088</v>
      </c>
      <c r="I178" s="914" t="s">
        <v>646</v>
      </c>
      <c r="J178" s="920">
        <v>41</v>
      </c>
      <c r="K178" s="1012">
        <f>IF($G178="","",IFERROR(VLOOKUP($G178,SERVIÇOS!$C:$H,6,0),IFERROR(VLOOKUP($G178,CPU!$F:$M,8,0),"")))</f>
        <v>27.87</v>
      </c>
      <c r="L178" s="855">
        <f t="shared" si="16"/>
        <v>0.2354</v>
      </c>
      <c r="M178" s="825">
        <f t="shared" si="17"/>
        <v>34.43</v>
      </c>
      <c r="N178" s="826">
        <f t="shared" si="18"/>
        <v>1411.63</v>
      </c>
      <c r="O178" s="856">
        <f t="shared" si="19"/>
        <v>2042475.649999999</v>
      </c>
      <c r="P178" s="857">
        <f t="shared" si="20"/>
        <v>6.6884787810435396E-4</v>
      </c>
      <c r="Q178" s="857">
        <f t="shared" si="21"/>
        <v>0.96775040526363831</v>
      </c>
      <c r="R178" s="858" t="str">
        <f t="shared" si="22"/>
        <v>C</v>
      </c>
      <c r="S178" s="81"/>
      <c r="T178" s="410">
        <f t="shared" si="23"/>
        <v>2110539.7000000007</v>
      </c>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row>
    <row r="179" spans="5:43" s="745" customFormat="1" ht="25.5">
      <c r="E179" s="69"/>
      <c r="F179" s="910" t="s">
        <v>2238</v>
      </c>
      <c r="G179" s="911">
        <v>97881</v>
      </c>
      <c r="H179" s="913" t="s">
        <v>5601</v>
      </c>
      <c r="I179" s="914" t="s">
        <v>646</v>
      </c>
      <c r="J179" s="920">
        <v>11</v>
      </c>
      <c r="K179" s="1012">
        <f>IF($G179="","",IFERROR(VLOOKUP($G179,SERVIÇOS!$C:$H,6,0),IFERROR(VLOOKUP($G179,CPU!$F:$M,8,0),"")))</f>
        <v>101.75</v>
      </c>
      <c r="L179" s="855">
        <f t="shared" si="16"/>
        <v>0.2354</v>
      </c>
      <c r="M179" s="825">
        <f t="shared" si="17"/>
        <v>125.7</v>
      </c>
      <c r="N179" s="826">
        <f t="shared" si="18"/>
        <v>1382.7</v>
      </c>
      <c r="O179" s="856">
        <f t="shared" si="19"/>
        <v>2043858.3499999989</v>
      </c>
      <c r="P179" s="857">
        <f t="shared" si="20"/>
        <v>6.5514048373503686E-4</v>
      </c>
      <c r="Q179" s="857">
        <f t="shared" si="21"/>
        <v>0.96840554574737336</v>
      </c>
      <c r="R179" s="858" t="str">
        <f t="shared" si="22"/>
        <v>C</v>
      </c>
      <c r="S179" s="81"/>
      <c r="T179" s="410">
        <f t="shared" si="23"/>
        <v>2110539.7000000007</v>
      </c>
      <c r="U179" s="69"/>
      <c r="V179" s="69"/>
      <c r="W179" s="69"/>
      <c r="X179" s="744"/>
      <c r="Y179" s="744"/>
      <c r="Z179" s="744"/>
      <c r="AA179" s="744"/>
      <c r="AB179" s="744"/>
      <c r="AC179" s="744"/>
      <c r="AD179" s="744"/>
      <c r="AE179" s="744"/>
      <c r="AF179" s="744"/>
      <c r="AG179" s="744"/>
      <c r="AH179" s="744"/>
      <c r="AI179" s="744"/>
      <c r="AJ179" s="744"/>
      <c r="AK179" s="744"/>
      <c r="AL179" s="744"/>
      <c r="AM179" s="744"/>
      <c r="AN179" s="744"/>
      <c r="AO179" s="744"/>
      <c r="AP179" s="744"/>
      <c r="AQ179" s="744"/>
    </row>
    <row r="180" spans="5:43" s="745" customFormat="1" ht="25.5">
      <c r="E180" s="69"/>
      <c r="F180" s="910" t="s">
        <v>2239</v>
      </c>
      <c r="G180" s="911" t="s">
        <v>8536</v>
      </c>
      <c r="H180" s="913" t="s">
        <v>8539</v>
      </c>
      <c r="I180" s="914" t="s">
        <v>646</v>
      </c>
      <c r="J180" s="920">
        <v>5</v>
      </c>
      <c r="K180" s="1012">
        <f>IF($G180="","",IFERROR(VLOOKUP($G180,SERVIÇOS!$C:$H,6,0),IFERROR(VLOOKUP($G180,CPU!$F:$M,8,0),"")))</f>
        <v>218.28</v>
      </c>
      <c r="L180" s="855">
        <f t="shared" si="16"/>
        <v>0.2354</v>
      </c>
      <c r="M180" s="825">
        <f t="shared" si="17"/>
        <v>269.66000000000003</v>
      </c>
      <c r="N180" s="826">
        <f t="shared" si="18"/>
        <v>1348.3</v>
      </c>
      <c r="O180" s="856">
        <f t="shared" si="19"/>
        <v>2045206.649999999</v>
      </c>
      <c r="P180" s="857">
        <f t="shared" si="20"/>
        <v>6.3884133522814073E-4</v>
      </c>
      <c r="Q180" s="857">
        <f t="shared" si="21"/>
        <v>0.96904438708260154</v>
      </c>
      <c r="R180" s="858" t="str">
        <f t="shared" si="22"/>
        <v>C</v>
      </c>
      <c r="S180" s="81"/>
      <c r="T180" s="410">
        <f t="shared" si="23"/>
        <v>2110539.7000000007</v>
      </c>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row>
    <row r="181" spans="5:43" s="745" customFormat="1" ht="25.5">
      <c r="E181" s="69"/>
      <c r="F181" s="910" t="s">
        <v>2239</v>
      </c>
      <c r="G181" s="911" t="s">
        <v>8438</v>
      </c>
      <c r="H181" s="913" t="s">
        <v>8448</v>
      </c>
      <c r="I181" s="914" t="s">
        <v>646</v>
      </c>
      <c r="J181" s="920">
        <v>11</v>
      </c>
      <c r="K181" s="1012">
        <f>IF($G181="","",IFERROR(VLOOKUP($G181,SERVIÇOS!$C:$H,6,0),IFERROR(VLOOKUP($G181,CPU!$F:$M,8,0),"")))</f>
        <v>97.91</v>
      </c>
      <c r="L181" s="855">
        <f t="shared" si="16"/>
        <v>0.2354</v>
      </c>
      <c r="M181" s="825">
        <f t="shared" si="17"/>
        <v>120.96</v>
      </c>
      <c r="N181" s="826">
        <f t="shared" si="18"/>
        <v>1330.56</v>
      </c>
      <c r="O181" s="856">
        <f t="shared" si="19"/>
        <v>2046537.209999999</v>
      </c>
      <c r="P181" s="857">
        <f t="shared" si="20"/>
        <v>6.3043590224813096E-4</v>
      </c>
      <c r="Q181" s="857">
        <f t="shared" si="21"/>
        <v>0.96967482298484964</v>
      </c>
      <c r="R181" s="858" t="str">
        <f t="shared" si="22"/>
        <v>C</v>
      </c>
      <c r="S181" s="81"/>
      <c r="T181" s="410">
        <f t="shared" si="23"/>
        <v>2110539.7000000007</v>
      </c>
      <c r="U181" s="69"/>
      <c r="V181" s="69"/>
      <c r="W181" s="69"/>
      <c r="X181" s="744"/>
      <c r="Y181" s="744"/>
      <c r="Z181" s="744"/>
      <c r="AA181" s="744"/>
      <c r="AB181" s="744"/>
      <c r="AC181" s="744"/>
      <c r="AD181" s="744"/>
      <c r="AE181" s="744"/>
      <c r="AF181" s="744"/>
      <c r="AG181" s="744"/>
      <c r="AH181" s="744"/>
      <c r="AI181" s="744"/>
      <c r="AJ181" s="744"/>
      <c r="AK181" s="744"/>
      <c r="AL181" s="744"/>
      <c r="AM181" s="744"/>
      <c r="AN181" s="744"/>
      <c r="AO181" s="744"/>
      <c r="AP181" s="744"/>
      <c r="AQ181" s="744"/>
    </row>
    <row r="182" spans="5:43" s="745" customFormat="1">
      <c r="E182" s="69"/>
      <c r="F182" s="910" t="s">
        <v>2239</v>
      </c>
      <c r="G182" s="911" t="s">
        <v>8946</v>
      </c>
      <c r="H182" s="913" t="s">
        <v>8948</v>
      </c>
      <c r="I182" s="914" t="s">
        <v>646</v>
      </c>
      <c r="J182" s="920">
        <v>4</v>
      </c>
      <c r="K182" s="1012">
        <f>IF($G182="","",IFERROR(VLOOKUP($G182,SERVIÇOS!$C:$H,6,0),IFERROR(VLOOKUP($G182,CPU!$F:$M,8,0),"")))</f>
        <v>257.45999999999998</v>
      </c>
      <c r="L182" s="855">
        <f t="shared" si="16"/>
        <v>0.2354</v>
      </c>
      <c r="M182" s="825">
        <f t="shared" si="17"/>
        <v>318.07</v>
      </c>
      <c r="N182" s="826">
        <f t="shared" si="18"/>
        <v>1272.28</v>
      </c>
      <c r="O182" s="856">
        <f t="shared" si="19"/>
        <v>2047809.4899999991</v>
      </c>
      <c r="P182" s="857">
        <f t="shared" si="20"/>
        <v>6.0282211227772665E-4</v>
      </c>
      <c r="Q182" s="857">
        <f t="shared" si="21"/>
        <v>0.97027764509712733</v>
      </c>
      <c r="R182" s="858" t="str">
        <f t="shared" si="22"/>
        <v>C</v>
      </c>
      <c r="S182" s="81"/>
      <c r="T182" s="410">
        <f t="shared" si="23"/>
        <v>2110539.7000000007</v>
      </c>
      <c r="U182" s="69"/>
      <c r="V182" s="69"/>
      <c r="W182" s="69"/>
      <c r="X182" s="744"/>
      <c r="Y182" s="744"/>
      <c r="Z182" s="744"/>
      <c r="AA182" s="744"/>
      <c r="AB182" s="744"/>
      <c r="AC182" s="744"/>
      <c r="AD182" s="744"/>
      <c r="AE182" s="744"/>
      <c r="AF182" s="744"/>
      <c r="AG182" s="744"/>
      <c r="AH182" s="744"/>
      <c r="AI182" s="744"/>
      <c r="AJ182" s="744"/>
      <c r="AK182" s="744"/>
      <c r="AL182" s="744"/>
      <c r="AM182" s="744"/>
      <c r="AN182" s="744"/>
      <c r="AO182" s="744"/>
      <c r="AP182" s="744"/>
      <c r="AQ182" s="744"/>
    </row>
    <row r="183" spans="5:43" s="745" customFormat="1" ht="25.5">
      <c r="E183" s="69"/>
      <c r="F183" s="910" t="s">
        <v>2238</v>
      </c>
      <c r="G183" s="911">
        <v>101895</v>
      </c>
      <c r="H183" s="913" t="s">
        <v>5222</v>
      </c>
      <c r="I183" s="914" t="s">
        <v>646</v>
      </c>
      <c r="J183" s="920">
        <v>2</v>
      </c>
      <c r="K183" s="1012">
        <f>IF($G183="","",IFERROR(VLOOKUP($G183,SERVIÇOS!$C:$H,6,0),IFERROR(VLOOKUP($G183,CPU!$F:$M,8,0),"")))</f>
        <v>506.86</v>
      </c>
      <c r="L183" s="855">
        <f t="shared" si="16"/>
        <v>0.2354</v>
      </c>
      <c r="M183" s="825">
        <f t="shared" si="17"/>
        <v>626.16999999999996</v>
      </c>
      <c r="N183" s="826">
        <f t="shared" si="18"/>
        <v>1252.3399999999999</v>
      </c>
      <c r="O183" s="856">
        <f t="shared" si="19"/>
        <v>2049061.8299999991</v>
      </c>
      <c r="P183" s="857">
        <f t="shared" si="20"/>
        <v>5.9337429189320603E-4</v>
      </c>
      <c r="Q183" s="857">
        <f t="shared" si="21"/>
        <v>0.97087101938902054</v>
      </c>
      <c r="R183" s="858" t="str">
        <f t="shared" si="22"/>
        <v>C</v>
      </c>
      <c r="S183" s="81"/>
      <c r="T183" s="410">
        <f t="shared" si="23"/>
        <v>2110539.7000000007</v>
      </c>
      <c r="U183" s="69"/>
      <c r="V183" s="69"/>
      <c r="W183" s="69"/>
      <c r="X183" s="744"/>
      <c r="Y183" s="744"/>
      <c r="Z183" s="744"/>
      <c r="AA183" s="744"/>
      <c r="AB183" s="744"/>
      <c r="AC183" s="744"/>
      <c r="AD183" s="744"/>
      <c r="AE183" s="744"/>
      <c r="AF183" s="744"/>
      <c r="AG183" s="744"/>
      <c r="AH183" s="744"/>
      <c r="AI183" s="744"/>
      <c r="AJ183" s="744"/>
      <c r="AK183" s="744"/>
      <c r="AL183" s="744"/>
      <c r="AM183" s="744"/>
      <c r="AN183" s="744"/>
      <c r="AO183" s="744"/>
      <c r="AP183" s="744"/>
      <c r="AQ183" s="744"/>
    </row>
    <row r="184" spans="5:43" s="745" customFormat="1" ht="38.25">
      <c r="E184" s="69"/>
      <c r="F184" s="910" t="s">
        <v>2239</v>
      </c>
      <c r="G184" s="911" t="s">
        <v>8648</v>
      </c>
      <c r="H184" s="913" t="s">
        <v>8656</v>
      </c>
      <c r="I184" s="914" t="s">
        <v>649</v>
      </c>
      <c r="J184" s="920">
        <v>1.89</v>
      </c>
      <c r="K184" s="1012">
        <f>IF($G184="","",IFERROR(VLOOKUP($G184,SERVIÇOS!$C:$H,6,0),IFERROR(VLOOKUP($G184,CPU!$F:$M,8,0),"")))</f>
        <v>526.97</v>
      </c>
      <c r="L184" s="855">
        <f t="shared" si="16"/>
        <v>0.2354</v>
      </c>
      <c r="M184" s="825">
        <f t="shared" si="17"/>
        <v>651.02</v>
      </c>
      <c r="N184" s="826">
        <f t="shared" si="18"/>
        <v>1230.43</v>
      </c>
      <c r="O184" s="856">
        <f t="shared" si="19"/>
        <v>2050292.2599999991</v>
      </c>
      <c r="P184" s="857">
        <f t="shared" si="20"/>
        <v>5.8299306096919179E-4</v>
      </c>
      <c r="Q184" s="857">
        <f t="shared" si="21"/>
        <v>0.97145401244998975</v>
      </c>
      <c r="R184" s="858" t="str">
        <f t="shared" si="22"/>
        <v>C</v>
      </c>
      <c r="S184" s="81"/>
      <c r="T184" s="410">
        <f t="shared" si="23"/>
        <v>2110539.7000000007</v>
      </c>
      <c r="U184" s="69"/>
      <c r="V184" s="69"/>
      <c r="W184" s="69"/>
      <c r="X184" s="744"/>
      <c r="Y184" s="744"/>
      <c r="Z184" s="744"/>
      <c r="AA184" s="744"/>
      <c r="AB184" s="744"/>
      <c r="AC184" s="744"/>
      <c r="AD184" s="744"/>
      <c r="AE184" s="744"/>
      <c r="AF184" s="744"/>
      <c r="AG184" s="744"/>
      <c r="AH184" s="744"/>
      <c r="AI184" s="744"/>
      <c r="AJ184" s="744"/>
      <c r="AK184" s="744"/>
      <c r="AL184" s="744"/>
      <c r="AM184" s="744"/>
      <c r="AN184" s="744"/>
      <c r="AO184" s="744"/>
      <c r="AP184" s="744"/>
      <c r="AQ184" s="744"/>
    </row>
    <row r="185" spans="5:43" s="745" customFormat="1" ht="25.5">
      <c r="E185" s="69"/>
      <c r="F185" s="910" t="s">
        <v>2238</v>
      </c>
      <c r="G185" s="911">
        <v>96544</v>
      </c>
      <c r="H185" s="913" t="s">
        <v>2322</v>
      </c>
      <c r="I185" s="914" t="s">
        <v>645</v>
      </c>
      <c r="J185" s="920">
        <v>52.66</v>
      </c>
      <c r="K185" s="1012">
        <f>IF($G185="","",IFERROR(VLOOKUP($G185,SERVIÇOS!$C:$H,6,0),IFERROR(VLOOKUP($G185,CPU!$F:$M,8,0),"")))</f>
        <v>18.510000000000002</v>
      </c>
      <c r="L185" s="855">
        <f t="shared" si="16"/>
        <v>0.2354</v>
      </c>
      <c r="M185" s="825">
        <f t="shared" si="17"/>
        <v>22.87</v>
      </c>
      <c r="N185" s="826">
        <f t="shared" si="18"/>
        <v>1204.33</v>
      </c>
      <c r="O185" s="856">
        <f t="shared" si="19"/>
        <v>2051496.5899999992</v>
      </c>
      <c r="P185" s="857">
        <f t="shared" si="20"/>
        <v>5.706265558520409E-4</v>
      </c>
      <c r="Q185" s="857">
        <f t="shared" si="21"/>
        <v>0.9720246390058418</v>
      </c>
      <c r="R185" s="858" t="str">
        <f t="shared" si="22"/>
        <v>C</v>
      </c>
      <c r="S185" s="81"/>
      <c r="T185" s="410">
        <f t="shared" si="23"/>
        <v>2110539.7000000007</v>
      </c>
      <c r="U185" s="69"/>
      <c r="V185" s="69"/>
      <c r="W185" s="69"/>
      <c r="X185" s="744"/>
      <c r="Y185" s="744"/>
      <c r="Z185" s="744"/>
      <c r="AA185" s="744"/>
      <c r="AB185" s="744"/>
      <c r="AC185" s="744"/>
      <c r="AD185" s="744"/>
      <c r="AE185" s="744"/>
      <c r="AF185" s="744"/>
      <c r="AG185" s="744"/>
      <c r="AH185" s="744"/>
      <c r="AI185" s="744"/>
      <c r="AJ185" s="744"/>
      <c r="AK185" s="744"/>
      <c r="AL185" s="744"/>
      <c r="AM185" s="744"/>
      <c r="AN185" s="744"/>
      <c r="AO185" s="744"/>
      <c r="AP185" s="744"/>
      <c r="AQ185" s="744"/>
    </row>
    <row r="186" spans="5:43" s="745" customFormat="1" ht="25.5">
      <c r="E186" s="69"/>
      <c r="F186" s="910" t="s">
        <v>2238</v>
      </c>
      <c r="G186" s="911">
        <v>97668</v>
      </c>
      <c r="H186" s="913" t="s">
        <v>7101</v>
      </c>
      <c r="I186" s="914" t="s">
        <v>648</v>
      </c>
      <c r="J186" s="920">
        <v>80</v>
      </c>
      <c r="K186" s="1012">
        <f>IF($G186="","",IFERROR(VLOOKUP($G186,SERVIÇOS!$C:$H,6,0),IFERROR(VLOOKUP($G186,CPU!$F:$M,8,0),"")))</f>
        <v>11.85</v>
      </c>
      <c r="L186" s="855">
        <f t="shared" si="16"/>
        <v>0.2354</v>
      </c>
      <c r="M186" s="825">
        <f t="shared" si="17"/>
        <v>14.64</v>
      </c>
      <c r="N186" s="826">
        <f t="shared" si="18"/>
        <v>1171.2</v>
      </c>
      <c r="O186" s="856">
        <f t="shared" si="19"/>
        <v>2052667.7899999991</v>
      </c>
      <c r="P186" s="857">
        <f t="shared" si="20"/>
        <v>5.5492914916502149E-4</v>
      </c>
      <c r="Q186" s="857">
        <f t="shared" si="21"/>
        <v>0.97257956815500679</v>
      </c>
      <c r="R186" s="858" t="str">
        <f t="shared" si="22"/>
        <v>C</v>
      </c>
      <c r="S186" s="81"/>
      <c r="T186" s="410">
        <f t="shared" si="23"/>
        <v>2110539.7000000007</v>
      </c>
      <c r="U186" s="69"/>
      <c r="V186" s="69"/>
      <c r="W186" s="69"/>
      <c r="X186" s="744"/>
      <c r="Y186" s="744"/>
      <c r="Z186" s="744"/>
      <c r="AA186" s="744"/>
      <c r="AB186" s="744"/>
      <c r="AC186" s="744"/>
      <c r="AD186" s="744"/>
      <c r="AE186" s="744"/>
      <c r="AF186" s="744"/>
      <c r="AG186" s="744"/>
      <c r="AH186" s="744"/>
      <c r="AI186" s="744"/>
      <c r="AJ186" s="744"/>
      <c r="AK186" s="744"/>
      <c r="AL186" s="744"/>
      <c r="AM186" s="744"/>
      <c r="AN186" s="744"/>
      <c r="AO186" s="744"/>
      <c r="AP186" s="744"/>
      <c r="AQ186" s="744"/>
    </row>
    <row r="187" spans="5:43" s="745" customFormat="1" ht="25.5">
      <c r="E187" s="69"/>
      <c r="F187" s="910" t="s">
        <v>2239</v>
      </c>
      <c r="G187" s="911" t="s">
        <v>8628</v>
      </c>
      <c r="H187" s="913" t="s">
        <v>8629</v>
      </c>
      <c r="I187" s="914" t="s">
        <v>649</v>
      </c>
      <c r="J187" s="920">
        <v>0.56000000000000005</v>
      </c>
      <c r="K187" s="1012">
        <f>IF($G187="","",IFERROR(VLOOKUP($G187,SERVIÇOS!$C:$H,6,0),IFERROR(VLOOKUP($G187,CPU!$F:$M,8,0),"")))</f>
        <v>1684.0500000000002</v>
      </c>
      <c r="L187" s="855">
        <f t="shared" si="16"/>
        <v>0.2354</v>
      </c>
      <c r="M187" s="825">
        <f t="shared" si="17"/>
        <v>2080.48</v>
      </c>
      <c r="N187" s="826">
        <f t="shared" si="18"/>
        <v>1165.07</v>
      </c>
      <c r="O187" s="856">
        <f t="shared" si="19"/>
        <v>2053832.8599999992</v>
      </c>
      <c r="P187" s="857">
        <f t="shared" si="20"/>
        <v>5.5202467880608906E-4</v>
      </c>
      <c r="Q187" s="857">
        <f t="shared" si="21"/>
        <v>0.9731315928338129</v>
      </c>
      <c r="R187" s="858" t="str">
        <f t="shared" si="22"/>
        <v>C</v>
      </c>
      <c r="S187" s="81"/>
      <c r="T187" s="410">
        <f t="shared" si="23"/>
        <v>2110539.7000000007</v>
      </c>
      <c r="U187" s="69"/>
      <c r="V187" s="69"/>
      <c r="W187" s="69"/>
      <c r="X187" s="744"/>
      <c r="Y187" s="744"/>
      <c r="Z187" s="744"/>
      <c r="AA187" s="744"/>
      <c r="AB187" s="744"/>
      <c r="AC187" s="744"/>
      <c r="AD187" s="744"/>
      <c r="AE187" s="744"/>
      <c r="AF187" s="744"/>
      <c r="AG187" s="744"/>
      <c r="AH187" s="744"/>
      <c r="AI187" s="744"/>
      <c r="AJ187" s="744"/>
      <c r="AK187" s="744"/>
      <c r="AL187" s="744"/>
      <c r="AM187" s="744"/>
      <c r="AN187" s="744"/>
      <c r="AO187" s="744"/>
      <c r="AP187" s="744"/>
      <c r="AQ187" s="744"/>
    </row>
    <row r="188" spans="5:43" s="745" customFormat="1" ht="38.25">
      <c r="E188" s="69"/>
      <c r="F188" s="910" t="s">
        <v>2239</v>
      </c>
      <c r="G188" s="911" t="s">
        <v>2948</v>
      </c>
      <c r="H188" s="913" t="s">
        <v>6890</v>
      </c>
      <c r="I188" s="914" t="s">
        <v>646</v>
      </c>
      <c r="J188" s="920">
        <v>1</v>
      </c>
      <c r="K188" s="1012">
        <f>IF($G188="","",IFERROR(VLOOKUP($G188,SERVIÇOS!$C:$H,6,0),IFERROR(VLOOKUP($G188,CPU!$F:$M,8,0),"")))</f>
        <v>909.11</v>
      </c>
      <c r="L188" s="855">
        <f t="shared" si="16"/>
        <v>0.2354</v>
      </c>
      <c r="M188" s="825">
        <f t="shared" si="17"/>
        <v>1123.1099999999999</v>
      </c>
      <c r="N188" s="826">
        <f t="shared" si="18"/>
        <v>1123.1099999999999</v>
      </c>
      <c r="O188" s="856">
        <f t="shared" si="19"/>
        <v>2054955.9699999993</v>
      </c>
      <c r="P188" s="857">
        <f t="shared" si="20"/>
        <v>5.3214350812732852E-4</v>
      </c>
      <c r="Q188" s="857">
        <f t="shared" si="21"/>
        <v>0.97366373634194026</v>
      </c>
      <c r="R188" s="858" t="str">
        <f t="shared" si="22"/>
        <v>C</v>
      </c>
      <c r="S188" s="81"/>
      <c r="T188" s="410">
        <f t="shared" si="23"/>
        <v>2110539.7000000007</v>
      </c>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row>
    <row r="189" spans="5:43" s="745" customFormat="1" ht="25.5">
      <c r="E189" s="69"/>
      <c r="F189" s="910" t="s">
        <v>2239</v>
      </c>
      <c r="G189" s="911" t="s">
        <v>6507</v>
      </c>
      <c r="H189" s="913" t="s">
        <v>6789</v>
      </c>
      <c r="I189" s="914" t="s">
        <v>646</v>
      </c>
      <c r="J189" s="920">
        <v>10</v>
      </c>
      <c r="K189" s="1012">
        <f>IF($G189="","",IFERROR(VLOOKUP($G189,SERVIÇOS!$C:$H,6,0),IFERROR(VLOOKUP($G189,CPU!$F:$M,8,0),"")))</f>
        <v>89.35</v>
      </c>
      <c r="L189" s="855">
        <f t="shared" si="16"/>
        <v>0.2354</v>
      </c>
      <c r="M189" s="825">
        <f t="shared" si="17"/>
        <v>110.38</v>
      </c>
      <c r="N189" s="826">
        <f t="shared" si="18"/>
        <v>1103.8</v>
      </c>
      <c r="O189" s="856">
        <f t="shared" si="19"/>
        <v>2056059.7699999993</v>
      </c>
      <c r="P189" s="857">
        <f t="shared" si="20"/>
        <v>5.2299418959046338E-4</v>
      </c>
      <c r="Q189" s="857">
        <f t="shared" si="21"/>
        <v>0.97418673053153071</v>
      </c>
      <c r="R189" s="858" t="str">
        <f t="shared" si="22"/>
        <v>C</v>
      </c>
      <c r="S189" s="81"/>
      <c r="T189" s="410">
        <f t="shared" si="23"/>
        <v>2110539.7000000007</v>
      </c>
      <c r="U189" s="69"/>
      <c r="V189" s="69"/>
      <c r="W189" s="69"/>
      <c r="X189" s="744"/>
      <c r="Y189" s="744"/>
      <c r="Z189" s="744"/>
      <c r="AA189" s="744"/>
      <c r="AB189" s="744"/>
      <c r="AC189" s="744"/>
      <c r="AD189" s="744"/>
      <c r="AE189" s="744"/>
      <c r="AF189" s="744"/>
      <c r="AG189" s="744"/>
      <c r="AH189" s="744"/>
      <c r="AI189" s="744"/>
      <c r="AJ189" s="744"/>
      <c r="AK189" s="744"/>
      <c r="AL189" s="744"/>
      <c r="AM189" s="744"/>
      <c r="AN189" s="744"/>
      <c r="AO189" s="744"/>
      <c r="AP189" s="744"/>
      <c r="AQ189" s="744"/>
    </row>
    <row r="190" spans="5:43" s="745" customFormat="1" ht="25.5">
      <c r="E190" s="69"/>
      <c r="F190" s="910" t="s">
        <v>2238</v>
      </c>
      <c r="G190" s="911">
        <v>96547</v>
      </c>
      <c r="H190" s="913" t="s">
        <v>2325</v>
      </c>
      <c r="I190" s="914" t="s">
        <v>645</v>
      </c>
      <c r="J190" s="920">
        <v>69.819999999999993</v>
      </c>
      <c r="K190" s="1012">
        <f>IF($G190="","",IFERROR(VLOOKUP($G190,SERVIÇOS!$C:$H,6,0),IFERROR(VLOOKUP($G190,CPU!$F:$M,8,0),"")))</f>
        <v>12.64</v>
      </c>
      <c r="L190" s="855">
        <f t="shared" si="16"/>
        <v>0.2354</v>
      </c>
      <c r="M190" s="825">
        <f t="shared" si="17"/>
        <v>15.62</v>
      </c>
      <c r="N190" s="826">
        <f t="shared" si="18"/>
        <v>1090.5899999999999</v>
      </c>
      <c r="O190" s="856">
        <f t="shared" si="19"/>
        <v>2057150.3599999994</v>
      </c>
      <c r="P190" s="857">
        <f t="shared" si="20"/>
        <v>5.1673512703883262E-4</v>
      </c>
      <c r="Q190" s="857">
        <f t="shared" si="21"/>
        <v>0.97470346565856958</v>
      </c>
      <c r="R190" s="858" t="str">
        <f t="shared" si="22"/>
        <v>C</v>
      </c>
      <c r="S190" s="81"/>
      <c r="T190" s="410">
        <f t="shared" si="23"/>
        <v>2110539.7000000007</v>
      </c>
      <c r="U190" s="69"/>
      <c r="V190" s="69"/>
      <c r="W190" s="69"/>
      <c r="X190" s="744"/>
      <c r="Y190" s="744"/>
      <c r="Z190" s="744"/>
      <c r="AA190" s="744"/>
      <c r="AB190" s="744"/>
      <c r="AC190" s="744"/>
      <c r="AD190" s="744"/>
      <c r="AE190" s="744"/>
      <c r="AF190" s="744"/>
      <c r="AG190" s="744"/>
      <c r="AH190" s="744"/>
      <c r="AI190" s="744"/>
      <c r="AJ190" s="744"/>
      <c r="AK190" s="744"/>
      <c r="AL190" s="744"/>
      <c r="AM190" s="744"/>
      <c r="AN190" s="744"/>
      <c r="AO190" s="744"/>
      <c r="AP190" s="744"/>
      <c r="AQ190" s="744"/>
    </row>
    <row r="191" spans="5:43" s="745" customFormat="1" ht="38.25">
      <c r="E191" s="69"/>
      <c r="F191" s="910" t="s">
        <v>2238</v>
      </c>
      <c r="G191" s="911">
        <v>91794</v>
      </c>
      <c r="H191" s="913" t="s">
        <v>1420</v>
      </c>
      <c r="I191" s="914" t="s">
        <v>648</v>
      </c>
      <c r="J191" s="920">
        <v>17.5</v>
      </c>
      <c r="K191" s="1012">
        <f>IF($G191="","",IFERROR(VLOOKUP($G191,SERVIÇOS!$C:$H,6,0),IFERROR(VLOOKUP($G191,CPU!$F:$M,8,0),"")))</f>
        <v>50.09</v>
      </c>
      <c r="L191" s="855">
        <f t="shared" si="16"/>
        <v>0.2354</v>
      </c>
      <c r="M191" s="825">
        <f t="shared" si="17"/>
        <v>61.88</v>
      </c>
      <c r="N191" s="826">
        <f t="shared" si="18"/>
        <v>1082.9000000000001</v>
      </c>
      <c r="O191" s="856">
        <f t="shared" si="19"/>
        <v>2058233.2599999993</v>
      </c>
      <c r="P191" s="857">
        <f t="shared" si="20"/>
        <v>5.1309150924761079E-4</v>
      </c>
      <c r="Q191" s="857">
        <f t="shared" si="21"/>
        <v>0.97521655716781719</v>
      </c>
      <c r="R191" s="858" t="str">
        <f t="shared" si="22"/>
        <v>C</v>
      </c>
      <c r="S191" s="81"/>
      <c r="T191" s="410">
        <f t="shared" si="23"/>
        <v>2110539.7000000007</v>
      </c>
      <c r="U191" s="69"/>
      <c r="V191" s="69"/>
      <c r="W191" s="69"/>
      <c r="X191" s="744"/>
      <c r="Y191" s="744"/>
      <c r="Z191" s="744"/>
      <c r="AA191" s="744"/>
      <c r="AB191" s="744"/>
      <c r="AC191" s="744"/>
      <c r="AD191" s="744"/>
      <c r="AE191" s="744"/>
      <c r="AF191" s="744"/>
      <c r="AG191" s="744"/>
      <c r="AH191" s="744"/>
      <c r="AI191" s="744"/>
      <c r="AJ191" s="744"/>
      <c r="AK191" s="744"/>
      <c r="AL191" s="744"/>
      <c r="AM191" s="744"/>
      <c r="AN191" s="744"/>
      <c r="AO191" s="744"/>
      <c r="AP191" s="744"/>
      <c r="AQ191" s="744"/>
    </row>
    <row r="192" spans="5:43" s="745" customFormat="1">
      <c r="E192" s="69"/>
      <c r="F192" s="910" t="s">
        <v>2239</v>
      </c>
      <c r="G192" s="911" t="s">
        <v>8605</v>
      </c>
      <c r="H192" s="913" t="s">
        <v>8606</v>
      </c>
      <c r="I192" s="914" t="s">
        <v>648</v>
      </c>
      <c r="J192" s="920">
        <v>19.77</v>
      </c>
      <c r="K192" s="1012">
        <f>IF($G192="","",IFERROR(VLOOKUP($G192,SERVIÇOS!$C:$H,6,0),IFERROR(VLOOKUP($G192,CPU!$F:$M,8,0),"")))</f>
        <v>42.28</v>
      </c>
      <c r="L192" s="855">
        <f t="shared" si="16"/>
        <v>0.2354</v>
      </c>
      <c r="M192" s="825">
        <f t="shared" si="17"/>
        <v>52.23</v>
      </c>
      <c r="N192" s="826">
        <f t="shared" si="18"/>
        <v>1032.5899999999999</v>
      </c>
      <c r="O192" s="856">
        <f t="shared" si="19"/>
        <v>2059265.8499999994</v>
      </c>
      <c r="P192" s="857">
        <f t="shared" si="20"/>
        <v>4.8925400455627512E-4</v>
      </c>
      <c r="Q192" s="857">
        <f t="shared" si="21"/>
        <v>0.97570581117237343</v>
      </c>
      <c r="R192" s="858" t="str">
        <f t="shared" si="22"/>
        <v>C</v>
      </c>
      <c r="S192" s="81"/>
      <c r="T192" s="410">
        <f t="shared" si="23"/>
        <v>2110539.7000000007</v>
      </c>
      <c r="U192" s="69"/>
      <c r="V192" s="69"/>
      <c r="W192" s="69"/>
      <c r="X192" s="744"/>
      <c r="Y192" s="744"/>
      <c r="Z192" s="744"/>
      <c r="AA192" s="744"/>
      <c r="AB192" s="744"/>
      <c r="AC192" s="744"/>
      <c r="AD192" s="744"/>
      <c r="AE192" s="744"/>
      <c r="AF192" s="744"/>
      <c r="AG192" s="744"/>
      <c r="AH192" s="744"/>
      <c r="AI192" s="744"/>
      <c r="AJ192" s="744"/>
      <c r="AK192" s="744"/>
      <c r="AL192" s="744"/>
      <c r="AM192" s="744"/>
      <c r="AN192" s="744"/>
      <c r="AO192" s="744"/>
      <c r="AP192" s="744"/>
      <c r="AQ192" s="744"/>
    </row>
    <row r="193" spans="5:43" s="745" customFormat="1" ht="38.25">
      <c r="E193" s="69"/>
      <c r="F193" s="910" t="s">
        <v>2238</v>
      </c>
      <c r="G193" s="911">
        <v>91788</v>
      </c>
      <c r="H193" s="913" t="s">
        <v>1213</v>
      </c>
      <c r="I193" s="914" t="s">
        <v>648</v>
      </c>
      <c r="J193" s="920">
        <v>16.8</v>
      </c>
      <c r="K193" s="1012">
        <f>IF($G193="","",IFERROR(VLOOKUP($G193,SERVIÇOS!$C:$H,6,0),IFERROR(VLOOKUP($G193,CPU!$F:$M,8,0),"")))</f>
        <v>49.57</v>
      </c>
      <c r="L193" s="855">
        <f t="shared" si="16"/>
        <v>0.2354</v>
      </c>
      <c r="M193" s="825">
        <f t="shared" si="17"/>
        <v>61.24</v>
      </c>
      <c r="N193" s="826">
        <f t="shared" si="18"/>
        <v>1028.83</v>
      </c>
      <c r="O193" s="856">
        <f t="shared" si="19"/>
        <v>2060294.6799999995</v>
      </c>
      <c r="P193" s="857">
        <f t="shared" si="20"/>
        <v>4.8747246971947487E-4</v>
      </c>
      <c r="Q193" s="857">
        <f t="shared" si="21"/>
        <v>0.9761932836420929</v>
      </c>
      <c r="R193" s="858" t="str">
        <f t="shared" si="22"/>
        <v>C</v>
      </c>
      <c r="S193" s="81"/>
      <c r="T193" s="410">
        <f t="shared" si="23"/>
        <v>2110539.7000000007</v>
      </c>
      <c r="U193" s="69"/>
      <c r="V193" s="69"/>
      <c r="W193" s="69"/>
      <c r="X193" s="744"/>
      <c r="Y193" s="744"/>
      <c r="Z193" s="744"/>
      <c r="AA193" s="744"/>
      <c r="AB193" s="744"/>
      <c r="AC193" s="744"/>
      <c r="AD193" s="744"/>
      <c r="AE193" s="744"/>
      <c r="AF193" s="744"/>
      <c r="AG193" s="744"/>
      <c r="AH193" s="744"/>
      <c r="AI193" s="744"/>
      <c r="AJ193" s="744"/>
      <c r="AK193" s="744"/>
      <c r="AL193" s="744"/>
      <c r="AM193" s="744"/>
      <c r="AN193" s="744"/>
      <c r="AO193" s="744"/>
      <c r="AP193" s="744"/>
      <c r="AQ193" s="744"/>
    </row>
    <row r="194" spans="5:43" s="745" customFormat="1">
      <c r="E194" s="69"/>
      <c r="F194" s="910" t="s">
        <v>2239</v>
      </c>
      <c r="G194" s="911" t="s">
        <v>8617</v>
      </c>
      <c r="H194" s="913" t="s">
        <v>8618</v>
      </c>
      <c r="I194" s="914" t="s">
        <v>648</v>
      </c>
      <c r="J194" s="920">
        <v>5.1400000000000006</v>
      </c>
      <c r="K194" s="1012">
        <f>IF($G194="","",IFERROR(VLOOKUP($G194,SERVIÇOS!$C:$H,6,0),IFERROR(VLOOKUP($G194,CPU!$F:$M,8,0),"")))</f>
        <v>156.74</v>
      </c>
      <c r="L194" s="855">
        <f t="shared" si="16"/>
        <v>0.2354</v>
      </c>
      <c r="M194" s="825">
        <f t="shared" si="17"/>
        <v>193.64</v>
      </c>
      <c r="N194" s="826">
        <f t="shared" si="18"/>
        <v>995.31</v>
      </c>
      <c r="O194" s="856">
        <f t="shared" si="19"/>
        <v>2061289.9899999995</v>
      </c>
      <c r="P194" s="857">
        <f t="shared" si="20"/>
        <v>4.7159027617438309E-4</v>
      </c>
      <c r="Q194" s="857">
        <f t="shared" si="21"/>
        <v>0.97666487391826728</v>
      </c>
      <c r="R194" s="858" t="str">
        <f t="shared" si="22"/>
        <v>C</v>
      </c>
      <c r="S194" s="81"/>
      <c r="T194" s="410">
        <f t="shared" si="23"/>
        <v>2110539.7000000007</v>
      </c>
      <c r="U194" s="69"/>
      <c r="V194" s="69"/>
      <c r="W194" s="69"/>
      <c r="X194" s="744"/>
      <c r="Y194" s="744"/>
      <c r="Z194" s="744"/>
      <c r="AA194" s="744"/>
      <c r="AB194" s="744"/>
      <c r="AC194" s="744"/>
      <c r="AD194" s="744"/>
      <c r="AE194" s="744"/>
      <c r="AF194" s="744"/>
      <c r="AG194" s="744"/>
      <c r="AH194" s="744"/>
      <c r="AI194" s="744"/>
      <c r="AJ194" s="744"/>
      <c r="AK194" s="744"/>
      <c r="AL194" s="744"/>
      <c r="AM194" s="744"/>
      <c r="AN194" s="744"/>
      <c r="AO194" s="744"/>
      <c r="AP194" s="744"/>
      <c r="AQ194" s="744"/>
    </row>
    <row r="195" spans="5:43" s="745" customFormat="1">
      <c r="E195" s="69"/>
      <c r="F195" s="910" t="s">
        <v>2238</v>
      </c>
      <c r="G195" s="911">
        <v>86886</v>
      </c>
      <c r="H195" s="913" t="s">
        <v>4247</v>
      </c>
      <c r="I195" s="914" t="s">
        <v>646</v>
      </c>
      <c r="J195" s="920">
        <v>9</v>
      </c>
      <c r="K195" s="1012">
        <f>IF($G195="","",IFERROR(VLOOKUP($G195,SERVIÇOS!$C:$H,6,0),IFERROR(VLOOKUP($G195,CPU!$F:$M,8,0),"")))</f>
        <v>89.46</v>
      </c>
      <c r="L195" s="855">
        <f t="shared" si="16"/>
        <v>0.2354</v>
      </c>
      <c r="M195" s="825">
        <f t="shared" si="17"/>
        <v>110.52</v>
      </c>
      <c r="N195" s="826">
        <f t="shared" si="18"/>
        <v>994.68</v>
      </c>
      <c r="O195" s="856">
        <f t="shared" si="19"/>
        <v>2062284.6699999995</v>
      </c>
      <c r="P195" s="857">
        <f t="shared" si="20"/>
        <v>4.7129177432672772E-4</v>
      </c>
      <c r="Q195" s="857">
        <f t="shared" si="21"/>
        <v>0.97713616569259398</v>
      </c>
      <c r="R195" s="858" t="str">
        <f t="shared" si="22"/>
        <v>C</v>
      </c>
      <c r="S195" s="81"/>
      <c r="T195" s="410">
        <f t="shared" si="23"/>
        <v>2110539.7000000007</v>
      </c>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row>
    <row r="196" spans="5:43" s="745" customFormat="1" ht="25.5">
      <c r="E196" s="69"/>
      <c r="F196" s="910" t="s">
        <v>2238</v>
      </c>
      <c r="G196" s="911">
        <v>92761</v>
      </c>
      <c r="H196" s="913" t="s">
        <v>7766</v>
      </c>
      <c r="I196" s="914" t="s">
        <v>645</v>
      </c>
      <c r="J196" s="920">
        <v>54.39</v>
      </c>
      <c r="K196" s="1012">
        <f>IF($G196="","",IFERROR(VLOOKUP($G196,SERVIÇOS!$C:$H,6,0),IFERROR(VLOOKUP($G196,CPU!$F:$M,8,0),"")))</f>
        <v>14.5</v>
      </c>
      <c r="L196" s="855">
        <f t="shared" si="16"/>
        <v>0.2354</v>
      </c>
      <c r="M196" s="825">
        <f t="shared" si="17"/>
        <v>17.91</v>
      </c>
      <c r="N196" s="826">
        <f t="shared" si="18"/>
        <v>974.12</v>
      </c>
      <c r="O196" s="856">
        <f t="shared" si="19"/>
        <v>2063258.7899999996</v>
      </c>
      <c r="P196" s="857">
        <f t="shared" si="20"/>
        <v>4.6155019021911777E-4</v>
      </c>
      <c r="Q196" s="857">
        <f t="shared" si="21"/>
        <v>0.97759771588281308</v>
      </c>
      <c r="R196" s="858" t="str">
        <f t="shared" si="22"/>
        <v>C</v>
      </c>
      <c r="S196" s="81"/>
      <c r="T196" s="410">
        <f t="shared" si="23"/>
        <v>2110539.7000000007</v>
      </c>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row>
    <row r="197" spans="5:43" s="745" customFormat="1" ht="25.5">
      <c r="E197" s="69"/>
      <c r="F197" s="910" t="s">
        <v>2238</v>
      </c>
      <c r="G197" s="911">
        <v>93203</v>
      </c>
      <c r="H197" s="913" t="s">
        <v>2783</v>
      </c>
      <c r="I197" s="914" t="s">
        <v>648</v>
      </c>
      <c r="J197" s="920">
        <v>52.87</v>
      </c>
      <c r="K197" s="1012">
        <f>IF($G197="","",IFERROR(VLOOKUP($G197,SERVIÇOS!$C:$H,6,0),IFERROR(VLOOKUP($G197,CPU!$F:$M,8,0),"")))</f>
        <v>14.75</v>
      </c>
      <c r="L197" s="855">
        <f t="shared" si="16"/>
        <v>0.2354</v>
      </c>
      <c r="M197" s="825">
        <f t="shared" si="17"/>
        <v>18.22</v>
      </c>
      <c r="N197" s="826">
        <f t="shared" si="18"/>
        <v>963.29</v>
      </c>
      <c r="O197" s="856">
        <f t="shared" si="19"/>
        <v>2064222.0799999996</v>
      </c>
      <c r="P197" s="857">
        <f t="shared" si="20"/>
        <v>4.5641880131418503E-4</v>
      </c>
      <c r="Q197" s="857">
        <f t="shared" si="21"/>
        <v>0.97805413468412727</v>
      </c>
      <c r="R197" s="858" t="str">
        <f t="shared" si="22"/>
        <v>C</v>
      </c>
      <c r="S197" s="81"/>
      <c r="T197" s="410">
        <f t="shared" si="23"/>
        <v>2110539.7000000007</v>
      </c>
      <c r="U197" s="69"/>
      <c r="V197" s="69"/>
      <c r="W197" s="69"/>
      <c r="X197" s="744"/>
      <c r="Y197" s="744"/>
      <c r="Z197" s="744"/>
      <c r="AA197" s="744"/>
      <c r="AB197" s="744"/>
      <c r="AC197" s="744"/>
      <c r="AD197" s="744"/>
      <c r="AE197" s="744"/>
      <c r="AF197" s="744"/>
      <c r="AG197" s="744"/>
      <c r="AH197" s="744"/>
      <c r="AI197" s="744"/>
      <c r="AJ197" s="744"/>
      <c r="AK197" s="744"/>
      <c r="AL197" s="744"/>
      <c r="AM197" s="744"/>
      <c r="AN197" s="744"/>
      <c r="AO197" s="744"/>
      <c r="AP197" s="744"/>
      <c r="AQ197" s="744"/>
    </row>
    <row r="198" spans="5:43" s="745" customFormat="1" ht="25.5">
      <c r="E198" s="69"/>
      <c r="F198" s="910" t="s">
        <v>2238</v>
      </c>
      <c r="G198" s="911">
        <v>91952</v>
      </c>
      <c r="H198" s="913" t="s">
        <v>1221</v>
      </c>
      <c r="I198" s="914" t="s">
        <v>646</v>
      </c>
      <c r="J198" s="920">
        <v>36</v>
      </c>
      <c r="K198" s="1012">
        <f>IF($G198="","",IFERROR(VLOOKUP($G198,SERVIÇOS!$C:$H,6,0),IFERROR(VLOOKUP($G198,CPU!$F:$M,8,0),"")))</f>
        <v>21.34</v>
      </c>
      <c r="L198" s="855">
        <f t="shared" si="16"/>
        <v>0.2354</v>
      </c>
      <c r="M198" s="825">
        <f t="shared" si="17"/>
        <v>26.36</v>
      </c>
      <c r="N198" s="826">
        <f t="shared" si="18"/>
        <v>948.96</v>
      </c>
      <c r="O198" s="856">
        <f t="shared" si="19"/>
        <v>2065171.0399999996</v>
      </c>
      <c r="P198" s="857">
        <f t="shared" si="20"/>
        <v>4.49629068811167E-4</v>
      </c>
      <c r="Q198" s="857">
        <f t="shared" si="21"/>
        <v>0.97850376375293846</v>
      </c>
      <c r="R198" s="858" t="str">
        <f t="shared" si="22"/>
        <v>C</v>
      </c>
      <c r="S198" s="81"/>
      <c r="T198" s="410">
        <f t="shared" si="23"/>
        <v>2110539.7000000007</v>
      </c>
      <c r="U198" s="69"/>
      <c r="V198" s="69"/>
      <c r="W198" s="69"/>
      <c r="X198" s="744"/>
      <c r="Y198" s="744"/>
      <c r="Z198" s="744"/>
      <c r="AA198" s="744"/>
      <c r="AB198" s="744"/>
      <c r="AC198" s="744"/>
      <c r="AD198" s="744"/>
      <c r="AE198" s="744"/>
      <c r="AF198" s="744"/>
      <c r="AG198" s="744"/>
      <c r="AH198" s="744"/>
      <c r="AI198" s="744"/>
      <c r="AJ198" s="744"/>
      <c r="AK198" s="744"/>
      <c r="AL198" s="744"/>
      <c r="AM198" s="744"/>
      <c r="AN198" s="744"/>
      <c r="AO198" s="744"/>
      <c r="AP198" s="744"/>
      <c r="AQ198" s="744"/>
    </row>
    <row r="199" spans="5:43" s="745" customFormat="1" ht="25.5">
      <c r="E199" s="69"/>
      <c r="F199" s="910" t="s">
        <v>2238</v>
      </c>
      <c r="G199" s="911">
        <v>98555</v>
      </c>
      <c r="H199" s="913" t="s">
        <v>3280</v>
      </c>
      <c r="I199" s="914" t="s">
        <v>649</v>
      </c>
      <c r="J199" s="920">
        <v>26.19</v>
      </c>
      <c r="K199" s="1012">
        <f>IF($G199="","",IFERROR(VLOOKUP($G199,SERVIÇOS!$C:$H,6,0),IFERROR(VLOOKUP($G199,CPU!$F:$M,8,0),"")))</f>
        <v>29.19</v>
      </c>
      <c r="L199" s="855">
        <f t="shared" si="16"/>
        <v>0.2354</v>
      </c>
      <c r="M199" s="825">
        <f t="shared" si="17"/>
        <v>36.06</v>
      </c>
      <c r="N199" s="826">
        <f t="shared" si="18"/>
        <v>944.41</v>
      </c>
      <c r="O199" s="856">
        <f t="shared" si="19"/>
        <v>2066115.4499999995</v>
      </c>
      <c r="P199" s="857">
        <f t="shared" si="20"/>
        <v>4.4747322213365597E-4</v>
      </c>
      <c r="Q199" s="857">
        <f t="shared" si="21"/>
        <v>0.97895123697507214</v>
      </c>
      <c r="R199" s="858" t="str">
        <f t="shared" si="22"/>
        <v>C</v>
      </c>
      <c r="S199" s="81"/>
      <c r="T199" s="410">
        <f t="shared" si="23"/>
        <v>2110539.7000000007</v>
      </c>
      <c r="U199" s="69"/>
      <c r="V199" s="69"/>
      <c r="W199" s="69"/>
      <c r="X199" s="744"/>
      <c r="Y199" s="744"/>
      <c r="Z199" s="744"/>
      <c r="AA199" s="744"/>
      <c r="AB199" s="744"/>
      <c r="AC199" s="744"/>
      <c r="AD199" s="744"/>
      <c r="AE199" s="744"/>
      <c r="AF199" s="744"/>
      <c r="AG199" s="744"/>
      <c r="AH199" s="744"/>
      <c r="AI199" s="744"/>
      <c r="AJ199" s="744"/>
      <c r="AK199" s="744"/>
      <c r="AL199" s="744"/>
      <c r="AM199" s="744"/>
      <c r="AN199" s="744"/>
      <c r="AO199" s="744"/>
      <c r="AP199" s="744"/>
      <c r="AQ199" s="744"/>
    </row>
    <row r="200" spans="5:43" s="745" customFormat="1" ht="25.5">
      <c r="E200" s="69"/>
      <c r="F200" s="910" t="s">
        <v>2239</v>
      </c>
      <c r="G200" s="911" t="s">
        <v>8774</v>
      </c>
      <c r="H200" s="913" t="s">
        <v>8776</v>
      </c>
      <c r="I200" s="914" t="s">
        <v>646</v>
      </c>
      <c r="J200" s="920">
        <v>1</v>
      </c>
      <c r="K200" s="1012">
        <f>IF($G200="","",IFERROR(VLOOKUP($G200,SERVIÇOS!$C:$H,6,0),IFERROR(VLOOKUP($G200,CPU!$F:$M,8,0),"")))</f>
        <v>761.74</v>
      </c>
      <c r="L200" s="855">
        <f t="shared" si="16"/>
        <v>0.2354</v>
      </c>
      <c r="M200" s="825">
        <f t="shared" si="17"/>
        <v>941.05</v>
      </c>
      <c r="N200" s="826">
        <f t="shared" si="18"/>
        <v>941.05</v>
      </c>
      <c r="O200" s="856">
        <f t="shared" si="19"/>
        <v>2067056.4999999995</v>
      </c>
      <c r="P200" s="857">
        <f t="shared" si="20"/>
        <v>4.4588121227949403E-4</v>
      </c>
      <c r="Q200" s="857">
        <f t="shared" si="21"/>
        <v>0.97939711818735165</v>
      </c>
      <c r="R200" s="858" t="str">
        <f t="shared" si="22"/>
        <v>C</v>
      </c>
      <c r="S200" s="81"/>
      <c r="T200" s="410">
        <f t="shared" si="23"/>
        <v>2110539.7000000007</v>
      </c>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row>
    <row r="201" spans="5:43" s="745" customFormat="1" ht="25.5">
      <c r="E201" s="69"/>
      <c r="F201" s="910" t="s">
        <v>2238</v>
      </c>
      <c r="G201" s="911">
        <v>101896</v>
      </c>
      <c r="H201" s="913" t="s">
        <v>5223</v>
      </c>
      <c r="I201" s="914" t="s">
        <v>646</v>
      </c>
      <c r="J201" s="920">
        <v>1</v>
      </c>
      <c r="K201" s="1012">
        <f>IF($G201="","",IFERROR(VLOOKUP($G201,SERVIÇOS!$C:$H,6,0),IFERROR(VLOOKUP($G201,CPU!$F:$M,8,0),"")))</f>
        <v>761.65</v>
      </c>
      <c r="L201" s="855">
        <f t="shared" si="16"/>
        <v>0.2354</v>
      </c>
      <c r="M201" s="825">
        <f t="shared" si="17"/>
        <v>940.94</v>
      </c>
      <c r="N201" s="826">
        <f t="shared" si="18"/>
        <v>940.94</v>
      </c>
      <c r="O201" s="856">
        <f t="shared" si="19"/>
        <v>2067997.4399999995</v>
      </c>
      <c r="P201" s="857">
        <f t="shared" si="20"/>
        <v>4.4582909290926857E-4</v>
      </c>
      <c r="Q201" s="857">
        <f t="shared" si="21"/>
        <v>0.97984294728026089</v>
      </c>
      <c r="R201" s="858" t="str">
        <f t="shared" si="22"/>
        <v>C</v>
      </c>
      <c r="S201" s="81"/>
      <c r="T201" s="410">
        <f t="shared" si="23"/>
        <v>2110539.7000000007</v>
      </c>
      <c r="U201" s="69"/>
      <c r="V201" s="69"/>
      <c r="W201" s="69"/>
      <c r="X201" s="744"/>
      <c r="Y201" s="744"/>
      <c r="Z201" s="744"/>
      <c r="AA201" s="744"/>
      <c r="AB201" s="744"/>
      <c r="AC201" s="744"/>
      <c r="AD201" s="744"/>
      <c r="AE201" s="744"/>
      <c r="AF201" s="744"/>
      <c r="AG201" s="744"/>
      <c r="AH201" s="744"/>
      <c r="AI201" s="744"/>
      <c r="AJ201" s="744"/>
      <c r="AK201" s="744"/>
      <c r="AL201" s="744"/>
      <c r="AM201" s="744"/>
      <c r="AN201" s="744"/>
      <c r="AO201" s="744"/>
      <c r="AP201" s="744"/>
      <c r="AQ201" s="744"/>
    </row>
    <row r="202" spans="5:43" s="745" customFormat="1">
      <c r="E202" s="69"/>
      <c r="F202" s="910" t="s">
        <v>2239</v>
      </c>
      <c r="G202" s="911" t="s">
        <v>6811</v>
      </c>
      <c r="H202" s="913" t="s">
        <v>6956</v>
      </c>
      <c r="I202" s="914" t="s">
        <v>648</v>
      </c>
      <c r="J202" s="920">
        <v>64</v>
      </c>
      <c r="K202" s="1012">
        <f>IF($G202="","",IFERROR(VLOOKUP($G202,SERVIÇOS!$C:$H,6,0),IFERROR(VLOOKUP($G202,CPU!$F:$M,8,0),"")))</f>
        <v>11.6</v>
      </c>
      <c r="L202" s="855">
        <f t="shared" si="16"/>
        <v>0.2354</v>
      </c>
      <c r="M202" s="825">
        <f t="shared" si="17"/>
        <v>14.33</v>
      </c>
      <c r="N202" s="826">
        <f t="shared" si="18"/>
        <v>917.12</v>
      </c>
      <c r="O202" s="856">
        <f t="shared" si="19"/>
        <v>2068914.5599999996</v>
      </c>
      <c r="P202" s="857">
        <f t="shared" si="20"/>
        <v>4.3454288019315615E-4</v>
      </c>
      <c r="Q202" s="857">
        <f t="shared" si="21"/>
        <v>0.98027749016045407</v>
      </c>
      <c r="R202" s="858" t="str">
        <f t="shared" si="22"/>
        <v>C</v>
      </c>
      <c r="S202" s="81"/>
      <c r="T202" s="410">
        <f t="shared" si="23"/>
        <v>2110539.7000000007</v>
      </c>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row>
    <row r="203" spans="5:43" s="745" customFormat="1">
      <c r="E203" s="69"/>
      <c r="F203" s="910" t="s">
        <v>2239</v>
      </c>
      <c r="G203" s="911" t="s">
        <v>7192</v>
      </c>
      <c r="H203" s="913" t="s">
        <v>7193</v>
      </c>
      <c r="I203" s="914" t="s">
        <v>649</v>
      </c>
      <c r="J203" s="920">
        <v>26.19</v>
      </c>
      <c r="K203" s="1012">
        <f>IF($G203="","",IFERROR(VLOOKUP($G203,SERVIÇOS!$C:$H,6,0),IFERROR(VLOOKUP($G203,CPU!$F:$M,8,0),"")))</f>
        <v>27.54</v>
      </c>
      <c r="L203" s="855">
        <f t="shared" si="16"/>
        <v>0.2354</v>
      </c>
      <c r="M203" s="825">
        <f t="shared" si="17"/>
        <v>34.020000000000003</v>
      </c>
      <c r="N203" s="826">
        <f t="shared" si="18"/>
        <v>890.98</v>
      </c>
      <c r="O203" s="856">
        <f t="shared" si="19"/>
        <v>2069805.5399999996</v>
      </c>
      <c r="P203" s="857">
        <f t="shared" si="20"/>
        <v>4.2215742257774151E-4</v>
      </c>
      <c r="Q203" s="857">
        <f t="shared" si="21"/>
        <v>0.98069964758303185</v>
      </c>
      <c r="R203" s="858" t="str">
        <f t="shared" si="22"/>
        <v>C</v>
      </c>
      <c r="S203" s="81"/>
      <c r="T203" s="410">
        <f t="shared" si="23"/>
        <v>2110539.7000000007</v>
      </c>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row>
    <row r="204" spans="5:43" s="745" customFormat="1" ht="25.5">
      <c r="E204" s="69"/>
      <c r="F204" s="910" t="s">
        <v>2239</v>
      </c>
      <c r="G204" s="911" t="s">
        <v>6807</v>
      </c>
      <c r="H204" s="913" t="s">
        <v>6983</v>
      </c>
      <c r="I204" s="914" t="s">
        <v>646</v>
      </c>
      <c r="J204" s="920">
        <v>2</v>
      </c>
      <c r="K204" s="1012">
        <f>IF($G204="","",IFERROR(VLOOKUP($G204,SERVIÇOS!$C:$H,6,0),IFERROR(VLOOKUP($G204,CPU!$F:$M,8,0),"")))</f>
        <v>349.53</v>
      </c>
      <c r="L204" s="855">
        <f t="shared" ref="L204:L267" si="24">$R$1</f>
        <v>0.2354</v>
      </c>
      <c r="M204" s="825">
        <f t="shared" ref="M204:M267" si="25">IF(J204&lt;&gt;0,(ROUND(K204*(L204+1),2)),0)</f>
        <v>431.81</v>
      </c>
      <c r="N204" s="826">
        <f t="shared" ref="N204:N267" si="26">IF(J204="","",ROUND((J204*M204),2))</f>
        <v>863.62</v>
      </c>
      <c r="O204" s="856">
        <f t="shared" ref="O204:O267" si="27">+O203+N204</f>
        <v>2070669.1599999997</v>
      </c>
      <c r="P204" s="857">
        <f t="shared" ref="P204:P267" si="28">IF(N204&lt;&gt;"",N204/T204,"")</f>
        <v>4.0919391376527994E-4</v>
      </c>
      <c r="Q204" s="857">
        <f t="shared" ref="Q204:Q267" si="29">+P204+Q203</f>
        <v>0.98110884149679711</v>
      </c>
      <c r="R204" s="858" t="str">
        <f t="shared" ref="R204:R267" si="30">IF(Q204&lt;50%,"A",IF(Q204&gt;=80%,"C",IF(Q204&gt;=50%,"B")))</f>
        <v>C</v>
      </c>
      <c r="S204" s="81"/>
      <c r="T204" s="410">
        <f t="shared" ref="T204:T267" si="31">T205</f>
        <v>2110539.7000000007</v>
      </c>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row>
    <row r="205" spans="5:43" s="745" customFormat="1" ht="25.5">
      <c r="E205" s="69"/>
      <c r="F205" s="910" t="s">
        <v>2238</v>
      </c>
      <c r="G205" s="911">
        <v>95601</v>
      </c>
      <c r="H205" s="913" t="s">
        <v>5558</v>
      </c>
      <c r="I205" s="914" t="s">
        <v>646</v>
      </c>
      <c r="J205" s="920">
        <v>37</v>
      </c>
      <c r="K205" s="1012">
        <f>IF($G205="","",IFERROR(VLOOKUP($G205,SERVIÇOS!$C:$H,6,0),IFERROR(VLOOKUP($G205,CPU!$F:$M,8,0),"")))</f>
        <v>18.22</v>
      </c>
      <c r="L205" s="855">
        <f t="shared" si="24"/>
        <v>0.2354</v>
      </c>
      <c r="M205" s="825">
        <f t="shared" si="25"/>
        <v>22.51</v>
      </c>
      <c r="N205" s="826">
        <f t="shared" si="26"/>
        <v>832.87</v>
      </c>
      <c r="O205" s="856">
        <f t="shared" si="27"/>
        <v>2071502.0299999998</v>
      </c>
      <c r="P205" s="857">
        <f t="shared" si="28"/>
        <v>3.9462418072495854E-4</v>
      </c>
      <c r="Q205" s="857">
        <f t="shared" si="29"/>
        <v>0.98150346567752211</v>
      </c>
      <c r="R205" s="858" t="str">
        <f t="shared" si="30"/>
        <v>C</v>
      </c>
      <c r="S205" s="81"/>
      <c r="T205" s="410">
        <f t="shared" si="31"/>
        <v>2110539.7000000007</v>
      </c>
      <c r="U205" s="69"/>
      <c r="V205" s="69"/>
      <c r="W205" s="69"/>
      <c r="X205" s="744"/>
      <c r="Y205" s="744"/>
      <c r="Z205" s="744"/>
      <c r="AA205" s="744"/>
      <c r="AB205" s="744"/>
      <c r="AC205" s="744"/>
      <c r="AD205" s="744"/>
      <c r="AE205" s="744"/>
      <c r="AF205" s="744"/>
      <c r="AG205" s="744"/>
      <c r="AH205" s="744"/>
      <c r="AI205" s="744"/>
      <c r="AJ205" s="744"/>
      <c r="AK205" s="744"/>
      <c r="AL205" s="744"/>
      <c r="AM205" s="744"/>
      <c r="AN205" s="744"/>
      <c r="AO205" s="744"/>
      <c r="AP205" s="744"/>
      <c r="AQ205" s="744"/>
    </row>
    <row r="206" spans="5:43" s="745" customFormat="1" ht="25.5">
      <c r="E206" s="69"/>
      <c r="F206" s="910" t="s">
        <v>2238</v>
      </c>
      <c r="G206" s="911">
        <v>92759</v>
      </c>
      <c r="H206" s="913" t="s">
        <v>7764</v>
      </c>
      <c r="I206" s="914" t="s">
        <v>645</v>
      </c>
      <c r="J206" s="920">
        <v>40.39</v>
      </c>
      <c r="K206" s="1012">
        <f>IF($G206="","",IFERROR(VLOOKUP($G206,SERVIÇOS!$C:$H,6,0),IFERROR(VLOOKUP($G206,CPU!$F:$M,8,0),"")))</f>
        <v>16.23</v>
      </c>
      <c r="L206" s="855">
        <f t="shared" si="24"/>
        <v>0.2354</v>
      </c>
      <c r="M206" s="825">
        <f t="shared" si="25"/>
        <v>20.05</v>
      </c>
      <c r="N206" s="826">
        <f t="shared" si="26"/>
        <v>809.82</v>
      </c>
      <c r="O206" s="856">
        <f t="shared" si="27"/>
        <v>2072311.8499999999</v>
      </c>
      <c r="P206" s="857">
        <f t="shared" si="28"/>
        <v>3.8370280360042495E-4</v>
      </c>
      <c r="Q206" s="857">
        <f t="shared" si="29"/>
        <v>0.98188716848112256</v>
      </c>
      <c r="R206" s="858" t="str">
        <f t="shared" si="30"/>
        <v>C</v>
      </c>
      <c r="S206" s="81"/>
      <c r="T206" s="410">
        <f t="shared" si="31"/>
        <v>2110539.7000000007</v>
      </c>
      <c r="U206" s="69"/>
      <c r="V206" s="69"/>
      <c r="W206" s="69"/>
      <c r="X206" s="744"/>
      <c r="Y206" s="744"/>
      <c r="Z206" s="744"/>
      <c r="AA206" s="744"/>
      <c r="AB206" s="744"/>
      <c r="AC206" s="744"/>
      <c r="AD206" s="744"/>
      <c r="AE206" s="744"/>
      <c r="AF206" s="744"/>
      <c r="AG206" s="744"/>
      <c r="AH206" s="744"/>
      <c r="AI206" s="744"/>
      <c r="AJ206" s="744"/>
      <c r="AK206" s="744"/>
      <c r="AL206" s="744"/>
      <c r="AM206" s="744"/>
      <c r="AN206" s="744"/>
      <c r="AO206" s="744"/>
      <c r="AP206" s="744"/>
      <c r="AQ206" s="744"/>
    </row>
    <row r="207" spans="5:43" s="745" customFormat="1" ht="25.5">
      <c r="E207" s="69"/>
      <c r="F207" s="910" t="s">
        <v>2238</v>
      </c>
      <c r="G207" s="911">
        <v>96546</v>
      </c>
      <c r="H207" s="913" t="s">
        <v>2324</v>
      </c>
      <c r="I207" s="914" t="s">
        <v>645</v>
      </c>
      <c r="J207" s="920">
        <v>43.45</v>
      </c>
      <c r="K207" s="1012">
        <f>IF($G207="","",IFERROR(VLOOKUP($G207,SERVIÇOS!$C:$H,6,0),IFERROR(VLOOKUP($G207,CPU!$F:$M,8,0),"")))</f>
        <v>15.04</v>
      </c>
      <c r="L207" s="855">
        <f t="shared" si="24"/>
        <v>0.2354</v>
      </c>
      <c r="M207" s="825">
        <f t="shared" si="25"/>
        <v>18.579999999999998</v>
      </c>
      <c r="N207" s="826">
        <f t="shared" si="26"/>
        <v>807.3</v>
      </c>
      <c r="O207" s="856">
        <f t="shared" si="27"/>
        <v>2073119.15</v>
      </c>
      <c r="P207" s="857">
        <f t="shared" si="28"/>
        <v>3.8250879620980343E-4</v>
      </c>
      <c r="Q207" s="857">
        <f t="shared" si="29"/>
        <v>0.98226967727733239</v>
      </c>
      <c r="R207" s="858" t="str">
        <f t="shared" si="30"/>
        <v>C</v>
      </c>
      <c r="S207" s="81"/>
      <c r="T207" s="410">
        <f t="shared" si="31"/>
        <v>2110539.7000000007</v>
      </c>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row>
    <row r="208" spans="5:43" s="745" customFormat="1" ht="25.5">
      <c r="E208" s="69"/>
      <c r="F208" s="910" t="s">
        <v>2239</v>
      </c>
      <c r="G208" s="911" t="s">
        <v>2869</v>
      </c>
      <c r="H208" s="913" t="s">
        <v>4859</v>
      </c>
      <c r="I208" s="914" t="s">
        <v>646</v>
      </c>
      <c r="J208" s="920">
        <v>3</v>
      </c>
      <c r="K208" s="1012">
        <f>IF($G208="","",IFERROR(VLOOKUP($G208,SERVIÇOS!$C:$H,6,0),IFERROR(VLOOKUP($G208,CPU!$F:$M,8,0),"")))</f>
        <v>217.72</v>
      </c>
      <c r="L208" s="855">
        <f t="shared" si="24"/>
        <v>0.2354</v>
      </c>
      <c r="M208" s="825">
        <f t="shared" si="25"/>
        <v>268.97000000000003</v>
      </c>
      <c r="N208" s="826">
        <f t="shared" si="26"/>
        <v>806.91</v>
      </c>
      <c r="O208" s="856">
        <f t="shared" si="27"/>
        <v>2073926.0599999998</v>
      </c>
      <c r="P208" s="857">
        <f t="shared" si="28"/>
        <v>3.8232400935173111E-4</v>
      </c>
      <c r="Q208" s="857">
        <f t="shared" si="29"/>
        <v>0.98265200128668417</v>
      </c>
      <c r="R208" s="858" t="str">
        <f t="shared" si="30"/>
        <v>C</v>
      </c>
      <c r="S208" s="81"/>
      <c r="T208" s="410">
        <f t="shared" si="31"/>
        <v>2110539.7000000007</v>
      </c>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row>
    <row r="209" spans="5:43" s="745" customFormat="1" ht="25.5">
      <c r="E209" s="69"/>
      <c r="F209" s="910" t="s">
        <v>2238</v>
      </c>
      <c r="G209" s="911">
        <v>86872</v>
      </c>
      <c r="H209" s="913" t="s">
        <v>4234</v>
      </c>
      <c r="I209" s="914" t="s">
        <v>646</v>
      </c>
      <c r="J209" s="920">
        <v>1</v>
      </c>
      <c r="K209" s="1012">
        <f>IF($G209="","",IFERROR(VLOOKUP($G209,SERVIÇOS!$C:$H,6,0),IFERROR(VLOOKUP($G209,CPU!$F:$M,8,0),"")))</f>
        <v>651.83000000000004</v>
      </c>
      <c r="L209" s="855">
        <f t="shared" si="24"/>
        <v>0.2354</v>
      </c>
      <c r="M209" s="825">
        <f t="shared" si="25"/>
        <v>805.27</v>
      </c>
      <c r="N209" s="826">
        <f t="shared" si="26"/>
        <v>805.27</v>
      </c>
      <c r="O209" s="856">
        <f t="shared" si="27"/>
        <v>2074731.3299999998</v>
      </c>
      <c r="P209" s="857">
        <f t="shared" si="28"/>
        <v>3.8154695692291398E-4</v>
      </c>
      <c r="Q209" s="857">
        <f t="shared" si="29"/>
        <v>0.98303354824360711</v>
      </c>
      <c r="R209" s="858" t="str">
        <f t="shared" si="30"/>
        <v>C</v>
      </c>
      <c r="S209" s="81"/>
      <c r="T209" s="410">
        <f t="shared" si="31"/>
        <v>2110539.7000000007</v>
      </c>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row>
    <row r="210" spans="5:43" s="745" customFormat="1">
      <c r="E210" s="69"/>
      <c r="F210" s="910" t="s">
        <v>2239</v>
      </c>
      <c r="G210" s="911" t="s">
        <v>14551</v>
      </c>
      <c r="H210" s="913" t="s">
        <v>14553</v>
      </c>
      <c r="I210" s="914" t="s">
        <v>646</v>
      </c>
      <c r="J210" s="920">
        <v>1</v>
      </c>
      <c r="K210" s="1012">
        <f>IF($G210="","",IFERROR(VLOOKUP($G210,SERVIÇOS!$C:$H,6,0),IFERROR(VLOOKUP($G210,CPU!$F:$M,8,0),"")))</f>
        <v>645.56000000000006</v>
      </c>
      <c r="L210" s="855">
        <f t="shared" si="24"/>
        <v>0.2354</v>
      </c>
      <c r="M210" s="825">
        <f t="shared" si="25"/>
        <v>797.52</v>
      </c>
      <c r="N210" s="826">
        <f t="shared" si="26"/>
        <v>797.52</v>
      </c>
      <c r="O210" s="856">
        <f t="shared" si="27"/>
        <v>2075528.8499999999</v>
      </c>
      <c r="P210" s="857">
        <f t="shared" si="28"/>
        <v>3.7787491038429637E-4</v>
      </c>
      <c r="Q210" s="857">
        <f t="shared" si="29"/>
        <v>0.98341142315399144</v>
      </c>
      <c r="R210" s="858" t="str">
        <f t="shared" si="30"/>
        <v>C</v>
      </c>
      <c r="S210" s="81"/>
      <c r="T210" s="410">
        <f t="shared" si="31"/>
        <v>2110539.7000000007</v>
      </c>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row>
    <row r="211" spans="5:43" s="745" customFormat="1" ht="25.5">
      <c r="E211" s="69"/>
      <c r="F211" s="910" t="s">
        <v>2239</v>
      </c>
      <c r="G211" s="911" t="s">
        <v>6875</v>
      </c>
      <c r="H211" s="913" t="s">
        <v>6878</v>
      </c>
      <c r="I211" s="914" t="s">
        <v>646</v>
      </c>
      <c r="J211" s="920">
        <v>40</v>
      </c>
      <c r="K211" s="1012">
        <f>IF($G211="","",IFERROR(VLOOKUP($G211,SERVIÇOS!$C:$H,6,0),IFERROR(VLOOKUP($G211,CPU!$F:$M,8,0),"")))</f>
        <v>15.790000000000001</v>
      </c>
      <c r="L211" s="855">
        <f t="shared" si="24"/>
        <v>0.2354</v>
      </c>
      <c r="M211" s="825">
        <f t="shared" si="25"/>
        <v>19.510000000000002</v>
      </c>
      <c r="N211" s="826">
        <f t="shared" si="26"/>
        <v>780.4</v>
      </c>
      <c r="O211" s="856">
        <f t="shared" si="27"/>
        <v>2076309.2499999998</v>
      </c>
      <c r="P211" s="857">
        <f t="shared" si="28"/>
        <v>3.6976324112737599E-4</v>
      </c>
      <c r="Q211" s="857">
        <f t="shared" si="29"/>
        <v>0.9837811863951188</v>
      </c>
      <c r="R211" s="858" t="str">
        <f t="shared" si="30"/>
        <v>C</v>
      </c>
      <c r="S211" s="81"/>
      <c r="T211" s="410">
        <f t="shared" si="31"/>
        <v>2110539.7000000007</v>
      </c>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row>
    <row r="212" spans="5:43" s="745" customFormat="1">
      <c r="E212" s="69"/>
      <c r="F212" s="910" t="s">
        <v>2238</v>
      </c>
      <c r="G212" s="911">
        <v>93358</v>
      </c>
      <c r="H212" s="913" t="s">
        <v>5482</v>
      </c>
      <c r="I212" s="914" t="s">
        <v>644</v>
      </c>
      <c r="J212" s="920">
        <v>6.6399999999999988</v>
      </c>
      <c r="K212" s="1012">
        <f>IF($G212="","",IFERROR(VLOOKUP($G212,SERVIÇOS!$C:$H,6,0),IFERROR(VLOOKUP($G212,CPU!$F:$M,8,0),"")))</f>
        <v>93.79</v>
      </c>
      <c r="L212" s="855">
        <f t="shared" si="24"/>
        <v>0.2354</v>
      </c>
      <c r="M212" s="825">
        <f t="shared" si="25"/>
        <v>115.87</v>
      </c>
      <c r="N212" s="826">
        <f t="shared" si="26"/>
        <v>769.38</v>
      </c>
      <c r="O212" s="856">
        <f t="shared" si="27"/>
        <v>2077078.6299999997</v>
      </c>
      <c r="P212" s="857">
        <f t="shared" si="28"/>
        <v>3.6454182785569005E-4</v>
      </c>
      <c r="Q212" s="857">
        <f t="shared" si="29"/>
        <v>0.98414572822297453</v>
      </c>
      <c r="R212" s="858" t="str">
        <f t="shared" si="30"/>
        <v>C</v>
      </c>
      <c r="S212" s="81"/>
      <c r="T212" s="410">
        <f t="shared" si="31"/>
        <v>2110539.7000000007</v>
      </c>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row>
    <row r="213" spans="5:43" s="745" customFormat="1" ht="25.5">
      <c r="E213" s="69"/>
      <c r="F213" s="910" t="s">
        <v>2239</v>
      </c>
      <c r="G213" s="911" t="s">
        <v>6869</v>
      </c>
      <c r="H213" s="913" t="s">
        <v>6881</v>
      </c>
      <c r="I213" s="914" t="s">
        <v>646</v>
      </c>
      <c r="J213" s="920">
        <v>1</v>
      </c>
      <c r="K213" s="1012">
        <f>IF($G213="","",IFERROR(VLOOKUP($G213,SERVIÇOS!$C:$H,6,0),IFERROR(VLOOKUP($G213,CPU!$F:$M,8,0),"")))</f>
        <v>619.25</v>
      </c>
      <c r="L213" s="855">
        <f t="shared" si="24"/>
        <v>0.2354</v>
      </c>
      <c r="M213" s="825">
        <f t="shared" si="25"/>
        <v>765.02</v>
      </c>
      <c r="N213" s="826">
        <f t="shared" si="26"/>
        <v>765.02</v>
      </c>
      <c r="O213" s="856">
        <f t="shared" si="27"/>
        <v>2077843.6499999997</v>
      </c>
      <c r="P213" s="857">
        <f t="shared" si="28"/>
        <v>3.6247600554493227E-4</v>
      </c>
      <c r="Q213" s="857">
        <f t="shared" si="29"/>
        <v>0.98450820422851948</v>
      </c>
      <c r="R213" s="858" t="str">
        <f t="shared" si="30"/>
        <v>C</v>
      </c>
      <c r="S213" s="81"/>
      <c r="T213" s="410">
        <f t="shared" si="31"/>
        <v>2110539.7000000007</v>
      </c>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row>
    <row r="214" spans="5:43" s="745" customFormat="1" ht="25.5">
      <c r="E214" s="69"/>
      <c r="F214" s="910" t="s">
        <v>2238</v>
      </c>
      <c r="G214" s="911">
        <v>94282</v>
      </c>
      <c r="H214" s="913" t="s">
        <v>1723</v>
      </c>
      <c r="I214" s="914" t="s">
        <v>648</v>
      </c>
      <c r="J214" s="920">
        <v>8.91</v>
      </c>
      <c r="K214" s="1012">
        <f>IF($G214="","",IFERROR(VLOOKUP($G214,SERVIÇOS!$C:$H,6,0),IFERROR(VLOOKUP($G214,CPU!$F:$M,8,0),"")))</f>
        <v>69.37</v>
      </c>
      <c r="L214" s="855">
        <f t="shared" si="24"/>
        <v>0.2354</v>
      </c>
      <c r="M214" s="825">
        <f t="shared" si="25"/>
        <v>85.7</v>
      </c>
      <c r="N214" s="826">
        <f t="shared" si="26"/>
        <v>763.59</v>
      </c>
      <c r="O214" s="856">
        <f t="shared" si="27"/>
        <v>2078607.2399999998</v>
      </c>
      <c r="P214" s="857">
        <f t="shared" si="28"/>
        <v>3.617984537320003E-4</v>
      </c>
      <c r="Q214" s="857">
        <f t="shared" si="29"/>
        <v>0.98487000268225144</v>
      </c>
      <c r="R214" s="858" t="str">
        <f t="shared" si="30"/>
        <v>C</v>
      </c>
      <c r="S214" s="81"/>
      <c r="T214" s="410">
        <f t="shared" si="31"/>
        <v>2110539.7000000007</v>
      </c>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row>
    <row r="215" spans="5:43" s="745" customFormat="1" ht="25.5">
      <c r="E215" s="69"/>
      <c r="F215" s="910" t="s">
        <v>2239</v>
      </c>
      <c r="G215" s="911" t="s">
        <v>8546</v>
      </c>
      <c r="H215" s="913" t="s">
        <v>8542</v>
      </c>
      <c r="I215" s="914" t="s">
        <v>648</v>
      </c>
      <c r="J215" s="920">
        <v>14</v>
      </c>
      <c r="K215" s="1012">
        <f>IF($G215="","",IFERROR(VLOOKUP($G215,SERVIÇOS!$C:$H,6,0),IFERROR(VLOOKUP($G215,CPU!$F:$M,8,0),"")))</f>
        <v>44.11</v>
      </c>
      <c r="L215" s="855">
        <f t="shared" si="24"/>
        <v>0.2354</v>
      </c>
      <c r="M215" s="825">
        <f t="shared" si="25"/>
        <v>54.49</v>
      </c>
      <c r="N215" s="826">
        <f t="shared" si="26"/>
        <v>762.86</v>
      </c>
      <c r="O215" s="856">
        <f t="shared" si="27"/>
        <v>2079370.0999999999</v>
      </c>
      <c r="P215" s="857">
        <f t="shared" si="28"/>
        <v>3.6145257063868535E-4</v>
      </c>
      <c r="Q215" s="857">
        <f t="shared" si="29"/>
        <v>0.98523145525289013</v>
      </c>
      <c r="R215" s="858" t="str">
        <f t="shared" si="30"/>
        <v>C</v>
      </c>
      <c r="S215" s="81"/>
      <c r="T215" s="410">
        <f t="shared" si="31"/>
        <v>2110539.7000000007</v>
      </c>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row>
    <row r="216" spans="5:43" s="745" customFormat="1">
      <c r="E216" s="69"/>
      <c r="F216" s="910" t="s">
        <v>2239</v>
      </c>
      <c r="G216" s="911" t="s">
        <v>2952</v>
      </c>
      <c r="H216" s="913" t="s">
        <v>6988</v>
      </c>
      <c r="I216" s="914" t="s">
        <v>646</v>
      </c>
      <c r="J216" s="920">
        <v>1</v>
      </c>
      <c r="K216" s="1012">
        <f>IF($G216="","",IFERROR(VLOOKUP($G216,SERVIÇOS!$C:$H,6,0),IFERROR(VLOOKUP($G216,CPU!$F:$M,8,0),"")))</f>
        <v>603.1400000000001</v>
      </c>
      <c r="L216" s="855">
        <f t="shared" si="24"/>
        <v>0.2354</v>
      </c>
      <c r="M216" s="825">
        <f t="shared" si="25"/>
        <v>745.12</v>
      </c>
      <c r="N216" s="826">
        <f t="shared" si="26"/>
        <v>745.12</v>
      </c>
      <c r="O216" s="856">
        <f t="shared" si="27"/>
        <v>2080115.22</v>
      </c>
      <c r="P216" s="857">
        <f t="shared" si="28"/>
        <v>3.5304713765867552E-4</v>
      </c>
      <c r="Q216" s="857">
        <f t="shared" si="29"/>
        <v>0.98558450239054884</v>
      </c>
      <c r="R216" s="858" t="str">
        <f t="shared" si="30"/>
        <v>C</v>
      </c>
      <c r="S216" s="81"/>
      <c r="T216" s="410">
        <f t="shared" si="31"/>
        <v>2110539.7000000007</v>
      </c>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row>
    <row r="217" spans="5:43" s="745" customFormat="1" ht="25.5">
      <c r="E217" s="69"/>
      <c r="F217" s="910" t="s">
        <v>2238</v>
      </c>
      <c r="G217" s="911">
        <v>101907</v>
      </c>
      <c r="H217" s="913" t="s">
        <v>5234</v>
      </c>
      <c r="I217" s="914" t="s">
        <v>646</v>
      </c>
      <c r="J217" s="920">
        <v>1</v>
      </c>
      <c r="K217" s="1012">
        <f>IF($G217="","",IFERROR(VLOOKUP($G217,SERVIÇOS!$C:$H,6,0),IFERROR(VLOOKUP($G217,CPU!$F:$M,8,0),"")))</f>
        <v>602.27</v>
      </c>
      <c r="L217" s="855">
        <f t="shared" si="24"/>
        <v>0.2354</v>
      </c>
      <c r="M217" s="825">
        <f t="shared" si="25"/>
        <v>744.04</v>
      </c>
      <c r="N217" s="826">
        <f t="shared" si="26"/>
        <v>744.04</v>
      </c>
      <c r="O217" s="856">
        <f t="shared" si="27"/>
        <v>2080859.26</v>
      </c>
      <c r="P217" s="857">
        <f t="shared" si="28"/>
        <v>3.5253542020555206E-4</v>
      </c>
      <c r="Q217" s="857">
        <f t="shared" si="29"/>
        <v>0.98593703781075437</v>
      </c>
      <c r="R217" s="858" t="str">
        <f t="shared" si="30"/>
        <v>C</v>
      </c>
      <c r="S217" s="81"/>
      <c r="T217" s="410">
        <f t="shared" si="31"/>
        <v>2110539.7000000007</v>
      </c>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row>
    <row r="218" spans="5:43" s="745" customFormat="1">
      <c r="E218" s="69"/>
      <c r="F218" s="910" t="s">
        <v>2238</v>
      </c>
      <c r="G218" s="911">
        <v>93188</v>
      </c>
      <c r="H218" s="913" t="s">
        <v>916</v>
      </c>
      <c r="I218" s="914" t="s">
        <v>648</v>
      </c>
      <c r="J218" s="920">
        <v>6</v>
      </c>
      <c r="K218" s="1012">
        <f>IF($G218="","",IFERROR(VLOOKUP($G218,SERVIÇOS!$C:$H,6,0),IFERROR(VLOOKUP($G218,CPU!$F:$M,8,0),"")))</f>
        <v>97.17</v>
      </c>
      <c r="L218" s="855">
        <f t="shared" si="24"/>
        <v>0.2354</v>
      </c>
      <c r="M218" s="825">
        <f t="shared" si="25"/>
        <v>120.04</v>
      </c>
      <c r="N218" s="826">
        <f t="shared" si="26"/>
        <v>720.24</v>
      </c>
      <c r="O218" s="856">
        <f t="shared" si="27"/>
        <v>2081579.5</v>
      </c>
      <c r="P218" s="857">
        <f t="shared" si="28"/>
        <v>3.4125868373857161E-4</v>
      </c>
      <c r="Q218" s="857">
        <f t="shared" si="29"/>
        <v>0.98627829649449295</v>
      </c>
      <c r="R218" s="858" t="str">
        <f t="shared" si="30"/>
        <v>C</v>
      </c>
      <c r="S218" s="81"/>
      <c r="T218" s="410">
        <f t="shared" si="31"/>
        <v>2110539.7000000007</v>
      </c>
      <c r="U218" s="69"/>
      <c r="V218" s="69"/>
      <c r="W218" s="69"/>
      <c r="X218" s="744"/>
      <c r="Y218" s="744"/>
      <c r="Z218" s="744"/>
      <c r="AA218" s="744"/>
      <c r="AB218" s="744"/>
      <c r="AC218" s="744"/>
      <c r="AD218" s="744"/>
      <c r="AE218" s="744"/>
      <c r="AF218" s="744"/>
      <c r="AG218" s="744"/>
      <c r="AH218" s="744"/>
      <c r="AI218" s="744"/>
      <c r="AJ218" s="744"/>
      <c r="AK218" s="744"/>
      <c r="AL218" s="744"/>
      <c r="AM218" s="744"/>
      <c r="AN218" s="744"/>
      <c r="AO218" s="744"/>
      <c r="AP218" s="744"/>
      <c r="AQ218" s="744"/>
    </row>
    <row r="219" spans="5:43" s="745" customFormat="1" ht="25.5">
      <c r="E219" s="69"/>
      <c r="F219" s="910" t="s">
        <v>2238</v>
      </c>
      <c r="G219" s="911">
        <v>93663</v>
      </c>
      <c r="H219" s="913" t="s">
        <v>5080</v>
      </c>
      <c r="I219" s="914" t="s">
        <v>646</v>
      </c>
      <c r="J219" s="920">
        <v>8</v>
      </c>
      <c r="K219" s="1012">
        <f>IF($G219="","",IFERROR(VLOOKUP($G219,SERVIÇOS!$C:$H,6,0),IFERROR(VLOOKUP($G219,CPU!$F:$M,8,0),"")))</f>
        <v>72.27</v>
      </c>
      <c r="L219" s="855">
        <f t="shared" si="24"/>
        <v>0.2354</v>
      </c>
      <c r="M219" s="825">
        <f t="shared" si="25"/>
        <v>89.28</v>
      </c>
      <c r="N219" s="826">
        <f t="shared" si="26"/>
        <v>714.24</v>
      </c>
      <c r="O219" s="856">
        <f t="shared" si="27"/>
        <v>2082293.74</v>
      </c>
      <c r="P219" s="857">
        <f t="shared" si="28"/>
        <v>3.384158089989967E-4</v>
      </c>
      <c r="Q219" s="857">
        <f t="shared" si="29"/>
        <v>0.98661671230349191</v>
      </c>
      <c r="R219" s="858" t="str">
        <f t="shared" si="30"/>
        <v>C</v>
      </c>
      <c r="S219" s="81"/>
      <c r="T219" s="410">
        <f t="shared" si="31"/>
        <v>2110539.7000000007</v>
      </c>
      <c r="U219" s="69"/>
      <c r="V219" s="69"/>
      <c r="W219" s="69"/>
      <c r="X219" s="744"/>
      <c r="Y219" s="744"/>
      <c r="Z219" s="744"/>
      <c r="AA219" s="744"/>
      <c r="AB219" s="744"/>
      <c r="AC219" s="744"/>
      <c r="AD219" s="744"/>
      <c r="AE219" s="744"/>
      <c r="AF219" s="744"/>
      <c r="AG219" s="744"/>
      <c r="AH219" s="744"/>
      <c r="AI219" s="744"/>
      <c r="AJ219" s="744"/>
      <c r="AK219" s="744"/>
      <c r="AL219" s="744"/>
      <c r="AM219" s="744"/>
      <c r="AN219" s="744"/>
      <c r="AO219" s="744"/>
      <c r="AP219" s="744"/>
      <c r="AQ219" s="744"/>
    </row>
    <row r="220" spans="5:43" s="745" customFormat="1">
      <c r="E220" s="69"/>
      <c r="F220" s="910" t="s">
        <v>2239</v>
      </c>
      <c r="G220" s="911" t="s">
        <v>8957</v>
      </c>
      <c r="H220" s="913" t="s">
        <v>8959</v>
      </c>
      <c r="I220" s="914" t="s">
        <v>646</v>
      </c>
      <c r="J220" s="920">
        <v>2</v>
      </c>
      <c r="K220" s="1012">
        <f>IF($G220="","",IFERROR(VLOOKUP($G220,SERVIÇOS!$C:$H,6,0),IFERROR(VLOOKUP($G220,CPU!$F:$M,8,0),"")))</f>
        <v>281.31</v>
      </c>
      <c r="L220" s="855">
        <f t="shared" si="24"/>
        <v>0.2354</v>
      </c>
      <c r="M220" s="825">
        <f t="shared" si="25"/>
        <v>347.53</v>
      </c>
      <c r="N220" s="826">
        <f t="shared" si="26"/>
        <v>695.06</v>
      </c>
      <c r="O220" s="856">
        <f t="shared" si="27"/>
        <v>2082988.8</v>
      </c>
      <c r="P220" s="857">
        <f t="shared" si="28"/>
        <v>3.2932808608148888E-4</v>
      </c>
      <c r="Q220" s="857">
        <f t="shared" si="29"/>
        <v>0.98694604038957334</v>
      </c>
      <c r="R220" s="858" t="str">
        <f t="shared" si="30"/>
        <v>C</v>
      </c>
      <c r="S220" s="81"/>
      <c r="T220" s="410">
        <f t="shared" si="31"/>
        <v>2110539.7000000007</v>
      </c>
      <c r="U220" s="69"/>
      <c r="V220" s="69"/>
      <c r="W220" s="69"/>
      <c r="X220" s="744"/>
      <c r="Y220" s="744"/>
      <c r="Z220" s="744"/>
      <c r="AA220" s="744"/>
      <c r="AB220" s="744"/>
      <c r="AC220" s="744"/>
      <c r="AD220" s="744"/>
      <c r="AE220" s="744"/>
      <c r="AF220" s="744"/>
      <c r="AG220" s="744"/>
      <c r="AH220" s="744"/>
      <c r="AI220" s="744"/>
      <c r="AJ220" s="744"/>
      <c r="AK220" s="744"/>
      <c r="AL220" s="744"/>
      <c r="AM220" s="744"/>
      <c r="AN220" s="744"/>
      <c r="AO220" s="744"/>
      <c r="AP220" s="744"/>
      <c r="AQ220" s="744"/>
    </row>
    <row r="221" spans="5:43" s="745" customFormat="1" ht="51">
      <c r="E221" s="69"/>
      <c r="F221" s="910" t="s">
        <v>2239</v>
      </c>
      <c r="G221" s="911" t="s">
        <v>8643</v>
      </c>
      <c r="H221" s="913" t="s">
        <v>8644</v>
      </c>
      <c r="I221" s="914" t="s">
        <v>646</v>
      </c>
      <c r="J221" s="919">
        <v>1</v>
      </c>
      <c r="K221" s="1012">
        <f>IF($G221="","",IFERROR(VLOOKUP($G221,SERVIÇOS!$C:$H,6,0),IFERROR(VLOOKUP($G221,CPU!$F:$M,8,0),"")))</f>
        <v>558.58999999999992</v>
      </c>
      <c r="L221" s="855">
        <f t="shared" si="24"/>
        <v>0.2354</v>
      </c>
      <c r="M221" s="825">
        <f t="shared" si="25"/>
        <v>690.08</v>
      </c>
      <c r="N221" s="826">
        <f t="shared" si="26"/>
        <v>690.08</v>
      </c>
      <c r="O221" s="856">
        <f t="shared" si="27"/>
        <v>2083678.8800000001</v>
      </c>
      <c r="P221" s="857">
        <f t="shared" si="28"/>
        <v>3.2696850004764177E-4</v>
      </c>
      <c r="Q221" s="857">
        <f t="shared" si="29"/>
        <v>0.987273008889621</v>
      </c>
      <c r="R221" s="858" t="str">
        <f t="shared" si="30"/>
        <v>C</v>
      </c>
      <c r="S221" s="81"/>
      <c r="T221" s="410">
        <f t="shared" si="31"/>
        <v>2110539.7000000007</v>
      </c>
      <c r="U221" s="69"/>
      <c r="V221" s="69"/>
      <c r="W221" s="69"/>
      <c r="X221" s="744"/>
      <c r="Y221" s="744"/>
      <c r="Z221" s="744"/>
      <c r="AA221" s="744"/>
      <c r="AB221" s="744"/>
      <c r="AC221" s="744"/>
      <c r="AD221" s="744"/>
      <c r="AE221" s="744"/>
      <c r="AF221" s="744"/>
      <c r="AG221" s="744"/>
      <c r="AH221" s="744"/>
      <c r="AI221" s="744"/>
      <c r="AJ221" s="744"/>
      <c r="AK221" s="744"/>
      <c r="AL221" s="744"/>
      <c r="AM221" s="744"/>
      <c r="AN221" s="744"/>
      <c r="AO221" s="744"/>
      <c r="AP221" s="744"/>
      <c r="AQ221" s="744"/>
    </row>
    <row r="222" spans="5:43" s="745" customFormat="1" ht="25.5">
      <c r="E222" s="69"/>
      <c r="F222" s="910" t="s">
        <v>2239</v>
      </c>
      <c r="G222" s="911" t="s">
        <v>6808</v>
      </c>
      <c r="H222" s="913" t="s">
        <v>8392</v>
      </c>
      <c r="I222" s="914" t="s">
        <v>646</v>
      </c>
      <c r="J222" s="920">
        <v>6</v>
      </c>
      <c r="K222" s="1012">
        <f>IF($G222="","",IFERROR(VLOOKUP($G222,SERVIÇOS!$C:$H,6,0),IFERROR(VLOOKUP($G222,CPU!$F:$M,8,0),"")))</f>
        <v>91.97999999999999</v>
      </c>
      <c r="L222" s="855">
        <f t="shared" si="24"/>
        <v>0.2354</v>
      </c>
      <c r="M222" s="825">
        <f t="shared" si="25"/>
        <v>113.63</v>
      </c>
      <c r="N222" s="826">
        <f t="shared" si="26"/>
        <v>681.78</v>
      </c>
      <c r="O222" s="856">
        <f t="shared" si="27"/>
        <v>2084360.6600000001</v>
      </c>
      <c r="P222" s="857">
        <f t="shared" si="28"/>
        <v>3.2303585665789642E-4</v>
      </c>
      <c r="Q222" s="857">
        <f t="shared" si="29"/>
        <v>0.98759604474627893</v>
      </c>
      <c r="R222" s="858" t="str">
        <f t="shared" si="30"/>
        <v>C</v>
      </c>
      <c r="S222" s="81"/>
      <c r="T222" s="410">
        <f t="shared" si="31"/>
        <v>2110539.7000000007</v>
      </c>
      <c r="U222" s="69"/>
      <c r="V222" s="69"/>
      <c r="W222" s="69"/>
      <c r="X222" s="744"/>
      <c r="Y222" s="744"/>
      <c r="Z222" s="744"/>
      <c r="AA222" s="744"/>
      <c r="AB222" s="744"/>
      <c r="AC222" s="744"/>
      <c r="AD222" s="744"/>
      <c r="AE222" s="744"/>
      <c r="AF222" s="744"/>
      <c r="AG222" s="744"/>
      <c r="AH222" s="744"/>
      <c r="AI222" s="744"/>
      <c r="AJ222" s="744"/>
      <c r="AK222" s="744"/>
      <c r="AL222" s="744"/>
      <c r="AM222" s="744"/>
      <c r="AN222" s="744"/>
      <c r="AO222" s="744"/>
      <c r="AP222" s="744"/>
      <c r="AQ222" s="744"/>
    </row>
    <row r="223" spans="5:43" s="745" customFormat="1" ht="25.5">
      <c r="E223" s="69"/>
      <c r="F223" s="910" t="s">
        <v>2238</v>
      </c>
      <c r="G223" s="911">
        <v>91834</v>
      </c>
      <c r="H223" s="913" t="s">
        <v>1059</v>
      </c>
      <c r="I223" s="914" t="s">
        <v>648</v>
      </c>
      <c r="J223" s="920">
        <v>50</v>
      </c>
      <c r="K223" s="1012">
        <f>IF($G223="","",IFERROR(VLOOKUP($G223,SERVIÇOS!$C:$H,6,0),IFERROR(VLOOKUP($G223,CPU!$F:$M,8,0),"")))</f>
        <v>10.87</v>
      </c>
      <c r="L223" s="855">
        <f t="shared" si="24"/>
        <v>0.2354</v>
      </c>
      <c r="M223" s="825">
        <f t="shared" si="25"/>
        <v>13.43</v>
      </c>
      <c r="N223" s="826">
        <f t="shared" si="26"/>
        <v>671.5</v>
      </c>
      <c r="O223" s="856">
        <f t="shared" si="27"/>
        <v>2085032.1600000001</v>
      </c>
      <c r="P223" s="857">
        <f t="shared" si="28"/>
        <v>3.1816506460409147E-4</v>
      </c>
      <c r="Q223" s="857">
        <f t="shared" si="29"/>
        <v>0.98791420981088307</v>
      </c>
      <c r="R223" s="858" t="str">
        <f t="shared" si="30"/>
        <v>C</v>
      </c>
      <c r="S223" s="81"/>
      <c r="T223" s="410">
        <f t="shared" si="31"/>
        <v>2110539.7000000007</v>
      </c>
      <c r="U223" s="69"/>
      <c r="V223" s="69"/>
      <c r="W223" s="69"/>
      <c r="X223" s="744"/>
      <c r="Y223" s="744"/>
      <c r="Z223" s="744"/>
      <c r="AA223" s="744"/>
      <c r="AB223" s="744"/>
      <c r="AC223" s="744"/>
      <c r="AD223" s="744"/>
      <c r="AE223" s="744"/>
      <c r="AF223" s="744"/>
      <c r="AG223" s="744"/>
      <c r="AH223" s="744"/>
      <c r="AI223" s="744"/>
      <c r="AJ223" s="744"/>
      <c r="AK223" s="744"/>
      <c r="AL223" s="744"/>
      <c r="AM223" s="744"/>
      <c r="AN223" s="744"/>
      <c r="AO223" s="744"/>
      <c r="AP223" s="744"/>
      <c r="AQ223" s="744"/>
    </row>
    <row r="224" spans="5:43" s="745" customFormat="1" ht="25.5">
      <c r="E224" s="69"/>
      <c r="F224" s="910" t="s">
        <v>2238</v>
      </c>
      <c r="G224" s="911">
        <v>93655</v>
      </c>
      <c r="H224" s="913" t="s">
        <v>5072</v>
      </c>
      <c r="I224" s="914" t="s">
        <v>646</v>
      </c>
      <c r="J224" s="920">
        <v>34</v>
      </c>
      <c r="K224" s="1012">
        <f>IF($G224="","",IFERROR(VLOOKUP($G224,SERVIÇOS!$C:$H,6,0),IFERROR(VLOOKUP($G224,CPU!$F:$M,8,0),"")))</f>
        <v>15.79</v>
      </c>
      <c r="L224" s="855">
        <f t="shared" si="24"/>
        <v>0.2354</v>
      </c>
      <c r="M224" s="825">
        <f t="shared" si="25"/>
        <v>19.510000000000002</v>
      </c>
      <c r="N224" s="826">
        <f t="shared" si="26"/>
        <v>663.34</v>
      </c>
      <c r="O224" s="856">
        <f t="shared" si="27"/>
        <v>2085695.5000000002</v>
      </c>
      <c r="P224" s="857">
        <f t="shared" si="28"/>
        <v>3.1429875495826958E-4</v>
      </c>
      <c r="Q224" s="857">
        <f t="shared" si="29"/>
        <v>0.98822850856584132</v>
      </c>
      <c r="R224" s="858" t="str">
        <f t="shared" si="30"/>
        <v>C</v>
      </c>
      <c r="S224" s="81"/>
      <c r="T224" s="410">
        <f t="shared" si="31"/>
        <v>2110539.7000000007</v>
      </c>
      <c r="U224" s="69"/>
      <c r="V224" s="69"/>
      <c r="W224" s="69"/>
      <c r="X224" s="744"/>
      <c r="Y224" s="744"/>
      <c r="Z224" s="744"/>
      <c r="AA224" s="744"/>
      <c r="AB224" s="744"/>
      <c r="AC224" s="744"/>
      <c r="AD224" s="744"/>
      <c r="AE224" s="744"/>
      <c r="AF224" s="744"/>
      <c r="AG224" s="744"/>
      <c r="AH224" s="744"/>
      <c r="AI224" s="744"/>
      <c r="AJ224" s="744"/>
      <c r="AK224" s="744"/>
      <c r="AL224" s="744"/>
      <c r="AM224" s="744"/>
      <c r="AN224" s="744"/>
      <c r="AO224" s="744"/>
      <c r="AP224" s="744"/>
      <c r="AQ224" s="744"/>
    </row>
    <row r="225" spans="5:43" s="745" customFormat="1">
      <c r="E225" s="69"/>
      <c r="F225" s="910" t="s">
        <v>2239</v>
      </c>
      <c r="G225" s="911" t="s">
        <v>8744</v>
      </c>
      <c r="H225" s="913" t="s">
        <v>8745</v>
      </c>
      <c r="I225" s="914" t="s">
        <v>2666</v>
      </c>
      <c r="J225" s="920">
        <v>3</v>
      </c>
      <c r="K225" s="1012">
        <f>IF($G225="","",IFERROR(VLOOKUP($G225,SERVIÇOS!$C:$H,6,0),IFERROR(VLOOKUP($G225,CPU!$F:$M,8,0),"")))</f>
        <v>178.3</v>
      </c>
      <c r="L225" s="855">
        <f t="shared" si="24"/>
        <v>0.2354</v>
      </c>
      <c r="M225" s="825">
        <f t="shared" si="25"/>
        <v>220.27</v>
      </c>
      <c r="N225" s="826">
        <f t="shared" si="26"/>
        <v>660.81</v>
      </c>
      <c r="O225" s="856">
        <f t="shared" si="27"/>
        <v>2086356.3100000003</v>
      </c>
      <c r="P225" s="857">
        <f t="shared" si="28"/>
        <v>3.1310000944308213E-4</v>
      </c>
      <c r="Q225" s="857">
        <f t="shared" si="29"/>
        <v>0.98854160857528439</v>
      </c>
      <c r="R225" s="858" t="str">
        <f t="shared" si="30"/>
        <v>C</v>
      </c>
      <c r="S225" s="81"/>
      <c r="T225" s="410">
        <f t="shared" si="31"/>
        <v>2110539.7000000007</v>
      </c>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row>
    <row r="226" spans="5:43" s="745" customFormat="1">
      <c r="E226" s="69"/>
      <c r="F226" s="910" t="s">
        <v>2239</v>
      </c>
      <c r="G226" s="911" t="s">
        <v>6798</v>
      </c>
      <c r="H226" s="913" t="s">
        <v>6987</v>
      </c>
      <c r="I226" s="914" t="s">
        <v>646</v>
      </c>
      <c r="J226" s="920">
        <v>14</v>
      </c>
      <c r="K226" s="1012">
        <f>IF($G226="","",IFERROR(VLOOKUP($G226,SERVIÇOS!$C:$H,6,0),IFERROR(VLOOKUP($G226,CPU!$F:$M,8,0),"")))</f>
        <v>37.6</v>
      </c>
      <c r="L226" s="855">
        <f t="shared" si="24"/>
        <v>0.2354</v>
      </c>
      <c r="M226" s="825">
        <f t="shared" si="25"/>
        <v>46.45</v>
      </c>
      <c r="N226" s="826">
        <f t="shared" si="26"/>
        <v>650.29999999999995</v>
      </c>
      <c r="O226" s="856">
        <f t="shared" si="27"/>
        <v>2087006.6100000003</v>
      </c>
      <c r="P226" s="857">
        <f t="shared" si="28"/>
        <v>3.0812024052426012E-4</v>
      </c>
      <c r="Q226" s="857">
        <f t="shared" si="29"/>
        <v>0.98884972881580868</v>
      </c>
      <c r="R226" s="858" t="str">
        <f t="shared" si="30"/>
        <v>C</v>
      </c>
      <c r="S226" s="81"/>
      <c r="T226" s="410">
        <f t="shared" si="31"/>
        <v>2110539.7000000007</v>
      </c>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row>
    <row r="227" spans="5:43" s="745" customFormat="1">
      <c r="E227" s="69"/>
      <c r="F227" s="910" t="s">
        <v>2239</v>
      </c>
      <c r="G227" s="911" t="s">
        <v>8492</v>
      </c>
      <c r="H227" s="913" t="s">
        <v>8495</v>
      </c>
      <c r="I227" s="914" t="s">
        <v>646</v>
      </c>
      <c r="J227" s="920">
        <v>12</v>
      </c>
      <c r="K227" s="1012">
        <f>IF($G227="","",IFERROR(VLOOKUP($G227,SERVIÇOS!$C:$H,6,0),IFERROR(VLOOKUP($G227,CPU!$F:$M,8,0),"")))</f>
        <v>42.31</v>
      </c>
      <c r="L227" s="855">
        <f t="shared" si="24"/>
        <v>0.2354</v>
      </c>
      <c r="M227" s="825">
        <f t="shared" si="25"/>
        <v>52.27</v>
      </c>
      <c r="N227" s="826">
        <f t="shared" si="26"/>
        <v>627.24</v>
      </c>
      <c r="O227" s="856">
        <f t="shared" si="27"/>
        <v>2087633.8500000003</v>
      </c>
      <c r="P227" s="857">
        <f t="shared" si="28"/>
        <v>2.9719412527516055E-4</v>
      </c>
      <c r="Q227" s="857">
        <f t="shared" si="29"/>
        <v>0.98914692294108386</v>
      </c>
      <c r="R227" s="858" t="str">
        <f t="shared" si="30"/>
        <v>C</v>
      </c>
      <c r="S227" s="81"/>
      <c r="T227" s="410">
        <f t="shared" si="31"/>
        <v>2110539.7000000007</v>
      </c>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row>
    <row r="228" spans="5:43" s="745" customFormat="1" ht="38.25">
      <c r="E228" s="69"/>
      <c r="F228" s="910" t="s">
        <v>2238</v>
      </c>
      <c r="G228" s="911">
        <v>94274</v>
      </c>
      <c r="H228" s="913" t="s">
        <v>1574</v>
      </c>
      <c r="I228" s="914" t="s">
        <v>648</v>
      </c>
      <c r="J228" s="920">
        <v>8.91</v>
      </c>
      <c r="K228" s="1012">
        <f>IF($G228="","",IFERROR(VLOOKUP($G228,SERVIÇOS!$C:$H,6,0),IFERROR(VLOOKUP($G228,CPU!$F:$M,8,0),"")))</f>
        <v>56.83</v>
      </c>
      <c r="L228" s="855">
        <f t="shared" si="24"/>
        <v>0.2354</v>
      </c>
      <c r="M228" s="825">
        <f t="shared" si="25"/>
        <v>70.209999999999994</v>
      </c>
      <c r="N228" s="826">
        <f t="shared" si="26"/>
        <v>625.57000000000005</v>
      </c>
      <c r="O228" s="856">
        <f t="shared" si="27"/>
        <v>2088259.4200000004</v>
      </c>
      <c r="P228" s="857">
        <f t="shared" si="28"/>
        <v>2.9640285847264559E-4</v>
      </c>
      <c r="Q228" s="857">
        <f t="shared" si="29"/>
        <v>0.98944332579955652</v>
      </c>
      <c r="R228" s="858" t="str">
        <f t="shared" si="30"/>
        <v>C</v>
      </c>
      <c r="S228" s="81"/>
      <c r="T228" s="410">
        <f t="shared" si="31"/>
        <v>2110539.7000000007</v>
      </c>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row>
    <row r="229" spans="5:43" s="745" customFormat="1">
      <c r="E229" s="69"/>
      <c r="F229" s="910" t="s">
        <v>2239</v>
      </c>
      <c r="G229" s="911" t="s">
        <v>2868</v>
      </c>
      <c r="H229" s="913" t="s">
        <v>3046</v>
      </c>
      <c r="I229" s="914" t="s">
        <v>646</v>
      </c>
      <c r="J229" s="920">
        <v>9</v>
      </c>
      <c r="K229" s="1012">
        <f>IF($G229="","",IFERROR(VLOOKUP($G229,SERVIÇOS!$C:$H,6,0),IFERROR(VLOOKUP($G229,CPU!$F:$M,8,0),"")))</f>
        <v>56.069999999999993</v>
      </c>
      <c r="L229" s="855">
        <f t="shared" si="24"/>
        <v>0.2354</v>
      </c>
      <c r="M229" s="825">
        <f t="shared" si="25"/>
        <v>69.27</v>
      </c>
      <c r="N229" s="826">
        <f t="shared" si="26"/>
        <v>623.42999999999995</v>
      </c>
      <c r="O229" s="856">
        <f t="shared" si="27"/>
        <v>2088882.8500000003</v>
      </c>
      <c r="P229" s="857">
        <f t="shared" si="28"/>
        <v>2.9538889981553046E-4</v>
      </c>
      <c r="Q229" s="857">
        <f t="shared" si="29"/>
        <v>0.98973871469937202</v>
      </c>
      <c r="R229" s="858" t="str">
        <f t="shared" si="30"/>
        <v>C</v>
      </c>
      <c r="S229" s="81"/>
      <c r="T229" s="410">
        <f t="shared" si="31"/>
        <v>2110539.7000000007</v>
      </c>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row>
    <row r="230" spans="5:43" s="745" customFormat="1" ht="25.5">
      <c r="E230" s="69"/>
      <c r="F230" s="910" t="s">
        <v>2238</v>
      </c>
      <c r="G230" s="911">
        <v>91875</v>
      </c>
      <c r="H230" s="913" t="s">
        <v>1068</v>
      </c>
      <c r="I230" s="914" t="s">
        <v>646</v>
      </c>
      <c r="J230" s="920">
        <v>64</v>
      </c>
      <c r="K230" s="1012">
        <f>IF($G230="","",IFERROR(VLOOKUP($G230,SERVIÇOS!$C:$H,6,0),IFERROR(VLOOKUP($G230,CPU!$F:$M,8,0),"")))</f>
        <v>7.82</v>
      </c>
      <c r="L230" s="855">
        <f t="shared" si="24"/>
        <v>0.2354</v>
      </c>
      <c r="M230" s="825">
        <f t="shared" si="25"/>
        <v>9.66</v>
      </c>
      <c r="N230" s="826">
        <f t="shared" si="26"/>
        <v>618.24</v>
      </c>
      <c r="O230" s="856">
        <f t="shared" si="27"/>
        <v>2089501.0900000003</v>
      </c>
      <c r="P230" s="857">
        <f t="shared" si="28"/>
        <v>2.9292981316579819E-4</v>
      </c>
      <c r="Q230" s="857">
        <f t="shared" si="29"/>
        <v>0.99003164451253778</v>
      </c>
      <c r="R230" s="858" t="str">
        <f t="shared" si="30"/>
        <v>C</v>
      </c>
      <c r="S230" s="81"/>
      <c r="T230" s="410">
        <f t="shared" si="31"/>
        <v>2110539.7000000007</v>
      </c>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row>
    <row r="231" spans="5:43" s="745" customFormat="1" ht="25.5">
      <c r="E231" s="69"/>
      <c r="F231" s="910" t="s">
        <v>2238</v>
      </c>
      <c r="G231" s="911">
        <v>94489</v>
      </c>
      <c r="H231" s="913" t="s">
        <v>5489</v>
      </c>
      <c r="I231" s="914" t="s">
        <v>646</v>
      </c>
      <c r="J231" s="920">
        <v>15</v>
      </c>
      <c r="K231" s="1012">
        <f>IF($G231="","",IFERROR(VLOOKUP($G231,SERVIÇOS!$C:$H,6,0),IFERROR(VLOOKUP($G231,CPU!$F:$M,8,0),"")))</f>
        <v>32.93</v>
      </c>
      <c r="L231" s="855">
        <f t="shared" si="24"/>
        <v>0.2354</v>
      </c>
      <c r="M231" s="825">
        <f t="shared" si="25"/>
        <v>40.68</v>
      </c>
      <c r="N231" s="826">
        <f t="shared" si="26"/>
        <v>610.20000000000005</v>
      </c>
      <c r="O231" s="856">
        <f t="shared" si="27"/>
        <v>2090111.2900000003</v>
      </c>
      <c r="P231" s="857">
        <f t="shared" si="28"/>
        <v>2.8912036101476785E-4</v>
      </c>
      <c r="Q231" s="857">
        <f t="shared" si="29"/>
        <v>0.99032076487355258</v>
      </c>
      <c r="R231" s="858" t="str">
        <f t="shared" si="30"/>
        <v>C</v>
      </c>
      <c r="S231" s="81"/>
      <c r="T231" s="410">
        <f t="shared" si="31"/>
        <v>2110539.7000000007</v>
      </c>
      <c r="U231" s="69"/>
      <c r="V231" s="69"/>
      <c r="W231" s="69"/>
      <c r="X231" s="744"/>
      <c r="Y231" s="744"/>
      <c r="Z231" s="744"/>
      <c r="AA231" s="744"/>
      <c r="AB231" s="744"/>
      <c r="AC231" s="744"/>
      <c r="AD231" s="744"/>
      <c r="AE231" s="744"/>
      <c r="AF231" s="744"/>
      <c r="AG231" s="744"/>
      <c r="AH231" s="744"/>
      <c r="AI231" s="744"/>
      <c r="AJ231" s="744"/>
      <c r="AK231" s="744"/>
      <c r="AL231" s="744"/>
      <c r="AM231" s="744"/>
      <c r="AN231" s="744"/>
      <c r="AO231" s="744"/>
      <c r="AP231" s="744"/>
      <c r="AQ231" s="744"/>
    </row>
    <row r="232" spans="5:43" s="745" customFormat="1">
      <c r="E232" s="69"/>
      <c r="F232" s="910" t="s">
        <v>2239</v>
      </c>
      <c r="G232" s="911" t="s">
        <v>5283</v>
      </c>
      <c r="H232" s="913" t="s">
        <v>5284</v>
      </c>
      <c r="I232" s="914" t="s">
        <v>649</v>
      </c>
      <c r="J232" s="920">
        <v>18</v>
      </c>
      <c r="K232" s="1012">
        <f>IF($G232="","",IFERROR(VLOOKUP($G232,SERVIÇOS!$C:$H,6,0),IFERROR(VLOOKUP($G232,CPU!$F:$M,8,0),"")))</f>
        <v>27.43</v>
      </c>
      <c r="L232" s="855">
        <f t="shared" si="24"/>
        <v>0.2354</v>
      </c>
      <c r="M232" s="825">
        <f t="shared" si="25"/>
        <v>33.89</v>
      </c>
      <c r="N232" s="826">
        <f t="shared" si="26"/>
        <v>610.02</v>
      </c>
      <c r="O232" s="856">
        <f t="shared" si="27"/>
        <v>2090721.3100000003</v>
      </c>
      <c r="P232" s="857">
        <f t="shared" si="28"/>
        <v>2.8903507477258058E-4</v>
      </c>
      <c r="Q232" s="857">
        <f t="shared" si="29"/>
        <v>0.99060979994832521</v>
      </c>
      <c r="R232" s="858" t="str">
        <f t="shared" si="30"/>
        <v>C</v>
      </c>
      <c r="S232" s="81"/>
      <c r="T232" s="410">
        <f t="shared" si="31"/>
        <v>2110539.7000000007</v>
      </c>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row>
    <row r="233" spans="5:43" s="745" customFormat="1" ht="25.5">
      <c r="E233" s="69"/>
      <c r="F233" s="910" t="s">
        <v>2238</v>
      </c>
      <c r="G233" s="911">
        <v>91947</v>
      </c>
      <c r="H233" s="913" t="s">
        <v>1217</v>
      </c>
      <c r="I233" s="914" t="s">
        <v>646</v>
      </c>
      <c r="J233" s="920">
        <v>56</v>
      </c>
      <c r="K233" s="1012">
        <f>IF($G233="","",IFERROR(VLOOKUP($G233,SERVIÇOS!$C:$H,6,0),IFERROR(VLOOKUP($G233,CPU!$F:$M,8,0),"")))</f>
        <v>8.26</v>
      </c>
      <c r="L233" s="855">
        <f t="shared" si="24"/>
        <v>0.2354</v>
      </c>
      <c r="M233" s="825">
        <f t="shared" si="25"/>
        <v>10.199999999999999</v>
      </c>
      <c r="N233" s="826">
        <f t="shared" si="26"/>
        <v>571.20000000000005</v>
      </c>
      <c r="O233" s="856">
        <f t="shared" si="27"/>
        <v>2091292.5100000002</v>
      </c>
      <c r="P233" s="857">
        <f t="shared" si="28"/>
        <v>2.7064167520753096E-4</v>
      </c>
      <c r="Q233" s="857">
        <f t="shared" si="29"/>
        <v>0.99088044162353273</v>
      </c>
      <c r="R233" s="858" t="str">
        <f t="shared" si="30"/>
        <v>C</v>
      </c>
      <c r="S233" s="81"/>
      <c r="T233" s="410">
        <f t="shared" si="31"/>
        <v>2110539.7000000007</v>
      </c>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row>
    <row r="234" spans="5:43" s="745" customFormat="1">
      <c r="E234" s="69"/>
      <c r="F234" s="910" t="s">
        <v>2239</v>
      </c>
      <c r="G234" s="911" t="s">
        <v>8577</v>
      </c>
      <c r="H234" s="913" t="s">
        <v>8579</v>
      </c>
      <c r="I234" s="914" t="s">
        <v>649</v>
      </c>
      <c r="J234" s="920">
        <v>7.28</v>
      </c>
      <c r="K234" s="1012">
        <f>IF($G234="","",IFERROR(VLOOKUP($G234,SERVIÇOS!$C:$H,6,0),IFERROR(VLOOKUP($G234,CPU!$F:$M,8,0),"")))</f>
        <v>63.11999999999999</v>
      </c>
      <c r="L234" s="855">
        <f t="shared" si="24"/>
        <v>0.2354</v>
      </c>
      <c r="M234" s="825">
        <f t="shared" si="25"/>
        <v>77.98</v>
      </c>
      <c r="N234" s="826">
        <f t="shared" si="26"/>
        <v>567.69000000000005</v>
      </c>
      <c r="O234" s="856">
        <f t="shared" si="27"/>
        <v>2091860.2000000002</v>
      </c>
      <c r="P234" s="857">
        <f t="shared" si="28"/>
        <v>2.6897859348487969E-4</v>
      </c>
      <c r="Q234" s="857">
        <f t="shared" si="29"/>
        <v>0.99114942021701757</v>
      </c>
      <c r="R234" s="858" t="str">
        <f t="shared" si="30"/>
        <v>C</v>
      </c>
      <c r="S234" s="81"/>
      <c r="T234" s="410">
        <f t="shared" si="31"/>
        <v>2110539.7000000007</v>
      </c>
      <c r="U234" s="69"/>
      <c r="V234" s="69"/>
      <c r="W234" s="69"/>
      <c r="X234" s="744"/>
      <c r="Y234" s="744"/>
      <c r="Z234" s="744"/>
      <c r="AA234" s="744"/>
      <c r="AB234" s="744"/>
      <c r="AC234" s="744"/>
      <c r="AD234" s="744"/>
      <c r="AE234" s="744"/>
      <c r="AF234" s="744"/>
      <c r="AG234" s="744"/>
      <c r="AH234" s="744"/>
      <c r="AI234" s="744"/>
      <c r="AJ234" s="744"/>
      <c r="AK234" s="744"/>
      <c r="AL234" s="744"/>
      <c r="AM234" s="744"/>
      <c r="AN234" s="744"/>
      <c r="AO234" s="744"/>
      <c r="AP234" s="744"/>
      <c r="AQ234" s="744"/>
    </row>
    <row r="235" spans="5:43" s="745" customFormat="1" ht="25.5">
      <c r="E235" s="69"/>
      <c r="F235" s="910" t="s">
        <v>2238</v>
      </c>
      <c r="G235" s="911">
        <v>87882</v>
      </c>
      <c r="H235" s="913" t="s">
        <v>89</v>
      </c>
      <c r="I235" s="914" t="s">
        <v>649</v>
      </c>
      <c r="J235" s="920">
        <v>74.2</v>
      </c>
      <c r="K235" s="1012">
        <f>IF($G235="","",IFERROR(VLOOKUP($G235,SERVIÇOS!$C:$H,6,0),IFERROR(VLOOKUP($G235,CPU!$F:$M,8,0),"")))</f>
        <v>6.09</v>
      </c>
      <c r="L235" s="855">
        <f t="shared" si="24"/>
        <v>0.2354</v>
      </c>
      <c r="M235" s="825">
        <f t="shared" si="25"/>
        <v>7.52</v>
      </c>
      <c r="N235" s="826">
        <f t="shared" si="26"/>
        <v>557.98</v>
      </c>
      <c r="O235" s="856">
        <f t="shared" si="27"/>
        <v>2092418.1800000002</v>
      </c>
      <c r="P235" s="857">
        <f t="shared" si="28"/>
        <v>2.6437787453133428E-4</v>
      </c>
      <c r="Q235" s="857">
        <f t="shared" si="29"/>
        <v>0.99141379809154895</v>
      </c>
      <c r="R235" s="858" t="str">
        <f t="shared" si="30"/>
        <v>C</v>
      </c>
      <c r="S235" s="81"/>
      <c r="T235" s="410">
        <f t="shared" si="31"/>
        <v>2110539.7000000007</v>
      </c>
      <c r="U235" s="69"/>
      <c r="V235" s="69"/>
      <c r="W235" s="69"/>
      <c r="X235" s="744"/>
      <c r="Y235" s="744"/>
      <c r="Z235" s="744"/>
      <c r="AA235" s="744"/>
      <c r="AB235" s="744"/>
      <c r="AC235" s="744"/>
      <c r="AD235" s="744"/>
      <c r="AE235" s="744"/>
      <c r="AF235" s="744"/>
      <c r="AG235" s="744"/>
      <c r="AH235" s="744"/>
      <c r="AI235" s="744"/>
      <c r="AJ235" s="744"/>
      <c r="AK235" s="744"/>
      <c r="AL235" s="744"/>
      <c r="AM235" s="744"/>
      <c r="AN235" s="744"/>
      <c r="AO235" s="744"/>
      <c r="AP235" s="744"/>
      <c r="AQ235" s="744"/>
    </row>
    <row r="236" spans="5:43" s="745" customFormat="1" ht="25.5">
      <c r="E236" s="69"/>
      <c r="F236" s="910" t="s">
        <v>2239</v>
      </c>
      <c r="G236" s="911" t="s">
        <v>6946</v>
      </c>
      <c r="H236" s="913" t="s">
        <v>7595</v>
      </c>
      <c r="I236" s="914" t="s">
        <v>646</v>
      </c>
      <c r="J236" s="920">
        <v>6</v>
      </c>
      <c r="K236" s="1012">
        <f>IF($G236="","",IFERROR(VLOOKUP($G236,SERVIÇOS!$C:$H,6,0),IFERROR(VLOOKUP($G236,CPU!$F:$M,8,0),"")))</f>
        <v>74.97999999999999</v>
      </c>
      <c r="L236" s="855">
        <f t="shared" si="24"/>
        <v>0.2354</v>
      </c>
      <c r="M236" s="825">
        <f t="shared" si="25"/>
        <v>92.63</v>
      </c>
      <c r="N236" s="826">
        <f t="shared" si="26"/>
        <v>555.78</v>
      </c>
      <c r="O236" s="856">
        <f t="shared" si="27"/>
        <v>2092973.9600000002</v>
      </c>
      <c r="P236" s="857">
        <f t="shared" si="28"/>
        <v>2.6333548712682343E-4</v>
      </c>
      <c r="Q236" s="857">
        <f t="shared" si="29"/>
        <v>0.99167713357867582</v>
      </c>
      <c r="R236" s="858" t="str">
        <f t="shared" si="30"/>
        <v>C</v>
      </c>
      <c r="S236" s="81"/>
      <c r="T236" s="410">
        <f t="shared" si="31"/>
        <v>2110539.7000000007</v>
      </c>
      <c r="U236" s="69"/>
      <c r="V236" s="69"/>
      <c r="W236" s="69"/>
      <c r="X236" s="744"/>
      <c r="Y236" s="744"/>
      <c r="Z236" s="744"/>
      <c r="AA236" s="744"/>
      <c r="AB236" s="744"/>
      <c r="AC236" s="744"/>
      <c r="AD236" s="744"/>
      <c r="AE236" s="744"/>
      <c r="AF236" s="744"/>
      <c r="AG236" s="744"/>
      <c r="AH236" s="744"/>
      <c r="AI236" s="744"/>
      <c r="AJ236" s="744"/>
      <c r="AK236" s="744"/>
      <c r="AL236" s="744"/>
      <c r="AM236" s="744"/>
      <c r="AN236" s="744"/>
      <c r="AO236" s="744"/>
      <c r="AP236" s="744"/>
      <c r="AQ236" s="744"/>
    </row>
    <row r="237" spans="5:43" s="745" customFormat="1">
      <c r="E237" s="69"/>
      <c r="F237" s="910" t="s">
        <v>2239</v>
      </c>
      <c r="G237" s="911" t="s">
        <v>2940</v>
      </c>
      <c r="H237" s="913" t="s">
        <v>3047</v>
      </c>
      <c r="I237" s="914" t="s">
        <v>646</v>
      </c>
      <c r="J237" s="920">
        <v>8</v>
      </c>
      <c r="K237" s="1012">
        <f>IF($G237="","",IFERROR(VLOOKUP($G237,SERVIÇOS!$C:$H,6,0),IFERROR(VLOOKUP($G237,CPU!$F:$M,8,0),"")))</f>
        <v>56.069999999999993</v>
      </c>
      <c r="L237" s="855">
        <f t="shared" si="24"/>
        <v>0.2354</v>
      </c>
      <c r="M237" s="825">
        <f t="shared" si="25"/>
        <v>69.27</v>
      </c>
      <c r="N237" s="826">
        <f t="shared" si="26"/>
        <v>554.16</v>
      </c>
      <c r="O237" s="856">
        <f t="shared" si="27"/>
        <v>2093528.12</v>
      </c>
      <c r="P237" s="857">
        <f t="shared" si="28"/>
        <v>2.6256791094713821E-4</v>
      </c>
      <c r="Q237" s="857">
        <f t="shared" si="29"/>
        <v>0.99193970148962296</v>
      </c>
      <c r="R237" s="858" t="str">
        <f t="shared" si="30"/>
        <v>C</v>
      </c>
      <c r="S237" s="81"/>
      <c r="T237" s="410">
        <f t="shared" si="31"/>
        <v>2110539.7000000007</v>
      </c>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row>
    <row r="238" spans="5:43" s="745" customFormat="1" ht="25.5">
      <c r="E238" s="69"/>
      <c r="F238" s="910" t="s">
        <v>2238</v>
      </c>
      <c r="G238" s="911">
        <v>89865</v>
      </c>
      <c r="H238" s="913" t="s">
        <v>1357</v>
      </c>
      <c r="I238" s="914" t="s">
        <v>648</v>
      </c>
      <c r="J238" s="920">
        <v>28.6</v>
      </c>
      <c r="K238" s="1012">
        <f>IF($G238="","",IFERROR(VLOOKUP($G238,SERVIÇOS!$C:$H,6,0),IFERROR(VLOOKUP($G238,CPU!$F:$M,8,0),"")))</f>
        <v>15.57</v>
      </c>
      <c r="L238" s="855">
        <f t="shared" si="24"/>
        <v>0.2354</v>
      </c>
      <c r="M238" s="825">
        <f t="shared" si="25"/>
        <v>19.239999999999998</v>
      </c>
      <c r="N238" s="826">
        <f t="shared" si="26"/>
        <v>550.26</v>
      </c>
      <c r="O238" s="856">
        <f t="shared" si="27"/>
        <v>2094078.3800000001</v>
      </c>
      <c r="P238" s="857">
        <f t="shared" si="28"/>
        <v>2.6072004236641456E-4</v>
      </c>
      <c r="Q238" s="857">
        <f t="shared" si="29"/>
        <v>0.9922004215319894</v>
      </c>
      <c r="R238" s="858" t="str">
        <f t="shared" si="30"/>
        <v>C</v>
      </c>
      <c r="S238" s="81"/>
      <c r="T238" s="410">
        <f t="shared" si="31"/>
        <v>2110539.7000000007</v>
      </c>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row>
    <row r="239" spans="5:43" s="745" customFormat="1">
      <c r="E239" s="69"/>
      <c r="F239" s="910" t="s">
        <v>2239</v>
      </c>
      <c r="G239" s="911" t="s">
        <v>8960</v>
      </c>
      <c r="H239" s="913" t="s">
        <v>8959</v>
      </c>
      <c r="I239" s="914" t="s">
        <v>646</v>
      </c>
      <c r="J239" s="920">
        <v>1</v>
      </c>
      <c r="K239" s="1012">
        <f>IF($G239="","",IFERROR(VLOOKUP($G239,SERVIÇOS!$C:$H,6,0),IFERROR(VLOOKUP($G239,CPU!$F:$M,8,0),"")))</f>
        <v>442.05000000000007</v>
      </c>
      <c r="L239" s="855">
        <f t="shared" si="24"/>
        <v>0.2354</v>
      </c>
      <c r="M239" s="825">
        <f t="shared" si="25"/>
        <v>546.11</v>
      </c>
      <c r="N239" s="826">
        <f t="shared" si="26"/>
        <v>546.11</v>
      </c>
      <c r="O239" s="856">
        <f t="shared" si="27"/>
        <v>2094624.4900000002</v>
      </c>
      <c r="P239" s="857">
        <f t="shared" si="28"/>
        <v>2.5875372067154189E-4</v>
      </c>
      <c r="Q239" s="857">
        <f t="shared" si="29"/>
        <v>0.99245917525266092</v>
      </c>
      <c r="R239" s="858" t="str">
        <f t="shared" si="30"/>
        <v>C</v>
      </c>
      <c r="S239" s="81"/>
      <c r="T239" s="410">
        <f t="shared" si="31"/>
        <v>2110539.7000000007</v>
      </c>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row>
    <row r="240" spans="5:43" s="745" customFormat="1">
      <c r="E240" s="69"/>
      <c r="F240" s="910" t="s">
        <v>2239</v>
      </c>
      <c r="G240" s="911" t="s">
        <v>8613</v>
      </c>
      <c r="H240" s="913" t="s">
        <v>8614</v>
      </c>
      <c r="I240" s="914" t="s">
        <v>648</v>
      </c>
      <c r="J240" s="919">
        <v>3.46</v>
      </c>
      <c r="K240" s="1012">
        <f>IF($G240="","",IFERROR(VLOOKUP($G240,SERVIÇOS!$C:$H,6,0),IFERROR(VLOOKUP($G240,CPU!$F:$M,8,0),"")))</f>
        <v>125.86999999999999</v>
      </c>
      <c r="L240" s="855">
        <f t="shared" si="24"/>
        <v>0.2354</v>
      </c>
      <c r="M240" s="825">
        <f t="shared" si="25"/>
        <v>155.5</v>
      </c>
      <c r="N240" s="826">
        <f t="shared" si="26"/>
        <v>538.03</v>
      </c>
      <c r="O240" s="856">
        <f t="shared" si="27"/>
        <v>2095162.5200000003</v>
      </c>
      <c r="P240" s="857">
        <f t="shared" si="28"/>
        <v>2.5492531602224768E-4</v>
      </c>
      <c r="Q240" s="857">
        <f t="shared" si="29"/>
        <v>0.99271410056868314</v>
      </c>
      <c r="R240" s="858" t="str">
        <f t="shared" si="30"/>
        <v>C</v>
      </c>
      <c r="S240" s="81"/>
      <c r="T240" s="410">
        <f t="shared" si="31"/>
        <v>2110539.7000000007</v>
      </c>
      <c r="U240" s="69"/>
      <c r="V240" s="69"/>
      <c r="W240" s="69"/>
      <c r="X240" s="744"/>
      <c r="Y240" s="744"/>
      <c r="Z240" s="744"/>
      <c r="AA240" s="744"/>
      <c r="AB240" s="744"/>
      <c r="AC240" s="744"/>
      <c r="AD240" s="744"/>
      <c r="AE240" s="744"/>
      <c r="AF240" s="744"/>
      <c r="AG240" s="744"/>
      <c r="AH240" s="744"/>
      <c r="AI240" s="744"/>
      <c r="AJ240" s="744"/>
      <c r="AK240" s="744"/>
      <c r="AL240" s="744"/>
      <c r="AM240" s="744"/>
      <c r="AN240" s="744"/>
      <c r="AO240" s="744"/>
      <c r="AP240" s="744"/>
      <c r="AQ240" s="744"/>
    </row>
    <row r="241" spans="5:43" s="745" customFormat="1" ht="25.5">
      <c r="E241" s="69"/>
      <c r="F241" s="910" t="s">
        <v>2238</v>
      </c>
      <c r="G241" s="911">
        <v>95547</v>
      </c>
      <c r="H241" s="913" t="s">
        <v>4307</v>
      </c>
      <c r="I241" s="914" t="s">
        <v>646</v>
      </c>
      <c r="J241" s="920">
        <v>8</v>
      </c>
      <c r="K241" s="1012">
        <f>IF($G241="","",IFERROR(VLOOKUP($G241,SERVIÇOS!$C:$H,6,0),IFERROR(VLOOKUP($G241,CPU!$F:$M,8,0),"")))</f>
        <v>54.35</v>
      </c>
      <c r="L241" s="855">
        <f t="shared" si="24"/>
        <v>0.2354</v>
      </c>
      <c r="M241" s="825">
        <f t="shared" si="25"/>
        <v>67.14</v>
      </c>
      <c r="N241" s="826">
        <f t="shared" si="26"/>
        <v>537.12</v>
      </c>
      <c r="O241" s="856">
        <f t="shared" si="27"/>
        <v>2095699.6400000004</v>
      </c>
      <c r="P241" s="857">
        <f t="shared" si="28"/>
        <v>2.5449414668674551E-4</v>
      </c>
      <c r="Q241" s="857">
        <f t="shared" si="29"/>
        <v>0.99296859471536991</v>
      </c>
      <c r="R241" s="858" t="str">
        <f t="shared" si="30"/>
        <v>C</v>
      </c>
      <c r="S241" s="81"/>
      <c r="T241" s="410">
        <f t="shared" si="31"/>
        <v>2110539.7000000007</v>
      </c>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row>
    <row r="242" spans="5:43" s="745" customFormat="1" ht="25.5">
      <c r="E242" s="69"/>
      <c r="F242" s="910" t="s">
        <v>2238</v>
      </c>
      <c r="G242" s="911">
        <v>100721</v>
      </c>
      <c r="H242" s="913" t="s">
        <v>5808</v>
      </c>
      <c r="I242" s="914" t="s">
        <v>649</v>
      </c>
      <c r="J242" s="920">
        <v>16.8</v>
      </c>
      <c r="K242" s="1012">
        <f>IF($G242="","",IFERROR(VLOOKUP($G242,SERVIÇOS!$C:$H,6,0),IFERROR(VLOOKUP($G242,CPU!$F:$M,8,0),"")))</f>
        <v>25.79</v>
      </c>
      <c r="L242" s="855">
        <f t="shared" si="24"/>
        <v>0.2354</v>
      </c>
      <c r="M242" s="825">
        <f t="shared" si="25"/>
        <v>31.86</v>
      </c>
      <c r="N242" s="826">
        <f t="shared" si="26"/>
        <v>535.25</v>
      </c>
      <c r="O242" s="856">
        <f t="shared" si="27"/>
        <v>2096234.8900000004</v>
      </c>
      <c r="P242" s="857">
        <f t="shared" si="28"/>
        <v>2.5360811739291131E-4</v>
      </c>
      <c r="Q242" s="857">
        <f t="shared" si="29"/>
        <v>0.99322220283276286</v>
      </c>
      <c r="R242" s="858" t="str">
        <f t="shared" si="30"/>
        <v>C</v>
      </c>
      <c r="S242" s="81"/>
      <c r="T242" s="410">
        <f t="shared" si="31"/>
        <v>2110539.7000000007</v>
      </c>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row>
    <row r="243" spans="5:43" s="745" customFormat="1" ht="38.25">
      <c r="E243" s="69"/>
      <c r="F243" s="910" t="s">
        <v>2238</v>
      </c>
      <c r="G243" s="911">
        <v>100741</v>
      </c>
      <c r="H243" s="913" t="s">
        <v>5816</v>
      </c>
      <c r="I243" s="914" t="s">
        <v>649</v>
      </c>
      <c r="J243" s="920">
        <v>16.8</v>
      </c>
      <c r="K243" s="1012">
        <f>IF($G243="","",IFERROR(VLOOKUP($G243,SERVIÇOS!$C:$H,6,0),IFERROR(VLOOKUP($G243,CPU!$F:$M,8,0),"")))</f>
        <v>25.45</v>
      </c>
      <c r="L243" s="855">
        <f t="shared" si="24"/>
        <v>0.2354</v>
      </c>
      <c r="M243" s="825">
        <f t="shared" si="25"/>
        <v>31.44</v>
      </c>
      <c r="N243" s="826">
        <f t="shared" si="26"/>
        <v>528.19000000000005</v>
      </c>
      <c r="O243" s="856">
        <f t="shared" si="27"/>
        <v>2096763.0800000003</v>
      </c>
      <c r="P243" s="857">
        <f t="shared" si="28"/>
        <v>2.5026300144934485E-4</v>
      </c>
      <c r="Q243" s="857">
        <f t="shared" si="29"/>
        <v>0.99347246583421223</v>
      </c>
      <c r="R243" s="858" t="str">
        <f t="shared" si="30"/>
        <v>C</v>
      </c>
      <c r="S243" s="81"/>
      <c r="T243" s="410">
        <f t="shared" si="31"/>
        <v>2110539.7000000007</v>
      </c>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row>
    <row r="244" spans="5:43" s="745" customFormat="1" ht="25.5">
      <c r="E244" s="69"/>
      <c r="F244" s="910" t="s">
        <v>2238</v>
      </c>
      <c r="G244" s="911">
        <v>102501</v>
      </c>
      <c r="H244" s="913" t="s">
        <v>6201</v>
      </c>
      <c r="I244" s="914" t="s">
        <v>649</v>
      </c>
      <c r="J244" s="920">
        <v>16.559999999999999</v>
      </c>
      <c r="K244" s="1012">
        <f>IF($G244="","",IFERROR(VLOOKUP($G244,SERVIÇOS!$C:$H,6,0),IFERROR(VLOOKUP($G244,CPU!$F:$M,8,0),"")))</f>
        <v>25.68</v>
      </c>
      <c r="L244" s="855">
        <f t="shared" si="24"/>
        <v>0.2354</v>
      </c>
      <c r="M244" s="825">
        <f t="shared" si="25"/>
        <v>31.73</v>
      </c>
      <c r="N244" s="826">
        <f t="shared" si="26"/>
        <v>525.45000000000005</v>
      </c>
      <c r="O244" s="856">
        <f t="shared" si="27"/>
        <v>2097288.5300000003</v>
      </c>
      <c r="P244" s="857">
        <f t="shared" si="28"/>
        <v>2.4896475531827235E-4</v>
      </c>
      <c r="Q244" s="857">
        <f t="shared" si="29"/>
        <v>0.99372143058953055</v>
      </c>
      <c r="R244" s="858" t="str">
        <f t="shared" si="30"/>
        <v>C</v>
      </c>
      <c r="S244" s="81"/>
      <c r="T244" s="410">
        <f t="shared" si="31"/>
        <v>2110539.7000000007</v>
      </c>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row>
    <row r="245" spans="5:43" s="745" customFormat="1" ht="25.5">
      <c r="E245" s="69"/>
      <c r="F245" s="910" t="s">
        <v>2239</v>
      </c>
      <c r="G245" s="911" t="s">
        <v>6812</v>
      </c>
      <c r="H245" s="913" t="s">
        <v>6957</v>
      </c>
      <c r="I245" s="914" t="s">
        <v>648</v>
      </c>
      <c r="J245" s="919">
        <v>25</v>
      </c>
      <c r="K245" s="1012">
        <f>IF($G245="","",IFERROR(VLOOKUP($G245,SERVIÇOS!$C:$H,6,0),IFERROR(VLOOKUP($G245,CPU!$F:$M,8,0),"")))</f>
        <v>16.669999999999998</v>
      </c>
      <c r="L245" s="855">
        <f t="shared" si="24"/>
        <v>0.2354</v>
      </c>
      <c r="M245" s="825">
        <f t="shared" si="25"/>
        <v>20.59</v>
      </c>
      <c r="N245" s="826">
        <f t="shared" si="26"/>
        <v>514.75</v>
      </c>
      <c r="O245" s="856">
        <f t="shared" si="27"/>
        <v>2097803.2800000003</v>
      </c>
      <c r="P245" s="857">
        <f t="shared" si="28"/>
        <v>2.4389496203269706E-4</v>
      </c>
      <c r="Q245" s="857">
        <f t="shared" si="29"/>
        <v>0.99396532555156325</v>
      </c>
      <c r="R245" s="858" t="str">
        <f t="shared" si="30"/>
        <v>C</v>
      </c>
      <c r="S245" s="81"/>
      <c r="T245" s="410">
        <f t="shared" si="31"/>
        <v>2110539.7000000007</v>
      </c>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row>
    <row r="246" spans="5:43" s="745" customFormat="1" ht="25.5">
      <c r="E246" s="69"/>
      <c r="F246" s="910" t="s">
        <v>2238</v>
      </c>
      <c r="G246" s="911">
        <v>97622</v>
      </c>
      <c r="H246" s="913" t="s">
        <v>2821</v>
      </c>
      <c r="I246" s="914" t="s">
        <v>644</v>
      </c>
      <c r="J246" s="920">
        <v>6.62</v>
      </c>
      <c r="K246" s="1012">
        <f>IF($G246="","",IFERROR(VLOOKUP($G246,SERVIÇOS!$C:$H,6,0),IFERROR(VLOOKUP($G246,CPU!$F:$M,8,0),"")))</f>
        <v>62.09</v>
      </c>
      <c r="L246" s="855">
        <f t="shared" si="24"/>
        <v>0.2354</v>
      </c>
      <c r="M246" s="825">
        <f t="shared" si="25"/>
        <v>76.709999999999994</v>
      </c>
      <c r="N246" s="826">
        <f t="shared" si="26"/>
        <v>507.82</v>
      </c>
      <c r="O246" s="856">
        <f t="shared" si="27"/>
        <v>2098311.1</v>
      </c>
      <c r="P246" s="857">
        <f t="shared" si="28"/>
        <v>2.4061144170848804E-4</v>
      </c>
      <c r="Q246" s="857">
        <f t="shared" si="29"/>
        <v>0.99420593699327175</v>
      </c>
      <c r="R246" s="858" t="str">
        <f t="shared" si="30"/>
        <v>C</v>
      </c>
      <c r="S246" s="81"/>
      <c r="T246" s="410">
        <f t="shared" si="31"/>
        <v>2110539.7000000007</v>
      </c>
      <c r="U246" s="69"/>
      <c r="V246" s="69"/>
      <c r="W246" s="69"/>
      <c r="X246" s="744"/>
      <c r="Y246" s="744"/>
      <c r="Z246" s="744"/>
      <c r="AA246" s="744"/>
      <c r="AB246" s="744"/>
      <c r="AC246" s="744"/>
      <c r="AD246" s="744"/>
      <c r="AE246" s="744"/>
      <c r="AF246" s="744"/>
      <c r="AG246" s="744"/>
      <c r="AH246" s="744"/>
      <c r="AI246" s="744"/>
      <c r="AJ246" s="744"/>
      <c r="AK246" s="744"/>
      <c r="AL246" s="744"/>
      <c r="AM246" s="744"/>
      <c r="AN246" s="744"/>
      <c r="AO246" s="744"/>
      <c r="AP246" s="744"/>
      <c r="AQ246" s="744"/>
    </row>
    <row r="247" spans="5:43" s="745" customFormat="1">
      <c r="E247" s="69"/>
      <c r="F247" s="910" t="s">
        <v>2239</v>
      </c>
      <c r="G247" s="911" t="s">
        <v>8615</v>
      </c>
      <c r="H247" s="913" t="s">
        <v>8616</v>
      </c>
      <c r="I247" s="914" t="s">
        <v>648</v>
      </c>
      <c r="J247" s="920">
        <v>2.82</v>
      </c>
      <c r="K247" s="1012">
        <f>IF($G247="","",IFERROR(VLOOKUP($G247,SERVIÇOS!$C:$H,6,0),IFERROR(VLOOKUP($G247,CPU!$F:$M,8,0),"")))</f>
        <v>142.48000000000002</v>
      </c>
      <c r="L247" s="855">
        <f t="shared" si="24"/>
        <v>0.2354</v>
      </c>
      <c r="M247" s="825">
        <f t="shared" si="25"/>
        <v>176.02</v>
      </c>
      <c r="N247" s="826">
        <f t="shared" si="26"/>
        <v>496.38</v>
      </c>
      <c r="O247" s="856">
        <f t="shared" si="27"/>
        <v>2098807.48</v>
      </c>
      <c r="P247" s="857">
        <f t="shared" si="28"/>
        <v>2.3519102720503189E-4</v>
      </c>
      <c r="Q247" s="857">
        <f t="shared" si="29"/>
        <v>0.99444112802047679</v>
      </c>
      <c r="R247" s="858" t="str">
        <f t="shared" si="30"/>
        <v>C</v>
      </c>
      <c r="S247" s="81"/>
      <c r="T247" s="410">
        <f t="shared" si="31"/>
        <v>2110539.7000000007</v>
      </c>
      <c r="U247" s="69"/>
      <c r="V247" s="69"/>
      <c r="W247" s="69"/>
      <c r="X247" s="744"/>
      <c r="Y247" s="744"/>
      <c r="Z247" s="744"/>
      <c r="AA247" s="744"/>
      <c r="AB247" s="744"/>
      <c r="AC247" s="744"/>
      <c r="AD247" s="744"/>
      <c r="AE247" s="744"/>
      <c r="AF247" s="744"/>
      <c r="AG247" s="744"/>
      <c r="AH247" s="744"/>
      <c r="AI247" s="744"/>
      <c r="AJ247" s="744"/>
      <c r="AK247" s="744"/>
      <c r="AL247" s="744"/>
      <c r="AM247" s="744"/>
      <c r="AN247" s="744"/>
      <c r="AO247" s="744"/>
      <c r="AP247" s="744"/>
      <c r="AQ247" s="744"/>
    </row>
    <row r="248" spans="5:43" s="745" customFormat="1">
      <c r="E248" s="69"/>
      <c r="F248" s="910" t="s">
        <v>2238</v>
      </c>
      <c r="G248" s="911">
        <v>100849</v>
      </c>
      <c r="H248" s="913" t="s">
        <v>4309</v>
      </c>
      <c r="I248" s="914" t="s">
        <v>646</v>
      </c>
      <c r="J248" s="920">
        <v>9</v>
      </c>
      <c r="K248" s="1012">
        <f>IF($G248="","",IFERROR(VLOOKUP($G248,SERVIÇOS!$C:$H,6,0),IFERROR(VLOOKUP($G248,CPU!$F:$M,8,0),"")))</f>
        <v>43.8</v>
      </c>
      <c r="L248" s="855">
        <f t="shared" si="24"/>
        <v>0.2354</v>
      </c>
      <c r="M248" s="825">
        <f t="shared" si="25"/>
        <v>54.11</v>
      </c>
      <c r="N248" s="826">
        <f t="shared" si="26"/>
        <v>486.99</v>
      </c>
      <c r="O248" s="856">
        <f t="shared" si="27"/>
        <v>2099294.4700000002</v>
      </c>
      <c r="P248" s="857">
        <f t="shared" si="28"/>
        <v>2.3074192823759716E-4</v>
      </c>
      <c r="Q248" s="857">
        <f t="shared" si="29"/>
        <v>0.99467186994871437</v>
      </c>
      <c r="R248" s="858" t="str">
        <f t="shared" si="30"/>
        <v>C</v>
      </c>
      <c r="S248" s="81"/>
      <c r="T248" s="410">
        <f t="shared" si="31"/>
        <v>2110539.7000000007</v>
      </c>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row>
    <row r="249" spans="5:43" s="745" customFormat="1" ht="25.5">
      <c r="E249" s="69"/>
      <c r="F249" s="910" t="s">
        <v>2238</v>
      </c>
      <c r="G249" s="911">
        <v>93009</v>
      </c>
      <c r="H249" s="913" t="s">
        <v>7096</v>
      </c>
      <c r="I249" s="914" t="s">
        <v>648</v>
      </c>
      <c r="J249" s="920">
        <v>12</v>
      </c>
      <c r="K249" s="1012">
        <f>IF($G249="","",IFERROR(VLOOKUP($G249,SERVIÇOS!$C:$H,6,0),IFERROR(VLOOKUP($G249,CPU!$F:$M,8,0),"")))</f>
        <v>31.59</v>
      </c>
      <c r="L249" s="855">
        <f t="shared" si="24"/>
        <v>0.2354</v>
      </c>
      <c r="M249" s="825">
        <f t="shared" si="25"/>
        <v>39.03</v>
      </c>
      <c r="N249" s="826">
        <f t="shared" si="26"/>
        <v>468.36</v>
      </c>
      <c r="O249" s="856">
        <f t="shared" si="27"/>
        <v>2099762.83</v>
      </c>
      <c r="P249" s="857">
        <f t="shared" si="28"/>
        <v>2.219148021712171E-4</v>
      </c>
      <c r="Q249" s="857">
        <f t="shared" si="29"/>
        <v>0.99489378475088563</v>
      </c>
      <c r="R249" s="858" t="str">
        <f t="shared" si="30"/>
        <v>C</v>
      </c>
      <c r="S249" s="81"/>
      <c r="T249" s="410">
        <f t="shared" si="31"/>
        <v>2110539.7000000007</v>
      </c>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row>
    <row r="250" spans="5:43" s="745" customFormat="1" ht="25.5">
      <c r="E250" s="69"/>
      <c r="F250" s="910" t="s">
        <v>2239</v>
      </c>
      <c r="G250" s="911" t="s">
        <v>8445</v>
      </c>
      <c r="H250" s="913" t="s">
        <v>8447</v>
      </c>
      <c r="I250" s="914" t="s">
        <v>646</v>
      </c>
      <c r="J250" s="920">
        <v>1</v>
      </c>
      <c r="K250" s="1012">
        <f>IF($G250="","",IFERROR(VLOOKUP($G250,SERVIÇOS!$C:$H,6,0),IFERROR(VLOOKUP($G250,CPU!$F:$M,8,0),"")))</f>
        <v>347.68</v>
      </c>
      <c r="L250" s="855">
        <f t="shared" si="24"/>
        <v>0.2354</v>
      </c>
      <c r="M250" s="825">
        <f t="shared" si="25"/>
        <v>429.52</v>
      </c>
      <c r="N250" s="826">
        <f t="shared" si="26"/>
        <v>429.52</v>
      </c>
      <c r="O250" s="856">
        <f t="shared" si="27"/>
        <v>2100192.35</v>
      </c>
      <c r="P250" s="857">
        <f t="shared" si="28"/>
        <v>2.0351192635703554E-4</v>
      </c>
      <c r="Q250" s="857">
        <f t="shared" si="29"/>
        <v>0.99509729667724267</v>
      </c>
      <c r="R250" s="858" t="str">
        <f t="shared" si="30"/>
        <v>C</v>
      </c>
      <c r="S250" s="81"/>
      <c r="T250" s="410">
        <f t="shared" si="31"/>
        <v>2110539.7000000007</v>
      </c>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row>
    <row r="251" spans="5:43" s="745" customFormat="1" ht="25.5">
      <c r="E251" s="69"/>
      <c r="F251" s="910" t="s">
        <v>2238</v>
      </c>
      <c r="G251" s="911">
        <v>98111</v>
      </c>
      <c r="H251" s="913" t="s">
        <v>5704</v>
      </c>
      <c r="I251" s="914" t="s">
        <v>646</v>
      </c>
      <c r="J251" s="920">
        <v>7</v>
      </c>
      <c r="K251" s="1012">
        <f>IF($G251="","",IFERROR(VLOOKUP($G251,SERVIÇOS!$C:$H,6,0),IFERROR(VLOOKUP($G251,CPU!$F:$M,8,0),"")))</f>
        <v>48.87</v>
      </c>
      <c r="L251" s="855">
        <f t="shared" si="24"/>
        <v>0.2354</v>
      </c>
      <c r="M251" s="825">
        <f t="shared" si="25"/>
        <v>60.37</v>
      </c>
      <c r="N251" s="826">
        <f t="shared" si="26"/>
        <v>422.59</v>
      </c>
      <c r="O251" s="856">
        <f t="shared" si="27"/>
        <v>2100614.94</v>
      </c>
      <c r="P251" s="857">
        <f t="shared" si="28"/>
        <v>2.002284060328265E-4</v>
      </c>
      <c r="Q251" s="857">
        <f t="shared" si="29"/>
        <v>0.99529752508327551</v>
      </c>
      <c r="R251" s="858" t="str">
        <f t="shared" si="30"/>
        <v>C</v>
      </c>
      <c r="S251" s="81"/>
      <c r="T251" s="410">
        <f t="shared" si="31"/>
        <v>2110539.7000000007</v>
      </c>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row>
    <row r="252" spans="5:43" s="745" customFormat="1" ht="38.25">
      <c r="E252" s="69"/>
      <c r="F252" s="910" t="s">
        <v>2239</v>
      </c>
      <c r="G252" s="911" t="s">
        <v>8511</v>
      </c>
      <c r="H252" s="913" t="s">
        <v>8516</v>
      </c>
      <c r="I252" s="914" t="s">
        <v>646</v>
      </c>
      <c r="J252" s="920">
        <v>1</v>
      </c>
      <c r="K252" s="1012">
        <f>IF($G252="","",IFERROR(VLOOKUP($G252,SERVIÇOS!$C:$H,6,0),IFERROR(VLOOKUP($G252,CPU!$F:$M,8,0),"")))</f>
        <v>332.59</v>
      </c>
      <c r="L252" s="855">
        <f t="shared" si="24"/>
        <v>0.2354</v>
      </c>
      <c r="M252" s="825">
        <f t="shared" si="25"/>
        <v>410.88</v>
      </c>
      <c r="N252" s="826">
        <f t="shared" si="26"/>
        <v>410.88</v>
      </c>
      <c r="O252" s="856">
        <f t="shared" si="27"/>
        <v>2101025.8199999998</v>
      </c>
      <c r="P252" s="857">
        <f t="shared" si="28"/>
        <v>1.946800621660895E-4</v>
      </c>
      <c r="Q252" s="857">
        <f t="shared" si="29"/>
        <v>0.99549220514544157</v>
      </c>
      <c r="R252" s="858" t="str">
        <f t="shared" si="30"/>
        <v>C</v>
      </c>
      <c r="S252" s="81"/>
      <c r="T252" s="410">
        <f t="shared" si="31"/>
        <v>2110539.7000000007</v>
      </c>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row>
    <row r="253" spans="5:43" s="745" customFormat="1" ht="25.5">
      <c r="E253" s="69"/>
      <c r="F253" s="910" t="s">
        <v>2238</v>
      </c>
      <c r="G253" s="911">
        <v>102500</v>
      </c>
      <c r="H253" s="913" t="s">
        <v>6200</v>
      </c>
      <c r="I253" s="914" t="s">
        <v>648</v>
      </c>
      <c r="J253" s="920">
        <v>69</v>
      </c>
      <c r="K253" s="1012">
        <f>IF($G253="","",IFERROR(VLOOKUP($G253,SERVIÇOS!$C:$H,6,0),IFERROR(VLOOKUP($G253,CPU!$F:$M,8,0),"")))</f>
        <v>4.53</v>
      </c>
      <c r="L253" s="855">
        <f t="shared" si="24"/>
        <v>0.2354</v>
      </c>
      <c r="M253" s="825">
        <f t="shared" si="25"/>
        <v>5.6</v>
      </c>
      <c r="N253" s="826">
        <f t="shared" si="26"/>
        <v>386.4</v>
      </c>
      <c r="O253" s="856">
        <f t="shared" si="27"/>
        <v>2101412.2199999997</v>
      </c>
      <c r="P253" s="857">
        <f t="shared" si="28"/>
        <v>1.8308113322862388E-4</v>
      </c>
      <c r="Q253" s="857">
        <f t="shared" si="29"/>
        <v>0.99567528627867019</v>
      </c>
      <c r="R253" s="858" t="str">
        <f t="shared" si="30"/>
        <v>C</v>
      </c>
      <c r="S253" s="81"/>
      <c r="T253" s="410">
        <f t="shared" si="31"/>
        <v>2110539.7000000007</v>
      </c>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row>
    <row r="254" spans="5:43" s="745" customFormat="1" ht="25.5">
      <c r="E254" s="69"/>
      <c r="F254" s="910" t="s">
        <v>2239</v>
      </c>
      <c r="G254" s="911" t="s">
        <v>8530</v>
      </c>
      <c r="H254" s="913" t="s">
        <v>8531</v>
      </c>
      <c r="I254" s="914" t="s">
        <v>646</v>
      </c>
      <c r="J254" s="920">
        <v>5</v>
      </c>
      <c r="K254" s="1012">
        <f>IF($G254="","",IFERROR(VLOOKUP($G254,SERVIÇOS!$C:$H,6,0),IFERROR(VLOOKUP($G254,CPU!$F:$M,8,0),"")))</f>
        <v>59.36</v>
      </c>
      <c r="L254" s="855">
        <f t="shared" si="24"/>
        <v>0.2354</v>
      </c>
      <c r="M254" s="825">
        <f t="shared" si="25"/>
        <v>73.33</v>
      </c>
      <c r="N254" s="826">
        <f t="shared" si="26"/>
        <v>366.65</v>
      </c>
      <c r="O254" s="856">
        <f t="shared" si="27"/>
        <v>2101778.8699999996</v>
      </c>
      <c r="P254" s="857">
        <f t="shared" si="28"/>
        <v>1.7372333721085646E-4</v>
      </c>
      <c r="Q254" s="857">
        <f t="shared" si="29"/>
        <v>0.99584900961588108</v>
      </c>
      <c r="R254" s="858" t="str">
        <f t="shared" si="30"/>
        <v>C</v>
      </c>
      <c r="S254" s="81"/>
      <c r="T254" s="410">
        <f t="shared" si="31"/>
        <v>2110539.7000000007</v>
      </c>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row>
    <row r="255" spans="5:43" s="745" customFormat="1">
      <c r="E255" s="69"/>
      <c r="F255" s="910" t="s">
        <v>2239</v>
      </c>
      <c r="G255" s="911" t="s">
        <v>6799</v>
      </c>
      <c r="H255" s="913" t="s">
        <v>8396</v>
      </c>
      <c r="I255" s="914" t="s">
        <v>646</v>
      </c>
      <c r="J255" s="920">
        <v>12</v>
      </c>
      <c r="K255" s="1012">
        <f>IF($G255="","",IFERROR(VLOOKUP($G255,SERVIÇOS!$C:$H,6,0),IFERROR(VLOOKUP($G255,CPU!$F:$M,8,0),"")))</f>
        <v>23.059999999999995</v>
      </c>
      <c r="L255" s="855">
        <f t="shared" si="24"/>
        <v>0.2354</v>
      </c>
      <c r="M255" s="825">
        <f t="shared" si="25"/>
        <v>28.49</v>
      </c>
      <c r="N255" s="826">
        <f t="shared" si="26"/>
        <v>341.88</v>
      </c>
      <c r="O255" s="856">
        <f t="shared" si="27"/>
        <v>2102120.7499999995</v>
      </c>
      <c r="P255" s="857">
        <f t="shared" si="28"/>
        <v>1.6198700266097809E-4</v>
      </c>
      <c r="Q255" s="857">
        <f t="shared" si="29"/>
        <v>0.99601099661854209</v>
      </c>
      <c r="R255" s="858" t="str">
        <f t="shared" si="30"/>
        <v>C</v>
      </c>
      <c r="S255" s="81"/>
      <c r="T255" s="410">
        <f t="shared" si="31"/>
        <v>2110539.7000000007</v>
      </c>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row>
    <row r="256" spans="5:43" s="745" customFormat="1" ht="25.5">
      <c r="E256" s="69"/>
      <c r="F256" s="910" t="s">
        <v>2239</v>
      </c>
      <c r="G256" s="911" t="s">
        <v>8879</v>
      </c>
      <c r="H256" s="913" t="s">
        <v>8878</v>
      </c>
      <c r="I256" s="914" t="s">
        <v>646</v>
      </c>
      <c r="J256" s="920">
        <v>12</v>
      </c>
      <c r="K256" s="1012">
        <f>IF($G256="","",IFERROR(VLOOKUP($G256,SERVIÇOS!$C:$H,6,0),IFERROR(VLOOKUP($G256,CPU!$F:$M,8,0),"")))</f>
        <v>22.87</v>
      </c>
      <c r="L256" s="855">
        <f t="shared" si="24"/>
        <v>0.2354</v>
      </c>
      <c r="M256" s="825">
        <f t="shared" si="25"/>
        <v>28.25</v>
      </c>
      <c r="N256" s="826">
        <f t="shared" si="26"/>
        <v>339</v>
      </c>
      <c r="O256" s="856">
        <f t="shared" si="27"/>
        <v>2102459.7499999995</v>
      </c>
      <c r="P256" s="857">
        <f t="shared" si="28"/>
        <v>1.6062242278598214E-4</v>
      </c>
      <c r="Q256" s="857">
        <f t="shared" si="29"/>
        <v>0.99617161904132812</v>
      </c>
      <c r="R256" s="858" t="str">
        <f t="shared" si="30"/>
        <v>C</v>
      </c>
      <c r="S256" s="81"/>
      <c r="T256" s="410">
        <f t="shared" si="31"/>
        <v>2110539.7000000007</v>
      </c>
      <c r="U256" s="69"/>
      <c r="V256" s="69"/>
      <c r="W256" s="69"/>
      <c r="X256" s="744"/>
      <c r="Y256" s="744"/>
      <c r="Z256" s="744"/>
      <c r="AA256" s="744"/>
      <c r="AB256" s="744"/>
      <c r="AC256" s="744"/>
      <c r="AD256" s="744"/>
      <c r="AE256" s="744"/>
      <c r="AF256" s="744"/>
      <c r="AG256" s="744"/>
      <c r="AH256" s="744"/>
      <c r="AI256" s="744"/>
      <c r="AJ256" s="744"/>
      <c r="AK256" s="744"/>
      <c r="AL256" s="744"/>
      <c r="AM256" s="744"/>
      <c r="AN256" s="744"/>
      <c r="AO256" s="744"/>
      <c r="AP256" s="744"/>
      <c r="AQ256" s="744"/>
    </row>
    <row r="257" spans="5:43" s="745" customFormat="1" ht="25.5">
      <c r="E257" s="69"/>
      <c r="F257" s="910" t="s">
        <v>2239</v>
      </c>
      <c r="G257" s="911" t="s">
        <v>8621</v>
      </c>
      <c r="H257" s="913" t="s">
        <v>8622</v>
      </c>
      <c r="I257" s="914" t="s">
        <v>648</v>
      </c>
      <c r="J257" s="920">
        <v>8.51</v>
      </c>
      <c r="K257" s="1012">
        <f>IF($G257="","",IFERROR(VLOOKUP($G257,SERVIÇOS!$C:$H,6,0),IFERROR(VLOOKUP($G257,CPU!$F:$M,8,0),"")))</f>
        <v>29.939999999999998</v>
      </c>
      <c r="L257" s="855">
        <f t="shared" si="24"/>
        <v>0.2354</v>
      </c>
      <c r="M257" s="825">
        <f t="shared" si="25"/>
        <v>36.99</v>
      </c>
      <c r="N257" s="826">
        <f t="shared" si="26"/>
        <v>314.77999999999997</v>
      </c>
      <c r="O257" s="856">
        <f t="shared" si="27"/>
        <v>2102774.5299999993</v>
      </c>
      <c r="P257" s="857">
        <f t="shared" si="28"/>
        <v>1.4914668508723142E-4</v>
      </c>
      <c r="Q257" s="857">
        <f t="shared" si="29"/>
        <v>0.99632076572641537</v>
      </c>
      <c r="R257" s="858" t="str">
        <f t="shared" si="30"/>
        <v>C</v>
      </c>
      <c r="S257" s="81"/>
      <c r="T257" s="410">
        <f t="shared" si="31"/>
        <v>2110539.7000000007</v>
      </c>
      <c r="U257" s="69"/>
      <c r="V257" s="69"/>
      <c r="W257" s="69"/>
      <c r="X257" s="744"/>
      <c r="Y257" s="744"/>
      <c r="Z257" s="744"/>
      <c r="AA257" s="744"/>
      <c r="AB257" s="744"/>
      <c r="AC257" s="744"/>
      <c r="AD257" s="744"/>
      <c r="AE257" s="744"/>
      <c r="AF257" s="744"/>
      <c r="AG257" s="744"/>
      <c r="AH257" s="744"/>
      <c r="AI257" s="744"/>
      <c r="AJ257" s="744"/>
      <c r="AK257" s="744"/>
      <c r="AL257" s="744"/>
      <c r="AM257" s="744"/>
      <c r="AN257" s="744"/>
      <c r="AO257" s="744"/>
      <c r="AP257" s="744"/>
      <c r="AQ257" s="744"/>
    </row>
    <row r="258" spans="5:43" s="745" customFormat="1" ht="38.25">
      <c r="E258" s="69"/>
      <c r="F258" s="910" t="s">
        <v>2239</v>
      </c>
      <c r="G258" s="911" t="s">
        <v>6888</v>
      </c>
      <c r="H258" s="913" t="s">
        <v>8457</v>
      </c>
      <c r="I258" s="914" t="s">
        <v>646</v>
      </c>
      <c r="J258" s="920">
        <v>1</v>
      </c>
      <c r="K258" s="1012">
        <f>IF($G258="","",IFERROR(VLOOKUP($G258,SERVIÇOS!$C:$H,6,0),IFERROR(VLOOKUP($G258,CPU!$F:$M,8,0),"")))</f>
        <v>250.1</v>
      </c>
      <c r="L258" s="855">
        <f t="shared" si="24"/>
        <v>0.2354</v>
      </c>
      <c r="M258" s="825">
        <f t="shared" si="25"/>
        <v>308.97000000000003</v>
      </c>
      <c r="N258" s="826">
        <f t="shared" si="26"/>
        <v>308.97000000000003</v>
      </c>
      <c r="O258" s="856">
        <f t="shared" si="27"/>
        <v>2103083.4999999995</v>
      </c>
      <c r="P258" s="857">
        <f t="shared" si="28"/>
        <v>1.4639383471440974E-4</v>
      </c>
      <c r="Q258" s="857">
        <f t="shared" si="29"/>
        <v>0.99646715956112974</v>
      </c>
      <c r="R258" s="858" t="str">
        <f t="shared" si="30"/>
        <v>C</v>
      </c>
      <c r="S258" s="81"/>
      <c r="T258" s="410">
        <f t="shared" si="31"/>
        <v>2110539.7000000007</v>
      </c>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row>
    <row r="259" spans="5:43" s="745" customFormat="1">
      <c r="E259" s="69"/>
      <c r="F259" s="910" t="s">
        <v>2239</v>
      </c>
      <c r="G259" s="911" t="s">
        <v>9002</v>
      </c>
      <c r="H259" s="913" t="s">
        <v>9003</v>
      </c>
      <c r="I259" s="914" t="s">
        <v>2666</v>
      </c>
      <c r="J259" s="920">
        <v>12</v>
      </c>
      <c r="K259" s="1012">
        <f>IF($G259="","",IFERROR(VLOOKUP($G259,SERVIÇOS!$C:$H,6,0),IFERROR(VLOOKUP($G259,CPU!$F:$M,8,0),"")))</f>
        <v>19.89</v>
      </c>
      <c r="L259" s="855">
        <f t="shared" si="24"/>
        <v>0.2354</v>
      </c>
      <c r="M259" s="825">
        <f t="shared" si="25"/>
        <v>24.57</v>
      </c>
      <c r="N259" s="826">
        <f t="shared" si="26"/>
        <v>294.83999999999997</v>
      </c>
      <c r="O259" s="856">
        <f t="shared" si="27"/>
        <v>2103378.3399999994</v>
      </c>
      <c r="P259" s="857">
        <f t="shared" si="28"/>
        <v>1.3969886470271083E-4</v>
      </c>
      <c r="Q259" s="857">
        <f t="shared" si="29"/>
        <v>0.99660685842583241</v>
      </c>
      <c r="R259" s="858" t="str">
        <f t="shared" si="30"/>
        <v>C</v>
      </c>
      <c r="S259" s="81"/>
      <c r="T259" s="410">
        <f t="shared" si="31"/>
        <v>2110539.7000000007</v>
      </c>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row>
    <row r="260" spans="5:43" s="745" customFormat="1">
      <c r="E260" s="69"/>
      <c r="F260" s="910" t="s">
        <v>2239</v>
      </c>
      <c r="G260" s="911" t="s">
        <v>5279</v>
      </c>
      <c r="H260" s="913" t="s">
        <v>5278</v>
      </c>
      <c r="I260" s="914" t="s">
        <v>646</v>
      </c>
      <c r="J260" s="920">
        <v>1</v>
      </c>
      <c r="K260" s="1012">
        <f>IF($G260="","",IFERROR(VLOOKUP($G260,SERVIÇOS!$C:$H,6,0),IFERROR(VLOOKUP($G260,CPU!$F:$M,8,0),"")))</f>
        <v>233.94</v>
      </c>
      <c r="L260" s="855">
        <f t="shared" si="24"/>
        <v>0.2354</v>
      </c>
      <c r="M260" s="825">
        <f t="shared" si="25"/>
        <v>289.01</v>
      </c>
      <c r="N260" s="826">
        <f t="shared" si="26"/>
        <v>289.01</v>
      </c>
      <c r="O260" s="856">
        <f t="shared" si="27"/>
        <v>2103667.3499999992</v>
      </c>
      <c r="P260" s="857">
        <f t="shared" si="28"/>
        <v>1.3693653808075722E-4</v>
      </c>
      <c r="Q260" s="857">
        <f t="shared" si="29"/>
        <v>0.99674379496391319</v>
      </c>
      <c r="R260" s="858" t="str">
        <f t="shared" si="30"/>
        <v>C</v>
      </c>
      <c r="S260" s="81"/>
      <c r="T260" s="410">
        <f t="shared" si="31"/>
        <v>2110539.7000000007</v>
      </c>
      <c r="U260" s="69"/>
      <c r="V260" s="69"/>
      <c r="W260" s="69"/>
      <c r="X260" s="744"/>
      <c r="Y260" s="744"/>
      <c r="Z260" s="744"/>
      <c r="AA260" s="744"/>
      <c r="AB260" s="744"/>
      <c r="AC260" s="744"/>
      <c r="AD260" s="744"/>
      <c r="AE260" s="744"/>
      <c r="AF260" s="744"/>
      <c r="AG260" s="744"/>
      <c r="AH260" s="744"/>
      <c r="AI260" s="744"/>
      <c r="AJ260" s="744"/>
      <c r="AK260" s="744"/>
      <c r="AL260" s="744"/>
      <c r="AM260" s="744"/>
      <c r="AN260" s="744"/>
      <c r="AO260" s="744"/>
      <c r="AP260" s="744"/>
      <c r="AQ260" s="744"/>
    </row>
    <row r="261" spans="5:43" s="745" customFormat="1" ht="25.5">
      <c r="E261" s="69"/>
      <c r="F261" s="910" t="s">
        <v>2238</v>
      </c>
      <c r="G261" s="911">
        <v>91954</v>
      </c>
      <c r="H261" s="913" t="s">
        <v>1028</v>
      </c>
      <c r="I261" s="914" t="s">
        <v>646</v>
      </c>
      <c r="J261" s="920">
        <v>8</v>
      </c>
      <c r="K261" s="1012">
        <f>IF($G261="","",IFERROR(VLOOKUP($G261,SERVIÇOS!$C:$H,6,0),IFERROR(VLOOKUP($G261,CPU!$F:$M,8,0),"")))</f>
        <v>28.65</v>
      </c>
      <c r="L261" s="855">
        <f t="shared" si="24"/>
        <v>0.2354</v>
      </c>
      <c r="M261" s="825">
        <f t="shared" si="25"/>
        <v>35.39</v>
      </c>
      <c r="N261" s="826">
        <f t="shared" si="26"/>
        <v>283.12</v>
      </c>
      <c r="O261" s="856">
        <f t="shared" si="27"/>
        <v>2103950.4699999993</v>
      </c>
      <c r="P261" s="857">
        <f t="shared" si="28"/>
        <v>1.3414578271140785E-4</v>
      </c>
      <c r="Q261" s="857">
        <f t="shared" si="29"/>
        <v>0.99687794074662461</v>
      </c>
      <c r="R261" s="858" t="str">
        <f t="shared" si="30"/>
        <v>C</v>
      </c>
      <c r="S261" s="81"/>
      <c r="T261" s="410">
        <f t="shared" si="31"/>
        <v>2110539.7000000007</v>
      </c>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row>
    <row r="262" spans="5:43" s="745" customFormat="1" ht="25.5">
      <c r="E262" s="69"/>
      <c r="F262" s="910" t="s">
        <v>2238</v>
      </c>
      <c r="G262" s="911">
        <v>102513</v>
      </c>
      <c r="H262" s="913" t="s">
        <v>6209</v>
      </c>
      <c r="I262" s="914" t="s">
        <v>649</v>
      </c>
      <c r="J262" s="920">
        <v>4.38</v>
      </c>
      <c r="K262" s="1012">
        <f>IF($G262="","",IFERROR(VLOOKUP($G262,SERVIÇOS!$C:$H,6,0),IFERROR(VLOOKUP($G262,CPU!$F:$M,8,0),"")))</f>
        <v>49.52</v>
      </c>
      <c r="L262" s="855">
        <f t="shared" si="24"/>
        <v>0.2354</v>
      </c>
      <c r="M262" s="825">
        <f t="shared" si="25"/>
        <v>61.18</v>
      </c>
      <c r="N262" s="826">
        <f t="shared" si="26"/>
        <v>267.97000000000003</v>
      </c>
      <c r="O262" s="856">
        <f t="shared" si="27"/>
        <v>2104218.4399999995</v>
      </c>
      <c r="P262" s="857">
        <f t="shared" si="28"/>
        <v>1.2696752399398123E-4</v>
      </c>
      <c r="Q262" s="857">
        <f t="shared" si="29"/>
        <v>0.99700490827061861</v>
      </c>
      <c r="R262" s="858" t="str">
        <f t="shared" si="30"/>
        <v>C</v>
      </c>
      <c r="S262" s="81"/>
      <c r="T262" s="410">
        <f t="shared" si="31"/>
        <v>2110539.7000000007</v>
      </c>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row>
    <row r="263" spans="5:43" s="745" customFormat="1">
      <c r="E263" s="69"/>
      <c r="F263" s="910" t="s">
        <v>2239</v>
      </c>
      <c r="G263" s="911" t="s">
        <v>8981</v>
      </c>
      <c r="H263" s="913" t="s">
        <v>8982</v>
      </c>
      <c r="I263" s="914" t="s">
        <v>646</v>
      </c>
      <c r="J263" s="920">
        <v>7</v>
      </c>
      <c r="K263" s="1012">
        <f>IF($G263="","",IFERROR(VLOOKUP($G263,SERVIÇOS!$C:$H,6,0),IFERROR(VLOOKUP($G263,CPU!$F:$M,8,0),"")))</f>
        <v>30.979999999999997</v>
      </c>
      <c r="L263" s="855">
        <f t="shared" si="24"/>
        <v>0.2354</v>
      </c>
      <c r="M263" s="825">
        <f t="shared" si="25"/>
        <v>38.270000000000003</v>
      </c>
      <c r="N263" s="826">
        <f t="shared" si="26"/>
        <v>267.89</v>
      </c>
      <c r="O263" s="856">
        <f t="shared" si="27"/>
        <v>2104486.3299999996</v>
      </c>
      <c r="P263" s="857">
        <f t="shared" si="28"/>
        <v>1.2692961899745355E-4</v>
      </c>
      <c r="Q263" s="857">
        <f t="shared" si="29"/>
        <v>0.99713183788961601</v>
      </c>
      <c r="R263" s="858" t="str">
        <f t="shared" si="30"/>
        <v>C</v>
      </c>
      <c r="S263" s="81"/>
      <c r="T263" s="410">
        <f t="shared" si="31"/>
        <v>2110539.7000000007</v>
      </c>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row>
    <row r="264" spans="5:43" s="745" customFormat="1" ht="25.5">
      <c r="E264" s="69"/>
      <c r="F264" s="910" t="s">
        <v>2239</v>
      </c>
      <c r="G264" s="911" t="s">
        <v>5267</v>
      </c>
      <c r="H264" s="913" t="s">
        <v>8454</v>
      </c>
      <c r="I264" s="914" t="s">
        <v>646</v>
      </c>
      <c r="J264" s="920">
        <v>16</v>
      </c>
      <c r="K264" s="1012">
        <f>IF($G264="","",IFERROR(VLOOKUP($G264,SERVIÇOS!$C:$H,6,0),IFERROR(VLOOKUP($G264,CPU!$F:$M,8,0),"")))</f>
        <v>13.36</v>
      </c>
      <c r="L264" s="855">
        <f t="shared" si="24"/>
        <v>0.2354</v>
      </c>
      <c r="M264" s="825">
        <f t="shared" si="25"/>
        <v>16.5</v>
      </c>
      <c r="N264" s="826">
        <f t="shared" si="26"/>
        <v>264</v>
      </c>
      <c r="O264" s="856">
        <f t="shared" si="27"/>
        <v>2104750.3299999996</v>
      </c>
      <c r="P264" s="857">
        <f t="shared" si="28"/>
        <v>1.2508648854129583E-4</v>
      </c>
      <c r="Q264" s="857">
        <f t="shared" si="29"/>
        <v>0.99725692437815727</v>
      </c>
      <c r="R264" s="858" t="str">
        <f t="shared" si="30"/>
        <v>C</v>
      </c>
      <c r="S264" s="81"/>
      <c r="T264" s="410">
        <f t="shared" si="31"/>
        <v>2110539.7000000007</v>
      </c>
      <c r="U264" s="69"/>
      <c r="V264" s="69"/>
      <c r="W264" s="69"/>
      <c r="X264" s="744"/>
      <c r="Y264" s="744"/>
      <c r="Z264" s="744"/>
      <c r="AA264" s="744"/>
      <c r="AB264" s="744"/>
      <c r="AC264" s="744"/>
      <c r="AD264" s="744"/>
      <c r="AE264" s="744"/>
      <c r="AF264" s="744"/>
      <c r="AG264" s="744"/>
      <c r="AH264" s="744"/>
      <c r="AI264" s="744"/>
      <c r="AJ264" s="744"/>
      <c r="AK264" s="744"/>
      <c r="AL264" s="744"/>
      <c r="AM264" s="744"/>
      <c r="AN264" s="744"/>
      <c r="AO264" s="744"/>
      <c r="AP264" s="744"/>
      <c r="AQ264" s="744"/>
    </row>
    <row r="265" spans="5:43" s="745" customFormat="1">
      <c r="E265" s="69"/>
      <c r="F265" s="910" t="s">
        <v>2238</v>
      </c>
      <c r="G265" s="911">
        <v>97631</v>
      </c>
      <c r="H265" s="913" t="s">
        <v>2829</v>
      </c>
      <c r="I265" s="914" t="s">
        <v>649</v>
      </c>
      <c r="J265" s="920">
        <v>57.83</v>
      </c>
      <c r="K265" s="1012">
        <f>IF($G265="","",IFERROR(VLOOKUP($G265,SERVIÇOS!$C:$H,6,0),IFERROR(VLOOKUP($G265,CPU!$F:$M,8,0),"")))</f>
        <v>3.64</v>
      </c>
      <c r="L265" s="855">
        <f t="shared" si="24"/>
        <v>0.2354</v>
      </c>
      <c r="M265" s="825">
        <f t="shared" si="25"/>
        <v>4.5</v>
      </c>
      <c r="N265" s="826">
        <f t="shared" si="26"/>
        <v>260.24</v>
      </c>
      <c r="O265" s="856">
        <f t="shared" si="27"/>
        <v>2105010.5699999998</v>
      </c>
      <c r="P265" s="857">
        <f t="shared" si="28"/>
        <v>1.2330495370449555E-4</v>
      </c>
      <c r="Q265" s="857">
        <f t="shared" si="29"/>
        <v>0.99738022933186177</v>
      </c>
      <c r="R265" s="858" t="str">
        <f t="shared" si="30"/>
        <v>C</v>
      </c>
      <c r="S265" s="81"/>
      <c r="T265" s="410">
        <f t="shared" si="31"/>
        <v>2110539.7000000007</v>
      </c>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row>
    <row r="266" spans="5:43" s="745" customFormat="1" ht="25.5">
      <c r="E266" s="69"/>
      <c r="F266" s="910" t="s">
        <v>2238</v>
      </c>
      <c r="G266" s="911">
        <v>94492</v>
      </c>
      <c r="H266" s="913" t="s">
        <v>5492</v>
      </c>
      <c r="I266" s="914" t="s">
        <v>646</v>
      </c>
      <c r="J266" s="920">
        <v>3</v>
      </c>
      <c r="K266" s="1012">
        <f>IF($G266="","",IFERROR(VLOOKUP($G266,SERVIÇOS!$C:$H,6,0),IFERROR(VLOOKUP($G266,CPU!$F:$M,8,0),"")))</f>
        <v>68.260000000000005</v>
      </c>
      <c r="L266" s="855">
        <f t="shared" si="24"/>
        <v>0.2354</v>
      </c>
      <c r="M266" s="825">
        <f t="shared" si="25"/>
        <v>84.33</v>
      </c>
      <c r="N266" s="826">
        <f t="shared" si="26"/>
        <v>252.99</v>
      </c>
      <c r="O266" s="856">
        <f t="shared" si="27"/>
        <v>2105263.56</v>
      </c>
      <c r="P266" s="857">
        <f t="shared" si="28"/>
        <v>1.1986981339417588E-4</v>
      </c>
      <c r="Q266" s="857">
        <f t="shared" si="29"/>
        <v>0.99750009914525595</v>
      </c>
      <c r="R266" s="858" t="str">
        <f t="shared" si="30"/>
        <v>C</v>
      </c>
      <c r="S266" s="81"/>
      <c r="T266" s="410">
        <f t="shared" si="31"/>
        <v>2110539.7000000007</v>
      </c>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row>
    <row r="267" spans="5:43" s="745" customFormat="1">
      <c r="E267" s="69"/>
      <c r="F267" s="910" t="s">
        <v>2239</v>
      </c>
      <c r="G267" s="911" t="s">
        <v>8985</v>
      </c>
      <c r="H267" s="913" t="s">
        <v>8984</v>
      </c>
      <c r="I267" s="914" t="s">
        <v>646</v>
      </c>
      <c r="J267" s="920">
        <v>7</v>
      </c>
      <c r="K267" s="1012">
        <f>IF($G267="","",IFERROR(VLOOKUP($G267,SERVIÇOS!$C:$H,6,0),IFERROR(VLOOKUP($G267,CPU!$F:$M,8,0),"")))</f>
        <v>28.74</v>
      </c>
      <c r="L267" s="855">
        <f t="shared" si="24"/>
        <v>0.2354</v>
      </c>
      <c r="M267" s="825">
        <f t="shared" si="25"/>
        <v>35.51</v>
      </c>
      <c r="N267" s="826">
        <f t="shared" si="26"/>
        <v>248.57</v>
      </c>
      <c r="O267" s="856">
        <f t="shared" si="27"/>
        <v>2105512.13</v>
      </c>
      <c r="P267" s="857">
        <f t="shared" si="28"/>
        <v>1.1777556233602235E-4</v>
      </c>
      <c r="Q267" s="857">
        <f t="shared" si="29"/>
        <v>0.997617874707592</v>
      </c>
      <c r="R267" s="858" t="str">
        <f t="shared" si="30"/>
        <v>C</v>
      </c>
      <c r="S267" s="81"/>
      <c r="T267" s="410">
        <f t="shared" si="31"/>
        <v>2110539.7000000007</v>
      </c>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row>
    <row r="268" spans="5:43" s="745" customFormat="1">
      <c r="E268" s="69"/>
      <c r="F268" s="910" t="s">
        <v>2239</v>
      </c>
      <c r="G268" s="911" t="s">
        <v>8934</v>
      </c>
      <c r="H268" s="913" t="s">
        <v>8935</v>
      </c>
      <c r="I268" s="914" t="s">
        <v>648</v>
      </c>
      <c r="J268" s="920">
        <v>132</v>
      </c>
      <c r="K268" s="1012">
        <f>IF($G268="","",IFERROR(VLOOKUP($G268,SERVIÇOS!$C:$H,6,0),IFERROR(VLOOKUP($G268,CPU!$F:$M,8,0),"")))</f>
        <v>1.47</v>
      </c>
      <c r="L268" s="855">
        <f t="shared" ref="L268:L307" si="32">$R$1</f>
        <v>0.2354</v>
      </c>
      <c r="M268" s="825">
        <f t="shared" ref="M268:M307" si="33">IF(J268&lt;&gt;0,(ROUND(K268*(L268+1),2)),0)</f>
        <v>1.82</v>
      </c>
      <c r="N268" s="826">
        <f t="shared" ref="N268:N307" si="34">IF(J268="","",ROUND((J268*M268),2))</f>
        <v>240.24</v>
      </c>
      <c r="O268" s="856">
        <f t="shared" ref="O268:O307" si="35">+O267+N268</f>
        <v>2105752.37</v>
      </c>
      <c r="P268" s="857">
        <f t="shared" ref="P268:P307" si="36">IF(N268&lt;&gt;"",N268/T268,"")</f>
        <v>1.138287045725792E-4</v>
      </c>
      <c r="Q268" s="857">
        <f t="shared" ref="Q268:Q307" si="37">+P268+Q267</f>
        <v>0.99773170341216455</v>
      </c>
      <c r="R268" s="858" t="str">
        <f t="shared" ref="R268:R307" si="38">IF(Q268&lt;50%,"A",IF(Q268&gt;=80%,"C",IF(Q268&gt;=50%,"B")))</f>
        <v>C</v>
      </c>
      <c r="S268" s="81"/>
      <c r="T268" s="410">
        <f t="shared" ref="T268:T306" si="39">T269</f>
        <v>2110539.7000000007</v>
      </c>
      <c r="U268" s="69"/>
      <c r="V268" s="69"/>
      <c r="W268" s="69"/>
      <c r="X268" s="744"/>
      <c r="Y268" s="744"/>
      <c r="Z268" s="744"/>
      <c r="AA268" s="744"/>
      <c r="AB268" s="744"/>
      <c r="AC268" s="744"/>
      <c r="AD268" s="744"/>
      <c r="AE268" s="744"/>
      <c r="AF268" s="744"/>
      <c r="AG268" s="744"/>
      <c r="AH268" s="744"/>
      <c r="AI268" s="744"/>
      <c r="AJ268" s="744"/>
      <c r="AK268" s="744"/>
      <c r="AL268" s="744"/>
      <c r="AM268" s="744"/>
      <c r="AN268" s="744"/>
      <c r="AO268" s="744"/>
      <c r="AP268" s="744"/>
      <c r="AQ268" s="744"/>
    </row>
    <row r="269" spans="5:43" s="745" customFormat="1" ht="25.5">
      <c r="E269" s="69"/>
      <c r="F269" s="910" t="s">
        <v>2238</v>
      </c>
      <c r="G269" s="911">
        <v>101905</v>
      </c>
      <c r="H269" s="913" t="s">
        <v>5232</v>
      </c>
      <c r="I269" s="914" t="s">
        <v>646</v>
      </c>
      <c r="J269" s="920">
        <v>1</v>
      </c>
      <c r="K269" s="1012">
        <f>IF($G269="","",IFERROR(VLOOKUP($G269,SERVIÇOS!$C:$H,6,0),IFERROR(VLOOKUP($G269,CPU!$F:$M,8,0),"")))</f>
        <v>194.27</v>
      </c>
      <c r="L269" s="855">
        <f t="shared" si="32"/>
        <v>0.2354</v>
      </c>
      <c r="M269" s="825">
        <f t="shared" si="33"/>
        <v>240</v>
      </c>
      <c r="N269" s="826">
        <f t="shared" si="34"/>
        <v>240</v>
      </c>
      <c r="O269" s="856">
        <f t="shared" si="35"/>
        <v>2105992.37</v>
      </c>
      <c r="P269" s="857">
        <f t="shared" si="36"/>
        <v>1.137149895829962E-4</v>
      </c>
      <c r="Q269" s="857">
        <f t="shared" si="37"/>
        <v>0.99784541840174756</v>
      </c>
      <c r="R269" s="858" t="str">
        <f t="shared" si="38"/>
        <v>C</v>
      </c>
      <c r="S269" s="81"/>
      <c r="T269" s="410">
        <f t="shared" si="39"/>
        <v>2110539.7000000007</v>
      </c>
      <c r="U269" s="69"/>
      <c r="V269" s="69"/>
      <c r="W269" s="69"/>
      <c r="X269" s="744"/>
      <c r="Y269" s="744"/>
      <c r="Z269" s="744"/>
      <c r="AA269" s="744"/>
      <c r="AB269" s="744"/>
      <c r="AC269" s="744"/>
      <c r="AD269" s="744"/>
      <c r="AE269" s="744"/>
      <c r="AF269" s="744"/>
      <c r="AG269" s="744"/>
      <c r="AH269" s="744"/>
      <c r="AI269" s="744"/>
      <c r="AJ269" s="744"/>
      <c r="AK269" s="744"/>
      <c r="AL269" s="744"/>
      <c r="AM269" s="744"/>
      <c r="AN269" s="744"/>
      <c r="AO269" s="744"/>
      <c r="AP269" s="744"/>
      <c r="AQ269" s="744"/>
    </row>
    <row r="270" spans="5:43" s="745" customFormat="1">
      <c r="E270" s="69"/>
      <c r="F270" s="910" t="s">
        <v>2238</v>
      </c>
      <c r="G270" s="911">
        <v>100717</v>
      </c>
      <c r="H270" s="913" t="s">
        <v>4508</v>
      </c>
      <c r="I270" s="914" t="s">
        <v>649</v>
      </c>
      <c r="J270" s="920">
        <v>16.8</v>
      </c>
      <c r="K270" s="1012">
        <f>IF($G270="","",IFERROR(VLOOKUP($G270,SERVIÇOS!$C:$H,6,0),IFERROR(VLOOKUP($G270,CPU!$F:$M,8,0),"")))</f>
        <v>11.03</v>
      </c>
      <c r="L270" s="855">
        <f t="shared" si="32"/>
        <v>0.2354</v>
      </c>
      <c r="M270" s="825">
        <f t="shared" si="33"/>
        <v>13.63</v>
      </c>
      <c r="N270" s="826">
        <f t="shared" si="34"/>
        <v>228.98</v>
      </c>
      <c r="O270" s="856">
        <f t="shared" si="35"/>
        <v>2106221.35</v>
      </c>
      <c r="P270" s="857">
        <f t="shared" si="36"/>
        <v>1.0849357631131029E-4</v>
      </c>
      <c r="Q270" s="857">
        <f t="shared" si="37"/>
        <v>0.99795391197805883</v>
      </c>
      <c r="R270" s="858" t="str">
        <f t="shared" si="38"/>
        <v>C</v>
      </c>
      <c r="S270" s="81"/>
      <c r="T270" s="410">
        <f t="shared" si="39"/>
        <v>2110539.7000000007</v>
      </c>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row>
    <row r="271" spans="5:43" s="745" customFormat="1">
      <c r="E271" s="69"/>
      <c r="F271" s="910" t="s">
        <v>2239</v>
      </c>
      <c r="G271" s="911" t="s">
        <v>8676</v>
      </c>
      <c r="H271" s="913" t="s">
        <v>7191</v>
      </c>
      <c r="I271" s="914" t="s">
        <v>648</v>
      </c>
      <c r="J271" s="920">
        <v>10.5</v>
      </c>
      <c r="K271" s="1012">
        <f>IF($G271="","",IFERROR(VLOOKUP($G271,SERVIÇOS!$C:$H,6,0),IFERROR(VLOOKUP($G271,CPU!$F:$M,8,0),"")))</f>
        <v>17.27</v>
      </c>
      <c r="L271" s="855">
        <f t="shared" si="32"/>
        <v>0.2354</v>
      </c>
      <c r="M271" s="825">
        <f t="shared" si="33"/>
        <v>21.34</v>
      </c>
      <c r="N271" s="826">
        <f t="shared" si="34"/>
        <v>224.07</v>
      </c>
      <c r="O271" s="856">
        <f t="shared" si="35"/>
        <v>2106445.42</v>
      </c>
      <c r="P271" s="857">
        <f t="shared" si="36"/>
        <v>1.0616715714942482E-4</v>
      </c>
      <c r="Q271" s="857">
        <f t="shared" si="37"/>
        <v>0.99806007913520822</v>
      </c>
      <c r="R271" s="858" t="str">
        <f t="shared" si="38"/>
        <v>C</v>
      </c>
      <c r="S271" s="81"/>
      <c r="T271" s="410">
        <f t="shared" si="39"/>
        <v>2110539.7000000007</v>
      </c>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row>
    <row r="272" spans="5:43" s="745" customFormat="1" ht="25.5">
      <c r="E272" s="69"/>
      <c r="F272" s="910" t="s">
        <v>2238</v>
      </c>
      <c r="G272" s="911">
        <v>98554</v>
      </c>
      <c r="H272" s="913" t="s">
        <v>4073</v>
      </c>
      <c r="I272" s="914" t="s">
        <v>649</v>
      </c>
      <c r="J272" s="920">
        <v>3.7</v>
      </c>
      <c r="K272" s="1012">
        <f>IF($G272="","",IFERROR(VLOOKUP($G272,SERVIÇOS!$C:$H,6,0),IFERROR(VLOOKUP($G272,CPU!$F:$M,8,0),"")))</f>
        <v>47.23</v>
      </c>
      <c r="L272" s="855">
        <f t="shared" si="32"/>
        <v>0.2354</v>
      </c>
      <c r="M272" s="825">
        <f t="shared" si="33"/>
        <v>58.35</v>
      </c>
      <c r="N272" s="826">
        <f t="shared" si="34"/>
        <v>215.9</v>
      </c>
      <c r="O272" s="856">
        <f t="shared" si="35"/>
        <v>2106661.3199999998</v>
      </c>
      <c r="P272" s="857">
        <f t="shared" si="36"/>
        <v>1.0229610937903701E-4</v>
      </c>
      <c r="Q272" s="857">
        <f t="shared" si="37"/>
        <v>0.99816237524458729</v>
      </c>
      <c r="R272" s="858" t="str">
        <f t="shared" si="38"/>
        <v>C</v>
      </c>
      <c r="S272" s="81"/>
      <c r="T272" s="410">
        <f t="shared" si="39"/>
        <v>2110539.7000000007</v>
      </c>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row>
    <row r="273" spans="5:43" s="745" customFormat="1" ht="25.5">
      <c r="E273" s="69"/>
      <c r="F273" s="910" t="s">
        <v>2238</v>
      </c>
      <c r="G273" s="911">
        <v>97886</v>
      </c>
      <c r="H273" s="913" t="s">
        <v>5606</v>
      </c>
      <c r="I273" s="914" t="s">
        <v>646</v>
      </c>
      <c r="J273" s="920">
        <v>1</v>
      </c>
      <c r="K273" s="1012">
        <f>IF($G273="","",IFERROR(VLOOKUP($G273,SERVIÇOS!$C:$H,6,0),IFERROR(VLOOKUP($G273,CPU!$F:$M,8,0),"")))</f>
        <v>171.38</v>
      </c>
      <c r="L273" s="855">
        <f t="shared" si="32"/>
        <v>0.2354</v>
      </c>
      <c r="M273" s="825">
        <f t="shared" si="33"/>
        <v>211.72</v>
      </c>
      <c r="N273" s="826">
        <f t="shared" si="34"/>
        <v>211.72</v>
      </c>
      <c r="O273" s="856">
        <f t="shared" si="35"/>
        <v>2106873.04</v>
      </c>
      <c r="P273" s="857">
        <f t="shared" si="36"/>
        <v>1.0031557331046647E-4</v>
      </c>
      <c r="Q273" s="857">
        <f t="shared" si="37"/>
        <v>0.99826269081789776</v>
      </c>
      <c r="R273" s="858" t="str">
        <f t="shared" si="38"/>
        <v>C</v>
      </c>
      <c r="S273" s="81"/>
      <c r="T273" s="410">
        <f t="shared" si="39"/>
        <v>2110539.7000000007</v>
      </c>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row>
    <row r="274" spans="5:43" s="745" customFormat="1" ht="25.5">
      <c r="E274" s="69"/>
      <c r="F274" s="910" t="s">
        <v>2238</v>
      </c>
      <c r="G274" s="911">
        <v>92769</v>
      </c>
      <c r="H274" s="913" t="s">
        <v>7774</v>
      </c>
      <c r="I274" s="914" t="s">
        <v>645</v>
      </c>
      <c r="J274" s="920">
        <v>10.97</v>
      </c>
      <c r="K274" s="1012">
        <f>IF($G274="","",IFERROR(VLOOKUP($G274,SERVIÇOS!$C:$H,6,0),IFERROR(VLOOKUP($G274,CPU!$F:$M,8,0),"")))</f>
        <v>14.8</v>
      </c>
      <c r="L274" s="855">
        <f t="shared" si="32"/>
        <v>0.2354</v>
      </c>
      <c r="M274" s="825">
        <f t="shared" si="33"/>
        <v>18.28</v>
      </c>
      <c r="N274" s="826">
        <f t="shared" si="34"/>
        <v>200.53</v>
      </c>
      <c r="O274" s="856">
        <f t="shared" si="35"/>
        <v>2107073.5699999998</v>
      </c>
      <c r="P274" s="857">
        <f t="shared" si="36"/>
        <v>9.5013611921159285E-5</v>
      </c>
      <c r="Q274" s="857">
        <f t="shared" si="37"/>
        <v>0.99835770442981897</v>
      </c>
      <c r="R274" s="858" t="str">
        <f t="shared" si="38"/>
        <v>C</v>
      </c>
      <c r="S274" s="81"/>
      <c r="T274" s="410">
        <f t="shared" si="39"/>
        <v>2110539.7000000007</v>
      </c>
      <c r="U274" s="69"/>
      <c r="V274" s="69"/>
      <c r="W274" s="69"/>
      <c r="X274" s="744"/>
      <c r="Y274" s="744"/>
      <c r="Z274" s="744"/>
      <c r="AA274" s="744"/>
      <c r="AB274" s="744"/>
      <c r="AC274" s="744"/>
      <c r="AD274" s="744"/>
      <c r="AE274" s="744"/>
      <c r="AF274" s="744"/>
      <c r="AG274" s="744"/>
      <c r="AH274" s="744"/>
      <c r="AI274" s="744"/>
      <c r="AJ274" s="744"/>
      <c r="AK274" s="744"/>
      <c r="AL274" s="744"/>
      <c r="AM274" s="744"/>
      <c r="AN274" s="744"/>
      <c r="AO274" s="744"/>
      <c r="AP274" s="744"/>
      <c r="AQ274" s="744"/>
    </row>
    <row r="275" spans="5:43" s="745" customFormat="1" ht="25.5">
      <c r="E275" s="69"/>
      <c r="F275" s="910" t="s">
        <v>2239</v>
      </c>
      <c r="G275" s="911" t="s">
        <v>14552</v>
      </c>
      <c r="H275" s="913" t="s">
        <v>14567</v>
      </c>
      <c r="I275" s="914" t="s">
        <v>648</v>
      </c>
      <c r="J275" s="920">
        <v>20</v>
      </c>
      <c r="K275" s="1012">
        <f>IF($G275="","",IFERROR(VLOOKUP($G275,SERVIÇOS!$C:$H,6,0),IFERROR(VLOOKUP($G275,CPU!$F:$M,8,0),"")))</f>
        <v>7.42</v>
      </c>
      <c r="L275" s="855">
        <f t="shared" si="32"/>
        <v>0.2354</v>
      </c>
      <c r="M275" s="825">
        <f t="shared" si="33"/>
        <v>9.17</v>
      </c>
      <c r="N275" s="826">
        <f t="shared" si="34"/>
        <v>183.4</v>
      </c>
      <c r="O275" s="856">
        <f t="shared" si="35"/>
        <v>2107256.9699999997</v>
      </c>
      <c r="P275" s="857">
        <f t="shared" si="36"/>
        <v>8.6897204539672937E-5</v>
      </c>
      <c r="Q275" s="857">
        <f t="shared" si="37"/>
        <v>0.99844460163435866</v>
      </c>
      <c r="R275" s="858" t="str">
        <f t="shared" si="38"/>
        <v>C</v>
      </c>
      <c r="S275" s="81"/>
      <c r="T275" s="410">
        <f t="shared" si="39"/>
        <v>2110539.7000000007</v>
      </c>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row>
    <row r="276" spans="5:43" s="745" customFormat="1" ht="25.5">
      <c r="E276" s="69"/>
      <c r="F276" s="910" t="s">
        <v>2238</v>
      </c>
      <c r="G276" s="911">
        <v>94490</v>
      </c>
      <c r="H276" s="913" t="s">
        <v>5490</v>
      </c>
      <c r="I276" s="914" t="s">
        <v>646</v>
      </c>
      <c r="J276" s="920">
        <v>3</v>
      </c>
      <c r="K276" s="1012">
        <f>IF($G276="","",IFERROR(VLOOKUP($G276,SERVIÇOS!$C:$H,6,0),IFERROR(VLOOKUP($G276,CPU!$F:$M,8,0),"")))</f>
        <v>48.71</v>
      </c>
      <c r="L276" s="855">
        <f t="shared" si="32"/>
        <v>0.2354</v>
      </c>
      <c r="M276" s="825">
        <f t="shared" si="33"/>
        <v>60.18</v>
      </c>
      <c r="N276" s="826">
        <f t="shared" si="34"/>
        <v>180.54</v>
      </c>
      <c r="O276" s="856">
        <f t="shared" si="35"/>
        <v>2107437.5099999998</v>
      </c>
      <c r="P276" s="857">
        <f t="shared" si="36"/>
        <v>8.5542100913808887E-5</v>
      </c>
      <c r="Q276" s="857">
        <f t="shared" si="37"/>
        <v>0.99853014373527249</v>
      </c>
      <c r="R276" s="858" t="str">
        <f t="shared" si="38"/>
        <v>C</v>
      </c>
      <c r="S276" s="81"/>
      <c r="T276" s="410">
        <f t="shared" si="39"/>
        <v>2110539.7000000007</v>
      </c>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row>
    <row r="277" spans="5:43" s="745" customFormat="1" ht="25.5">
      <c r="E277" s="69"/>
      <c r="F277" s="910" t="s">
        <v>2238</v>
      </c>
      <c r="G277" s="911">
        <v>92514</v>
      </c>
      <c r="H277" s="913" t="s">
        <v>4043</v>
      </c>
      <c r="I277" s="914" t="s">
        <v>649</v>
      </c>
      <c r="J277" s="920">
        <v>2.66</v>
      </c>
      <c r="K277" s="1012">
        <f>IF($G277="","",IFERROR(VLOOKUP($G277,SERVIÇOS!$C:$H,6,0),IFERROR(VLOOKUP($G277,CPU!$F:$M,8,0),"")))</f>
        <v>53</v>
      </c>
      <c r="L277" s="855">
        <f t="shared" si="32"/>
        <v>0.2354</v>
      </c>
      <c r="M277" s="825">
        <f t="shared" si="33"/>
        <v>65.48</v>
      </c>
      <c r="N277" s="826">
        <f t="shared" si="34"/>
        <v>174.18</v>
      </c>
      <c r="O277" s="856">
        <f t="shared" si="35"/>
        <v>2107611.69</v>
      </c>
      <c r="P277" s="857">
        <f t="shared" si="36"/>
        <v>8.2528653689859492E-5</v>
      </c>
      <c r="Q277" s="857">
        <f t="shared" si="37"/>
        <v>0.99861267238896234</v>
      </c>
      <c r="R277" s="858" t="str">
        <f t="shared" si="38"/>
        <v>C</v>
      </c>
      <c r="S277" s="81"/>
      <c r="T277" s="410">
        <f t="shared" si="39"/>
        <v>2110539.7000000007</v>
      </c>
      <c r="U277" s="69"/>
      <c r="V277" s="69"/>
      <c r="W277" s="69"/>
      <c r="X277" s="744"/>
      <c r="Y277" s="744"/>
      <c r="Z277" s="744"/>
      <c r="AA277" s="744"/>
      <c r="AB277" s="744"/>
      <c r="AC277" s="744"/>
      <c r="AD277" s="744"/>
      <c r="AE277" s="744"/>
      <c r="AF277" s="744"/>
      <c r="AG277" s="744"/>
      <c r="AH277" s="744"/>
      <c r="AI277" s="744"/>
      <c r="AJ277" s="744"/>
      <c r="AK277" s="744"/>
      <c r="AL277" s="744"/>
      <c r="AM277" s="744"/>
      <c r="AN277" s="744"/>
      <c r="AO277" s="744"/>
      <c r="AP277" s="744"/>
      <c r="AQ277" s="744"/>
    </row>
    <row r="278" spans="5:43" s="745" customFormat="1" ht="25.5">
      <c r="E278" s="69"/>
      <c r="F278" s="910" t="s">
        <v>2238</v>
      </c>
      <c r="G278" s="911">
        <v>94962</v>
      </c>
      <c r="H278" s="913" t="s">
        <v>5525</v>
      </c>
      <c r="I278" s="914" t="s">
        <v>644</v>
      </c>
      <c r="J278" s="920">
        <v>0.42</v>
      </c>
      <c r="K278" s="1012">
        <f>IF($G278="","",IFERROR(VLOOKUP($G278,SERVIÇOS!$C:$H,6,0),IFERROR(VLOOKUP($G278,CPU!$F:$M,8,0),"")))</f>
        <v>333.12</v>
      </c>
      <c r="L278" s="855">
        <f t="shared" si="32"/>
        <v>0.2354</v>
      </c>
      <c r="M278" s="825">
        <f t="shared" si="33"/>
        <v>411.54</v>
      </c>
      <c r="N278" s="826">
        <f t="shared" si="34"/>
        <v>172.85</v>
      </c>
      <c r="O278" s="856">
        <f t="shared" si="35"/>
        <v>2107784.54</v>
      </c>
      <c r="P278" s="857">
        <f t="shared" si="36"/>
        <v>8.1898483122587056E-5</v>
      </c>
      <c r="Q278" s="857">
        <f t="shared" si="37"/>
        <v>0.99869457087208491</v>
      </c>
      <c r="R278" s="858" t="str">
        <f t="shared" si="38"/>
        <v>C</v>
      </c>
      <c r="S278" s="81"/>
      <c r="T278" s="410">
        <f t="shared" si="39"/>
        <v>2110539.7000000007</v>
      </c>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row>
    <row r="279" spans="5:43" s="745" customFormat="1">
      <c r="E279" s="69"/>
      <c r="F279" s="910" t="s">
        <v>2238</v>
      </c>
      <c r="G279" s="911">
        <v>102498</v>
      </c>
      <c r="H279" s="913" t="s">
        <v>6198</v>
      </c>
      <c r="I279" s="914" t="s">
        <v>648</v>
      </c>
      <c r="J279" s="920">
        <v>84.2</v>
      </c>
      <c r="K279" s="1012">
        <f>IF($G279="","",IFERROR(VLOOKUP($G279,SERVIÇOS!$C:$H,6,0),IFERROR(VLOOKUP($G279,CPU!$F:$M,8,0),"")))</f>
        <v>1.66</v>
      </c>
      <c r="L279" s="855">
        <f t="shared" si="32"/>
        <v>0.2354</v>
      </c>
      <c r="M279" s="825">
        <f t="shared" si="33"/>
        <v>2.0499999999999998</v>
      </c>
      <c r="N279" s="826">
        <f t="shared" si="34"/>
        <v>172.61</v>
      </c>
      <c r="O279" s="856">
        <f t="shared" si="35"/>
        <v>2107957.15</v>
      </c>
      <c r="P279" s="857">
        <f t="shared" si="36"/>
        <v>8.1784768133004064E-5</v>
      </c>
      <c r="Q279" s="857">
        <f t="shared" si="37"/>
        <v>0.99877635564021794</v>
      </c>
      <c r="R279" s="858" t="str">
        <f t="shared" si="38"/>
        <v>C</v>
      </c>
      <c r="S279" s="81"/>
      <c r="T279" s="410">
        <f t="shared" si="39"/>
        <v>2110539.7000000007</v>
      </c>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row>
    <row r="280" spans="5:43" s="745" customFormat="1" ht="25.5">
      <c r="E280" s="69"/>
      <c r="F280" s="910" t="s">
        <v>2238</v>
      </c>
      <c r="G280" s="911">
        <v>86878</v>
      </c>
      <c r="H280" s="913" t="s">
        <v>4239</v>
      </c>
      <c r="I280" s="914" t="s">
        <v>646</v>
      </c>
      <c r="J280" s="920">
        <v>1</v>
      </c>
      <c r="K280" s="1012">
        <f>IF($G280="","",IFERROR(VLOOKUP($G280,SERVIÇOS!$C:$H,6,0),IFERROR(VLOOKUP($G280,CPU!$F:$M,8,0),"")))</f>
        <v>131.29</v>
      </c>
      <c r="L280" s="855">
        <f t="shared" si="32"/>
        <v>0.2354</v>
      </c>
      <c r="M280" s="825">
        <f t="shared" si="33"/>
        <v>162.19999999999999</v>
      </c>
      <c r="N280" s="826">
        <f t="shared" si="34"/>
        <v>162.19999999999999</v>
      </c>
      <c r="O280" s="856">
        <f t="shared" si="35"/>
        <v>2108119.35</v>
      </c>
      <c r="P280" s="857">
        <f t="shared" si="36"/>
        <v>7.6852380459841598E-5</v>
      </c>
      <c r="Q280" s="857">
        <f t="shared" si="37"/>
        <v>0.99885320802067779</v>
      </c>
      <c r="R280" s="858" t="str">
        <f t="shared" si="38"/>
        <v>C</v>
      </c>
      <c r="S280" s="81"/>
      <c r="T280" s="410">
        <f t="shared" si="39"/>
        <v>2110539.7000000007</v>
      </c>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row>
    <row r="281" spans="5:43" s="745" customFormat="1" ht="25.5">
      <c r="E281" s="69"/>
      <c r="F281" s="910" t="s">
        <v>2239</v>
      </c>
      <c r="G281" s="911" t="s">
        <v>4875</v>
      </c>
      <c r="H281" s="913" t="s">
        <v>8455</v>
      </c>
      <c r="I281" s="914" t="s">
        <v>646</v>
      </c>
      <c r="J281" s="920">
        <v>14</v>
      </c>
      <c r="K281" s="1012">
        <f>IF($G281="","",IFERROR(VLOOKUP($G281,SERVIÇOS!$C:$H,6,0),IFERROR(VLOOKUP($G281,CPU!$F:$M,8,0),"")))</f>
        <v>8.93</v>
      </c>
      <c r="L281" s="855">
        <f t="shared" si="32"/>
        <v>0.2354</v>
      </c>
      <c r="M281" s="825">
        <f t="shared" si="33"/>
        <v>11.03</v>
      </c>
      <c r="N281" s="826">
        <f t="shared" si="34"/>
        <v>154.41999999999999</v>
      </c>
      <c r="O281" s="856">
        <f t="shared" si="35"/>
        <v>2108273.77</v>
      </c>
      <c r="P281" s="857">
        <f t="shared" si="36"/>
        <v>7.3166119547526132E-5</v>
      </c>
      <c r="Q281" s="857">
        <f t="shared" si="37"/>
        <v>0.99892637414022534</v>
      </c>
      <c r="R281" s="858" t="str">
        <f t="shared" si="38"/>
        <v>C</v>
      </c>
      <c r="S281" s="81"/>
      <c r="T281" s="410">
        <f t="shared" si="39"/>
        <v>2110539.7000000007</v>
      </c>
      <c r="U281" s="69"/>
      <c r="V281" s="69"/>
      <c r="W281" s="69"/>
      <c r="X281" s="744"/>
      <c r="Y281" s="744"/>
      <c r="Z281" s="744"/>
      <c r="AA281" s="744"/>
      <c r="AB281" s="744"/>
      <c r="AC281" s="744"/>
      <c r="AD281" s="744"/>
      <c r="AE281" s="744"/>
      <c r="AF281" s="744"/>
      <c r="AG281" s="744"/>
      <c r="AH281" s="744"/>
      <c r="AI281" s="744"/>
      <c r="AJ281" s="744"/>
      <c r="AK281" s="744"/>
      <c r="AL281" s="744"/>
      <c r="AM281" s="744"/>
      <c r="AN281" s="744"/>
      <c r="AO281" s="744"/>
      <c r="AP281" s="744"/>
      <c r="AQ281" s="744"/>
    </row>
    <row r="282" spans="5:43" s="745" customFormat="1">
      <c r="E282" s="69"/>
      <c r="F282" s="910" t="s">
        <v>2239</v>
      </c>
      <c r="G282" s="911" t="s">
        <v>14575</v>
      </c>
      <c r="H282" s="913" t="s">
        <v>14576</v>
      </c>
      <c r="I282" s="914" t="s">
        <v>649</v>
      </c>
      <c r="J282" s="920">
        <v>105.6</v>
      </c>
      <c r="K282" s="1012">
        <f>IF($G282="","",IFERROR(VLOOKUP($G282,SERVIÇOS!$C:$H,6,0),IFERROR(VLOOKUP($G282,CPU!$F:$M,8,0),"")))</f>
        <v>1.17</v>
      </c>
      <c r="L282" s="855">
        <f t="shared" si="32"/>
        <v>0.2354</v>
      </c>
      <c r="M282" s="825">
        <f t="shared" si="33"/>
        <v>1.45</v>
      </c>
      <c r="N282" s="826">
        <f t="shared" si="34"/>
        <v>153.12</v>
      </c>
      <c r="O282" s="856">
        <f t="shared" si="35"/>
        <v>2108426.89</v>
      </c>
      <c r="P282" s="857">
        <f t="shared" si="36"/>
        <v>7.2550163353951583E-5</v>
      </c>
      <c r="Q282" s="857">
        <f t="shared" si="37"/>
        <v>0.99899892430357928</v>
      </c>
      <c r="R282" s="858" t="str">
        <f t="shared" si="38"/>
        <v>C</v>
      </c>
      <c r="S282" s="81"/>
      <c r="T282" s="410">
        <f t="shared" si="39"/>
        <v>2110539.7000000007</v>
      </c>
      <c r="U282" s="69"/>
      <c r="V282" s="69"/>
      <c r="W282" s="69"/>
      <c r="X282" s="744"/>
      <c r="Y282" s="744"/>
      <c r="Z282" s="744"/>
      <c r="AA282" s="744"/>
      <c r="AB282" s="744"/>
      <c r="AC282" s="744"/>
      <c r="AD282" s="744"/>
      <c r="AE282" s="744"/>
      <c r="AF282" s="744"/>
      <c r="AG282" s="744"/>
      <c r="AH282" s="744"/>
      <c r="AI282" s="744"/>
      <c r="AJ282" s="744"/>
      <c r="AK282" s="744"/>
      <c r="AL282" s="744"/>
      <c r="AM282" s="744"/>
      <c r="AN282" s="744"/>
      <c r="AO282" s="744"/>
      <c r="AP282" s="744"/>
      <c r="AQ282" s="744"/>
    </row>
    <row r="283" spans="5:43" s="745" customFormat="1" ht="25.5">
      <c r="E283" s="69"/>
      <c r="F283" s="910" t="s">
        <v>2238</v>
      </c>
      <c r="G283" s="911">
        <v>86877</v>
      </c>
      <c r="H283" s="913" t="s">
        <v>4238</v>
      </c>
      <c r="I283" s="914" t="s">
        <v>646</v>
      </c>
      <c r="J283" s="920">
        <v>1</v>
      </c>
      <c r="K283" s="1012">
        <f>IF($G283="","",IFERROR(VLOOKUP($G283,SERVIÇOS!$C:$H,6,0),IFERROR(VLOOKUP($G283,CPU!$F:$M,8,0),"")))</f>
        <v>121.48</v>
      </c>
      <c r="L283" s="855">
        <f t="shared" si="32"/>
        <v>0.2354</v>
      </c>
      <c r="M283" s="825">
        <f t="shared" si="33"/>
        <v>150.08000000000001</v>
      </c>
      <c r="N283" s="826">
        <f t="shared" si="34"/>
        <v>150.08000000000001</v>
      </c>
      <c r="O283" s="856">
        <f t="shared" si="35"/>
        <v>2108576.9700000002</v>
      </c>
      <c r="P283" s="857">
        <f t="shared" si="36"/>
        <v>7.1109773485900302E-5</v>
      </c>
      <c r="Q283" s="857">
        <f t="shared" si="37"/>
        <v>0.99907003407706518</v>
      </c>
      <c r="R283" s="858" t="str">
        <f t="shared" si="38"/>
        <v>C</v>
      </c>
      <c r="S283" s="81"/>
      <c r="T283" s="410">
        <f t="shared" si="39"/>
        <v>2110539.7000000007</v>
      </c>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row>
    <row r="284" spans="5:43" s="745" customFormat="1" ht="25.5">
      <c r="E284" s="69"/>
      <c r="F284" s="910" t="s">
        <v>2238</v>
      </c>
      <c r="G284" s="911">
        <v>86884</v>
      </c>
      <c r="H284" s="913" t="s">
        <v>4245</v>
      </c>
      <c r="I284" s="914" t="s">
        <v>646</v>
      </c>
      <c r="J284" s="920">
        <v>12</v>
      </c>
      <c r="K284" s="1012">
        <f>IF($G284="","",IFERROR(VLOOKUP($G284,SERVIÇOS!$C:$H,6,0),IFERROR(VLOOKUP($G284,CPU!$F:$M,8,0),"")))</f>
        <v>9.68</v>
      </c>
      <c r="L284" s="855">
        <f t="shared" si="32"/>
        <v>0.2354</v>
      </c>
      <c r="M284" s="825">
        <f t="shared" si="33"/>
        <v>11.96</v>
      </c>
      <c r="N284" s="826">
        <f t="shared" si="34"/>
        <v>143.52000000000001</v>
      </c>
      <c r="O284" s="856">
        <f t="shared" si="35"/>
        <v>2108720.4900000002</v>
      </c>
      <c r="P284" s="857">
        <f t="shared" si="36"/>
        <v>6.8001563770631729E-5</v>
      </c>
      <c r="Q284" s="857">
        <f t="shared" si="37"/>
        <v>0.99913803564083581</v>
      </c>
      <c r="R284" s="858" t="str">
        <f t="shared" si="38"/>
        <v>C</v>
      </c>
      <c r="S284" s="81"/>
      <c r="T284" s="410">
        <f t="shared" si="39"/>
        <v>2110539.7000000007</v>
      </c>
      <c r="U284" s="69"/>
      <c r="V284" s="69"/>
      <c r="W284" s="69"/>
      <c r="X284" s="744"/>
      <c r="Y284" s="744"/>
      <c r="Z284" s="744"/>
      <c r="AA284" s="744"/>
      <c r="AB284" s="744"/>
      <c r="AC284" s="744"/>
      <c r="AD284" s="744"/>
      <c r="AE284" s="744"/>
      <c r="AF284" s="744"/>
      <c r="AG284" s="744"/>
      <c r="AH284" s="744"/>
      <c r="AI284" s="744"/>
      <c r="AJ284" s="744"/>
      <c r="AK284" s="744"/>
      <c r="AL284" s="744"/>
      <c r="AM284" s="744"/>
      <c r="AN284" s="744"/>
      <c r="AO284" s="744"/>
      <c r="AP284" s="744"/>
      <c r="AQ284" s="744"/>
    </row>
    <row r="285" spans="5:43" s="745" customFormat="1">
      <c r="E285" s="69"/>
      <c r="F285" s="910" t="s">
        <v>2239</v>
      </c>
      <c r="G285" s="911" t="s">
        <v>4867</v>
      </c>
      <c r="H285" s="913" t="s">
        <v>4868</v>
      </c>
      <c r="I285" s="914" t="s">
        <v>648</v>
      </c>
      <c r="J285" s="920">
        <v>4.7699999999999996</v>
      </c>
      <c r="K285" s="1012">
        <f>IF($G285="","",IFERROR(VLOOKUP($G285,SERVIÇOS!$C:$H,6,0),IFERROR(VLOOKUP($G285,CPU!$F:$M,8,0),"")))</f>
        <v>23.03</v>
      </c>
      <c r="L285" s="855">
        <f t="shared" si="32"/>
        <v>0.2354</v>
      </c>
      <c r="M285" s="825">
        <f t="shared" si="33"/>
        <v>28.45</v>
      </c>
      <c r="N285" s="826">
        <f t="shared" si="34"/>
        <v>135.71</v>
      </c>
      <c r="O285" s="856">
        <f t="shared" si="35"/>
        <v>2108856.2000000002</v>
      </c>
      <c r="P285" s="857">
        <f t="shared" si="36"/>
        <v>6.4301088484618402E-5</v>
      </c>
      <c r="Q285" s="857">
        <f t="shared" si="37"/>
        <v>0.99920233672932046</v>
      </c>
      <c r="R285" s="858" t="str">
        <f t="shared" si="38"/>
        <v>C</v>
      </c>
      <c r="S285" s="81"/>
      <c r="T285" s="410">
        <f t="shared" si="39"/>
        <v>2110539.7000000007</v>
      </c>
      <c r="U285" s="69"/>
      <c r="V285" s="69"/>
      <c r="W285" s="69"/>
      <c r="X285" s="744"/>
      <c r="Y285" s="744"/>
      <c r="Z285" s="744"/>
      <c r="AA285" s="744"/>
      <c r="AB285" s="744"/>
      <c r="AC285" s="744"/>
      <c r="AD285" s="744"/>
      <c r="AE285" s="744"/>
      <c r="AF285" s="744"/>
      <c r="AG285" s="744"/>
      <c r="AH285" s="744"/>
      <c r="AI285" s="744"/>
      <c r="AJ285" s="744"/>
      <c r="AK285" s="744"/>
      <c r="AL285" s="744"/>
      <c r="AM285" s="744"/>
      <c r="AN285" s="744"/>
      <c r="AO285" s="744"/>
      <c r="AP285" s="744"/>
      <c r="AQ285" s="744"/>
    </row>
    <row r="286" spans="5:43" s="745" customFormat="1">
      <c r="E286" s="69"/>
      <c r="F286" s="910" t="s">
        <v>2238</v>
      </c>
      <c r="G286" s="911">
        <v>93382</v>
      </c>
      <c r="H286" s="913" t="s">
        <v>953</v>
      </c>
      <c r="I286" s="914" t="s">
        <v>644</v>
      </c>
      <c r="J286" s="919">
        <v>3.02</v>
      </c>
      <c r="K286" s="1012">
        <f>IF($G286="","",IFERROR(VLOOKUP($G286,SERVIÇOS!$C:$H,6,0),IFERROR(VLOOKUP($G286,CPU!$F:$M,8,0),"")))</f>
        <v>35.909999999999997</v>
      </c>
      <c r="L286" s="855">
        <f t="shared" si="32"/>
        <v>0.2354</v>
      </c>
      <c r="M286" s="825">
        <f t="shared" si="33"/>
        <v>44.36</v>
      </c>
      <c r="N286" s="826">
        <f t="shared" si="34"/>
        <v>133.97</v>
      </c>
      <c r="O286" s="856">
        <f t="shared" si="35"/>
        <v>2108990.1700000004</v>
      </c>
      <c r="P286" s="857">
        <f t="shared" si="36"/>
        <v>6.347665481014167E-5</v>
      </c>
      <c r="Q286" s="857">
        <f t="shared" si="37"/>
        <v>0.99926581338413056</v>
      </c>
      <c r="R286" s="858" t="str">
        <f t="shared" si="38"/>
        <v>C</v>
      </c>
      <c r="S286" s="81"/>
      <c r="T286" s="410">
        <f t="shared" si="39"/>
        <v>2110539.7000000007</v>
      </c>
      <c r="U286" s="69"/>
      <c r="V286" s="69"/>
      <c r="W286" s="69"/>
      <c r="X286" s="744"/>
      <c r="Y286" s="744"/>
      <c r="Z286" s="744"/>
      <c r="AA286" s="744"/>
      <c r="AB286" s="744"/>
      <c r="AC286" s="744"/>
      <c r="AD286" s="744"/>
      <c r="AE286" s="744"/>
      <c r="AF286" s="744"/>
      <c r="AG286" s="744"/>
      <c r="AH286" s="744"/>
      <c r="AI286" s="744"/>
      <c r="AJ286" s="744"/>
      <c r="AK286" s="744"/>
      <c r="AL286" s="744"/>
      <c r="AM286" s="744"/>
      <c r="AN286" s="744"/>
      <c r="AO286" s="744"/>
      <c r="AP286" s="744"/>
      <c r="AQ286" s="744"/>
    </row>
    <row r="287" spans="5:43" s="745" customFormat="1">
      <c r="E287" s="69"/>
      <c r="F287" s="910" t="s">
        <v>2239</v>
      </c>
      <c r="G287" s="911" t="s">
        <v>8971</v>
      </c>
      <c r="H287" s="913" t="s">
        <v>8973</v>
      </c>
      <c r="I287" s="914" t="s">
        <v>2666</v>
      </c>
      <c r="J287" s="920">
        <v>1</v>
      </c>
      <c r="K287" s="1012">
        <f>IF($G287="","",IFERROR(VLOOKUP($G287,SERVIÇOS!$C:$H,6,0),IFERROR(VLOOKUP($G287,CPU!$F:$M,8,0),"")))</f>
        <v>106.91999999999999</v>
      </c>
      <c r="L287" s="855">
        <f t="shared" si="32"/>
        <v>0.2354</v>
      </c>
      <c r="M287" s="825">
        <f t="shared" si="33"/>
        <v>132.09</v>
      </c>
      <c r="N287" s="826">
        <f t="shared" si="34"/>
        <v>132.09</v>
      </c>
      <c r="O287" s="856">
        <f t="shared" si="35"/>
        <v>2109122.2600000002</v>
      </c>
      <c r="P287" s="857">
        <f t="shared" si="36"/>
        <v>6.2585887391741535E-5</v>
      </c>
      <c r="Q287" s="857">
        <f t="shared" si="37"/>
        <v>0.99932839927152228</v>
      </c>
      <c r="R287" s="858" t="str">
        <f t="shared" si="38"/>
        <v>C</v>
      </c>
      <c r="S287" s="81"/>
      <c r="T287" s="410">
        <f t="shared" si="39"/>
        <v>2110539.7000000007</v>
      </c>
      <c r="U287" s="69"/>
      <c r="V287" s="69"/>
      <c r="W287" s="69"/>
      <c r="X287" s="744"/>
      <c r="Y287" s="744"/>
      <c r="Z287" s="744"/>
      <c r="AA287" s="744"/>
      <c r="AB287" s="744"/>
      <c r="AC287" s="744"/>
      <c r="AD287" s="744"/>
      <c r="AE287" s="744"/>
      <c r="AF287" s="744"/>
      <c r="AG287" s="744"/>
      <c r="AH287" s="744"/>
      <c r="AI287" s="744"/>
      <c r="AJ287" s="744"/>
      <c r="AK287" s="744"/>
      <c r="AL287" s="744"/>
      <c r="AM287" s="744"/>
      <c r="AN287" s="744"/>
      <c r="AO287" s="744"/>
      <c r="AP287" s="744"/>
      <c r="AQ287" s="744"/>
    </row>
    <row r="288" spans="5:43" s="745" customFormat="1">
      <c r="E288" s="69"/>
      <c r="F288" s="910" t="s">
        <v>2239</v>
      </c>
      <c r="G288" s="911" t="s">
        <v>8608</v>
      </c>
      <c r="H288" s="913" t="s">
        <v>8610</v>
      </c>
      <c r="I288" s="914" t="s">
        <v>648</v>
      </c>
      <c r="J288" s="920">
        <v>1.47</v>
      </c>
      <c r="K288" s="1012">
        <f>IF($G288="","",IFERROR(VLOOKUP($G288,SERVIÇOS!$C:$H,6,0),IFERROR(VLOOKUP($G288,CPU!$F:$M,8,0),"")))</f>
        <v>71.22</v>
      </c>
      <c r="L288" s="855">
        <f t="shared" si="32"/>
        <v>0.2354</v>
      </c>
      <c r="M288" s="825">
        <f t="shared" si="33"/>
        <v>87.99</v>
      </c>
      <c r="N288" s="826">
        <f t="shared" si="34"/>
        <v>129.35</v>
      </c>
      <c r="O288" s="856">
        <f t="shared" si="35"/>
        <v>2109251.6100000003</v>
      </c>
      <c r="P288" s="857">
        <f t="shared" si="36"/>
        <v>6.1287641260668994E-5</v>
      </c>
      <c r="Q288" s="857">
        <f t="shared" si="37"/>
        <v>0.99938968691278296</v>
      </c>
      <c r="R288" s="858" t="str">
        <f t="shared" si="38"/>
        <v>C</v>
      </c>
      <c r="S288" s="81"/>
      <c r="T288" s="410">
        <f t="shared" si="39"/>
        <v>2110539.7000000007</v>
      </c>
      <c r="U288" s="69"/>
      <c r="V288" s="69"/>
      <c r="W288" s="69"/>
      <c r="X288" s="744"/>
      <c r="Y288" s="744"/>
      <c r="Z288" s="744"/>
      <c r="AA288" s="744"/>
      <c r="AB288" s="744"/>
      <c r="AC288" s="744"/>
      <c r="AD288" s="744"/>
      <c r="AE288" s="744"/>
      <c r="AF288" s="744"/>
      <c r="AG288" s="744"/>
      <c r="AH288" s="744"/>
      <c r="AI288" s="744"/>
      <c r="AJ288" s="744"/>
      <c r="AK288" s="744"/>
      <c r="AL288" s="744"/>
      <c r="AM288" s="744"/>
      <c r="AN288" s="744"/>
      <c r="AO288" s="744"/>
      <c r="AP288" s="744"/>
      <c r="AQ288" s="744"/>
    </row>
    <row r="289" spans="5:43" s="745" customFormat="1">
      <c r="E289" s="69"/>
      <c r="F289" s="910" t="s">
        <v>2239</v>
      </c>
      <c r="G289" s="911" t="s">
        <v>8883</v>
      </c>
      <c r="H289" s="913" t="s">
        <v>8444</v>
      </c>
      <c r="I289" s="914" t="s">
        <v>646</v>
      </c>
      <c r="J289" s="919">
        <v>6</v>
      </c>
      <c r="K289" s="1012">
        <f>IF($G289="","",IFERROR(VLOOKUP($G289,SERVIÇOS!$C:$H,6,0),IFERROR(VLOOKUP($G289,CPU!$F:$M,8,0),"")))</f>
        <v>17.170000000000002</v>
      </c>
      <c r="L289" s="855">
        <f t="shared" si="32"/>
        <v>0.2354</v>
      </c>
      <c r="M289" s="825">
        <f t="shared" si="33"/>
        <v>21.21</v>
      </c>
      <c r="N289" s="826">
        <f t="shared" si="34"/>
        <v>127.26</v>
      </c>
      <c r="O289" s="856">
        <f t="shared" si="35"/>
        <v>2109378.87</v>
      </c>
      <c r="P289" s="857">
        <f t="shared" si="36"/>
        <v>6.029737322638374E-5</v>
      </c>
      <c r="Q289" s="857">
        <f t="shared" si="37"/>
        <v>0.9994499842860094</v>
      </c>
      <c r="R289" s="858" t="str">
        <f t="shared" si="38"/>
        <v>C</v>
      </c>
      <c r="S289" s="81"/>
      <c r="T289" s="410">
        <f t="shared" si="39"/>
        <v>2110539.7000000007</v>
      </c>
      <c r="U289" s="69"/>
      <c r="V289" s="69"/>
      <c r="W289" s="69"/>
      <c r="X289" s="744"/>
      <c r="Y289" s="744"/>
      <c r="Z289" s="744"/>
      <c r="AA289" s="744"/>
      <c r="AB289" s="744"/>
      <c r="AC289" s="744"/>
      <c r="AD289" s="744"/>
      <c r="AE289" s="744"/>
      <c r="AF289" s="744"/>
      <c r="AG289" s="744"/>
      <c r="AH289" s="744"/>
      <c r="AI289" s="744"/>
      <c r="AJ289" s="744"/>
      <c r="AK289" s="744"/>
      <c r="AL289" s="744"/>
      <c r="AM289" s="744"/>
      <c r="AN289" s="744"/>
      <c r="AO289" s="744"/>
      <c r="AP289" s="744"/>
      <c r="AQ289" s="744"/>
    </row>
    <row r="290" spans="5:43" s="745" customFormat="1" ht="25.5">
      <c r="E290" s="69"/>
      <c r="F290" s="910" t="s">
        <v>2238</v>
      </c>
      <c r="G290" s="911">
        <v>86910</v>
      </c>
      <c r="H290" s="913" t="s">
        <v>4264</v>
      </c>
      <c r="I290" s="914" t="s">
        <v>646</v>
      </c>
      <c r="J290" s="920">
        <v>1</v>
      </c>
      <c r="K290" s="1012">
        <f>IF($G290="","",IFERROR(VLOOKUP($G290,SERVIÇOS!$C:$H,6,0),IFERROR(VLOOKUP($G290,CPU!$F:$M,8,0),"")))</f>
        <v>97.61</v>
      </c>
      <c r="L290" s="855">
        <f t="shared" si="32"/>
        <v>0.2354</v>
      </c>
      <c r="M290" s="825">
        <f t="shared" si="33"/>
        <v>120.59</v>
      </c>
      <c r="N290" s="826">
        <f t="shared" si="34"/>
        <v>120.59</v>
      </c>
      <c r="O290" s="856">
        <f t="shared" si="35"/>
        <v>2109499.46</v>
      </c>
      <c r="P290" s="857">
        <f t="shared" si="36"/>
        <v>5.7137044140889632E-5</v>
      </c>
      <c r="Q290" s="857">
        <f t="shared" si="37"/>
        <v>0.99950712133015029</v>
      </c>
      <c r="R290" s="858" t="str">
        <f t="shared" si="38"/>
        <v>C</v>
      </c>
      <c r="S290" s="81"/>
      <c r="T290" s="410">
        <f t="shared" si="39"/>
        <v>2110539.7000000007</v>
      </c>
      <c r="U290" s="69"/>
      <c r="V290" s="69"/>
      <c r="W290" s="69"/>
      <c r="X290" s="744"/>
      <c r="Y290" s="744"/>
      <c r="Z290" s="744"/>
      <c r="AA290" s="744"/>
      <c r="AB290" s="744"/>
      <c r="AC290" s="744"/>
      <c r="AD290" s="744"/>
      <c r="AE290" s="744"/>
      <c r="AF290" s="744"/>
      <c r="AG290" s="744"/>
      <c r="AH290" s="744"/>
      <c r="AI290" s="744"/>
      <c r="AJ290" s="744"/>
      <c r="AK290" s="744"/>
      <c r="AL290" s="744"/>
      <c r="AM290" s="744"/>
      <c r="AN290" s="744"/>
      <c r="AO290" s="744"/>
      <c r="AP290" s="744"/>
      <c r="AQ290" s="744"/>
    </row>
    <row r="291" spans="5:43" s="745" customFormat="1" ht="25.5">
      <c r="E291" s="69"/>
      <c r="F291" s="910" t="s">
        <v>2238</v>
      </c>
      <c r="G291" s="911">
        <v>89987</v>
      </c>
      <c r="H291" s="913" t="s">
        <v>5395</v>
      </c>
      <c r="I291" s="914" t="s">
        <v>646</v>
      </c>
      <c r="J291" s="920">
        <v>1</v>
      </c>
      <c r="K291" s="1012">
        <f>IF($G291="","",IFERROR(VLOOKUP($G291,SERVIÇOS!$C:$H,6,0),IFERROR(VLOOKUP($G291,CPU!$F:$M,8,0),"")))</f>
        <v>92.23</v>
      </c>
      <c r="L291" s="855">
        <f t="shared" si="32"/>
        <v>0.2354</v>
      </c>
      <c r="M291" s="825">
        <f t="shared" si="33"/>
        <v>113.94</v>
      </c>
      <c r="N291" s="826">
        <f t="shared" si="34"/>
        <v>113.94</v>
      </c>
      <c r="O291" s="856">
        <f t="shared" si="35"/>
        <v>2109613.4</v>
      </c>
      <c r="P291" s="857">
        <f t="shared" si="36"/>
        <v>5.3986191304527444E-5</v>
      </c>
      <c r="Q291" s="857">
        <f t="shared" si="37"/>
        <v>0.99956110752145477</v>
      </c>
      <c r="R291" s="858" t="str">
        <f t="shared" si="38"/>
        <v>C</v>
      </c>
      <c r="S291" s="81"/>
      <c r="T291" s="410">
        <f t="shared" si="39"/>
        <v>2110539.7000000007</v>
      </c>
      <c r="U291" s="69"/>
      <c r="V291" s="69"/>
      <c r="W291" s="69"/>
      <c r="X291" s="744"/>
      <c r="Y291" s="744"/>
      <c r="Z291" s="744"/>
      <c r="AA291" s="744"/>
      <c r="AB291" s="744"/>
      <c r="AC291" s="744"/>
      <c r="AD291" s="744"/>
      <c r="AE291" s="744"/>
      <c r="AF291" s="744"/>
      <c r="AG291" s="744"/>
      <c r="AH291" s="744"/>
      <c r="AI291" s="744"/>
      <c r="AJ291" s="744"/>
      <c r="AK291" s="744"/>
      <c r="AL291" s="744"/>
      <c r="AM291" s="744"/>
      <c r="AN291" s="744"/>
      <c r="AO291" s="744"/>
      <c r="AP291" s="744"/>
      <c r="AQ291" s="744"/>
    </row>
    <row r="292" spans="5:43" s="745" customFormat="1" ht="25.5">
      <c r="E292" s="69"/>
      <c r="F292" s="910" t="s">
        <v>2238</v>
      </c>
      <c r="G292" s="911">
        <v>93669</v>
      </c>
      <c r="H292" s="913" t="s">
        <v>5086</v>
      </c>
      <c r="I292" s="914" t="s">
        <v>646</v>
      </c>
      <c r="J292" s="919">
        <v>1</v>
      </c>
      <c r="K292" s="1012">
        <f>IF($G292="","",IFERROR(VLOOKUP($G292,SERVIÇOS!$C:$H,6,0),IFERROR(VLOOKUP($G292,CPU!$F:$M,8,0),"")))</f>
        <v>91.24</v>
      </c>
      <c r="L292" s="855">
        <f t="shared" si="32"/>
        <v>0.2354</v>
      </c>
      <c r="M292" s="825">
        <f t="shared" si="33"/>
        <v>112.72</v>
      </c>
      <c r="N292" s="826">
        <f t="shared" si="34"/>
        <v>112.72</v>
      </c>
      <c r="O292" s="856">
        <f t="shared" si="35"/>
        <v>2109726.12</v>
      </c>
      <c r="P292" s="857">
        <f t="shared" si="36"/>
        <v>5.340814010748055E-5</v>
      </c>
      <c r="Q292" s="857">
        <f t="shared" si="37"/>
        <v>0.99961451566156223</v>
      </c>
      <c r="R292" s="858" t="str">
        <f t="shared" si="38"/>
        <v>C</v>
      </c>
      <c r="S292" s="81"/>
      <c r="T292" s="410">
        <f t="shared" si="39"/>
        <v>2110539.7000000007</v>
      </c>
      <c r="U292" s="69"/>
      <c r="V292" s="69"/>
      <c r="W292" s="69"/>
      <c r="X292" s="744"/>
      <c r="Y292" s="744"/>
      <c r="Z292" s="744"/>
      <c r="AA292" s="744"/>
      <c r="AB292" s="744"/>
      <c r="AC292" s="744"/>
      <c r="AD292" s="744"/>
      <c r="AE292" s="744"/>
      <c r="AF292" s="744"/>
      <c r="AG292" s="744"/>
      <c r="AH292" s="744"/>
      <c r="AI292" s="744"/>
      <c r="AJ292" s="744"/>
      <c r="AK292" s="744"/>
      <c r="AL292" s="744"/>
      <c r="AM292" s="744"/>
      <c r="AN292" s="744"/>
      <c r="AO292" s="744"/>
      <c r="AP292" s="744"/>
      <c r="AQ292" s="744"/>
    </row>
    <row r="293" spans="5:43" s="745" customFormat="1">
      <c r="E293" s="69"/>
      <c r="F293" s="910" t="s">
        <v>2239</v>
      </c>
      <c r="G293" s="911" t="s">
        <v>8497</v>
      </c>
      <c r="H293" s="913" t="s">
        <v>8498</v>
      </c>
      <c r="I293" s="914" t="s">
        <v>646</v>
      </c>
      <c r="J293" s="920">
        <v>2</v>
      </c>
      <c r="K293" s="1012">
        <f>IF($G293="","",IFERROR(VLOOKUP($G293,SERVIÇOS!$C:$H,6,0),IFERROR(VLOOKUP($G293,CPU!$F:$M,8,0),"")))</f>
        <v>42.31</v>
      </c>
      <c r="L293" s="855">
        <f t="shared" si="32"/>
        <v>0.2354</v>
      </c>
      <c r="M293" s="825">
        <f t="shared" si="33"/>
        <v>52.27</v>
      </c>
      <c r="N293" s="826">
        <f t="shared" si="34"/>
        <v>104.54</v>
      </c>
      <c r="O293" s="856">
        <f t="shared" si="35"/>
        <v>2109830.66</v>
      </c>
      <c r="P293" s="857">
        <f t="shared" si="36"/>
        <v>4.9532354212526768E-5</v>
      </c>
      <c r="Q293" s="857">
        <f t="shared" si="37"/>
        <v>0.9996640480157748</v>
      </c>
      <c r="R293" s="858" t="str">
        <f t="shared" si="38"/>
        <v>C</v>
      </c>
      <c r="S293" s="81"/>
      <c r="T293" s="410">
        <f t="shared" si="39"/>
        <v>2110539.7000000007</v>
      </c>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row>
    <row r="294" spans="5:43" s="745" customFormat="1" ht="25.5">
      <c r="E294" s="69"/>
      <c r="F294" s="910" t="s">
        <v>2239</v>
      </c>
      <c r="G294" s="911" t="s">
        <v>8876</v>
      </c>
      <c r="H294" s="913" t="s">
        <v>8877</v>
      </c>
      <c r="I294" s="914" t="s">
        <v>646</v>
      </c>
      <c r="J294" s="920">
        <v>6</v>
      </c>
      <c r="K294" s="1012">
        <f>IF($G294="","",IFERROR(VLOOKUP($G294,SERVIÇOS!$C:$H,6,0),IFERROR(VLOOKUP($G294,CPU!$F:$M,8,0),"")))</f>
        <v>13.36</v>
      </c>
      <c r="L294" s="855">
        <f t="shared" si="32"/>
        <v>0.2354</v>
      </c>
      <c r="M294" s="825">
        <f t="shared" si="33"/>
        <v>16.5</v>
      </c>
      <c r="N294" s="826">
        <f t="shared" si="34"/>
        <v>99</v>
      </c>
      <c r="O294" s="856">
        <f t="shared" si="35"/>
        <v>2109929.66</v>
      </c>
      <c r="P294" s="857">
        <f t="shared" si="36"/>
        <v>4.6907433202985931E-5</v>
      </c>
      <c r="Q294" s="857">
        <f t="shared" si="37"/>
        <v>0.99971095544897781</v>
      </c>
      <c r="R294" s="858" t="str">
        <f t="shared" si="38"/>
        <v>C</v>
      </c>
      <c r="S294" s="81"/>
      <c r="T294" s="410">
        <f t="shared" si="39"/>
        <v>2110539.7000000007</v>
      </c>
      <c r="U294" s="69"/>
      <c r="V294" s="69"/>
      <c r="W294" s="69"/>
      <c r="X294" s="744"/>
      <c r="Y294" s="744"/>
      <c r="Z294" s="744"/>
      <c r="AA294" s="744"/>
      <c r="AB294" s="744"/>
      <c r="AC294" s="744"/>
      <c r="AD294" s="744"/>
      <c r="AE294" s="744"/>
      <c r="AF294" s="744"/>
      <c r="AG294" s="744"/>
      <c r="AH294" s="744"/>
      <c r="AI294" s="744"/>
      <c r="AJ294" s="744"/>
      <c r="AK294" s="744"/>
      <c r="AL294" s="744"/>
      <c r="AM294" s="744"/>
      <c r="AN294" s="744"/>
      <c r="AO294" s="744"/>
      <c r="AP294" s="744"/>
      <c r="AQ294" s="744"/>
    </row>
    <row r="295" spans="5:43" s="745" customFormat="1" ht="25.5">
      <c r="E295" s="69"/>
      <c r="F295" s="910" t="s">
        <v>2238</v>
      </c>
      <c r="G295" s="911">
        <v>86914</v>
      </c>
      <c r="H295" s="913" t="s">
        <v>4267</v>
      </c>
      <c r="I295" s="914" t="s">
        <v>646</v>
      </c>
      <c r="J295" s="920">
        <v>1</v>
      </c>
      <c r="K295" s="1012">
        <f>IF($G295="","",IFERROR(VLOOKUP($G295,SERVIÇOS!$C:$H,6,0),IFERROR(VLOOKUP($G295,CPU!$F:$M,8,0),"")))</f>
        <v>75.88</v>
      </c>
      <c r="L295" s="855">
        <f t="shared" si="32"/>
        <v>0.2354</v>
      </c>
      <c r="M295" s="825">
        <f t="shared" si="33"/>
        <v>93.74</v>
      </c>
      <c r="N295" s="826">
        <f t="shared" si="34"/>
        <v>93.74</v>
      </c>
      <c r="O295" s="856">
        <f t="shared" si="35"/>
        <v>2110023.4000000004</v>
      </c>
      <c r="P295" s="857">
        <f t="shared" si="36"/>
        <v>4.4415179681291927E-5</v>
      </c>
      <c r="Q295" s="857">
        <f t="shared" si="37"/>
        <v>0.99975537062865916</v>
      </c>
      <c r="R295" s="858" t="str">
        <f t="shared" si="38"/>
        <v>C</v>
      </c>
      <c r="S295" s="81"/>
      <c r="T295" s="410">
        <f t="shared" si="39"/>
        <v>2110539.7000000007</v>
      </c>
      <c r="U295" s="69"/>
      <c r="V295" s="69"/>
      <c r="W295" s="69"/>
      <c r="X295" s="744"/>
      <c r="Y295" s="744"/>
      <c r="Z295" s="744"/>
      <c r="AA295" s="744"/>
      <c r="AB295" s="744"/>
      <c r="AC295" s="744"/>
      <c r="AD295" s="744"/>
      <c r="AE295" s="744"/>
      <c r="AF295" s="744"/>
      <c r="AG295" s="744"/>
      <c r="AH295" s="744"/>
      <c r="AI295" s="744"/>
      <c r="AJ295" s="744"/>
      <c r="AK295" s="744"/>
      <c r="AL295" s="744"/>
      <c r="AM295" s="744"/>
      <c r="AN295" s="744"/>
      <c r="AO295" s="744"/>
      <c r="AP295" s="744"/>
      <c r="AQ295" s="744"/>
    </row>
    <row r="296" spans="5:43" s="745" customFormat="1" ht="25.5">
      <c r="E296" s="69"/>
      <c r="F296" s="910" t="s">
        <v>2238</v>
      </c>
      <c r="G296" s="911">
        <v>101616</v>
      </c>
      <c r="H296" s="913" t="s">
        <v>4457</v>
      </c>
      <c r="I296" s="914" t="s">
        <v>649</v>
      </c>
      <c r="J296" s="920">
        <v>8.4</v>
      </c>
      <c r="K296" s="1012">
        <f>IF($G296="","",IFERROR(VLOOKUP($G296,SERVIÇOS!$C:$H,6,0),IFERROR(VLOOKUP($G296,CPU!$F:$M,8,0),"")))</f>
        <v>7.03</v>
      </c>
      <c r="L296" s="855">
        <f t="shared" si="32"/>
        <v>0.2354</v>
      </c>
      <c r="M296" s="825">
        <f t="shared" si="33"/>
        <v>8.68</v>
      </c>
      <c r="N296" s="826">
        <f t="shared" si="34"/>
        <v>72.91</v>
      </c>
      <c r="O296" s="856">
        <f t="shared" si="35"/>
        <v>2110096.3100000005</v>
      </c>
      <c r="P296" s="857">
        <f t="shared" si="36"/>
        <v>3.454566621040105E-5</v>
      </c>
      <c r="Q296" s="857">
        <f t="shared" si="37"/>
        <v>0.99978991629486957</v>
      </c>
      <c r="R296" s="858" t="str">
        <f t="shared" si="38"/>
        <v>C</v>
      </c>
      <c r="S296" s="81"/>
      <c r="T296" s="410">
        <f t="shared" si="39"/>
        <v>2110539.7000000007</v>
      </c>
      <c r="U296" s="69"/>
      <c r="V296" s="69"/>
      <c r="W296" s="69"/>
      <c r="X296" s="744"/>
      <c r="Y296" s="744"/>
      <c r="Z296" s="744"/>
      <c r="AA296" s="744"/>
      <c r="AB296" s="744"/>
      <c r="AC296" s="744"/>
      <c r="AD296" s="744"/>
      <c r="AE296" s="744"/>
      <c r="AF296" s="744"/>
      <c r="AG296" s="744"/>
      <c r="AH296" s="744"/>
      <c r="AI296" s="744"/>
      <c r="AJ296" s="744"/>
      <c r="AK296" s="744"/>
      <c r="AL296" s="744"/>
      <c r="AM296" s="744"/>
      <c r="AN296" s="744"/>
      <c r="AO296" s="744"/>
      <c r="AP296" s="744"/>
      <c r="AQ296" s="744"/>
    </row>
    <row r="297" spans="5:43" s="745" customFormat="1" ht="25.5">
      <c r="E297" s="69"/>
      <c r="F297" s="910" t="s">
        <v>2239</v>
      </c>
      <c r="G297" s="911" t="s">
        <v>8541</v>
      </c>
      <c r="H297" s="913" t="s">
        <v>8542</v>
      </c>
      <c r="I297" s="914" t="s">
        <v>648</v>
      </c>
      <c r="J297" s="920">
        <v>2</v>
      </c>
      <c r="K297" s="1012">
        <f>IF($G297="","",IFERROR(VLOOKUP($G297,SERVIÇOS!$C:$H,6,0),IFERROR(VLOOKUP($G297,CPU!$F:$M,8,0),"")))</f>
        <v>28.71</v>
      </c>
      <c r="L297" s="855">
        <f t="shared" si="32"/>
        <v>0.2354</v>
      </c>
      <c r="M297" s="825">
        <f t="shared" si="33"/>
        <v>35.47</v>
      </c>
      <c r="N297" s="826">
        <f t="shared" si="34"/>
        <v>70.94</v>
      </c>
      <c r="O297" s="856">
        <f t="shared" si="35"/>
        <v>2110167.2500000005</v>
      </c>
      <c r="P297" s="857">
        <f t="shared" si="36"/>
        <v>3.3612255670907293E-5</v>
      </c>
      <c r="Q297" s="857">
        <f t="shared" si="37"/>
        <v>0.99982352855054046</v>
      </c>
      <c r="R297" s="858" t="str">
        <f t="shared" si="38"/>
        <v>C</v>
      </c>
      <c r="S297" s="81"/>
      <c r="T297" s="410">
        <f t="shared" si="39"/>
        <v>2110539.7000000007</v>
      </c>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row>
    <row r="298" spans="5:43" s="745" customFormat="1">
      <c r="E298" s="69"/>
      <c r="F298" s="910" t="s">
        <v>2239</v>
      </c>
      <c r="G298" s="911" t="s">
        <v>8978</v>
      </c>
      <c r="H298" s="913" t="s">
        <v>8977</v>
      </c>
      <c r="I298" s="914" t="s">
        <v>649</v>
      </c>
      <c r="J298" s="920">
        <v>0.45</v>
      </c>
      <c r="K298" s="1012">
        <f>IF($G298="","",IFERROR(VLOOKUP($G298,SERVIÇOS!$C:$H,6,0),IFERROR(VLOOKUP($G298,CPU!$F:$M,8,0),"")))</f>
        <v>96.210000000000008</v>
      </c>
      <c r="L298" s="855">
        <f t="shared" si="32"/>
        <v>0.2354</v>
      </c>
      <c r="M298" s="825">
        <f t="shared" si="33"/>
        <v>118.86</v>
      </c>
      <c r="N298" s="826">
        <f t="shared" si="34"/>
        <v>53.49</v>
      </c>
      <c r="O298" s="856">
        <f t="shared" si="35"/>
        <v>2110220.7400000007</v>
      </c>
      <c r="P298" s="857">
        <f t="shared" si="36"/>
        <v>2.5344228303310278E-5</v>
      </c>
      <c r="Q298" s="857">
        <f t="shared" si="37"/>
        <v>0.99984887277884382</v>
      </c>
      <c r="R298" s="858" t="str">
        <f t="shared" si="38"/>
        <v>C</v>
      </c>
      <c r="S298" s="81"/>
      <c r="T298" s="410">
        <f t="shared" si="39"/>
        <v>2110539.7000000007</v>
      </c>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row>
    <row r="299" spans="5:43" s="745" customFormat="1" ht="25.5">
      <c r="E299" s="69"/>
      <c r="F299" s="910" t="s">
        <v>2239</v>
      </c>
      <c r="G299" s="911" t="s">
        <v>5277</v>
      </c>
      <c r="H299" s="913" t="s">
        <v>6786</v>
      </c>
      <c r="I299" s="914" t="s">
        <v>649</v>
      </c>
      <c r="J299" s="919">
        <v>3.7</v>
      </c>
      <c r="K299" s="1012">
        <f>IF($G299="","",IFERROR(VLOOKUP($G299,SERVIÇOS!$C:$H,6,0),IFERROR(VLOOKUP($G299,CPU!$F:$M,8,0),"")))</f>
        <v>10.82</v>
      </c>
      <c r="L299" s="855">
        <f t="shared" si="32"/>
        <v>0.2354</v>
      </c>
      <c r="M299" s="825">
        <f t="shared" si="33"/>
        <v>13.37</v>
      </c>
      <c r="N299" s="826">
        <f t="shared" si="34"/>
        <v>49.47</v>
      </c>
      <c r="O299" s="856">
        <f t="shared" si="35"/>
        <v>2110270.2100000009</v>
      </c>
      <c r="P299" s="857">
        <f t="shared" si="36"/>
        <v>2.3439502227795092E-5</v>
      </c>
      <c r="Q299" s="857">
        <f t="shared" si="37"/>
        <v>0.99987231228107165</v>
      </c>
      <c r="R299" s="858" t="str">
        <f t="shared" si="38"/>
        <v>C</v>
      </c>
      <c r="S299" s="81"/>
      <c r="T299" s="410">
        <f t="shared" si="39"/>
        <v>2110539.7000000007</v>
      </c>
      <c r="U299" s="69"/>
      <c r="V299" s="69"/>
      <c r="W299" s="69"/>
      <c r="X299" s="744"/>
      <c r="Y299" s="744"/>
      <c r="Z299" s="744"/>
      <c r="AA299" s="744"/>
      <c r="AB299" s="744"/>
      <c r="AC299" s="744"/>
      <c r="AD299" s="744"/>
      <c r="AE299" s="744"/>
      <c r="AF299" s="744"/>
      <c r="AG299" s="744"/>
      <c r="AH299" s="744"/>
      <c r="AI299" s="744"/>
      <c r="AJ299" s="744"/>
      <c r="AK299" s="744"/>
      <c r="AL299" s="744"/>
      <c r="AM299" s="744"/>
      <c r="AN299" s="744"/>
      <c r="AO299" s="744"/>
      <c r="AP299" s="744"/>
      <c r="AQ299" s="744"/>
    </row>
    <row r="300" spans="5:43" s="745" customFormat="1" ht="38.25">
      <c r="E300" s="69"/>
      <c r="F300" s="910" t="s">
        <v>2239</v>
      </c>
      <c r="G300" s="911" t="s">
        <v>8452</v>
      </c>
      <c r="H300" s="913" t="s">
        <v>8453</v>
      </c>
      <c r="I300" s="914" t="s">
        <v>646</v>
      </c>
      <c r="J300" s="920">
        <v>1</v>
      </c>
      <c r="K300" s="1012">
        <f>IF($G300="","",IFERROR(VLOOKUP($G300,SERVIÇOS!$C:$H,6,0),IFERROR(VLOOKUP($G300,CPU!$F:$M,8,0),"")))</f>
        <v>39.869999999999997</v>
      </c>
      <c r="L300" s="855">
        <f t="shared" si="32"/>
        <v>0.2354</v>
      </c>
      <c r="M300" s="825">
        <f t="shared" si="33"/>
        <v>49.26</v>
      </c>
      <c r="N300" s="826">
        <f t="shared" si="34"/>
        <v>49.26</v>
      </c>
      <c r="O300" s="856">
        <f t="shared" si="35"/>
        <v>2110319.4700000007</v>
      </c>
      <c r="P300" s="857">
        <f t="shared" si="36"/>
        <v>2.334000161190997E-5</v>
      </c>
      <c r="Q300" s="857">
        <f t="shared" si="37"/>
        <v>0.99989565228268351</v>
      </c>
      <c r="R300" s="858" t="str">
        <f t="shared" si="38"/>
        <v>C</v>
      </c>
      <c r="S300" s="81"/>
      <c r="T300" s="410">
        <f t="shared" si="39"/>
        <v>2110539.7000000007</v>
      </c>
      <c r="U300" s="69"/>
      <c r="V300" s="69"/>
      <c r="W300" s="69"/>
      <c r="X300" s="744"/>
      <c r="Y300" s="744"/>
      <c r="Z300" s="744"/>
      <c r="AA300" s="744"/>
      <c r="AB300" s="744"/>
      <c r="AC300" s="744"/>
      <c r="AD300" s="744"/>
      <c r="AE300" s="744"/>
      <c r="AF300" s="744"/>
      <c r="AG300" s="744"/>
      <c r="AH300" s="744"/>
      <c r="AI300" s="744"/>
      <c r="AJ300" s="744"/>
      <c r="AK300" s="744"/>
      <c r="AL300" s="744"/>
      <c r="AM300" s="744"/>
      <c r="AN300" s="744"/>
      <c r="AO300" s="744"/>
      <c r="AP300" s="744"/>
      <c r="AQ300" s="744"/>
    </row>
    <row r="301" spans="5:43" s="745" customFormat="1">
      <c r="E301" s="69"/>
      <c r="F301" s="910" t="s">
        <v>2238</v>
      </c>
      <c r="G301" s="911">
        <v>88484</v>
      </c>
      <c r="H301" s="913" t="s">
        <v>311</v>
      </c>
      <c r="I301" s="914" t="s">
        <v>649</v>
      </c>
      <c r="J301" s="920">
        <v>10.559999999999999</v>
      </c>
      <c r="K301" s="1012">
        <f>IF($G301="","",IFERROR(VLOOKUP($G301,SERVIÇOS!$C:$H,6,0),IFERROR(VLOOKUP($G301,CPU!$F:$M,8,0),"")))</f>
        <v>3.76</v>
      </c>
      <c r="L301" s="855">
        <f t="shared" si="32"/>
        <v>0.2354</v>
      </c>
      <c r="M301" s="825">
        <f t="shared" si="33"/>
        <v>4.6500000000000004</v>
      </c>
      <c r="N301" s="826">
        <f t="shared" si="34"/>
        <v>49.1</v>
      </c>
      <c r="O301" s="856">
        <f t="shared" si="35"/>
        <v>2110368.5700000008</v>
      </c>
      <c r="P301" s="857">
        <f t="shared" si="36"/>
        <v>2.326419161885464E-5</v>
      </c>
      <c r="Q301" s="857">
        <f t="shared" si="37"/>
        <v>0.99991891647430231</v>
      </c>
      <c r="R301" s="858" t="str">
        <f t="shared" si="38"/>
        <v>C</v>
      </c>
      <c r="S301" s="81"/>
      <c r="T301" s="410">
        <f t="shared" si="39"/>
        <v>2110539.7000000007</v>
      </c>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row>
    <row r="302" spans="5:43" s="745" customFormat="1" ht="25.5">
      <c r="E302" s="69"/>
      <c r="F302" s="910" t="s">
        <v>2238</v>
      </c>
      <c r="G302" s="911">
        <v>90466</v>
      </c>
      <c r="H302" s="913" t="s">
        <v>230</v>
      </c>
      <c r="I302" s="914" t="s">
        <v>648</v>
      </c>
      <c r="J302" s="920">
        <v>2</v>
      </c>
      <c r="K302" s="1012">
        <f>IF($G302="","",IFERROR(VLOOKUP($G302,SERVIÇOS!$C:$H,6,0),IFERROR(VLOOKUP($G302,CPU!$F:$M,8,0),"")))</f>
        <v>15.05</v>
      </c>
      <c r="L302" s="855">
        <f t="shared" si="32"/>
        <v>0.2354</v>
      </c>
      <c r="M302" s="825">
        <f t="shared" si="33"/>
        <v>18.59</v>
      </c>
      <c r="N302" s="826">
        <f t="shared" si="34"/>
        <v>37.18</v>
      </c>
      <c r="O302" s="856">
        <f t="shared" si="35"/>
        <v>2110405.7500000009</v>
      </c>
      <c r="P302" s="857">
        <f t="shared" si="36"/>
        <v>1.7616347136232495E-5</v>
      </c>
      <c r="Q302" s="857">
        <f t="shared" si="37"/>
        <v>0.99993653282143857</v>
      </c>
      <c r="R302" s="858" t="str">
        <f t="shared" si="38"/>
        <v>C</v>
      </c>
      <c r="S302" s="81"/>
      <c r="T302" s="410">
        <f t="shared" si="39"/>
        <v>2110539.7000000007</v>
      </c>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row>
    <row r="303" spans="5:43" s="745" customFormat="1" ht="25.5">
      <c r="E303" s="69"/>
      <c r="F303" s="910" t="s">
        <v>2238</v>
      </c>
      <c r="G303" s="911">
        <v>91890</v>
      </c>
      <c r="H303" s="913" t="s">
        <v>1163</v>
      </c>
      <c r="I303" s="914" t="s">
        <v>646</v>
      </c>
      <c r="J303" s="920">
        <v>2</v>
      </c>
      <c r="K303" s="1012">
        <f>IF($G303="","",IFERROR(VLOOKUP($G303,SERVIÇOS!$C:$H,6,0),IFERROR(VLOOKUP($G303,CPU!$F:$M,8,0),"")))</f>
        <v>13.09</v>
      </c>
      <c r="L303" s="855">
        <f t="shared" si="32"/>
        <v>0.2354</v>
      </c>
      <c r="M303" s="825">
        <f t="shared" si="33"/>
        <v>16.170000000000002</v>
      </c>
      <c r="N303" s="826">
        <f t="shared" si="34"/>
        <v>32.340000000000003</v>
      </c>
      <c r="O303" s="856">
        <f t="shared" si="35"/>
        <v>2110438.0900000008</v>
      </c>
      <c r="P303" s="857">
        <f t="shared" si="36"/>
        <v>1.532309484630874E-5</v>
      </c>
      <c r="Q303" s="857">
        <f t="shared" si="37"/>
        <v>0.99995185591628488</v>
      </c>
      <c r="R303" s="858" t="str">
        <f t="shared" si="38"/>
        <v>C</v>
      </c>
      <c r="S303" s="81"/>
      <c r="T303" s="410">
        <f t="shared" si="39"/>
        <v>2110539.7000000007</v>
      </c>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row>
    <row r="304" spans="5:43" s="745" customFormat="1" ht="25.5">
      <c r="E304" s="69"/>
      <c r="F304" s="910" t="s">
        <v>2238</v>
      </c>
      <c r="G304" s="911">
        <v>97667</v>
      </c>
      <c r="H304" s="913" t="s">
        <v>7100</v>
      </c>
      <c r="I304" s="914" t="s">
        <v>648</v>
      </c>
      <c r="J304" s="920">
        <v>3</v>
      </c>
      <c r="K304" s="1012">
        <f>IF($G304="","",IFERROR(VLOOKUP($G304,SERVIÇOS!$C:$H,6,0),IFERROR(VLOOKUP($G304,CPU!$F:$M,8,0),"")))</f>
        <v>8.33</v>
      </c>
      <c r="L304" s="855">
        <f t="shared" si="32"/>
        <v>0.2354</v>
      </c>
      <c r="M304" s="825">
        <f t="shared" si="33"/>
        <v>10.29</v>
      </c>
      <c r="N304" s="826">
        <f t="shared" si="34"/>
        <v>30.87</v>
      </c>
      <c r="O304" s="856">
        <f t="shared" si="35"/>
        <v>2110468.9600000009</v>
      </c>
      <c r="P304" s="857">
        <f t="shared" si="36"/>
        <v>1.4626590535112887E-5</v>
      </c>
      <c r="Q304" s="857">
        <f t="shared" si="37"/>
        <v>0.99996648250681996</v>
      </c>
      <c r="R304" s="858" t="str">
        <f t="shared" si="38"/>
        <v>C</v>
      </c>
      <c r="S304" s="81"/>
      <c r="T304" s="410">
        <f t="shared" si="39"/>
        <v>2110539.7000000007</v>
      </c>
      <c r="U304" s="69"/>
      <c r="V304" s="69"/>
      <c r="W304" s="69"/>
      <c r="X304" s="744"/>
      <c r="Y304" s="744"/>
      <c r="Z304" s="744"/>
      <c r="AA304" s="744"/>
      <c r="AB304" s="744"/>
      <c r="AC304" s="744"/>
      <c r="AD304" s="744"/>
      <c r="AE304" s="744"/>
      <c r="AF304" s="744"/>
      <c r="AG304" s="744"/>
      <c r="AH304" s="744"/>
      <c r="AI304" s="744"/>
      <c r="AJ304" s="744"/>
      <c r="AK304" s="744"/>
      <c r="AL304" s="744"/>
      <c r="AM304" s="744"/>
      <c r="AN304" s="744"/>
      <c r="AO304" s="744"/>
      <c r="AP304" s="744"/>
      <c r="AQ304" s="744"/>
    </row>
    <row r="305" spans="5:43" s="745" customFormat="1" ht="25.5">
      <c r="E305" s="69"/>
      <c r="F305" s="910" t="s">
        <v>2239</v>
      </c>
      <c r="G305" s="911" t="s">
        <v>8525</v>
      </c>
      <c r="H305" s="913" t="s">
        <v>8527</v>
      </c>
      <c r="I305" s="914" t="s">
        <v>646</v>
      </c>
      <c r="J305" s="920">
        <v>1</v>
      </c>
      <c r="K305" s="1012">
        <f>IF($G305="","",IFERROR(VLOOKUP($G305,SERVIÇOS!$C:$H,6,0),IFERROR(VLOOKUP($G305,CPU!$F:$M,8,0),"")))</f>
        <v>24.83</v>
      </c>
      <c r="L305" s="855">
        <f t="shared" si="32"/>
        <v>0.2354</v>
      </c>
      <c r="M305" s="825">
        <f t="shared" si="33"/>
        <v>30.67</v>
      </c>
      <c r="N305" s="826">
        <f t="shared" si="34"/>
        <v>30.67</v>
      </c>
      <c r="O305" s="856">
        <f t="shared" si="35"/>
        <v>2110499.6300000008</v>
      </c>
      <c r="P305" s="857">
        <f t="shared" si="36"/>
        <v>1.4531828043793723E-5</v>
      </c>
      <c r="Q305" s="857">
        <f t="shared" si="37"/>
        <v>0.99998101433486375</v>
      </c>
      <c r="R305" s="858" t="str">
        <f t="shared" si="38"/>
        <v>C</v>
      </c>
      <c r="S305" s="81"/>
      <c r="T305" s="410">
        <f t="shared" si="39"/>
        <v>2110539.7000000007</v>
      </c>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row>
    <row r="306" spans="5:43" s="745" customFormat="1" ht="25.5">
      <c r="E306" s="69"/>
      <c r="F306" s="910" t="s">
        <v>2238</v>
      </c>
      <c r="G306" s="911">
        <v>86882</v>
      </c>
      <c r="H306" s="913" t="s">
        <v>4243</v>
      </c>
      <c r="I306" s="914" t="s">
        <v>646</v>
      </c>
      <c r="J306" s="920">
        <v>1</v>
      </c>
      <c r="K306" s="1012">
        <f>IF($G306="","",IFERROR(VLOOKUP($G306,SERVIÇOS!$C:$H,6,0),IFERROR(VLOOKUP($G306,CPU!$F:$M,8,0),"")))</f>
        <v>20.59</v>
      </c>
      <c r="L306" s="855">
        <f t="shared" si="32"/>
        <v>0.2354</v>
      </c>
      <c r="M306" s="825">
        <f t="shared" si="33"/>
        <v>25.44</v>
      </c>
      <c r="N306" s="826">
        <f t="shared" si="34"/>
        <v>25.44</v>
      </c>
      <c r="O306" s="856">
        <f t="shared" si="35"/>
        <v>2110525.0700000008</v>
      </c>
      <c r="P306" s="857">
        <f t="shared" si="36"/>
        <v>1.2053788895797598E-5</v>
      </c>
      <c r="Q306" s="857">
        <f t="shared" si="37"/>
        <v>0.99999306812375954</v>
      </c>
      <c r="R306" s="858" t="str">
        <f t="shared" si="38"/>
        <v>C</v>
      </c>
      <c r="S306" s="81"/>
      <c r="T306" s="410">
        <f t="shared" si="39"/>
        <v>2110539.7000000007</v>
      </c>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row>
    <row r="307" spans="5:43" s="745" customFormat="1">
      <c r="E307" s="69"/>
      <c r="F307" s="910" t="s">
        <v>2238</v>
      </c>
      <c r="G307" s="911">
        <v>86883</v>
      </c>
      <c r="H307" s="913" t="s">
        <v>4244</v>
      </c>
      <c r="I307" s="914" t="s">
        <v>646</v>
      </c>
      <c r="J307" s="920">
        <v>1</v>
      </c>
      <c r="K307" s="1012">
        <f>IF($G307="","",IFERROR(VLOOKUP($G307,SERVIÇOS!$C:$H,6,0),IFERROR(VLOOKUP($G307,CPU!$F:$M,8,0),"")))</f>
        <v>11.84</v>
      </c>
      <c r="L307" s="855">
        <f t="shared" si="32"/>
        <v>0.2354</v>
      </c>
      <c r="M307" s="825">
        <f t="shared" si="33"/>
        <v>14.63</v>
      </c>
      <c r="N307" s="826">
        <f t="shared" si="34"/>
        <v>14.63</v>
      </c>
      <c r="O307" s="856">
        <f t="shared" si="35"/>
        <v>2110539.7000000007</v>
      </c>
      <c r="P307" s="857">
        <f t="shared" si="36"/>
        <v>6.9318762399968108E-6</v>
      </c>
      <c r="Q307" s="857">
        <f t="shared" si="37"/>
        <v>0.99999999999999956</v>
      </c>
      <c r="R307" s="858" t="str">
        <f t="shared" si="38"/>
        <v>C</v>
      </c>
      <c r="S307" s="81"/>
      <c r="T307" s="410">
        <f>N314</f>
        <v>2110539.7000000007</v>
      </c>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row>
    <row r="308" spans="5:43" s="745" customFormat="1">
      <c r="E308" s="69"/>
      <c r="F308" s="1217"/>
      <c r="G308" s="1218"/>
      <c r="H308" s="1219"/>
      <c r="I308" s="1220"/>
      <c r="J308" s="1221"/>
      <c r="K308" s="1222"/>
      <c r="L308" s="1223"/>
      <c r="M308" s="1224"/>
      <c r="N308" s="1225"/>
      <c r="O308" s="1226"/>
      <c r="P308" s="1227"/>
      <c r="Q308" s="1227"/>
      <c r="R308" s="1228"/>
      <c r="S308" s="81"/>
      <c r="T308" s="410"/>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row>
    <row r="309" spans="5:43" s="745" customFormat="1">
      <c r="E309" s="69"/>
      <c r="F309" s="1217"/>
      <c r="G309" s="1218"/>
      <c r="H309" s="1219"/>
      <c r="I309" s="1220"/>
      <c r="J309" s="1221"/>
      <c r="K309" s="406"/>
      <c r="L309" s="1229"/>
      <c r="M309" s="1230"/>
      <c r="N309" s="1231"/>
      <c r="O309" s="1232"/>
      <c r="P309" s="1227"/>
      <c r="Q309" s="1227"/>
      <c r="R309" s="1228"/>
      <c r="S309" s="81"/>
      <c r="T309" s="410"/>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row>
    <row r="310" spans="5:43" s="745" customFormat="1">
      <c r="E310" s="69"/>
      <c r="F310" s="1217"/>
      <c r="G310" s="1218"/>
      <c r="H310" s="1219"/>
      <c r="I310" s="1220"/>
      <c r="J310" s="1221"/>
      <c r="K310" s="406"/>
      <c r="L310" s="1229"/>
      <c r="M310" s="1230"/>
      <c r="N310" s="1231"/>
      <c r="O310" s="1232"/>
      <c r="P310" s="196"/>
      <c r="Q310" s="196"/>
      <c r="R310" s="197"/>
      <c r="S310" s="81"/>
      <c r="T310" s="410"/>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row>
    <row r="311" spans="5:43" s="745" customFormat="1">
      <c r="E311" s="69"/>
      <c r="F311" s="1217"/>
      <c r="G311" s="1218"/>
      <c r="H311" s="1219"/>
      <c r="I311" s="1220"/>
      <c r="J311" s="1221"/>
      <c r="K311" s="406"/>
      <c r="L311" s="1229"/>
      <c r="M311" s="1230"/>
      <c r="N311" s="1231"/>
      <c r="O311" s="1232"/>
      <c r="P311" s="1089" t="s">
        <v>2691</v>
      </c>
      <c r="Q311" s="1090"/>
      <c r="R311" s="1089"/>
      <c r="S311" s="81"/>
      <c r="T311" s="410"/>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row>
    <row r="312" spans="5:43" s="745" customFormat="1">
      <c r="E312" s="69"/>
      <c r="F312" s="1217"/>
      <c r="G312" s="1218"/>
      <c r="H312" s="1219"/>
      <c r="I312" s="1220"/>
      <c r="J312" s="1221"/>
      <c r="K312" s="406"/>
      <c r="L312" s="1229"/>
      <c r="M312" s="1230"/>
      <c r="N312" s="1231"/>
      <c r="O312" s="1232"/>
      <c r="P312" s="1078" t="s">
        <v>2692</v>
      </c>
      <c r="Q312" s="1078"/>
      <c r="R312" s="1078"/>
      <c r="S312" s="81"/>
      <c r="T312" s="410"/>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row>
    <row r="313" spans="5:43" s="745" customFormat="1">
      <c r="E313" s="69"/>
      <c r="F313" s="1217"/>
      <c r="G313" s="1218"/>
      <c r="H313" s="1219"/>
      <c r="I313" s="1220"/>
      <c r="J313" s="1221"/>
      <c r="K313" s="406"/>
      <c r="L313" s="1229"/>
      <c r="M313" s="1230"/>
      <c r="N313" s="1231"/>
      <c r="O313" s="1232"/>
      <c r="P313" s="1227"/>
      <c r="Q313" s="1227"/>
      <c r="R313" s="1228"/>
      <c r="S313" s="81"/>
      <c r="T313" s="410"/>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row>
    <row r="314" spans="5:43">
      <c r="N314" s="1015">
        <f>SUM(N12:N307)</f>
        <v>2110539.7000000007</v>
      </c>
    </row>
  </sheetData>
  <autoFilter ref="E11:AQ307" xr:uid="{00000000-0001-0000-0D00-000000000000}">
    <sortState xmlns:xlrd2="http://schemas.microsoft.com/office/spreadsheetml/2017/richdata2" ref="E12:AQ307">
      <sortCondition descending="1" ref="N11:N307"/>
    </sortState>
  </autoFilter>
  <mergeCells count="4">
    <mergeCell ref="F7:R7"/>
    <mergeCell ref="F8:R8"/>
    <mergeCell ref="P311:R311"/>
    <mergeCell ref="P312:R312"/>
  </mergeCells>
  <printOptions horizontalCentered="1"/>
  <pageMargins left="0.19685039370078741" right="0.19685039370078741" top="1.1811023622047245" bottom="0.98425196850393704" header="0.59055118110236227" footer="0.19685039370078741"/>
  <pageSetup paperSize="9" scale="66" firstPageNumber="0" fitToHeight="0" orientation="landscape" r:id="rId1"/>
  <headerFooter>
    <oddFooter>&amp;R&amp;P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filterMode="1">
    <tabColor rgb="FF00B0F0"/>
  </sheetPr>
  <dimension ref="A1:R969"/>
  <sheetViews>
    <sheetView view="pageBreakPreview" zoomScaleNormal="100" zoomScaleSheetLayoutView="100" workbookViewId="0">
      <pane ySplit="11" topLeftCell="A12" activePane="bottomLeft" state="frozen"/>
      <selection pane="bottomLeft" activeCell="Q187" sqref="Q187"/>
    </sheetView>
  </sheetViews>
  <sheetFormatPr defaultRowHeight="15"/>
  <cols>
    <col min="1" max="4" width="9.140625" style="122"/>
    <col min="5" max="5" width="11.7109375" style="122" bestFit="1" customWidth="1"/>
    <col min="6" max="6" width="13.5703125" style="122" customWidth="1"/>
    <col min="7" max="7" width="83.28515625" style="897" customWidth="1"/>
    <col min="8" max="8" width="9.140625" style="122"/>
    <col min="9" max="9" width="9.7109375" style="122" bestFit="1" customWidth="1"/>
    <col min="10" max="10" width="10.28515625" style="122" bestFit="1" customWidth="1"/>
    <col min="11" max="11" width="11.140625" style="122" customWidth="1"/>
    <col min="12" max="12" width="11.5703125" style="122" customWidth="1"/>
    <col min="13" max="13" width="13.28515625" style="122" customWidth="1"/>
    <col min="14" max="14" width="18.28515625" style="898" customWidth="1"/>
    <col min="15" max="15" width="10.140625" style="122" customWidth="1"/>
    <col min="16" max="16" width="9.140625" style="122"/>
    <col min="17" max="17" width="9.42578125" style="122" bestFit="1" customWidth="1"/>
    <col min="18" max="16384" width="9.140625" style="122"/>
  </cols>
  <sheetData>
    <row r="1" spans="2:15" s="125" customFormat="1" ht="12.75">
      <c r="C1" s="482" t="s">
        <v>2690</v>
      </c>
      <c r="D1" s="881"/>
      <c r="E1" s="881"/>
      <c r="F1" s="485" t="str">
        <f>IF(DADOS!$D$9&lt;&gt;"",DADOS!$D$9,"")</f>
        <v>CÂMARA MUNICIPAL DE TAMARANA</v>
      </c>
      <c r="G1" s="882"/>
      <c r="H1" s="882"/>
      <c r="I1" s="882"/>
      <c r="J1" s="882"/>
      <c r="K1" s="882"/>
      <c r="L1" s="883"/>
      <c r="M1" s="495" t="s">
        <v>903</v>
      </c>
      <c r="N1" s="653">
        <f ca="1">IF(DADOS!$D$19&lt;&gt;"",DADOS!$D$19,"")</f>
        <v>44860</v>
      </c>
      <c r="O1" s="884"/>
    </row>
    <row r="2" spans="2:15" s="125" customFormat="1" ht="12.75">
      <c r="C2" s="491" t="s">
        <v>3714</v>
      </c>
      <c r="D2" s="881"/>
      <c r="E2" s="881"/>
      <c r="F2" s="493">
        <f>IF(DADOS!N7&lt;&gt;"",DADOS!N7)</f>
        <v>81</v>
      </c>
      <c r="G2" s="885"/>
      <c r="H2" s="885"/>
      <c r="I2" s="885"/>
      <c r="J2" s="885"/>
      <c r="K2" s="885"/>
      <c r="L2" s="886"/>
      <c r="M2" s="508" t="s">
        <v>4879</v>
      </c>
      <c r="N2" s="654" t="str">
        <f>IF(DADOS!M19&lt;&gt;"",DADOS!M19)</f>
        <v>R01</v>
      </c>
      <c r="O2" s="884"/>
    </row>
    <row r="3" spans="2:15" s="125" customFormat="1" ht="12.75">
      <c r="C3" s="491" t="s">
        <v>5330</v>
      </c>
      <c r="D3" s="881"/>
      <c r="E3" s="881"/>
      <c r="F3" s="485" t="str">
        <f>IF(DADOS!$D$13&lt;&gt;"",DADOS!$D$13,"")</f>
        <v>CÂMARA MUNICIPAL DE TAMARANA</v>
      </c>
      <c r="G3" s="885"/>
      <c r="H3" s="885"/>
      <c r="I3" s="885"/>
      <c r="J3" s="885"/>
      <c r="K3" s="885"/>
      <c r="L3" s="885"/>
      <c r="M3" s="885"/>
      <c r="N3" s="885"/>
      <c r="O3" s="884"/>
    </row>
    <row r="4" spans="2:15" s="125" customFormat="1" ht="12.75">
      <c r="C4" s="491" t="s">
        <v>6829</v>
      </c>
      <c r="D4" s="881"/>
      <c r="E4" s="881"/>
      <c r="F4" s="652" t="str">
        <f>IF(DADOS!$D$11&lt;&gt;"",DADOS!$D$11,"")</f>
        <v>RUA UBALDINO DE SÁ BITERNCOURT, S/N. - PRAÇA "A-B-3"</v>
      </c>
      <c r="G4" s="885"/>
      <c r="H4" s="885"/>
      <c r="I4" s="885"/>
      <c r="J4" s="885"/>
      <c r="K4" s="885"/>
      <c r="L4" s="885"/>
      <c r="M4" s="881"/>
      <c r="N4" s="885"/>
      <c r="O4" s="884"/>
    </row>
    <row r="5" spans="2:15" s="125" customFormat="1" ht="12.75">
      <c r="C5" s="505" t="s">
        <v>4877</v>
      </c>
      <c r="D5" s="881"/>
      <c r="E5" s="881"/>
      <c r="F5" s="473" t="str">
        <f>DADOS!D21</f>
        <v>SINAPI PR - JULHO 2022 - NÃO DESONERADO</v>
      </c>
      <c r="G5" s="887"/>
      <c r="H5" s="887"/>
      <c r="I5" s="887"/>
      <c r="J5" s="887"/>
      <c r="K5" s="887"/>
      <c r="L5" s="887"/>
      <c r="M5" s="881"/>
      <c r="N5" s="887"/>
      <c r="O5" s="884"/>
    </row>
    <row r="6" spans="2:15" s="125" customFormat="1" ht="12.75">
      <c r="F6" s="888"/>
      <c r="G6" s="888"/>
      <c r="H6" s="888"/>
      <c r="I6" s="888"/>
      <c r="J6" s="888"/>
      <c r="K6" s="888"/>
      <c r="L6" s="888"/>
      <c r="M6" s="888"/>
      <c r="N6" s="888"/>
    </row>
    <row r="7" spans="2:15" s="125" customFormat="1" ht="12.75">
      <c r="C7" s="1176" t="s">
        <v>2683</v>
      </c>
      <c r="D7" s="1177"/>
      <c r="E7" s="1177"/>
      <c r="F7" s="1177"/>
      <c r="G7" s="1177"/>
      <c r="H7" s="1177"/>
      <c r="I7" s="1177"/>
      <c r="J7" s="1177"/>
      <c r="K7" s="1177"/>
      <c r="L7" s="1177"/>
      <c r="M7" s="1177"/>
      <c r="N7" s="1177"/>
      <c r="O7" s="1178"/>
    </row>
    <row r="8" spans="2:15" s="125" customFormat="1" ht="12.75">
      <c r="F8" s="846"/>
      <c r="G8" s="889"/>
      <c r="H8" s="890"/>
      <c r="I8" s="890"/>
      <c r="N8" s="891"/>
    </row>
    <row r="9" spans="2:15" s="773" customFormat="1">
      <c r="C9" s="1179" t="s">
        <v>6830</v>
      </c>
      <c r="D9" s="1180" t="s">
        <v>6521</v>
      </c>
      <c r="E9" s="1181"/>
      <c r="F9" s="1182" t="s">
        <v>6831</v>
      </c>
      <c r="G9" s="1184" t="s">
        <v>6832</v>
      </c>
      <c r="H9" s="1186" t="s">
        <v>6523</v>
      </c>
      <c r="I9" s="1187" t="s">
        <v>6524</v>
      </c>
      <c r="J9" s="1188" t="s">
        <v>6525</v>
      </c>
      <c r="K9" s="600"/>
      <c r="L9" s="601" t="s">
        <v>908</v>
      </c>
      <c r="M9" s="602"/>
      <c r="N9" s="1182" t="s">
        <v>6833</v>
      </c>
      <c r="O9" s="1174" t="s">
        <v>6834</v>
      </c>
    </row>
    <row r="10" spans="2:15" s="773" customFormat="1" ht="25.5">
      <c r="C10" s="1179"/>
      <c r="D10" s="875" t="s">
        <v>544</v>
      </c>
      <c r="E10" s="875" t="s">
        <v>2682</v>
      </c>
      <c r="F10" s="1183"/>
      <c r="G10" s="1185"/>
      <c r="H10" s="1186"/>
      <c r="I10" s="1187"/>
      <c r="J10" s="1189"/>
      <c r="K10" s="603" t="s">
        <v>6835</v>
      </c>
      <c r="L10" s="603" t="s">
        <v>907</v>
      </c>
      <c r="M10" s="604" t="s">
        <v>3732</v>
      </c>
      <c r="N10" s="1190"/>
      <c r="O10" s="1175"/>
    </row>
    <row r="11" spans="2:15" s="773" customFormat="1">
      <c r="C11" s="875"/>
      <c r="D11" s="875"/>
      <c r="E11" s="875"/>
      <c r="F11" s="876"/>
      <c r="G11" s="875"/>
      <c r="H11" s="877"/>
      <c r="I11" s="878"/>
      <c r="J11" s="879"/>
      <c r="K11" s="603"/>
      <c r="L11" s="603"/>
      <c r="M11" s="604"/>
      <c r="N11" s="880"/>
      <c r="O11" s="874"/>
    </row>
    <row r="12" spans="2:15" ht="25.5">
      <c r="B12" s="769">
        <f>SUMIF(ORC!$G$11:$G$2470,CPU!$F12,ORC!$J$11:$J$2470)</f>
        <v>10</v>
      </c>
      <c r="C12" s="515" t="s">
        <v>2239</v>
      </c>
      <c r="D12" s="515"/>
      <c r="E12" s="515"/>
      <c r="F12" s="515" t="s">
        <v>881</v>
      </c>
      <c r="G12" s="516" t="s">
        <v>9293</v>
      </c>
      <c r="H12" s="515" t="s">
        <v>2672</v>
      </c>
      <c r="I12" s="595"/>
      <c r="J12" s="596"/>
      <c r="K12" s="597">
        <f>SUM(K13:K13)</f>
        <v>762.5</v>
      </c>
      <c r="L12" s="597">
        <f>SUM(L13:L13)</f>
        <v>0</v>
      </c>
      <c r="M12" s="596">
        <f>SUM(K12:L12)</f>
        <v>762.5</v>
      </c>
      <c r="N12" s="598"/>
      <c r="O12" s="599"/>
    </row>
    <row r="13" spans="2:15" ht="25.5">
      <c r="B13" s="122">
        <f t="shared" ref="B13" si="0">B12</f>
        <v>10</v>
      </c>
      <c r="C13" s="611" t="str">
        <f>IF(D13&lt;&gt;"","C",IF(E13&lt;&gt;"","I",""))</f>
        <v>I</v>
      </c>
      <c r="D13" s="660"/>
      <c r="E13" s="662">
        <v>10779</v>
      </c>
      <c r="F13" s="612"/>
      <c r="G13" s="613" t="str">
        <f>IF($E13="",IFERROR(VLOOKUP($D13,SERVIÇOS!$C:$H,2,0),IFERROR(VLOOKUP($D13,$F:$M,2,0),"")),IFERROR(VLOOKUP($E13,INSUMOS!$B:$E,2,0),IFERROR(VLOOKUP($E13,COTAÇÕES!$C:$L,2,0),"")))</f>
        <v xml:space="preserve">LOCACAO DE CONTAINER 2,30 X 4,30 M, ALT. 2,50 M, P/ SANITARIO, C/ 5 BACIAS, 1 LAVATORIO E 4 MICTORIOS (NAO INCLUI MOBILIZACAO/DESMOBILIZACAO)                                                                                                                                                                                                                                                                                                                                                             </v>
      </c>
      <c r="H13" s="593" t="str">
        <f>IF($E13="",IFERROR(VLOOKUP($D13,SERVIÇOS!$C:$H,3,0),IFERROR(VLOOKUP($D13,$F:$M,3,0),"")),IFERROR(VLOOKUP($E13,INSUMOS!$B:$E,3,0),IFERROR(VLOOKUP($E13,COTAÇÕES!$C:$L,5,0),"")))</f>
        <v xml:space="preserve">MES   </v>
      </c>
      <c r="I13" s="621">
        <v>1</v>
      </c>
      <c r="J13" s="670">
        <f>IF($E13="",IFERROR(VLOOKUP($D13,SERVIÇOS!$C:$H,6,0),IFERROR(VLOOKUP($D13,$F:$M,8,0),"")),IFERROR(VLOOKUP($E13,INSUMOS!$B:$E,4,0),IFERROR(VLOOKUP($E13,COTAÇÕES!$C:$L,10,0),"")))</f>
        <v>762.5</v>
      </c>
      <c r="K13" s="615">
        <f>TRUNC(IF($E13="",IFERROR(VLOOKUP($D13,SERVIÇOS!$C:$H,4,0),IFERROR(VLOOKUP($D13,$F:$M,6,0),)),IFERROR(VLOOKUP($E13,INSUMOS!$B:$E,4,0),IFERROR(VLOOKUP($E13,COTAÇÕES!$C:$L,10,0),)))*$I13,2)</f>
        <v>762.5</v>
      </c>
      <c r="L13" s="616">
        <f>TRUNC(IF($E13="",IFERROR(VLOOKUP($D13,SERVIÇOS!$C:$H,5,0),IFERROR(VLOOKUP($D13,$F:$M,7,0),)),0)*$I13,2)</f>
        <v>0</v>
      </c>
      <c r="M13" s="617">
        <f>K13+L13</f>
        <v>762.5</v>
      </c>
      <c r="N13" s="753" t="str">
        <f t="shared" ref="N13" si="1">IF($D13&lt;&gt;"","SERVIÇO SINAPI",IF($E13&lt;&gt;"","INSUMO SINAPI",""))</f>
        <v>INSUMO SINAPI</v>
      </c>
      <c r="O13" s="618"/>
    </row>
    <row r="14" spans="2:15" s="769" customFormat="1" ht="25.5">
      <c r="B14" s="769">
        <f>SUMIF(ORC!$G$11:$G$2470,CPU!$F14,ORC!$J$11:$J$2470)</f>
        <v>54.64</v>
      </c>
      <c r="C14" s="515" t="s">
        <v>2239</v>
      </c>
      <c r="D14" s="515"/>
      <c r="E14" s="515"/>
      <c r="F14" s="515" t="s">
        <v>882</v>
      </c>
      <c r="G14" s="516" t="s">
        <v>8379</v>
      </c>
      <c r="H14" s="515" t="s">
        <v>648</v>
      </c>
      <c r="I14" s="595"/>
      <c r="J14" s="596"/>
      <c r="K14" s="597">
        <f>SUM(K15:K23)</f>
        <v>50.040000000000006</v>
      </c>
      <c r="L14" s="597">
        <f>SUM(L15:L23)</f>
        <v>6.92</v>
      </c>
      <c r="M14" s="596">
        <f>SUM(K14:L14)</f>
        <v>56.960000000000008</v>
      </c>
      <c r="N14" s="598" t="s">
        <v>2953</v>
      </c>
      <c r="O14" s="610" t="s">
        <v>5329</v>
      </c>
    </row>
    <row r="15" spans="2:15">
      <c r="B15" s="122">
        <f>B14</f>
        <v>54.64</v>
      </c>
      <c r="C15" s="611" t="str">
        <f t="shared" ref="C15:C21" si="2">IF(D15&lt;&gt;"","C",IF(E15&lt;&gt;"","I",""))</f>
        <v>I</v>
      </c>
      <c r="D15" s="660"/>
      <c r="E15" s="661">
        <v>142</v>
      </c>
      <c r="F15" s="612"/>
      <c r="G15" s="613" t="str">
        <f>IF($E15="",IFERROR(VLOOKUP($D15,SERVIÇOS!$C:$H,2,0),IFERROR(VLOOKUP($D15,$F:$M,2,0),"")),IFERROR(VLOOKUP($E15,INSUMOS!$B:$E,2,0),IFERROR(VLOOKUP($E15,COTAÇÕES!$C:$L,2,0),"")))</f>
        <v xml:space="preserve">SELANTE ELASTICO MONOCOMPONENTE A BASE DE POLIURETANO (PU) PARA JUNTAS DIVERSAS                                                                                                                                                                                                                                                                                                                                                                                                                           </v>
      </c>
      <c r="H15" s="593" t="str">
        <f>IF($E15="",IFERROR(VLOOKUP($D15,SERVIÇOS!$C:$H,3,0),IFERROR(VLOOKUP($D15,$F:$M,3,0),"")),IFERROR(VLOOKUP($E15,INSUMOS!$B:$E,3,0),IFERROR(VLOOKUP($E15,COTAÇÕES!$C:$L,5,0),"")))</f>
        <v xml:space="preserve">310ML </v>
      </c>
      <c r="I15" s="614">
        <v>0.04</v>
      </c>
      <c r="J15" s="670">
        <f>IF($E15="",IFERROR(VLOOKUP($D15,SERVIÇOS!$C:$H,6,0),IFERROR(VLOOKUP($D15,$F:$M,8,0),"")),IFERROR(VLOOKUP($E15,INSUMOS!$B:$E,4,0),IFERROR(VLOOKUP($E15,COTAÇÕES!$C:$L,10,0),"")))</f>
        <v>32.75</v>
      </c>
      <c r="K15" s="615">
        <f>TRUNC(IF($E15="",IFERROR(VLOOKUP($D15,SERVIÇOS!$C:$H,4,0),IFERROR(VLOOKUP($D15,$F:$M,6,0),)),IFERROR(VLOOKUP($E15,INSUMOS!$B:$E,4,0),IFERROR(VLOOKUP($E15,COTAÇÕES!$C:$L,10,0),)))*$I15,2)</f>
        <v>1.31</v>
      </c>
      <c r="L15" s="616">
        <f>TRUNC(IF($E15="",IFERROR(VLOOKUP($D15,SERVIÇOS!$C:$H,5,0),IFERROR(VLOOKUP($D15,$F:$M,7,0),)),0)*$I15,2)</f>
        <v>0</v>
      </c>
      <c r="M15" s="617">
        <f>K15+L15</f>
        <v>1.31</v>
      </c>
      <c r="N15" s="753" t="str">
        <f t="shared" ref="N15:N31" si="3">IF($D15&lt;&gt;"","SERVIÇO SINAPI",IF($E15&lt;&gt;"","INSUMO SINAPI",""))</f>
        <v>INSUMO SINAPI</v>
      </c>
      <c r="O15" s="618"/>
    </row>
    <row r="16" spans="2:15">
      <c r="B16" s="122">
        <f t="shared" ref="B16:B23" si="4">B15</f>
        <v>54.64</v>
      </c>
      <c r="C16" s="611" t="str">
        <f t="shared" si="2"/>
        <v>I</v>
      </c>
      <c r="D16" s="660"/>
      <c r="E16" s="661">
        <v>5061</v>
      </c>
      <c r="F16" s="612"/>
      <c r="G16" s="613" t="str">
        <f>IF($E16="",IFERROR(VLOOKUP($D16,SERVIÇOS!$C:$H,2,0),IFERROR(VLOOKUP($D16,$F:$M,2,0),"")),IFERROR(VLOOKUP($E16,INSUMOS!$B:$E,2,0),IFERROR(VLOOKUP($E16,COTAÇÕES!$C:$L,2,0),"")))</f>
        <v xml:space="preserve">PREGO DE ACO POLIDO COM CABECA 18 X 27 (2 1/2 X 10)                                                                                                                                                                                                                                                                                                                                                                                                                                                       </v>
      </c>
      <c r="H16" s="593" t="str">
        <f>IF($E16="",IFERROR(VLOOKUP($D16,SERVIÇOS!$C:$H,3,0),IFERROR(VLOOKUP($D16,$F:$M,3,0),"")),IFERROR(VLOOKUP($E16,INSUMOS!$B:$E,3,0),IFERROR(VLOOKUP($E16,COTAÇÕES!$C:$L,5,0),"")))</f>
        <v xml:space="preserve">KG    </v>
      </c>
      <c r="I16" s="614">
        <v>6.0000000000000001E-3</v>
      </c>
      <c r="J16" s="670">
        <f>IF($E16="",IFERROR(VLOOKUP($D16,SERVIÇOS!$C:$H,6,0),IFERROR(VLOOKUP($D16,$F:$M,8,0),"")),IFERROR(VLOOKUP($E16,INSUMOS!$B:$E,4,0),IFERROR(VLOOKUP($E16,COTAÇÕES!$C:$L,10,0),"")))</f>
        <v>20.67</v>
      </c>
      <c r="K16" s="615">
        <f>TRUNC(IF($E16="",IFERROR(VLOOKUP($D16,SERVIÇOS!$C:$H,4,0),IFERROR(VLOOKUP($D16,$F:$M,6,0),)),IFERROR(VLOOKUP($E16,INSUMOS!$B:$E,4,0),IFERROR(VLOOKUP($E16,COTAÇÕES!$C:$L,10,0),)))*$I16,2)</f>
        <v>0.12</v>
      </c>
      <c r="L16" s="616">
        <f>TRUNC(IF($E16="",IFERROR(VLOOKUP($D16,SERVIÇOS!$C:$H,5,0),IFERROR(VLOOKUP($D16,$F:$M,7,0),)),0)*$I16,2)</f>
        <v>0</v>
      </c>
      <c r="M16" s="617">
        <f t="shared" ref="M16:M23" si="5">K16+L16</f>
        <v>0.12</v>
      </c>
      <c r="N16" s="753" t="str">
        <f t="shared" si="3"/>
        <v>INSUMO SINAPI</v>
      </c>
      <c r="O16" s="618"/>
    </row>
    <row r="17" spans="2:15">
      <c r="B17" s="122">
        <f t="shared" si="4"/>
        <v>54.64</v>
      </c>
      <c r="C17" s="611" t="str">
        <f t="shared" si="2"/>
        <v>I</v>
      </c>
      <c r="D17" s="660"/>
      <c r="E17" s="661">
        <v>5104</v>
      </c>
      <c r="F17" s="612"/>
      <c r="G17" s="613" t="str">
        <f>IF($E17="",IFERROR(VLOOKUP($D17,SERVIÇOS!$C:$H,2,0),IFERROR(VLOOKUP($D17,$F:$M,2,0),"")),IFERROR(VLOOKUP($E17,INSUMOS!$B:$E,2,0),IFERROR(VLOOKUP($E17,COTAÇÕES!$C:$L,2,0),"")))</f>
        <v xml:space="preserve">REBITE DE ALUMINIO VAZADO DE REPUXO, 3,2 X 8 MM (1KG = 1025 UNIDADES)                                                                                                                                                                                                                                                                                                                                                                                                                                     </v>
      </c>
      <c r="H17" s="593" t="str">
        <f>IF($E17="",IFERROR(VLOOKUP($D17,SERVIÇOS!$C:$H,3,0),IFERROR(VLOOKUP($D17,$F:$M,3,0),"")),IFERROR(VLOOKUP($E17,INSUMOS!$B:$E,3,0),IFERROR(VLOOKUP($E17,COTAÇÕES!$C:$L,5,0),"")))</f>
        <v xml:space="preserve">KG    </v>
      </c>
      <c r="I17" s="614">
        <v>1.1999999999999999E-3</v>
      </c>
      <c r="J17" s="670">
        <f>IF($E17="",IFERROR(VLOOKUP($D17,SERVIÇOS!$C:$H,6,0),IFERROR(VLOOKUP($D17,$F:$M,8,0),"")),IFERROR(VLOOKUP($E17,INSUMOS!$B:$E,4,0),IFERROR(VLOOKUP($E17,COTAÇÕES!$C:$L,10,0),"")))</f>
        <v>74.69</v>
      </c>
      <c r="K17" s="615">
        <f>TRUNC(IF($E17="",IFERROR(VLOOKUP($D17,SERVIÇOS!$C:$H,4,0),IFERROR(VLOOKUP($D17,$F:$M,6,0),)),IFERROR(VLOOKUP($E17,INSUMOS!$B:$E,4,0),IFERROR(VLOOKUP($E17,COTAÇÕES!$C:$L,10,0),)))*$I17,2)</f>
        <v>0.08</v>
      </c>
      <c r="L17" s="616">
        <f>TRUNC(IF($E17="",IFERROR(VLOOKUP($D17,SERVIÇOS!$C:$H,5,0),IFERROR(VLOOKUP($D17,$F:$M,7,0),)),0)*$I17,2)</f>
        <v>0</v>
      </c>
      <c r="M17" s="617">
        <f t="shared" si="5"/>
        <v>0.08</v>
      </c>
      <c r="N17" s="753" t="str">
        <f t="shared" si="3"/>
        <v>INSUMO SINAPI</v>
      </c>
      <c r="O17" s="618"/>
    </row>
    <row r="18" spans="2:15">
      <c r="B18" s="122">
        <f t="shared" si="4"/>
        <v>54.64</v>
      </c>
      <c r="C18" s="611" t="str">
        <f t="shared" si="2"/>
        <v>I</v>
      </c>
      <c r="D18" s="660"/>
      <c r="E18" s="661">
        <v>13388</v>
      </c>
      <c r="F18" s="612"/>
      <c r="G18" s="613" t="str">
        <f>IF($E18="",IFERROR(VLOOKUP($D18,SERVIÇOS!$C:$H,2,0),IFERROR(VLOOKUP($D18,$F:$M,2,0),"")),IFERROR(VLOOKUP($E18,INSUMOS!$B:$E,2,0),IFERROR(VLOOKUP($E18,COTAÇÕES!$C:$L,2,0),"")))</f>
        <v xml:space="preserve">SOLDA EM BARRA DE ESTANHO-CHUMBO 50/50                                                                                                                                                                                                                                                                                                                                                                                                                                                                    </v>
      </c>
      <c r="H18" s="593" t="str">
        <f>IF($E18="",IFERROR(VLOOKUP($D18,SERVIÇOS!$C:$H,3,0),IFERROR(VLOOKUP($D18,$F:$M,3,0),"")),IFERROR(VLOOKUP($E18,INSUMOS!$B:$E,3,0),IFERROR(VLOOKUP($E18,COTAÇÕES!$C:$L,5,0),"")))</f>
        <v xml:space="preserve">KG    </v>
      </c>
      <c r="I18" s="614">
        <v>4.4999999999999998E-2</v>
      </c>
      <c r="J18" s="670">
        <f>IF($E18="",IFERROR(VLOOKUP($D18,SERVIÇOS!$C:$H,6,0),IFERROR(VLOOKUP($D18,$F:$M,8,0),"")),IFERROR(VLOOKUP($E18,INSUMOS!$B:$E,4,0),IFERROR(VLOOKUP($E18,COTAÇÕES!$C:$L,10,0),"")))</f>
        <v>227.94</v>
      </c>
      <c r="K18" s="615">
        <f>TRUNC(IF($E18="",IFERROR(VLOOKUP($D18,SERVIÇOS!$C:$H,4,0),IFERROR(VLOOKUP($D18,$F:$M,6,0),)),IFERROR(VLOOKUP($E18,INSUMOS!$B:$E,4,0),IFERROR(VLOOKUP($E18,COTAÇÕES!$C:$L,10,0),)))*$I18,2)</f>
        <v>10.25</v>
      </c>
      <c r="L18" s="616">
        <f>TRUNC(IF($E18="",IFERROR(VLOOKUP($D18,SERVIÇOS!$C:$H,5,0),IFERROR(VLOOKUP($D18,$F:$M,7,0),)),0)*$I18,2)</f>
        <v>0</v>
      </c>
      <c r="M18" s="617">
        <f t="shared" si="5"/>
        <v>10.25</v>
      </c>
      <c r="N18" s="753" t="str">
        <f t="shared" si="3"/>
        <v>INSUMO SINAPI</v>
      </c>
      <c r="O18" s="618"/>
    </row>
    <row r="19" spans="2:15">
      <c r="B19" s="122">
        <f t="shared" si="4"/>
        <v>54.64</v>
      </c>
      <c r="C19" s="611" t="str">
        <f t="shared" si="2"/>
        <v>I</v>
      </c>
      <c r="D19" s="660"/>
      <c r="E19" s="661">
        <v>40873</v>
      </c>
      <c r="F19" s="612"/>
      <c r="G19" s="613" t="str">
        <f>IF($E19="",IFERROR(VLOOKUP($D19,SERVIÇOS!$C:$H,2,0),IFERROR(VLOOKUP($D19,$F:$M,2,0),"")),IFERROR(VLOOKUP($E19,INSUMOS!$B:$E,2,0),IFERROR(VLOOKUP($E19,COTAÇÕES!$C:$L,2,0),"")))</f>
        <v xml:space="preserve">RUFO INTERNO/EXTERNO DE CHAPA DE ACO GALVANIZADA NUM 24, CORTE 25 CM                                                                                                                                                                                                                                                                                                                                                                                                                                      </v>
      </c>
      <c r="H19" s="593" t="str">
        <f>IF($E19="",IFERROR(VLOOKUP($D19,SERVIÇOS!$C:$H,3,0),IFERROR(VLOOKUP($D19,$F:$M,3,0),"")),IFERROR(VLOOKUP($E19,INSUMOS!$B:$E,3,0),IFERROR(VLOOKUP($E19,COTAÇÕES!$C:$L,5,0),"")))</f>
        <v xml:space="preserve">M     </v>
      </c>
      <c r="I19" s="614">
        <v>1.05</v>
      </c>
      <c r="J19" s="670">
        <f>IF($E19="",IFERROR(VLOOKUP($D19,SERVIÇOS!$C:$H,6,0),IFERROR(VLOOKUP($D19,$F:$M,8,0),"")),IFERROR(VLOOKUP($E19,INSUMOS!$B:$E,4,0),IFERROR(VLOOKUP($E19,COTAÇÕES!$C:$L,10,0),"")))</f>
        <v>34.31</v>
      </c>
      <c r="K19" s="615">
        <f>TRUNC(IF($E19="",IFERROR(VLOOKUP($D19,SERVIÇOS!$C:$H,4,0),IFERROR(VLOOKUP($D19,$F:$M,6,0),)),IFERROR(VLOOKUP($E19,INSUMOS!$B:$E,4,0),IFERROR(VLOOKUP($E19,COTAÇÕES!$C:$L,10,0),)))*$I19,2)</f>
        <v>36.020000000000003</v>
      </c>
      <c r="L19" s="616">
        <f>TRUNC(IF($E19="",IFERROR(VLOOKUP($D19,SERVIÇOS!$C:$H,5,0),IFERROR(VLOOKUP($D19,$F:$M,7,0),)),0)*$I19,2)</f>
        <v>0</v>
      </c>
      <c r="M19" s="617">
        <f t="shared" si="5"/>
        <v>36.020000000000003</v>
      </c>
      <c r="N19" s="753" t="str">
        <f t="shared" si="3"/>
        <v>INSUMO SINAPI</v>
      </c>
      <c r="O19" s="618"/>
    </row>
    <row r="20" spans="2:15">
      <c r="B20" s="122">
        <f t="shared" si="4"/>
        <v>54.64</v>
      </c>
      <c r="C20" s="611" t="str">
        <f t="shared" si="2"/>
        <v>C</v>
      </c>
      <c r="D20" s="660">
        <v>88316</v>
      </c>
      <c r="E20" s="661"/>
      <c r="F20" s="612"/>
      <c r="G20" s="613" t="str">
        <f>IF($E20="",IFERROR(VLOOKUP($D20,SERVIÇOS!$C:$H,2,0),IFERROR(VLOOKUP($D20,$F:$M,2,0),"")),IFERROR(VLOOKUP($E20,INSUMOS!$B:$E,2,0),IFERROR(VLOOKUP($E20,COTAÇÕES!$C:$L,2,0),"")))</f>
        <v>SERVENTE COM ENCARGOS COMPLEMENTARES</v>
      </c>
      <c r="H20" s="593" t="str">
        <f>IF($E20="",IFERROR(VLOOKUP($D20,SERVIÇOS!$C:$H,3,0),IFERROR(VLOOKUP($D20,$F:$M,3,0),"")),IFERROR(VLOOKUP($E20,INSUMOS!$B:$E,3,0),IFERROR(VLOOKUP($E20,COTAÇÕES!$C:$L,5,0),"")))</f>
        <v>H</v>
      </c>
      <c r="I20" s="614">
        <v>0.20699999999999999</v>
      </c>
      <c r="J20" s="670">
        <f>IF($E20="",IFERROR(VLOOKUP($D20,SERVIÇOS!$C:$H,6,0),IFERROR(VLOOKUP($D20,$F:$M,8,0),"")),IFERROR(VLOOKUP($E20,INSUMOS!$B:$E,4,0),IFERROR(VLOOKUP($E20,COTAÇÕES!$C:$L,10,0),"")))</f>
        <v>23.71</v>
      </c>
      <c r="K20" s="615">
        <f>TRUNC(IF($E20="",IFERROR(VLOOKUP($D20,SERVIÇOS!$C:$H,4,0),IFERROR(VLOOKUP($D20,$F:$M,6,0),)),IFERROR(VLOOKUP($E20,INSUMOS!$B:$E,4,0),IFERROR(VLOOKUP($E20,COTAÇÕES!$C:$L,10,0),)))*$I20,2)</f>
        <v>1.34</v>
      </c>
      <c r="L20" s="616">
        <f>TRUNC(IF($E20="",IFERROR(VLOOKUP($D20,SERVIÇOS!$C:$H,5,0),IFERROR(VLOOKUP($D20,$F:$M,7,0),)),0)*$I20,2)</f>
        <v>3.55</v>
      </c>
      <c r="M20" s="617">
        <f t="shared" si="5"/>
        <v>4.8899999999999997</v>
      </c>
      <c r="N20" s="753" t="str">
        <f t="shared" si="3"/>
        <v>SERVIÇO SINAPI</v>
      </c>
      <c r="O20" s="618"/>
    </row>
    <row r="21" spans="2:15">
      <c r="B21" s="122">
        <f t="shared" si="4"/>
        <v>54.64</v>
      </c>
      <c r="C21" s="611" t="str">
        <f t="shared" si="2"/>
        <v>C</v>
      </c>
      <c r="D21" s="660">
        <v>88323</v>
      </c>
      <c r="E21" s="661"/>
      <c r="F21" s="612"/>
      <c r="G21" s="613" t="str">
        <f>IF($E21="",IFERROR(VLOOKUP($D21,SERVIÇOS!$C:$H,2,0),IFERROR(VLOOKUP($D21,$F:$M,2,0),"")),IFERROR(VLOOKUP($E21,INSUMOS!$B:$E,2,0),IFERROR(VLOOKUP($E21,COTAÇÕES!$C:$L,2,0),"")))</f>
        <v>TELHADISTA COM ENCARGOS COMPLEMENTARES</v>
      </c>
      <c r="H21" s="593" t="str">
        <f>IF($E21="",IFERROR(VLOOKUP($D21,SERVIÇOS!$C:$H,3,0),IFERROR(VLOOKUP($D21,$F:$M,3,0),"")),IFERROR(VLOOKUP($E21,INSUMOS!$B:$E,3,0),IFERROR(VLOOKUP($E21,COTAÇÕES!$C:$L,5,0),"")))</f>
        <v>H</v>
      </c>
      <c r="I21" s="614">
        <v>0.112</v>
      </c>
      <c r="J21" s="670">
        <f>IF($E21="",IFERROR(VLOOKUP($D21,SERVIÇOS!$C:$H,6,0),IFERROR(VLOOKUP($D21,$F:$M,8,0),"")),IFERROR(VLOOKUP($E21,INSUMOS!$B:$E,4,0),IFERROR(VLOOKUP($E21,COTAÇÕES!$C:$L,10,0),"")))</f>
        <v>30.38</v>
      </c>
      <c r="K21" s="615">
        <f>TRUNC(IF($E21="",IFERROR(VLOOKUP($D21,SERVIÇOS!$C:$H,4,0),IFERROR(VLOOKUP($D21,$F:$M,6,0),)),IFERROR(VLOOKUP($E21,INSUMOS!$B:$E,4,0),IFERROR(VLOOKUP($E21,COTAÇÕES!$C:$L,10,0),)))*$I21,2)</f>
        <v>0.73</v>
      </c>
      <c r="L21" s="616">
        <f>TRUNC(IF($E21="",IFERROR(VLOOKUP($D21,SERVIÇOS!$C:$H,5,0),IFERROR(VLOOKUP($D21,$F:$M,7,0),)),0)*$I21,2)</f>
        <v>2.67</v>
      </c>
      <c r="M21" s="617">
        <f t="shared" si="5"/>
        <v>3.4</v>
      </c>
      <c r="N21" s="753" t="str">
        <f t="shared" si="3"/>
        <v>SERVIÇO SINAPI</v>
      </c>
      <c r="O21" s="618"/>
    </row>
    <row r="22" spans="2:15" ht="25.5">
      <c r="B22" s="122">
        <f t="shared" si="4"/>
        <v>54.64</v>
      </c>
      <c r="C22" s="611" t="str">
        <f>IF(D22&lt;&gt;"","C",IF(E22&lt;&gt;"","I",""))</f>
        <v>C</v>
      </c>
      <c r="D22" s="660">
        <v>93281</v>
      </c>
      <c r="E22" s="661"/>
      <c r="F22" s="612"/>
      <c r="G22" s="613" t="str">
        <f>IF($E22="",IFERROR(VLOOKUP($D22,SERVIÇOS!$C:$H,2,0),IFERROR(VLOOKUP($D22,$F:$M,2,0),"")),IFERROR(VLOOKUP($E22,INSUMOS!$B:$E,2,0),IFERROR(VLOOKUP($E22,COTAÇÕES!$C:$L,2,0),"")))</f>
        <v>GUINCHO ELÉTRICO DE COLUNA, CAPACIDADE 400 KG, COM MOTO FREIO, MOTOR TRIFÁSICO DE 1,25 CV - CHP DIURNO. AF_03/2016</v>
      </c>
      <c r="H22" s="593" t="str">
        <f>IF($E22="",IFERROR(VLOOKUP($D22,SERVIÇOS!$C:$H,3,0),IFERROR(VLOOKUP($D22,$F:$M,3,0),"")),IFERROR(VLOOKUP($E22,INSUMOS!$B:$E,3,0),IFERROR(VLOOKUP($E22,COTAÇÕES!$C:$L,5,0),"")))</f>
        <v>CHP</v>
      </c>
      <c r="I22" s="614">
        <v>1.32E-2</v>
      </c>
      <c r="J22" s="670">
        <f>IF($E22="",IFERROR(VLOOKUP($D22,SERVIÇOS!$C:$H,6,0),IFERROR(VLOOKUP($D22,$F:$M,8,0),"")),IFERROR(VLOOKUP($E22,INSUMOS!$B:$E,4,0),IFERROR(VLOOKUP($E22,COTAÇÕES!$C:$L,10,0),"")))</f>
        <v>29.56</v>
      </c>
      <c r="K22" s="615">
        <f>TRUNC(IF($E22="",IFERROR(VLOOKUP($D22,SERVIÇOS!$C:$H,4,0),IFERROR(VLOOKUP($D22,$F:$M,6,0),)),IFERROR(VLOOKUP($E22,INSUMOS!$B:$E,4,0),IFERROR(VLOOKUP($E22,COTAÇÕES!$C:$L,10,0),)))*$I22,2)</f>
        <v>0.09</v>
      </c>
      <c r="L22" s="616">
        <f>TRUNC(IF($E22="",IFERROR(VLOOKUP($D22,SERVIÇOS!$C:$H,5,0),IFERROR(VLOOKUP($D22,$F:$M,7,0),)),0)*$I22,2)</f>
        <v>0.28999999999999998</v>
      </c>
      <c r="M22" s="617">
        <f t="shared" si="5"/>
        <v>0.38</v>
      </c>
      <c r="N22" s="753" t="str">
        <f t="shared" si="3"/>
        <v>SERVIÇO SINAPI</v>
      </c>
      <c r="O22" s="618"/>
    </row>
    <row r="23" spans="2:15" ht="25.5">
      <c r="B23" s="122">
        <f t="shared" si="4"/>
        <v>54.64</v>
      </c>
      <c r="C23" s="611" t="str">
        <f>IF(D23&lt;&gt;"","C",IF(E23&lt;&gt;"","I",""))</f>
        <v>C</v>
      </c>
      <c r="D23" s="660">
        <v>93282</v>
      </c>
      <c r="E23" s="661"/>
      <c r="F23" s="612"/>
      <c r="G23" s="613" t="str">
        <f>IF($E23="",IFERROR(VLOOKUP($D23,SERVIÇOS!$C:$H,2,0),IFERROR(VLOOKUP($D23,$F:$M,2,0),"")),IFERROR(VLOOKUP($E23,INSUMOS!$B:$E,2,0),IFERROR(VLOOKUP($E23,COTAÇÕES!$C:$L,2,0),"")))</f>
        <v>GUINCHO ELÉTRICO DE COLUNA, CAPACIDADE 400 KG, COM MOTO FREIO, MOTOR TRIFÁSICO DE 1,25 CV - CHI DIURNO. AF_03/2016</v>
      </c>
      <c r="H23" s="593" t="str">
        <f>IF($E23="",IFERROR(VLOOKUP($D23,SERVIÇOS!$C:$H,3,0),IFERROR(VLOOKUP($D23,$F:$M,3,0),"")),IFERROR(VLOOKUP($E23,INSUMOS!$B:$E,3,0),IFERROR(VLOOKUP($E23,COTAÇÕES!$C:$L,5,0),"")))</f>
        <v>CHI</v>
      </c>
      <c r="I23" s="614">
        <v>1.83E-2</v>
      </c>
      <c r="J23" s="670">
        <f>IF($E23="",IFERROR(VLOOKUP($D23,SERVIÇOS!$C:$H,6,0),IFERROR(VLOOKUP($D23,$F:$M,8,0),"")),IFERROR(VLOOKUP($E23,INSUMOS!$B:$E,4,0),IFERROR(VLOOKUP($E23,COTAÇÕES!$C:$L,10,0),"")))</f>
        <v>28.62</v>
      </c>
      <c r="K23" s="615">
        <f>TRUNC(IF($E23="",IFERROR(VLOOKUP($D23,SERVIÇOS!$C:$H,4,0),IFERROR(VLOOKUP($D23,$F:$M,6,0),)),IFERROR(VLOOKUP($E23,INSUMOS!$B:$E,4,0),IFERROR(VLOOKUP($E23,COTAÇÕES!$C:$L,10,0),)))*$I23,2)</f>
        <v>0.1</v>
      </c>
      <c r="L23" s="616">
        <f>TRUNC(IF($E23="",IFERROR(VLOOKUP($D23,SERVIÇOS!$C:$H,5,0),IFERROR(VLOOKUP($D23,$F:$M,7,0),)),0)*$I23,2)</f>
        <v>0.41</v>
      </c>
      <c r="M23" s="617">
        <f t="shared" si="5"/>
        <v>0.51</v>
      </c>
      <c r="N23" s="753" t="str">
        <f t="shared" si="3"/>
        <v>SERVIÇO SINAPI</v>
      </c>
      <c r="O23" s="618"/>
    </row>
    <row r="24" spans="2:15">
      <c r="B24" s="769">
        <f>SUMIF(ORC!$G$11:$G$2470,CPU!$F24,ORC!$J$11:$J$2470)</f>
        <v>9</v>
      </c>
      <c r="C24" s="515" t="s">
        <v>2239</v>
      </c>
      <c r="D24" s="515"/>
      <c r="E24" s="515"/>
      <c r="F24" s="515" t="s">
        <v>2868</v>
      </c>
      <c r="G24" s="516" t="s">
        <v>3046</v>
      </c>
      <c r="H24" s="515" t="s">
        <v>646</v>
      </c>
      <c r="I24" s="595"/>
      <c r="J24" s="596"/>
      <c r="K24" s="597">
        <f>SUM(K25:K27)</f>
        <v>46.69</v>
      </c>
      <c r="L24" s="597">
        <f>SUM(L25:L27)</f>
        <v>9.379999999999999</v>
      </c>
      <c r="M24" s="596">
        <f>SUM(K24:L24)</f>
        <v>56.069999999999993</v>
      </c>
      <c r="N24" s="598" t="s">
        <v>7541</v>
      </c>
      <c r="O24" s="599"/>
    </row>
    <row r="25" spans="2:15">
      <c r="B25" s="122">
        <f t="shared" ref="B25:B27" si="6">B24</f>
        <v>9</v>
      </c>
      <c r="C25" s="611" t="str">
        <f>IF(D25&lt;&gt;"","C",IF(E25&lt;&gt;"","I",""))</f>
        <v>I</v>
      </c>
      <c r="D25" s="660"/>
      <c r="E25" s="662">
        <v>37400</v>
      </c>
      <c r="F25" s="612"/>
      <c r="G25" s="613" t="str">
        <f>IF($E25="",IFERROR(VLOOKUP($D25,SERVIÇOS!$C:$H,2,0),IFERROR(VLOOKUP($D25,$F:$M,2,0),"")),IFERROR(VLOOKUP($E25,INSUMOS!$B:$E,2,0),IFERROR(VLOOKUP($E25,COTAÇÕES!$C:$L,2,0),"")))</f>
        <v xml:space="preserve">PAPELEIRA PLASTICA TIPO DISPENSER PARA PAPEL HIGIENICO ROLAO                                                                                                                                                                                                                                                                                                                                                                                                                                              </v>
      </c>
      <c r="H25" s="593" t="str">
        <f>IF($E25="",IFERROR(VLOOKUP($D25,SERVIÇOS!$C:$H,3,0),IFERROR(VLOOKUP($D25,$F:$M,3,0),"")),IFERROR(VLOOKUP($E25,INSUMOS!$B:$E,3,0),IFERROR(VLOOKUP($E25,COTAÇÕES!$C:$L,5,0),"")))</f>
        <v xml:space="preserve">UN    </v>
      </c>
      <c r="I25" s="621">
        <v>1</v>
      </c>
      <c r="J25" s="670">
        <f>IF($E25="",IFERROR(VLOOKUP($D25,SERVIÇOS!$C:$H,6,0),IFERROR(VLOOKUP($D25,$F:$M,8,0),"")),IFERROR(VLOOKUP($E25,INSUMOS!$B:$E,4,0),IFERROR(VLOOKUP($E25,COTAÇÕES!$C:$L,10,0),"")))</f>
        <v>44.14</v>
      </c>
      <c r="K25" s="615">
        <f>TRUNC(IF($E25="",IFERROR(VLOOKUP($D25,SERVIÇOS!$C:$H,4,0),IFERROR(VLOOKUP($D25,$F:$M,6,0),)),IFERROR(VLOOKUP($E25,INSUMOS!$B:$E,4,0),IFERROR(VLOOKUP($E25,COTAÇÕES!$C:$L,10,0),)))*$I25,2)</f>
        <v>44.14</v>
      </c>
      <c r="L25" s="616">
        <f>TRUNC(IF($E25="",IFERROR(VLOOKUP($D25,SERVIÇOS!$C:$H,5,0),IFERROR(VLOOKUP($D25,$F:$M,7,0),)),0)*$I25,2)</f>
        <v>0</v>
      </c>
      <c r="M25" s="617">
        <f>K25+L25</f>
        <v>44.14</v>
      </c>
      <c r="N25" s="753" t="str">
        <f t="shared" si="3"/>
        <v>INSUMO SINAPI</v>
      </c>
      <c r="O25" s="618"/>
    </row>
    <row r="26" spans="2:15">
      <c r="B26" s="122">
        <f t="shared" si="6"/>
        <v>9</v>
      </c>
      <c r="C26" s="611" t="str">
        <f>IF(D26&lt;&gt;"","C",IF(E26&lt;&gt;"","I",""))</f>
        <v>C</v>
      </c>
      <c r="D26" s="660">
        <v>88267</v>
      </c>
      <c r="E26" s="661"/>
      <c r="F26" s="612"/>
      <c r="G26" s="613" t="str">
        <f>IF($E26="",IFERROR(VLOOKUP($D26,SERVIÇOS!$C:$H,2,0),IFERROR(VLOOKUP($D26,$F:$M,2,0),"")),IFERROR(VLOOKUP($E26,INSUMOS!$B:$E,2,0),IFERROR(VLOOKUP($E26,COTAÇÕES!$C:$L,2,0),"")))</f>
        <v>ENCANADOR OU BOMBEIRO HIDRÁULICO COM ENCARGOS COMPLEMENTARES</v>
      </c>
      <c r="H26" s="593" t="str">
        <f>IF($E26="",IFERROR(VLOOKUP($D26,SERVIÇOS!$C:$H,3,0),IFERROR(VLOOKUP($D26,$F:$M,3,0),"")),IFERROR(VLOOKUP($E26,INSUMOS!$B:$E,3,0),IFERROR(VLOOKUP($E26,COTAÇÕES!$C:$L,5,0),"")))</f>
        <v>H</v>
      </c>
      <c r="I26" s="621">
        <v>0.31619999999999998</v>
      </c>
      <c r="J26" s="670">
        <f>IF($E26="",IFERROR(VLOOKUP($D26,SERVIÇOS!$C:$H,6,0),IFERROR(VLOOKUP($D26,$F:$M,8,0),"")),IFERROR(VLOOKUP($E26,INSUMOS!$B:$E,4,0),IFERROR(VLOOKUP($E26,COTAÇÕES!$C:$L,10,0),"")))</f>
        <v>30.35</v>
      </c>
      <c r="K26" s="615">
        <f>TRUNC(IF($E26="",IFERROR(VLOOKUP($D26,SERVIÇOS!$C:$H,4,0),IFERROR(VLOOKUP($D26,$F:$M,6,0),)),IFERROR(VLOOKUP($E26,INSUMOS!$B:$E,4,0),IFERROR(VLOOKUP($E26,COTAÇÕES!$C:$L,10,0),)))*$I26,2)</f>
        <v>1.91</v>
      </c>
      <c r="L26" s="616">
        <f>TRUNC(IF($E26="",IFERROR(VLOOKUP($D26,SERVIÇOS!$C:$H,5,0),IFERROR(VLOOKUP($D26,$F:$M,7,0),)),0)*$I26,2)</f>
        <v>7.67</v>
      </c>
      <c r="M26" s="617">
        <f>K26+L26</f>
        <v>9.58</v>
      </c>
      <c r="N26" s="753" t="str">
        <f t="shared" si="3"/>
        <v>SERVIÇO SINAPI</v>
      </c>
      <c r="O26" s="618"/>
    </row>
    <row r="27" spans="2:15">
      <c r="B27" s="122">
        <f t="shared" si="6"/>
        <v>9</v>
      </c>
      <c r="C27" s="611" t="str">
        <f>IF(D27&lt;&gt;"","C",IF(E27&lt;&gt;"","I",""))</f>
        <v>C</v>
      </c>
      <c r="D27" s="660">
        <v>88316</v>
      </c>
      <c r="E27" s="661"/>
      <c r="F27" s="612"/>
      <c r="G27" s="613" t="str">
        <f>IF($E27="",IFERROR(VLOOKUP($D27,SERVIÇOS!$C:$H,2,0),IFERROR(VLOOKUP($D27,$F:$M,2,0),"")),IFERROR(VLOOKUP($E27,INSUMOS!$B:$E,2,0),IFERROR(VLOOKUP($E27,COTAÇÕES!$C:$L,2,0),"")))</f>
        <v>SERVENTE COM ENCARGOS COMPLEMENTARES</v>
      </c>
      <c r="H27" s="593" t="str">
        <f>IF($E27="",IFERROR(VLOOKUP($D27,SERVIÇOS!$C:$H,3,0),IFERROR(VLOOKUP($D27,$F:$M,3,0),"")),IFERROR(VLOOKUP($E27,INSUMOS!$B:$E,3,0),IFERROR(VLOOKUP($E27,COTAÇÕES!$C:$L,5,0),"")))</f>
        <v>H</v>
      </c>
      <c r="I27" s="621">
        <v>9.9599999999999994E-2</v>
      </c>
      <c r="J27" s="670">
        <f>IF($E27="",IFERROR(VLOOKUP($D27,SERVIÇOS!$C:$H,6,0),IFERROR(VLOOKUP($D27,$F:$M,8,0),"")),IFERROR(VLOOKUP($E27,INSUMOS!$B:$E,4,0),IFERROR(VLOOKUP($E27,COTAÇÕES!$C:$L,10,0),"")))</f>
        <v>23.71</v>
      </c>
      <c r="K27" s="615">
        <f>TRUNC(IF($E27="",IFERROR(VLOOKUP($D27,SERVIÇOS!$C:$H,4,0),IFERROR(VLOOKUP($D27,$F:$M,6,0),)),IFERROR(VLOOKUP($E27,INSUMOS!$B:$E,4,0),IFERROR(VLOOKUP($E27,COTAÇÕES!$C:$L,10,0),)))*$I27,2)</f>
        <v>0.64</v>
      </c>
      <c r="L27" s="616">
        <f>TRUNC(IF($E27="",IFERROR(VLOOKUP($D27,SERVIÇOS!$C:$H,5,0),IFERROR(VLOOKUP($D27,$F:$M,7,0),)),0)*$I27,2)</f>
        <v>1.71</v>
      </c>
      <c r="M27" s="617">
        <f>K27+L27</f>
        <v>2.35</v>
      </c>
      <c r="N27" s="753" t="str">
        <f t="shared" si="3"/>
        <v>SERVIÇO SINAPI</v>
      </c>
      <c r="O27" s="618"/>
    </row>
    <row r="28" spans="2:15" ht="25.5">
      <c r="B28" s="769">
        <f>SUMIF(ORC!$G$11:$G$2470,CPU!$F28,ORC!$J$11:$J$2470)</f>
        <v>3</v>
      </c>
      <c r="C28" s="515" t="s">
        <v>2239</v>
      </c>
      <c r="D28" s="515"/>
      <c r="E28" s="515"/>
      <c r="F28" s="515" t="s">
        <v>2869</v>
      </c>
      <c r="G28" s="516" t="s">
        <v>4859</v>
      </c>
      <c r="H28" s="515" t="s">
        <v>646</v>
      </c>
      <c r="I28" s="595"/>
      <c r="J28" s="596"/>
      <c r="K28" s="597">
        <f>SUM(K29:K32)</f>
        <v>203.65</v>
      </c>
      <c r="L28" s="597">
        <f>SUM(L29:L32)</f>
        <v>14.07</v>
      </c>
      <c r="M28" s="596">
        <f>SUM(K28:L28)</f>
        <v>217.72</v>
      </c>
      <c r="N28" s="598" t="s">
        <v>6779</v>
      </c>
      <c r="O28" s="622" t="s">
        <v>6847</v>
      </c>
    </row>
    <row r="29" spans="2:15">
      <c r="B29" s="122">
        <f t="shared" ref="B29:B32" si="7">B28</f>
        <v>3</v>
      </c>
      <c r="C29" s="611" t="str">
        <f>IF(D29&lt;&gt;"","C",IF(E29&lt;&gt;"","I",""))</f>
        <v>C</v>
      </c>
      <c r="D29" s="660">
        <v>88267</v>
      </c>
      <c r="E29" s="661"/>
      <c r="F29" s="612"/>
      <c r="G29" s="613" t="str">
        <f>IF($E29="",IFERROR(VLOOKUP($D29,SERVIÇOS!$C:$H,2,0),IFERROR(VLOOKUP($D29,$F:$M,2,0),"")),IFERROR(VLOOKUP($E29,INSUMOS!$B:$E,2,0),IFERROR(VLOOKUP($E29,COTAÇÕES!$C:$L,2,0),"")))</f>
        <v>ENCANADOR OU BOMBEIRO HIDRÁULICO COM ENCARGOS COMPLEMENTARES</v>
      </c>
      <c r="H29" s="593" t="str">
        <f>IF($E29="",IFERROR(VLOOKUP($D29,SERVIÇOS!$C:$H,3,0),IFERROR(VLOOKUP($D29,$F:$M,3,0),"")),IFERROR(VLOOKUP($E29,INSUMOS!$B:$E,3,0),IFERROR(VLOOKUP($E29,COTAÇÕES!$C:$L,5,0),"")))</f>
        <v>H</v>
      </c>
      <c r="I29" s="614">
        <v>0.47425</v>
      </c>
      <c r="J29" s="670">
        <f>IF($E29="",IFERROR(VLOOKUP($D29,SERVIÇOS!$C:$H,6,0),IFERROR(VLOOKUP($D29,$F:$M,8,0),"")),IFERROR(VLOOKUP($E29,INSUMOS!$B:$E,4,0),IFERROR(VLOOKUP($E29,COTAÇÕES!$C:$L,10,0),"")))</f>
        <v>30.35</v>
      </c>
      <c r="K29" s="615">
        <f>TRUNC(IF($E29="",IFERROR(VLOOKUP($D29,SERVIÇOS!$C:$H,4,0),IFERROR(VLOOKUP($D29,$F:$M,6,0),)),IFERROR(VLOOKUP($E29,INSUMOS!$B:$E,4,0),IFERROR(VLOOKUP($E29,COTAÇÕES!$C:$L,10,0),)))*$I29,2)</f>
        <v>2.87</v>
      </c>
      <c r="L29" s="616">
        <f>TRUNC(IF($E29="",IFERROR(VLOOKUP($D29,SERVIÇOS!$C:$H,5,0),IFERROR(VLOOKUP($D29,$F:$M,7,0),)),0)*$I29,2)</f>
        <v>11.51</v>
      </c>
      <c r="M29" s="617">
        <f>K29+L29</f>
        <v>14.379999999999999</v>
      </c>
      <c r="N29" s="753" t="str">
        <f t="shared" si="3"/>
        <v>SERVIÇO SINAPI</v>
      </c>
      <c r="O29" s="618"/>
    </row>
    <row r="30" spans="2:15">
      <c r="B30" s="122">
        <f t="shared" si="7"/>
        <v>3</v>
      </c>
      <c r="C30" s="611" t="str">
        <f>IF(D30&lt;&gt;"","C",IF(E30&lt;&gt;"","I",""))</f>
        <v>C</v>
      </c>
      <c r="D30" s="660">
        <v>88316</v>
      </c>
      <c r="E30" s="661"/>
      <c r="F30" s="612"/>
      <c r="G30" s="613" t="str">
        <f>IF($E30="",IFERROR(VLOOKUP($D30,SERVIÇOS!$C:$H,2,0),IFERROR(VLOOKUP($D30,$F:$M,2,0),"")),IFERROR(VLOOKUP($E30,INSUMOS!$B:$E,2,0),IFERROR(VLOOKUP($E30,COTAÇÕES!$C:$L,2,0),"")))</f>
        <v>SERVENTE COM ENCARGOS COMPLEMENTARES</v>
      </c>
      <c r="H30" s="593" t="str">
        <f>IF($E30="",IFERROR(VLOOKUP($D30,SERVIÇOS!$C:$H,3,0),IFERROR(VLOOKUP($D30,$F:$M,3,0),"")),IFERROR(VLOOKUP($E30,INSUMOS!$B:$E,3,0),IFERROR(VLOOKUP($E30,COTAÇÕES!$C:$L,5,0),"")))</f>
        <v>H</v>
      </c>
      <c r="I30" s="614">
        <v>0.14940000000000001</v>
      </c>
      <c r="J30" s="670">
        <f>IF($E30="",IFERROR(VLOOKUP($D30,SERVIÇOS!$C:$H,6,0),IFERROR(VLOOKUP($D30,$F:$M,8,0),"")),IFERROR(VLOOKUP($E30,INSUMOS!$B:$E,4,0),IFERROR(VLOOKUP($E30,COTAÇÕES!$C:$L,10,0),"")))</f>
        <v>23.71</v>
      </c>
      <c r="K30" s="615">
        <f>TRUNC(IF($E30="",IFERROR(VLOOKUP($D30,SERVIÇOS!$C:$H,4,0),IFERROR(VLOOKUP($D30,$F:$M,6,0),)),IFERROR(VLOOKUP($E30,INSUMOS!$B:$E,4,0),IFERROR(VLOOKUP($E30,COTAÇÕES!$C:$L,10,0),)))*$I30,2)</f>
        <v>0.97</v>
      </c>
      <c r="L30" s="616">
        <f>TRUNC(IF($E30="",IFERROR(VLOOKUP($D30,SERVIÇOS!$C:$H,5,0),IFERROR(VLOOKUP($D30,$F:$M,7,0),)),0)*$I30,2)</f>
        <v>2.56</v>
      </c>
      <c r="M30" s="617">
        <f>K30+L30</f>
        <v>3.5300000000000002</v>
      </c>
      <c r="N30" s="753" t="str">
        <f t="shared" si="3"/>
        <v>SERVIÇO SINAPI</v>
      </c>
      <c r="O30" s="618"/>
    </row>
    <row r="31" spans="2:15" ht="25.5">
      <c r="B31" s="122">
        <f t="shared" si="7"/>
        <v>3</v>
      </c>
      <c r="C31" s="611" t="str">
        <f>IF(D31&lt;&gt;"","C",IF(E31&lt;&gt;"","I",""))</f>
        <v>I</v>
      </c>
      <c r="D31" s="660"/>
      <c r="E31" s="661">
        <v>4351</v>
      </c>
      <c r="F31" s="612"/>
      <c r="G31" s="613" t="str">
        <f>IF($E31="",IFERROR(VLOOKUP($D31,SERVIÇOS!$C:$H,2,0),IFERROR(VLOOKUP($D31,$F:$M,2,0),"")),IFERROR(VLOOKUP($E31,INSUMOS!$B:$E,2,0),IFERROR(VLOOKUP($E31,COTAÇÕES!$C:$L,2,0),"")))</f>
        <v xml:space="preserve">PARAFUSO NIQUELADO 3 1/2" COM ACABAMENTO CROMADO PARA FIXAR PECA SANITARIA, INCLUI PORCA CEGA, ARRUELA E BUCHA DE NYLON TAMANHO S-8                                                                                                                                                                                                                                                                                                                                                                       </v>
      </c>
      <c r="H31" s="593" t="str">
        <f>IF($E31="",IFERROR(VLOOKUP($D31,SERVIÇOS!$C:$H,3,0),IFERROR(VLOOKUP($D31,$F:$M,3,0),"")),IFERROR(VLOOKUP($E31,INSUMOS!$B:$E,3,0),IFERROR(VLOOKUP($E31,COTAÇÕES!$C:$L,5,0),"")))</f>
        <v xml:space="preserve">UN    </v>
      </c>
      <c r="I31" s="614">
        <v>6</v>
      </c>
      <c r="J31" s="670">
        <f>IF($E31="",IFERROR(VLOOKUP($D31,SERVIÇOS!$C:$H,6,0),IFERROR(VLOOKUP($D31,$F:$M,8,0),"")),IFERROR(VLOOKUP($E31,INSUMOS!$B:$E,4,0),IFERROR(VLOOKUP($E31,COTAÇÕES!$C:$L,10,0),"")))</f>
        <v>14.63</v>
      </c>
      <c r="K31" s="615">
        <f>TRUNC(IF($E31="",IFERROR(VLOOKUP($D31,SERVIÇOS!$C:$H,4,0),IFERROR(VLOOKUP($D31,$F:$M,6,0),)),IFERROR(VLOOKUP($E31,INSUMOS!$B:$E,4,0),IFERROR(VLOOKUP($E31,COTAÇÕES!$C:$L,10,0),)))*$I31,2)</f>
        <v>87.78</v>
      </c>
      <c r="L31" s="616">
        <f>TRUNC(IF($E31="",IFERROR(VLOOKUP($D31,SERVIÇOS!$C:$H,5,0),IFERROR(VLOOKUP($D31,$F:$M,7,0),)),0)*$I31,2)</f>
        <v>0</v>
      </c>
      <c r="M31" s="617">
        <f>K31+L31</f>
        <v>87.78</v>
      </c>
      <c r="N31" s="753" t="str">
        <f t="shared" si="3"/>
        <v>INSUMO SINAPI</v>
      </c>
      <c r="O31" s="618"/>
    </row>
    <row r="32" spans="2:15" ht="25.5">
      <c r="B32" s="122">
        <f t="shared" si="7"/>
        <v>3</v>
      </c>
      <c r="C32" s="611" t="str">
        <f>IF(D32&lt;&gt;"","C",IF(E32&lt;&gt;"","I",""))</f>
        <v>I</v>
      </c>
      <c r="D32" s="660"/>
      <c r="E32" s="661" t="s">
        <v>9016</v>
      </c>
      <c r="F32" s="612"/>
      <c r="G32" s="613" t="str">
        <f>IF($E32="",IFERROR(VLOOKUP($D32,SERVIÇOS!$C:$H,2,0),IFERROR(VLOOKUP($D32,$F:$M,2,0),"")),IFERROR(VLOOKUP($E32,INSUMOS!$B:$E,2,0),IFERROR(VLOOKUP($E32,COTAÇÕES!$C:$L,2,0),"")))</f>
        <v xml:space="preserve">BARRA DE APOIO EM AÇO INOXIDÁVEL AISI 304, DIÂMETRO DE 32 MM (1 1/4´), ESPESSURA 1,5 MM E COMPRIMENTO 40 CM </v>
      </c>
      <c r="H32" s="593" t="str">
        <f>IF($E32="",IFERROR(VLOOKUP($D32,SERVIÇOS!$C:$H,3,0),IFERROR(VLOOKUP($D32,$F:$M,3,0),"")),IFERROR(VLOOKUP($E32,INSUMOS!$B:$E,3,0),IFERROR(VLOOKUP($E32,COTAÇÕES!$C:$L,5,0),"")))</f>
        <v>UN</v>
      </c>
      <c r="I32" s="614">
        <v>1</v>
      </c>
      <c r="J32" s="670">
        <f>IF($E32="",IFERROR(VLOOKUP($D32,SERVIÇOS!$C:$H,6,0),IFERROR(VLOOKUP($D32,$F:$M,8,0),"")),IFERROR(VLOOKUP($E32,INSUMOS!$B:$E,4,0),IFERROR(VLOOKUP($E32,COTAÇÕES!$C:$L,10,0),"")))</f>
        <v>112.03333333333335</v>
      </c>
      <c r="K32" s="615">
        <f>TRUNC(IF($E32="",IFERROR(VLOOKUP($D32,SERVIÇOS!$C:$H,4,0),IFERROR(VLOOKUP($D32,$F:$M,6,0),)),IFERROR(VLOOKUP($E32,INSUMOS!$B:$E,4,0),IFERROR(VLOOKUP($E32,COTAÇÕES!$C:$L,10,0),)))*$I32,2)</f>
        <v>112.03</v>
      </c>
      <c r="L32" s="616">
        <f>TRUNC(IF($E32="",IFERROR(VLOOKUP($D32,SERVIÇOS!$C:$H,5,0),IFERROR(VLOOKUP($D32,$F:$M,7,0),)),0)*$I32,2)</f>
        <v>0</v>
      </c>
      <c r="M32" s="617">
        <f>K32+L32</f>
        <v>112.03</v>
      </c>
      <c r="N32" s="753" t="s">
        <v>6845</v>
      </c>
      <c r="O32" s="618"/>
    </row>
    <row r="33" spans="2:15" ht="25.5">
      <c r="B33" s="769">
        <f>SUMIF(ORC!$G$11:$G$2470,CPU!$F33,ORC!$J$11:$J$2470)</f>
        <v>4</v>
      </c>
      <c r="C33" s="515" t="s">
        <v>2239</v>
      </c>
      <c r="D33" s="515"/>
      <c r="E33" s="515"/>
      <c r="F33" s="515" t="s">
        <v>2877</v>
      </c>
      <c r="G33" s="516" t="s">
        <v>2867</v>
      </c>
      <c r="H33" s="515" t="s">
        <v>646</v>
      </c>
      <c r="I33" s="595"/>
      <c r="J33" s="596"/>
      <c r="K33" s="597">
        <f>SUM(K34:K37)</f>
        <v>1436.69</v>
      </c>
      <c r="L33" s="597">
        <f>SUM(L34:L37)</f>
        <v>107.15</v>
      </c>
      <c r="M33" s="596">
        <f>SUM(K33:L33)</f>
        <v>1543.8400000000001</v>
      </c>
      <c r="N33" s="598" t="s">
        <v>6780</v>
      </c>
      <c r="O33" s="599" t="s">
        <v>6836</v>
      </c>
    </row>
    <row r="34" spans="2:15">
      <c r="B34" s="122">
        <f t="shared" ref="B34:B37" si="8">B33</f>
        <v>4</v>
      </c>
      <c r="C34" s="611" t="str">
        <f>IF(D34&lt;&gt;"","C",IF(E34&lt;&gt;"","I",""))</f>
        <v>C</v>
      </c>
      <c r="D34" s="660">
        <v>88248</v>
      </c>
      <c r="E34" s="661"/>
      <c r="F34" s="612"/>
      <c r="G34" s="613" t="str">
        <f>IF($E34="",IFERROR(VLOOKUP($D34,SERVIÇOS!$C:$H,2,0),IFERROR(VLOOKUP($D34,$F:$M,2,0),"")),IFERROR(VLOOKUP($E34,INSUMOS!$B:$E,2,0),IFERROR(VLOOKUP($E34,COTAÇÕES!$C:$L,2,0),"")))</f>
        <v>AUXILIAR DE ENCANADOR OU BOMBEIRO HIDRÁULICO COM ENCARGOS COMPLEMENTARES</v>
      </c>
      <c r="H34" s="593" t="str">
        <f>IF($E34="",IFERROR(VLOOKUP($D34,SERVIÇOS!$C:$H,3,0),IFERROR(VLOOKUP($D34,$F:$M,3,0),"")),IFERROR(VLOOKUP($E34,INSUMOS!$B:$E,3,0),IFERROR(VLOOKUP($E34,COTAÇÕES!$C:$L,5,0),"")))</f>
        <v>H</v>
      </c>
      <c r="I34" s="614">
        <v>2.5</v>
      </c>
      <c r="J34" s="670">
        <f>IF($E34="",IFERROR(VLOOKUP($D34,SERVIÇOS!$C:$H,6,0),IFERROR(VLOOKUP($D34,$F:$M,8,0),"")),IFERROR(VLOOKUP($E34,INSUMOS!$B:$E,4,0),IFERROR(VLOOKUP($E34,COTAÇÕES!$C:$L,10,0),"")))</f>
        <v>24.65</v>
      </c>
      <c r="K34" s="615">
        <f>TRUNC(IF($E34="",IFERROR(VLOOKUP($D34,SERVIÇOS!$C:$H,4,0),IFERROR(VLOOKUP($D34,$F:$M,6,0),)),IFERROR(VLOOKUP($E34,INSUMOS!$B:$E,4,0),IFERROR(VLOOKUP($E34,COTAÇÕES!$C:$L,10,0),)))*$I34,2)</f>
        <v>15.17</v>
      </c>
      <c r="L34" s="616">
        <f>TRUNC(IF($E34="",IFERROR(VLOOKUP($D34,SERVIÇOS!$C:$H,5,0),IFERROR(VLOOKUP($D34,$F:$M,7,0),)),0)*$I34,2)</f>
        <v>46.45</v>
      </c>
      <c r="M34" s="617">
        <f>K34+L34</f>
        <v>61.620000000000005</v>
      </c>
      <c r="N34" s="753" t="str">
        <f>IF($D34&lt;&gt;"","SERVIÇO SINAPI",IF($E34&lt;&gt;"","INSUMO SINAPI",""))</f>
        <v>SERVIÇO SINAPI</v>
      </c>
      <c r="O34" s="618"/>
    </row>
    <row r="35" spans="2:15">
      <c r="B35" s="122">
        <f t="shared" si="8"/>
        <v>4</v>
      </c>
      <c r="C35" s="611" t="str">
        <f>IF(D35&lt;&gt;"","C",IF(E35&lt;&gt;"","I",""))</f>
        <v>C</v>
      </c>
      <c r="D35" s="660">
        <v>88267</v>
      </c>
      <c r="E35" s="661"/>
      <c r="F35" s="612"/>
      <c r="G35" s="613" t="str">
        <f>IF($E35="",IFERROR(VLOOKUP($D35,SERVIÇOS!$C:$H,2,0),IFERROR(VLOOKUP($D35,$F:$M,2,0),"")),IFERROR(VLOOKUP($E35,INSUMOS!$B:$E,2,0),IFERROR(VLOOKUP($E35,COTAÇÕES!$C:$L,2,0),"")))</f>
        <v>ENCANADOR OU BOMBEIRO HIDRÁULICO COM ENCARGOS COMPLEMENTARES</v>
      </c>
      <c r="H35" s="593" t="str">
        <f>IF($E35="",IFERROR(VLOOKUP($D35,SERVIÇOS!$C:$H,3,0),IFERROR(VLOOKUP($D35,$F:$M,3,0),"")),IFERROR(VLOOKUP($E35,INSUMOS!$B:$E,3,0),IFERROR(VLOOKUP($E35,COTAÇÕES!$C:$L,5,0),"")))</f>
        <v>H</v>
      </c>
      <c r="I35" s="614">
        <v>2.5</v>
      </c>
      <c r="J35" s="670">
        <f>IF($E35="",IFERROR(VLOOKUP($D35,SERVIÇOS!$C:$H,6,0),IFERROR(VLOOKUP($D35,$F:$M,8,0),"")),IFERROR(VLOOKUP($E35,INSUMOS!$B:$E,4,0),IFERROR(VLOOKUP($E35,COTAÇÕES!$C:$L,10,0),"")))</f>
        <v>30.35</v>
      </c>
      <c r="K35" s="615">
        <f>TRUNC(IF($E35="",IFERROR(VLOOKUP($D35,SERVIÇOS!$C:$H,4,0),IFERROR(VLOOKUP($D35,$F:$M,6,0),)),IFERROR(VLOOKUP($E35,INSUMOS!$B:$E,4,0),IFERROR(VLOOKUP($E35,COTAÇÕES!$C:$L,10,0),)))*$I35,2)</f>
        <v>15.17</v>
      </c>
      <c r="L35" s="616">
        <f>TRUNC(IF($E35="",IFERROR(VLOOKUP($D35,SERVIÇOS!$C:$H,5,0),IFERROR(VLOOKUP($D35,$F:$M,7,0),)),0)*$I35,2)</f>
        <v>60.7</v>
      </c>
      <c r="M35" s="617">
        <f>K35+L35</f>
        <v>75.87</v>
      </c>
      <c r="N35" s="753" t="str">
        <f>IF($D35&lt;&gt;"","SERVIÇO SINAPI",IF($E35&lt;&gt;"","INSUMO SINAPI",""))</f>
        <v>SERVIÇO SINAPI</v>
      </c>
      <c r="O35" s="618"/>
    </row>
    <row r="36" spans="2:15">
      <c r="B36" s="122">
        <f t="shared" si="8"/>
        <v>4</v>
      </c>
      <c r="C36" s="611" t="str">
        <f>IF(D36&lt;&gt;"","C",IF(E36&lt;&gt;"","I",""))</f>
        <v>I</v>
      </c>
      <c r="D36" s="660"/>
      <c r="E36" s="663">
        <v>11684</v>
      </c>
      <c r="F36" s="619"/>
      <c r="G36" s="613" t="str">
        <f>IF($E36="",IFERROR(VLOOKUP($D36,SERVIÇOS!$C:$H,2,0),IFERROR(VLOOKUP($D36,$F:$M,2,0),"")),IFERROR(VLOOKUP($E36,INSUMOS!$B:$E,2,0),IFERROR(VLOOKUP($E36,COTAÇÕES!$C:$L,2,0),"")))</f>
        <v xml:space="preserve">ENGATE / RABICHO FLEXIVEL INOX 1/2 " X 40 CM                                                                                                                                                                                                                                                                                                                                                                                                                                                              </v>
      </c>
      <c r="H36" s="593" t="str">
        <f>IF($E36="",IFERROR(VLOOKUP($D36,SERVIÇOS!$C:$H,3,0),IFERROR(VLOOKUP($D36,$F:$M,3,0),"")),IFERROR(VLOOKUP($E36,INSUMOS!$B:$E,3,0),IFERROR(VLOOKUP($E36,COTAÇÕES!$C:$L,5,0),"")))</f>
        <v xml:space="preserve">UN    </v>
      </c>
      <c r="I36" s="614">
        <v>2</v>
      </c>
      <c r="J36" s="670">
        <f>IF($E36="",IFERROR(VLOOKUP($D36,SERVIÇOS!$C:$H,6,0),IFERROR(VLOOKUP($D36,$F:$M,8,0),"")),IFERROR(VLOOKUP($E36,INSUMOS!$B:$E,4,0),IFERROR(VLOOKUP($E36,COTAÇÕES!$C:$L,10,0),"")))</f>
        <v>91.52</v>
      </c>
      <c r="K36" s="615">
        <f>TRUNC(IF($E36="",IFERROR(VLOOKUP($D36,SERVIÇOS!$C:$H,4,0),IFERROR(VLOOKUP($D36,$F:$M,6,0),)),IFERROR(VLOOKUP($E36,INSUMOS!$B:$E,4,0),IFERROR(VLOOKUP($E36,COTAÇÕES!$C:$L,10,0),)))*$I36,2)</f>
        <v>183.04</v>
      </c>
      <c r="L36" s="616">
        <f>TRUNC(IF($E36="",IFERROR(VLOOKUP($D36,SERVIÇOS!$C:$H,5,0),IFERROR(VLOOKUP($D36,$F:$M,7,0),)),0)*$I36,2)</f>
        <v>0</v>
      </c>
      <c r="M36" s="617">
        <f>K36+L36</f>
        <v>183.04</v>
      </c>
      <c r="N36" s="753" t="str">
        <f>IF($D36&lt;&gt;"","SERVIÇO SINAPI",IF($E36&lt;&gt;"","INSUMO SINAPI",""))</f>
        <v>INSUMO SINAPI</v>
      </c>
      <c r="O36" s="618"/>
    </row>
    <row r="37" spans="2:15">
      <c r="B37" s="122">
        <f t="shared" si="8"/>
        <v>4</v>
      </c>
      <c r="C37" s="611" t="str">
        <f>IF(D37&lt;&gt;"","C",IF(E37&lt;&gt;"","I",""))</f>
        <v>I</v>
      </c>
      <c r="D37" s="660"/>
      <c r="E37" s="661" t="s">
        <v>9017</v>
      </c>
      <c r="F37" s="612"/>
      <c r="G37" s="613" t="str">
        <f>IF($E37="",IFERROR(VLOOKUP($D37,SERVIÇOS!$C:$H,2,0),IFERROR(VLOOKUP($D37,$F:$M,2,0),"")),IFERROR(VLOOKUP($E37,INSUMOS!$B:$E,2,0),IFERROR(VLOOKUP($E37,COTAÇÕES!$C:$L,2,0),"")))</f>
        <v>BEBEDOURO DE PRESSAO IBBL BAG40 - INOX</v>
      </c>
      <c r="H37" s="593" t="str">
        <f>IF($E37="",IFERROR(VLOOKUP($D37,SERVIÇOS!$C:$H,3,0),IFERROR(VLOOKUP($D37,$F:$M,3,0),"")),IFERROR(VLOOKUP($E37,INSUMOS!$B:$E,3,0),IFERROR(VLOOKUP($E37,COTAÇÕES!$C:$L,5,0),"")))</f>
        <v>UN</v>
      </c>
      <c r="I37" s="614">
        <v>1</v>
      </c>
      <c r="J37" s="670">
        <f>IF($E37="",IFERROR(VLOOKUP($D37,SERVIÇOS!$C:$H,6,0),IFERROR(VLOOKUP($D37,$F:$M,8,0),"")),IFERROR(VLOOKUP($E37,INSUMOS!$B:$E,4,0),IFERROR(VLOOKUP($E37,COTAÇÕES!$C:$L,10,0),"")))</f>
        <v>1223.3166666666668</v>
      </c>
      <c r="K37" s="615">
        <f>TRUNC(IF($E37="",IFERROR(VLOOKUP($D37,SERVIÇOS!$C:$H,4,0),IFERROR(VLOOKUP($D37,$F:$M,6,0),)),IFERROR(VLOOKUP($E37,INSUMOS!$B:$E,4,0),IFERROR(VLOOKUP($E37,COTAÇÕES!$C:$L,10,0),)))*$I37,2)</f>
        <v>1223.31</v>
      </c>
      <c r="L37" s="616">
        <f>TRUNC(IF($E37="",IFERROR(VLOOKUP($D37,SERVIÇOS!$C:$H,5,0),IFERROR(VLOOKUP($D37,$F:$M,7,0),)),0)*$I37,2)</f>
        <v>0</v>
      </c>
      <c r="M37" s="617">
        <f>K37+L37</f>
        <v>1223.31</v>
      </c>
      <c r="N37" s="753" t="s">
        <v>6845</v>
      </c>
      <c r="O37" s="618"/>
    </row>
    <row r="38" spans="2:15">
      <c r="B38" s="769">
        <f>SUMIF(ORC!$G$11:$G$2470,CPU!$F38,ORC!$J$11:$J$2470)</f>
        <v>126.52000000000001</v>
      </c>
      <c r="C38" s="515" t="s">
        <v>2239</v>
      </c>
      <c r="D38" s="515"/>
      <c r="E38" s="515"/>
      <c r="F38" s="458" t="s">
        <v>8769</v>
      </c>
      <c r="G38" s="594" t="s">
        <v>6995</v>
      </c>
      <c r="H38" s="515" t="s">
        <v>644</v>
      </c>
      <c r="I38" s="595"/>
      <c r="J38" s="596"/>
      <c r="K38" s="597">
        <f>SUM(K39:K40)</f>
        <v>12.469999999999999</v>
      </c>
      <c r="L38" s="597">
        <f>SUM(L39:L40)</f>
        <v>16.77</v>
      </c>
      <c r="M38" s="596">
        <f>SUM(K38:L38)</f>
        <v>29.24</v>
      </c>
      <c r="N38" s="598"/>
      <c r="O38" s="599"/>
    </row>
    <row r="39" spans="2:15" ht="38.25">
      <c r="B39" s="122">
        <f t="shared" ref="B39:B40" si="9">B38</f>
        <v>126.52000000000001</v>
      </c>
      <c r="C39" s="611" t="str">
        <f>IF(D39&lt;&gt;"","C",IF(E39&lt;&gt;"","I",""))</f>
        <v>C</v>
      </c>
      <c r="D39" s="661">
        <v>5961</v>
      </c>
      <c r="E39" s="661"/>
      <c r="F39" s="612"/>
      <c r="G39" s="613" t="str">
        <f>IF($E39="",IFERROR(VLOOKUP($D39,SERVIÇOS!$C:$H,2,0),IFERROR(VLOOKUP($D39,$F:$M,2,0),"")),IFERROR(VLOOKUP($E39,INSUMOS!$B:$E,2,0),IFERROR(VLOOKUP($E39,COTAÇÕES!$C:$L,2,0),"")))</f>
        <v>CAMINHÃO BASCULANTE 6 M3, PESO BRUTO TOTAL 16.000 KG, CARGA ÚTIL MÁXIMA 13.071 KG, DISTÂNCIA ENTRE EIXOS 4,80 M, POTÊNCIA 230 CV INCLUSIVE CAÇAMBA METÁLICA - CHI DIURNO. AF_06/2014</v>
      </c>
      <c r="H39" s="593" t="str">
        <f>IF($E39="",IFERROR(VLOOKUP($D39,SERVIÇOS!$C:$H,3,0),IFERROR(VLOOKUP($D39,$F:$M,3,0),"")),IFERROR(VLOOKUP($E39,INSUMOS!$B:$E,3,0),IFERROR(VLOOKUP($E39,COTAÇÕES!$C:$L,5,0),"")))</f>
        <v>CHI</v>
      </c>
      <c r="I39" s="614">
        <v>0.25</v>
      </c>
      <c r="J39" s="670">
        <f>IF($E39="",IFERROR(VLOOKUP($D39,SERVIÇOS!$C:$H,6,0),IFERROR(VLOOKUP($D39,$F:$M,8,0),"")),IFERROR(VLOOKUP($E39,INSUMOS!$B:$E,4,0),IFERROR(VLOOKUP($E39,COTAÇÕES!$C:$L,10,0),"")))</f>
        <v>50.65</v>
      </c>
      <c r="K39" s="615">
        <f>TRUNC(IF($E39="",IFERROR(VLOOKUP($D39,SERVIÇOS!$C:$H,4,0),IFERROR(VLOOKUP($D39,$F:$M,6,0),)),IFERROR(VLOOKUP($E39,INSUMOS!$B:$E,4,0),IFERROR(VLOOKUP($E39,COTAÇÕES!$C:$L,10,0),)))*$I39,2)</f>
        <v>7.91</v>
      </c>
      <c r="L39" s="616">
        <f>TRUNC(IF($E39="",IFERROR(VLOOKUP($D39,SERVIÇOS!$C:$H,5,0),IFERROR(VLOOKUP($D39,$F:$M,7,0),)),0)*$I39,2)</f>
        <v>4.74</v>
      </c>
      <c r="M39" s="617">
        <f>K39+L39</f>
        <v>12.65</v>
      </c>
      <c r="N39" s="753" t="str">
        <f>IF($D39&lt;&gt;"","SERVIÇO SINAPI",IF($E39&lt;&gt;"","INSUMO SINAPI",""))</f>
        <v>SERVIÇO SINAPI</v>
      </c>
      <c r="O39" s="648"/>
    </row>
    <row r="40" spans="2:15">
      <c r="B40" s="122">
        <f t="shared" si="9"/>
        <v>126.52000000000001</v>
      </c>
      <c r="C40" s="611" t="str">
        <f>IF(D40&lt;&gt;"","C",IF(E40&lt;&gt;"","I",""))</f>
        <v>C</v>
      </c>
      <c r="D40" s="661">
        <v>88316</v>
      </c>
      <c r="E40" s="661"/>
      <c r="F40" s="612"/>
      <c r="G40" s="613" t="str">
        <f>IF($E40="",IFERROR(VLOOKUP($D40,SERVIÇOS!$C:$H,2,0),IFERROR(VLOOKUP($D40,$F:$M,2,0),"")),IFERROR(VLOOKUP($E40,INSUMOS!$B:$E,2,0),IFERROR(VLOOKUP($E40,COTAÇÕES!$C:$L,2,0),"")))</f>
        <v>SERVENTE COM ENCARGOS COMPLEMENTARES</v>
      </c>
      <c r="H40" s="593" t="str">
        <f>IF($E40="",IFERROR(VLOOKUP($D40,SERVIÇOS!$C:$H,3,0),IFERROR(VLOOKUP($D40,$F:$M,3,0),"")),IFERROR(VLOOKUP($E40,INSUMOS!$B:$E,3,0),IFERROR(VLOOKUP($E40,COTAÇÕES!$C:$L,5,0),"")))</f>
        <v>H</v>
      </c>
      <c r="I40" s="614">
        <v>0.7</v>
      </c>
      <c r="J40" s="670">
        <f>IF($E40="",IFERROR(VLOOKUP($D40,SERVIÇOS!$C:$H,6,0),IFERROR(VLOOKUP($D40,$F:$M,8,0),"")),IFERROR(VLOOKUP($E40,INSUMOS!$B:$E,4,0),IFERROR(VLOOKUP($E40,COTAÇÕES!$C:$L,10,0),"")))</f>
        <v>23.71</v>
      </c>
      <c r="K40" s="615">
        <f>TRUNC(IF($E40="",IFERROR(VLOOKUP($D40,SERVIÇOS!$C:$H,4,0),IFERROR(VLOOKUP($D40,$F:$M,6,0),)),IFERROR(VLOOKUP($E40,INSUMOS!$B:$E,4,0),IFERROR(VLOOKUP($E40,COTAÇÕES!$C:$L,10,0),)))*$I40,2)</f>
        <v>4.5599999999999996</v>
      </c>
      <c r="L40" s="616">
        <f>TRUNC(IF($E40="",IFERROR(VLOOKUP($D40,SERVIÇOS!$C:$H,5,0),IFERROR(VLOOKUP($D40,$F:$M,7,0),)),0)*$I40,2)</f>
        <v>12.03</v>
      </c>
      <c r="M40" s="617">
        <f>K40+L40</f>
        <v>16.59</v>
      </c>
      <c r="N40" s="753" t="str">
        <f>IF($D40&lt;&gt;"","SERVIÇO SINAPI",IF($E40&lt;&gt;"","INSUMO SINAPI",""))</f>
        <v>SERVIÇO SINAPI</v>
      </c>
      <c r="O40" s="648"/>
    </row>
    <row r="41" spans="2:15">
      <c r="B41" s="769">
        <f>SUMIF(ORC!$G$11:$G$2470,CPU!$F41,ORC!$J$11:$J$2470)</f>
        <v>5.69</v>
      </c>
      <c r="C41" s="515" t="s">
        <v>2239</v>
      </c>
      <c r="D41" s="515"/>
      <c r="E41" s="515"/>
      <c r="F41" s="458" t="s">
        <v>8771</v>
      </c>
      <c r="G41" s="594" t="s">
        <v>8772</v>
      </c>
      <c r="H41" s="515" t="s">
        <v>649</v>
      </c>
      <c r="I41" s="595"/>
      <c r="J41" s="596"/>
      <c r="K41" s="597">
        <f>SUM(K42:K42)</f>
        <v>893.51</v>
      </c>
      <c r="L41" s="597">
        <f>SUM(L42:L42)</f>
        <v>64.41</v>
      </c>
      <c r="M41" s="596">
        <f>SUM(K41:L41)</f>
        <v>957.92</v>
      </c>
      <c r="N41" s="598"/>
      <c r="O41" s="599"/>
    </row>
    <row r="42" spans="2:15" ht="25.5">
      <c r="B42" s="122">
        <f>B41</f>
        <v>5.69</v>
      </c>
      <c r="C42" s="611" t="str">
        <f>IF(D42&lt;&gt;"","C",IF(E42&lt;&gt;"","I",""))</f>
        <v>C</v>
      </c>
      <c r="D42" s="661">
        <v>86889</v>
      </c>
      <c r="E42" s="661"/>
      <c r="F42" s="612"/>
      <c r="G42" s="613" t="str">
        <f>IF($E42="",IFERROR(VLOOKUP($D42,SERVIÇOS!$C:$H,2,0),IFERROR(VLOOKUP($D42,$F:$M,2,0),"")),IFERROR(VLOOKUP($E42,INSUMOS!$B:$E,2,0),IFERROR(VLOOKUP($E42,COTAÇÕES!$C:$L,2,0),"")))</f>
        <v>BANCADA DE GRANITO CINZA POLIDO, DE 1,50 X 0,60 M, PARA PIA DE COZINHA - FORNECIMENTO E INSTALAÇÃO. AF_01/2020</v>
      </c>
      <c r="H42" s="593" t="str">
        <f>IF($E42="",IFERROR(VLOOKUP($D42,SERVIÇOS!$C:$H,3,0),IFERROR(VLOOKUP($D42,$F:$M,3,0),"")),IFERROR(VLOOKUP($E42,INSUMOS!$B:$E,3,0),IFERROR(VLOOKUP($E42,COTAÇÕES!$C:$L,5,0),"")))</f>
        <v>UN</v>
      </c>
      <c r="I42" s="614">
        <v>1.1111146305153461</v>
      </c>
      <c r="J42" s="670">
        <f>IF($E42="",IFERROR(VLOOKUP($D42,SERVIÇOS!$C:$H,6,0),IFERROR(VLOOKUP($D42,$F:$M,8,0),"")),IFERROR(VLOOKUP($E42,INSUMOS!$B:$E,4,0),IFERROR(VLOOKUP($E42,COTAÇÕES!$C:$L,10,0),"")))</f>
        <v>862.13</v>
      </c>
      <c r="K42" s="615">
        <f>TRUNC(IF($E42="",IFERROR(VLOOKUP($D42,SERVIÇOS!$C:$H,4,0),IFERROR(VLOOKUP($D42,$F:$M,6,0),)),IFERROR(VLOOKUP($E42,INSUMOS!$B:$E,4,0),IFERROR(VLOOKUP($E42,COTAÇÕES!$C:$L,10,0),)))*$I42,2)</f>
        <v>893.51</v>
      </c>
      <c r="L42" s="616">
        <f>TRUNC(IF($E42="",IFERROR(VLOOKUP($D42,SERVIÇOS!$C:$H,5,0),IFERROR(VLOOKUP($D42,$F:$M,7,0),)),0)*$I42,2)</f>
        <v>64.41</v>
      </c>
      <c r="M42" s="617">
        <f>K42+L42</f>
        <v>957.92</v>
      </c>
      <c r="N42" s="753" t="str">
        <f t="shared" ref="N42" si="10">IF($D42&lt;&gt;"","SERVIÇO SINAPI",IF($E42&lt;&gt;"","INSUMO SINAPI",""))</f>
        <v>SERVIÇO SINAPI</v>
      </c>
      <c r="O42" s="648"/>
    </row>
    <row r="43" spans="2:15" ht="25.5">
      <c r="B43" s="769">
        <f>SUMIF(ORC!$G$11:$G$2470,CPU!$F43,ORC!$J$11:$J$2470)</f>
        <v>1</v>
      </c>
      <c r="C43" s="515" t="s">
        <v>2239</v>
      </c>
      <c r="D43" s="515"/>
      <c r="E43" s="515"/>
      <c r="F43" s="515" t="s">
        <v>8774</v>
      </c>
      <c r="G43" s="516" t="s">
        <v>8776</v>
      </c>
      <c r="H43" s="515" t="s">
        <v>646</v>
      </c>
      <c r="I43" s="595"/>
      <c r="J43" s="596"/>
      <c r="K43" s="597">
        <f>SUM(K44:K47)</f>
        <v>746.04</v>
      </c>
      <c r="L43" s="597">
        <f>SUM(L44:L47)</f>
        <v>15.7</v>
      </c>
      <c r="M43" s="596">
        <f>SUM(K43:L43)</f>
        <v>761.74</v>
      </c>
      <c r="N43" s="598" t="s">
        <v>8775</v>
      </c>
      <c r="O43" s="610"/>
    </row>
    <row r="44" spans="2:15">
      <c r="B44" s="122">
        <f t="shared" ref="B44:B47" si="11">B43</f>
        <v>1</v>
      </c>
      <c r="C44" s="611" t="str">
        <f t="shared" ref="C44:C47" si="12">IF(D44&lt;&gt;"","C",IF(E44&lt;&gt;"","I",""))</f>
        <v>I</v>
      </c>
      <c r="D44" s="660"/>
      <c r="E44" s="661" t="s">
        <v>9018</v>
      </c>
      <c r="F44" s="612"/>
      <c r="G44" s="613" t="str">
        <f>IF($E44="",IFERROR(VLOOKUP($D44,SERVIÇOS!$C:$H,2,0),IFERROR(VLOOKUP($D44,$F:$M,2,0),"")),IFERROR(VLOOKUP($E44,INSUMOS!$B:$E,2,0),IFERROR(VLOOKUP($E44,COTAÇÕES!$C:$L,2,0),"")))</f>
        <v>CUBA EM AÇO INOX 304, DIMENSÃO 50X40X20CM, ESP 0,8MM</v>
      </c>
      <c r="H44" s="593" t="str">
        <f>IF($E44="",IFERROR(VLOOKUP($D44,SERVIÇOS!$C:$H,3,0),IFERROR(VLOOKUP($D44,$F:$M,3,0),"")),IFERROR(VLOOKUP($E44,INSUMOS!$B:$E,3,0),IFERROR(VLOOKUP($E44,COTAÇÕES!$C:$L,5,0),"")))</f>
        <v xml:space="preserve">UN </v>
      </c>
      <c r="I44" s="614">
        <v>1</v>
      </c>
      <c r="J44" s="670">
        <f>IF($E44="",IFERROR(VLOOKUP($D44,SERVIÇOS!$C:$H,6,0),IFERROR(VLOOKUP($D44,$F:$M,8,0),"")),IFERROR(VLOOKUP($E44,INSUMOS!$B:$E,4,0),IFERROR(VLOOKUP($E44,COTAÇÕES!$C:$L,10,0),"")))</f>
        <v>729</v>
      </c>
      <c r="K44" s="615">
        <f>TRUNC(IF($E44="",IFERROR(VLOOKUP($D44,SERVIÇOS!$C:$H,4,0),IFERROR(VLOOKUP($D44,$F:$M,6,0),)),IFERROR(VLOOKUP($E44,INSUMOS!$B:$E,4,0),IFERROR(VLOOKUP($E44,COTAÇÕES!$C:$L,10,0),)))*$I44,2)</f>
        <v>729</v>
      </c>
      <c r="L44" s="616">
        <f>TRUNC(IF($E44="",IFERROR(VLOOKUP($D44,SERVIÇOS!$C:$H,5,0),IFERROR(VLOOKUP($D44,$F:$M,7,0),)),0)*$I44,2)</f>
        <v>0</v>
      </c>
      <c r="M44" s="617">
        <f t="shared" ref="M44:M47" si="13">K44+L44</f>
        <v>729</v>
      </c>
      <c r="N44" s="753" t="s">
        <v>6845</v>
      </c>
      <c r="O44" s="618"/>
    </row>
    <row r="45" spans="2:15">
      <c r="B45" s="122">
        <f t="shared" si="11"/>
        <v>1</v>
      </c>
      <c r="C45" s="611" t="str">
        <f t="shared" si="12"/>
        <v>I</v>
      </c>
      <c r="D45" s="660"/>
      <c r="E45" s="664">
        <v>4823</v>
      </c>
      <c r="F45" s="620"/>
      <c r="G45" s="613" t="str">
        <f>IF($E45="",IFERROR(VLOOKUP($D45,SERVIÇOS!$C:$H,2,0),IFERROR(VLOOKUP($D45,$F:$M,2,0),"")),IFERROR(VLOOKUP($E45,INSUMOS!$B:$E,2,0),IFERROR(VLOOKUP($E45,COTAÇÕES!$C:$L,2,0),"")))</f>
        <v xml:space="preserve">MASSA PLASTICA PARA MARMORE/GRANITO                                                                                                                                                                                                                                                                                                                                                                                                                                                                       </v>
      </c>
      <c r="H45" s="593" t="str">
        <f>IF($E45="",IFERROR(VLOOKUP($D45,SERVIÇOS!$C:$H,3,0),IFERROR(VLOOKUP($D45,$F:$M,3,0),"")),IFERROR(VLOOKUP($E45,INSUMOS!$B:$E,3,0),IFERROR(VLOOKUP($E45,COTAÇÕES!$C:$L,5,0),"")))</f>
        <v xml:space="preserve">KG    </v>
      </c>
      <c r="I45" s="614">
        <v>0.34599999999999997</v>
      </c>
      <c r="J45" s="670">
        <f>IF($E45="",IFERROR(VLOOKUP($D45,SERVIÇOS!$C:$H,6,0),IFERROR(VLOOKUP($D45,$F:$M,8,0),"")),IFERROR(VLOOKUP($E45,INSUMOS!$B:$E,4,0),IFERROR(VLOOKUP($E45,COTAÇÕES!$C:$L,10,0),"")))</f>
        <v>37.29</v>
      </c>
      <c r="K45" s="615">
        <f>TRUNC(IF($E45="",IFERROR(VLOOKUP($D45,SERVIÇOS!$C:$H,4,0),IFERROR(VLOOKUP($D45,$F:$M,6,0),)),IFERROR(VLOOKUP($E45,INSUMOS!$B:$E,4,0),IFERROR(VLOOKUP($E45,COTAÇÕES!$C:$L,10,0),)))*$I45,2)</f>
        <v>12.9</v>
      </c>
      <c r="L45" s="616">
        <f>TRUNC(IF($E45="",IFERROR(VLOOKUP($D45,SERVIÇOS!$C:$H,5,0),IFERROR(VLOOKUP($D45,$F:$M,7,0),)),0)*$I45,2)</f>
        <v>0</v>
      </c>
      <c r="M45" s="617">
        <f t="shared" si="13"/>
        <v>12.9</v>
      </c>
      <c r="N45" s="753" t="str">
        <f t="shared" ref="N45:N47" si="14">IF($D45&lt;&gt;"","SERVIÇO SINAPI",IF($E45&lt;&gt;"","INSUMO SINAPI",""))</f>
        <v>INSUMO SINAPI</v>
      </c>
      <c r="O45" s="618"/>
    </row>
    <row r="46" spans="2:15">
      <c r="B46" s="122">
        <f t="shared" si="11"/>
        <v>1</v>
      </c>
      <c r="C46" s="611" t="str">
        <f t="shared" si="12"/>
        <v>C</v>
      </c>
      <c r="D46" s="660">
        <v>88274</v>
      </c>
      <c r="E46" s="664"/>
      <c r="F46" s="620"/>
      <c r="G46" s="613" t="str">
        <f>IF($E46="",IFERROR(VLOOKUP($D46,SERVIÇOS!$C:$H,2,0),IFERROR(VLOOKUP($D46,$F:$M,2,0),"")),IFERROR(VLOOKUP($E46,INSUMOS!$B:$E,2,0),IFERROR(VLOOKUP($E46,COTAÇÕES!$C:$L,2,0),"")))</f>
        <v>MARMORISTA/GRANITEIRO COM ENCARGOS COMPLEMENTARES</v>
      </c>
      <c r="H46" s="593" t="str">
        <f>IF($E46="",IFERROR(VLOOKUP($D46,SERVIÇOS!$C:$H,3,0),IFERROR(VLOOKUP($D46,$F:$M,3,0),"")),IFERROR(VLOOKUP($E46,INSUMOS!$B:$E,3,0),IFERROR(VLOOKUP($E46,COTAÇÕES!$C:$L,5,0),"")))</f>
        <v>H</v>
      </c>
      <c r="I46" s="614">
        <v>0.47739999999999999</v>
      </c>
      <c r="J46" s="670">
        <f>IF($E46="",IFERROR(VLOOKUP($D46,SERVIÇOS!$C:$H,6,0),IFERROR(VLOOKUP($D46,$F:$M,8,0),"")),IFERROR(VLOOKUP($E46,INSUMOS!$B:$E,4,0),IFERROR(VLOOKUP($E46,COTAÇÕES!$C:$L,10,0),"")))</f>
        <v>34.14</v>
      </c>
      <c r="K46" s="615">
        <f>TRUNC(IF($E46="",IFERROR(VLOOKUP($D46,SERVIÇOS!$C:$H,4,0),IFERROR(VLOOKUP($D46,$F:$M,6,0),)),IFERROR(VLOOKUP($E46,INSUMOS!$B:$E,4,0),IFERROR(VLOOKUP($E46,COTAÇÕES!$C:$L,10,0),)))*$I46,2)</f>
        <v>3.16</v>
      </c>
      <c r="L46" s="616">
        <f>TRUNC(IF($E46="",IFERROR(VLOOKUP($D46,SERVIÇOS!$C:$H,5,0),IFERROR(VLOOKUP($D46,$F:$M,7,0),)),0)*$I46,2)</f>
        <v>13.12</v>
      </c>
      <c r="M46" s="617">
        <f t="shared" si="13"/>
        <v>16.28</v>
      </c>
      <c r="N46" s="753" t="str">
        <f t="shared" si="14"/>
        <v>SERVIÇO SINAPI</v>
      </c>
      <c r="O46" s="618"/>
    </row>
    <row r="47" spans="2:15">
      <c r="B47" s="122">
        <f t="shared" si="11"/>
        <v>1</v>
      </c>
      <c r="C47" s="611" t="str">
        <f t="shared" si="12"/>
        <v>C</v>
      </c>
      <c r="D47" s="660">
        <v>88316</v>
      </c>
      <c r="E47" s="661"/>
      <c r="F47" s="612"/>
      <c r="G47" s="613" t="str">
        <f>IF($E47="",IFERROR(VLOOKUP($D47,SERVIÇOS!$C:$H,2,0),IFERROR(VLOOKUP($D47,$F:$M,2,0),"")),IFERROR(VLOOKUP($E47,INSUMOS!$B:$E,2,0),IFERROR(VLOOKUP($E47,COTAÇÕES!$C:$L,2,0),"")))</f>
        <v>SERVENTE COM ENCARGOS COMPLEMENTARES</v>
      </c>
      <c r="H47" s="593" t="str">
        <f>IF($E47="",IFERROR(VLOOKUP($D47,SERVIÇOS!$C:$H,3,0),IFERROR(VLOOKUP($D47,$F:$M,3,0),"")),IFERROR(VLOOKUP($E47,INSUMOS!$B:$E,3,0),IFERROR(VLOOKUP($E47,COTAÇÕES!$C:$L,5,0),"")))</f>
        <v>H</v>
      </c>
      <c r="I47" s="614">
        <v>0.15040000000000001</v>
      </c>
      <c r="J47" s="670">
        <f>IF($E47="",IFERROR(VLOOKUP($D47,SERVIÇOS!$C:$H,6,0),IFERROR(VLOOKUP($D47,$F:$M,8,0),"")),IFERROR(VLOOKUP($E47,INSUMOS!$B:$E,4,0),IFERROR(VLOOKUP($E47,COTAÇÕES!$C:$L,10,0),"")))</f>
        <v>23.71</v>
      </c>
      <c r="K47" s="615">
        <f>TRUNC(IF($E47="",IFERROR(VLOOKUP($D47,SERVIÇOS!$C:$H,4,0),IFERROR(VLOOKUP($D47,$F:$M,6,0),)),IFERROR(VLOOKUP($E47,INSUMOS!$B:$E,4,0),IFERROR(VLOOKUP($E47,COTAÇÕES!$C:$L,10,0),)))*$I47,2)</f>
        <v>0.98</v>
      </c>
      <c r="L47" s="616">
        <f>TRUNC(IF($E47="",IFERROR(VLOOKUP($D47,SERVIÇOS!$C:$H,5,0),IFERROR(VLOOKUP($D47,$F:$M,7,0),)),0)*$I47,2)</f>
        <v>2.58</v>
      </c>
      <c r="M47" s="617">
        <f t="shared" si="13"/>
        <v>3.56</v>
      </c>
      <c r="N47" s="753" t="str">
        <f t="shared" si="14"/>
        <v>SERVIÇO SINAPI</v>
      </c>
      <c r="O47" s="618"/>
    </row>
    <row r="48" spans="2:15" ht="25.5">
      <c r="B48" s="769">
        <f>SUMIF(ORC!$G$11:$G$2470,CPU!$F48,ORC!$J$11:$J$2470)</f>
        <v>4</v>
      </c>
      <c r="C48" s="515" t="s">
        <v>2239</v>
      </c>
      <c r="D48" s="515"/>
      <c r="E48" s="515"/>
      <c r="F48" s="515" t="s">
        <v>2878</v>
      </c>
      <c r="G48" s="516" t="s">
        <v>7509</v>
      </c>
      <c r="H48" s="515" t="s">
        <v>646</v>
      </c>
      <c r="I48" s="595"/>
      <c r="J48" s="596"/>
      <c r="K48" s="597">
        <f>SUM(K49:K54)</f>
        <v>928.47</v>
      </c>
      <c r="L48" s="597">
        <f>SUM(L49:L54)</f>
        <v>29.799999999999997</v>
      </c>
      <c r="M48" s="596">
        <f>SUM(K48:L48)</f>
        <v>958.27</v>
      </c>
      <c r="N48" s="598" t="s">
        <v>6781</v>
      </c>
      <c r="O48" s="610" t="s">
        <v>5329</v>
      </c>
    </row>
    <row r="49" spans="2:15" ht="25.5">
      <c r="B49" s="122">
        <f t="shared" ref="B49:B54" si="15">B48</f>
        <v>4</v>
      </c>
      <c r="C49" s="611" t="str">
        <f t="shared" ref="C49:C54" si="16">IF(D49&lt;&gt;"","C",IF(E49&lt;&gt;"","I",""))</f>
        <v>I</v>
      </c>
      <c r="D49" s="660"/>
      <c r="E49" s="661">
        <v>4351</v>
      </c>
      <c r="F49" s="612"/>
      <c r="G49" s="613" t="str">
        <f>IF($E49="",IFERROR(VLOOKUP($D49,SERVIÇOS!$C:$H,2,0),IFERROR(VLOOKUP($D49,$F:$M,2,0),"")),IFERROR(VLOOKUP($E49,INSUMOS!$B:$E,2,0),IFERROR(VLOOKUP($E49,COTAÇÕES!$C:$L,2,0),"")))</f>
        <v xml:space="preserve">PARAFUSO NIQUELADO 3 1/2" COM ACABAMENTO CROMADO PARA FIXAR PECA SANITARIA, INCLUI PORCA CEGA, ARRUELA E BUCHA DE NYLON TAMANHO S-8                                                                                                                                                                                                                                                                                                                                                                       </v>
      </c>
      <c r="H49" s="593" t="str">
        <f>IF($E49="",IFERROR(VLOOKUP($D49,SERVIÇOS!$C:$H,3,0),IFERROR(VLOOKUP($D49,$F:$M,3,0),"")),IFERROR(VLOOKUP($E49,INSUMOS!$B:$E,3,0),IFERROR(VLOOKUP($E49,COTAÇÕES!$C:$L,5,0),"")))</f>
        <v xml:space="preserve">UN    </v>
      </c>
      <c r="I49" s="614">
        <v>6</v>
      </c>
      <c r="J49" s="670">
        <f>IF($E49="",IFERROR(VLOOKUP($D49,SERVIÇOS!$C:$H,6,0),IFERROR(VLOOKUP($D49,$F:$M,8,0),"")),IFERROR(VLOOKUP($E49,INSUMOS!$B:$E,4,0),IFERROR(VLOOKUP($E49,COTAÇÕES!$C:$L,10,0),"")))</f>
        <v>14.63</v>
      </c>
      <c r="K49" s="615">
        <f>TRUNC(IF($E49="",IFERROR(VLOOKUP($D49,SERVIÇOS!$C:$H,4,0),IFERROR(VLOOKUP($D49,$F:$M,6,0),)),IFERROR(VLOOKUP($E49,INSUMOS!$B:$E,4,0),IFERROR(VLOOKUP($E49,COTAÇÕES!$C:$L,10,0),)))*$I49,2)</f>
        <v>87.78</v>
      </c>
      <c r="L49" s="616">
        <f>TRUNC(IF($E49="",IFERROR(VLOOKUP($D49,SERVIÇOS!$C:$H,5,0),IFERROR(VLOOKUP($D49,$F:$M,7,0),)),0)*$I49,2)</f>
        <v>0</v>
      </c>
      <c r="M49" s="617">
        <f t="shared" ref="M49:M54" si="17">K49+L49</f>
        <v>87.78</v>
      </c>
      <c r="N49" s="753" t="str">
        <f>IF($D49&lt;&gt;"","SERVIÇO SINAPI",IF($E49&lt;&gt;"","INSUMO SINAPI",""))</f>
        <v>INSUMO SINAPI</v>
      </c>
      <c r="O49" s="618"/>
    </row>
    <row r="50" spans="2:15">
      <c r="B50" s="122">
        <f t="shared" si="15"/>
        <v>4</v>
      </c>
      <c r="C50" s="611" t="str">
        <f t="shared" si="16"/>
        <v>I</v>
      </c>
      <c r="D50" s="660"/>
      <c r="E50" s="664" t="s">
        <v>9019</v>
      </c>
      <c r="F50" s="620"/>
      <c r="G50" s="613" t="str">
        <f>IF($E50="",IFERROR(VLOOKUP($D50,SERVIÇOS!$C:$H,2,0),IFERROR(VLOOKUP($D50,$F:$M,2,0),"")),IFERROR(VLOOKUP($E50,INSUMOS!$B:$E,2,0),IFERROR(VLOOKUP($E50,COTAÇÕES!$C:$L,2,0),"")))</f>
        <v xml:space="preserve">LAVATORIO PARA COLUNA SUSPENSA VOGUE PLUS, 47X55CM, MODELO L51.17 DECA	</v>
      </c>
      <c r="H50" s="593" t="str">
        <f>IF($E50="",IFERROR(VLOOKUP($D50,SERVIÇOS!$C:$H,3,0),IFERROR(VLOOKUP($D50,$F:$M,3,0),"")),IFERROR(VLOOKUP($E50,INSUMOS!$B:$E,3,0),IFERROR(VLOOKUP($E50,COTAÇÕES!$C:$L,5,0),"")))</f>
        <v>UN</v>
      </c>
      <c r="I50" s="614">
        <v>1</v>
      </c>
      <c r="J50" s="670">
        <f>IF($E50="",IFERROR(VLOOKUP($D50,SERVIÇOS!$C:$H,6,0),IFERROR(VLOOKUP($D50,$F:$M,8,0),"")),IFERROR(VLOOKUP($E50,INSUMOS!$B:$E,4,0),IFERROR(VLOOKUP($E50,COTAÇÕES!$C:$L,10,0),"")))</f>
        <v>569.23333333333335</v>
      </c>
      <c r="K50" s="615">
        <f>TRUNC(IF($E50="",IFERROR(VLOOKUP($D50,SERVIÇOS!$C:$H,4,0),IFERROR(VLOOKUP($D50,$F:$M,6,0),)),IFERROR(VLOOKUP($E50,INSUMOS!$B:$E,4,0),IFERROR(VLOOKUP($E50,COTAÇÕES!$C:$L,10,0),)))*$I50,2)</f>
        <v>569.23</v>
      </c>
      <c r="L50" s="616">
        <f>TRUNC(IF($E50="",IFERROR(VLOOKUP($D50,SERVIÇOS!$C:$H,5,0),IFERROR(VLOOKUP($D50,$F:$M,7,0),)),0)*$I50,2)</f>
        <v>0</v>
      </c>
      <c r="M50" s="617">
        <f t="shared" si="17"/>
        <v>569.23</v>
      </c>
      <c r="N50" s="753" t="s">
        <v>6845</v>
      </c>
      <c r="O50" s="618"/>
    </row>
    <row r="51" spans="2:15">
      <c r="B51" s="122">
        <f t="shared" si="15"/>
        <v>4</v>
      </c>
      <c r="C51" s="611" t="str">
        <f t="shared" si="16"/>
        <v>I</v>
      </c>
      <c r="D51" s="660"/>
      <c r="E51" s="664" t="s">
        <v>9020</v>
      </c>
      <c r="F51" s="620"/>
      <c r="G51" s="613" t="str">
        <f>IF($E51="",IFERROR(VLOOKUP($D51,SERVIÇOS!$C:$H,2,0),IFERROR(VLOOKUP($D51,$F:$M,2,0),"")),IFERROR(VLOOKUP($E51,INSUMOS!$B:$E,2,0),IFERROR(VLOOKUP($E51,COTAÇÕES!$C:$L,2,0),"")))</f>
        <v xml:space="preserve">COLUNA SUSPENSA PARA LAVATORIO VOGUE PLUS C510.17 DECA </v>
      </c>
      <c r="H51" s="593" t="str">
        <f>IF($E51="",IFERROR(VLOOKUP($D51,SERVIÇOS!$C:$H,3,0),IFERROR(VLOOKUP($D51,$F:$M,3,0),"")),IFERROR(VLOOKUP($E51,INSUMOS!$B:$E,3,0),IFERROR(VLOOKUP($E51,COTAÇÕES!$C:$L,5,0),"")))</f>
        <v>UN</v>
      </c>
      <c r="I51" s="614">
        <v>1</v>
      </c>
      <c r="J51" s="670">
        <f>IF($E51="",IFERROR(VLOOKUP($D51,SERVIÇOS!$C:$H,6,0),IFERROR(VLOOKUP($D51,$F:$M,8,0),"")),IFERROR(VLOOKUP($E51,INSUMOS!$B:$E,4,0),IFERROR(VLOOKUP($E51,COTAÇÕES!$C:$L,10,0),"")))</f>
        <v>251.9</v>
      </c>
      <c r="K51" s="615">
        <f>TRUNC(IF($E51="",IFERROR(VLOOKUP($D51,SERVIÇOS!$C:$H,4,0),IFERROR(VLOOKUP($D51,$F:$M,6,0),)),IFERROR(VLOOKUP($E51,INSUMOS!$B:$E,4,0),IFERROR(VLOOKUP($E51,COTAÇÕES!$C:$L,10,0),)))*$I51,2)</f>
        <v>251.9</v>
      </c>
      <c r="L51" s="616">
        <f>TRUNC(IF($E51="",IFERROR(VLOOKUP($D51,SERVIÇOS!$C:$H,5,0),IFERROR(VLOOKUP($D51,$F:$M,7,0),)),0)*$I51,2)</f>
        <v>0</v>
      </c>
      <c r="M51" s="617">
        <f t="shared" si="17"/>
        <v>251.9</v>
      </c>
      <c r="N51" s="753" t="s">
        <v>6845</v>
      </c>
      <c r="O51" s="618"/>
    </row>
    <row r="52" spans="2:15">
      <c r="B52" s="122">
        <f t="shared" si="15"/>
        <v>4</v>
      </c>
      <c r="C52" s="611" t="str">
        <f t="shared" si="16"/>
        <v>I</v>
      </c>
      <c r="D52" s="660"/>
      <c r="E52" s="661">
        <v>37329</v>
      </c>
      <c r="F52" s="612"/>
      <c r="G52" s="613" t="str">
        <f>IF($E52="",IFERROR(VLOOKUP($D52,SERVIÇOS!$C:$H,2,0),IFERROR(VLOOKUP($D52,$F:$M,2,0),"")),IFERROR(VLOOKUP($E52,INSUMOS!$B:$E,2,0),IFERROR(VLOOKUP($E52,COTAÇÕES!$C:$L,2,0),"")))</f>
        <v xml:space="preserve">REJUNTE EPOXI, QUALQUER COR                                                                                                                                                                                                                                                                                                                                                                                                                                                                               </v>
      </c>
      <c r="H52" s="593" t="str">
        <f>IF($E52="",IFERROR(VLOOKUP($D52,SERVIÇOS!$C:$H,3,0),IFERROR(VLOOKUP($D52,$F:$M,3,0),"")),IFERROR(VLOOKUP($E52,INSUMOS!$B:$E,3,0),IFERROR(VLOOKUP($E52,COTAÇÕES!$C:$L,5,0),"")))</f>
        <v xml:space="preserve">KG    </v>
      </c>
      <c r="I52" s="614">
        <v>0.12740000000000001</v>
      </c>
      <c r="J52" s="670">
        <f>IF($E52="",IFERROR(VLOOKUP($D52,SERVIÇOS!$C:$H,6,0),IFERROR(VLOOKUP($D52,$F:$M,8,0),"")),IFERROR(VLOOKUP($E52,INSUMOS!$B:$E,4,0),IFERROR(VLOOKUP($E52,COTAÇÕES!$C:$L,10,0),"")))</f>
        <v>86.57</v>
      </c>
      <c r="K52" s="615">
        <f>TRUNC(IF($E52="",IFERROR(VLOOKUP($D52,SERVIÇOS!$C:$H,4,0),IFERROR(VLOOKUP($D52,$F:$M,6,0),)),IFERROR(VLOOKUP($E52,INSUMOS!$B:$E,4,0),IFERROR(VLOOKUP($E52,COTAÇÕES!$C:$L,10,0),)))*$I52,2)</f>
        <v>11.02</v>
      </c>
      <c r="L52" s="616">
        <f>TRUNC(IF($E52="",IFERROR(VLOOKUP($D52,SERVIÇOS!$C:$H,5,0),IFERROR(VLOOKUP($D52,$F:$M,7,0),)),0)*$I52,2)</f>
        <v>0</v>
      </c>
      <c r="M52" s="617">
        <f t="shared" si="17"/>
        <v>11.02</v>
      </c>
      <c r="N52" s="753" t="str">
        <f>IF($D52&lt;&gt;"","SERVIÇO SINAPI",IF($E52&lt;&gt;"","INSUMO SINAPI",""))</f>
        <v>INSUMO SINAPI</v>
      </c>
      <c r="O52" s="618"/>
    </row>
    <row r="53" spans="2:15">
      <c r="B53" s="122">
        <f t="shared" si="15"/>
        <v>4</v>
      </c>
      <c r="C53" s="611" t="str">
        <f t="shared" si="16"/>
        <v>C</v>
      </c>
      <c r="D53" s="660">
        <v>88267</v>
      </c>
      <c r="E53" s="661"/>
      <c r="F53" s="612"/>
      <c r="G53" s="613" t="str">
        <f>IF($E53="",IFERROR(VLOOKUP($D53,SERVIÇOS!$C:$H,2,0),IFERROR(VLOOKUP($D53,$F:$M,2,0),"")),IFERROR(VLOOKUP($E53,INSUMOS!$B:$E,2,0),IFERROR(VLOOKUP($E53,COTAÇÕES!$C:$L,2,0),"")))</f>
        <v>ENCANADOR OU BOMBEIRO HIDRÁULICO COM ENCARGOS COMPLEMENTARES</v>
      </c>
      <c r="H53" s="593" t="str">
        <f>IF($E53="",IFERROR(VLOOKUP($D53,SERVIÇOS!$C:$H,3,0),IFERROR(VLOOKUP($D53,$F:$M,3,0),"")),IFERROR(VLOOKUP($E53,INSUMOS!$B:$E,3,0),IFERROR(VLOOKUP($E53,COTAÇÕES!$C:$L,5,0),"")))</f>
        <v>H</v>
      </c>
      <c r="I53" s="614">
        <v>0.88</v>
      </c>
      <c r="J53" s="670">
        <f>IF($E53="",IFERROR(VLOOKUP($D53,SERVIÇOS!$C:$H,6,0),IFERROR(VLOOKUP($D53,$F:$M,8,0),"")),IFERROR(VLOOKUP($E53,INSUMOS!$B:$E,4,0),IFERROR(VLOOKUP($E53,COTAÇÕES!$C:$L,10,0),"")))</f>
        <v>30.35</v>
      </c>
      <c r="K53" s="615">
        <f>TRUNC(IF($E53="",IFERROR(VLOOKUP($D53,SERVIÇOS!$C:$H,4,0),IFERROR(VLOOKUP($D53,$F:$M,6,0),)),IFERROR(VLOOKUP($E53,INSUMOS!$B:$E,4,0),IFERROR(VLOOKUP($E53,COTAÇÕES!$C:$L,10,0),)))*$I53,2)</f>
        <v>5.34</v>
      </c>
      <c r="L53" s="616">
        <f>TRUNC(IF($E53="",IFERROR(VLOOKUP($D53,SERVIÇOS!$C:$H,5,0),IFERROR(VLOOKUP($D53,$F:$M,7,0),)),0)*$I53,2)</f>
        <v>21.36</v>
      </c>
      <c r="M53" s="617">
        <f t="shared" si="17"/>
        <v>26.7</v>
      </c>
      <c r="N53" s="753" t="str">
        <f>IF($D53&lt;&gt;"","SERVIÇO SINAPI",IF($E53&lt;&gt;"","INSUMO SINAPI",""))</f>
        <v>SERVIÇO SINAPI</v>
      </c>
      <c r="O53" s="618"/>
    </row>
    <row r="54" spans="2:15">
      <c r="B54" s="122">
        <f t="shared" si="15"/>
        <v>4</v>
      </c>
      <c r="C54" s="611" t="str">
        <f t="shared" si="16"/>
        <v>C</v>
      </c>
      <c r="D54" s="660">
        <v>88316</v>
      </c>
      <c r="E54" s="661"/>
      <c r="F54" s="612"/>
      <c r="G54" s="613" t="str">
        <f>IF($E54="",IFERROR(VLOOKUP($D54,SERVIÇOS!$C:$H,2,0),IFERROR(VLOOKUP($D54,$F:$M,2,0),"")),IFERROR(VLOOKUP($E54,INSUMOS!$B:$E,2,0),IFERROR(VLOOKUP($E54,COTAÇÕES!$C:$L,2,0),"")))</f>
        <v>SERVENTE COM ENCARGOS COMPLEMENTARES</v>
      </c>
      <c r="H54" s="593" t="str">
        <f>IF($E54="",IFERROR(VLOOKUP($D54,SERVIÇOS!$C:$H,3,0),IFERROR(VLOOKUP($D54,$F:$M,3,0),"")),IFERROR(VLOOKUP($E54,INSUMOS!$B:$E,3,0),IFERROR(VLOOKUP($E54,COTAÇÕES!$C:$L,5,0),"")))</f>
        <v>H</v>
      </c>
      <c r="I54" s="614">
        <v>0.49099999999999999</v>
      </c>
      <c r="J54" s="670">
        <f>IF($E54="",IFERROR(VLOOKUP($D54,SERVIÇOS!$C:$H,6,0),IFERROR(VLOOKUP($D54,$F:$M,8,0),"")),IFERROR(VLOOKUP($E54,INSUMOS!$B:$E,4,0),IFERROR(VLOOKUP($E54,COTAÇÕES!$C:$L,10,0),"")))</f>
        <v>23.71</v>
      </c>
      <c r="K54" s="615">
        <f>TRUNC(IF($E54="",IFERROR(VLOOKUP($D54,SERVIÇOS!$C:$H,4,0),IFERROR(VLOOKUP($D54,$F:$M,6,0),)),IFERROR(VLOOKUP($E54,INSUMOS!$B:$E,4,0),IFERROR(VLOOKUP($E54,COTAÇÕES!$C:$L,10,0),)))*$I54,2)</f>
        <v>3.2</v>
      </c>
      <c r="L54" s="616">
        <f>TRUNC(IF($E54="",IFERROR(VLOOKUP($D54,SERVIÇOS!$C:$H,5,0),IFERROR(VLOOKUP($D54,$F:$M,7,0),)),0)*$I54,2)</f>
        <v>8.44</v>
      </c>
      <c r="M54" s="617">
        <f t="shared" si="17"/>
        <v>11.64</v>
      </c>
      <c r="N54" s="753" t="str">
        <f>IF($D54&lt;&gt;"","SERVIÇO SINAPI",IF($E54&lt;&gt;"","INSUMO SINAPI",""))</f>
        <v>SERVIÇO SINAPI</v>
      </c>
      <c r="O54" s="618"/>
    </row>
    <row r="55" spans="2:15" ht="51">
      <c r="B55" s="769">
        <f>SUMIF(ORC!$G$11:$G$2470,CPU!$F55,ORC!$J$11:$J$2470)</f>
        <v>2</v>
      </c>
      <c r="C55" s="515" t="s">
        <v>2239</v>
      </c>
      <c r="D55" s="515"/>
      <c r="E55" s="515"/>
      <c r="F55" s="515" t="s">
        <v>7179</v>
      </c>
      <c r="G55" s="516" t="s">
        <v>7180</v>
      </c>
      <c r="H55" s="515" t="s">
        <v>646</v>
      </c>
      <c r="I55" s="595"/>
      <c r="J55" s="596"/>
      <c r="K55" s="597">
        <f>SUM(K56:K58)</f>
        <v>1367.98</v>
      </c>
      <c r="L55" s="597">
        <f>SUM(L56:L58)</f>
        <v>293.52</v>
      </c>
      <c r="M55" s="596">
        <f>SUM(K55:L55)</f>
        <v>1661.5</v>
      </c>
      <c r="N55" s="598"/>
      <c r="O55" s="610"/>
    </row>
    <row r="56" spans="2:15" ht="38.25">
      <c r="B56" s="122">
        <f t="shared" ref="B56:B58" si="18">B55</f>
        <v>2</v>
      </c>
      <c r="C56" s="611" t="str">
        <f>IF(D56&lt;&gt;"","C",IF(E56&lt;&gt;"","I",""))</f>
        <v>C</v>
      </c>
      <c r="D56" s="660">
        <v>90844</v>
      </c>
      <c r="E56" s="661"/>
      <c r="F56" s="612"/>
      <c r="G56" s="613" t="str">
        <f>IF($E56="",IFERROR(VLOOKUP($D56,SERVIÇOS!$C:$H,2,0),IFERROR(VLOOKUP($D56,$F:$M,2,0),"")),IFERROR(VLOOKUP($E56,INSUMOS!$B:$E,2,0),IFERROR(VLOOKUP($E56,COTAÇÕES!$C:$L,2,0),"")))</f>
        <v>KIT DE PORTA DE MADEIRA PARA PINTURA, SEMI-OCA (LEVE OU MÉDIA), PADRÃO MÉDIO, 90X210CM, ESPESSURA DE 3,5CM, ITENS INCLUSOS: DOBRADIÇAS, MONTAGEM E INSTALAÇÃO DO BATENTE, FECHADURA COM EXECUÇÃO DO FURO - FORNECIMENTO E INSTALAÇÃO. AF_12/2019</v>
      </c>
      <c r="H56" s="593" t="str">
        <f>IF($E56="",IFERROR(VLOOKUP($D56,SERVIÇOS!$C:$H,3,0),IFERROR(VLOOKUP($D56,$F:$M,3,0),"")),IFERROR(VLOOKUP($E56,INSUMOS!$B:$E,3,0),IFERROR(VLOOKUP($E56,COTAÇÕES!$C:$L,5,0),"")))</f>
        <v>UN</v>
      </c>
      <c r="I56" s="614">
        <v>1</v>
      </c>
      <c r="J56" s="670">
        <f>IF($E56="",IFERROR(VLOOKUP($D56,SERVIÇOS!$C:$H,6,0),IFERROR(VLOOKUP($D56,$F:$M,8,0),"")),IFERROR(VLOOKUP($E56,INSUMOS!$B:$E,4,0),IFERROR(VLOOKUP($E56,COTAÇÕES!$C:$L,10,0),"")))</f>
        <v>1169.49</v>
      </c>
      <c r="K56" s="615">
        <f>TRUNC(IF($E56="",IFERROR(VLOOKUP($D56,SERVIÇOS!$C:$H,4,0),IFERROR(VLOOKUP($D56,$F:$M,6,0),)),IFERROR(VLOOKUP($E56,INSUMOS!$B:$E,4,0),IFERROR(VLOOKUP($E56,COTAÇÕES!$C:$L,10,0),)))*$I56,2)</f>
        <v>912.33</v>
      </c>
      <c r="L56" s="616">
        <f>TRUNC(IF($E56="",IFERROR(VLOOKUP($D56,SERVIÇOS!$C:$H,5,0),IFERROR(VLOOKUP($D56,$F:$M,7,0),)),0)*$I56,2)</f>
        <v>257.16000000000003</v>
      </c>
      <c r="M56" s="617">
        <f>K56+L56</f>
        <v>1169.49</v>
      </c>
      <c r="N56" s="753" t="str">
        <f t="shared" ref="N56:N58" si="19">IF($D56&lt;&gt;"","SERVIÇO SINAPI",IF($E56&lt;&gt;"","INSUMO SINAPI",""))</f>
        <v>SERVIÇO SINAPI</v>
      </c>
      <c r="O56" s="618"/>
    </row>
    <row r="57" spans="2:15" ht="23.25" customHeight="1">
      <c r="B57" s="122">
        <f t="shared" si="18"/>
        <v>2</v>
      </c>
      <c r="C57" s="611" t="str">
        <f>IF(D57&lt;&gt;"","C",IF(E57&lt;&gt;"","I",""))</f>
        <v>C</v>
      </c>
      <c r="D57" s="660" t="s">
        <v>2876</v>
      </c>
      <c r="E57" s="664"/>
      <c r="F57" s="620"/>
      <c r="G57" s="894" t="str">
        <f>IF($E57="",IFERROR(VLOOKUP($D57,SERVIÇOS!$C:$H,2,0),IFERROR(VLOOKUP($D57,$F:$M,2,0),"")),IFERROR(VLOOKUP($E57,INSUMOS!$B:$E,2,0),IFERROR(VLOOKUP($E57,COTAÇÕES!$C:$L,2,0),"")))</f>
        <v>REVESTIMENTO DE PORTA COM CHAPA DE ALUMÍNIO ESP. 1,5MM</v>
      </c>
      <c r="H57" s="593" t="str">
        <f>IF($E57="",IFERROR(VLOOKUP($D57,SERVIÇOS!$C:$H,3,0),IFERROR(VLOOKUP($D57,$F:$M,3,0),"")),IFERROR(VLOOKUP($E57,INSUMOS!$B:$E,3,0),IFERROR(VLOOKUP($E57,COTAÇÕES!$C:$L,5,0),"")))</f>
        <v>M2</v>
      </c>
      <c r="I57" s="614">
        <f>0.4*0.9</f>
        <v>0.36000000000000004</v>
      </c>
      <c r="J57" s="670">
        <f>IF($E57="",IFERROR(VLOOKUP($D57,SERVIÇOS!$C:$H,6,0),IFERROR(VLOOKUP($D57,$F:$M,8,0),"")),IFERROR(VLOOKUP($E57,INSUMOS!$B:$E,4,0),IFERROR(VLOOKUP($E57,COTAÇÕES!$C:$L,10,0),"")))</f>
        <v>955.96999999999991</v>
      </c>
      <c r="K57" s="615">
        <f>TRUNC(IF($E57="",IFERROR(VLOOKUP($D57,SERVIÇOS!$C:$H,4,0),IFERROR(VLOOKUP($D57,$F:$M,6,0),)),IFERROR(VLOOKUP($E57,INSUMOS!$B:$E,4,0),IFERROR(VLOOKUP($E57,COTAÇÕES!$C:$L,10,0),)))*$I57,2)</f>
        <v>335.93</v>
      </c>
      <c r="L57" s="616">
        <f>TRUNC(IF($E57="",IFERROR(VLOOKUP($D57,SERVIÇOS!$C:$H,5,0),IFERROR(VLOOKUP($D57,$F:$M,7,0),)),0)*$I57,2)</f>
        <v>8.2100000000000009</v>
      </c>
      <c r="M57" s="617">
        <f>K57+L57</f>
        <v>344.14</v>
      </c>
      <c r="N57" s="753" t="str">
        <f t="shared" si="19"/>
        <v>SERVIÇO SINAPI</v>
      </c>
      <c r="O57" s="618"/>
    </row>
    <row r="58" spans="2:15" ht="23.25" customHeight="1">
      <c r="B58" s="122">
        <f t="shared" si="18"/>
        <v>2</v>
      </c>
      <c r="C58" s="611" t="str">
        <f>IF(D58&lt;&gt;"","C",IF(E58&lt;&gt;"","I",""))</f>
        <v>C</v>
      </c>
      <c r="D58" s="660" t="s">
        <v>2947</v>
      </c>
      <c r="E58" s="664"/>
      <c r="F58" s="620"/>
      <c r="G58" s="613" t="str">
        <f>IF($E58="",IFERROR(VLOOKUP($D58,SERVIÇOS!$C:$H,2,0),IFERROR(VLOOKUP($D58,$F:$M,2,0),"")),IFERROR(VLOOKUP($E58,INSUMOS!$B:$E,2,0),IFERROR(VLOOKUP($E58,COTAÇÕES!$C:$L,2,0),"")))</f>
        <v>BARRA DE APOIO INSTALADA EM PORTA, EM AÇO INOX, COMPRIMENTO 40CM E D=25MM</v>
      </c>
      <c r="H58" s="593" t="str">
        <f>IF($E58="",IFERROR(VLOOKUP($D58,SERVIÇOS!$C:$H,3,0),IFERROR(VLOOKUP($D58,$F:$M,3,0),"")),IFERROR(VLOOKUP($E58,INSUMOS!$B:$E,3,0),IFERROR(VLOOKUP($E58,COTAÇÕES!$C:$L,5,0),"")))</f>
        <v xml:space="preserve">UN    </v>
      </c>
      <c r="I58" s="614">
        <v>1</v>
      </c>
      <c r="J58" s="670">
        <f>IF($E58="",IFERROR(VLOOKUP($D58,SERVIÇOS!$C:$H,6,0),IFERROR(VLOOKUP($D58,$F:$M,8,0),"")),IFERROR(VLOOKUP($E58,INSUMOS!$B:$E,4,0),IFERROR(VLOOKUP($E58,COTAÇÕES!$C:$L,10,0),"")))</f>
        <v>147.87</v>
      </c>
      <c r="K58" s="615">
        <f>TRUNC(IF($E58="",IFERROR(VLOOKUP($D58,SERVIÇOS!$C:$H,4,0),IFERROR(VLOOKUP($D58,$F:$M,6,0),)),IFERROR(VLOOKUP($E58,INSUMOS!$B:$E,4,0),IFERROR(VLOOKUP($E58,COTAÇÕES!$C:$L,10,0),)))*$I58,2)</f>
        <v>119.72</v>
      </c>
      <c r="L58" s="616">
        <f>TRUNC(IF($E58="",IFERROR(VLOOKUP($D58,SERVIÇOS!$C:$H,5,0),IFERROR(VLOOKUP($D58,$F:$M,7,0),)),0)*$I58,2)</f>
        <v>28.15</v>
      </c>
      <c r="M58" s="617">
        <f>K58+L58</f>
        <v>147.87</v>
      </c>
      <c r="N58" s="753" t="str">
        <f t="shared" si="19"/>
        <v>SERVIÇO SINAPI</v>
      </c>
      <c r="O58" s="618"/>
    </row>
    <row r="59" spans="2:15" ht="25.5">
      <c r="B59" s="769">
        <f>SUMIF(ORC!$G$11:$G$2470,CPU!$F59,ORC!$J$11:$J$2470)</f>
        <v>0.56000000000000005</v>
      </c>
      <c r="C59" s="515" t="s">
        <v>2239</v>
      </c>
      <c r="D59" s="515"/>
      <c r="E59" s="515"/>
      <c r="F59" s="515" t="s">
        <v>8628</v>
      </c>
      <c r="G59" s="516" t="s">
        <v>8629</v>
      </c>
      <c r="H59" s="515" t="s">
        <v>649</v>
      </c>
      <c r="I59" s="595"/>
      <c r="J59" s="596"/>
      <c r="K59" s="597">
        <f>SUM(K60:K64)</f>
        <v>1666.9700000000003</v>
      </c>
      <c r="L59" s="597">
        <f>SUM(L60:L64)</f>
        <v>17.080000000000002</v>
      </c>
      <c r="M59" s="596">
        <f>SUM(K59:L59)</f>
        <v>1684.0500000000002</v>
      </c>
      <c r="N59" s="598" t="s">
        <v>7630</v>
      </c>
      <c r="O59" s="599"/>
    </row>
    <row r="60" spans="2:15" ht="25.5">
      <c r="B60" s="122">
        <f t="shared" ref="B60:B64" si="20">B59</f>
        <v>0.56000000000000005</v>
      </c>
      <c r="C60" s="611" t="str">
        <f t="shared" ref="C60:C61" si="21">IF(D60&lt;&gt;"","C",IF(E60&lt;&gt;"","I",""))</f>
        <v>I</v>
      </c>
      <c r="D60" s="660"/>
      <c r="E60" s="661">
        <v>4377</v>
      </c>
      <c r="F60" s="612"/>
      <c r="G60" s="613" t="str">
        <f>IF($E60="",IFERROR(VLOOKUP($D60,SERVIÇOS!$C:$H,2,0),IFERROR(VLOOKUP($D60,$F:$M,2,0),"")),IFERROR(VLOOKUP($E60,INSUMOS!$B:$E,2,0),IFERROR(VLOOKUP($E60,COTAÇÕES!$C:$L,2,0),"")))</f>
        <v xml:space="preserve">PARAFUSO DE ACO ZINCADO COM ROSCA SOBERBA, CABECA CHATA E FENDA SIMPLES, DIAMETRO 4,2 MM, COMPRIMENTO * 32 * MM                                                                                                                                                                                                                                                                                                                                                                                           </v>
      </c>
      <c r="H60" s="593" t="str">
        <f>IF($E60="",IFERROR(VLOOKUP($D60,SERVIÇOS!$C:$H,3,0),IFERROR(VLOOKUP($D60,$F:$M,3,0),"")),IFERROR(VLOOKUP($E60,INSUMOS!$B:$E,3,0),IFERROR(VLOOKUP($E60,COTAÇÕES!$C:$L,5,0),"")))</f>
        <v xml:space="preserve">UN    </v>
      </c>
      <c r="I60" s="614">
        <v>9.1999999999999993</v>
      </c>
      <c r="J60" s="670">
        <f>IF($E60="",IFERROR(VLOOKUP($D60,SERVIÇOS!$C:$H,6,0),IFERROR(VLOOKUP($D60,$F:$M,8,0),"")),IFERROR(VLOOKUP($E60,INSUMOS!$B:$E,4,0),IFERROR(VLOOKUP($E60,COTAÇÕES!$C:$L,10,0),"")))</f>
        <v>0.16</v>
      </c>
      <c r="K60" s="615">
        <f>TRUNC(IF($E60="",IFERROR(VLOOKUP($D60,SERVIÇOS!$C:$H,4,0),IFERROR(VLOOKUP($D60,$F:$M,6,0),)),IFERROR(VLOOKUP($E60,INSUMOS!$B:$E,4,0),IFERROR(VLOOKUP($E60,COTAÇÕES!$C:$L,10,0),)))*$I60,2)</f>
        <v>1.47</v>
      </c>
      <c r="L60" s="616">
        <f>TRUNC(IF($E60="",IFERROR(VLOOKUP($D60,SERVIÇOS!$C:$H,5,0),IFERROR(VLOOKUP($D60,$F:$M,7,0),)),0)*$I60,2)</f>
        <v>0</v>
      </c>
      <c r="M60" s="617">
        <f t="shared" ref="M60:M64" si="22">K60+L60</f>
        <v>1.47</v>
      </c>
      <c r="N60" s="753" t="str">
        <f t="shared" ref="N60:N87" si="23">IF($D60&lt;&gt;"","SERVIÇO SINAPI",IF($E60&lt;&gt;"","INSUMO SINAPI",""))</f>
        <v>INSUMO SINAPI</v>
      </c>
      <c r="O60" s="640"/>
    </row>
    <row r="61" spans="2:15">
      <c r="B61" s="122">
        <f t="shared" si="20"/>
        <v>0.56000000000000005</v>
      </c>
      <c r="C61" s="611" t="str">
        <f t="shared" si="21"/>
        <v>I</v>
      </c>
      <c r="D61" s="660"/>
      <c r="E61" s="661" t="s">
        <v>9021</v>
      </c>
      <c r="F61" s="612"/>
      <c r="G61" s="613" t="str">
        <f>IF($E61="",IFERROR(VLOOKUP($D61,SERVIÇOS!$C:$H,2,0),IFERROR(VLOOKUP($D61,$F:$M,2,0),"")),IFERROR(VLOOKUP($E61,INSUMOS!$B:$E,2,0),IFERROR(VLOOKUP($E61,COTAÇÕES!$C:$L,2,0),"")))</f>
        <v>JANELA DE ALUMÍNIO COR PRETO DE CORRER COM 2 FOLHAS PARA VIDROS, COM VIDROS, BATENTE</v>
      </c>
      <c r="H61" s="593" t="str">
        <f>IF($E61="",IFERROR(VLOOKUP($D61,SERVIÇOS!$C:$H,3,0),IFERROR(VLOOKUP($D61,$F:$M,3,0),"")),IFERROR(VLOOKUP($E61,INSUMOS!$B:$E,3,0),IFERROR(VLOOKUP($E61,COTAÇÕES!$C:$L,5,0),"")))</f>
        <v>M2</v>
      </c>
      <c r="I61" s="621">
        <v>1</v>
      </c>
      <c r="J61" s="670">
        <f>IF($E61="",IFERROR(VLOOKUP($D61,SERVIÇOS!$C:$H,6,0),IFERROR(VLOOKUP($D61,$F:$M,8,0),"")),IFERROR(VLOOKUP($E61,INSUMOS!$B:$E,4,0),IFERROR(VLOOKUP($E61,COTAÇÕES!$C:$L,10,0),"")))</f>
        <v>1646.9066666666665</v>
      </c>
      <c r="K61" s="615">
        <f>TRUNC(IF($E61="",IFERROR(VLOOKUP($D61,SERVIÇOS!$C:$H,4,0),IFERROR(VLOOKUP($D61,$F:$M,6,0),)),IFERROR(VLOOKUP($E61,INSUMOS!$B:$E,4,0),IFERROR(VLOOKUP($E61,COTAÇÕES!$C:$L,10,0),)))*$I61,2)</f>
        <v>1646.9</v>
      </c>
      <c r="L61" s="616">
        <f>TRUNC(IF($E61="",IFERROR(VLOOKUP($D61,SERVIÇOS!$C:$H,5,0),IFERROR(VLOOKUP($D61,$F:$M,7,0),)),0)*$I61,2)</f>
        <v>0</v>
      </c>
      <c r="M61" s="617">
        <f t="shared" si="22"/>
        <v>1646.9</v>
      </c>
      <c r="N61" s="753" t="s">
        <v>6845</v>
      </c>
      <c r="O61" s="618"/>
    </row>
    <row r="62" spans="2:15">
      <c r="B62" s="122">
        <f t="shared" si="20"/>
        <v>0.56000000000000005</v>
      </c>
      <c r="C62" s="611" t="str">
        <f>IF(D62&lt;&gt;"","C",IF(E62&lt;&gt;"","I",""))</f>
        <v>I</v>
      </c>
      <c r="D62" s="660"/>
      <c r="E62" s="661">
        <v>39961</v>
      </c>
      <c r="F62" s="612"/>
      <c r="G62" s="613" t="str">
        <f>IF($E62="",IFERROR(VLOOKUP($D62,SERVIÇOS!$C:$H,2,0),IFERROR(VLOOKUP($D62,$F:$M,2,0),"")),IFERROR(VLOOKUP($E62,INSUMOS!$B:$E,2,0),IFERROR(VLOOKUP($E62,COTAÇÕES!$C:$L,2,0),"")))</f>
        <v xml:space="preserve">SILICONE ACETICO USO GERAL INCOLOR 280 G                                                                                                                                                                                                                                                                                                                                                                                                                                                                  </v>
      </c>
      <c r="H62" s="593" t="str">
        <f>IF($E62="",IFERROR(VLOOKUP($D62,SERVIÇOS!$C:$H,3,0),IFERROR(VLOOKUP($D62,$F:$M,3,0),"")),IFERROR(VLOOKUP($E62,INSUMOS!$B:$E,3,0),IFERROR(VLOOKUP($E62,COTAÇÕES!$C:$L,5,0),"")))</f>
        <v xml:space="preserve">UN    </v>
      </c>
      <c r="I62" s="614">
        <v>0.62329999999999997</v>
      </c>
      <c r="J62" s="670">
        <f>IF($E62="",IFERROR(VLOOKUP($D62,SERVIÇOS!$C:$H,6,0),IFERROR(VLOOKUP($D62,$F:$M,8,0),"")),IFERROR(VLOOKUP($E62,INSUMOS!$B:$E,4,0),IFERROR(VLOOKUP($E62,COTAÇÕES!$C:$L,10,0),"")))</f>
        <v>21.64</v>
      </c>
      <c r="K62" s="615">
        <f>TRUNC(IF($E62="",IFERROR(VLOOKUP($D62,SERVIÇOS!$C:$H,4,0),IFERROR(VLOOKUP($D62,$F:$M,6,0),)),IFERROR(VLOOKUP($E62,INSUMOS!$B:$E,4,0),IFERROR(VLOOKUP($E62,COTAÇÕES!$C:$L,10,0),)))*$I62,2)</f>
        <v>13.48</v>
      </c>
      <c r="L62" s="616">
        <f>TRUNC(IF($E62="",IFERROR(VLOOKUP($D62,SERVIÇOS!$C:$H,5,0),IFERROR(VLOOKUP($D62,$F:$M,7,0),)),0)*$I62,2)</f>
        <v>0</v>
      </c>
      <c r="M62" s="617">
        <f t="shared" si="22"/>
        <v>13.48</v>
      </c>
      <c r="N62" s="753" t="str">
        <f t="shared" si="23"/>
        <v>INSUMO SINAPI</v>
      </c>
      <c r="O62" s="618"/>
    </row>
    <row r="63" spans="2:15">
      <c r="B63" s="122">
        <f t="shared" si="20"/>
        <v>0.56000000000000005</v>
      </c>
      <c r="C63" s="611" t="str">
        <f t="shared" ref="C63:C64" si="24">IF(D63&lt;&gt;"","C",IF(E63&lt;&gt;"","I",""))</f>
        <v>C</v>
      </c>
      <c r="D63" s="660">
        <v>88309</v>
      </c>
      <c r="E63" s="661"/>
      <c r="F63" s="612"/>
      <c r="G63" s="613" t="str">
        <f>IF($E63="",IFERROR(VLOOKUP($D63,SERVIÇOS!$C:$H,2,0),IFERROR(VLOOKUP($D63,$F:$M,2,0),"")),IFERROR(VLOOKUP($E63,INSUMOS!$B:$E,2,0),IFERROR(VLOOKUP($E63,COTAÇÕES!$C:$L,2,0),"")))</f>
        <v>PEDREIRO COM ENCARGOS COMPLEMENTARES</v>
      </c>
      <c r="H63" s="593" t="str">
        <f>IF($E63="",IFERROR(VLOOKUP($D63,SERVIÇOS!$C:$H,3,0),IFERROR(VLOOKUP($D63,$F:$M,3,0),"")),IFERROR(VLOOKUP($E63,INSUMOS!$B:$E,3,0),IFERROR(VLOOKUP($E63,COTAÇÕES!$C:$L,5,0),"")))</f>
        <v>H</v>
      </c>
      <c r="I63" s="614">
        <v>0.51900000000000002</v>
      </c>
      <c r="J63" s="670">
        <f>IF($E63="",IFERROR(VLOOKUP($D63,SERVIÇOS!$C:$H,6,0),IFERROR(VLOOKUP($D63,$F:$M,8,0),"")),IFERROR(VLOOKUP($E63,INSUMOS!$B:$E,4,0),IFERROR(VLOOKUP($E63,COTAÇÕES!$C:$L,10,0),"")))</f>
        <v>30.99</v>
      </c>
      <c r="K63" s="615">
        <f>TRUNC(IF($E63="",IFERROR(VLOOKUP($D63,SERVIÇOS!$C:$H,4,0),IFERROR(VLOOKUP($D63,$F:$M,6,0),)),IFERROR(VLOOKUP($E63,INSUMOS!$B:$E,4,0),IFERROR(VLOOKUP($E63,COTAÇÕES!$C:$L,10,0),)))*$I63,2)</f>
        <v>3.44</v>
      </c>
      <c r="L63" s="616">
        <f>TRUNC(IF($E63="",IFERROR(VLOOKUP($D63,SERVIÇOS!$C:$H,5,0),IFERROR(VLOOKUP($D63,$F:$M,7,0),)),0)*$I63,2)</f>
        <v>12.63</v>
      </c>
      <c r="M63" s="617">
        <f t="shared" si="22"/>
        <v>16.07</v>
      </c>
      <c r="N63" s="753" t="str">
        <f t="shared" si="23"/>
        <v>SERVIÇO SINAPI</v>
      </c>
      <c r="O63" s="618"/>
    </row>
    <row r="64" spans="2:15">
      <c r="B64" s="122">
        <f t="shared" si="20"/>
        <v>0.56000000000000005</v>
      </c>
      <c r="C64" s="611" t="str">
        <f t="shared" si="24"/>
        <v>C</v>
      </c>
      <c r="D64" s="660">
        <v>88316</v>
      </c>
      <c r="E64" s="661"/>
      <c r="F64" s="612"/>
      <c r="G64" s="613" t="str">
        <f>IF($E64="",IFERROR(VLOOKUP($D64,SERVIÇOS!$C:$H,2,0),IFERROR(VLOOKUP($D64,$F:$M,2,0),"")),IFERROR(VLOOKUP($E64,INSUMOS!$B:$E,2,0),IFERROR(VLOOKUP($E64,COTAÇÕES!$C:$L,2,0),"")))</f>
        <v>SERVENTE COM ENCARGOS COMPLEMENTARES</v>
      </c>
      <c r="H64" s="593" t="str">
        <f>IF($E64="",IFERROR(VLOOKUP($D64,SERVIÇOS!$C:$H,3,0),IFERROR(VLOOKUP($D64,$F:$M,3,0),"")),IFERROR(VLOOKUP($E64,INSUMOS!$B:$E,3,0),IFERROR(VLOOKUP($E64,COTAÇÕES!$C:$L,5,0),"")))</f>
        <v>H</v>
      </c>
      <c r="I64" s="614">
        <v>0.25900000000000001</v>
      </c>
      <c r="J64" s="670">
        <f>IF($E64="",IFERROR(VLOOKUP($D64,SERVIÇOS!$C:$H,6,0),IFERROR(VLOOKUP($D64,$F:$M,8,0),"")),IFERROR(VLOOKUP($E64,INSUMOS!$B:$E,4,0),IFERROR(VLOOKUP($E64,COTAÇÕES!$C:$L,10,0),"")))</f>
        <v>23.71</v>
      </c>
      <c r="K64" s="615">
        <f>TRUNC(IF($E64="",IFERROR(VLOOKUP($D64,SERVIÇOS!$C:$H,4,0),IFERROR(VLOOKUP($D64,$F:$M,6,0),)),IFERROR(VLOOKUP($E64,INSUMOS!$B:$E,4,0),IFERROR(VLOOKUP($E64,COTAÇÕES!$C:$L,10,0),)))*$I64,2)</f>
        <v>1.68</v>
      </c>
      <c r="L64" s="616">
        <f>TRUNC(IF($E64="",IFERROR(VLOOKUP($D64,SERVIÇOS!$C:$H,5,0),IFERROR(VLOOKUP($D64,$F:$M,7,0),)),0)*$I64,2)</f>
        <v>4.45</v>
      </c>
      <c r="M64" s="617">
        <f t="shared" si="22"/>
        <v>6.13</v>
      </c>
      <c r="N64" s="753" t="str">
        <f t="shared" si="23"/>
        <v>SERVIÇO SINAPI</v>
      </c>
      <c r="O64" s="618"/>
    </row>
    <row r="65" spans="2:15" ht="25.5">
      <c r="B65" s="769">
        <f>SUMIF(ORC!$G$11:$G$2470,CPU!$F65,ORC!$J$11:$J$2470)</f>
        <v>3.84</v>
      </c>
      <c r="C65" s="515" t="s">
        <v>2239</v>
      </c>
      <c r="D65" s="515"/>
      <c r="E65" s="515"/>
      <c r="F65" s="515" t="s">
        <v>8630</v>
      </c>
      <c r="G65" s="516" t="s">
        <v>8631</v>
      </c>
      <c r="H65" s="515" t="s">
        <v>649</v>
      </c>
      <c r="I65" s="595"/>
      <c r="J65" s="596"/>
      <c r="K65" s="597">
        <f>SUM(K66:K70)</f>
        <v>1587.8600000000001</v>
      </c>
      <c r="L65" s="597">
        <f>SUM(L66:L70)</f>
        <v>17.080000000000002</v>
      </c>
      <c r="M65" s="596">
        <f>SUM(K65:L65)</f>
        <v>1604.94</v>
      </c>
      <c r="N65" s="598" t="s">
        <v>7630</v>
      </c>
      <c r="O65" s="599"/>
    </row>
    <row r="66" spans="2:15" ht="25.5">
      <c r="B66" s="122">
        <f t="shared" ref="B66:B70" si="25">B65</f>
        <v>3.84</v>
      </c>
      <c r="C66" s="611" t="str">
        <f t="shared" ref="C66:C67" si="26">IF(D66&lt;&gt;"","C",IF(E66&lt;&gt;"","I",""))</f>
        <v>I</v>
      </c>
      <c r="D66" s="660"/>
      <c r="E66" s="661">
        <v>4377</v>
      </c>
      <c r="F66" s="612"/>
      <c r="G66" s="613" t="str">
        <f>IF($E66="",IFERROR(VLOOKUP($D66,SERVIÇOS!$C:$H,2,0),IFERROR(VLOOKUP($D66,$F:$M,2,0),"")),IFERROR(VLOOKUP($E66,INSUMOS!$B:$E,2,0),IFERROR(VLOOKUP($E66,COTAÇÕES!$C:$L,2,0),"")))</f>
        <v xml:space="preserve">PARAFUSO DE ACO ZINCADO COM ROSCA SOBERBA, CABECA CHATA E FENDA SIMPLES, DIAMETRO 4,2 MM, COMPRIMENTO * 32 * MM                                                                                                                                                                                                                                                                                                                                                                                           </v>
      </c>
      <c r="H66" s="593" t="str">
        <f>IF($E66="",IFERROR(VLOOKUP($D66,SERVIÇOS!$C:$H,3,0),IFERROR(VLOOKUP($D66,$F:$M,3,0),"")),IFERROR(VLOOKUP($E66,INSUMOS!$B:$E,3,0),IFERROR(VLOOKUP($E66,COTAÇÕES!$C:$L,5,0),"")))</f>
        <v xml:space="preserve">UN    </v>
      </c>
      <c r="I66" s="614">
        <v>9.1999999999999993</v>
      </c>
      <c r="J66" s="670">
        <f>IF($E66="",IFERROR(VLOOKUP($D66,SERVIÇOS!$C:$H,6,0),IFERROR(VLOOKUP($D66,$F:$M,8,0),"")),IFERROR(VLOOKUP($E66,INSUMOS!$B:$E,4,0),IFERROR(VLOOKUP($E66,COTAÇÕES!$C:$L,10,0),"")))</f>
        <v>0.16</v>
      </c>
      <c r="K66" s="615">
        <f>TRUNC(IF($E66="",IFERROR(VLOOKUP($D66,SERVIÇOS!$C:$H,4,0),IFERROR(VLOOKUP($D66,$F:$M,6,0),)),IFERROR(VLOOKUP($E66,INSUMOS!$B:$E,4,0),IFERROR(VLOOKUP($E66,COTAÇÕES!$C:$L,10,0),)))*$I66,2)</f>
        <v>1.47</v>
      </c>
      <c r="L66" s="616">
        <f>TRUNC(IF($E66="",IFERROR(VLOOKUP($D66,SERVIÇOS!$C:$H,5,0),IFERROR(VLOOKUP($D66,$F:$M,7,0),)),0)*$I66,2)</f>
        <v>0</v>
      </c>
      <c r="M66" s="617">
        <f t="shared" ref="M66:M70" si="27">K66+L66</f>
        <v>1.47</v>
      </c>
      <c r="N66" s="753" t="str">
        <f t="shared" si="23"/>
        <v>INSUMO SINAPI</v>
      </c>
      <c r="O66" s="640"/>
    </row>
    <row r="67" spans="2:15">
      <c r="B67" s="122">
        <f t="shared" si="25"/>
        <v>3.84</v>
      </c>
      <c r="C67" s="611" t="str">
        <f t="shared" si="26"/>
        <v>I</v>
      </c>
      <c r="D67" s="660"/>
      <c r="E67" s="661" t="s">
        <v>9022</v>
      </c>
      <c r="F67" s="612"/>
      <c r="G67" s="613" t="str">
        <f>IF($E67="",IFERROR(VLOOKUP($D67,SERVIÇOS!$C:$H,2,0),IFERROR(VLOOKUP($D67,$F:$M,2,0),"")),IFERROR(VLOOKUP($E67,INSUMOS!$B:$E,2,0),IFERROR(VLOOKUP($E67,COTAÇÕES!$C:$L,2,0),"")))</f>
        <v>JANELA DE ALUMÍNIO COR PRETO DE CORRER COM 4 FOLHAS PARA VIDROS, COM VIDROS, BATENTE</v>
      </c>
      <c r="H67" s="593" t="str">
        <f>IF($E67="",IFERROR(VLOOKUP($D67,SERVIÇOS!$C:$H,3,0),IFERROR(VLOOKUP($D67,$F:$M,3,0),"")),IFERROR(VLOOKUP($E67,INSUMOS!$B:$E,3,0),IFERROR(VLOOKUP($E67,COTAÇÕES!$C:$L,5,0),"")))</f>
        <v>M2</v>
      </c>
      <c r="I67" s="621">
        <v>1</v>
      </c>
      <c r="J67" s="670">
        <f>IF($E67="",IFERROR(VLOOKUP($D67,SERVIÇOS!$C:$H,6,0),IFERROR(VLOOKUP($D67,$F:$M,8,0),"")),IFERROR(VLOOKUP($E67,INSUMOS!$B:$E,4,0),IFERROR(VLOOKUP($E67,COTAÇÕES!$C:$L,10,0),"")))</f>
        <v>1567.7966666666669</v>
      </c>
      <c r="K67" s="615">
        <f>TRUNC(IF($E67="",IFERROR(VLOOKUP($D67,SERVIÇOS!$C:$H,4,0),IFERROR(VLOOKUP($D67,$F:$M,6,0),)),IFERROR(VLOOKUP($E67,INSUMOS!$B:$E,4,0),IFERROR(VLOOKUP($E67,COTAÇÕES!$C:$L,10,0),)))*$I67,2)</f>
        <v>1567.79</v>
      </c>
      <c r="L67" s="616">
        <f>TRUNC(IF($E67="",IFERROR(VLOOKUP($D67,SERVIÇOS!$C:$H,5,0),IFERROR(VLOOKUP($D67,$F:$M,7,0),)),0)*$I67,2)</f>
        <v>0</v>
      </c>
      <c r="M67" s="617">
        <f t="shared" si="27"/>
        <v>1567.79</v>
      </c>
      <c r="N67" s="753" t="s">
        <v>6845</v>
      </c>
      <c r="O67" s="618"/>
    </row>
    <row r="68" spans="2:15">
      <c r="B68" s="122">
        <f t="shared" si="25"/>
        <v>3.84</v>
      </c>
      <c r="C68" s="611" t="str">
        <f>IF(D68&lt;&gt;"","C",IF(E68&lt;&gt;"","I",""))</f>
        <v>I</v>
      </c>
      <c r="D68" s="660"/>
      <c r="E68" s="661">
        <v>39961</v>
      </c>
      <c r="F68" s="612"/>
      <c r="G68" s="613" t="str">
        <f>IF($E68="",IFERROR(VLOOKUP($D68,SERVIÇOS!$C:$H,2,0),IFERROR(VLOOKUP($D68,$F:$M,2,0),"")),IFERROR(VLOOKUP($E68,INSUMOS!$B:$E,2,0),IFERROR(VLOOKUP($E68,COTAÇÕES!$C:$L,2,0),"")))</f>
        <v xml:space="preserve">SILICONE ACETICO USO GERAL INCOLOR 280 G                                                                                                                                                                                                                                                                                                                                                                                                                                                                  </v>
      </c>
      <c r="H68" s="593" t="str">
        <f>IF($E68="",IFERROR(VLOOKUP($D68,SERVIÇOS!$C:$H,3,0),IFERROR(VLOOKUP($D68,$F:$M,3,0),"")),IFERROR(VLOOKUP($E68,INSUMOS!$B:$E,3,0),IFERROR(VLOOKUP($E68,COTAÇÕES!$C:$L,5,0),"")))</f>
        <v xml:space="preserve">UN    </v>
      </c>
      <c r="I68" s="614">
        <v>0.62329999999999997</v>
      </c>
      <c r="J68" s="670">
        <f>IF($E68="",IFERROR(VLOOKUP($D68,SERVIÇOS!$C:$H,6,0),IFERROR(VLOOKUP($D68,$F:$M,8,0),"")),IFERROR(VLOOKUP($E68,INSUMOS!$B:$E,4,0),IFERROR(VLOOKUP($E68,COTAÇÕES!$C:$L,10,0),"")))</f>
        <v>21.64</v>
      </c>
      <c r="K68" s="615">
        <f>TRUNC(IF($E68="",IFERROR(VLOOKUP($D68,SERVIÇOS!$C:$H,4,0),IFERROR(VLOOKUP($D68,$F:$M,6,0),)),IFERROR(VLOOKUP($E68,INSUMOS!$B:$E,4,0),IFERROR(VLOOKUP($E68,COTAÇÕES!$C:$L,10,0),)))*$I68,2)</f>
        <v>13.48</v>
      </c>
      <c r="L68" s="616">
        <f>TRUNC(IF($E68="",IFERROR(VLOOKUP($D68,SERVIÇOS!$C:$H,5,0),IFERROR(VLOOKUP($D68,$F:$M,7,0),)),0)*$I68,2)</f>
        <v>0</v>
      </c>
      <c r="M68" s="617">
        <f t="shared" si="27"/>
        <v>13.48</v>
      </c>
      <c r="N68" s="753" t="str">
        <f t="shared" si="23"/>
        <v>INSUMO SINAPI</v>
      </c>
      <c r="O68" s="618"/>
    </row>
    <row r="69" spans="2:15">
      <c r="B69" s="122">
        <f t="shared" si="25"/>
        <v>3.84</v>
      </c>
      <c r="C69" s="611" t="str">
        <f t="shared" ref="C69:C70" si="28">IF(D69&lt;&gt;"","C",IF(E69&lt;&gt;"","I",""))</f>
        <v>C</v>
      </c>
      <c r="D69" s="660">
        <v>88309</v>
      </c>
      <c r="E69" s="661"/>
      <c r="F69" s="612"/>
      <c r="G69" s="613" t="str">
        <f>IF($E69="",IFERROR(VLOOKUP($D69,SERVIÇOS!$C:$H,2,0),IFERROR(VLOOKUP($D69,$F:$M,2,0),"")),IFERROR(VLOOKUP($E69,INSUMOS!$B:$E,2,0),IFERROR(VLOOKUP($E69,COTAÇÕES!$C:$L,2,0),"")))</f>
        <v>PEDREIRO COM ENCARGOS COMPLEMENTARES</v>
      </c>
      <c r="H69" s="593" t="str">
        <f>IF($E69="",IFERROR(VLOOKUP($D69,SERVIÇOS!$C:$H,3,0),IFERROR(VLOOKUP($D69,$F:$M,3,0),"")),IFERROR(VLOOKUP($E69,INSUMOS!$B:$E,3,0),IFERROR(VLOOKUP($E69,COTAÇÕES!$C:$L,5,0),"")))</f>
        <v>H</v>
      </c>
      <c r="I69" s="614">
        <v>0.51900000000000002</v>
      </c>
      <c r="J69" s="670">
        <f>IF($E69="",IFERROR(VLOOKUP($D69,SERVIÇOS!$C:$H,6,0),IFERROR(VLOOKUP($D69,$F:$M,8,0),"")),IFERROR(VLOOKUP($E69,INSUMOS!$B:$E,4,0),IFERROR(VLOOKUP($E69,COTAÇÕES!$C:$L,10,0),"")))</f>
        <v>30.99</v>
      </c>
      <c r="K69" s="615">
        <f>TRUNC(IF($E69="",IFERROR(VLOOKUP($D69,SERVIÇOS!$C:$H,4,0),IFERROR(VLOOKUP($D69,$F:$M,6,0),)),IFERROR(VLOOKUP($E69,INSUMOS!$B:$E,4,0),IFERROR(VLOOKUP($E69,COTAÇÕES!$C:$L,10,0),)))*$I69,2)</f>
        <v>3.44</v>
      </c>
      <c r="L69" s="616">
        <f>TRUNC(IF($E69="",IFERROR(VLOOKUP($D69,SERVIÇOS!$C:$H,5,0),IFERROR(VLOOKUP($D69,$F:$M,7,0),)),0)*$I69,2)</f>
        <v>12.63</v>
      </c>
      <c r="M69" s="617">
        <f t="shared" si="27"/>
        <v>16.07</v>
      </c>
      <c r="N69" s="753" t="str">
        <f t="shared" si="23"/>
        <v>SERVIÇO SINAPI</v>
      </c>
      <c r="O69" s="618"/>
    </row>
    <row r="70" spans="2:15">
      <c r="B70" s="122">
        <f t="shared" si="25"/>
        <v>3.84</v>
      </c>
      <c r="C70" s="611" t="str">
        <f t="shared" si="28"/>
        <v>C</v>
      </c>
      <c r="D70" s="660">
        <v>88316</v>
      </c>
      <c r="E70" s="661"/>
      <c r="F70" s="612"/>
      <c r="G70" s="613" t="str">
        <f>IF($E70="",IFERROR(VLOOKUP($D70,SERVIÇOS!$C:$H,2,0),IFERROR(VLOOKUP($D70,$F:$M,2,0),"")),IFERROR(VLOOKUP($E70,INSUMOS!$B:$E,2,0),IFERROR(VLOOKUP($E70,COTAÇÕES!$C:$L,2,0),"")))</f>
        <v>SERVENTE COM ENCARGOS COMPLEMENTARES</v>
      </c>
      <c r="H70" s="593" t="str">
        <f>IF($E70="",IFERROR(VLOOKUP($D70,SERVIÇOS!$C:$H,3,0),IFERROR(VLOOKUP($D70,$F:$M,3,0),"")),IFERROR(VLOOKUP($E70,INSUMOS!$B:$E,3,0),IFERROR(VLOOKUP($E70,COTAÇÕES!$C:$L,5,0),"")))</f>
        <v>H</v>
      </c>
      <c r="I70" s="614">
        <v>0.25900000000000001</v>
      </c>
      <c r="J70" s="670">
        <f>IF($E70="",IFERROR(VLOOKUP($D70,SERVIÇOS!$C:$H,6,0),IFERROR(VLOOKUP($D70,$F:$M,8,0),"")),IFERROR(VLOOKUP($E70,INSUMOS!$B:$E,4,0),IFERROR(VLOOKUP($E70,COTAÇÕES!$C:$L,10,0),"")))</f>
        <v>23.71</v>
      </c>
      <c r="K70" s="615">
        <f>TRUNC(IF($E70="",IFERROR(VLOOKUP($D70,SERVIÇOS!$C:$H,4,0),IFERROR(VLOOKUP($D70,$F:$M,6,0),)),IFERROR(VLOOKUP($E70,INSUMOS!$B:$E,4,0),IFERROR(VLOOKUP($E70,COTAÇÕES!$C:$L,10,0),)))*$I70,2)</f>
        <v>1.68</v>
      </c>
      <c r="L70" s="616">
        <f>TRUNC(IF($E70="",IFERROR(VLOOKUP($D70,SERVIÇOS!$C:$H,5,0),IFERROR(VLOOKUP($D70,$F:$M,7,0),)),0)*$I70,2)</f>
        <v>4.45</v>
      </c>
      <c r="M70" s="617">
        <f t="shared" si="27"/>
        <v>6.13</v>
      </c>
      <c r="N70" s="753" t="str">
        <f t="shared" si="23"/>
        <v>SERVIÇO SINAPI</v>
      </c>
      <c r="O70" s="618"/>
    </row>
    <row r="71" spans="2:15" ht="25.5">
      <c r="B71" s="769">
        <f>SUMIF(ORC!$G$11:$G$2470,CPU!$F71,ORC!$J$11:$J$2470)</f>
        <v>49.5</v>
      </c>
      <c r="C71" s="515" t="s">
        <v>2239</v>
      </c>
      <c r="D71" s="515"/>
      <c r="E71" s="515"/>
      <c r="F71" s="515" t="s">
        <v>8632</v>
      </c>
      <c r="G71" s="516" t="s">
        <v>14578</v>
      </c>
      <c r="H71" s="515" t="s">
        <v>649</v>
      </c>
      <c r="I71" s="595"/>
      <c r="J71" s="596"/>
      <c r="K71" s="597">
        <f>SUM(K72:K76)</f>
        <v>854.3900000000001</v>
      </c>
      <c r="L71" s="597">
        <f>SUM(L72:L76)</f>
        <v>17.080000000000002</v>
      </c>
      <c r="M71" s="596">
        <f>SUM(K71:L71)</f>
        <v>871.47000000000014</v>
      </c>
      <c r="N71" s="598" t="s">
        <v>7630</v>
      </c>
      <c r="O71" s="599"/>
    </row>
    <row r="72" spans="2:15" ht="25.5">
      <c r="B72" s="122">
        <f t="shared" ref="B72:B76" si="29">B71</f>
        <v>49.5</v>
      </c>
      <c r="C72" s="611" t="str">
        <f t="shared" ref="C72:C73" si="30">IF(D72&lt;&gt;"","C",IF(E72&lt;&gt;"","I",""))</f>
        <v>I</v>
      </c>
      <c r="D72" s="660"/>
      <c r="E72" s="661">
        <v>4377</v>
      </c>
      <c r="F72" s="612"/>
      <c r="G72" s="613" t="str">
        <f>IF($E72="",IFERROR(VLOOKUP($D72,SERVIÇOS!$C:$H,2,0),IFERROR(VLOOKUP($D72,$F:$M,2,0),"")),IFERROR(VLOOKUP($E72,INSUMOS!$B:$E,2,0),IFERROR(VLOOKUP($E72,COTAÇÕES!$C:$L,2,0),"")))</f>
        <v xml:space="preserve">PARAFUSO DE ACO ZINCADO COM ROSCA SOBERBA, CABECA CHATA E FENDA SIMPLES, DIAMETRO 4,2 MM, COMPRIMENTO * 32 * MM                                                                                                                                                                                                                                                                                                                                                                                           </v>
      </c>
      <c r="H72" s="593" t="str">
        <f>IF($E72="",IFERROR(VLOOKUP($D72,SERVIÇOS!$C:$H,3,0),IFERROR(VLOOKUP($D72,$F:$M,3,0),"")),IFERROR(VLOOKUP($E72,INSUMOS!$B:$E,3,0),IFERROR(VLOOKUP($E72,COTAÇÕES!$C:$L,5,0),"")))</f>
        <v xml:space="preserve">UN    </v>
      </c>
      <c r="I72" s="614">
        <v>9.1999999999999993</v>
      </c>
      <c r="J72" s="670">
        <f>IF($E72="",IFERROR(VLOOKUP($D72,SERVIÇOS!$C:$H,6,0),IFERROR(VLOOKUP($D72,$F:$M,8,0),"")),IFERROR(VLOOKUP($E72,INSUMOS!$B:$E,4,0),IFERROR(VLOOKUP($E72,COTAÇÕES!$C:$L,10,0),"")))</f>
        <v>0.16</v>
      </c>
      <c r="K72" s="615">
        <f>TRUNC(IF($E72="",IFERROR(VLOOKUP($D72,SERVIÇOS!$C:$H,4,0),IFERROR(VLOOKUP($D72,$F:$M,6,0),)),IFERROR(VLOOKUP($E72,INSUMOS!$B:$E,4,0),IFERROR(VLOOKUP($E72,COTAÇÕES!$C:$L,10,0),)))*$I72,2)</f>
        <v>1.47</v>
      </c>
      <c r="L72" s="616">
        <f>TRUNC(IF($E72="",IFERROR(VLOOKUP($D72,SERVIÇOS!$C:$H,5,0),IFERROR(VLOOKUP($D72,$F:$M,7,0),)),0)*$I72,2)</f>
        <v>0</v>
      </c>
      <c r="M72" s="617">
        <f t="shared" ref="M72:M76" si="31">K72+L72</f>
        <v>1.47</v>
      </c>
      <c r="N72" s="753" t="str">
        <f t="shared" si="23"/>
        <v>INSUMO SINAPI</v>
      </c>
      <c r="O72" s="640"/>
    </row>
    <row r="73" spans="2:15" ht="25.5">
      <c r="B73" s="122">
        <f t="shared" si="29"/>
        <v>49.5</v>
      </c>
      <c r="C73" s="611" t="str">
        <f t="shared" si="30"/>
        <v>I</v>
      </c>
      <c r="D73" s="660"/>
      <c r="E73" s="661" t="s">
        <v>9023</v>
      </c>
      <c r="F73" s="612"/>
      <c r="G73" s="613" t="str">
        <f>IF($E73="",IFERROR(VLOOKUP($D73,SERVIÇOS!$C:$H,2,0),IFERROR(VLOOKUP($D73,$F:$M,2,0),"")),IFERROR(VLOOKUP($E73,INSUMOS!$B:$E,2,0),IFERROR(VLOOKUP($E73,COTAÇÕES!$C:$L,2,0),"")))</f>
        <v>JANELA DE ALUMÍNIO PROJETANTES 30º E FIXAS EM ALUMÍNIO COR PRETO, COM VIDROS, BATENTE E FERRAGENS, CONFOME PROJETO</v>
      </c>
      <c r="H73" s="593" t="str">
        <f>IF($E73="",IFERROR(VLOOKUP($D73,SERVIÇOS!$C:$H,3,0),IFERROR(VLOOKUP($D73,$F:$M,3,0),"")),IFERROR(VLOOKUP($E73,INSUMOS!$B:$E,3,0),IFERROR(VLOOKUP($E73,COTAÇÕES!$C:$L,5,0),"")))</f>
        <v>M2</v>
      </c>
      <c r="I73" s="621">
        <v>1</v>
      </c>
      <c r="J73" s="670">
        <f>IF($E73="",IFERROR(VLOOKUP($D73,SERVIÇOS!$C:$H,6,0),IFERROR(VLOOKUP($D73,$F:$M,8,0),"")),IFERROR(VLOOKUP($E73,INSUMOS!$B:$E,4,0),IFERROR(VLOOKUP($E73,COTAÇÕES!$C:$L,10,0),"")))</f>
        <v>834.32333333333338</v>
      </c>
      <c r="K73" s="615">
        <f>TRUNC(IF($E73="",IFERROR(VLOOKUP($D73,SERVIÇOS!$C:$H,4,0),IFERROR(VLOOKUP($D73,$F:$M,6,0),)),IFERROR(VLOOKUP($E73,INSUMOS!$B:$E,4,0),IFERROR(VLOOKUP($E73,COTAÇÕES!$C:$L,10,0),)))*$I73,2)</f>
        <v>834.32</v>
      </c>
      <c r="L73" s="616">
        <f>TRUNC(IF($E73="",IFERROR(VLOOKUP($D73,SERVIÇOS!$C:$H,5,0),IFERROR(VLOOKUP($D73,$F:$M,7,0),)),0)*$I73,2)</f>
        <v>0</v>
      </c>
      <c r="M73" s="617">
        <f t="shared" si="31"/>
        <v>834.32</v>
      </c>
      <c r="N73" s="753" t="s">
        <v>6845</v>
      </c>
      <c r="O73" s="618"/>
    </row>
    <row r="74" spans="2:15">
      <c r="B74" s="122">
        <f t="shared" si="29"/>
        <v>49.5</v>
      </c>
      <c r="C74" s="611" t="str">
        <f>IF(D74&lt;&gt;"","C",IF(E74&lt;&gt;"","I",""))</f>
        <v>I</v>
      </c>
      <c r="D74" s="660"/>
      <c r="E74" s="661">
        <v>39961</v>
      </c>
      <c r="F74" s="612"/>
      <c r="G74" s="613" t="str">
        <f>IF($E74="",IFERROR(VLOOKUP($D74,SERVIÇOS!$C:$H,2,0),IFERROR(VLOOKUP($D74,$F:$M,2,0),"")),IFERROR(VLOOKUP($E74,INSUMOS!$B:$E,2,0),IFERROR(VLOOKUP($E74,COTAÇÕES!$C:$L,2,0),"")))</f>
        <v xml:space="preserve">SILICONE ACETICO USO GERAL INCOLOR 280 G                                                                                                                                                                                                                                                                                                                                                                                                                                                                  </v>
      </c>
      <c r="H74" s="593" t="str">
        <f>IF($E74="",IFERROR(VLOOKUP($D74,SERVIÇOS!$C:$H,3,0),IFERROR(VLOOKUP($D74,$F:$M,3,0),"")),IFERROR(VLOOKUP($E74,INSUMOS!$B:$E,3,0),IFERROR(VLOOKUP($E74,COTAÇÕES!$C:$L,5,0),"")))</f>
        <v xml:space="preserve">UN    </v>
      </c>
      <c r="I74" s="614">
        <v>0.62329999999999997</v>
      </c>
      <c r="J74" s="670">
        <f>IF($E74="",IFERROR(VLOOKUP($D74,SERVIÇOS!$C:$H,6,0),IFERROR(VLOOKUP($D74,$F:$M,8,0),"")),IFERROR(VLOOKUP($E74,INSUMOS!$B:$E,4,0),IFERROR(VLOOKUP($E74,COTAÇÕES!$C:$L,10,0),"")))</f>
        <v>21.64</v>
      </c>
      <c r="K74" s="615">
        <f>TRUNC(IF($E74="",IFERROR(VLOOKUP($D74,SERVIÇOS!$C:$H,4,0),IFERROR(VLOOKUP($D74,$F:$M,6,0),)),IFERROR(VLOOKUP($E74,INSUMOS!$B:$E,4,0),IFERROR(VLOOKUP($E74,COTAÇÕES!$C:$L,10,0),)))*$I74,2)</f>
        <v>13.48</v>
      </c>
      <c r="L74" s="616">
        <f>TRUNC(IF($E74="",IFERROR(VLOOKUP($D74,SERVIÇOS!$C:$H,5,0),IFERROR(VLOOKUP($D74,$F:$M,7,0),)),0)*$I74,2)</f>
        <v>0</v>
      </c>
      <c r="M74" s="617">
        <f t="shared" si="31"/>
        <v>13.48</v>
      </c>
      <c r="N74" s="753" t="str">
        <f t="shared" si="23"/>
        <v>INSUMO SINAPI</v>
      </c>
      <c r="O74" s="618"/>
    </row>
    <row r="75" spans="2:15">
      <c r="B75" s="122">
        <f t="shared" si="29"/>
        <v>49.5</v>
      </c>
      <c r="C75" s="611" t="str">
        <f t="shared" ref="C75:C76" si="32">IF(D75&lt;&gt;"","C",IF(E75&lt;&gt;"","I",""))</f>
        <v>C</v>
      </c>
      <c r="D75" s="660">
        <v>88309</v>
      </c>
      <c r="E75" s="661"/>
      <c r="F75" s="612"/>
      <c r="G75" s="613" t="str">
        <f>IF($E75="",IFERROR(VLOOKUP($D75,SERVIÇOS!$C:$H,2,0),IFERROR(VLOOKUP($D75,$F:$M,2,0),"")),IFERROR(VLOOKUP($E75,INSUMOS!$B:$E,2,0),IFERROR(VLOOKUP($E75,COTAÇÕES!$C:$L,2,0),"")))</f>
        <v>PEDREIRO COM ENCARGOS COMPLEMENTARES</v>
      </c>
      <c r="H75" s="593" t="str">
        <f>IF($E75="",IFERROR(VLOOKUP($D75,SERVIÇOS!$C:$H,3,0),IFERROR(VLOOKUP($D75,$F:$M,3,0),"")),IFERROR(VLOOKUP($E75,INSUMOS!$B:$E,3,0),IFERROR(VLOOKUP($E75,COTAÇÕES!$C:$L,5,0),"")))</f>
        <v>H</v>
      </c>
      <c r="I75" s="614">
        <v>0.51900000000000002</v>
      </c>
      <c r="J75" s="670">
        <f>IF($E75="",IFERROR(VLOOKUP($D75,SERVIÇOS!$C:$H,6,0),IFERROR(VLOOKUP($D75,$F:$M,8,0),"")),IFERROR(VLOOKUP($E75,INSUMOS!$B:$E,4,0),IFERROR(VLOOKUP($E75,COTAÇÕES!$C:$L,10,0),"")))</f>
        <v>30.99</v>
      </c>
      <c r="K75" s="615">
        <f>TRUNC(IF($E75="",IFERROR(VLOOKUP($D75,SERVIÇOS!$C:$H,4,0),IFERROR(VLOOKUP($D75,$F:$M,6,0),)),IFERROR(VLOOKUP($E75,INSUMOS!$B:$E,4,0),IFERROR(VLOOKUP($E75,COTAÇÕES!$C:$L,10,0),)))*$I75,2)</f>
        <v>3.44</v>
      </c>
      <c r="L75" s="616">
        <f>TRUNC(IF($E75="",IFERROR(VLOOKUP($D75,SERVIÇOS!$C:$H,5,0),IFERROR(VLOOKUP($D75,$F:$M,7,0),)),0)*$I75,2)</f>
        <v>12.63</v>
      </c>
      <c r="M75" s="617">
        <f t="shared" si="31"/>
        <v>16.07</v>
      </c>
      <c r="N75" s="753" t="str">
        <f t="shared" si="23"/>
        <v>SERVIÇO SINAPI</v>
      </c>
      <c r="O75" s="618"/>
    </row>
    <row r="76" spans="2:15">
      <c r="B76" s="122">
        <f t="shared" si="29"/>
        <v>49.5</v>
      </c>
      <c r="C76" s="611" t="str">
        <f t="shared" si="32"/>
        <v>C</v>
      </c>
      <c r="D76" s="660">
        <v>88316</v>
      </c>
      <c r="E76" s="661"/>
      <c r="F76" s="612"/>
      <c r="G76" s="613" t="str">
        <f>IF($E76="",IFERROR(VLOOKUP($D76,SERVIÇOS!$C:$H,2,0),IFERROR(VLOOKUP($D76,$F:$M,2,0),"")),IFERROR(VLOOKUP($E76,INSUMOS!$B:$E,2,0),IFERROR(VLOOKUP($E76,COTAÇÕES!$C:$L,2,0),"")))</f>
        <v>SERVENTE COM ENCARGOS COMPLEMENTARES</v>
      </c>
      <c r="H76" s="593" t="str">
        <f>IF($E76="",IFERROR(VLOOKUP($D76,SERVIÇOS!$C:$H,3,0),IFERROR(VLOOKUP($D76,$F:$M,3,0),"")),IFERROR(VLOOKUP($E76,INSUMOS!$B:$E,3,0),IFERROR(VLOOKUP($E76,COTAÇÕES!$C:$L,5,0),"")))</f>
        <v>H</v>
      </c>
      <c r="I76" s="614">
        <v>0.25900000000000001</v>
      </c>
      <c r="J76" s="670">
        <f>IF($E76="",IFERROR(VLOOKUP($D76,SERVIÇOS!$C:$H,6,0),IFERROR(VLOOKUP($D76,$F:$M,8,0),"")),IFERROR(VLOOKUP($E76,INSUMOS!$B:$E,4,0),IFERROR(VLOOKUP($E76,COTAÇÕES!$C:$L,10,0),"")))</f>
        <v>23.71</v>
      </c>
      <c r="K76" s="615">
        <f>TRUNC(IF($E76="",IFERROR(VLOOKUP($D76,SERVIÇOS!$C:$H,4,0),IFERROR(VLOOKUP($D76,$F:$M,6,0),)),IFERROR(VLOOKUP($E76,INSUMOS!$B:$E,4,0),IFERROR(VLOOKUP($E76,COTAÇÕES!$C:$L,10,0),)))*$I76,2)</f>
        <v>1.68</v>
      </c>
      <c r="L76" s="616">
        <f>TRUNC(IF($E76="",IFERROR(VLOOKUP($D76,SERVIÇOS!$C:$H,5,0),IFERROR(VLOOKUP($D76,$F:$M,7,0),)),0)*$I76,2)</f>
        <v>4.45</v>
      </c>
      <c r="M76" s="617">
        <f t="shared" si="31"/>
        <v>6.13</v>
      </c>
      <c r="N76" s="753" t="str">
        <f t="shared" si="23"/>
        <v>SERVIÇO SINAPI</v>
      </c>
      <c r="O76" s="618"/>
    </row>
    <row r="77" spans="2:15" ht="25.5">
      <c r="B77" s="769">
        <f>SUMIF(ORC!$G$11:$G$2470,CPU!$F77,ORC!$J$11:$J$2470)</f>
        <v>45.24</v>
      </c>
      <c r="C77" s="515" t="s">
        <v>2239</v>
      </c>
      <c r="D77" s="515"/>
      <c r="E77" s="515"/>
      <c r="F77" s="515" t="s">
        <v>8633</v>
      </c>
      <c r="G77" s="516" t="s">
        <v>14579</v>
      </c>
      <c r="H77" s="515" t="s">
        <v>649</v>
      </c>
      <c r="I77" s="595"/>
      <c r="J77" s="596"/>
      <c r="K77" s="597">
        <f>SUM(K78:K82)</f>
        <v>879.44</v>
      </c>
      <c r="L77" s="597">
        <f>SUM(L78:L82)</f>
        <v>17.080000000000002</v>
      </c>
      <c r="M77" s="596">
        <f>SUM(K77:L77)</f>
        <v>896.5200000000001</v>
      </c>
      <c r="N77" s="598" t="s">
        <v>7630</v>
      </c>
      <c r="O77" s="599"/>
    </row>
    <row r="78" spans="2:15" ht="25.5">
      <c r="B78" s="122">
        <f t="shared" ref="B78:B82" si="33">B77</f>
        <v>45.24</v>
      </c>
      <c r="C78" s="611" t="str">
        <f t="shared" ref="C78:C79" si="34">IF(D78&lt;&gt;"","C",IF(E78&lt;&gt;"","I",""))</f>
        <v>I</v>
      </c>
      <c r="D78" s="660"/>
      <c r="E78" s="661">
        <v>4377</v>
      </c>
      <c r="F78" s="612"/>
      <c r="G78" s="613" t="str">
        <f>IF($E78="",IFERROR(VLOOKUP($D78,SERVIÇOS!$C:$H,2,0),IFERROR(VLOOKUP($D78,$F:$M,2,0),"")),IFERROR(VLOOKUP($E78,INSUMOS!$B:$E,2,0),IFERROR(VLOOKUP($E78,COTAÇÕES!$C:$L,2,0),"")))</f>
        <v xml:space="preserve">PARAFUSO DE ACO ZINCADO COM ROSCA SOBERBA, CABECA CHATA E FENDA SIMPLES, DIAMETRO 4,2 MM, COMPRIMENTO * 32 * MM                                                                                                                                                                                                                                                                                                                                                                                           </v>
      </c>
      <c r="H78" s="593" t="str">
        <f>IF($E78="",IFERROR(VLOOKUP($D78,SERVIÇOS!$C:$H,3,0),IFERROR(VLOOKUP($D78,$F:$M,3,0),"")),IFERROR(VLOOKUP($E78,INSUMOS!$B:$E,3,0),IFERROR(VLOOKUP($E78,COTAÇÕES!$C:$L,5,0),"")))</f>
        <v xml:space="preserve">UN    </v>
      </c>
      <c r="I78" s="614">
        <v>9.1999999999999993</v>
      </c>
      <c r="J78" s="670">
        <f>IF($E78="",IFERROR(VLOOKUP($D78,SERVIÇOS!$C:$H,6,0),IFERROR(VLOOKUP($D78,$F:$M,8,0),"")),IFERROR(VLOOKUP($E78,INSUMOS!$B:$E,4,0),IFERROR(VLOOKUP($E78,COTAÇÕES!$C:$L,10,0),"")))</f>
        <v>0.16</v>
      </c>
      <c r="K78" s="615">
        <f>TRUNC(IF($E78="",IFERROR(VLOOKUP($D78,SERVIÇOS!$C:$H,4,0),IFERROR(VLOOKUP($D78,$F:$M,6,0),)),IFERROR(VLOOKUP($E78,INSUMOS!$B:$E,4,0),IFERROR(VLOOKUP($E78,COTAÇÕES!$C:$L,10,0),)))*$I78,2)</f>
        <v>1.47</v>
      </c>
      <c r="L78" s="616">
        <f>TRUNC(IF($E78="",IFERROR(VLOOKUP($D78,SERVIÇOS!$C:$H,5,0),IFERROR(VLOOKUP($D78,$F:$M,7,0),)),0)*$I78,2)</f>
        <v>0</v>
      </c>
      <c r="M78" s="617">
        <f t="shared" ref="M78:M82" si="35">K78+L78</f>
        <v>1.47</v>
      </c>
      <c r="N78" s="753" t="str">
        <f t="shared" si="23"/>
        <v>INSUMO SINAPI</v>
      </c>
      <c r="O78" s="640"/>
    </row>
    <row r="79" spans="2:15" ht="25.5">
      <c r="B79" s="122">
        <f t="shared" si="33"/>
        <v>45.24</v>
      </c>
      <c r="C79" s="611" t="str">
        <f t="shared" si="34"/>
        <v>I</v>
      </c>
      <c r="D79" s="660"/>
      <c r="E79" s="661" t="s">
        <v>9024</v>
      </c>
      <c r="F79" s="612"/>
      <c r="G79" s="613" t="str">
        <f>IF($E79="",IFERROR(VLOOKUP($D79,SERVIÇOS!$C:$H,2,0),IFERROR(VLOOKUP($D79,$F:$M,2,0),"")),IFERROR(VLOOKUP($E79,INSUMOS!$B:$E,2,0),IFERROR(VLOOKUP($E79,COTAÇÕES!$C:$L,2,0),"")))</f>
        <v>JANELA DE ALUMÍNIO PROJETANTES 30º E FIXAS EM ALUMÍNIO COR PRETO, COM VIDROS, BATENTE E FERRAGENS, CONFOME PROJETO</v>
      </c>
      <c r="H79" s="593" t="str">
        <f>IF($E79="",IFERROR(VLOOKUP($D79,SERVIÇOS!$C:$H,3,0),IFERROR(VLOOKUP($D79,$F:$M,3,0),"")),IFERROR(VLOOKUP($E79,INSUMOS!$B:$E,3,0),IFERROR(VLOOKUP($E79,COTAÇÕES!$C:$L,5,0),"")))</f>
        <v>M2</v>
      </c>
      <c r="I79" s="621">
        <v>1</v>
      </c>
      <c r="J79" s="670">
        <f>IF($E79="",IFERROR(VLOOKUP($D79,SERVIÇOS!$C:$H,6,0),IFERROR(VLOOKUP($D79,$F:$M,8,0),"")),IFERROR(VLOOKUP($E79,INSUMOS!$B:$E,4,0),IFERROR(VLOOKUP($E79,COTAÇÕES!$C:$L,10,0),"")))</f>
        <v>859.37666666666667</v>
      </c>
      <c r="K79" s="615">
        <f>TRUNC(IF($E79="",IFERROR(VLOOKUP($D79,SERVIÇOS!$C:$H,4,0),IFERROR(VLOOKUP($D79,$F:$M,6,0),)),IFERROR(VLOOKUP($E79,INSUMOS!$B:$E,4,0),IFERROR(VLOOKUP($E79,COTAÇÕES!$C:$L,10,0),)))*$I79,2)</f>
        <v>859.37</v>
      </c>
      <c r="L79" s="616">
        <f>TRUNC(IF($E79="",IFERROR(VLOOKUP($D79,SERVIÇOS!$C:$H,5,0),IFERROR(VLOOKUP($D79,$F:$M,7,0),)),0)*$I79,2)</f>
        <v>0</v>
      </c>
      <c r="M79" s="617">
        <f t="shared" si="35"/>
        <v>859.37</v>
      </c>
      <c r="N79" s="753" t="s">
        <v>6845</v>
      </c>
      <c r="O79" s="618"/>
    </row>
    <row r="80" spans="2:15">
      <c r="B80" s="122">
        <f t="shared" si="33"/>
        <v>45.24</v>
      </c>
      <c r="C80" s="611" t="str">
        <f>IF(D80&lt;&gt;"","C",IF(E80&lt;&gt;"","I",""))</f>
        <v>I</v>
      </c>
      <c r="D80" s="660"/>
      <c r="E80" s="661">
        <v>39961</v>
      </c>
      <c r="F80" s="612"/>
      <c r="G80" s="613" t="str">
        <f>IF($E80="",IFERROR(VLOOKUP($D80,SERVIÇOS!$C:$H,2,0),IFERROR(VLOOKUP($D80,$F:$M,2,0),"")),IFERROR(VLOOKUP($E80,INSUMOS!$B:$E,2,0),IFERROR(VLOOKUP($E80,COTAÇÕES!$C:$L,2,0),"")))</f>
        <v xml:space="preserve">SILICONE ACETICO USO GERAL INCOLOR 280 G                                                                                                                                                                                                                                                                                                                                                                                                                                                                  </v>
      </c>
      <c r="H80" s="593" t="str">
        <f>IF($E80="",IFERROR(VLOOKUP($D80,SERVIÇOS!$C:$H,3,0),IFERROR(VLOOKUP($D80,$F:$M,3,0),"")),IFERROR(VLOOKUP($E80,INSUMOS!$B:$E,3,0),IFERROR(VLOOKUP($E80,COTAÇÕES!$C:$L,5,0),"")))</f>
        <v xml:space="preserve">UN    </v>
      </c>
      <c r="I80" s="614">
        <v>0.62329999999999997</v>
      </c>
      <c r="J80" s="670">
        <f>IF($E80="",IFERROR(VLOOKUP($D80,SERVIÇOS!$C:$H,6,0),IFERROR(VLOOKUP($D80,$F:$M,8,0),"")),IFERROR(VLOOKUP($E80,INSUMOS!$B:$E,4,0),IFERROR(VLOOKUP($E80,COTAÇÕES!$C:$L,10,0),"")))</f>
        <v>21.64</v>
      </c>
      <c r="K80" s="615">
        <f>TRUNC(IF($E80="",IFERROR(VLOOKUP($D80,SERVIÇOS!$C:$H,4,0),IFERROR(VLOOKUP($D80,$F:$M,6,0),)),IFERROR(VLOOKUP($E80,INSUMOS!$B:$E,4,0),IFERROR(VLOOKUP($E80,COTAÇÕES!$C:$L,10,0),)))*$I80,2)</f>
        <v>13.48</v>
      </c>
      <c r="L80" s="616">
        <f>TRUNC(IF($E80="",IFERROR(VLOOKUP($D80,SERVIÇOS!$C:$H,5,0),IFERROR(VLOOKUP($D80,$F:$M,7,0),)),0)*$I80,2)</f>
        <v>0</v>
      </c>
      <c r="M80" s="617">
        <f t="shared" si="35"/>
        <v>13.48</v>
      </c>
      <c r="N80" s="753" t="str">
        <f t="shared" si="23"/>
        <v>INSUMO SINAPI</v>
      </c>
      <c r="O80" s="618"/>
    </row>
    <row r="81" spans="2:15">
      <c r="B81" s="122">
        <f t="shared" si="33"/>
        <v>45.24</v>
      </c>
      <c r="C81" s="611" t="str">
        <f t="shared" ref="C81:C82" si="36">IF(D81&lt;&gt;"","C",IF(E81&lt;&gt;"","I",""))</f>
        <v>C</v>
      </c>
      <c r="D81" s="660">
        <v>88309</v>
      </c>
      <c r="E81" s="661"/>
      <c r="F81" s="612"/>
      <c r="G81" s="613" t="str">
        <f>IF($E81="",IFERROR(VLOOKUP($D81,SERVIÇOS!$C:$H,2,0),IFERROR(VLOOKUP($D81,$F:$M,2,0),"")),IFERROR(VLOOKUP($E81,INSUMOS!$B:$E,2,0),IFERROR(VLOOKUP($E81,COTAÇÕES!$C:$L,2,0),"")))</f>
        <v>PEDREIRO COM ENCARGOS COMPLEMENTARES</v>
      </c>
      <c r="H81" s="593" t="str">
        <f>IF($E81="",IFERROR(VLOOKUP($D81,SERVIÇOS!$C:$H,3,0),IFERROR(VLOOKUP($D81,$F:$M,3,0),"")),IFERROR(VLOOKUP($E81,INSUMOS!$B:$E,3,0),IFERROR(VLOOKUP($E81,COTAÇÕES!$C:$L,5,0),"")))</f>
        <v>H</v>
      </c>
      <c r="I81" s="614">
        <v>0.51900000000000002</v>
      </c>
      <c r="J81" s="670">
        <f>IF($E81="",IFERROR(VLOOKUP($D81,SERVIÇOS!$C:$H,6,0),IFERROR(VLOOKUP($D81,$F:$M,8,0),"")),IFERROR(VLOOKUP($E81,INSUMOS!$B:$E,4,0),IFERROR(VLOOKUP($E81,COTAÇÕES!$C:$L,10,0),"")))</f>
        <v>30.99</v>
      </c>
      <c r="K81" s="615">
        <f>TRUNC(IF($E81="",IFERROR(VLOOKUP($D81,SERVIÇOS!$C:$H,4,0),IFERROR(VLOOKUP($D81,$F:$M,6,0),)),IFERROR(VLOOKUP($E81,INSUMOS!$B:$E,4,0),IFERROR(VLOOKUP($E81,COTAÇÕES!$C:$L,10,0),)))*$I81,2)</f>
        <v>3.44</v>
      </c>
      <c r="L81" s="616">
        <f>TRUNC(IF($E81="",IFERROR(VLOOKUP($D81,SERVIÇOS!$C:$H,5,0),IFERROR(VLOOKUP($D81,$F:$M,7,0),)),0)*$I81,2)</f>
        <v>12.63</v>
      </c>
      <c r="M81" s="617">
        <f t="shared" si="35"/>
        <v>16.07</v>
      </c>
      <c r="N81" s="753" t="str">
        <f t="shared" si="23"/>
        <v>SERVIÇO SINAPI</v>
      </c>
      <c r="O81" s="618"/>
    </row>
    <row r="82" spans="2:15">
      <c r="B82" s="122">
        <f t="shared" si="33"/>
        <v>45.24</v>
      </c>
      <c r="C82" s="611" t="str">
        <f t="shared" si="36"/>
        <v>C</v>
      </c>
      <c r="D82" s="660">
        <v>88316</v>
      </c>
      <c r="E82" s="661"/>
      <c r="F82" s="612"/>
      <c r="G82" s="613" t="str">
        <f>IF($E82="",IFERROR(VLOOKUP($D82,SERVIÇOS!$C:$H,2,0),IFERROR(VLOOKUP($D82,$F:$M,2,0),"")),IFERROR(VLOOKUP($E82,INSUMOS!$B:$E,2,0),IFERROR(VLOOKUP($E82,COTAÇÕES!$C:$L,2,0),"")))</f>
        <v>SERVENTE COM ENCARGOS COMPLEMENTARES</v>
      </c>
      <c r="H82" s="593" t="str">
        <f>IF($E82="",IFERROR(VLOOKUP($D82,SERVIÇOS!$C:$H,3,0),IFERROR(VLOOKUP($D82,$F:$M,3,0),"")),IFERROR(VLOOKUP($E82,INSUMOS!$B:$E,3,0),IFERROR(VLOOKUP($E82,COTAÇÕES!$C:$L,5,0),"")))</f>
        <v>H</v>
      </c>
      <c r="I82" s="614">
        <v>0.25900000000000001</v>
      </c>
      <c r="J82" s="670">
        <f>IF($E82="",IFERROR(VLOOKUP($D82,SERVIÇOS!$C:$H,6,0),IFERROR(VLOOKUP($D82,$F:$M,8,0),"")),IFERROR(VLOOKUP($E82,INSUMOS!$B:$E,4,0),IFERROR(VLOOKUP($E82,COTAÇÕES!$C:$L,10,0),"")))</f>
        <v>23.71</v>
      </c>
      <c r="K82" s="615">
        <f>TRUNC(IF($E82="",IFERROR(VLOOKUP($D82,SERVIÇOS!$C:$H,4,0),IFERROR(VLOOKUP($D82,$F:$M,6,0),)),IFERROR(VLOOKUP($E82,INSUMOS!$B:$E,4,0),IFERROR(VLOOKUP($E82,COTAÇÕES!$C:$L,10,0),)))*$I82,2)</f>
        <v>1.68</v>
      </c>
      <c r="L82" s="616">
        <f>TRUNC(IF($E82="",IFERROR(VLOOKUP($D82,SERVIÇOS!$C:$H,5,0),IFERROR(VLOOKUP($D82,$F:$M,7,0),)),0)*$I82,2)</f>
        <v>4.45</v>
      </c>
      <c r="M82" s="617">
        <f t="shared" si="35"/>
        <v>6.13</v>
      </c>
      <c r="N82" s="753" t="str">
        <f t="shared" si="23"/>
        <v>SERVIÇO SINAPI</v>
      </c>
      <c r="O82" s="618"/>
    </row>
    <row r="83" spans="2:15">
      <c r="B83" s="769">
        <f>SUMIF(ORC!$G$11:$G$2470,CPU!$F83,ORC!$J$11:$J$2470)</f>
        <v>217.73999999999998</v>
      </c>
      <c r="C83" s="515" t="s">
        <v>2239</v>
      </c>
      <c r="D83" s="515"/>
      <c r="E83" s="515"/>
      <c r="F83" s="515" t="s">
        <v>8634</v>
      </c>
      <c r="G83" s="516" t="s">
        <v>8636</v>
      </c>
      <c r="H83" s="515" t="s">
        <v>648</v>
      </c>
      <c r="I83" s="595"/>
      <c r="J83" s="596"/>
      <c r="K83" s="597">
        <f>SUM(K84:K87)</f>
        <v>11.469999999999999</v>
      </c>
      <c r="L83" s="597">
        <f>SUM(L84:L87)</f>
        <v>11.719999999999999</v>
      </c>
      <c r="M83" s="596">
        <f>SUM(K83:L83)</f>
        <v>23.189999999999998</v>
      </c>
      <c r="N83" s="598" t="s">
        <v>8635</v>
      </c>
      <c r="O83" s="599"/>
    </row>
    <row r="84" spans="2:15" ht="25.5">
      <c r="B84" s="122">
        <f t="shared" ref="B84:B87" si="37">B83</f>
        <v>217.73999999999998</v>
      </c>
      <c r="C84" s="611" t="str">
        <f t="shared" ref="C84:C85" si="38">IF(D84&lt;&gt;"","C",IF(E84&lt;&gt;"","I",""))</f>
        <v>I</v>
      </c>
      <c r="D84" s="660"/>
      <c r="E84" s="661">
        <v>43657</v>
      </c>
      <c r="F84" s="612"/>
      <c r="G84" s="613" t="str">
        <f>IF($E84="",IFERROR(VLOOKUP($D84,SERVIÇOS!$C:$H,2,0),IFERROR(VLOOKUP($D84,$F:$M,2,0),"")),IFERROR(VLOOKUP($E84,INSUMOS!$B:$E,2,0),IFERROR(VLOOKUP($E84,COTAÇÕES!$C:$L,2,0),"")))</f>
        <v xml:space="preserve">CONTRAMARCO DE ALUMINIO (PERFIL 25) PARA ESQUADRIAS, TIPO CONVENCIONAL / CADEIRINHA, 60 MM (CM-060), INCLUSO CONEXOES, GRAPAS E TRAVAMENTOS                                                                                                                                                                                                                                                                                                                                                               </v>
      </c>
      <c r="H84" s="593" t="str">
        <f>IF($E84="",IFERROR(VLOOKUP($D84,SERVIÇOS!$C:$H,3,0),IFERROR(VLOOKUP($D84,$F:$M,3,0),"")),IFERROR(VLOOKUP($E84,INSUMOS!$B:$E,3,0),IFERROR(VLOOKUP($E84,COTAÇÕES!$C:$L,5,0),"")))</f>
        <v xml:space="preserve">M     </v>
      </c>
      <c r="I84" s="614">
        <v>1</v>
      </c>
      <c r="J84" s="670">
        <f>IF($E84="",IFERROR(VLOOKUP($D84,SERVIÇOS!$C:$H,6,0),IFERROR(VLOOKUP($D84,$F:$M,8,0),"")),IFERROR(VLOOKUP($E84,INSUMOS!$B:$E,4,0),IFERROR(VLOOKUP($E84,COTAÇÕES!$C:$L,10,0),"")))</f>
        <v>7.11</v>
      </c>
      <c r="K84" s="615">
        <f>TRUNC(IF($E84="",IFERROR(VLOOKUP($D84,SERVIÇOS!$C:$H,4,0),IFERROR(VLOOKUP($D84,$F:$M,6,0),)),IFERROR(VLOOKUP($E84,INSUMOS!$B:$E,4,0),IFERROR(VLOOKUP($E84,COTAÇÕES!$C:$L,10,0),)))*$I84,2)</f>
        <v>7.11</v>
      </c>
      <c r="L84" s="616">
        <f>TRUNC(IF($E84="",IFERROR(VLOOKUP($D84,SERVIÇOS!$C:$H,5,0),IFERROR(VLOOKUP($D84,$F:$M,7,0),)),0)*$I84,2)</f>
        <v>0</v>
      </c>
      <c r="M84" s="617">
        <f t="shared" ref="M84:M87" si="39">K84+L84</f>
        <v>7.11</v>
      </c>
      <c r="N84" s="753" t="str">
        <f t="shared" si="23"/>
        <v>INSUMO SINAPI</v>
      </c>
      <c r="O84" s="640"/>
    </row>
    <row r="85" spans="2:15">
      <c r="B85" s="122">
        <f t="shared" si="37"/>
        <v>217.73999999999998</v>
      </c>
      <c r="C85" s="611" t="str">
        <f t="shared" si="38"/>
        <v>C</v>
      </c>
      <c r="D85" s="660">
        <v>88309</v>
      </c>
      <c r="E85" s="661"/>
      <c r="F85" s="612"/>
      <c r="G85" s="613" t="str">
        <f>IF($E85="",IFERROR(VLOOKUP($D85,SERVIÇOS!$C:$H,2,0),IFERROR(VLOOKUP($D85,$F:$M,2,0),"")),IFERROR(VLOOKUP($E85,INSUMOS!$B:$E,2,0),IFERROR(VLOOKUP($E85,COTAÇÕES!$C:$L,2,0),"")))</f>
        <v>PEDREIRO COM ENCARGOS COMPLEMENTARES</v>
      </c>
      <c r="H85" s="593" t="str">
        <f>IF($E85="",IFERROR(VLOOKUP($D85,SERVIÇOS!$C:$H,3,0),IFERROR(VLOOKUP($D85,$F:$M,3,0),"")),IFERROR(VLOOKUP($E85,INSUMOS!$B:$E,3,0),IFERROR(VLOOKUP($E85,COTAÇÕES!$C:$L,5,0),"")))</f>
        <v>H</v>
      </c>
      <c r="I85" s="621">
        <v>0.34699999999999998</v>
      </c>
      <c r="J85" s="670">
        <f>IF($E85="",IFERROR(VLOOKUP($D85,SERVIÇOS!$C:$H,6,0),IFERROR(VLOOKUP($D85,$F:$M,8,0),"")),IFERROR(VLOOKUP($E85,INSUMOS!$B:$E,4,0),IFERROR(VLOOKUP($E85,COTAÇÕES!$C:$L,10,0),"")))</f>
        <v>30.99</v>
      </c>
      <c r="K85" s="615">
        <f>TRUNC(IF($E85="",IFERROR(VLOOKUP($D85,SERVIÇOS!$C:$H,4,0),IFERROR(VLOOKUP($D85,$F:$M,6,0),)),IFERROR(VLOOKUP($E85,INSUMOS!$B:$E,4,0),IFERROR(VLOOKUP($E85,COTAÇÕES!$C:$L,10,0),)))*$I85,2)</f>
        <v>2.2999999999999998</v>
      </c>
      <c r="L85" s="616">
        <f>TRUNC(IF($E85="",IFERROR(VLOOKUP($D85,SERVIÇOS!$C:$H,5,0),IFERROR(VLOOKUP($D85,$F:$M,7,0),)),0)*$I85,2)</f>
        <v>8.44</v>
      </c>
      <c r="M85" s="617">
        <f t="shared" si="39"/>
        <v>10.739999999999998</v>
      </c>
      <c r="N85" s="753" t="str">
        <f t="shared" si="23"/>
        <v>SERVIÇO SINAPI</v>
      </c>
      <c r="O85" s="618"/>
    </row>
    <row r="86" spans="2:15">
      <c r="B86" s="122">
        <f t="shared" si="37"/>
        <v>217.73999999999998</v>
      </c>
      <c r="C86" s="611" t="str">
        <f>IF(D86&lt;&gt;"","C",IF(E86&lt;&gt;"","I",""))</f>
        <v>C</v>
      </c>
      <c r="D86" s="660">
        <v>88316</v>
      </c>
      <c r="E86" s="661"/>
      <c r="F86" s="612"/>
      <c r="G86" s="613" t="str">
        <f>IF($E86="",IFERROR(VLOOKUP($D86,SERVIÇOS!$C:$H,2,0),IFERROR(VLOOKUP($D86,$F:$M,2,0),"")),IFERROR(VLOOKUP($E86,INSUMOS!$B:$E,2,0),IFERROR(VLOOKUP($E86,COTAÇÕES!$C:$L,2,0),"")))</f>
        <v>SERVENTE COM ENCARGOS COMPLEMENTARES</v>
      </c>
      <c r="H86" s="593" t="str">
        <f>IF($E86="",IFERROR(VLOOKUP($D86,SERVIÇOS!$C:$H,3,0),IFERROR(VLOOKUP($D86,$F:$M,3,0),"")),IFERROR(VLOOKUP($E86,INSUMOS!$B:$E,3,0),IFERROR(VLOOKUP($E86,COTAÇÕES!$C:$L,5,0),"")))</f>
        <v>H</v>
      </c>
      <c r="I86" s="614">
        <v>0.17399999999999999</v>
      </c>
      <c r="J86" s="670">
        <f>IF($E86="",IFERROR(VLOOKUP($D86,SERVIÇOS!$C:$H,6,0),IFERROR(VLOOKUP($D86,$F:$M,8,0),"")),IFERROR(VLOOKUP($E86,INSUMOS!$B:$E,4,0),IFERROR(VLOOKUP($E86,COTAÇÕES!$C:$L,10,0),"")))</f>
        <v>23.71</v>
      </c>
      <c r="K86" s="615">
        <f>TRUNC(IF($E86="",IFERROR(VLOOKUP($D86,SERVIÇOS!$C:$H,4,0),IFERROR(VLOOKUP($D86,$F:$M,6,0),)),IFERROR(VLOOKUP($E86,INSUMOS!$B:$E,4,0),IFERROR(VLOOKUP($E86,COTAÇÕES!$C:$L,10,0),)))*$I86,2)</f>
        <v>1.1299999999999999</v>
      </c>
      <c r="L86" s="616">
        <f>TRUNC(IF($E86="",IFERROR(VLOOKUP($D86,SERVIÇOS!$C:$H,5,0),IFERROR(VLOOKUP($D86,$F:$M,7,0),)),0)*$I86,2)</f>
        <v>2.99</v>
      </c>
      <c r="M86" s="617">
        <f t="shared" si="39"/>
        <v>4.12</v>
      </c>
      <c r="N86" s="753" t="str">
        <f t="shared" si="23"/>
        <v>SERVIÇO SINAPI</v>
      </c>
      <c r="O86" s="618"/>
    </row>
    <row r="87" spans="2:15" ht="25.5">
      <c r="B87" s="122">
        <f t="shared" si="37"/>
        <v>217.73999999999998</v>
      </c>
      <c r="C87" s="611" t="str">
        <f t="shared" ref="C87" si="40">IF(D87&lt;&gt;"","C",IF(E87&lt;&gt;"","I",""))</f>
        <v>C</v>
      </c>
      <c r="D87" s="660">
        <v>88629</v>
      </c>
      <c r="E87" s="661"/>
      <c r="F87" s="612"/>
      <c r="G87" s="613" t="str">
        <f>IF($E87="",IFERROR(VLOOKUP($D87,SERVIÇOS!$C:$H,2,0),IFERROR(VLOOKUP($D87,$F:$M,2,0),"")),IFERROR(VLOOKUP($E87,INSUMOS!$B:$E,2,0),IFERROR(VLOOKUP($E87,COTAÇÕES!$C:$L,2,0),"")))</f>
        <v>ARGAMASSA TRAÇO 1:3 (EM VOLUME DE CIMENTO E AREIA MÉDIA ÚMIDA), PREPARO MANUAL. AF_08/2019</v>
      </c>
      <c r="H87" s="593" t="str">
        <f>IF($E87="",IFERROR(VLOOKUP($D87,SERVIÇOS!$C:$H,3,0),IFERROR(VLOOKUP($D87,$F:$M,3,0),"")),IFERROR(VLOOKUP($E87,INSUMOS!$B:$E,3,0),IFERROR(VLOOKUP($E87,COTAÇÕES!$C:$L,5,0),"")))</f>
        <v>M3</v>
      </c>
      <c r="I87" s="614">
        <v>2E-3</v>
      </c>
      <c r="J87" s="670">
        <f>IF($E87="",IFERROR(VLOOKUP($D87,SERVIÇOS!$C:$H,6,0),IFERROR(VLOOKUP($D87,$F:$M,8,0),"")),IFERROR(VLOOKUP($E87,INSUMOS!$B:$E,4,0),IFERROR(VLOOKUP($E87,COTAÇÕES!$C:$L,10,0),"")))</f>
        <v>614.13</v>
      </c>
      <c r="K87" s="615">
        <f>TRUNC(IF($E87="",IFERROR(VLOOKUP($D87,SERVIÇOS!$C:$H,4,0),IFERROR(VLOOKUP($D87,$F:$M,6,0),)),IFERROR(VLOOKUP($E87,INSUMOS!$B:$E,4,0),IFERROR(VLOOKUP($E87,COTAÇÕES!$C:$L,10,0),)))*$I87,2)</f>
        <v>0.93</v>
      </c>
      <c r="L87" s="616">
        <f>TRUNC(IF($E87="",IFERROR(VLOOKUP($D87,SERVIÇOS!$C:$H,5,0),IFERROR(VLOOKUP($D87,$F:$M,7,0),)),0)*$I87,2)</f>
        <v>0.28999999999999998</v>
      </c>
      <c r="M87" s="617">
        <f t="shared" si="39"/>
        <v>1.22</v>
      </c>
      <c r="N87" s="753" t="str">
        <f t="shared" si="23"/>
        <v>SERVIÇO SINAPI</v>
      </c>
      <c r="O87" s="618"/>
    </row>
    <row r="88" spans="2:15" ht="25.5">
      <c r="B88" s="769">
        <f>SUMIF(ORC!$G$11:$G$2470,CPU!$F88,ORC!$J$11:$J$2470)</f>
        <v>10.58</v>
      </c>
      <c r="C88" s="515" t="s">
        <v>2239</v>
      </c>
      <c r="D88" s="515"/>
      <c r="E88" s="515"/>
      <c r="F88" s="515" t="s">
        <v>8637</v>
      </c>
      <c r="G88" s="516" t="s">
        <v>8638</v>
      </c>
      <c r="H88" s="515" t="s">
        <v>649</v>
      </c>
      <c r="I88" s="595"/>
      <c r="J88" s="596"/>
      <c r="K88" s="597">
        <f>SUM(K89:K93)</f>
        <v>964.49</v>
      </c>
      <c r="L88" s="597">
        <f>SUM(L89:L93)</f>
        <v>12.59</v>
      </c>
      <c r="M88" s="596">
        <f>SUM(K88:L88)</f>
        <v>977.08</v>
      </c>
      <c r="N88" s="598" t="s">
        <v>7171</v>
      </c>
      <c r="O88" s="599"/>
    </row>
    <row r="89" spans="2:15">
      <c r="B89" s="122">
        <f t="shared" ref="B89:B93" si="41">B88</f>
        <v>10.58</v>
      </c>
      <c r="C89" s="611" t="str">
        <f t="shared" ref="C89:C90" si="42">IF(D89&lt;&gt;"","C",IF(E89&lt;&gt;"","I",""))</f>
        <v>C</v>
      </c>
      <c r="D89" s="660">
        <v>88309</v>
      </c>
      <c r="E89" s="661"/>
      <c r="F89" s="612"/>
      <c r="G89" s="613" t="str">
        <f>IF($E89="",IFERROR(VLOOKUP($D89,SERVIÇOS!$C:$H,2,0),IFERROR(VLOOKUP($D89,$F:$M,2,0),"")),IFERROR(VLOOKUP($E89,INSUMOS!$B:$E,2,0),IFERROR(VLOOKUP($E89,COTAÇÕES!$C:$L,2,0),"")))</f>
        <v>PEDREIRO COM ENCARGOS COMPLEMENTARES</v>
      </c>
      <c r="H89" s="593" t="str">
        <f>IF($E89="",IFERROR(VLOOKUP($D89,SERVIÇOS!$C:$H,3,0),IFERROR(VLOOKUP($D89,$F:$M,3,0),"")),IFERROR(VLOOKUP($E89,INSUMOS!$B:$E,3,0),IFERROR(VLOOKUP($E89,COTAÇÕES!$C:$L,5,0),"")))</f>
        <v>H</v>
      </c>
      <c r="I89" s="614">
        <v>0.3826</v>
      </c>
      <c r="J89" s="670">
        <f>IF($E89="",IFERROR(VLOOKUP($D89,SERVIÇOS!$C:$H,6,0),IFERROR(VLOOKUP($D89,$F:$M,8,0),"")),IFERROR(VLOOKUP($E89,INSUMOS!$B:$E,4,0),IFERROR(VLOOKUP($E89,COTAÇÕES!$C:$L,10,0),"")))</f>
        <v>30.99</v>
      </c>
      <c r="K89" s="615">
        <f>TRUNC(IF($E89="",IFERROR(VLOOKUP($D89,SERVIÇOS!$C:$H,4,0),IFERROR(VLOOKUP($D89,$F:$M,6,0),)),IFERROR(VLOOKUP($E89,INSUMOS!$B:$E,4,0),IFERROR(VLOOKUP($E89,COTAÇÕES!$C:$L,10,0),)))*$I89,2)</f>
        <v>2.54</v>
      </c>
      <c r="L89" s="616">
        <f>TRUNC(IF($E89="",IFERROR(VLOOKUP($D89,SERVIÇOS!$C:$H,5,0),IFERROR(VLOOKUP($D89,$F:$M,7,0),)),0)*$I89,2)</f>
        <v>9.31</v>
      </c>
      <c r="M89" s="617">
        <f t="shared" ref="M89:M93" si="43">K89+L89</f>
        <v>11.850000000000001</v>
      </c>
      <c r="N89" s="753" t="str">
        <f t="shared" ref="N89:N92" si="44">IF($D89&lt;&gt;"","SERVIÇO SINAPI",IF($E89&lt;&gt;"","INSUMO SINAPI",""))</f>
        <v>SERVIÇO SINAPI</v>
      </c>
      <c r="O89" s="640"/>
    </row>
    <row r="90" spans="2:15">
      <c r="B90" s="122">
        <f t="shared" si="41"/>
        <v>10.58</v>
      </c>
      <c r="C90" s="611" t="str">
        <f t="shared" si="42"/>
        <v>C</v>
      </c>
      <c r="D90" s="660">
        <v>88316</v>
      </c>
      <c r="E90" s="661"/>
      <c r="F90" s="612"/>
      <c r="G90" s="613" t="str">
        <f>IF($E90="",IFERROR(VLOOKUP($D90,SERVIÇOS!$C:$H,2,0),IFERROR(VLOOKUP($D90,$F:$M,2,0),"")),IFERROR(VLOOKUP($E90,INSUMOS!$B:$E,2,0),IFERROR(VLOOKUP($E90,COTAÇÕES!$C:$L,2,0),"")))</f>
        <v>SERVENTE COM ENCARGOS COMPLEMENTARES</v>
      </c>
      <c r="H90" s="593" t="str">
        <f>IF($E90="",IFERROR(VLOOKUP($D90,SERVIÇOS!$C:$H,3,0),IFERROR(VLOOKUP($D90,$F:$M,3,0),"")),IFERROR(VLOOKUP($E90,INSUMOS!$B:$E,3,0),IFERROR(VLOOKUP($E90,COTAÇÕES!$C:$L,5,0),"")))</f>
        <v>H</v>
      </c>
      <c r="I90" s="621">
        <v>0.191</v>
      </c>
      <c r="J90" s="670">
        <f>IF($E90="",IFERROR(VLOOKUP($D90,SERVIÇOS!$C:$H,6,0),IFERROR(VLOOKUP($D90,$F:$M,8,0),"")),IFERROR(VLOOKUP($E90,INSUMOS!$B:$E,4,0),IFERROR(VLOOKUP($E90,COTAÇÕES!$C:$L,10,0),"")))</f>
        <v>23.71</v>
      </c>
      <c r="K90" s="615">
        <f>TRUNC(IF($E90="",IFERROR(VLOOKUP($D90,SERVIÇOS!$C:$H,4,0),IFERROR(VLOOKUP($D90,$F:$M,6,0),)),IFERROR(VLOOKUP($E90,INSUMOS!$B:$E,4,0),IFERROR(VLOOKUP($E90,COTAÇÕES!$C:$L,10,0),)))*$I90,2)</f>
        <v>1.24</v>
      </c>
      <c r="L90" s="616">
        <f>TRUNC(IF($E90="",IFERROR(VLOOKUP($D90,SERVIÇOS!$C:$H,5,0),IFERROR(VLOOKUP($D90,$F:$M,7,0),)),0)*$I90,2)</f>
        <v>3.28</v>
      </c>
      <c r="M90" s="617">
        <f t="shared" si="43"/>
        <v>4.5199999999999996</v>
      </c>
      <c r="N90" s="753" t="str">
        <f t="shared" si="44"/>
        <v>SERVIÇO SINAPI</v>
      </c>
      <c r="O90" s="618"/>
    </row>
    <row r="91" spans="2:15">
      <c r="B91" s="122">
        <f t="shared" si="41"/>
        <v>10.58</v>
      </c>
      <c r="C91" s="611" t="str">
        <f>IF(D91&lt;&gt;"","C",IF(E91&lt;&gt;"","I",""))</f>
        <v>I</v>
      </c>
      <c r="D91" s="660"/>
      <c r="E91" s="661">
        <v>142</v>
      </c>
      <c r="F91" s="612"/>
      <c r="G91" s="613" t="str">
        <f>IF($E91="",IFERROR(VLOOKUP($D91,SERVIÇOS!$C:$H,2,0),IFERROR(VLOOKUP($D91,$F:$M,2,0),"")),IFERROR(VLOOKUP($E91,INSUMOS!$B:$E,2,0),IFERROR(VLOOKUP($E91,COTAÇÕES!$C:$L,2,0),"")))</f>
        <v xml:space="preserve">SELANTE ELASTICO MONOCOMPONENTE A BASE DE POLIURETANO (PU) PARA JUNTAS DIVERSAS                                                                                                                                                                                                                                                                                                                                                                                                                           </v>
      </c>
      <c r="H91" s="593" t="str">
        <f>IF($E91="",IFERROR(VLOOKUP($D91,SERVIÇOS!$C:$H,3,0),IFERROR(VLOOKUP($D91,$F:$M,3,0),"")),IFERROR(VLOOKUP($E91,INSUMOS!$B:$E,3,0),IFERROR(VLOOKUP($E91,COTAÇÕES!$C:$L,5,0),"")))</f>
        <v xml:space="preserve">310ML </v>
      </c>
      <c r="I91" s="614">
        <v>0.88290000000000002</v>
      </c>
      <c r="J91" s="670">
        <f>IF($E91="",IFERROR(VLOOKUP($D91,SERVIÇOS!$C:$H,6,0),IFERROR(VLOOKUP($D91,$F:$M,8,0),"")),IFERROR(VLOOKUP($E91,INSUMOS!$B:$E,4,0),IFERROR(VLOOKUP($E91,COTAÇÕES!$C:$L,10,0),"")))</f>
        <v>32.75</v>
      </c>
      <c r="K91" s="615">
        <f>TRUNC(IF($E91="",IFERROR(VLOOKUP($D91,SERVIÇOS!$C:$H,4,0),IFERROR(VLOOKUP($D91,$F:$M,6,0),)),IFERROR(VLOOKUP($E91,INSUMOS!$B:$E,4,0),IFERROR(VLOOKUP($E91,COTAÇÕES!$C:$L,10,0),)))*$I91,2)</f>
        <v>28.91</v>
      </c>
      <c r="L91" s="616">
        <f>TRUNC(IF($E91="",IFERROR(VLOOKUP($D91,SERVIÇOS!$C:$H,5,0),IFERROR(VLOOKUP($D91,$F:$M,7,0),)),0)*$I91,2)</f>
        <v>0</v>
      </c>
      <c r="M91" s="617">
        <f t="shared" si="43"/>
        <v>28.91</v>
      </c>
      <c r="N91" s="753" t="str">
        <f t="shared" si="44"/>
        <v>INSUMO SINAPI</v>
      </c>
      <c r="O91" s="618"/>
    </row>
    <row r="92" spans="2:15" ht="25.5">
      <c r="B92" s="122">
        <f t="shared" si="41"/>
        <v>10.58</v>
      </c>
      <c r="C92" s="611" t="str">
        <f t="shared" ref="C92:C93" si="45">IF(D92&lt;&gt;"","C",IF(E92&lt;&gt;"","I",""))</f>
        <v>I</v>
      </c>
      <c r="D92" s="660"/>
      <c r="E92" s="661">
        <v>7568</v>
      </c>
      <c r="F92" s="612"/>
      <c r="G92" s="613" t="str">
        <f>IF($E92="",IFERROR(VLOOKUP($D92,SERVIÇOS!$C:$H,2,0),IFERROR(VLOOKUP($D92,$F:$M,2,0),"")),IFERROR(VLOOKUP($E92,INSUMOS!$B:$E,2,0),IFERROR(VLOOKUP($E92,COTAÇÕES!$C:$L,2,0),"")))</f>
        <v xml:space="preserve">BUCHA DE NYLON SEM ABA S10, COM PARAFUSO DE 6,10 X 65 MM EM ACO ZINCADO COM ROSCA SOBERBA, CABECA CHATA E FENDA PHILLIPS                                                                                                                                                                                                                                                                                                                                                                                  </v>
      </c>
      <c r="H92" s="593" t="str">
        <f>IF($E92="",IFERROR(VLOOKUP($D92,SERVIÇOS!$C:$H,3,0),IFERROR(VLOOKUP($D92,$F:$M,3,0),"")),IFERROR(VLOOKUP($E92,INSUMOS!$B:$E,3,0),IFERROR(VLOOKUP($E92,COTAÇÕES!$C:$L,5,0),"")))</f>
        <v xml:space="preserve">UN    </v>
      </c>
      <c r="I92" s="614">
        <v>4.8166000000000002</v>
      </c>
      <c r="J92" s="670">
        <f>IF($E92="",IFERROR(VLOOKUP($D92,SERVIÇOS!$C:$H,6,0),IFERROR(VLOOKUP($D92,$F:$M,8,0),"")),IFERROR(VLOOKUP($E92,INSUMOS!$B:$E,4,0),IFERROR(VLOOKUP($E92,COTAÇÕES!$C:$L,10,0),"")))</f>
        <v>0.73</v>
      </c>
      <c r="K92" s="615">
        <f>TRUNC(IF($E92="",IFERROR(VLOOKUP($D92,SERVIÇOS!$C:$H,4,0),IFERROR(VLOOKUP($D92,$F:$M,6,0),)),IFERROR(VLOOKUP($E92,INSUMOS!$B:$E,4,0),IFERROR(VLOOKUP($E92,COTAÇÕES!$C:$L,10,0),)))*$I92,2)</f>
        <v>3.51</v>
      </c>
      <c r="L92" s="616">
        <f>TRUNC(IF($E92="",IFERROR(VLOOKUP($D92,SERVIÇOS!$C:$H,5,0),IFERROR(VLOOKUP($D92,$F:$M,7,0),)),0)*$I92,2)</f>
        <v>0</v>
      </c>
      <c r="M92" s="617">
        <f t="shared" si="43"/>
        <v>3.51</v>
      </c>
      <c r="N92" s="753" t="str">
        <f t="shared" si="44"/>
        <v>INSUMO SINAPI</v>
      </c>
      <c r="O92" s="618"/>
    </row>
    <row r="93" spans="2:15">
      <c r="B93" s="122">
        <f t="shared" si="41"/>
        <v>10.58</v>
      </c>
      <c r="C93" s="611" t="str">
        <f t="shared" si="45"/>
        <v>I</v>
      </c>
      <c r="D93" s="660"/>
      <c r="E93" s="661" t="s">
        <v>9026</v>
      </c>
      <c r="F93" s="612"/>
      <c r="G93" s="613" t="str">
        <f>IF($E93="",IFERROR(VLOOKUP($D93,SERVIÇOS!$C:$H,2,0),IFERROR(VLOOKUP($D93,$F:$M,2,0),"")),IFERROR(VLOOKUP($E93,INSUMOS!$B:$E,2,0),IFERROR(VLOOKUP($E93,COTAÇÕES!$C:$L,2,0),"")))</f>
        <v xml:space="preserve">PORTA DE ABRIR 01 FOLHA VENEZIANA EM ALUMÍNIO COR PRETO COMPLETA </v>
      </c>
      <c r="H93" s="593" t="str">
        <f>IF($E93="",IFERROR(VLOOKUP($D93,SERVIÇOS!$C:$H,3,0),IFERROR(VLOOKUP($D93,$F:$M,3,0),"")),IFERROR(VLOOKUP($E93,INSUMOS!$B:$E,3,0),IFERROR(VLOOKUP($E93,COTAÇÕES!$C:$L,5,0),"")))</f>
        <v>M2</v>
      </c>
      <c r="I93" s="621">
        <v>1</v>
      </c>
      <c r="J93" s="670">
        <f>IF($E93="",IFERROR(VLOOKUP($D93,SERVIÇOS!$C:$H,6,0),IFERROR(VLOOKUP($D93,$F:$M,8,0),"")),IFERROR(VLOOKUP($E93,INSUMOS!$B:$E,4,0),IFERROR(VLOOKUP($E93,COTAÇÕES!$C:$L,10,0),"")))</f>
        <v>928.29</v>
      </c>
      <c r="K93" s="615">
        <f>TRUNC(IF($E93="",IFERROR(VLOOKUP($D93,SERVIÇOS!$C:$H,4,0),IFERROR(VLOOKUP($D93,$F:$M,6,0),)),IFERROR(VLOOKUP($E93,INSUMOS!$B:$E,4,0),IFERROR(VLOOKUP($E93,COTAÇÕES!$C:$L,10,0),)))*$I93,2)</f>
        <v>928.29</v>
      </c>
      <c r="L93" s="616">
        <f>TRUNC(IF($E93="",IFERROR(VLOOKUP($D93,SERVIÇOS!$C:$H,5,0),IFERROR(VLOOKUP($D93,$F:$M,7,0),)),0)*$I93,2)</f>
        <v>0</v>
      </c>
      <c r="M93" s="617">
        <f t="shared" si="43"/>
        <v>928.29</v>
      </c>
      <c r="N93" s="753" t="s">
        <v>6845</v>
      </c>
      <c r="O93" s="618"/>
    </row>
    <row r="94" spans="2:15" ht="25.5">
      <c r="B94" s="769">
        <f>SUMIF(ORC!$G$11:$G$2470,CPU!$F94,ORC!$J$11:$J$2470)</f>
        <v>11.76</v>
      </c>
      <c r="C94" s="515" t="s">
        <v>2239</v>
      </c>
      <c r="D94" s="515"/>
      <c r="E94" s="515"/>
      <c r="F94" s="515" t="s">
        <v>8639</v>
      </c>
      <c r="G94" s="516" t="s">
        <v>8640</v>
      </c>
      <c r="H94" s="515" t="s">
        <v>649</v>
      </c>
      <c r="I94" s="595"/>
      <c r="J94" s="596"/>
      <c r="K94" s="597">
        <f>SUM(K95:K99)</f>
        <v>950.11</v>
      </c>
      <c r="L94" s="597">
        <f>SUM(L95:L99)</f>
        <v>12.59</v>
      </c>
      <c r="M94" s="596">
        <f>SUM(K94:L94)</f>
        <v>962.7</v>
      </c>
      <c r="N94" s="598" t="s">
        <v>7171</v>
      </c>
      <c r="O94" s="599"/>
    </row>
    <row r="95" spans="2:15">
      <c r="B95" s="122">
        <f t="shared" ref="B95:B99" si="46">B94</f>
        <v>11.76</v>
      </c>
      <c r="C95" s="611" t="str">
        <f t="shared" ref="C95:C96" si="47">IF(D95&lt;&gt;"","C",IF(E95&lt;&gt;"","I",""))</f>
        <v>C</v>
      </c>
      <c r="D95" s="660">
        <v>88309</v>
      </c>
      <c r="E95" s="661"/>
      <c r="F95" s="612"/>
      <c r="G95" s="613" t="str">
        <f>IF($E95="",IFERROR(VLOOKUP($D95,SERVIÇOS!$C:$H,2,0),IFERROR(VLOOKUP($D95,$F:$M,2,0),"")),IFERROR(VLOOKUP($E95,INSUMOS!$B:$E,2,0),IFERROR(VLOOKUP($E95,COTAÇÕES!$C:$L,2,0),"")))</f>
        <v>PEDREIRO COM ENCARGOS COMPLEMENTARES</v>
      </c>
      <c r="H95" s="593" t="str">
        <f>IF($E95="",IFERROR(VLOOKUP($D95,SERVIÇOS!$C:$H,3,0),IFERROR(VLOOKUP($D95,$F:$M,3,0),"")),IFERROR(VLOOKUP($E95,INSUMOS!$B:$E,3,0),IFERROR(VLOOKUP($E95,COTAÇÕES!$C:$L,5,0),"")))</f>
        <v>H</v>
      </c>
      <c r="I95" s="614">
        <v>0.3826</v>
      </c>
      <c r="J95" s="670">
        <f>IF($E95="",IFERROR(VLOOKUP($D95,SERVIÇOS!$C:$H,6,0),IFERROR(VLOOKUP($D95,$F:$M,8,0),"")),IFERROR(VLOOKUP($E95,INSUMOS!$B:$E,4,0),IFERROR(VLOOKUP($E95,COTAÇÕES!$C:$L,10,0),"")))</f>
        <v>30.99</v>
      </c>
      <c r="K95" s="615">
        <f>TRUNC(IF($E95="",IFERROR(VLOOKUP($D95,SERVIÇOS!$C:$H,4,0),IFERROR(VLOOKUP($D95,$F:$M,6,0),)),IFERROR(VLOOKUP($E95,INSUMOS!$B:$E,4,0),IFERROR(VLOOKUP($E95,COTAÇÕES!$C:$L,10,0),)))*$I95,2)</f>
        <v>2.54</v>
      </c>
      <c r="L95" s="616">
        <f>TRUNC(IF($E95="",IFERROR(VLOOKUP($D95,SERVIÇOS!$C:$H,5,0),IFERROR(VLOOKUP($D95,$F:$M,7,0),)),0)*$I95,2)</f>
        <v>9.31</v>
      </c>
      <c r="M95" s="617">
        <f t="shared" ref="M95:M99" si="48">K95+L95</f>
        <v>11.850000000000001</v>
      </c>
      <c r="N95" s="753" t="str">
        <f t="shared" ref="N95:N98" si="49">IF($D95&lt;&gt;"","SERVIÇO SINAPI",IF($E95&lt;&gt;"","INSUMO SINAPI",""))</f>
        <v>SERVIÇO SINAPI</v>
      </c>
      <c r="O95" s="640"/>
    </row>
    <row r="96" spans="2:15">
      <c r="B96" s="122">
        <f t="shared" si="46"/>
        <v>11.76</v>
      </c>
      <c r="C96" s="611" t="str">
        <f t="shared" si="47"/>
        <v>C</v>
      </c>
      <c r="D96" s="660">
        <v>88316</v>
      </c>
      <c r="E96" s="661"/>
      <c r="F96" s="612"/>
      <c r="G96" s="613" t="str">
        <f>IF($E96="",IFERROR(VLOOKUP($D96,SERVIÇOS!$C:$H,2,0),IFERROR(VLOOKUP($D96,$F:$M,2,0),"")),IFERROR(VLOOKUP($E96,INSUMOS!$B:$E,2,0),IFERROR(VLOOKUP($E96,COTAÇÕES!$C:$L,2,0),"")))</f>
        <v>SERVENTE COM ENCARGOS COMPLEMENTARES</v>
      </c>
      <c r="H96" s="593" t="str">
        <f>IF($E96="",IFERROR(VLOOKUP($D96,SERVIÇOS!$C:$H,3,0),IFERROR(VLOOKUP($D96,$F:$M,3,0),"")),IFERROR(VLOOKUP($E96,INSUMOS!$B:$E,3,0),IFERROR(VLOOKUP($E96,COTAÇÕES!$C:$L,5,0),"")))</f>
        <v>H</v>
      </c>
      <c r="I96" s="621">
        <v>0.191</v>
      </c>
      <c r="J96" s="670">
        <f>IF($E96="",IFERROR(VLOOKUP($D96,SERVIÇOS!$C:$H,6,0),IFERROR(VLOOKUP($D96,$F:$M,8,0),"")),IFERROR(VLOOKUP($E96,INSUMOS!$B:$E,4,0),IFERROR(VLOOKUP($E96,COTAÇÕES!$C:$L,10,0),"")))</f>
        <v>23.71</v>
      </c>
      <c r="K96" s="615">
        <f>TRUNC(IF($E96="",IFERROR(VLOOKUP($D96,SERVIÇOS!$C:$H,4,0),IFERROR(VLOOKUP($D96,$F:$M,6,0),)),IFERROR(VLOOKUP($E96,INSUMOS!$B:$E,4,0),IFERROR(VLOOKUP($E96,COTAÇÕES!$C:$L,10,0),)))*$I96,2)</f>
        <v>1.24</v>
      </c>
      <c r="L96" s="616">
        <f>TRUNC(IF($E96="",IFERROR(VLOOKUP($D96,SERVIÇOS!$C:$H,5,0),IFERROR(VLOOKUP($D96,$F:$M,7,0),)),0)*$I96,2)</f>
        <v>3.28</v>
      </c>
      <c r="M96" s="617">
        <f t="shared" si="48"/>
        <v>4.5199999999999996</v>
      </c>
      <c r="N96" s="753" t="str">
        <f t="shared" si="49"/>
        <v>SERVIÇO SINAPI</v>
      </c>
      <c r="O96" s="618"/>
    </row>
    <row r="97" spans="2:15">
      <c r="B97" s="122">
        <f t="shared" si="46"/>
        <v>11.76</v>
      </c>
      <c r="C97" s="611" t="str">
        <f>IF(D97&lt;&gt;"","C",IF(E97&lt;&gt;"","I",""))</f>
        <v>I</v>
      </c>
      <c r="D97" s="660"/>
      <c r="E97" s="661">
        <v>142</v>
      </c>
      <c r="F97" s="612"/>
      <c r="G97" s="613" t="str">
        <f>IF($E97="",IFERROR(VLOOKUP($D97,SERVIÇOS!$C:$H,2,0),IFERROR(VLOOKUP($D97,$F:$M,2,0),"")),IFERROR(VLOOKUP($E97,INSUMOS!$B:$E,2,0),IFERROR(VLOOKUP($E97,COTAÇÕES!$C:$L,2,0),"")))</f>
        <v xml:space="preserve">SELANTE ELASTICO MONOCOMPONENTE A BASE DE POLIURETANO (PU) PARA JUNTAS DIVERSAS                                                                                                                                                                                                                                                                                                                                                                                                                           </v>
      </c>
      <c r="H97" s="593" t="str">
        <f>IF($E97="",IFERROR(VLOOKUP($D97,SERVIÇOS!$C:$H,3,0),IFERROR(VLOOKUP($D97,$F:$M,3,0),"")),IFERROR(VLOOKUP($E97,INSUMOS!$B:$E,3,0),IFERROR(VLOOKUP($E97,COTAÇÕES!$C:$L,5,0),"")))</f>
        <v xml:space="preserve">310ML </v>
      </c>
      <c r="I97" s="614">
        <v>0.88290000000000002</v>
      </c>
      <c r="J97" s="670">
        <f>IF($E97="",IFERROR(VLOOKUP($D97,SERVIÇOS!$C:$H,6,0),IFERROR(VLOOKUP($D97,$F:$M,8,0),"")),IFERROR(VLOOKUP($E97,INSUMOS!$B:$E,4,0),IFERROR(VLOOKUP($E97,COTAÇÕES!$C:$L,10,0),"")))</f>
        <v>32.75</v>
      </c>
      <c r="K97" s="615">
        <f>TRUNC(IF($E97="",IFERROR(VLOOKUP($D97,SERVIÇOS!$C:$H,4,0),IFERROR(VLOOKUP($D97,$F:$M,6,0),)),IFERROR(VLOOKUP($E97,INSUMOS!$B:$E,4,0),IFERROR(VLOOKUP($E97,COTAÇÕES!$C:$L,10,0),)))*$I97,2)</f>
        <v>28.91</v>
      </c>
      <c r="L97" s="616">
        <f>TRUNC(IF($E97="",IFERROR(VLOOKUP($D97,SERVIÇOS!$C:$H,5,0),IFERROR(VLOOKUP($D97,$F:$M,7,0),)),0)*$I97,2)</f>
        <v>0</v>
      </c>
      <c r="M97" s="617">
        <f t="shared" si="48"/>
        <v>28.91</v>
      </c>
      <c r="N97" s="753" t="str">
        <f t="shared" si="49"/>
        <v>INSUMO SINAPI</v>
      </c>
      <c r="O97" s="618"/>
    </row>
    <row r="98" spans="2:15" ht="25.5">
      <c r="B98" s="122">
        <f t="shared" si="46"/>
        <v>11.76</v>
      </c>
      <c r="C98" s="611" t="str">
        <f t="shared" ref="C98:C99" si="50">IF(D98&lt;&gt;"","C",IF(E98&lt;&gt;"","I",""))</f>
        <v>I</v>
      </c>
      <c r="D98" s="660"/>
      <c r="E98" s="661">
        <v>7568</v>
      </c>
      <c r="F98" s="612"/>
      <c r="G98" s="613" t="str">
        <f>IF($E98="",IFERROR(VLOOKUP($D98,SERVIÇOS!$C:$H,2,0),IFERROR(VLOOKUP($D98,$F:$M,2,0),"")),IFERROR(VLOOKUP($E98,INSUMOS!$B:$E,2,0),IFERROR(VLOOKUP($E98,COTAÇÕES!$C:$L,2,0),"")))</f>
        <v xml:space="preserve">BUCHA DE NYLON SEM ABA S10, COM PARAFUSO DE 6,10 X 65 MM EM ACO ZINCADO COM ROSCA SOBERBA, CABECA CHATA E FENDA PHILLIPS                                                                                                                                                                                                                                                                                                                                                                                  </v>
      </c>
      <c r="H98" s="593" t="str">
        <f>IF($E98="",IFERROR(VLOOKUP($D98,SERVIÇOS!$C:$H,3,0),IFERROR(VLOOKUP($D98,$F:$M,3,0),"")),IFERROR(VLOOKUP($E98,INSUMOS!$B:$E,3,0),IFERROR(VLOOKUP($E98,COTAÇÕES!$C:$L,5,0),"")))</f>
        <v xml:space="preserve">UN    </v>
      </c>
      <c r="I98" s="614">
        <v>4.8166000000000002</v>
      </c>
      <c r="J98" s="670">
        <f>IF($E98="",IFERROR(VLOOKUP($D98,SERVIÇOS!$C:$H,6,0),IFERROR(VLOOKUP($D98,$F:$M,8,0),"")),IFERROR(VLOOKUP($E98,INSUMOS!$B:$E,4,0),IFERROR(VLOOKUP($E98,COTAÇÕES!$C:$L,10,0),"")))</f>
        <v>0.73</v>
      </c>
      <c r="K98" s="615">
        <f>TRUNC(IF($E98="",IFERROR(VLOOKUP($D98,SERVIÇOS!$C:$H,4,0),IFERROR(VLOOKUP($D98,$F:$M,6,0),)),IFERROR(VLOOKUP($E98,INSUMOS!$B:$E,4,0),IFERROR(VLOOKUP($E98,COTAÇÕES!$C:$L,10,0),)))*$I98,2)</f>
        <v>3.51</v>
      </c>
      <c r="L98" s="616">
        <f>TRUNC(IF($E98="",IFERROR(VLOOKUP($D98,SERVIÇOS!$C:$H,5,0),IFERROR(VLOOKUP($D98,$F:$M,7,0),)),0)*$I98,2)</f>
        <v>0</v>
      </c>
      <c r="M98" s="617">
        <f t="shared" si="48"/>
        <v>3.51</v>
      </c>
      <c r="N98" s="753" t="str">
        <f t="shared" si="49"/>
        <v>INSUMO SINAPI</v>
      </c>
      <c r="O98" s="618"/>
    </row>
    <row r="99" spans="2:15">
      <c r="B99" s="122">
        <f t="shared" si="46"/>
        <v>11.76</v>
      </c>
      <c r="C99" s="611" t="str">
        <f t="shared" si="50"/>
        <v>I</v>
      </c>
      <c r="D99" s="660"/>
      <c r="E99" s="661" t="s">
        <v>9028</v>
      </c>
      <c r="F99" s="612"/>
      <c r="G99" s="613" t="str">
        <f>IF($E99="",IFERROR(VLOOKUP($D99,SERVIÇOS!$C:$H,2,0),IFERROR(VLOOKUP($D99,$F:$M,2,0),"")),IFERROR(VLOOKUP($E99,INSUMOS!$B:$E,2,0),IFERROR(VLOOKUP($E99,COTAÇÕES!$C:$L,2,0),"")))</f>
        <v>PORTA DE ABRIR 01 FOLHA VENEZIANA VENTILADA EM ALUMÍNIO COR PRETO COMPLETA</v>
      </c>
      <c r="H99" s="593" t="str">
        <f>IF($E99="",IFERROR(VLOOKUP($D99,SERVIÇOS!$C:$H,3,0),IFERROR(VLOOKUP($D99,$F:$M,3,0),"")),IFERROR(VLOOKUP($E99,INSUMOS!$B:$E,3,0),IFERROR(VLOOKUP($E99,COTAÇÕES!$C:$L,5,0),"")))</f>
        <v>M2</v>
      </c>
      <c r="I99" s="621">
        <v>1</v>
      </c>
      <c r="J99" s="670">
        <f>IF($E99="",IFERROR(VLOOKUP($D99,SERVIÇOS!$C:$H,6,0),IFERROR(VLOOKUP($D99,$F:$M,8,0),"")),IFERROR(VLOOKUP($E99,INSUMOS!$B:$E,4,0),IFERROR(VLOOKUP($E99,COTAÇÕES!$C:$L,10,0),"")))</f>
        <v>913.91666666666663</v>
      </c>
      <c r="K99" s="615">
        <f>TRUNC(IF($E99="",IFERROR(VLOOKUP($D99,SERVIÇOS!$C:$H,4,0),IFERROR(VLOOKUP($D99,$F:$M,6,0),)),IFERROR(VLOOKUP($E99,INSUMOS!$B:$E,4,0),IFERROR(VLOOKUP($E99,COTAÇÕES!$C:$L,10,0),)))*$I99,2)</f>
        <v>913.91</v>
      </c>
      <c r="L99" s="616">
        <f>TRUNC(IF($E99="",IFERROR(VLOOKUP($D99,SERVIÇOS!$C:$H,5,0),IFERROR(VLOOKUP($D99,$F:$M,7,0),)),0)*$I99,2)</f>
        <v>0</v>
      </c>
      <c r="M99" s="617">
        <f t="shared" si="48"/>
        <v>913.91</v>
      </c>
      <c r="N99" s="753" t="s">
        <v>6845</v>
      </c>
      <c r="O99" s="618"/>
    </row>
    <row r="100" spans="2:15" ht="25.5">
      <c r="B100" s="769">
        <f>SUMIF(ORC!$G$11:$G$2470,CPU!$F100,ORC!$J$11:$J$2470)</f>
        <v>3.78</v>
      </c>
      <c r="C100" s="515" t="s">
        <v>2239</v>
      </c>
      <c r="D100" s="515"/>
      <c r="E100" s="515"/>
      <c r="F100" s="515" t="s">
        <v>8641</v>
      </c>
      <c r="G100" s="516" t="s">
        <v>8642</v>
      </c>
      <c r="H100" s="515" t="s">
        <v>649</v>
      </c>
      <c r="I100" s="595"/>
      <c r="J100" s="596"/>
      <c r="K100" s="597">
        <f>SUM(K101:K105)</f>
        <v>1024.56</v>
      </c>
      <c r="L100" s="597">
        <f>SUM(L101:L105)</f>
        <v>12.59</v>
      </c>
      <c r="M100" s="596">
        <f>SUM(K100:L100)</f>
        <v>1037.1499999999999</v>
      </c>
      <c r="N100" s="598" t="s">
        <v>7171</v>
      </c>
      <c r="O100" s="610"/>
    </row>
    <row r="101" spans="2:15">
      <c r="B101" s="122">
        <f t="shared" ref="B101:B105" si="51">B100</f>
        <v>3.78</v>
      </c>
      <c r="C101" s="611" t="str">
        <f t="shared" ref="C101:C105" si="52">IF(D101&lt;&gt;"","C",IF(E101&lt;&gt;"","I",""))</f>
        <v>C</v>
      </c>
      <c r="D101" s="660">
        <v>88309</v>
      </c>
      <c r="E101" s="661"/>
      <c r="F101" s="612"/>
      <c r="G101" s="613" t="str">
        <f>IF($E101="",IFERROR(VLOOKUP($D101,SERVIÇOS!$C:$H,2,0),IFERROR(VLOOKUP($D101,$F:$M,2,0),"")),IFERROR(VLOOKUP($E101,INSUMOS!$B:$E,2,0),IFERROR(VLOOKUP($E101,COTAÇÕES!$C:$L,2,0),"")))</f>
        <v>PEDREIRO COM ENCARGOS COMPLEMENTARES</v>
      </c>
      <c r="H101" s="593" t="str">
        <f>IF($E101="",IFERROR(VLOOKUP($D101,SERVIÇOS!$C:$H,3,0),IFERROR(VLOOKUP($D101,$F:$M,3,0),"")),IFERROR(VLOOKUP($E101,INSUMOS!$B:$E,3,0),IFERROR(VLOOKUP($E101,COTAÇÕES!$C:$L,5,0),"")))</f>
        <v>H</v>
      </c>
      <c r="I101" s="614">
        <v>0.3826</v>
      </c>
      <c r="J101" s="670">
        <f>IF($E101="",IFERROR(VLOOKUP($D101,SERVIÇOS!$C:$H,6,0),IFERROR(VLOOKUP($D101,$F:$M,8,0),"")),IFERROR(VLOOKUP($E101,INSUMOS!$B:$E,4,0),IFERROR(VLOOKUP($E101,COTAÇÕES!$C:$L,10,0),"")))</f>
        <v>30.99</v>
      </c>
      <c r="K101" s="615">
        <f>TRUNC(IF($E101="",IFERROR(VLOOKUP($D101,SERVIÇOS!$C:$H,4,0),IFERROR(VLOOKUP($D101,$F:$M,6,0),)),IFERROR(VLOOKUP($E101,INSUMOS!$B:$E,4,0),IFERROR(VLOOKUP($E101,COTAÇÕES!$C:$L,10,0),)))*$I101,2)</f>
        <v>2.54</v>
      </c>
      <c r="L101" s="616">
        <f>TRUNC(IF($E101="",IFERROR(VLOOKUP($D101,SERVIÇOS!$C:$H,5,0),IFERROR(VLOOKUP($D101,$F:$M,7,0),)),0)*$I101,2)</f>
        <v>9.31</v>
      </c>
      <c r="M101" s="617">
        <f t="shared" ref="M101:M105" si="53">K101+L101</f>
        <v>11.850000000000001</v>
      </c>
      <c r="N101" s="753" t="str">
        <f>IF($D101&lt;&gt;"","SERVIÇO SINAPI",IF($E101&lt;&gt;"","INSUMO SINAPI",""))</f>
        <v>SERVIÇO SINAPI</v>
      </c>
      <c r="O101" s="618"/>
    </row>
    <row r="102" spans="2:15">
      <c r="B102" s="122">
        <f t="shared" si="51"/>
        <v>3.78</v>
      </c>
      <c r="C102" s="611" t="str">
        <f t="shared" si="52"/>
        <v>C</v>
      </c>
      <c r="D102" s="660">
        <v>88316</v>
      </c>
      <c r="E102" s="661"/>
      <c r="F102" s="612"/>
      <c r="G102" s="613" t="str">
        <f>IF($E102="",IFERROR(VLOOKUP($D102,SERVIÇOS!$C:$H,2,0),IFERROR(VLOOKUP($D102,$F:$M,2,0),"")),IFERROR(VLOOKUP($E102,INSUMOS!$B:$E,2,0),IFERROR(VLOOKUP($E102,COTAÇÕES!$C:$L,2,0),"")))</f>
        <v>SERVENTE COM ENCARGOS COMPLEMENTARES</v>
      </c>
      <c r="H102" s="593" t="str">
        <f>IF($E102="",IFERROR(VLOOKUP($D102,SERVIÇOS!$C:$H,3,0),IFERROR(VLOOKUP($D102,$F:$M,3,0),"")),IFERROR(VLOOKUP($E102,INSUMOS!$B:$E,3,0),IFERROR(VLOOKUP($E102,COTAÇÕES!$C:$L,5,0),"")))</f>
        <v>H</v>
      </c>
      <c r="I102" s="621">
        <v>0.191</v>
      </c>
      <c r="J102" s="670">
        <f>IF($E102="",IFERROR(VLOOKUP($D102,SERVIÇOS!$C:$H,6,0),IFERROR(VLOOKUP($D102,$F:$M,8,0),"")),IFERROR(VLOOKUP($E102,INSUMOS!$B:$E,4,0),IFERROR(VLOOKUP($E102,COTAÇÕES!$C:$L,10,0),"")))</f>
        <v>23.71</v>
      </c>
      <c r="K102" s="615">
        <f>TRUNC(IF($E102="",IFERROR(VLOOKUP($D102,SERVIÇOS!$C:$H,4,0),IFERROR(VLOOKUP($D102,$F:$M,6,0),)),IFERROR(VLOOKUP($E102,INSUMOS!$B:$E,4,0),IFERROR(VLOOKUP($E102,COTAÇÕES!$C:$L,10,0),)))*$I102,2)</f>
        <v>1.24</v>
      </c>
      <c r="L102" s="616">
        <f>TRUNC(IF($E102="",IFERROR(VLOOKUP($D102,SERVIÇOS!$C:$H,5,0),IFERROR(VLOOKUP($D102,$F:$M,7,0),)),0)*$I102,2)</f>
        <v>3.28</v>
      </c>
      <c r="M102" s="617">
        <f t="shared" si="53"/>
        <v>4.5199999999999996</v>
      </c>
      <c r="N102" s="753" t="str">
        <f>IF($D102&lt;&gt;"","SERVIÇO SINAPI",IF($E102&lt;&gt;"","INSUMO SINAPI",""))</f>
        <v>SERVIÇO SINAPI</v>
      </c>
      <c r="O102" s="618"/>
    </row>
    <row r="103" spans="2:15">
      <c r="B103" s="122">
        <f t="shared" si="51"/>
        <v>3.78</v>
      </c>
      <c r="C103" s="611" t="str">
        <f t="shared" ref="C103" si="54">IF(D103&lt;&gt;"","C",IF(E103&lt;&gt;"","I",""))</f>
        <v>I</v>
      </c>
      <c r="D103" s="660"/>
      <c r="E103" s="661">
        <v>142</v>
      </c>
      <c r="F103" s="612"/>
      <c r="G103" s="613" t="str">
        <f>IF($E103="",IFERROR(VLOOKUP($D103,SERVIÇOS!$C:$H,2,0),IFERROR(VLOOKUP($D103,$F:$M,2,0),"")),IFERROR(VLOOKUP($E103,INSUMOS!$B:$E,2,0),IFERROR(VLOOKUP($E103,COTAÇÕES!$C:$L,2,0),"")))</f>
        <v xml:space="preserve">SELANTE ELASTICO MONOCOMPONENTE A BASE DE POLIURETANO (PU) PARA JUNTAS DIVERSAS                                                                                                                                                                                                                                                                                                                                                                                                                           </v>
      </c>
      <c r="H103" s="593" t="str">
        <f>IF($E103="",IFERROR(VLOOKUP($D103,SERVIÇOS!$C:$H,3,0),IFERROR(VLOOKUP($D103,$F:$M,3,0),"")),IFERROR(VLOOKUP($E103,INSUMOS!$B:$E,3,0),IFERROR(VLOOKUP($E103,COTAÇÕES!$C:$L,5,0),"")))</f>
        <v xml:space="preserve">310ML </v>
      </c>
      <c r="I103" s="614">
        <v>0.88290000000000002</v>
      </c>
      <c r="J103" s="670">
        <f>IF($E103="",IFERROR(VLOOKUP($D103,SERVIÇOS!$C:$H,6,0),IFERROR(VLOOKUP($D103,$F:$M,8,0),"")),IFERROR(VLOOKUP($E103,INSUMOS!$B:$E,4,0),IFERROR(VLOOKUP($E103,COTAÇÕES!$C:$L,10,0),"")))</f>
        <v>32.75</v>
      </c>
      <c r="K103" s="615">
        <f>TRUNC(IF($E103="",IFERROR(VLOOKUP($D103,SERVIÇOS!$C:$H,4,0),IFERROR(VLOOKUP($D103,$F:$M,6,0),)),IFERROR(VLOOKUP($E103,INSUMOS!$B:$E,4,0),IFERROR(VLOOKUP($E103,COTAÇÕES!$C:$L,10,0),)))*$I103,2)</f>
        <v>28.91</v>
      </c>
      <c r="L103" s="616">
        <f>TRUNC(IF($E103="",IFERROR(VLOOKUP($D103,SERVIÇOS!$C:$H,5,0),IFERROR(VLOOKUP($D103,$F:$M,7,0),)),0)*$I103,2)</f>
        <v>0</v>
      </c>
      <c r="M103" s="617">
        <f t="shared" ref="M103" si="55">K103+L103</f>
        <v>28.91</v>
      </c>
      <c r="N103" s="753" t="str">
        <f>IF($D103&lt;&gt;"","SERVIÇO SINAPI",IF($E103&lt;&gt;"","INSUMO SINAPI",""))</f>
        <v>INSUMO SINAPI</v>
      </c>
      <c r="O103" s="618"/>
    </row>
    <row r="104" spans="2:15" ht="25.5">
      <c r="B104" s="122">
        <f t="shared" si="51"/>
        <v>3.78</v>
      </c>
      <c r="C104" s="611" t="str">
        <f t="shared" si="52"/>
        <v>I</v>
      </c>
      <c r="D104" s="660"/>
      <c r="E104" s="661">
        <v>7568</v>
      </c>
      <c r="F104" s="612"/>
      <c r="G104" s="613" t="str">
        <f>IF($E104="",IFERROR(VLOOKUP($D104,SERVIÇOS!$C:$H,2,0),IFERROR(VLOOKUP($D104,$F:$M,2,0),"")),IFERROR(VLOOKUP($E104,INSUMOS!$B:$E,2,0),IFERROR(VLOOKUP($E104,COTAÇÕES!$C:$L,2,0),"")))</f>
        <v xml:space="preserve">BUCHA DE NYLON SEM ABA S10, COM PARAFUSO DE 6,10 X 65 MM EM ACO ZINCADO COM ROSCA SOBERBA, CABECA CHATA E FENDA PHILLIPS                                                                                                                                                                                                                                                                                                                                                                                  </v>
      </c>
      <c r="H104" s="593" t="str">
        <f>IF($E104="",IFERROR(VLOOKUP($D104,SERVIÇOS!$C:$H,3,0),IFERROR(VLOOKUP($D104,$F:$M,3,0),"")),IFERROR(VLOOKUP($E104,INSUMOS!$B:$E,3,0),IFERROR(VLOOKUP($E104,COTAÇÕES!$C:$L,5,0),"")))</f>
        <v xml:space="preserve">UN    </v>
      </c>
      <c r="I104" s="614">
        <v>4.8166000000000002</v>
      </c>
      <c r="J104" s="670">
        <f>IF($E104="",IFERROR(VLOOKUP($D104,SERVIÇOS!$C:$H,6,0),IFERROR(VLOOKUP($D104,$F:$M,8,0),"")),IFERROR(VLOOKUP($E104,INSUMOS!$B:$E,4,0),IFERROR(VLOOKUP($E104,COTAÇÕES!$C:$L,10,0),"")))</f>
        <v>0.73</v>
      </c>
      <c r="K104" s="615">
        <f>TRUNC(IF($E104="",IFERROR(VLOOKUP($D104,SERVIÇOS!$C:$H,4,0),IFERROR(VLOOKUP($D104,$F:$M,6,0),)),IFERROR(VLOOKUP($E104,INSUMOS!$B:$E,4,0),IFERROR(VLOOKUP($E104,COTAÇÕES!$C:$L,10,0),)))*$I104,2)</f>
        <v>3.51</v>
      </c>
      <c r="L104" s="616">
        <f>TRUNC(IF($E104="",IFERROR(VLOOKUP($D104,SERVIÇOS!$C:$H,5,0),IFERROR(VLOOKUP($D104,$F:$M,7,0),)),0)*$I104,2)</f>
        <v>0</v>
      </c>
      <c r="M104" s="617">
        <f t="shared" si="53"/>
        <v>3.51</v>
      </c>
      <c r="N104" s="753" t="str">
        <f>IF($D104&lt;&gt;"","SERVIÇO SINAPI",IF($E104&lt;&gt;"","INSUMO SINAPI",""))</f>
        <v>INSUMO SINAPI</v>
      </c>
      <c r="O104" s="618"/>
    </row>
    <row r="105" spans="2:15" ht="25.5">
      <c r="B105" s="122">
        <f t="shared" si="51"/>
        <v>3.78</v>
      </c>
      <c r="C105" s="611" t="str">
        <f t="shared" si="52"/>
        <v>I</v>
      </c>
      <c r="D105" s="661"/>
      <c r="E105" s="661" t="s">
        <v>9027</v>
      </c>
      <c r="F105" s="612"/>
      <c r="G105" s="613" t="str">
        <f>IF($E105="",IFERROR(VLOOKUP($D105,SERVIÇOS!$C:$H,2,0),IFERROR(VLOOKUP($D105,$F:$M,2,0),"")),IFERROR(VLOOKUP($E105,INSUMOS!$B:$E,2,0),IFERROR(VLOOKUP($E105,COTAÇÕES!$C:$L,2,0),"")))</f>
        <v>PORTA DE ABRIR 01 FOLHA EM ALUMÍNIO COR PRETO, METADE VENEZIANA, METADE TELA MOSQUITEIRO DE NYLON FIXA, FIO 30, MALHA 16X16CM</v>
      </c>
      <c r="H105" s="593" t="str">
        <f>IF($E105="",IFERROR(VLOOKUP($D105,SERVIÇOS!$C:$H,3,0),IFERROR(VLOOKUP($D105,$F:$M,3,0),"")),IFERROR(VLOOKUP($E105,INSUMOS!$B:$E,3,0),IFERROR(VLOOKUP($E105,COTAÇÕES!$C:$L,5,0),"")))</f>
        <v>M2</v>
      </c>
      <c r="I105" s="621">
        <v>1</v>
      </c>
      <c r="J105" s="670">
        <f>IF($E105="",IFERROR(VLOOKUP($D105,SERVIÇOS!$C:$H,6,0),IFERROR(VLOOKUP($D105,$F:$M,8,0),"")),IFERROR(VLOOKUP($E105,INSUMOS!$B:$E,4,0),IFERROR(VLOOKUP($E105,COTAÇÕES!$C:$L,10,0),"")))</f>
        <v>988.36666666666667</v>
      </c>
      <c r="K105" s="615">
        <f>TRUNC(IF($E105="",IFERROR(VLOOKUP($D105,SERVIÇOS!$C:$H,4,0),IFERROR(VLOOKUP($D105,$F:$M,6,0),)),IFERROR(VLOOKUP($E105,INSUMOS!$B:$E,4,0),IFERROR(VLOOKUP($E105,COTAÇÕES!$C:$L,10,0),)))*$I105,2)</f>
        <v>988.36</v>
      </c>
      <c r="L105" s="616">
        <f>TRUNC(IF($E105="",IFERROR(VLOOKUP($D105,SERVIÇOS!$C:$H,5,0),IFERROR(VLOOKUP($D105,$F:$M,7,0),)),0)*$I105,2)</f>
        <v>0</v>
      </c>
      <c r="M105" s="617">
        <f t="shared" si="53"/>
        <v>988.36</v>
      </c>
      <c r="N105" s="753" t="s">
        <v>6845</v>
      </c>
      <c r="O105" s="618"/>
    </row>
    <row r="106" spans="2:15" ht="38.25">
      <c r="B106" s="769">
        <f>SUMIF(ORC!$G$11:$G$2470,CPU!$F106,ORC!$J$11:$J$2470)</f>
        <v>1</v>
      </c>
      <c r="C106" s="515" t="s">
        <v>2239</v>
      </c>
      <c r="D106" s="515"/>
      <c r="E106" s="515"/>
      <c r="F106" s="515" t="s">
        <v>8643</v>
      </c>
      <c r="G106" s="516" t="s">
        <v>8644</v>
      </c>
      <c r="H106" s="515" t="s">
        <v>646</v>
      </c>
      <c r="I106" s="595"/>
      <c r="J106" s="596"/>
      <c r="K106" s="597">
        <f>SUM(K107:K112)</f>
        <v>444.53999999999996</v>
      </c>
      <c r="L106" s="597">
        <f>SUM(L107:L112)</f>
        <v>114.05</v>
      </c>
      <c r="M106" s="596">
        <f>SUM(K106:L106)</f>
        <v>558.58999999999992</v>
      </c>
      <c r="N106" s="599" t="s">
        <v>8645</v>
      </c>
      <c r="O106" s="610"/>
    </row>
    <row r="107" spans="2:15" ht="38.25">
      <c r="B107" s="122">
        <f t="shared" ref="B107:B118" si="56">B106</f>
        <v>1</v>
      </c>
      <c r="C107" s="611" t="str">
        <f t="shared" ref="C107:C112" si="57">IF(D107&lt;&gt;"","C",IF(E107&lt;&gt;"","I",""))</f>
        <v>I</v>
      </c>
      <c r="D107" s="660"/>
      <c r="E107" s="661">
        <v>10556</v>
      </c>
      <c r="F107" s="612"/>
      <c r="G107" s="613" t="str">
        <f>IF($E107="",IFERROR(VLOOKUP($D107,SERVIÇOS!$C:$H,2,0),IFERROR(VLOOKUP($D107,$F:$M,2,0),"")),IFERROR(VLOOKUP($E107,INSUMOS!$B:$E,2,0),IFERROR(VLOOKUP($E107,COTAÇÕES!$C:$L,2,0),"")))</f>
        <v xml:space="preserve">PORTA DE MADEIRA, FOLHA MEDIA (NBR 15930) DE 900 X 2100 MM, DE 35 MM A 40 MM DE ESPESSURA, NUCLEO SEMI-SOLIDO (SARRAFEADO), CAPA LISA EM HDF, ACABAMENTO EM PRIMER PARA PINTURA                                                                                                                                                                                                                                                                                                                           </v>
      </c>
      <c r="H107" s="593" t="str">
        <f>IF($E107="",IFERROR(VLOOKUP($D107,SERVIÇOS!$C:$H,3,0),IFERROR(VLOOKUP($D107,$F:$M,3,0),"")),IFERROR(VLOOKUP($E107,INSUMOS!$B:$E,3,0),IFERROR(VLOOKUP($E107,COTAÇÕES!$C:$L,5,0),"")))</f>
        <v xml:space="preserve">UN    </v>
      </c>
      <c r="I107" s="614">
        <v>1</v>
      </c>
      <c r="J107" s="670">
        <f>IF($E107="",IFERROR(VLOOKUP($D107,SERVIÇOS!$C:$H,6,0),IFERROR(VLOOKUP($D107,$F:$M,8,0),"")),IFERROR(VLOOKUP($E107,INSUMOS!$B:$E,4,0),IFERROR(VLOOKUP($E107,COTAÇÕES!$C:$L,10,0),"")))</f>
        <v>286.18</v>
      </c>
      <c r="K107" s="615">
        <f>TRUNC(IF($E107="",IFERROR(VLOOKUP($D107,SERVIÇOS!$C:$H,4,0),IFERROR(VLOOKUP($D107,$F:$M,6,0),)),IFERROR(VLOOKUP($E107,INSUMOS!$B:$E,4,0),IFERROR(VLOOKUP($E107,COTAÇÕES!$C:$L,10,0),)))*$I107,2)</f>
        <v>286.18</v>
      </c>
      <c r="L107" s="616">
        <f>TRUNC(IF($E107="",IFERROR(VLOOKUP($D107,SERVIÇOS!$C:$H,5,0),IFERROR(VLOOKUP($D107,$F:$M,7,0),)),0)*$I107,2)</f>
        <v>0</v>
      </c>
      <c r="M107" s="617">
        <f t="shared" ref="M107:M112" si="58">K107+L107</f>
        <v>286.18</v>
      </c>
      <c r="N107" s="753" t="str">
        <f>IF($D107&lt;&gt;"","SERVIÇO SINAPI",IF($E107&lt;&gt;"","INSUMO SINAPI",""))</f>
        <v>INSUMO SINAPI</v>
      </c>
      <c r="O107" s="618"/>
    </row>
    <row r="108" spans="2:15" ht="25.5">
      <c r="B108" s="122">
        <f t="shared" si="56"/>
        <v>1</v>
      </c>
      <c r="C108" s="611" t="str">
        <f t="shared" si="57"/>
        <v>I</v>
      </c>
      <c r="D108" s="660"/>
      <c r="E108" s="661">
        <v>38179</v>
      </c>
      <c r="F108" s="612"/>
      <c r="G108" s="613" t="str">
        <f>IF($E108="",IFERROR(VLOOKUP($D108,SERVIÇOS!$C:$H,2,0),IFERROR(VLOOKUP($D108,$F:$M,2,0),"")),IFERROR(VLOOKUP($E108,INSUMOS!$B:$E,2,0),IFERROR(VLOOKUP($E108,COTAÇÕES!$C:$L,2,0),"")))</f>
        <v xml:space="preserve">ROLDANA CONCAVA DUPLA, 4 RODAS, PARA PORTA DE CORRER, EM ZAMAC COM CHAPA DE ACO,  ROLAMENTO INTERNO BLINDADO DE ACO REVESTIDO EM NYLON                                                                                                                                                                                                                                                                                                                                                                    </v>
      </c>
      <c r="H108" s="593" t="str">
        <f>IF($E108="",IFERROR(VLOOKUP($D108,SERVIÇOS!$C:$H,3,0),IFERROR(VLOOKUP($D108,$F:$M,3,0),"")),IFERROR(VLOOKUP($E108,INSUMOS!$B:$E,3,0),IFERROR(VLOOKUP($E108,COTAÇÕES!$C:$L,5,0),"")))</f>
        <v xml:space="preserve">UN    </v>
      </c>
      <c r="I108" s="614">
        <v>2</v>
      </c>
      <c r="J108" s="670">
        <f>IF($E108="",IFERROR(VLOOKUP($D108,SERVIÇOS!$C:$H,6,0),IFERROR(VLOOKUP($D108,$F:$M,8,0),"")),IFERROR(VLOOKUP($E108,INSUMOS!$B:$E,4,0),IFERROR(VLOOKUP($E108,COTAÇÕES!$C:$L,10,0),"")))</f>
        <v>46.32</v>
      </c>
      <c r="K108" s="615">
        <f>TRUNC(IF($E108="",IFERROR(VLOOKUP($D108,SERVIÇOS!$C:$H,4,0),IFERROR(VLOOKUP($D108,$F:$M,6,0),)),IFERROR(VLOOKUP($E108,INSUMOS!$B:$E,4,0),IFERROR(VLOOKUP($E108,COTAÇÕES!$C:$L,10,0),)))*$I108,2)</f>
        <v>92.64</v>
      </c>
      <c r="L108" s="616">
        <f>TRUNC(IF($E108="",IFERROR(VLOOKUP($D108,SERVIÇOS!$C:$H,5,0),IFERROR(VLOOKUP($D108,$F:$M,7,0),)),0)*$I108,2)</f>
        <v>0</v>
      </c>
      <c r="M108" s="617">
        <f t="shared" si="58"/>
        <v>92.64</v>
      </c>
      <c r="N108" s="753" t="str">
        <f>IF($D108&lt;&gt;"","SERVIÇO SINAPI",IF($E108&lt;&gt;"","INSUMO SINAPI",""))</f>
        <v>INSUMO SINAPI</v>
      </c>
      <c r="O108" s="618"/>
    </row>
    <row r="109" spans="2:15">
      <c r="B109" s="122">
        <f t="shared" si="56"/>
        <v>1</v>
      </c>
      <c r="C109" s="611" t="str">
        <f t="shared" si="57"/>
        <v>I</v>
      </c>
      <c r="D109" s="660"/>
      <c r="E109" s="661">
        <v>38124</v>
      </c>
      <c r="F109" s="612"/>
      <c r="G109" s="613" t="str">
        <f>IF($E109="",IFERROR(VLOOKUP($D109,SERVIÇOS!$C:$H,2,0),IFERROR(VLOOKUP($D109,$F:$M,2,0),"")),IFERROR(VLOOKUP($E109,INSUMOS!$B:$E,2,0),IFERROR(VLOOKUP($E109,COTAÇÕES!$C:$L,2,0),"")))</f>
        <v xml:space="preserve">ESPUMA EXPANSIVA DE POLIURETANO, APLICACAO MANUAL - 500 ML                                                                                                                                                                                                                                                                                                                                                                                                                                                </v>
      </c>
      <c r="H109" s="593" t="str">
        <f>IF($E109="",IFERROR(VLOOKUP($D109,SERVIÇOS!$C:$H,3,0),IFERROR(VLOOKUP($D109,$F:$M,3,0),"")),IFERROR(VLOOKUP($E109,INSUMOS!$B:$E,3,0),IFERROR(VLOOKUP($E109,COTAÇÕES!$C:$L,5,0),"")))</f>
        <v xml:space="preserve">UN    </v>
      </c>
      <c r="I109" s="614">
        <v>1</v>
      </c>
      <c r="J109" s="670">
        <f>IF($E109="",IFERROR(VLOOKUP($D109,SERVIÇOS!$C:$H,6,0),IFERROR(VLOOKUP($D109,$F:$M,8,0),"")),IFERROR(VLOOKUP($E109,INSUMOS!$B:$E,4,0),IFERROR(VLOOKUP($E109,COTAÇÕES!$C:$L,10,0),"")))</f>
        <v>29.2</v>
      </c>
      <c r="K109" s="615">
        <f>TRUNC(IF($E109="",IFERROR(VLOOKUP($D109,SERVIÇOS!$C:$H,4,0),IFERROR(VLOOKUP($D109,$F:$M,6,0),)),IFERROR(VLOOKUP($E109,INSUMOS!$B:$E,4,0),IFERROR(VLOOKUP($E109,COTAÇÕES!$C:$L,10,0),)))*$I109,2)</f>
        <v>29.2</v>
      </c>
      <c r="L109" s="616">
        <f>TRUNC(IF($E109="",IFERROR(VLOOKUP($D109,SERVIÇOS!$C:$H,5,0),IFERROR(VLOOKUP($D109,$F:$M,7,0),)),0)*$I109,2)</f>
        <v>0</v>
      </c>
      <c r="M109" s="617">
        <f t="shared" si="58"/>
        <v>29.2</v>
      </c>
      <c r="N109" s="753" t="s">
        <v>2239</v>
      </c>
      <c r="O109" s="618"/>
    </row>
    <row r="110" spans="2:15">
      <c r="B110" s="122">
        <f t="shared" si="56"/>
        <v>1</v>
      </c>
      <c r="C110" s="611" t="str">
        <f t="shared" si="57"/>
        <v>I</v>
      </c>
      <c r="D110" s="660"/>
      <c r="E110" s="661">
        <v>370</v>
      </c>
      <c r="F110" s="612"/>
      <c r="G110" s="613" t="str">
        <f>IF($E110="",IFERROR(VLOOKUP($D110,SERVIÇOS!$C:$H,2,0),IFERROR(VLOOKUP($D110,$F:$M,2,0),"")),IFERROR(VLOOKUP($E110,INSUMOS!$B:$E,2,0),IFERROR(VLOOKUP($E110,COTAÇÕES!$C:$L,2,0),"")))</f>
        <v xml:space="preserve">AREIA MEDIA - POSTO JAZIDA/FORNECEDOR (RETIRADO NA JAZIDA, SEM TRANSPORTE)                                                                                                                                                                                                                                                                                                                                                                                                                                </v>
      </c>
      <c r="H110" s="593" t="str">
        <f>IF($E110="",IFERROR(VLOOKUP($D110,SERVIÇOS!$C:$H,3,0),IFERROR(VLOOKUP($D110,$F:$M,3,0),"")),IFERROR(VLOOKUP($E110,INSUMOS!$B:$E,3,0),IFERROR(VLOOKUP($E110,COTAÇÕES!$C:$L,5,0),"")))</f>
        <v xml:space="preserve">M3    </v>
      </c>
      <c r="I110" s="621">
        <v>2.1000000000000001E-2</v>
      </c>
      <c r="J110" s="670">
        <f>IF($E110="",IFERROR(VLOOKUP($D110,SERVIÇOS!$C:$H,6,0),IFERROR(VLOOKUP($D110,$F:$M,8,0),"")),IFERROR(VLOOKUP($E110,INSUMOS!$B:$E,4,0),IFERROR(VLOOKUP($E110,COTAÇÕES!$C:$L,10,0),"")))</f>
        <v>81.650000000000006</v>
      </c>
      <c r="K110" s="615">
        <f>TRUNC(IF($E110="",IFERROR(VLOOKUP($D110,SERVIÇOS!$C:$H,4,0),IFERROR(VLOOKUP($D110,$F:$M,6,0),)),IFERROR(VLOOKUP($E110,INSUMOS!$B:$E,4,0),IFERROR(VLOOKUP($E110,COTAÇÕES!$C:$L,10,0),)))*$I110,2)</f>
        <v>1.71</v>
      </c>
      <c r="L110" s="616">
        <f>TRUNC(IF($E110="",IFERROR(VLOOKUP($D110,SERVIÇOS!$C:$H,5,0),IFERROR(VLOOKUP($D110,$F:$M,7,0),)),0)*$I110,2)</f>
        <v>0</v>
      </c>
      <c r="M110" s="617">
        <f t="shared" si="58"/>
        <v>1.71</v>
      </c>
      <c r="N110" s="753" t="str">
        <f>IF($D110&lt;&gt;"","SERVIÇO SINAPI",IF($E110&lt;&gt;"","INSUMO SINAPI",""))</f>
        <v>INSUMO SINAPI</v>
      </c>
      <c r="O110" s="618"/>
    </row>
    <row r="111" spans="2:15">
      <c r="B111" s="122">
        <f t="shared" si="56"/>
        <v>1</v>
      </c>
      <c r="C111" s="611" t="str">
        <f t="shared" si="57"/>
        <v>C</v>
      </c>
      <c r="D111" s="660">
        <v>88261</v>
      </c>
      <c r="E111" s="661"/>
      <c r="F111" s="612"/>
      <c r="G111" s="613" t="str">
        <f>IF($E111="",IFERROR(VLOOKUP($D111,SERVIÇOS!$C:$H,2,0),IFERROR(VLOOKUP($D111,$F:$M,2,0),"")),IFERROR(VLOOKUP($E111,INSUMOS!$B:$E,2,0),IFERROR(VLOOKUP($E111,COTAÇÕES!$C:$L,2,0),"")))</f>
        <v>CARPINTEIRO DE ESQUADRIA COM ENCARGOS COMPLEMENTARES</v>
      </c>
      <c r="H111" s="593" t="str">
        <f>IF($E111="",IFERROR(VLOOKUP($D111,SERVIÇOS!$C:$H,3,0),IFERROR(VLOOKUP($D111,$F:$M,3,0),"")),IFERROR(VLOOKUP($E111,INSUMOS!$B:$E,3,0),IFERROR(VLOOKUP($E111,COTAÇÕES!$C:$L,5,0),"")))</f>
        <v>H</v>
      </c>
      <c r="I111" s="621">
        <v>5</v>
      </c>
      <c r="J111" s="670">
        <f>IF($E111="",IFERROR(VLOOKUP($D111,SERVIÇOS!$C:$H,6,0),IFERROR(VLOOKUP($D111,$F:$M,8,0),"")),IFERROR(VLOOKUP($E111,INSUMOS!$B:$E,4,0),IFERROR(VLOOKUP($E111,COTAÇÕES!$C:$L,10,0),"")))</f>
        <v>29.33</v>
      </c>
      <c r="K111" s="615">
        <f>TRUNC(IF($E111="",IFERROR(VLOOKUP($D111,SERVIÇOS!$C:$H,4,0),IFERROR(VLOOKUP($D111,$F:$M,6,0),)),IFERROR(VLOOKUP($E111,INSUMOS!$B:$E,4,0),IFERROR(VLOOKUP($E111,COTAÇÕES!$C:$L,10,0),)))*$I111,2)</f>
        <v>32.6</v>
      </c>
      <c r="L111" s="616">
        <f>TRUNC(IF($E111="",IFERROR(VLOOKUP($D111,SERVIÇOS!$C:$H,5,0),IFERROR(VLOOKUP($D111,$F:$M,7,0),)),0)*$I111,2)</f>
        <v>114.05</v>
      </c>
      <c r="M111" s="617">
        <f t="shared" si="58"/>
        <v>146.65</v>
      </c>
      <c r="N111" s="753" t="str">
        <f>IF($D111&lt;&gt;"","SERVIÇO SINAPI",IF($E111&lt;&gt;"","INSUMO SINAPI",""))</f>
        <v>SERVIÇO SINAPI</v>
      </c>
      <c r="O111" s="618"/>
    </row>
    <row r="112" spans="2:15">
      <c r="B112" s="122">
        <f t="shared" si="56"/>
        <v>1</v>
      </c>
      <c r="C112" s="611" t="str">
        <f t="shared" si="57"/>
        <v>I</v>
      </c>
      <c r="D112" s="661"/>
      <c r="E112" s="661">
        <v>1379</v>
      </c>
      <c r="F112" s="612"/>
      <c r="G112" s="613" t="str">
        <f>IF($E112="",IFERROR(VLOOKUP($D112,SERVIÇOS!$C:$H,2,0),IFERROR(VLOOKUP($D112,$F:$M,2,0),"")),IFERROR(VLOOKUP($E112,INSUMOS!$B:$E,2,0),IFERROR(VLOOKUP($E112,COTAÇÕES!$C:$L,2,0),"")))</f>
        <v xml:space="preserve">CIMENTO PORTLAND COMPOSTO CP II-32                                                                                                                                                                                                                                                                                                                                                                                                                                                                        </v>
      </c>
      <c r="H112" s="593" t="str">
        <f>IF($E112="",IFERROR(VLOOKUP($D112,SERVIÇOS!$C:$H,3,0),IFERROR(VLOOKUP($D112,$F:$M,3,0),"")),IFERROR(VLOOKUP($E112,INSUMOS!$B:$E,3,0),IFERROR(VLOOKUP($E112,COTAÇÕES!$C:$L,5,0),"")))</f>
        <v xml:space="preserve">KG    </v>
      </c>
      <c r="I112" s="614">
        <v>3.3</v>
      </c>
      <c r="J112" s="670">
        <f>IF($E112="",IFERROR(VLOOKUP($D112,SERVIÇOS!$C:$H,6,0),IFERROR(VLOOKUP($D112,$F:$M,8,0),"")),IFERROR(VLOOKUP($E112,INSUMOS!$B:$E,4,0),IFERROR(VLOOKUP($E112,COTAÇÕES!$C:$L,10,0),"")))</f>
        <v>0.67</v>
      </c>
      <c r="K112" s="615">
        <f>TRUNC(IF($E112="",IFERROR(VLOOKUP($D112,SERVIÇOS!$C:$H,4,0),IFERROR(VLOOKUP($D112,$F:$M,6,0),)),IFERROR(VLOOKUP($E112,INSUMOS!$B:$E,4,0),IFERROR(VLOOKUP($E112,COTAÇÕES!$C:$L,10,0),)))*$I112,2)</f>
        <v>2.21</v>
      </c>
      <c r="L112" s="616">
        <f>TRUNC(IF($E112="",IFERROR(VLOOKUP($D112,SERVIÇOS!$C:$H,5,0),IFERROR(VLOOKUP($D112,$F:$M,7,0),)),0)*$I112,2)</f>
        <v>0</v>
      </c>
      <c r="M112" s="617">
        <f t="shared" si="58"/>
        <v>2.21</v>
      </c>
      <c r="N112" s="753" t="str">
        <f>IF($D112&lt;&gt;"","SERVIÇO SINAPI",IF($E112&lt;&gt;"","INSUMO SINAPI",""))</f>
        <v>INSUMO SINAPI</v>
      </c>
      <c r="O112" s="618"/>
    </row>
    <row r="113" spans="2:15">
      <c r="B113" s="122">
        <f t="shared" si="56"/>
        <v>1</v>
      </c>
      <c r="C113" s="611" t="str">
        <f t="shared" ref="C113:C118" si="59">IF(D113&lt;&gt;"","C",IF(E113&lt;&gt;"","I",""))</f>
        <v>C</v>
      </c>
      <c r="D113" s="660">
        <v>88309</v>
      </c>
      <c r="E113" s="661"/>
      <c r="F113" s="612"/>
      <c r="G113" s="613" t="str">
        <f>IF($E113="",IFERROR(VLOOKUP($D113,SERVIÇOS!$C:$H,2,0),IFERROR(VLOOKUP($D113,$F:$M,2,0),"")),IFERROR(VLOOKUP($E113,INSUMOS!$B:$E,2,0),IFERROR(VLOOKUP($E113,COTAÇÕES!$C:$L,2,0),"")))</f>
        <v>PEDREIRO COM ENCARGOS COMPLEMENTARES</v>
      </c>
      <c r="H113" s="593" t="str">
        <f>IF($E113="",IFERROR(VLOOKUP($D113,SERVIÇOS!$C:$H,3,0),IFERROR(VLOOKUP($D113,$F:$M,3,0),"")),IFERROR(VLOOKUP($E113,INSUMOS!$B:$E,3,0),IFERROR(VLOOKUP($E113,COTAÇÕES!$C:$L,5,0),"")))</f>
        <v>H</v>
      </c>
      <c r="I113" s="614">
        <v>2</v>
      </c>
      <c r="J113" s="670">
        <f>IF($E113="",IFERROR(VLOOKUP($D113,SERVIÇOS!$C:$H,6,0),IFERROR(VLOOKUP($D113,$F:$M,8,0),"")),IFERROR(VLOOKUP($E113,INSUMOS!$B:$E,4,0),IFERROR(VLOOKUP($E113,COTAÇÕES!$C:$L,10,0),"")))</f>
        <v>30.99</v>
      </c>
      <c r="K113" s="615">
        <f>TRUNC(IF($E113="",IFERROR(VLOOKUP($D113,SERVIÇOS!$C:$H,4,0),IFERROR(VLOOKUP($D113,$F:$M,6,0),)),IFERROR(VLOOKUP($E113,INSUMOS!$B:$E,4,0),IFERROR(VLOOKUP($E113,COTAÇÕES!$C:$L,10,0),)))*$I113,2)</f>
        <v>13.28</v>
      </c>
      <c r="L113" s="616">
        <f>TRUNC(IF($E113="",IFERROR(VLOOKUP($D113,SERVIÇOS!$C:$H,5,0),IFERROR(VLOOKUP($D113,$F:$M,7,0),)),0)*$I113,2)</f>
        <v>48.7</v>
      </c>
      <c r="M113" s="617">
        <f t="shared" ref="M113:M118" si="60">K113+L113</f>
        <v>61.980000000000004</v>
      </c>
      <c r="N113" s="753" t="str">
        <f>IF($D113&lt;&gt;"","SERVIÇO SINAPI",IF($E113&lt;&gt;"","INSUMO SINAPI",""))</f>
        <v>SERVIÇO SINAPI</v>
      </c>
      <c r="O113" s="618"/>
    </row>
    <row r="114" spans="2:15">
      <c r="B114" s="122">
        <f t="shared" si="56"/>
        <v>1</v>
      </c>
      <c r="C114" s="611" t="str">
        <f t="shared" si="59"/>
        <v>I</v>
      </c>
      <c r="D114" s="660"/>
      <c r="E114" s="661">
        <v>5075</v>
      </c>
      <c r="F114" s="612"/>
      <c r="G114" s="613" t="str">
        <f>IF($E114="",IFERROR(VLOOKUP($D114,SERVIÇOS!$C:$H,2,0),IFERROR(VLOOKUP($D114,$F:$M,2,0),"")),IFERROR(VLOOKUP($E114,INSUMOS!$B:$E,2,0),IFERROR(VLOOKUP($E114,COTAÇÕES!$C:$L,2,0),"")))</f>
        <v xml:space="preserve">PREGO DE ACO POLIDO COM CABECA 18 X 30 (2 3/4 X 10)                                                                                                                                                                                                                                                                                                                                                                                                                                                       </v>
      </c>
      <c r="H114" s="593" t="str">
        <f>IF($E114="",IFERROR(VLOOKUP($D114,SERVIÇOS!$C:$H,3,0),IFERROR(VLOOKUP($D114,$F:$M,3,0),"")),IFERROR(VLOOKUP($E114,INSUMOS!$B:$E,3,0),IFERROR(VLOOKUP($E114,COTAÇÕES!$C:$L,5,0),"")))</f>
        <v xml:space="preserve">KG    </v>
      </c>
      <c r="I114" s="614">
        <v>0.05</v>
      </c>
      <c r="J114" s="670">
        <f>IF($E114="",IFERROR(VLOOKUP($D114,SERVIÇOS!$C:$H,6,0),IFERROR(VLOOKUP($D114,$F:$M,8,0),"")),IFERROR(VLOOKUP($E114,INSUMOS!$B:$E,4,0),IFERROR(VLOOKUP($E114,COTAÇÕES!$C:$L,10,0),"")))</f>
        <v>21.03</v>
      </c>
      <c r="K114" s="615">
        <f>TRUNC(IF($E114="",IFERROR(VLOOKUP($D114,SERVIÇOS!$C:$H,4,0),IFERROR(VLOOKUP($D114,$F:$M,6,0),)),IFERROR(VLOOKUP($E114,INSUMOS!$B:$E,4,0),IFERROR(VLOOKUP($E114,COTAÇÕES!$C:$L,10,0),)))*$I114,2)</f>
        <v>1.05</v>
      </c>
      <c r="L114" s="616">
        <f>TRUNC(IF($E114="",IFERROR(VLOOKUP($D114,SERVIÇOS!$C:$H,5,0),IFERROR(VLOOKUP($D114,$F:$M,7,0),)),0)*$I114,2)</f>
        <v>0</v>
      </c>
      <c r="M114" s="617">
        <f t="shared" si="60"/>
        <v>1.05</v>
      </c>
      <c r="N114" s="753" t="str">
        <f>IF($D114&lt;&gt;"","SERVIÇO SINAPI",IF($E114&lt;&gt;"","INSUMO SINAPI",""))</f>
        <v>INSUMO SINAPI</v>
      </c>
      <c r="O114" s="618"/>
    </row>
    <row r="115" spans="2:15">
      <c r="B115" s="122">
        <f t="shared" si="56"/>
        <v>1</v>
      </c>
      <c r="C115" s="611" t="str">
        <f t="shared" si="59"/>
        <v>C</v>
      </c>
      <c r="D115" s="660">
        <v>88316</v>
      </c>
      <c r="E115" s="661"/>
      <c r="F115" s="612"/>
      <c r="G115" s="613" t="str">
        <f>IF($E115="",IFERROR(VLOOKUP($D115,SERVIÇOS!$C:$H,2,0),IFERROR(VLOOKUP($D115,$F:$M,2,0),"")),IFERROR(VLOOKUP($E115,INSUMOS!$B:$E,2,0),IFERROR(VLOOKUP($E115,COTAÇÕES!$C:$L,2,0),"")))</f>
        <v>SERVENTE COM ENCARGOS COMPLEMENTARES</v>
      </c>
      <c r="H115" s="593" t="str">
        <f>IF($E115="",IFERROR(VLOOKUP($D115,SERVIÇOS!$C:$H,3,0),IFERROR(VLOOKUP($D115,$F:$M,3,0),"")),IFERROR(VLOOKUP($E115,INSUMOS!$B:$E,3,0),IFERROR(VLOOKUP($E115,COTAÇÕES!$C:$L,5,0),"")))</f>
        <v>H</v>
      </c>
      <c r="I115" s="614">
        <v>7</v>
      </c>
      <c r="J115" s="670">
        <f>IF($E115="",IFERROR(VLOOKUP($D115,SERVIÇOS!$C:$H,6,0),IFERROR(VLOOKUP($D115,$F:$M,8,0),"")),IFERROR(VLOOKUP($E115,INSUMOS!$B:$E,4,0),IFERROR(VLOOKUP($E115,COTAÇÕES!$C:$L,10,0),"")))</f>
        <v>23.71</v>
      </c>
      <c r="K115" s="615">
        <f>TRUNC(IF($E115="",IFERROR(VLOOKUP($D115,SERVIÇOS!$C:$H,4,0),IFERROR(VLOOKUP($D115,$F:$M,6,0),)),IFERROR(VLOOKUP($E115,INSUMOS!$B:$E,4,0),IFERROR(VLOOKUP($E115,COTAÇÕES!$C:$L,10,0),)))*$I115,2)</f>
        <v>45.64</v>
      </c>
      <c r="L115" s="616">
        <f>TRUNC(IF($E115="",IFERROR(VLOOKUP($D115,SERVIÇOS!$C:$H,5,0),IFERROR(VLOOKUP($D115,$F:$M,7,0),)),0)*$I115,2)</f>
        <v>120.33</v>
      </c>
      <c r="M115" s="617">
        <f t="shared" si="60"/>
        <v>165.97</v>
      </c>
      <c r="N115" s="753" t="s">
        <v>2239</v>
      </c>
      <c r="O115" s="618"/>
    </row>
    <row r="116" spans="2:15" ht="25.5">
      <c r="B116" s="122">
        <f t="shared" si="56"/>
        <v>1</v>
      </c>
      <c r="C116" s="611" t="str">
        <f t="shared" si="59"/>
        <v>I</v>
      </c>
      <c r="D116" s="660"/>
      <c r="E116" s="661">
        <v>11581</v>
      </c>
      <c r="F116" s="612"/>
      <c r="G116" s="613" t="str">
        <f>IF($E116="",IFERROR(VLOOKUP($D116,SERVIÇOS!$C:$H,2,0),IFERROR(VLOOKUP($D116,$F:$M,2,0),"")),IFERROR(VLOOKUP($E116,INSUMOS!$B:$E,2,0),IFERROR(VLOOKUP($E116,COTAÇÕES!$C:$L,2,0),"")))</f>
        <v xml:space="preserve">TRILHO PANTOGRAFICO CONCAVO, TIPO U, EM ALUMINIO, COM DIMENSOES DE APROX *35 X 35* MM, PARA ROLDANA DE PORTA DE CORRER                                                                                                                                                                                                                                                                                                                                                                                    </v>
      </c>
      <c r="H116" s="593" t="str">
        <f>IF($E116="",IFERROR(VLOOKUP($D116,SERVIÇOS!$C:$H,3,0),IFERROR(VLOOKUP($D116,$F:$M,3,0),"")),IFERROR(VLOOKUP($E116,INSUMOS!$B:$E,3,0),IFERROR(VLOOKUP($E116,COTAÇÕES!$C:$L,5,0),"")))</f>
        <v xml:space="preserve">M     </v>
      </c>
      <c r="I116" s="621">
        <v>1.8</v>
      </c>
      <c r="J116" s="670">
        <f>IF($E116="",IFERROR(VLOOKUP($D116,SERVIÇOS!$C:$H,6,0),IFERROR(VLOOKUP($D116,$F:$M,8,0),"")),IFERROR(VLOOKUP($E116,INSUMOS!$B:$E,4,0),IFERROR(VLOOKUP($E116,COTAÇÕES!$C:$L,10,0),"")))</f>
        <v>20.54</v>
      </c>
      <c r="K116" s="615">
        <f>TRUNC(IF($E116="",IFERROR(VLOOKUP($D116,SERVIÇOS!$C:$H,4,0),IFERROR(VLOOKUP($D116,$F:$M,6,0),)),IFERROR(VLOOKUP($E116,INSUMOS!$B:$E,4,0),IFERROR(VLOOKUP($E116,COTAÇÕES!$C:$L,10,0),)))*$I116,2)</f>
        <v>36.97</v>
      </c>
      <c r="L116" s="616">
        <f>TRUNC(IF($E116="",IFERROR(VLOOKUP($D116,SERVIÇOS!$C:$H,5,0),IFERROR(VLOOKUP($D116,$F:$M,7,0),)),0)*$I116,2)</f>
        <v>0</v>
      </c>
      <c r="M116" s="617">
        <f t="shared" si="60"/>
        <v>36.97</v>
      </c>
      <c r="N116" s="753" t="str">
        <f>IF($D116&lt;&gt;"","SERVIÇO SINAPI",IF($E116&lt;&gt;"","INSUMO SINAPI",""))</f>
        <v>INSUMO SINAPI</v>
      </c>
      <c r="O116" s="618"/>
    </row>
    <row r="117" spans="2:15" ht="25.5">
      <c r="B117" s="122">
        <f t="shared" si="56"/>
        <v>1</v>
      </c>
      <c r="C117" s="611" t="str">
        <f t="shared" si="59"/>
        <v>C</v>
      </c>
      <c r="D117" s="660">
        <v>91306</v>
      </c>
      <c r="E117" s="661"/>
      <c r="F117" s="612"/>
      <c r="G117" s="613" t="str">
        <f>IF($E117="",IFERROR(VLOOKUP($D117,SERVIÇOS!$C:$H,2,0),IFERROR(VLOOKUP($D117,$F:$M,2,0),"")),IFERROR(VLOOKUP($E117,INSUMOS!$B:$E,2,0),IFERROR(VLOOKUP($E117,COTAÇÕES!$C:$L,2,0),"")))</f>
        <v>FECHADURA DE EMBUTIR PARA PORTAS INTERNAS, COMPLETA, ACABAMENTO PADRÃO MÉDIO, COM EXECUÇÃO DE FURO - FORNECIMENTO E INSTALAÇÃO. AF_12/2019</v>
      </c>
      <c r="H117" s="593" t="str">
        <f>IF($E117="",IFERROR(VLOOKUP($D117,SERVIÇOS!$C:$H,3,0),IFERROR(VLOOKUP($D117,$F:$M,3,0),"")),IFERROR(VLOOKUP($E117,INSUMOS!$B:$E,3,0),IFERROR(VLOOKUP($E117,COTAÇÕES!$C:$L,5,0),"")))</f>
        <v>UN</v>
      </c>
      <c r="I117" s="621">
        <v>1</v>
      </c>
      <c r="J117" s="670">
        <f>IF($E117="",IFERROR(VLOOKUP($D117,SERVIÇOS!$C:$H,6,0),IFERROR(VLOOKUP($D117,$F:$M,8,0),"")),IFERROR(VLOOKUP($E117,INSUMOS!$B:$E,4,0),IFERROR(VLOOKUP($E117,COTAÇÕES!$C:$L,10,0),"")))</f>
        <v>162.1</v>
      </c>
      <c r="K117" s="615">
        <f>TRUNC(IF($E117="",IFERROR(VLOOKUP($D117,SERVIÇOS!$C:$H,4,0),IFERROR(VLOOKUP($D117,$F:$M,6,0),)),IFERROR(VLOOKUP($E117,INSUMOS!$B:$E,4,0),IFERROR(VLOOKUP($E117,COTAÇÕES!$C:$L,10,0),)))*$I117,2)</f>
        <v>138.02000000000001</v>
      </c>
      <c r="L117" s="616">
        <f>TRUNC(IF($E117="",IFERROR(VLOOKUP($D117,SERVIÇOS!$C:$H,5,0),IFERROR(VLOOKUP($D117,$F:$M,7,0),)),0)*$I117,2)</f>
        <v>24.08</v>
      </c>
      <c r="M117" s="617">
        <f t="shared" si="60"/>
        <v>162.10000000000002</v>
      </c>
      <c r="N117" s="753" t="str">
        <f>IF($D117&lt;&gt;"","SERVIÇO SINAPI",IF($E117&lt;&gt;"","INSUMO SINAPI",""))</f>
        <v>SERVIÇO SINAPI</v>
      </c>
      <c r="O117" s="618"/>
    </row>
    <row r="118" spans="2:15" ht="38.25">
      <c r="B118" s="122">
        <f t="shared" si="56"/>
        <v>1</v>
      </c>
      <c r="C118" s="611" t="str">
        <f t="shared" si="59"/>
        <v>I</v>
      </c>
      <c r="D118" s="661"/>
      <c r="E118" s="661">
        <v>184</v>
      </c>
      <c r="F118" s="612"/>
      <c r="G118" s="613" t="str">
        <f>IF($E118="",IFERROR(VLOOKUP($D118,SERVIÇOS!$C:$H,2,0),IFERROR(VLOOKUP($D118,$F:$M,2,0),"")),IFERROR(VLOOKUP($E118,INSUMOS!$B:$E,2,0),IFERROR(VLOOKUP($E118,COTAÇÕES!$C:$L,2,0),"")))</f>
        <v xml:space="preserve">BATENTE / PORTAL / ADUELA / MARCO EM MADEIRA MACICA COM REBAIXO, E = *3* CM, L = *14* CM, PARA PORTAS DE  GIRO DE *60 CM A 120* CM  X *210* CM, PINUS / EUCALIPTO / VIROLA OU EQUIVALENTE DA REGIAO (NAO INCLUI ALIZARES)                                                                                                                                                                                                                                                                                 </v>
      </c>
      <c r="H118" s="593" t="str">
        <f>IF($E118="",IFERROR(VLOOKUP($D118,SERVIÇOS!$C:$H,3,0),IFERROR(VLOOKUP($D118,$F:$M,3,0),"")),IFERROR(VLOOKUP($E118,INSUMOS!$B:$E,3,0),IFERROR(VLOOKUP($E118,COTAÇÕES!$C:$L,5,0),"")))</f>
        <v xml:space="preserve">JG    </v>
      </c>
      <c r="I118" s="614">
        <v>1</v>
      </c>
      <c r="J118" s="670">
        <f>IF($E118="",IFERROR(VLOOKUP($D118,SERVIÇOS!$C:$H,6,0),IFERROR(VLOOKUP($D118,$F:$M,8,0),"")),IFERROR(VLOOKUP($E118,INSUMOS!$B:$E,4,0),IFERROR(VLOOKUP($E118,COTAÇÕES!$C:$L,10,0),"")))</f>
        <v>135.29</v>
      </c>
      <c r="K118" s="615">
        <f>TRUNC(IF($E118="",IFERROR(VLOOKUP($D118,SERVIÇOS!$C:$H,4,0),IFERROR(VLOOKUP($D118,$F:$M,6,0),)),IFERROR(VLOOKUP($E118,INSUMOS!$B:$E,4,0),IFERROR(VLOOKUP($E118,COTAÇÕES!$C:$L,10,0),)))*$I118,2)</f>
        <v>135.29</v>
      </c>
      <c r="L118" s="616">
        <f>TRUNC(IF($E118="",IFERROR(VLOOKUP($D118,SERVIÇOS!$C:$H,5,0),IFERROR(VLOOKUP($D118,$F:$M,7,0),)),0)*$I118,2)</f>
        <v>0</v>
      </c>
      <c r="M118" s="617">
        <f t="shared" si="60"/>
        <v>135.29</v>
      </c>
      <c r="N118" s="753" t="str">
        <f>IF($D118&lt;&gt;"","SERVIÇO SINAPI",IF($E118&lt;&gt;"","INSUMO SINAPI",""))</f>
        <v>INSUMO SINAPI</v>
      </c>
      <c r="O118" s="618"/>
    </row>
    <row r="119" spans="2:15" ht="38.25">
      <c r="B119" s="769">
        <f>SUMIF(ORC!$G$11:$G$2470,CPU!$F119,ORC!$J$11:$J$2470)</f>
        <v>45.28</v>
      </c>
      <c r="C119" s="515" t="s">
        <v>2239</v>
      </c>
      <c r="D119" s="515"/>
      <c r="E119" s="515"/>
      <c r="F119" s="515" t="s">
        <v>8646</v>
      </c>
      <c r="G119" s="516" t="s">
        <v>8809</v>
      </c>
      <c r="H119" s="515" t="s">
        <v>649</v>
      </c>
      <c r="I119" s="595"/>
      <c r="J119" s="596"/>
      <c r="K119" s="597">
        <f>SUM(K120:K126)</f>
        <v>1857.1799999999998</v>
      </c>
      <c r="L119" s="597">
        <f>SUM(L120:L126)</f>
        <v>149.03</v>
      </c>
      <c r="M119" s="596">
        <f>SUM(K119:L119)</f>
        <v>2006.2099999999998</v>
      </c>
      <c r="N119" s="598" t="s">
        <v>8647</v>
      </c>
      <c r="O119" s="599"/>
    </row>
    <row r="120" spans="2:15">
      <c r="B120" s="122">
        <f t="shared" ref="B120:B126" si="61">B119</f>
        <v>45.28</v>
      </c>
      <c r="C120" s="611" t="str">
        <f t="shared" ref="C120:C123" si="62">IF(D120&lt;&gt;"","C",IF(E120&lt;&gt;"","I",""))</f>
        <v>C</v>
      </c>
      <c r="D120" s="660">
        <v>88315</v>
      </c>
      <c r="E120" s="661"/>
      <c r="F120" s="612"/>
      <c r="G120" s="613" t="str">
        <f>IF($E120="",IFERROR(VLOOKUP($D120,SERVIÇOS!$C:$H,2,0),IFERROR(VLOOKUP($D120,$F:$M,2,0),"")),IFERROR(VLOOKUP($E120,INSUMOS!$B:$E,2,0),IFERROR(VLOOKUP($E120,COTAÇÕES!$C:$L,2,0),"")))</f>
        <v>SERRALHEIRO COM ENCARGOS COMPLEMENTARES</v>
      </c>
      <c r="H120" s="593" t="str">
        <f>IF($E120="",IFERROR(VLOOKUP($D120,SERVIÇOS!$C:$H,3,0),IFERROR(VLOOKUP($D120,$F:$M,3,0),"")),IFERROR(VLOOKUP($E120,INSUMOS!$B:$E,3,0),IFERROR(VLOOKUP($E120,COTAÇÕES!$C:$L,5,0),"")))</f>
        <v>H</v>
      </c>
      <c r="I120" s="614">
        <v>1.6359999999999999</v>
      </c>
      <c r="J120" s="670">
        <f>IF($E120="",IFERROR(VLOOKUP($D120,SERVIÇOS!$C:$H,6,0),IFERROR(VLOOKUP($D120,$F:$M,8,0),"")),IFERROR(VLOOKUP($E120,INSUMOS!$B:$E,4,0),IFERROR(VLOOKUP($E120,COTAÇÕES!$C:$L,10,0),"")))</f>
        <v>30.8</v>
      </c>
      <c r="K120" s="615">
        <f>TRUNC(IF($E120="",IFERROR(VLOOKUP($D120,SERVIÇOS!$C:$H,4,0),IFERROR(VLOOKUP($D120,$F:$M,6,0),)),IFERROR(VLOOKUP($E120,INSUMOS!$B:$E,4,0),IFERROR(VLOOKUP($E120,COTAÇÕES!$C:$L,10,0),)))*$I120,2)</f>
        <v>10.86</v>
      </c>
      <c r="L120" s="616">
        <f>TRUNC(IF($E120="",IFERROR(VLOOKUP($D120,SERVIÇOS!$C:$H,5,0),IFERROR(VLOOKUP($D120,$F:$M,7,0),)),0)*$I120,2)</f>
        <v>39.520000000000003</v>
      </c>
      <c r="M120" s="617">
        <f t="shared" ref="M120:M126" si="63">K120+L120</f>
        <v>50.38</v>
      </c>
      <c r="N120" s="753" t="str">
        <f t="shared" ref="N120:N155" si="64">IF($D120&lt;&gt;"","SERVIÇO SINAPI",IF($E120&lt;&gt;"","INSUMO SINAPI",""))</f>
        <v>SERVIÇO SINAPI</v>
      </c>
      <c r="O120" s="640"/>
    </row>
    <row r="121" spans="2:15">
      <c r="B121" s="122">
        <f t="shared" si="61"/>
        <v>45.28</v>
      </c>
      <c r="C121" s="611" t="str">
        <f t="shared" si="62"/>
        <v>C</v>
      </c>
      <c r="D121" s="660">
        <v>88325</v>
      </c>
      <c r="E121" s="661"/>
      <c r="F121" s="612"/>
      <c r="G121" s="613" t="str">
        <f>IF($E121="",IFERROR(VLOOKUP($D121,SERVIÇOS!$C:$H,2,0),IFERROR(VLOOKUP($D121,$F:$M,2,0),"")),IFERROR(VLOOKUP($E121,INSUMOS!$B:$E,2,0),IFERROR(VLOOKUP($E121,COTAÇÕES!$C:$L,2,0),"")))</f>
        <v>VIDRACEIRO COM ENCARGOS COMPLEMENTARES</v>
      </c>
      <c r="H121" s="593" t="str">
        <f>IF($E121="",IFERROR(VLOOKUP($D121,SERVIÇOS!$C:$H,3,0),IFERROR(VLOOKUP($D121,$F:$M,3,0),"")),IFERROR(VLOOKUP($E121,INSUMOS!$B:$E,3,0),IFERROR(VLOOKUP($E121,COTAÇÕES!$C:$L,5,0),"")))</f>
        <v>H</v>
      </c>
      <c r="I121" s="621">
        <v>1.841</v>
      </c>
      <c r="J121" s="670">
        <f>IF($E121="",IFERROR(VLOOKUP($D121,SERVIÇOS!$C:$H,6,0),IFERROR(VLOOKUP($D121,$F:$M,8,0),"")),IFERROR(VLOOKUP($E121,INSUMOS!$B:$E,4,0),IFERROR(VLOOKUP($E121,COTAÇÕES!$C:$L,10,0),"")))</f>
        <v>31.21</v>
      </c>
      <c r="K121" s="615">
        <f>TRUNC(IF($E121="",IFERROR(VLOOKUP($D121,SERVIÇOS!$C:$H,4,0),IFERROR(VLOOKUP($D121,$F:$M,6,0),)),IFERROR(VLOOKUP($E121,INSUMOS!$B:$E,4,0),IFERROR(VLOOKUP($E121,COTAÇÕES!$C:$L,10,0),)))*$I121,2)</f>
        <v>12.22</v>
      </c>
      <c r="L121" s="616">
        <f>TRUNC(IF($E121="",IFERROR(VLOOKUP($D121,SERVIÇOS!$C:$H,5,0),IFERROR(VLOOKUP($D121,$F:$M,7,0),)),0)*$I121,2)</f>
        <v>45.23</v>
      </c>
      <c r="M121" s="617">
        <f t="shared" si="63"/>
        <v>57.449999999999996</v>
      </c>
      <c r="N121" s="753" t="str">
        <f t="shared" si="64"/>
        <v>SERVIÇO SINAPI</v>
      </c>
      <c r="O121" s="618"/>
    </row>
    <row r="122" spans="2:15">
      <c r="B122" s="122">
        <f t="shared" si="61"/>
        <v>45.28</v>
      </c>
      <c r="C122" s="611" t="str">
        <f t="shared" ref="C122" si="65">IF(D122&lt;&gt;"","C",IF(E122&lt;&gt;"","I",""))</f>
        <v>C</v>
      </c>
      <c r="D122" s="660">
        <v>88243</v>
      </c>
      <c r="E122" s="661"/>
      <c r="F122" s="612"/>
      <c r="G122" s="613" t="str">
        <f>IF($E122="",IFERROR(VLOOKUP($D122,SERVIÇOS!$C:$H,2,0),IFERROR(VLOOKUP($D122,$F:$M,2,0),"")),IFERROR(VLOOKUP($E122,INSUMOS!$B:$E,2,0),IFERROR(VLOOKUP($E122,COTAÇÕES!$C:$L,2,0),"")))</f>
        <v>AJUDANTE ESPECIALIZADO COM ENCARGOS COMPLEMENTARES</v>
      </c>
      <c r="H122" s="593" t="str">
        <f>IF($E122="",IFERROR(VLOOKUP($D122,SERVIÇOS!$C:$H,3,0),IFERROR(VLOOKUP($D122,$F:$M,3,0),"")),IFERROR(VLOOKUP($E122,INSUMOS!$B:$E,3,0),IFERROR(VLOOKUP($E122,COTAÇÕES!$C:$L,5,0),"")))</f>
        <v>H</v>
      </c>
      <c r="I122" s="621">
        <v>1.841</v>
      </c>
      <c r="J122" s="670">
        <f>IF($E122="",IFERROR(VLOOKUP($D122,SERVIÇOS!$C:$H,6,0),IFERROR(VLOOKUP($D122,$F:$M,8,0),"")),IFERROR(VLOOKUP($E122,INSUMOS!$B:$E,4,0),IFERROR(VLOOKUP($E122,COTAÇÕES!$C:$L,10,0),"")))</f>
        <v>25.01</v>
      </c>
      <c r="K122" s="615">
        <f>TRUNC(IF($E122="",IFERROR(VLOOKUP($D122,SERVIÇOS!$C:$H,4,0),IFERROR(VLOOKUP($D122,$F:$M,6,0),)),IFERROR(VLOOKUP($E122,INSUMOS!$B:$E,4,0),IFERROR(VLOOKUP($E122,COTAÇÕES!$C:$L,10,0),)))*$I122,2)</f>
        <v>12</v>
      </c>
      <c r="L122" s="616">
        <f>TRUNC(IF($E122="",IFERROR(VLOOKUP($D122,SERVIÇOS!$C:$H,5,0),IFERROR(VLOOKUP($D122,$F:$M,7,0),)),0)*$I122,2)</f>
        <v>34.04</v>
      </c>
      <c r="M122" s="617">
        <f t="shared" ref="M122" si="66">K122+L122</f>
        <v>46.04</v>
      </c>
      <c r="N122" s="753" t="str">
        <f t="shared" si="64"/>
        <v>SERVIÇO SINAPI</v>
      </c>
      <c r="O122" s="618"/>
    </row>
    <row r="123" spans="2:15">
      <c r="B123" s="122">
        <f t="shared" si="61"/>
        <v>45.28</v>
      </c>
      <c r="C123" s="611" t="str">
        <f t="shared" si="62"/>
        <v>C</v>
      </c>
      <c r="D123" s="660">
        <v>88251</v>
      </c>
      <c r="E123" s="661"/>
      <c r="F123" s="612"/>
      <c r="G123" s="613" t="str">
        <f>IF($E123="",IFERROR(VLOOKUP($D123,SERVIÇOS!$C:$H,2,0),IFERROR(VLOOKUP($D123,$F:$M,2,0),"")),IFERROR(VLOOKUP($E123,INSUMOS!$B:$E,2,0),IFERROR(VLOOKUP($E123,COTAÇÕES!$C:$L,2,0),"")))</f>
        <v>AUXILIAR DE SERRALHEIRO COM ENCARGOS COMPLEMENTARES</v>
      </c>
      <c r="H123" s="593" t="str">
        <f>IF($E123="",IFERROR(VLOOKUP($D123,SERVIÇOS!$C:$H,3,0),IFERROR(VLOOKUP($D123,$F:$M,3,0),"")),IFERROR(VLOOKUP($E123,INSUMOS!$B:$E,3,0),IFERROR(VLOOKUP($E123,COTAÇÕES!$C:$L,5,0),"")))</f>
        <v>H</v>
      </c>
      <c r="I123" s="621">
        <v>1.6359999999999999</v>
      </c>
      <c r="J123" s="670">
        <f>IF($E123="",IFERROR(VLOOKUP($D123,SERVIÇOS!$C:$H,6,0),IFERROR(VLOOKUP($D123,$F:$M,8,0),"")),IFERROR(VLOOKUP($E123,INSUMOS!$B:$E,4,0),IFERROR(VLOOKUP($E123,COTAÇÕES!$C:$L,10,0),"")))</f>
        <v>25.13</v>
      </c>
      <c r="K123" s="615">
        <f>TRUNC(IF($E123="",IFERROR(VLOOKUP($D123,SERVIÇOS!$C:$H,4,0),IFERROR(VLOOKUP($D123,$F:$M,6,0),)),IFERROR(VLOOKUP($E123,INSUMOS!$B:$E,4,0),IFERROR(VLOOKUP($E123,COTAÇÕES!$C:$L,10,0),)))*$I123,2)</f>
        <v>10.86</v>
      </c>
      <c r="L123" s="616">
        <f>TRUNC(IF($E123="",IFERROR(VLOOKUP($D123,SERVIÇOS!$C:$H,5,0),IFERROR(VLOOKUP($D123,$F:$M,7,0),)),0)*$I123,2)</f>
        <v>30.24</v>
      </c>
      <c r="M123" s="617">
        <f t="shared" si="63"/>
        <v>41.099999999999994</v>
      </c>
      <c r="N123" s="753" t="str">
        <f t="shared" si="64"/>
        <v>SERVIÇO SINAPI</v>
      </c>
      <c r="O123" s="618"/>
    </row>
    <row r="124" spans="2:15">
      <c r="B124" s="122">
        <f t="shared" si="61"/>
        <v>45.28</v>
      </c>
      <c r="C124" s="611" t="str">
        <f>IF(D124&lt;&gt;"","C",IF(E124&lt;&gt;"","I",""))</f>
        <v>I</v>
      </c>
      <c r="D124" s="660"/>
      <c r="E124" s="661">
        <v>142</v>
      </c>
      <c r="F124" s="612"/>
      <c r="G124" s="613" t="str">
        <f>IF($E124="",IFERROR(VLOOKUP($D124,SERVIÇOS!$C:$H,2,0),IFERROR(VLOOKUP($D124,$F:$M,2,0),"")),IFERROR(VLOOKUP($E124,INSUMOS!$B:$E,2,0),IFERROR(VLOOKUP($E124,COTAÇÕES!$C:$L,2,0),"")))</f>
        <v xml:space="preserve">SELANTE ELASTICO MONOCOMPONENTE A BASE DE POLIURETANO (PU) PARA JUNTAS DIVERSAS                                                                                                                                                                                                                                                                                                                                                                                                                           </v>
      </c>
      <c r="H124" s="593" t="str">
        <f>IF($E124="",IFERROR(VLOOKUP($D124,SERVIÇOS!$C:$H,3,0),IFERROR(VLOOKUP($D124,$F:$M,3,0),"")),IFERROR(VLOOKUP($E124,INSUMOS!$B:$E,3,0),IFERROR(VLOOKUP($E124,COTAÇÕES!$C:$L,5,0),"")))</f>
        <v xml:space="preserve">310ML </v>
      </c>
      <c r="I124" s="614">
        <v>0.88290000000000002</v>
      </c>
      <c r="J124" s="670">
        <f>IF($E124="",IFERROR(VLOOKUP($D124,SERVIÇOS!$C:$H,6,0),IFERROR(VLOOKUP($D124,$F:$M,8,0),"")),IFERROR(VLOOKUP($E124,INSUMOS!$B:$E,4,0),IFERROR(VLOOKUP($E124,COTAÇÕES!$C:$L,10,0),"")))</f>
        <v>32.75</v>
      </c>
      <c r="K124" s="615">
        <f>TRUNC(IF($E124="",IFERROR(VLOOKUP($D124,SERVIÇOS!$C:$H,4,0),IFERROR(VLOOKUP($D124,$F:$M,6,0),)),IFERROR(VLOOKUP($E124,INSUMOS!$B:$E,4,0),IFERROR(VLOOKUP($E124,COTAÇÕES!$C:$L,10,0),)))*$I124,2)</f>
        <v>28.91</v>
      </c>
      <c r="L124" s="616">
        <f>TRUNC(IF($E124="",IFERROR(VLOOKUP($D124,SERVIÇOS!$C:$H,5,0),IFERROR(VLOOKUP($D124,$F:$M,7,0),)),0)*$I124,2)</f>
        <v>0</v>
      </c>
      <c r="M124" s="617">
        <f t="shared" si="63"/>
        <v>28.91</v>
      </c>
      <c r="N124" s="753" t="str">
        <f t="shared" si="64"/>
        <v>INSUMO SINAPI</v>
      </c>
      <c r="O124" s="618"/>
    </row>
    <row r="125" spans="2:15" ht="25.5">
      <c r="B125" s="122">
        <f t="shared" si="61"/>
        <v>45.28</v>
      </c>
      <c r="C125" s="611" t="str">
        <f t="shared" ref="C125:C126" si="67">IF(D125&lt;&gt;"","C",IF(E125&lt;&gt;"","I",""))</f>
        <v>I</v>
      </c>
      <c r="D125" s="660"/>
      <c r="E125" s="661">
        <v>7568</v>
      </c>
      <c r="F125" s="612"/>
      <c r="G125" s="613" t="str">
        <f>IF($E125="",IFERROR(VLOOKUP($D125,SERVIÇOS!$C:$H,2,0),IFERROR(VLOOKUP($D125,$F:$M,2,0),"")),IFERROR(VLOOKUP($E125,INSUMOS!$B:$E,2,0),IFERROR(VLOOKUP($E125,COTAÇÕES!$C:$L,2,0),"")))</f>
        <v xml:space="preserve">BUCHA DE NYLON SEM ABA S10, COM PARAFUSO DE 6,10 X 65 MM EM ACO ZINCADO COM ROSCA SOBERBA, CABECA CHATA E FENDA PHILLIPS                                                                                                                                                                                                                                                                                                                                                                                  </v>
      </c>
      <c r="H125" s="593" t="str">
        <f>IF($E125="",IFERROR(VLOOKUP($D125,SERVIÇOS!$C:$H,3,0),IFERROR(VLOOKUP($D125,$F:$M,3,0),"")),IFERROR(VLOOKUP($E125,INSUMOS!$B:$E,3,0),IFERROR(VLOOKUP($E125,COTAÇÕES!$C:$L,5,0),"")))</f>
        <v xml:space="preserve">UN    </v>
      </c>
      <c r="I125" s="614">
        <v>4.8166000000000002</v>
      </c>
      <c r="J125" s="670">
        <f>IF($E125="",IFERROR(VLOOKUP($D125,SERVIÇOS!$C:$H,6,0),IFERROR(VLOOKUP($D125,$F:$M,8,0),"")),IFERROR(VLOOKUP($E125,INSUMOS!$B:$E,4,0),IFERROR(VLOOKUP($E125,COTAÇÕES!$C:$L,10,0),"")))</f>
        <v>0.73</v>
      </c>
      <c r="K125" s="615">
        <f>TRUNC(IF($E125="",IFERROR(VLOOKUP($D125,SERVIÇOS!$C:$H,4,0),IFERROR(VLOOKUP($D125,$F:$M,6,0),)),IFERROR(VLOOKUP($E125,INSUMOS!$B:$E,4,0),IFERROR(VLOOKUP($E125,COTAÇÕES!$C:$L,10,0),)))*$I125,2)</f>
        <v>3.51</v>
      </c>
      <c r="L125" s="616">
        <f>TRUNC(IF($E125="",IFERROR(VLOOKUP($D125,SERVIÇOS!$C:$H,5,0),IFERROR(VLOOKUP($D125,$F:$M,7,0),)),0)*$I125,2)</f>
        <v>0</v>
      </c>
      <c r="M125" s="617">
        <f t="shared" si="63"/>
        <v>3.51</v>
      </c>
      <c r="N125" s="753" t="str">
        <f t="shared" si="64"/>
        <v>INSUMO SINAPI</v>
      </c>
      <c r="O125" s="618"/>
    </row>
    <row r="126" spans="2:15">
      <c r="B126" s="122">
        <f t="shared" si="61"/>
        <v>45.28</v>
      </c>
      <c r="C126" s="611" t="str">
        <f t="shared" si="67"/>
        <v>I</v>
      </c>
      <c r="D126" s="660"/>
      <c r="E126" s="661" t="s">
        <v>9025</v>
      </c>
      <c r="F126" s="612"/>
      <c r="G126" s="613" t="str">
        <f>IF($E126="",IFERROR(VLOOKUP($D126,SERVIÇOS!$C:$H,2,0),IFERROR(VLOOKUP($D126,$F:$M,2,0),"")),IFERROR(VLOOKUP($E126,INSUMOS!$B:$E,2,0),IFERROR(VLOOKUP($E126,COTAÇÕES!$C:$L,2,0),"")))</f>
        <v>CONJUNTO DE VIDRO STRUCTURAL GLAZING, CONFOME PROJETO</v>
      </c>
      <c r="H126" s="593" t="str">
        <f>IF($E126="",IFERROR(VLOOKUP($D126,SERVIÇOS!$C:$H,3,0),IFERROR(VLOOKUP($D126,$F:$M,3,0),"")),IFERROR(VLOOKUP($E126,INSUMOS!$B:$E,3,0),IFERROR(VLOOKUP($E126,COTAÇÕES!$C:$L,5,0),"")))</f>
        <v>M2</v>
      </c>
      <c r="I126" s="621">
        <v>1</v>
      </c>
      <c r="J126" s="670">
        <f>IF($E126="",IFERROR(VLOOKUP($D126,SERVIÇOS!$C:$H,6,0),IFERROR(VLOOKUP($D126,$F:$M,8,0),"")),IFERROR(VLOOKUP($E126,INSUMOS!$B:$E,4,0),IFERROR(VLOOKUP($E126,COTAÇÕES!$C:$L,10,0),"")))</f>
        <v>1778.8266666666666</v>
      </c>
      <c r="K126" s="615">
        <f>TRUNC(IF($E126="",IFERROR(VLOOKUP($D126,SERVIÇOS!$C:$H,4,0),IFERROR(VLOOKUP($D126,$F:$M,6,0),)),IFERROR(VLOOKUP($E126,INSUMOS!$B:$E,4,0),IFERROR(VLOOKUP($E126,COTAÇÕES!$C:$L,10,0),)))*$I126,2)</f>
        <v>1778.82</v>
      </c>
      <c r="L126" s="616">
        <f>TRUNC(IF($E126="",IFERROR(VLOOKUP($D126,SERVIÇOS!$C:$H,5,0),IFERROR(VLOOKUP($D126,$F:$M,7,0),)),0)*$I126,2)</f>
        <v>0</v>
      </c>
      <c r="M126" s="617">
        <f t="shared" si="63"/>
        <v>1778.82</v>
      </c>
      <c r="N126" s="753" t="s">
        <v>6845</v>
      </c>
      <c r="O126" s="618"/>
    </row>
    <row r="127" spans="2:15" ht="38.25">
      <c r="B127" s="769">
        <f>SUMIF(ORC!$G$11:$G$2470,CPU!$F127,ORC!$J$11:$J$2470)</f>
        <v>1.89</v>
      </c>
      <c r="C127" s="515" t="s">
        <v>2239</v>
      </c>
      <c r="D127" s="515"/>
      <c r="E127" s="515"/>
      <c r="F127" s="515" t="s">
        <v>8648</v>
      </c>
      <c r="G127" s="516" t="s">
        <v>8656</v>
      </c>
      <c r="H127" s="515" t="s">
        <v>649</v>
      </c>
      <c r="I127" s="595"/>
      <c r="J127" s="596"/>
      <c r="K127" s="597">
        <f>SUM(K128:K128)</f>
        <v>526.97</v>
      </c>
      <c r="L127" s="597">
        <f>SUM(L128:L128)</f>
        <v>0</v>
      </c>
      <c r="M127" s="596">
        <f>SUM(K127:L127)</f>
        <v>526.97</v>
      </c>
      <c r="N127" s="598" t="s">
        <v>6788</v>
      </c>
      <c r="O127" s="599"/>
    </row>
    <row r="128" spans="2:15" ht="38.25">
      <c r="B128" s="122">
        <f>B127</f>
        <v>1.89</v>
      </c>
      <c r="C128" s="611" t="str">
        <f t="shared" ref="C128" si="68">IF(D128&lt;&gt;"","C",IF(E128&lt;&gt;"","I",""))</f>
        <v>I</v>
      </c>
      <c r="D128" s="660"/>
      <c r="E128" s="661" t="s">
        <v>9033</v>
      </c>
      <c r="F128" s="612"/>
      <c r="G128" s="613" t="str">
        <f>IF($E128="",IFERROR(VLOOKUP($D128,SERVIÇOS!$C:$H,2,0),IFERROR(VLOOKUP($D128,$F:$M,2,0),"")),IFERROR(VLOOKUP($E128,INSUMOS!$B:$E,2,0),IFERROR(VLOOKUP($E128,COTAÇÕES!$C:$L,2,0),"")))</f>
        <v xml:space="preserve">PORTÃO PIVOTANTE NYLOFOR, COMPOSTO DE QUADRO, PAINÉIS E ACESSÓRIOS COM PINTURA ELETROSTÁTICA COM TINTA POLIESTER, NAS CORES VERDE OU BRANCA, COM POSTE EM AÇO REVESTIDO, COR VERDE OU BRANCA - FORNECIMENTO E MONTAGEM		</v>
      </c>
      <c r="H128" s="593" t="str">
        <f>IF($E128="",IFERROR(VLOOKUP($D128,SERVIÇOS!$C:$H,3,0),IFERROR(VLOOKUP($D128,$F:$M,3,0),"")),IFERROR(VLOOKUP($E128,INSUMOS!$B:$E,3,0),IFERROR(VLOOKUP($E128,COTAÇÕES!$C:$L,5,0),"")))</f>
        <v>M2</v>
      </c>
      <c r="I128" s="614">
        <v>1</v>
      </c>
      <c r="J128" s="670">
        <f>IF($E128="",IFERROR(VLOOKUP($D128,SERVIÇOS!$C:$H,6,0),IFERROR(VLOOKUP($D128,$F:$M,8,0),"")),IFERROR(VLOOKUP($E128,INSUMOS!$B:$E,4,0),IFERROR(VLOOKUP($E128,COTAÇÕES!$C:$L,10,0),"")))</f>
        <v>526.97635802469131</v>
      </c>
      <c r="K128" s="615">
        <f>TRUNC(IF($E128="",IFERROR(VLOOKUP($D128,SERVIÇOS!$C:$H,4,0),IFERROR(VLOOKUP($D128,$F:$M,6,0),)),IFERROR(VLOOKUP($E128,INSUMOS!$B:$E,4,0),IFERROR(VLOOKUP($E128,COTAÇÕES!$C:$L,10,0),)))*$I128,2)</f>
        <v>526.97</v>
      </c>
      <c r="L128" s="616">
        <f>TRUNC(IF($E128="",IFERROR(VLOOKUP($D128,SERVIÇOS!$C:$H,5,0),IFERROR(VLOOKUP($D128,$F:$M,7,0),)),0)*$I128,2)</f>
        <v>0</v>
      </c>
      <c r="M128" s="617">
        <f t="shared" ref="M128" si="69">K128+L128</f>
        <v>526.97</v>
      </c>
      <c r="N128" s="753" t="s">
        <v>6845</v>
      </c>
      <c r="O128" s="640"/>
    </row>
    <row r="129" spans="2:15" ht="51">
      <c r="B129" s="769">
        <f>SUMIF(ORC!$G$11:$G$2470,CPU!$F129,ORC!$J$11:$J$2470)</f>
        <v>42.18</v>
      </c>
      <c r="C129" s="515" t="s">
        <v>2239</v>
      </c>
      <c r="D129" s="515"/>
      <c r="E129" s="515"/>
      <c r="F129" s="515" t="s">
        <v>8655</v>
      </c>
      <c r="G129" s="516" t="s">
        <v>8649</v>
      </c>
      <c r="H129" s="515" t="s">
        <v>649</v>
      </c>
      <c r="I129" s="595"/>
      <c r="J129" s="596"/>
      <c r="K129" s="597">
        <f>SUM(K130:K133)</f>
        <v>470.57000000000005</v>
      </c>
      <c r="L129" s="597">
        <f>SUM(L130:L133)</f>
        <v>0</v>
      </c>
      <c r="M129" s="596">
        <f>SUM(K129:L129)</f>
        <v>470.57000000000005</v>
      </c>
      <c r="N129" s="598" t="s">
        <v>8650</v>
      </c>
      <c r="O129" s="599"/>
    </row>
    <row r="130" spans="2:15" ht="25.5">
      <c r="B130" s="122">
        <f t="shared" ref="B130:B133" si="70">B129</f>
        <v>42.18</v>
      </c>
      <c r="C130" s="611" t="str">
        <f t="shared" ref="C130:C133" si="71">IF(D130&lt;&gt;"","C",IF(E130&lt;&gt;"","I",""))</f>
        <v>I</v>
      </c>
      <c r="D130" s="660"/>
      <c r="E130" s="661" t="s">
        <v>9029</v>
      </c>
      <c r="F130" s="612"/>
      <c r="G130" s="613" t="str">
        <f>IF($E130="",IFERROR(VLOOKUP($D130,SERVIÇOS!$C:$H,2,0),IFERROR(VLOOKUP($D130,$F:$M,2,0),"")),IFERROR(VLOOKUP($E130,INSUMOS!$B:$E,2,0),IFERROR(VLOOKUP($E130,COTAÇÕES!$C:$L,2,0),"")))</f>
        <v xml:space="preserve">PAINEL NYLOFOR 2,43M x 2,5M (A X L) - MALHA 5 x 20 CM - FIO 5MM, REVESTIDO EM POLIESTER POR PROCESSO DE PINTURA ELETROSTÁTICA, NAS CORES VERDE OU BRANCA	</v>
      </c>
      <c r="H130" s="593" t="str">
        <f>IF($E130="",IFERROR(VLOOKUP($D130,SERVIÇOS!$C:$H,3,0),IFERROR(VLOOKUP($D130,$F:$M,3,0),"")),IFERROR(VLOOKUP($E130,INSUMOS!$B:$E,3,0),IFERROR(VLOOKUP($E130,COTAÇÕES!$C:$L,5,0),"")))</f>
        <v xml:space="preserve">UN </v>
      </c>
      <c r="I130" s="614">
        <v>0.4</v>
      </c>
      <c r="J130" s="670">
        <f>IF($E130="",IFERROR(VLOOKUP($D130,SERVIÇOS!$C:$H,6,0),IFERROR(VLOOKUP($D130,$F:$M,8,0),"")),IFERROR(VLOOKUP($E130,INSUMOS!$B:$E,4,0),IFERROR(VLOOKUP($E130,COTAÇÕES!$C:$L,10,0),"")))</f>
        <v>731.04333333333341</v>
      </c>
      <c r="K130" s="615">
        <f>TRUNC(IF($E130="",IFERROR(VLOOKUP($D130,SERVIÇOS!$C:$H,4,0),IFERROR(VLOOKUP($D130,$F:$M,6,0),)),IFERROR(VLOOKUP($E130,INSUMOS!$B:$E,4,0),IFERROR(VLOOKUP($E130,COTAÇÕES!$C:$L,10,0),)))*$I130,2)</f>
        <v>292.41000000000003</v>
      </c>
      <c r="L130" s="616">
        <f>TRUNC(IF($E130="",IFERROR(VLOOKUP($D130,SERVIÇOS!$C:$H,5,0),IFERROR(VLOOKUP($D130,$F:$M,7,0),)),0)*$I130,2)</f>
        <v>0</v>
      </c>
      <c r="M130" s="617">
        <f t="shared" ref="M130:M133" si="72">K130+L130</f>
        <v>292.41000000000003</v>
      </c>
      <c r="N130" s="753" t="s">
        <v>6845</v>
      </c>
      <c r="O130" s="640"/>
    </row>
    <row r="131" spans="2:15" ht="29.25" customHeight="1">
      <c r="B131" s="122">
        <f t="shared" si="70"/>
        <v>42.18</v>
      </c>
      <c r="C131" s="611" t="str">
        <f t="shared" si="71"/>
        <v>I</v>
      </c>
      <c r="D131" s="660"/>
      <c r="E131" s="661" t="s">
        <v>9030</v>
      </c>
      <c r="F131" s="612"/>
      <c r="G131" s="613" t="str">
        <f>IF($E131="",IFERROR(VLOOKUP($D131,SERVIÇOS!$C:$H,2,0),IFERROR(VLOOKUP($D131,$F:$M,2,0),"")),IFERROR(VLOOKUP($E131,INSUMOS!$B:$E,2,0),IFERROR(VLOOKUP($E131,COTAÇÕES!$C:$L,2,0),"")))</f>
        <v xml:space="preserve">POSTE 40 x 60 MM, PINTURA ELETROSTÁTICA EM POLIESTER, NAS CORES VERDE OU BRANCA (H=2,60M - COM TAMPA) CHUMBADO	</v>
      </c>
      <c r="H131" s="593" t="str">
        <f>IF($E131="",IFERROR(VLOOKUP($D131,SERVIÇOS!$C:$H,3,0),IFERROR(VLOOKUP($D131,$F:$M,3,0),"")),IFERROR(VLOOKUP($E131,INSUMOS!$B:$E,3,0),IFERROR(VLOOKUP($E131,COTAÇÕES!$C:$L,5,0),"")))</f>
        <v xml:space="preserve">UN </v>
      </c>
      <c r="I131" s="621">
        <v>0.4</v>
      </c>
      <c r="J131" s="670">
        <f>IF($E131="",IFERROR(VLOOKUP($D131,SERVIÇOS!$C:$H,6,0),IFERROR(VLOOKUP($D131,$F:$M,8,0),"")),IFERROR(VLOOKUP($E131,INSUMOS!$B:$E,4,0),IFERROR(VLOOKUP($E131,COTAÇÕES!$C:$L,10,0),"")))</f>
        <v>223.22</v>
      </c>
      <c r="K131" s="615">
        <f>TRUNC(IF($E131="",IFERROR(VLOOKUP($D131,SERVIÇOS!$C:$H,4,0),IFERROR(VLOOKUP($D131,$F:$M,6,0),)),IFERROR(VLOOKUP($E131,INSUMOS!$B:$E,4,0),IFERROR(VLOOKUP($E131,COTAÇÕES!$C:$L,10,0),)))*$I131,2)</f>
        <v>89.28</v>
      </c>
      <c r="L131" s="616">
        <f>TRUNC(IF($E131="",IFERROR(VLOOKUP($D131,SERVIÇOS!$C:$H,5,0),IFERROR(VLOOKUP($D131,$F:$M,7,0),)),0)*$I131,2)</f>
        <v>0</v>
      </c>
      <c r="M131" s="617">
        <f t="shared" si="72"/>
        <v>89.28</v>
      </c>
      <c r="N131" s="753" t="s">
        <v>6845</v>
      </c>
      <c r="O131" s="618"/>
    </row>
    <row r="132" spans="2:15">
      <c r="B132" s="122">
        <f t="shared" si="70"/>
        <v>42.18</v>
      </c>
      <c r="C132" s="611" t="str">
        <f t="shared" si="71"/>
        <v>I</v>
      </c>
      <c r="D132" s="660"/>
      <c r="E132" s="661" t="s">
        <v>9031</v>
      </c>
      <c r="F132" s="612"/>
      <c r="G132" s="613" t="str">
        <f>IF($E132="",IFERROR(VLOOKUP($D132,SERVIÇOS!$C:$H,2,0),IFERROR(VLOOKUP($D132,$F:$M,2,0),"")),IFERROR(VLOOKUP($E132,INSUMOS!$B:$E,2,0),IFERROR(VLOOKUP($E132,COTAÇÕES!$C:$L,2,0),"")))</f>
        <v xml:space="preserve">FIXADOR POLIAMIDA PARA POSTE, NAS CORES VERDE OU BRANCA	</v>
      </c>
      <c r="H132" s="593" t="str">
        <f>IF($E132="",IFERROR(VLOOKUP($D132,SERVIÇOS!$C:$H,3,0),IFERROR(VLOOKUP($D132,$F:$M,3,0),"")),IFERROR(VLOOKUP($E132,INSUMOS!$B:$E,3,0),IFERROR(VLOOKUP($E132,COTAÇÕES!$C:$L,5,0),"")))</f>
        <v xml:space="preserve">UN </v>
      </c>
      <c r="I132" s="621">
        <v>2.8</v>
      </c>
      <c r="J132" s="670">
        <f>IF($E132="",IFERROR(VLOOKUP($D132,SERVIÇOS!$C:$H,6,0),IFERROR(VLOOKUP($D132,$F:$M,8,0),"")),IFERROR(VLOOKUP($E132,INSUMOS!$B:$E,4,0),IFERROR(VLOOKUP($E132,COTAÇÕES!$C:$L,10,0),"")))</f>
        <v>5.4766666666666666</v>
      </c>
      <c r="K132" s="615">
        <f>TRUNC(IF($E132="",IFERROR(VLOOKUP($D132,SERVIÇOS!$C:$H,4,0),IFERROR(VLOOKUP($D132,$F:$M,6,0),)),IFERROR(VLOOKUP($E132,INSUMOS!$B:$E,4,0),IFERROR(VLOOKUP($E132,COTAÇÕES!$C:$L,10,0),)))*$I132,2)</f>
        <v>15.33</v>
      </c>
      <c r="L132" s="616">
        <f>TRUNC(IF($E132="",IFERROR(VLOOKUP($D132,SERVIÇOS!$C:$H,5,0),IFERROR(VLOOKUP($D132,$F:$M,7,0),)),0)*$I132,2)</f>
        <v>0</v>
      </c>
      <c r="M132" s="617">
        <f t="shared" si="72"/>
        <v>15.33</v>
      </c>
      <c r="N132" s="753" t="s">
        <v>6845</v>
      </c>
      <c r="O132" s="618"/>
    </row>
    <row r="133" spans="2:15">
      <c r="B133" s="122">
        <f t="shared" si="70"/>
        <v>42.18</v>
      </c>
      <c r="C133" s="611" t="str">
        <f t="shared" si="71"/>
        <v>I</v>
      </c>
      <c r="D133" s="660"/>
      <c r="E133" s="661" t="s">
        <v>9032</v>
      </c>
      <c r="F133" s="612"/>
      <c r="G133" s="613" t="str">
        <f>IF($E133="",IFERROR(VLOOKUP($D133,SERVIÇOS!$C:$H,2,0),IFERROR(VLOOKUP($D133,$F:$M,2,0),"")),IFERROR(VLOOKUP($E133,INSUMOS!$B:$E,2,0),IFERROR(VLOOKUP($E133,COTAÇÕES!$C:$L,2,0),"")))</f>
        <v xml:space="preserve">SERVIÇO - COLOCAÇÃO E MONTAGEM DE CERCA/GRADIL NYLOFOR	</v>
      </c>
      <c r="H133" s="593" t="str">
        <f>IF($E133="",IFERROR(VLOOKUP($D133,SERVIÇOS!$C:$H,3,0),IFERROR(VLOOKUP($D133,$F:$M,3,0),"")),IFERROR(VLOOKUP($E133,INSUMOS!$B:$E,3,0),IFERROR(VLOOKUP($E133,COTAÇÕES!$C:$L,5,0),"")))</f>
        <v>M2</v>
      </c>
      <c r="I133" s="621">
        <v>2.4300000000000002</v>
      </c>
      <c r="J133" s="670">
        <f>IF($E133="",IFERROR(VLOOKUP($D133,SERVIÇOS!$C:$H,6,0),IFERROR(VLOOKUP($D133,$F:$M,8,0),"")),IFERROR(VLOOKUP($E133,INSUMOS!$B:$E,4,0),IFERROR(VLOOKUP($E133,COTAÇÕES!$C:$L,10,0),"")))</f>
        <v>30.27</v>
      </c>
      <c r="K133" s="615">
        <f>TRUNC(IF($E133="",IFERROR(VLOOKUP($D133,SERVIÇOS!$C:$H,4,0),IFERROR(VLOOKUP($D133,$F:$M,6,0),)),IFERROR(VLOOKUP($E133,INSUMOS!$B:$E,4,0),IFERROR(VLOOKUP($E133,COTAÇÕES!$C:$L,10,0),)))*$I133,2)</f>
        <v>73.55</v>
      </c>
      <c r="L133" s="616">
        <f>TRUNC(IF($E133="",IFERROR(VLOOKUP($D133,SERVIÇOS!$C:$H,5,0),IFERROR(VLOOKUP($D133,$F:$M,7,0),)),0)*$I133,2)</f>
        <v>0</v>
      </c>
      <c r="M133" s="617">
        <f t="shared" si="72"/>
        <v>73.55</v>
      </c>
      <c r="N133" s="753" t="s">
        <v>6845</v>
      </c>
      <c r="O133" s="618"/>
    </row>
    <row r="134" spans="2:15" ht="38.25">
      <c r="B134" s="769">
        <f>SUMIF(ORC!$G$11:$G$2470,CPU!$F134,ORC!$J$11:$J$2470)</f>
        <v>32.35</v>
      </c>
      <c r="C134" s="515" t="s">
        <v>2239</v>
      </c>
      <c r="D134" s="515"/>
      <c r="E134" s="515"/>
      <c r="F134" s="515" t="s">
        <v>8657</v>
      </c>
      <c r="G134" s="516" t="s">
        <v>9148</v>
      </c>
      <c r="H134" s="515" t="s">
        <v>648</v>
      </c>
      <c r="I134" s="595"/>
      <c r="J134" s="596"/>
      <c r="K134" s="597">
        <f>SUM(K135:K139)</f>
        <v>1711.49</v>
      </c>
      <c r="L134" s="597">
        <f>SUM(L135:L139)</f>
        <v>131.92000000000002</v>
      </c>
      <c r="M134" s="596">
        <f>SUM(K134:L134)</f>
        <v>1843.41</v>
      </c>
      <c r="N134" s="598" t="s">
        <v>8658</v>
      </c>
      <c r="O134" s="599"/>
    </row>
    <row r="135" spans="2:15">
      <c r="B135" s="122">
        <f>B134</f>
        <v>32.35</v>
      </c>
      <c r="C135" s="611" t="str">
        <f t="shared" ref="C135:C136" si="73">IF(D135&lt;&gt;"","C",IF(E135&lt;&gt;"","I",""))</f>
        <v>I</v>
      </c>
      <c r="D135" s="660"/>
      <c r="E135" s="661">
        <v>20259</v>
      </c>
      <c r="F135" s="612"/>
      <c r="G135" s="613" t="str">
        <f>IF($E135="",IFERROR(VLOOKUP($D135,SERVIÇOS!$C:$H,2,0),IFERROR(VLOOKUP($D135,$F:$M,2,0),"")),IFERROR(VLOOKUP($E135,INSUMOS!$B:$E,2,0),IFERROR(VLOOKUP($E135,COTAÇÕES!$C:$L,2,0),"")))</f>
        <v xml:space="preserve">PERFIL DE BORRACHA EPDM MACICO *12 X 15* MM PARA ESQUADRIAS                                                                                                                                                                                                                                                                                                                                                                                                                                               </v>
      </c>
      <c r="H135" s="593" t="str">
        <f>IF($E135="",IFERROR(VLOOKUP($D135,SERVIÇOS!$C:$H,3,0),IFERROR(VLOOKUP($D135,$F:$M,3,0),"")),IFERROR(VLOOKUP($E135,INSUMOS!$B:$E,3,0),IFERROR(VLOOKUP($E135,COTAÇÕES!$C:$L,5,0),"")))</f>
        <v xml:space="preserve">M     </v>
      </c>
      <c r="I135" s="621">
        <v>3.149</v>
      </c>
      <c r="J135" s="670">
        <f>IF($E135="",IFERROR(VLOOKUP($D135,SERVIÇOS!$C:$H,6,0),IFERROR(VLOOKUP($D135,$F:$M,8,0),"")),IFERROR(VLOOKUP($E135,INSUMOS!$B:$E,4,0),IFERROR(VLOOKUP($E135,COTAÇÕES!$C:$L,10,0),"")))</f>
        <v>25.3</v>
      </c>
      <c r="K135" s="615">
        <f>TRUNC(IF($E135="",IFERROR(VLOOKUP($D135,SERVIÇOS!$C:$H,4,0),IFERROR(VLOOKUP($D135,$F:$M,6,0),)),IFERROR(VLOOKUP($E135,INSUMOS!$B:$E,4,0),IFERROR(VLOOKUP($E135,COTAÇÕES!$C:$L,10,0),)))*$I135,2)</f>
        <v>79.66</v>
      </c>
      <c r="L135" s="616">
        <f>TRUNC(IF($E135="",IFERROR(VLOOKUP($D135,SERVIÇOS!$C:$H,5,0),IFERROR(VLOOKUP($D135,$F:$M,7,0),)),0)*$I135,2)</f>
        <v>0</v>
      </c>
      <c r="M135" s="617">
        <f t="shared" ref="M135:M136" si="74">K135+L135</f>
        <v>79.66</v>
      </c>
      <c r="N135" s="753" t="str">
        <f t="shared" si="64"/>
        <v>INSUMO SINAPI</v>
      </c>
      <c r="O135" s="618"/>
    </row>
    <row r="136" spans="2:15" ht="25.5">
      <c r="B136" s="122">
        <f t="shared" ref="B136:B139" si="75">B135</f>
        <v>32.35</v>
      </c>
      <c r="C136" s="611" t="str">
        <f t="shared" si="73"/>
        <v>I</v>
      </c>
      <c r="D136" s="660"/>
      <c r="E136" s="661" t="s">
        <v>9144</v>
      </c>
      <c r="F136" s="612"/>
      <c r="G136" s="613" t="str">
        <f>IF($E136="",IFERROR(VLOOKUP($D136,SERVIÇOS!$C:$H,2,0),IFERROR(VLOOKUP($D136,$F:$M,2,0),"")),IFERROR(VLOOKUP($E136,INSUMOS!$B:$E,2,0),IFERROR(VLOOKUP($E136,COTAÇÕES!$C:$L,2,0),"")))</f>
        <v>GUARDA-CORPO PANORÂMICO COM PERFIS TUBO QUADRADO DE INOX 4X4CM, COM PILARES TUBO 40X40MM INCLUSO VIDRO TEMPERADO LAMINADO PVB 6+6MM LISO INCOLOR</v>
      </c>
      <c r="H136" s="593" t="str">
        <f>IF($E136="",IFERROR(VLOOKUP($D136,SERVIÇOS!$C:$H,3,0),IFERROR(VLOOKUP($D136,$F:$M,3,0),"")),IFERROR(VLOOKUP($E136,INSUMOS!$B:$E,3,0),IFERROR(VLOOKUP($E136,COTAÇÕES!$C:$L,5,0),"")))</f>
        <v>M</v>
      </c>
      <c r="I136" s="621">
        <v>1</v>
      </c>
      <c r="J136" s="670">
        <f>IF($E136="",IFERROR(VLOOKUP($D136,SERVIÇOS!$C:$H,6,0),IFERROR(VLOOKUP($D136,$F:$M,8,0),"")),IFERROR(VLOOKUP($E136,INSUMOS!$B:$E,4,0),IFERROR(VLOOKUP($E136,COTAÇÕES!$C:$L,10,0),"")))</f>
        <v>1572.7975270479135</v>
      </c>
      <c r="K136" s="615">
        <f>TRUNC(IF($E136="",IFERROR(VLOOKUP($D136,SERVIÇOS!$C:$H,4,0),IFERROR(VLOOKUP($D136,$F:$M,6,0),)),IFERROR(VLOOKUP($E136,INSUMOS!$B:$E,4,0),IFERROR(VLOOKUP($E136,COTAÇÕES!$C:$L,10,0),)))*$I136,2)</f>
        <v>1572.79</v>
      </c>
      <c r="L136" s="616">
        <f>TRUNC(IF($E136="",IFERROR(VLOOKUP($D136,SERVIÇOS!$C:$H,5,0),IFERROR(VLOOKUP($D136,$F:$M,7,0),)),0)*$I136,2)</f>
        <v>0</v>
      </c>
      <c r="M136" s="617">
        <f t="shared" si="74"/>
        <v>1572.79</v>
      </c>
      <c r="N136" s="753" t="str">
        <f t="shared" si="64"/>
        <v>INSUMO SINAPI</v>
      </c>
      <c r="O136" s="618"/>
    </row>
    <row r="137" spans="2:15">
      <c r="B137" s="122">
        <f t="shared" si="75"/>
        <v>32.35</v>
      </c>
      <c r="C137" s="611" t="str">
        <f t="shared" ref="C137:C139" si="76">IF(D137&lt;&gt;"","C",IF(E137&lt;&gt;"","I",""))</f>
        <v>I</v>
      </c>
      <c r="D137" s="660"/>
      <c r="E137" s="661">
        <v>39961</v>
      </c>
      <c r="F137" s="612"/>
      <c r="G137" s="613" t="str">
        <f>IF($E137="",IFERROR(VLOOKUP($D137,SERVIÇOS!$C:$H,2,0),IFERROR(VLOOKUP($D137,$F:$M,2,0),"")),IFERROR(VLOOKUP($E137,INSUMOS!$B:$E,2,0),IFERROR(VLOOKUP($E137,COTAÇÕES!$C:$L,2,0),"")))</f>
        <v xml:space="preserve">SILICONE ACETICO USO GERAL INCOLOR 280 G                                                                                                                                                                                                                                                                                                                                                                                                                                                                  </v>
      </c>
      <c r="H137" s="593" t="str">
        <f>IF($E137="",IFERROR(VLOOKUP($D137,SERVIÇOS!$C:$H,3,0),IFERROR(VLOOKUP($D137,$F:$M,3,0),"")),IFERROR(VLOOKUP($E137,INSUMOS!$B:$E,3,0),IFERROR(VLOOKUP($E137,COTAÇÕES!$C:$L,5,0),"")))</f>
        <v xml:space="preserve">UN    </v>
      </c>
      <c r="I137" s="621">
        <v>0.85499999999999998</v>
      </c>
      <c r="J137" s="670">
        <f>IF($E137="",IFERROR(VLOOKUP($D137,SERVIÇOS!$C:$H,6,0),IFERROR(VLOOKUP($D137,$F:$M,8,0),"")),IFERROR(VLOOKUP($E137,INSUMOS!$B:$E,4,0),IFERROR(VLOOKUP($E137,COTAÇÕES!$C:$L,10,0),"")))</f>
        <v>21.64</v>
      </c>
      <c r="K137" s="615">
        <f>TRUNC(IF($E137="",IFERROR(VLOOKUP($D137,SERVIÇOS!$C:$H,4,0),IFERROR(VLOOKUP($D137,$F:$M,6,0),)),IFERROR(VLOOKUP($E137,INSUMOS!$B:$E,4,0),IFERROR(VLOOKUP($E137,COTAÇÕES!$C:$L,10,0),)))*$I137,2)</f>
        <v>18.5</v>
      </c>
      <c r="L137" s="616">
        <f>TRUNC(IF($E137="",IFERROR(VLOOKUP($D137,SERVIÇOS!$C:$H,5,0),IFERROR(VLOOKUP($D137,$F:$M,7,0),)),0)*$I137,2)</f>
        <v>0</v>
      </c>
      <c r="M137" s="617">
        <f t="shared" ref="M137:M139" si="77">K137+L137</f>
        <v>18.5</v>
      </c>
      <c r="N137" s="753" t="str">
        <f t="shared" si="64"/>
        <v>INSUMO SINAPI</v>
      </c>
      <c r="O137" s="618"/>
    </row>
    <row r="138" spans="2:15">
      <c r="B138" s="122">
        <f t="shared" si="75"/>
        <v>32.35</v>
      </c>
      <c r="C138" s="611" t="str">
        <f t="shared" si="76"/>
        <v>C</v>
      </c>
      <c r="D138" s="660">
        <v>88251</v>
      </c>
      <c r="E138" s="661"/>
      <c r="F138" s="612"/>
      <c r="G138" s="613" t="str">
        <f>IF($E138="",IFERROR(VLOOKUP($D138,SERVIÇOS!$C:$H,2,0),IFERROR(VLOOKUP($D138,$F:$M,2,0),"")),IFERROR(VLOOKUP($E138,INSUMOS!$B:$E,2,0),IFERROR(VLOOKUP($E138,COTAÇÕES!$C:$L,2,0),"")))</f>
        <v>AUXILIAR DE SERRALHEIRO COM ENCARGOS COMPLEMENTARES</v>
      </c>
      <c r="H138" s="593" t="str">
        <f>IF($E138="",IFERROR(VLOOKUP($D138,SERVIÇOS!$C:$H,3,0),IFERROR(VLOOKUP($D138,$F:$M,3,0),"")),IFERROR(VLOOKUP($E138,INSUMOS!$B:$E,3,0),IFERROR(VLOOKUP($E138,COTAÇÕES!$C:$L,5,0),"")))</f>
        <v>H</v>
      </c>
      <c r="I138" s="621">
        <v>2.754</v>
      </c>
      <c r="J138" s="670">
        <f>IF($E138="",IFERROR(VLOOKUP($D138,SERVIÇOS!$C:$H,6,0),IFERROR(VLOOKUP($D138,$F:$M,8,0),"")),IFERROR(VLOOKUP($E138,INSUMOS!$B:$E,4,0),IFERROR(VLOOKUP($E138,COTAÇÕES!$C:$L,10,0),"")))</f>
        <v>25.13</v>
      </c>
      <c r="K138" s="615">
        <f>TRUNC(IF($E138="",IFERROR(VLOOKUP($D138,SERVIÇOS!$C:$H,4,0),IFERROR(VLOOKUP($D138,$F:$M,6,0),)),IFERROR(VLOOKUP($E138,INSUMOS!$B:$E,4,0),IFERROR(VLOOKUP($E138,COTAÇÕES!$C:$L,10,0),)))*$I138,2)</f>
        <v>18.28</v>
      </c>
      <c r="L138" s="616">
        <f>TRUNC(IF($E138="",IFERROR(VLOOKUP($D138,SERVIÇOS!$C:$H,5,0),IFERROR(VLOOKUP($D138,$F:$M,7,0),)),0)*$I138,2)</f>
        <v>50.92</v>
      </c>
      <c r="M138" s="617">
        <f t="shared" si="77"/>
        <v>69.2</v>
      </c>
      <c r="N138" s="753" t="str">
        <f t="shared" si="64"/>
        <v>SERVIÇO SINAPI</v>
      </c>
      <c r="O138" s="618"/>
    </row>
    <row r="139" spans="2:15">
      <c r="B139" s="122">
        <f t="shared" si="75"/>
        <v>32.35</v>
      </c>
      <c r="C139" s="611" t="str">
        <f t="shared" si="76"/>
        <v>C</v>
      </c>
      <c r="D139" s="660">
        <v>88315</v>
      </c>
      <c r="E139" s="661"/>
      <c r="F139" s="612"/>
      <c r="G139" s="613" t="str">
        <f>IF($E139="",IFERROR(VLOOKUP($D139,SERVIÇOS!$C:$H,2,0),IFERROR(VLOOKUP($D139,$F:$M,2,0),"")),IFERROR(VLOOKUP($E139,INSUMOS!$B:$E,2,0),IFERROR(VLOOKUP($E139,COTAÇÕES!$C:$L,2,0),"")))</f>
        <v>SERRALHEIRO COM ENCARGOS COMPLEMENTARES</v>
      </c>
      <c r="H139" s="593" t="str">
        <f>IF($E139="",IFERROR(VLOOKUP($D139,SERVIÇOS!$C:$H,3,0),IFERROR(VLOOKUP($D139,$F:$M,3,0),"")),IFERROR(VLOOKUP($E139,INSUMOS!$B:$E,3,0),IFERROR(VLOOKUP($E139,COTAÇÕES!$C:$L,5,0),"")))</f>
        <v>H</v>
      </c>
      <c r="I139" s="621">
        <v>3.3530000000000002</v>
      </c>
      <c r="J139" s="670">
        <f>IF($E139="",IFERROR(VLOOKUP($D139,SERVIÇOS!$C:$H,6,0),IFERROR(VLOOKUP($D139,$F:$M,8,0),"")),IFERROR(VLOOKUP($E139,INSUMOS!$B:$E,4,0),IFERROR(VLOOKUP($E139,COTAÇÕES!$C:$L,10,0),"")))</f>
        <v>30.8</v>
      </c>
      <c r="K139" s="615">
        <f>TRUNC(IF($E139="",IFERROR(VLOOKUP($D139,SERVIÇOS!$C:$H,4,0),IFERROR(VLOOKUP($D139,$F:$M,6,0),)),IFERROR(VLOOKUP($E139,INSUMOS!$B:$E,4,0),IFERROR(VLOOKUP($E139,COTAÇÕES!$C:$L,10,0),)))*$I139,2)</f>
        <v>22.26</v>
      </c>
      <c r="L139" s="616">
        <f>TRUNC(IF($E139="",IFERROR(VLOOKUP($D139,SERVIÇOS!$C:$H,5,0),IFERROR(VLOOKUP($D139,$F:$M,7,0),)),0)*$I139,2)</f>
        <v>81</v>
      </c>
      <c r="M139" s="617">
        <f t="shared" si="77"/>
        <v>103.26</v>
      </c>
      <c r="N139" s="753" t="str">
        <f t="shared" si="64"/>
        <v>SERVIÇO SINAPI</v>
      </c>
      <c r="O139" s="618"/>
    </row>
    <row r="140" spans="2:15">
      <c r="B140" s="769">
        <f>SUMIF(ORC!$G$11:$G$2470,CPU!$F140,ORC!$J$11:$J$2470)</f>
        <v>23.85</v>
      </c>
      <c r="C140" s="515" t="s">
        <v>2239</v>
      </c>
      <c r="D140" s="515"/>
      <c r="E140" s="515"/>
      <c r="F140" s="515" t="s">
        <v>8661</v>
      </c>
      <c r="G140" s="516" t="s">
        <v>8665</v>
      </c>
      <c r="H140" s="515" t="s">
        <v>648</v>
      </c>
      <c r="I140" s="595"/>
      <c r="J140" s="596"/>
      <c r="K140" s="597">
        <f>SUM(K141:K143)</f>
        <v>414.22</v>
      </c>
      <c r="L140" s="597">
        <f>SUM(L141:L143)</f>
        <v>75.150000000000006</v>
      </c>
      <c r="M140" s="596">
        <f>SUM(K140:L140)</f>
        <v>489.37</v>
      </c>
      <c r="N140" s="598" t="s">
        <v>8662</v>
      </c>
      <c r="O140" s="599"/>
    </row>
    <row r="141" spans="2:15" ht="25.5">
      <c r="B141" s="122">
        <f>+B140</f>
        <v>23.85</v>
      </c>
      <c r="C141" s="611" t="str">
        <f t="shared" ref="C141:C143" si="78">IF(D141&lt;&gt;"","C",IF(E141&lt;&gt;"","I",""))</f>
        <v>I</v>
      </c>
      <c r="D141" s="660"/>
      <c r="E141" s="661" t="s">
        <v>9140</v>
      </c>
      <c r="F141" s="612"/>
      <c r="G141" s="613" t="str">
        <f>IF($E141="",IFERROR(VLOOKUP($D141,SERVIÇOS!$C:$H,2,0),IFERROR(VLOOKUP($D141,$F:$M,2,0),"")),IFERROR(VLOOKUP($E141,INSUMOS!$B:$E,2,0),IFERROR(VLOOKUP($E141,COTAÇÕES!$C:$L,2,0),"")))</f>
        <v>CORRIMÃO DUPLO, DIÂMETRO EXTERNO = 1 1/2"", EM AÇO INOX, ALTURA 92CM E 70 CM, FIXADO COM HASTES E CANOPLAS DE ACABAMENTO</v>
      </c>
      <c r="H141" s="593" t="str">
        <f>IF($E141="",IFERROR(VLOOKUP($D141,SERVIÇOS!$C:$H,3,0),IFERROR(VLOOKUP($D141,$F:$M,3,0),"")),IFERROR(VLOOKUP($E141,INSUMOS!$B:$E,3,0),IFERROR(VLOOKUP($E141,COTAÇÕES!$C:$L,5,0),"")))</f>
        <v>M</v>
      </c>
      <c r="I141" s="621">
        <v>1</v>
      </c>
      <c r="J141" s="670">
        <f>IF($E141="",IFERROR(VLOOKUP($D141,SERVIÇOS!$C:$H,6,0),IFERROR(VLOOKUP($D141,$F:$M,8,0),"")),IFERROR(VLOOKUP($E141,INSUMOS!$B:$E,4,0),IFERROR(VLOOKUP($E141,COTAÇÕES!$C:$L,10,0),"")))</f>
        <v>391.1320754716981</v>
      </c>
      <c r="K141" s="615">
        <f>TRUNC(IF($E141="",IFERROR(VLOOKUP($D141,SERVIÇOS!$C:$H,4,0),IFERROR(VLOOKUP($D141,$F:$M,6,0),)),IFERROR(VLOOKUP($E141,INSUMOS!$B:$E,4,0),IFERROR(VLOOKUP($E141,COTAÇÕES!$C:$L,10,0),)))*$I141,2)</f>
        <v>391.13</v>
      </c>
      <c r="L141" s="616">
        <f>TRUNC(IF($E141="",IFERROR(VLOOKUP($D141,SERVIÇOS!$C:$H,5,0),IFERROR(VLOOKUP($D141,$F:$M,7,0),)),0)*$I141,2)</f>
        <v>0</v>
      </c>
      <c r="M141" s="617">
        <f t="shared" ref="M141:M143" si="79">K141+L141</f>
        <v>391.13</v>
      </c>
      <c r="N141" s="753" t="s">
        <v>6845</v>
      </c>
      <c r="O141" s="618"/>
    </row>
    <row r="142" spans="2:15">
      <c r="B142" s="122">
        <f t="shared" ref="B142:B143" si="80">B141</f>
        <v>23.85</v>
      </c>
      <c r="C142" s="611" t="str">
        <f t="shared" si="78"/>
        <v>C</v>
      </c>
      <c r="D142" s="660">
        <v>88315</v>
      </c>
      <c r="E142" s="661"/>
      <c r="F142" s="612"/>
      <c r="G142" s="613" t="str">
        <f>IF($E142="",IFERROR(VLOOKUP($D142,SERVIÇOS!$C:$H,2,0),IFERROR(VLOOKUP($D142,$F:$M,2,0),"")),IFERROR(VLOOKUP($E142,INSUMOS!$B:$E,2,0),IFERROR(VLOOKUP($E142,COTAÇÕES!$C:$L,2,0),"")))</f>
        <v>SERRALHEIRO COM ENCARGOS COMPLEMENTARES</v>
      </c>
      <c r="H142" s="593" t="str">
        <f>IF($E142="",IFERROR(VLOOKUP($D142,SERVIÇOS!$C:$H,3,0),IFERROR(VLOOKUP($D142,$F:$M,3,0),"")),IFERROR(VLOOKUP($E142,INSUMOS!$B:$E,3,0),IFERROR(VLOOKUP($E142,COTAÇÕES!$C:$L,5,0),"")))</f>
        <v>H</v>
      </c>
      <c r="I142" s="621">
        <v>1.91</v>
      </c>
      <c r="J142" s="670">
        <f>IF($E142="",IFERROR(VLOOKUP($D142,SERVIÇOS!$C:$H,6,0),IFERROR(VLOOKUP($D142,$F:$M,8,0),"")),IFERROR(VLOOKUP($E142,INSUMOS!$B:$E,4,0),IFERROR(VLOOKUP($E142,COTAÇÕES!$C:$L,10,0),"")))</f>
        <v>30.8</v>
      </c>
      <c r="K142" s="615">
        <f>TRUNC(IF($E142="",IFERROR(VLOOKUP($D142,SERVIÇOS!$C:$H,4,0),IFERROR(VLOOKUP($D142,$F:$M,6,0),)),IFERROR(VLOOKUP($E142,INSUMOS!$B:$E,4,0),IFERROR(VLOOKUP($E142,COTAÇÕES!$C:$L,10,0),)))*$I142,2)</f>
        <v>12.68</v>
      </c>
      <c r="L142" s="616">
        <f>TRUNC(IF($E142="",IFERROR(VLOOKUP($D142,SERVIÇOS!$C:$H,5,0),IFERROR(VLOOKUP($D142,$F:$M,7,0),)),0)*$I142,2)</f>
        <v>46.14</v>
      </c>
      <c r="M142" s="617">
        <f t="shared" si="79"/>
        <v>58.82</v>
      </c>
      <c r="N142" s="753" t="str">
        <f t="shared" si="64"/>
        <v>SERVIÇO SINAPI</v>
      </c>
      <c r="O142" s="618"/>
    </row>
    <row r="143" spans="2:15">
      <c r="B143" s="122">
        <f t="shared" si="80"/>
        <v>23.85</v>
      </c>
      <c r="C143" s="611" t="str">
        <f t="shared" si="78"/>
        <v>C</v>
      </c>
      <c r="D143" s="660">
        <v>88251</v>
      </c>
      <c r="E143" s="661"/>
      <c r="F143" s="612"/>
      <c r="G143" s="613" t="str">
        <f>IF($E143="",IFERROR(VLOOKUP($D143,SERVIÇOS!$C:$H,2,0),IFERROR(VLOOKUP($D143,$F:$M,2,0),"")),IFERROR(VLOOKUP($E143,INSUMOS!$B:$E,2,0),IFERROR(VLOOKUP($E143,COTAÇÕES!$C:$L,2,0),"")))</f>
        <v>AUXILIAR DE SERRALHEIRO COM ENCARGOS COMPLEMENTARES</v>
      </c>
      <c r="H143" s="593" t="str">
        <f>IF($E143="",IFERROR(VLOOKUP($D143,SERVIÇOS!$C:$H,3,0),IFERROR(VLOOKUP($D143,$F:$M,3,0),"")),IFERROR(VLOOKUP($E143,INSUMOS!$B:$E,3,0),IFERROR(VLOOKUP($E143,COTAÇÕES!$C:$L,5,0),"")))</f>
        <v>H</v>
      </c>
      <c r="I143" s="621">
        <v>1.569</v>
      </c>
      <c r="J143" s="670">
        <f>IF($E143="",IFERROR(VLOOKUP($D143,SERVIÇOS!$C:$H,6,0),IFERROR(VLOOKUP($D143,$F:$M,8,0),"")),IFERROR(VLOOKUP($E143,INSUMOS!$B:$E,4,0),IFERROR(VLOOKUP($E143,COTAÇÕES!$C:$L,10,0),"")))</f>
        <v>25.13</v>
      </c>
      <c r="K143" s="615">
        <f>TRUNC(IF($E143="",IFERROR(VLOOKUP($D143,SERVIÇOS!$C:$H,4,0),IFERROR(VLOOKUP($D143,$F:$M,6,0),)),IFERROR(VLOOKUP($E143,INSUMOS!$B:$E,4,0),IFERROR(VLOOKUP($E143,COTAÇÕES!$C:$L,10,0),)))*$I143,2)</f>
        <v>10.41</v>
      </c>
      <c r="L143" s="616">
        <f>TRUNC(IF($E143="",IFERROR(VLOOKUP($D143,SERVIÇOS!$C:$H,5,0),IFERROR(VLOOKUP($D143,$F:$M,7,0),)),0)*$I143,2)</f>
        <v>29.01</v>
      </c>
      <c r="M143" s="617">
        <f t="shared" si="79"/>
        <v>39.42</v>
      </c>
      <c r="N143" s="753" t="str">
        <f t="shared" si="64"/>
        <v>SERVIÇO SINAPI</v>
      </c>
      <c r="O143" s="618"/>
    </row>
    <row r="144" spans="2:15" ht="25.5">
      <c r="B144" s="769">
        <f>SUMIF(ORC!$G$11:$G$2470,CPU!$F144,ORC!$J$11:$J$2470)</f>
        <v>8.0500000000000007</v>
      </c>
      <c r="C144" s="515" t="s">
        <v>2239</v>
      </c>
      <c r="D144" s="515"/>
      <c r="E144" s="515"/>
      <c r="F144" s="515" t="s">
        <v>8663</v>
      </c>
      <c r="G144" s="516" t="s">
        <v>9138</v>
      </c>
      <c r="H144" s="515" t="s">
        <v>648</v>
      </c>
      <c r="I144" s="595"/>
      <c r="J144" s="596"/>
      <c r="K144" s="597">
        <f>SUM(K145:K147)</f>
        <v>759.15</v>
      </c>
      <c r="L144" s="597">
        <f>SUM(L145:L147)</f>
        <v>37.28</v>
      </c>
      <c r="M144" s="596">
        <f>SUM(K144:L144)</f>
        <v>796.43</v>
      </c>
      <c r="N144" s="598" t="s">
        <v>8664</v>
      </c>
      <c r="O144" s="599"/>
    </row>
    <row r="145" spans="2:15" ht="25.5">
      <c r="B145" s="122">
        <f t="shared" ref="B145:B147" si="81">B144</f>
        <v>8.0500000000000007</v>
      </c>
      <c r="C145" s="611" t="str">
        <f t="shared" ref="C145:C147" si="82">IF(D145&lt;&gt;"","C",IF(E145&lt;&gt;"","I",""))</f>
        <v>I</v>
      </c>
      <c r="D145" s="660"/>
      <c r="E145" s="661" t="s">
        <v>9141</v>
      </c>
      <c r="F145" s="612"/>
      <c r="G145" s="613" t="str">
        <f>IF($E145="",IFERROR(VLOOKUP($D145,SERVIÇOS!$C:$H,2,0),IFERROR(VLOOKUP($D145,$F:$M,2,0),"")),IFERROR(VLOOKUP($E145,INSUMOS!$B:$E,2,0),IFERROR(VLOOKUP($E145,COTAÇÕES!$C:$L,2,0),"")))</f>
        <v>CORRIMÃO ALÇA DE APOIO EM AÇO INOX 304 POLIDO, DIÂMETRO EXTERNO = 1 1/2"", ALTURA 92CM, INCLUSO CANOPLAS DE ACABAMENTOS</v>
      </c>
      <c r="H145" s="593" t="str">
        <f>IF($E145="",IFERROR(VLOOKUP($D145,SERVIÇOS!$C:$H,3,0),IFERROR(VLOOKUP($D145,$F:$M,3,0),"")),IFERROR(VLOOKUP($E145,INSUMOS!$B:$E,3,0),IFERROR(VLOOKUP($E145,COTAÇÕES!$C:$L,5,0),"")))</f>
        <v>M</v>
      </c>
      <c r="I145" s="614">
        <v>1</v>
      </c>
      <c r="J145" s="670">
        <f>IF($E145="",IFERROR(VLOOKUP($D145,SERVIÇOS!$C:$H,6,0),IFERROR(VLOOKUP($D145,$F:$M,8,0),"")),IFERROR(VLOOKUP($E145,INSUMOS!$B:$E,4,0),IFERROR(VLOOKUP($E145,COTAÇÕES!$C:$L,10,0),"")))</f>
        <v>747.70186335403719</v>
      </c>
      <c r="K145" s="615">
        <f>TRUNC(IF($E145="",IFERROR(VLOOKUP($D145,SERVIÇOS!$C:$H,4,0),IFERROR(VLOOKUP($D145,$F:$M,6,0),)),IFERROR(VLOOKUP($E145,INSUMOS!$B:$E,4,0),IFERROR(VLOOKUP($E145,COTAÇÕES!$C:$L,10,0),)))*$I145,2)</f>
        <v>747.7</v>
      </c>
      <c r="L145" s="616">
        <f>TRUNC(IF($E145="",IFERROR(VLOOKUP($D145,SERVIÇOS!$C:$H,5,0),IFERROR(VLOOKUP($D145,$F:$M,7,0),)),0)*$I145,2)</f>
        <v>0</v>
      </c>
      <c r="M145" s="617">
        <f t="shared" ref="M145:M147" si="83">K145+L145</f>
        <v>747.7</v>
      </c>
      <c r="N145" s="753" t="str">
        <f t="shared" si="64"/>
        <v>INSUMO SINAPI</v>
      </c>
      <c r="O145" s="640"/>
    </row>
    <row r="146" spans="2:15">
      <c r="B146" s="122">
        <f t="shared" si="81"/>
        <v>8.0500000000000007</v>
      </c>
      <c r="C146" s="611" t="str">
        <f t="shared" si="82"/>
        <v>C</v>
      </c>
      <c r="D146" s="660">
        <v>88251</v>
      </c>
      <c r="E146" s="661"/>
      <c r="F146" s="612"/>
      <c r="G146" s="613" t="str">
        <f>IF($E146="",IFERROR(VLOOKUP($D146,SERVIÇOS!$C:$H,2,0),IFERROR(VLOOKUP($D146,$F:$M,2,0),"")),IFERROR(VLOOKUP($E146,INSUMOS!$B:$E,2,0),IFERROR(VLOOKUP($E146,COTAÇÕES!$C:$L,2,0),"")))</f>
        <v>AUXILIAR DE SERRALHEIRO COM ENCARGOS COMPLEMENTARES</v>
      </c>
      <c r="H146" s="593" t="str">
        <f>IF($E146="",IFERROR(VLOOKUP($D146,SERVIÇOS!$C:$H,3,0),IFERROR(VLOOKUP($D146,$F:$M,3,0),"")),IFERROR(VLOOKUP($E146,INSUMOS!$B:$E,3,0),IFERROR(VLOOKUP($E146,COTAÇÕES!$C:$L,5,0),"")))</f>
        <v>H</v>
      </c>
      <c r="I146" s="621">
        <v>0.77800000000000002</v>
      </c>
      <c r="J146" s="670">
        <f>IF($E146="",IFERROR(VLOOKUP($D146,SERVIÇOS!$C:$H,6,0),IFERROR(VLOOKUP($D146,$F:$M,8,0),"")),IFERROR(VLOOKUP($E146,INSUMOS!$B:$E,4,0),IFERROR(VLOOKUP($E146,COTAÇÕES!$C:$L,10,0),"")))</f>
        <v>25.13</v>
      </c>
      <c r="K146" s="615">
        <f>TRUNC(IF($E146="",IFERROR(VLOOKUP($D146,SERVIÇOS!$C:$H,4,0),IFERROR(VLOOKUP($D146,$F:$M,6,0),)),IFERROR(VLOOKUP($E146,INSUMOS!$B:$E,4,0),IFERROR(VLOOKUP($E146,COTAÇÕES!$C:$L,10,0),)))*$I146,2)</f>
        <v>5.16</v>
      </c>
      <c r="L146" s="616">
        <f>TRUNC(IF($E146="",IFERROR(VLOOKUP($D146,SERVIÇOS!$C:$H,5,0),IFERROR(VLOOKUP($D146,$F:$M,7,0),)),0)*$I146,2)</f>
        <v>14.38</v>
      </c>
      <c r="M146" s="617">
        <f t="shared" si="83"/>
        <v>19.54</v>
      </c>
      <c r="N146" s="753" t="str">
        <f t="shared" si="64"/>
        <v>SERVIÇO SINAPI</v>
      </c>
      <c r="O146" s="618"/>
    </row>
    <row r="147" spans="2:15">
      <c r="B147" s="122">
        <f t="shared" si="81"/>
        <v>8.0500000000000007</v>
      </c>
      <c r="C147" s="611" t="str">
        <f t="shared" si="82"/>
        <v>C</v>
      </c>
      <c r="D147" s="660">
        <v>88315</v>
      </c>
      <c r="E147" s="661"/>
      <c r="F147" s="612"/>
      <c r="G147" s="613" t="str">
        <f>IF($E147="",IFERROR(VLOOKUP($D147,SERVIÇOS!$C:$H,2,0),IFERROR(VLOOKUP($D147,$F:$M,2,0),"")),IFERROR(VLOOKUP($E147,INSUMOS!$B:$E,2,0),IFERROR(VLOOKUP($E147,COTAÇÕES!$C:$L,2,0),"")))</f>
        <v>SERRALHEIRO COM ENCARGOS COMPLEMENTARES</v>
      </c>
      <c r="H147" s="593" t="str">
        <f>IF($E147="",IFERROR(VLOOKUP($D147,SERVIÇOS!$C:$H,3,0),IFERROR(VLOOKUP($D147,$F:$M,3,0),"")),IFERROR(VLOOKUP($E147,INSUMOS!$B:$E,3,0),IFERROR(VLOOKUP($E147,COTAÇÕES!$C:$L,5,0),"")))</f>
        <v>H</v>
      </c>
      <c r="I147" s="621">
        <v>0.94799999999999995</v>
      </c>
      <c r="J147" s="670">
        <f>IF($E147="",IFERROR(VLOOKUP($D147,SERVIÇOS!$C:$H,6,0),IFERROR(VLOOKUP($D147,$F:$M,8,0),"")),IFERROR(VLOOKUP($E147,INSUMOS!$B:$E,4,0),IFERROR(VLOOKUP($E147,COTAÇÕES!$C:$L,10,0),"")))</f>
        <v>30.8</v>
      </c>
      <c r="K147" s="615">
        <f>TRUNC(IF($E147="",IFERROR(VLOOKUP($D147,SERVIÇOS!$C:$H,4,0),IFERROR(VLOOKUP($D147,$F:$M,6,0),)),IFERROR(VLOOKUP($E147,INSUMOS!$B:$E,4,0),IFERROR(VLOOKUP($E147,COTAÇÕES!$C:$L,10,0),)))*$I147,2)</f>
        <v>6.29</v>
      </c>
      <c r="L147" s="616">
        <f>TRUNC(IF($E147="",IFERROR(VLOOKUP($D147,SERVIÇOS!$C:$H,5,0),IFERROR(VLOOKUP($D147,$F:$M,7,0),)),0)*$I147,2)</f>
        <v>22.9</v>
      </c>
      <c r="M147" s="617">
        <f t="shared" si="83"/>
        <v>29.189999999999998</v>
      </c>
      <c r="N147" s="753" t="str">
        <f t="shared" si="64"/>
        <v>SERVIÇO SINAPI</v>
      </c>
      <c r="O147" s="618"/>
    </row>
    <row r="148" spans="2:15">
      <c r="B148" s="769">
        <f>SUMIF(ORC!$G$11:$G$2470,CPU!$F148,ORC!$J$11:$J$2470)</f>
        <v>26.9</v>
      </c>
      <c r="C148" s="515" t="s">
        <v>2239</v>
      </c>
      <c r="D148" s="515"/>
      <c r="E148" s="515"/>
      <c r="F148" s="515" t="s">
        <v>8666</v>
      </c>
      <c r="G148" s="516" t="s">
        <v>8667</v>
      </c>
      <c r="H148" s="515" t="s">
        <v>648</v>
      </c>
      <c r="I148" s="595"/>
      <c r="J148" s="596"/>
      <c r="K148" s="597">
        <f>SUM(K149:K151)</f>
        <v>1362.94</v>
      </c>
      <c r="L148" s="597">
        <f>SUM(L149:L151)</f>
        <v>85.3</v>
      </c>
      <c r="M148" s="596">
        <f>SUM(K148:L148)</f>
        <v>1448.24</v>
      </c>
      <c r="N148" s="598" t="s">
        <v>8668</v>
      </c>
      <c r="O148" s="599"/>
    </row>
    <row r="149" spans="2:15">
      <c r="B149" s="122">
        <f t="shared" ref="B149:B151" si="84">B148</f>
        <v>26.9</v>
      </c>
      <c r="C149" s="611" t="str">
        <f t="shared" ref="C149" si="85">IF(D149&lt;&gt;"","C",IF(E149&lt;&gt;"","I",""))</f>
        <v>I</v>
      </c>
      <c r="D149" s="660"/>
      <c r="E149" s="661" t="s">
        <v>9142</v>
      </c>
      <c r="F149" s="612"/>
      <c r="G149" s="613" t="str">
        <f>IF($E149="",IFERROR(VLOOKUP($D149,SERVIÇOS!$C:$H,2,0),IFERROR(VLOOKUP($D149,$F:$M,2,0),"")),IFERROR(VLOOKUP($E149,INSUMOS!$B:$E,2,0),IFERROR(VLOOKUP($E149,COTAÇÕES!$C:$L,2,0),"")))</f>
        <v>GUARDA-CORPO EM TUBO DE AÇO INOX D = 1 1/2", ALTURA 70CM, COM PILARES TUBO 40X40MM</v>
      </c>
      <c r="H149" s="593" t="str">
        <f>IF($E149="",IFERROR(VLOOKUP($D149,SERVIÇOS!$C:$H,3,0),IFERROR(VLOOKUP($D149,$F:$M,3,0),"")),IFERROR(VLOOKUP($E149,INSUMOS!$B:$E,3,0),IFERROR(VLOOKUP($E149,COTAÇÕES!$C:$L,5,0),"")))</f>
        <v>M</v>
      </c>
      <c r="I149" s="621">
        <f>(0.7+1)*1.5</f>
        <v>2.5499999999999998</v>
      </c>
      <c r="J149" s="670">
        <f>IF($E149="",IFERROR(VLOOKUP($D149,SERVIÇOS!$C:$H,6,0),IFERROR(VLOOKUP($D149,$F:$M,8,0),"")),IFERROR(VLOOKUP($E149,INSUMOS!$B:$E,4,0),IFERROR(VLOOKUP($E149,COTAÇÕES!$C:$L,10,0),"")))</f>
        <v>524.07063197026025</v>
      </c>
      <c r="K149" s="615">
        <f>TRUNC(IF($E149="",IFERROR(VLOOKUP($D149,SERVIÇOS!$C:$H,4,0),IFERROR(VLOOKUP($D149,$F:$M,6,0),)),IFERROR(VLOOKUP($E149,INSUMOS!$B:$E,4,0),IFERROR(VLOOKUP($E149,COTAÇÕES!$C:$L,10,0),)))*$I149,2)</f>
        <v>1336.38</v>
      </c>
      <c r="L149" s="616">
        <f>TRUNC(IF($E149="",IFERROR(VLOOKUP($D149,SERVIÇOS!$C:$H,5,0),IFERROR(VLOOKUP($D149,$F:$M,7,0),)),0)*$I149,2)</f>
        <v>0</v>
      </c>
      <c r="M149" s="617">
        <f t="shared" ref="M149" si="86">K149+L149</f>
        <v>1336.38</v>
      </c>
      <c r="N149" s="753" t="s">
        <v>6845</v>
      </c>
      <c r="O149" s="618"/>
    </row>
    <row r="150" spans="2:15">
      <c r="B150" s="122">
        <f t="shared" si="84"/>
        <v>26.9</v>
      </c>
      <c r="C150" s="611" t="str">
        <f t="shared" ref="C150:C151" si="87">IF(D150&lt;&gt;"","C",IF(E150&lt;&gt;"","I",""))</f>
        <v>C</v>
      </c>
      <c r="D150" s="660">
        <v>88251</v>
      </c>
      <c r="E150" s="661"/>
      <c r="F150" s="612"/>
      <c r="G150" s="613" t="str">
        <f>IF($E150="",IFERROR(VLOOKUP($D150,SERVIÇOS!$C:$H,2,0),IFERROR(VLOOKUP($D150,$F:$M,2,0),"")),IFERROR(VLOOKUP($E150,INSUMOS!$B:$E,2,0),IFERROR(VLOOKUP($E150,COTAÇÕES!$C:$L,2,0),"")))</f>
        <v>AUXILIAR DE SERRALHEIRO COM ENCARGOS COMPLEMENTARES</v>
      </c>
      <c r="H150" s="593" t="str">
        <f>IF($E150="",IFERROR(VLOOKUP($D150,SERVIÇOS!$C:$H,3,0),IFERROR(VLOOKUP($D150,$F:$M,3,0),"")),IFERROR(VLOOKUP($E150,INSUMOS!$B:$E,3,0),IFERROR(VLOOKUP($E150,COTAÇÕES!$C:$L,5,0),"")))</f>
        <v>H</v>
      </c>
      <c r="I150" s="621">
        <v>2</v>
      </c>
      <c r="J150" s="670">
        <f>IF($E150="",IFERROR(VLOOKUP($D150,SERVIÇOS!$C:$H,6,0),IFERROR(VLOOKUP($D150,$F:$M,8,0),"")),IFERROR(VLOOKUP($E150,INSUMOS!$B:$E,4,0),IFERROR(VLOOKUP($E150,COTAÇÕES!$C:$L,10,0),"")))</f>
        <v>25.13</v>
      </c>
      <c r="K150" s="615">
        <f>TRUNC(IF($E150="",IFERROR(VLOOKUP($D150,SERVIÇOS!$C:$H,4,0),IFERROR(VLOOKUP($D150,$F:$M,6,0),)),IFERROR(VLOOKUP($E150,INSUMOS!$B:$E,4,0),IFERROR(VLOOKUP($E150,COTAÇÕES!$C:$L,10,0),)))*$I150,2)</f>
        <v>13.28</v>
      </c>
      <c r="L150" s="616">
        <f>TRUNC(IF($E150="",IFERROR(VLOOKUP($D150,SERVIÇOS!$C:$H,5,0),IFERROR(VLOOKUP($D150,$F:$M,7,0),)),0)*$I150,2)</f>
        <v>36.979999999999997</v>
      </c>
      <c r="M150" s="617">
        <f t="shared" ref="M150:M151" si="88">K150+L150</f>
        <v>50.26</v>
      </c>
      <c r="N150" s="753" t="str">
        <f t="shared" si="64"/>
        <v>SERVIÇO SINAPI</v>
      </c>
      <c r="O150" s="618"/>
    </row>
    <row r="151" spans="2:15">
      <c r="B151" s="122">
        <f t="shared" si="84"/>
        <v>26.9</v>
      </c>
      <c r="C151" s="611" t="str">
        <f t="shared" si="87"/>
        <v>C</v>
      </c>
      <c r="D151" s="660">
        <v>88315</v>
      </c>
      <c r="E151" s="661"/>
      <c r="F151" s="612"/>
      <c r="G151" s="613" t="str">
        <f>IF($E151="",IFERROR(VLOOKUP($D151,SERVIÇOS!$C:$H,2,0),IFERROR(VLOOKUP($D151,$F:$M,2,0),"")),IFERROR(VLOOKUP($E151,INSUMOS!$B:$E,2,0),IFERROR(VLOOKUP($E151,COTAÇÕES!$C:$L,2,0),"")))</f>
        <v>SERRALHEIRO COM ENCARGOS COMPLEMENTARES</v>
      </c>
      <c r="H151" s="593" t="str">
        <f>IF($E151="",IFERROR(VLOOKUP($D151,SERVIÇOS!$C:$H,3,0),IFERROR(VLOOKUP($D151,$F:$M,3,0),"")),IFERROR(VLOOKUP($E151,INSUMOS!$B:$E,3,0),IFERROR(VLOOKUP($E151,COTAÇÕES!$C:$L,5,0),"")))</f>
        <v>H</v>
      </c>
      <c r="I151" s="621">
        <v>2</v>
      </c>
      <c r="J151" s="670">
        <f>IF($E151="",IFERROR(VLOOKUP($D151,SERVIÇOS!$C:$H,6,0),IFERROR(VLOOKUP($D151,$F:$M,8,0),"")),IFERROR(VLOOKUP($E151,INSUMOS!$B:$E,4,0),IFERROR(VLOOKUP($E151,COTAÇÕES!$C:$L,10,0),"")))</f>
        <v>30.8</v>
      </c>
      <c r="K151" s="615">
        <f>TRUNC(IF($E151="",IFERROR(VLOOKUP($D151,SERVIÇOS!$C:$H,4,0),IFERROR(VLOOKUP($D151,$F:$M,6,0),)),IFERROR(VLOOKUP($E151,INSUMOS!$B:$E,4,0),IFERROR(VLOOKUP($E151,COTAÇÕES!$C:$L,10,0),)))*$I151,2)</f>
        <v>13.28</v>
      </c>
      <c r="L151" s="616">
        <f>TRUNC(IF($E151="",IFERROR(VLOOKUP($D151,SERVIÇOS!$C:$H,5,0),IFERROR(VLOOKUP($D151,$F:$M,7,0),)),0)*$I151,2)</f>
        <v>48.32</v>
      </c>
      <c r="M151" s="617">
        <f t="shared" si="88"/>
        <v>61.6</v>
      </c>
      <c r="N151" s="753" t="str">
        <f t="shared" si="64"/>
        <v>SERVIÇO SINAPI</v>
      </c>
      <c r="O151" s="618"/>
    </row>
    <row r="152" spans="2:15">
      <c r="B152" s="769">
        <f>SUMIF(ORC!$G$11:$G$2470,CPU!$F152,ORC!$J$11:$J$2470)</f>
        <v>19.899999999999999</v>
      </c>
      <c r="C152" s="515" t="s">
        <v>2239</v>
      </c>
      <c r="D152" s="515"/>
      <c r="E152" s="515"/>
      <c r="F152" s="515" t="s">
        <v>2875</v>
      </c>
      <c r="G152" s="516" t="s">
        <v>8669</v>
      </c>
      <c r="H152" s="515" t="s">
        <v>648</v>
      </c>
      <c r="I152" s="595"/>
      <c r="J152" s="596"/>
      <c r="K152" s="597">
        <f>SUM(K153:K155)</f>
        <v>1679.51</v>
      </c>
      <c r="L152" s="597">
        <f>SUM(L153:L155)</f>
        <v>85.3</v>
      </c>
      <c r="M152" s="596">
        <f>SUM(K152:L152)</f>
        <v>1764.81</v>
      </c>
      <c r="N152" s="598" t="s">
        <v>8668</v>
      </c>
      <c r="O152" s="599"/>
    </row>
    <row r="153" spans="2:15">
      <c r="B153" s="122">
        <f t="shared" ref="B153:B155" si="89">B152</f>
        <v>19.899999999999999</v>
      </c>
      <c r="C153" s="611" t="str">
        <f t="shared" ref="C153:C155" si="90">IF(D153&lt;&gt;"","C",IF(E153&lt;&gt;"","I",""))</f>
        <v>I</v>
      </c>
      <c r="D153" s="660"/>
      <c r="E153" s="661" t="s">
        <v>9143</v>
      </c>
      <c r="F153" s="612"/>
      <c r="G153" s="613" t="str">
        <f>IF($E153="",IFERROR(VLOOKUP($D153,SERVIÇOS!$C:$H,2,0),IFERROR(VLOOKUP($D153,$F:$M,2,0),"")),IFERROR(VLOOKUP($E153,INSUMOS!$B:$E,2,0),IFERROR(VLOOKUP($E153,COTAÇÕES!$C:$L,2,0),"")))</f>
        <v>GUARDA-CORPO EM TUBO DE AÇO INOX D = 1 1/2", ALTURA 110CM, COM PILARES TUBO 40X40MM</v>
      </c>
      <c r="H153" s="593" t="str">
        <f>IF($E153="",IFERROR(VLOOKUP($D153,SERVIÇOS!$C:$H,3,0),IFERROR(VLOOKUP($D153,$F:$M,3,0),"")),IFERROR(VLOOKUP($E153,INSUMOS!$B:$E,3,0),IFERROR(VLOOKUP($E153,COTAÇÕES!$C:$L,5,0),"")))</f>
        <v>M</v>
      </c>
      <c r="I153" s="621">
        <f>(1.1+1)*1.5</f>
        <v>3.1500000000000004</v>
      </c>
      <c r="J153" s="670">
        <f>IF($E153="",IFERROR(VLOOKUP($D153,SERVIÇOS!$C:$H,6,0),IFERROR(VLOOKUP($D153,$F:$M,8,0),"")),IFERROR(VLOOKUP($E153,INSUMOS!$B:$E,4,0),IFERROR(VLOOKUP($E153,COTAÇÕES!$C:$L,10,0),"")))</f>
        <v>524.748743718593</v>
      </c>
      <c r="K153" s="615">
        <f>TRUNC(IF($E153="",IFERROR(VLOOKUP($D153,SERVIÇOS!$C:$H,4,0),IFERROR(VLOOKUP($D153,$F:$M,6,0),)),IFERROR(VLOOKUP($E153,INSUMOS!$B:$E,4,0),IFERROR(VLOOKUP($E153,COTAÇÕES!$C:$L,10,0),)))*$I153,2)</f>
        <v>1652.95</v>
      </c>
      <c r="L153" s="616">
        <f>TRUNC(IF($E153="",IFERROR(VLOOKUP($D153,SERVIÇOS!$C:$H,5,0),IFERROR(VLOOKUP($D153,$F:$M,7,0),)),0)*$I153,2)</f>
        <v>0</v>
      </c>
      <c r="M153" s="617">
        <f t="shared" ref="M153:M155" si="91">K153+L153</f>
        <v>1652.95</v>
      </c>
      <c r="N153" s="753" t="s">
        <v>6845</v>
      </c>
      <c r="O153" s="618"/>
    </row>
    <row r="154" spans="2:15">
      <c r="B154" s="122">
        <f t="shared" si="89"/>
        <v>19.899999999999999</v>
      </c>
      <c r="C154" s="611" t="str">
        <f t="shared" si="90"/>
        <v>C</v>
      </c>
      <c r="D154" s="660">
        <v>88251</v>
      </c>
      <c r="E154" s="661"/>
      <c r="F154" s="612"/>
      <c r="G154" s="613" t="str">
        <f>IF($E154="",IFERROR(VLOOKUP($D154,SERVIÇOS!$C:$H,2,0),IFERROR(VLOOKUP($D154,$F:$M,2,0),"")),IFERROR(VLOOKUP($E154,INSUMOS!$B:$E,2,0),IFERROR(VLOOKUP($E154,COTAÇÕES!$C:$L,2,0),"")))</f>
        <v>AUXILIAR DE SERRALHEIRO COM ENCARGOS COMPLEMENTARES</v>
      </c>
      <c r="H154" s="593" t="str">
        <f>IF($E154="",IFERROR(VLOOKUP($D154,SERVIÇOS!$C:$H,3,0),IFERROR(VLOOKUP($D154,$F:$M,3,0),"")),IFERROR(VLOOKUP($E154,INSUMOS!$B:$E,3,0),IFERROR(VLOOKUP($E154,COTAÇÕES!$C:$L,5,0),"")))</f>
        <v>H</v>
      </c>
      <c r="I154" s="621">
        <v>2</v>
      </c>
      <c r="J154" s="670">
        <f>IF($E154="",IFERROR(VLOOKUP($D154,SERVIÇOS!$C:$H,6,0),IFERROR(VLOOKUP($D154,$F:$M,8,0),"")),IFERROR(VLOOKUP($E154,INSUMOS!$B:$E,4,0),IFERROR(VLOOKUP($E154,COTAÇÕES!$C:$L,10,0),"")))</f>
        <v>25.13</v>
      </c>
      <c r="K154" s="615">
        <f>TRUNC(IF($E154="",IFERROR(VLOOKUP($D154,SERVIÇOS!$C:$H,4,0),IFERROR(VLOOKUP($D154,$F:$M,6,0),)),IFERROR(VLOOKUP($E154,INSUMOS!$B:$E,4,0),IFERROR(VLOOKUP($E154,COTAÇÕES!$C:$L,10,0),)))*$I154,2)</f>
        <v>13.28</v>
      </c>
      <c r="L154" s="616">
        <f>TRUNC(IF($E154="",IFERROR(VLOOKUP($D154,SERVIÇOS!$C:$H,5,0),IFERROR(VLOOKUP($D154,$F:$M,7,0),)),0)*$I154,2)</f>
        <v>36.979999999999997</v>
      </c>
      <c r="M154" s="617">
        <f t="shared" si="91"/>
        <v>50.26</v>
      </c>
      <c r="N154" s="753" t="str">
        <f t="shared" si="64"/>
        <v>SERVIÇO SINAPI</v>
      </c>
      <c r="O154" s="618"/>
    </row>
    <row r="155" spans="2:15">
      <c r="B155" s="122">
        <f t="shared" si="89"/>
        <v>19.899999999999999</v>
      </c>
      <c r="C155" s="611" t="str">
        <f t="shared" si="90"/>
        <v>C</v>
      </c>
      <c r="D155" s="660">
        <v>88315</v>
      </c>
      <c r="E155" s="661"/>
      <c r="F155" s="612"/>
      <c r="G155" s="613" t="str">
        <f>IF($E155="",IFERROR(VLOOKUP($D155,SERVIÇOS!$C:$H,2,0),IFERROR(VLOOKUP($D155,$F:$M,2,0),"")),IFERROR(VLOOKUP($E155,INSUMOS!$B:$E,2,0),IFERROR(VLOOKUP($E155,COTAÇÕES!$C:$L,2,0),"")))</f>
        <v>SERRALHEIRO COM ENCARGOS COMPLEMENTARES</v>
      </c>
      <c r="H155" s="593" t="str">
        <f>IF($E155="",IFERROR(VLOOKUP($D155,SERVIÇOS!$C:$H,3,0),IFERROR(VLOOKUP($D155,$F:$M,3,0),"")),IFERROR(VLOOKUP($E155,INSUMOS!$B:$E,3,0),IFERROR(VLOOKUP($E155,COTAÇÕES!$C:$L,5,0),"")))</f>
        <v>H</v>
      </c>
      <c r="I155" s="621">
        <v>2</v>
      </c>
      <c r="J155" s="670">
        <f>IF($E155="",IFERROR(VLOOKUP($D155,SERVIÇOS!$C:$H,6,0),IFERROR(VLOOKUP($D155,$F:$M,8,0),"")),IFERROR(VLOOKUP($E155,INSUMOS!$B:$E,4,0),IFERROR(VLOOKUP($E155,COTAÇÕES!$C:$L,10,0),"")))</f>
        <v>30.8</v>
      </c>
      <c r="K155" s="615">
        <f>TRUNC(IF($E155="",IFERROR(VLOOKUP($D155,SERVIÇOS!$C:$H,4,0),IFERROR(VLOOKUP($D155,$F:$M,6,0),)),IFERROR(VLOOKUP($E155,INSUMOS!$B:$E,4,0),IFERROR(VLOOKUP($E155,COTAÇÕES!$C:$L,10,0),)))*$I155,2)</f>
        <v>13.28</v>
      </c>
      <c r="L155" s="616">
        <f>TRUNC(IF($E155="",IFERROR(VLOOKUP($D155,SERVIÇOS!$C:$H,5,0),IFERROR(VLOOKUP($D155,$F:$M,7,0),)),0)*$I155,2)</f>
        <v>48.32</v>
      </c>
      <c r="M155" s="617">
        <f t="shared" si="91"/>
        <v>61.6</v>
      </c>
      <c r="N155" s="753" t="str">
        <f t="shared" si="64"/>
        <v>SERVIÇO SINAPI</v>
      </c>
      <c r="O155" s="618"/>
    </row>
    <row r="156" spans="2:15" ht="25.5">
      <c r="B156" s="769">
        <f>SUMIF(ORC!$G$11:$G$2470,CPU!$F156,ORC!$J$11:$J$2470)</f>
        <v>19.899999999999999</v>
      </c>
      <c r="C156" s="515" t="s">
        <v>2239</v>
      </c>
      <c r="D156" s="515"/>
      <c r="E156" s="515"/>
      <c r="F156" s="515" t="s">
        <v>2875</v>
      </c>
      <c r="G156" s="516" t="s">
        <v>7172</v>
      </c>
      <c r="H156" s="515" t="s">
        <v>649</v>
      </c>
      <c r="I156" s="595"/>
      <c r="J156" s="596"/>
      <c r="K156" s="597">
        <f>SUM(K157:K162)</f>
        <v>1191.6599999999999</v>
      </c>
      <c r="L156" s="597">
        <f>SUM(L157:L162)</f>
        <v>12.59</v>
      </c>
      <c r="M156" s="596">
        <f>SUM(K156:L156)</f>
        <v>1204.2499999999998</v>
      </c>
      <c r="N156" s="598" t="s">
        <v>7171</v>
      </c>
      <c r="O156" s="599"/>
    </row>
    <row r="157" spans="2:15">
      <c r="B157" s="122">
        <f t="shared" ref="B157:B162" si="92">B156</f>
        <v>19.899999999999999</v>
      </c>
      <c r="C157" s="611" t="str">
        <f t="shared" ref="C157:C162" si="93">IF(D157&lt;&gt;"","C",IF(E157&lt;&gt;"","I",""))</f>
        <v>C</v>
      </c>
      <c r="D157" s="660">
        <v>88309</v>
      </c>
      <c r="E157" s="661"/>
      <c r="F157" s="612"/>
      <c r="G157" s="613" t="str">
        <f>IF($E157="",IFERROR(VLOOKUP($D157,SERVIÇOS!$C:$H,2,0),IFERROR(VLOOKUP($D157,$F:$M,2,0),"")),IFERROR(VLOOKUP($E157,INSUMOS!$B:$E,2,0),IFERROR(VLOOKUP($E157,COTAÇÕES!$C:$L,2,0),"")))</f>
        <v>PEDREIRO COM ENCARGOS COMPLEMENTARES</v>
      </c>
      <c r="H157" s="593" t="str">
        <f>IF($E157="",IFERROR(VLOOKUP($D157,SERVIÇOS!$C:$H,3,0),IFERROR(VLOOKUP($D157,$F:$M,3,0),"")),IFERROR(VLOOKUP($E157,INSUMOS!$B:$E,3,0),IFERROR(VLOOKUP($E157,COTAÇÕES!$C:$L,5,0),"")))</f>
        <v>H</v>
      </c>
      <c r="I157" s="614">
        <v>0.3826</v>
      </c>
      <c r="J157" s="670">
        <f>IF($E157="",IFERROR(VLOOKUP($D157,SERVIÇOS!$C:$H,6,0),IFERROR(VLOOKUP($D157,$F:$M,8,0),"")),IFERROR(VLOOKUP($E157,INSUMOS!$B:$E,4,0),IFERROR(VLOOKUP($E157,COTAÇÕES!$C:$L,10,0),"")))</f>
        <v>30.99</v>
      </c>
      <c r="K157" s="615">
        <f>TRUNC(IF($E157="",IFERROR(VLOOKUP($D157,SERVIÇOS!$C:$H,4,0),IFERROR(VLOOKUP($D157,$F:$M,6,0),)),IFERROR(VLOOKUP($E157,INSUMOS!$B:$E,4,0),IFERROR(VLOOKUP($E157,COTAÇÕES!$C:$L,10,0),)))*$I157,2)</f>
        <v>2.54</v>
      </c>
      <c r="L157" s="616">
        <f>TRUNC(IF($E157="",IFERROR(VLOOKUP($D157,SERVIÇOS!$C:$H,5,0),IFERROR(VLOOKUP($D157,$F:$M,7,0),)),0)*$I157,2)</f>
        <v>9.31</v>
      </c>
      <c r="M157" s="617">
        <f t="shared" ref="M157:M162" si="94">K157+L157</f>
        <v>11.850000000000001</v>
      </c>
      <c r="N157" s="753" t="str">
        <f t="shared" ref="N157:N162" si="95">IF($D157&lt;&gt;"","SERVIÇO SINAPI",IF($E157&lt;&gt;"","INSUMO SINAPI",""))</f>
        <v>SERVIÇO SINAPI</v>
      </c>
      <c r="O157" s="640"/>
    </row>
    <row r="158" spans="2:15">
      <c r="B158" s="122">
        <f t="shared" si="92"/>
        <v>19.899999999999999</v>
      </c>
      <c r="C158" s="611" t="str">
        <f t="shared" si="93"/>
        <v>C</v>
      </c>
      <c r="D158" s="660">
        <v>88316</v>
      </c>
      <c r="E158" s="661"/>
      <c r="F158" s="612"/>
      <c r="G158" s="613" t="str">
        <f>IF($E158="",IFERROR(VLOOKUP($D158,SERVIÇOS!$C:$H,2,0),IFERROR(VLOOKUP($D158,$F:$M,2,0),"")),IFERROR(VLOOKUP($E158,INSUMOS!$B:$E,2,0),IFERROR(VLOOKUP($E158,COTAÇÕES!$C:$L,2,0),"")))</f>
        <v>SERVENTE COM ENCARGOS COMPLEMENTARES</v>
      </c>
      <c r="H158" s="593" t="str">
        <f>IF($E158="",IFERROR(VLOOKUP($D158,SERVIÇOS!$C:$H,3,0),IFERROR(VLOOKUP($D158,$F:$M,3,0),"")),IFERROR(VLOOKUP($E158,INSUMOS!$B:$E,3,0),IFERROR(VLOOKUP($E158,COTAÇÕES!$C:$L,5,0),"")))</f>
        <v>H</v>
      </c>
      <c r="I158" s="621">
        <v>0.191</v>
      </c>
      <c r="J158" s="670">
        <f>IF($E158="",IFERROR(VLOOKUP($D158,SERVIÇOS!$C:$H,6,0),IFERROR(VLOOKUP($D158,$F:$M,8,0),"")),IFERROR(VLOOKUP($E158,INSUMOS!$B:$E,4,0),IFERROR(VLOOKUP($E158,COTAÇÕES!$C:$L,10,0),"")))</f>
        <v>23.71</v>
      </c>
      <c r="K158" s="615">
        <f>TRUNC(IF($E158="",IFERROR(VLOOKUP($D158,SERVIÇOS!$C:$H,4,0),IFERROR(VLOOKUP($D158,$F:$M,6,0),)),IFERROR(VLOOKUP($E158,INSUMOS!$B:$E,4,0),IFERROR(VLOOKUP($E158,COTAÇÕES!$C:$L,10,0),)))*$I158,2)</f>
        <v>1.24</v>
      </c>
      <c r="L158" s="616">
        <f>TRUNC(IF($E158="",IFERROR(VLOOKUP($D158,SERVIÇOS!$C:$H,5,0),IFERROR(VLOOKUP($D158,$F:$M,7,0),)),0)*$I158,2)</f>
        <v>3.28</v>
      </c>
      <c r="M158" s="617">
        <f t="shared" si="94"/>
        <v>4.5199999999999996</v>
      </c>
      <c r="N158" s="753" t="str">
        <f t="shared" si="95"/>
        <v>SERVIÇO SINAPI</v>
      </c>
      <c r="O158" s="618"/>
    </row>
    <row r="159" spans="2:15">
      <c r="B159" s="122">
        <f t="shared" si="92"/>
        <v>19.899999999999999</v>
      </c>
      <c r="C159" s="611" t="str">
        <f>IF(D159&lt;&gt;"","C",IF(E159&lt;&gt;"","I",""))</f>
        <v>I</v>
      </c>
      <c r="D159" s="660"/>
      <c r="E159" s="661">
        <v>142</v>
      </c>
      <c r="F159" s="612"/>
      <c r="G159" s="613" t="str">
        <f>IF($E159="",IFERROR(VLOOKUP($D159,SERVIÇOS!$C:$H,2,0),IFERROR(VLOOKUP($D159,$F:$M,2,0),"")),IFERROR(VLOOKUP($E159,INSUMOS!$B:$E,2,0),IFERROR(VLOOKUP($E159,COTAÇÕES!$C:$L,2,0),"")))</f>
        <v xml:space="preserve">SELANTE ELASTICO MONOCOMPONENTE A BASE DE POLIURETANO (PU) PARA JUNTAS DIVERSAS                                                                                                                                                                                                                                                                                                                                                                                                                           </v>
      </c>
      <c r="H159" s="593" t="str">
        <f>IF($E159="",IFERROR(VLOOKUP($D159,SERVIÇOS!$C:$H,3,0),IFERROR(VLOOKUP($D159,$F:$M,3,0),"")),IFERROR(VLOOKUP($E159,INSUMOS!$B:$E,3,0),IFERROR(VLOOKUP($E159,COTAÇÕES!$C:$L,5,0),"")))</f>
        <v xml:space="preserve">310ML </v>
      </c>
      <c r="I159" s="614">
        <v>0.88290000000000002</v>
      </c>
      <c r="J159" s="670">
        <f>IF($E159="",IFERROR(VLOOKUP($D159,SERVIÇOS!$C:$H,6,0),IFERROR(VLOOKUP($D159,$F:$M,8,0),"")),IFERROR(VLOOKUP($E159,INSUMOS!$B:$E,4,0),IFERROR(VLOOKUP($E159,COTAÇÕES!$C:$L,10,0),"")))</f>
        <v>32.75</v>
      </c>
      <c r="K159" s="615">
        <f>TRUNC(IF($E159="",IFERROR(VLOOKUP($D159,SERVIÇOS!$C:$H,4,0),IFERROR(VLOOKUP($D159,$F:$M,6,0),)),IFERROR(VLOOKUP($E159,INSUMOS!$B:$E,4,0),IFERROR(VLOOKUP($E159,COTAÇÕES!$C:$L,10,0),)))*$I159,2)</f>
        <v>28.91</v>
      </c>
      <c r="L159" s="616">
        <f>TRUNC(IF($E159="",IFERROR(VLOOKUP($D159,SERVIÇOS!$C:$H,5,0),IFERROR(VLOOKUP($D159,$F:$M,7,0),)),0)*$I159,2)</f>
        <v>0</v>
      </c>
      <c r="M159" s="617">
        <f t="shared" si="94"/>
        <v>28.91</v>
      </c>
      <c r="N159" s="753" t="str">
        <f t="shared" si="95"/>
        <v>INSUMO SINAPI</v>
      </c>
      <c r="O159" s="618"/>
    </row>
    <row r="160" spans="2:15" ht="25.5">
      <c r="B160" s="122">
        <f t="shared" si="92"/>
        <v>19.899999999999999</v>
      </c>
      <c r="C160" s="611" t="str">
        <f t="shared" si="93"/>
        <v>I</v>
      </c>
      <c r="D160" s="660"/>
      <c r="E160" s="661">
        <v>7568</v>
      </c>
      <c r="F160" s="612"/>
      <c r="G160" s="613" t="str">
        <f>IF($E160="",IFERROR(VLOOKUP($D160,SERVIÇOS!$C:$H,2,0),IFERROR(VLOOKUP($D160,$F:$M,2,0),"")),IFERROR(VLOOKUP($E160,INSUMOS!$B:$E,2,0),IFERROR(VLOOKUP($E160,COTAÇÕES!$C:$L,2,0),"")))</f>
        <v xml:space="preserve">BUCHA DE NYLON SEM ABA S10, COM PARAFUSO DE 6,10 X 65 MM EM ACO ZINCADO COM ROSCA SOBERBA, CABECA CHATA E FENDA PHILLIPS                                                                                                                                                                                                                                                                                                                                                                                  </v>
      </c>
      <c r="H160" s="593" t="str">
        <f>IF($E160="",IFERROR(VLOOKUP($D160,SERVIÇOS!$C:$H,3,0),IFERROR(VLOOKUP($D160,$F:$M,3,0),"")),IFERROR(VLOOKUP($E160,INSUMOS!$B:$E,3,0),IFERROR(VLOOKUP($E160,COTAÇÕES!$C:$L,5,0),"")))</f>
        <v xml:space="preserve">UN    </v>
      </c>
      <c r="I160" s="614">
        <v>4.8166000000000002</v>
      </c>
      <c r="J160" s="670">
        <f>IF($E160="",IFERROR(VLOOKUP($D160,SERVIÇOS!$C:$H,6,0),IFERROR(VLOOKUP($D160,$F:$M,8,0),"")),IFERROR(VLOOKUP($E160,INSUMOS!$B:$E,4,0),IFERROR(VLOOKUP($E160,COTAÇÕES!$C:$L,10,0),"")))</f>
        <v>0.73</v>
      </c>
      <c r="K160" s="615">
        <f>TRUNC(IF($E160="",IFERROR(VLOOKUP($D160,SERVIÇOS!$C:$H,4,0),IFERROR(VLOOKUP($D160,$F:$M,6,0),)),IFERROR(VLOOKUP($E160,INSUMOS!$B:$E,4,0),IFERROR(VLOOKUP($E160,COTAÇÕES!$C:$L,10,0),)))*$I160,2)</f>
        <v>3.51</v>
      </c>
      <c r="L160" s="616">
        <f>TRUNC(IF($E160="",IFERROR(VLOOKUP($D160,SERVIÇOS!$C:$H,5,0),IFERROR(VLOOKUP($D160,$F:$M,7,0),)),0)*$I160,2)</f>
        <v>0</v>
      </c>
      <c r="M160" s="617">
        <f t="shared" si="94"/>
        <v>3.51</v>
      </c>
      <c r="N160" s="753" t="str">
        <f t="shared" si="95"/>
        <v>INSUMO SINAPI</v>
      </c>
      <c r="O160" s="618"/>
    </row>
    <row r="161" spans="2:15" ht="25.5">
      <c r="B161" s="122">
        <f t="shared" si="92"/>
        <v>19.899999999999999</v>
      </c>
      <c r="C161" s="611" t="str">
        <f t="shared" si="93"/>
        <v>I</v>
      </c>
      <c r="D161" s="660"/>
      <c r="E161" s="661">
        <v>36888</v>
      </c>
      <c r="F161" s="612"/>
      <c r="G161" s="613" t="str">
        <f>IF($E161="",IFERROR(VLOOKUP($D161,SERVIÇOS!$C:$H,2,0),IFERROR(VLOOKUP($D161,$F:$M,2,0),"")),IFERROR(VLOOKUP($E161,INSUMOS!$B:$E,2,0),IFERROR(VLOOKUP($E161,COTAÇÕES!$C:$L,2,0),"")))</f>
        <v xml:space="preserve">GUARNICAO / MOLDURA / ARREMATE DE ACABAMENTO PARA ESQUADRIA, EM ALUMINIO PERFIL 25, ACABAMENTO ANODIZADO BRANCO OU BRILHANTE, PARA 1 FACE                                                                                                                                                                                                                                                                                                                                                                 </v>
      </c>
      <c r="H161" s="593" t="str">
        <f>IF($E161="",IFERROR(VLOOKUP($D161,SERVIÇOS!$C:$H,3,0),IFERROR(VLOOKUP($D161,$F:$M,3,0),"")),IFERROR(VLOOKUP($E161,INSUMOS!$B:$E,3,0),IFERROR(VLOOKUP($E161,COTAÇÕES!$C:$L,5,0),"")))</f>
        <v xml:space="preserve">M     </v>
      </c>
      <c r="I161" s="614">
        <v>6.8503999999999996</v>
      </c>
      <c r="J161" s="670">
        <f>IF($E161="",IFERROR(VLOOKUP($D161,SERVIÇOS!$C:$H,6,0),IFERROR(VLOOKUP($D161,$F:$M,8,0),"")),IFERROR(VLOOKUP($E161,INSUMOS!$B:$E,4,0),IFERROR(VLOOKUP($E161,COTAÇÕES!$C:$L,10,0),"")))</f>
        <v>27.12</v>
      </c>
      <c r="K161" s="615">
        <f>TRUNC(IF($E161="",IFERROR(VLOOKUP($D161,SERVIÇOS!$C:$H,4,0),IFERROR(VLOOKUP($D161,$F:$M,6,0),)),IFERROR(VLOOKUP($E161,INSUMOS!$B:$E,4,0),IFERROR(VLOOKUP($E161,COTAÇÕES!$C:$L,10,0),)))*$I161,2)</f>
        <v>185.78</v>
      </c>
      <c r="L161" s="616">
        <f>TRUNC(IF($E161="",IFERROR(VLOOKUP($D161,SERVIÇOS!$C:$H,5,0),IFERROR(VLOOKUP($D161,$F:$M,7,0),)),0)*$I161,2)</f>
        <v>0</v>
      </c>
      <c r="M161" s="617">
        <f t="shared" si="94"/>
        <v>185.78</v>
      </c>
      <c r="N161" s="753" t="str">
        <f t="shared" si="95"/>
        <v>INSUMO SINAPI</v>
      </c>
      <c r="O161" s="618"/>
    </row>
    <row r="162" spans="2:15" ht="25.5">
      <c r="B162" s="122">
        <f t="shared" si="92"/>
        <v>19.899999999999999</v>
      </c>
      <c r="C162" s="611" t="str">
        <f t="shared" si="93"/>
        <v>I</v>
      </c>
      <c r="D162" s="660"/>
      <c r="E162" s="661">
        <v>4914</v>
      </c>
      <c r="F162" s="612"/>
      <c r="G162" s="613" t="str">
        <f>IF($E162="",IFERROR(VLOOKUP($D162,SERVIÇOS!$C:$H,2,0),IFERROR(VLOOKUP($D162,$F:$M,2,0),"")),IFERROR(VLOOKUP($E162,INSUMOS!$B:$E,2,0),IFERROR(VLOOKUP($E162,COTAÇÕES!$C:$L,2,0),"")))</f>
        <v xml:space="preserve">PORTA DE ABRIR EM ALUMINIO COM LAMBRI HORIZONTAL/LAMINADA, ACABAMENTO ANODIZADO NATURAL, SEM GUARNICAO/ALIZAR/VISTA                                                                                                                                                                                                                                                                                                                                                                                       </v>
      </c>
      <c r="H162" s="593" t="str">
        <f>IF($E162="",IFERROR(VLOOKUP($D162,SERVIÇOS!$C:$H,3,0),IFERROR(VLOOKUP($D162,$F:$M,3,0),"")),IFERROR(VLOOKUP($E162,INSUMOS!$B:$E,3,0),IFERROR(VLOOKUP($E162,COTAÇÕES!$C:$L,5,0),"")))</f>
        <v xml:space="preserve">M2    </v>
      </c>
      <c r="I162" s="621">
        <v>1</v>
      </c>
      <c r="J162" s="670">
        <f>IF($E162="",IFERROR(VLOOKUP($D162,SERVIÇOS!$C:$H,6,0),IFERROR(VLOOKUP($D162,$F:$M,8,0),"")),IFERROR(VLOOKUP($E162,INSUMOS!$B:$E,4,0),IFERROR(VLOOKUP($E162,COTAÇÕES!$C:$L,10,0),"")))</f>
        <v>969.68</v>
      </c>
      <c r="K162" s="615">
        <f>TRUNC(IF($E162="",IFERROR(VLOOKUP($D162,SERVIÇOS!$C:$H,4,0),IFERROR(VLOOKUP($D162,$F:$M,6,0),)),IFERROR(VLOOKUP($E162,INSUMOS!$B:$E,4,0),IFERROR(VLOOKUP($E162,COTAÇÕES!$C:$L,10,0),)))*$I162,2)</f>
        <v>969.68</v>
      </c>
      <c r="L162" s="616">
        <f>TRUNC(IF($E162="",IFERROR(VLOOKUP($D162,SERVIÇOS!$C:$H,5,0),IFERROR(VLOOKUP($D162,$F:$M,7,0),)),0)*$I162,2)</f>
        <v>0</v>
      </c>
      <c r="M162" s="617">
        <f t="shared" si="94"/>
        <v>969.68</v>
      </c>
      <c r="N162" s="753" t="str">
        <f t="shared" si="95"/>
        <v>INSUMO SINAPI</v>
      </c>
      <c r="O162" s="618"/>
    </row>
    <row r="163" spans="2:15" ht="25.5">
      <c r="B163" s="769">
        <f>SUMIF(ORC!$G$11:$G$2470,CPU!$F163,ORC!$J$11:$J$2470)</f>
        <v>260</v>
      </c>
      <c r="C163" s="515" t="s">
        <v>2239</v>
      </c>
      <c r="D163" s="515"/>
      <c r="E163" s="515"/>
      <c r="F163" s="515" t="s">
        <v>2939</v>
      </c>
      <c r="G163" s="516" t="s">
        <v>2680</v>
      </c>
      <c r="H163" s="515" t="s">
        <v>4860</v>
      </c>
      <c r="I163" s="595"/>
      <c r="J163" s="596"/>
      <c r="K163" s="597">
        <f>SUM(K164:K164)</f>
        <v>18</v>
      </c>
      <c r="L163" s="597">
        <f>SUM(L164:L164)</f>
        <v>0</v>
      </c>
      <c r="M163" s="596">
        <f>SUM(K163:L163)</f>
        <v>18</v>
      </c>
      <c r="N163" s="598"/>
      <c r="O163" s="599"/>
    </row>
    <row r="164" spans="2:15" ht="25.5">
      <c r="B164" s="122">
        <f>B163</f>
        <v>260</v>
      </c>
      <c r="C164" s="611" t="str">
        <f>IF(D164&lt;&gt;"","C",IF(E164&lt;&gt;"","I",""))</f>
        <v>I</v>
      </c>
      <c r="D164" s="660"/>
      <c r="E164" s="661">
        <v>10527</v>
      </c>
      <c r="F164" s="612"/>
      <c r="G164" s="613" t="str">
        <f>IF($E164="",IFERROR(VLOOKUP($D164,SERVIÇOS!$C:$H,2,0),IFERROR(VLOOKUP($D164,$F:$M,2,0),"")),IFERROR(VLOOKUP($E164,INSUMOS!$B:$E,2,0),IFERROR(VLOOKUP($E164,COTAÇÕES!$C:$L,2,0),"")))</f>
        <v xml:space="preserve">LOCACAO DE ANDAIME METALICO TUBULAR DE ENCAIXE, TIPO DE TORRE, COM LARGURA DE 1 ATE 1,5 M E ALTURA DE *1,00* M (INCLUSO SAPATAS FIXAS OU RODIZIOS)                                                                                                                                                                                                                                                                                                                                                        </v>
      </c>
      <c r="H164" s="593" t="str">
        <f>IF($E164="",IFERROR(VLOOKUP($D164,SERVIÇOS!$C:$H,3,0),IFERROR(VLOOKUP($D164,$F:$M,3,0),"")),IFERROR(VLOOKUP($E164,INSUMOS!$B:$E,3,0),IFERROR(VLOOKUP($E164,COTAÇÕES!$C:$L,5,0),"")))</f>
        <v xml:space="preserve">MXMES </v>
      </c>
      <c r="I164" s="614">
        <v>1</v>
      </c>
      <c r="J164" s="670">
        <f>IF($E164="",IFERROR(VLOOKUP($D164,SERVIÇOS!$C:$H,6,0),IFERROR(VLOOKUP($D164,$F:$M,8,0),"")),IFERROR(VLOOKUP($E164,INSUMOS!$B:$E,4,0),IFERROR(VLOOKUP($E164,COTAÇÕES!$C:$L,10,0),"")))</f>
        <v>18</v>
      </c>
      <c r="K164" s="615">
        <f>TRUNC(IF($E164="",IFERROR(VLOOKUP($D164,SERVIÇOS!$C:$H,4,0),IFERROR(VLOOKUP($D164,$F:$M,6,0),)),IFERROR(VLOOKUP($E164,INSUMOS!$B:$E,4,0),IFERROR(VLOOKUP($E164,COTAÇÕES!$C:$L,10,0),)))*$I164,2)</f>
        <v>18</v>
      </c>
      <c r="L164" s="616">
        <f>TRUNC(IF($E164="",IFERROR(VLOOKUP($D164,SERVIÇOS!$C:$H,5,0),IFERROR(VLOOKUP($D164,$F:$M,7,0),)),0)*$I164,2)</f>
        <v>0</v>
      </c>
      <c r="M164" s="617">
        <f>K164+L164</f>
        <v>18</v>
      </c>
      <c r="N164" s="753" t="str">
        <f>IF($D164&lt;&gt;"","SERVIÇO SINAPI",IF($E164&lt;&gt;"","INSUMO SINAPI",""))</f>
        <v>INSUMO SINAPI</v>
      </c>
      <c r="O164" s="618"/>
    </row>
    <row r="165" spans="2:15" ht="22.5">
      <c r="B165" s="769">
        <v>1</v>
      </c>
      <c r="C165" s="515" t="s">
        <v>2239</v>
      </c>
      <c r="D165" s="515"/>
      <c r="E165" s="515"/>
      <c r="F165" s="515" t="s">
        <v>2876</v>
      </c>
      <c r="G165" s="516" t="s">
        <v>7520</v>
      </c>
      <c r="H165" s="515" t="s">
        <v>649</v>
      </c>
      <c r="I165" s="595"/>
      <c r="J165" s="596"/>
      <c r="K165" s="597">
        <f>SUM(K166:K167)</f>
        <v>933.16</v>
      </c>
      <c r="L165" s="597">
        <f>SUM(L166:L167)</f>
        <v>22.81</v>
      </c>
      <c r="M165" s="596">
        <f>SUM(K165:L165)</f>
        <v>955.96999999999991</v>
      </c>
      <c r="N165" s="598" t="s">
        <v>7542</v>
      </c>
      <c r="O165" s="622"/>
    </row>
    <row r="166" spans="2:15">
      <c r="B166" s="122">
        <f t="shared" ref="B166:B167" si="96">B165</f>
        <v>1</v>
      </c>
      <c r="C166" s="611" t="str">
        <f>IF(D166&lt;&gt;"","C",IF(E166&lt;&gt;"","I",""))</f>
        <v>C</v>
      </c>
      <c r="D166" s="892">
        <v>88261</v>
      </c>
      <c r="E166" s="661"/>
      <c r="F166" s="612"/>
      <c r="G166" s="613" t="str">
        <f>IF($E166="",IFERROR(VLOOKUP($D166,SERVIÇOS!$C:$H,2,0),IFERROR(VLOOKUP($D166,$F:$M,2,0),"")),IFERROR(VLOOKUP($E166,INSUMOS!$B:$E,2,0),IFERROR(VLOOKUP($E166,COTAÇÕES!$C:$L,2,0),"")))</f>
        <v>CARPINTEIRO DE ESQUADRIA COM ENCARGOS COMPLEMENTARES</v>
      </c>
      <c r="H166" s="593" t="str">
        <f>IF($E166="",IFERROR(VLOOKUP($D166,SERVIÇOS!$C:$H,3,0),IFERROR(VLOOKUP($D166,$F:$M,3,0),"")),IFERROR(VLOOKUP($E166,INSUMOS!$B:$E,3,0),IFERROR(VLOOKUP($E166,COTAÇÕES!$C:$L,5,0),"")))</f>
        <v>H</v>
      </c>
      <c r="I166" s="614">
        <v>1</v>
      </c>
      <c r="J166" s="670">
        <f>IF($E166="",IFERROR(VLOOKUP($D166,SERVIÇOS!$C:$H,6,0),IFERROR(VLOOKUP($D166,$F:$M,8,0),"")),IFERROR(VLOOKUP($E166,INSUMOS!$B:$E,4,0),IFERROR(VLOOKUP($E166,COTAÇÕES!$C:$L,10,0),"")))</f>
        <v>29.33</v>
      </c>
      <c r="K166" s="615">
        <f>TRUNC(IF($E166="",IFERROR(VLOOKUP($D166,SERVIÇOS!$C:$H,4,0),IFERROR(VLOOKUP($D166,$F:$M,6,0),)),IFERROR(VLOOKUP($E166,INSUMOS!$B:$E,4,0),IFERROR(VLOOKUP($E166,COTAÇÕES!$C:$L,10,0),)))*$I166,2)</f>
        <v>6.52</v>
      </c>
      <c r="L166" s="616">
        <f>TRUNC(IF($E166="",IFERROR(VLOOKUP($D166,SERVIÇOS!$C:$H,5,0),IFERROR(VLOOKUP($D166,$F:$M,7,0),)),0)*$I166,2)</f>
        <v>22.81</v>
      </c>
      <c r="M166" s="617">
        <f>K166+L166</f>
        <v>29.33</v>
      </c>
      <c r="N166" s="753" t="str">
        <f>IF($D166&lt;&gt;"","SERVIÇO SINAPI",IF($E166&lt;&gt;"","INSUMO SINAPI",""))</f>
        <v>SERVIÇO SINAPI</v>
      </c>
      <c r="O166" s="618"/>
    </row>
    <row r="167" spans="2:15">
      <c r="B167" s="122">
        <f t="shared" si="96"/>
        <v>1</v>
      </c>
      <c r="C167" s="611" t="str">
        <f>IF(D167&lt;&gt;"","C",IF(E167&lt;&gt;"","I",""))</f>
        <v>I</v>
      </c>
      <c r="D167" s="892"/>
      <c r="E167" s="661" t="s">
        <v>9034</v>
      </c>
      <c r="F167" s="612"/>
      <c r="G167" s="613" t="str">
        <f>IF($E167="",IFERROR(VLOOKUP($D167,SERVIÇOS!$C:$H,2,0),IFERROR(VLOOKUP($D167,$F:$M,2,0),"")),IFERROR(VLOOKUP($E167,INSUMOS!$B:$E,2,0),IFERROR(VLOOKUP($E167,COTAÇÕES!$C:$L,2,0),"")))</f>
        <v>CHAPA DE PROTEÇÃO PARA PORTA EM AÇO INOX ESPESSURA 1MM</v>
      </c>
      <c r="H167" s="593" t="str">
        <f>IF($E167="",IFERROR(VLOOKUP($D167,SERVIÇOS!$C:$H,3,0),IFERROR(VLOOKUP($D167,$F:$M,3,0),"")),IFERROR(VLOOKUP($E167,INSUMOS!$B:$E,3,0),IFERROR(VLOOKUP($E167,COTAÇÕES!$C:$L,5,0),"")))</f>
        <v>M2</v>
      </c>
      <c r="I167" s="614">
        <v>1</v>
      </c>
      <c r="J167" s="670">
        <f>IF($E167="",IFERROR(VLOOKUP($D167,SERVIÇOS!$C:$H,6,0),IFERROR(VLOOKUP($D167,$F:$M,8,0),"")),IFERROR(VLOOKUP($E167,INSUMOS!$B:$E,4,0),IFERROR(VLOOKUP($E167,COTAÇÕES!$C:$L,10,0),"")))</f>
        <v>926.64583333333303</v>
      </c>
      <c r="K167" s="615">
        <f>TRUNC(IF($E167="",IFERROR(VLOOKUP($D167,SERVIÇOS!$C:$H,4,0),IFERROR(VLOOKUP($D167,$F:$M,6,0),)),IFERROR(VLOOKUP($E167,INSUMOS!$B:$E,4,0),IFERROR(VLOOKUP($E167,COTAÇÕES!$C:$L,10,0),)))*$I167,2)</f>
        <v>926.64</v>
      </c>
      <c r="L167" s="616">
        <f>TRUNC(IF($E167="",IFERROR(VLOOKUP($D167,SERVIÇOS!$C:$H,5,0),IFERROR(VLOOKUP($D167,$F:$M,7,0),)),0)*$I167,2)</f>
        <v>0</v>
      </c>
      <c r="M167" s="617">
        <f>K167+L167</f>
        <v>926.64</v>
      </c>
      <c r="N167" s="753" t="s">
        <v>6845</v>
      </c>
      <c r="O167" s="618"/>
    </row>
    <row r="168" spans="2:15">
      <c r="B168" s="769">
        <f>SUMIF(ORC!$G$11:$G$2470,CPU!$F168,ORC!$J$11:$J$2470)</f>
        <v>8</v>
      </c>
      <c r="C168" s="515" t="s">
        <v>2239</v>
      </c>
      <c r="D168" s="515"/>
      <c r="E168" s="515"/>
      <c r="F168" s="515" t="s">
        <v>2940</v>
      </c>
      <c r="G168" s="516" t="s">
        <v>3047</v>
      </c>
      <c r="H168" s="515" t="s">
        <v>646</v>
      </c>
      <c r="I168" s="595"/>
      <c r="J168" s="596"/>
      <c r="K168" s="597">
        <f>SUM(K169:K171)</f>
        <v>46.69</v>
      </c>
      <c r="L168" s="597">
        <f>SUM(L169:L171)</f>
        <v>9.379999999999999</v>
      </c>
      <c r="M168" s="596">
        <f>SUM(K168:L168)</f>
        <v>56.069999999999993</v>
      </c>
      <c r="N168" s="598" t="s">
        <v>7541</v>
      </c>
      <c r="O168" s="622" t="s">
        <v>5328</v>
      </c>
    </row>
    <row r="169" spans="2:15">
      <c r="B169" s="122">
        <f t="shared" ref="B169:B171" si="97">B168</f>
        <v>8</v>
      </c>
      <c r="C169" s="611" t="str">
        <f>IF(D169&lt;&gt;"","C",IF(E169&lt;&gt;"","I",""))</f>
        <v>C</v>
      </c>
      <c r="D169" s="660">
        <v>88267</v>
      </c>
      <c r="E169" s="661"/>
      <c r="F169" s="612"/>
      <c r="G169" s="613" t="str">
        <f>IF($E169="",IFERROR(VLOOKUP($D169,SERVIÇOS!$C:$H,2,0),IFERROR(VLOOKUP($D169,$F:$M,2,0),"")),IFERROR(VLOOKUP($E169,INSUMOS!$B:$E,2,0),IFERROR(VLOOKUP($E169,COTAÇÕES!$C:$L,2,0),"")))</f>
        <v>ENCANADOR OU BOMBEIRO HIDRÁULICO COM ENCARGOS COMPLEMENTARES</v>
      </c>
      <c r="H169" s="593" t="str">
        <f>IF($E169="",IFERROR(VLOOKUP($D169,SERVIÇOS!$C:$H,3,0),IFERROR(VLOOKUP($D169,$F:$M,3,0),"")),IFERROR(VLOOKUP($E169,INSUMOS!$B:$E,3,0),IFERROR(VLOOKUP($E169,COTAÇÕES!$C:$L,5,0),"")))</f>
        <v>H</v>
      </c>
      <c r="I169" s="614">
        <v>0.31619999999999998</v>
      </c>
      <c r="J169" s="670">
        <f>IF($E169="",IFERROR(VLOOKUP($D169,SERVIÇOS!$C:$H,6,0),IFERROR(VLOOKUP($D169,$F:$M,8,0),"")),IFERROR(VLOOKUP($E169,INSUMOS!$B:$E,4,0),IFERROR(VLOOKUP($E169,COTAÇÕES!$C:$L,10,0),"")))</f>
        <v>30.35</v>
      </c>
      <c r="K169" s="615">
        <f>TRUNC(IF($E169="",IFERROR(VLOOKUP($D169,SERVIÇOS!$C:$H,4,0),IFERROR(VLOOKUP($D169,$F:$M,6,0),)),IFERROR(VLOOKUP($E169,INSUMOS!$B:$E,4,0),IFERROR(VLOOKUP($E169,COTAÇÕES!$C:$L,10,0),)))*$I169,2)</f>
        <v>1.91</v>
      </c>
      <c r="L169" s="616">
        <f>TRUNC(IF($E169="",IFERROR(VLOOKUP($D169,SERVIÇOS!$C:$H,5,0),IFERROR(VLOOKUP($D169,$F:$M,7,0),)),0)*$I169,2)</f>
        <v>7.67</v>
      </c>
      <c r="M169" s="617">
        <f>K169+L169</f>
        <v>9.58</v>
      </c>
      <c r="N169" s="753" t="str">
        <f>IF($D169&lt;&gt;"","SERVIÇO SINAPI",IF($E169&lt;&gt;"","INSUMO SINAPI",""))</f>
        <v>SERVIÇO SINAPI</v>
      </c>
      <c r="O169" s="618"/>
    </row>
    <row r="170" spans="2:15">
      <c r="B170" s="122">
        <f t="shared" si="97"/>
        <v>8</v>
      </c>
      <c r="C170" s="611" t="str">
        <f>IF(D170&lt;&gt;"","C",IF(E170&lt;&gt;"","I",""))</f>
        <v>C</v>
      </c>
      <c r="D170" s="660">
        <v>88316</v>
      </c>
      <c r="E170" s="661"/>
      <c r="F170" s="612"/>
      <c r="G170" s="613" t="str">
        <f>IF($E170="",IFERROR(VLOOKUP($D170,SERVIÇOS!$C:$H,2,0),IFERROR(VLOOKUP($D170,$F:$M,2,0),"")),IFERROR(VLOOKUP($E170,INSUMOS!$B:$E,2,0),IFERROR(VLOOKUP($E170,COTAÇÕES!$C:$L,2,0),"")))</f>
        <v>SERVENTE COM ENCARGOS COMPLEMENTARES</v>
      </c>
      <c r="H170" s="593" t="str">
        <f>IF($E170="",IFERROR(VLOOKUP($D170,SERVIÇOS!$C:$H,3,0),IFERROR(VLOOKUP($D170,$F:$M,3,0),"")),IFERROR(VLOOKUP($E170,INSUMOS!$B:$E,3,0),IFERROR(VLOOKUP($E170,COTAÇÕES!$C:$L,5,0),"")))</f>
        <v>H</v>
      </c>
      <c r="I170" s="614">
        <v>9.9599999999999994E-2</v>
      </c>
      <c r="J170" s="670">
        <f>IF($E170="",IFERROR(VLOOKUP($D170,SERVIÇOS!$C:$H,6,0),IFERROR(VLOOKUP($D170,$F:$M,8,0),"")),IFERROR(VLOOKUP($E170,INSUMOS!$B:$E,4,0),IFERROR(VLOOKUP($E170,COTAÇÕES!$C:$L,10,0),"")))</f>
        <v>23.71</v>
      </c>
      <c r="K170" s="615">
        <f>TRUNC(IF($E170="",IFERROR(VLOOKUP($D170,SERVIÇOS!$C:$H,4,0),IFERROR(VLOOKUP($D170,$F:$M,6,0),)),IFERROR(VLOOKUP($E170,INSUMOS!$B:$E,4,0),IFERROR(VLOOKUP($E170,COTAÇÕES!$C:$L,10,0),)))*$I170,2)</f>
        <v>0.64</v>
      </c>
      <c r="L170" s="616">
        <f>TRUNC(IF($E170="",IFERROR(VLOOKUP($D170,SERVIÇOS!$C:$H,5,0),IFERROR(VLOOKUP($D170,$F:$M,7,0),)),0)*$I170,2)</f>
        <v>1.71</v>
      </c>
      <c r="M170" s="617">
        <f>K170+L170</f>
        <v>2.35</v>
      </c>
      <c r="N170" s="753" t="str">
        <f>IF($D170&lt;&gt;"","SERVIÇO SINAPI",IF($E170&lt;&gt;"","INSUMO SINAPI",""))</f>
        <v>SERVIÇO SINAPI</v>
      </c>
      <c r="O170" s="618"/>
    </row>
    <row r="171" spans="2:15">
      <c r="B171" s="122">
        <f t="shared" si="97"/>
        <v>8</v>
      </c>
      <c r="C171" s="611" t="str">
        <f>IF(D171&lt;&gt;"","C",IF(E171&lt;&gt;"","I",""))</f>
        <v>I</v>
      </c>
      <c r="D171" s="660"/>
      <c r="E171" s="662">
        <v>37401</v>
      </c>
      <c r="F171" s="612"/>
      <c r="G171" s="613" t="str">
        <f>IF($E171="",IFERROR(VLOOKUP($D171,SERVIÇOS!$C:$H,2,0),IFERROR(VLOOKUP($D171,$F:$M,2,0),"")),IFERROR(VLOOKUP($E171,INSUMOS!$B:$E,2,0),IFERROR(VLOOKUP($E171,COTAÇÕES!$C:$L,2,0),"")))</f>
        <v xml:space="preserve">TOALHEIRO PLASTICO TIPO DISPENSER PARA PAPEL TOALHA INTERFOLHADO                                                                                                                                                                                                                                                                                                                                                                                                                                          </v>
      </c>
      <c r="H171" s="593" t="str">
        <f>IF($E171="",IFERROR(VLOOKUP($D171,SERVIÇOS!$C:$H,3,0),IFERROR(VLOOKUP($D171,$F:$M,3,0),"")),IFERROR(VLOOKUP($E171,INSUMOS!$B:$E,3,0),IFERROR(VLOOKUP($E171,COTAÇÕES!$C:$L,5,0),"")))</f>
        <v xml:space="preserve">UN    </v>
      </c>
      <c r="I171" s="614">
        <v>1</v>
      </c>
      <c r="J171" s="670">
        <f>IF($E171="",IFERROR(VLOOKUP($D171,SERVIÇOS!$C:$H,6,0),IFERROR(VLOOKUP($D171,$F:$M,8,0),"")),IFERROR(VLOOKUP($E171,INSUMOS!$B:$E,4,0),IFERROR(VLOOKUP($E171,COTAÇÕES!$C:$L,10,0),"")))</f>
        <v>44.14</v>
      </c>
      <c r="K171" s="615">
        <f>TRUNC(IF($E171="",IFERROR(VLOOKUP($D171,SERVIÇOS!$C:$H,4,0),IFERROR(VLOOKUP($D171,$F:$M,6,0),)),IFERROR(VLOOKUP($E171,INSUMOS!$B:$E,4,0),IFERROR(VLOOKUP($E171,COTAÇÕES!$C:$L,10,0),)))*$I171,2)</f>
        <v>44.14</v>
      </c>
      <c r="L171" s="616">
        <f>TRUNC(IF($E171="",IFERROR(VLOOKUP($D171,SERVIÇOS!$C:$H,5,0),IFERROR(VLOOKUP($D171,$F:$M,7,0),)),0)*$I171,2)</f>
        <v>0</v>
      </c>
      <c r="M171" s="617">
        <f>K171+L171</f>
        <v>44.14</v>
      </c>
      <c r="N171" s="753" t="str">
        <f>IF($D171&lt;&gt;"","SERVIÇO SINAPI",IF($E171&lt;&gt;"","INSUMO SINAPI",""))</f>
        <v>INSUMO SINAPI</v>
      </c>
      <c r="O171" s="618"/>
    </row>
    <row r="172" spans="2:15" ht="25.5" hidden="1">
      <c r="B172" s="769">
        <f>SUMIF(ORC!$G$11:$G$2470,CPU!$F172,ORC!$J$11:$J$2470)</f>
        <v>0</v>
      </c>
      <c r="C172" s="515" t="s">
        <v>2239</v>
      </c>
      <c r="D172" s="515"/>
      <c r="E172" s="515"/>
      <c r="F172" s="515" t="s">
        <v>2941</v>
      </c>
      <c r="G172" s="516" t="s">
        <v>8394</v>
      </c>
      <c r="H172" s="515" t="s">
        <v>646</v>
      </c>
      <c r="I172" s="595"/>
      <c r="J172" s="596"/>
      <c r="K172" s="597">
        <f>SUM(K173:K182)</f>
        <v>308.83000000000004</v>
      </c>
      <c r="L172" s="597">
        <f>SUM(L173:L182)</f>
        <v>151.82999999999998</v>
      </c>
      <c r="M172" s="596">
        <f>SUM(K172:L172)</f>
        <v>460.66</v>
      </c>
      <c r="N172" s="598" t="s">
        <v>7186</v>
      </c>
      <c r="O172" s="610"/>
    </row>
    <row r="173" spans="2:15" hidden="1">
      <c r="B173" s="122">
        <f t="shared" ref="B173:B182" si="98">B172</f>
        <v>0</v>
      </c>
      <c r="C173" s="611" t="str">
        <f t="shared" ref="C173:C182" si="99">IF(D173&lt;&gt;"","C",IF(E173&lt;&gt;"","I",""))</f>
        <v>C</v>
      </c>
      <c r="D173" s="660">
        <v>88316</v>
      </c>
      <c r="E173" s="661"/>
      <c r="F173" s="612"/>
      <c r="G173" s="613" t="str">
        <f>IF($E173="",IFERROR(VLOOKUP($D173,SERVIÇOS!$C:$H,2,0),IFERROR(VLOOKUP($D173,$F:$M,2,0),"")),IFERROR(VLOOKUP($E173,INSUMOS!$B:$E,2,0),IFERROR(VLOOKUP($E173,COTAÇÕES!$C:$L,2,0),"")))</f>
        <v>SERVENTE COM ENCARGOS COMPLEMENTARES</v>
      </c>
      <c r="H173" s="593" t="str">
        <f>IF($E173="",IFERROR(VLOOKUP($D173,SERVIÇOS!$C:$H,3,0),IFERROR(VLOOKUP($D173,$F:$M,3,0),"")),IFERROR(VLOOKUP($E173,INSUMOS!$B:$E,3,0),IFERROR(VLOOKUP($E173,COTAÇÕES!$C:$L,5,0),"")))</f>
        <v>H</v>
      </c>
      <c r="I173" s="614">
        <v>0.5</v>
      </c>
      <c r="J173" s="670">
        <f>IF($E173="",IFERROR(VLOOKUP($D173,SERVIÇOS!$C:$H,6,0),IFERROR(VLOOKUP($D173,$F:$M,8,0),"")),IFERROR(VLOOKUP($E173,INSUMOS!$B:$E,4,0),IFERROR(VLOOKUP($E173,COTAÇÕES!$C:$L,10,0),"")))</f>
        <v>23.71</v>
      </c>
      <c r="K173" s="615">
        <f>TRUNC(IF($E173="",IFERROR(VLOOKUP($D173,SERVIÇOS!$C:$H,4,0),IFERROR(VLOOKUP($D173,$F:$M,6,0),)),IFERROR(VLOOKUP($E173,INSUMOS!$B:$E,4,0),IFERROR(VLOOKUP($E173,COTAÇÕES!$C:$L,10,0),)))*$I173,2)</f>
        <v>3.26</v>
      </c>
      <c r="L173" s="616">
        <f>TRUNC(IF($E173="",IFERROR(VLOOKUP($D173,SERVIÇOS!$C:$H,5,0),IFERROR(VLOOKUP($D173,$F:$M,7,0),)),0)*$I173,2)</f>
        <v>8.59</v>
      </c>
      <c r="M173" s="617">
        <f t="shared" ref="M173:M182" si="100">K173+L173</f>
        <v>11.85</v>
      </c>
      <c r="N173" s="753" t="str">
        <f t="shared" ref="N173:N182" si="101">IF($D173&lt;&gt;"","SERVIÇO SINAPI",IF($E173&lt;&gt;"","INSUMO SINAPI",""))</f>
        <v>SERVIÇO SINAPI</v>
      </c>
      <c r="O173" s="618"/>
    </row>
    <row r="174" spans="2:15" hidden="1">
      <c r="B174" s="122">
        <f t="shared" si="98"/>
        <v>0</v>
      </c>
      <c r="C174" s="611" t="str">
        <f t="shared" si="99"/>
        <v>C</v>
      </c>
      <c r="D174" s="660">
        <v>88309</v>
      </c>
      <c r="E174" s="661"/>
      <c r="F174" s="612"/>
      <c r="G174" s="613" t="str">
        <f>IF($E174="",IFERROR(VLOOKUP($D174,SERVIÇOS!$C:$H,2,0),IFERROR(VLOOKUP($D174,$F:$M,2,0),"")),IFERROR(VLOOKUP($E174,INSUMOS!$B:$E,2,0),IFERROR(VLOOKUP($E174,COTAÇÕES!$C:$L,2,0),"")))</f>
        <v>PEDREIRO COM ENCARGOS COMPLEMENTARES</v>
      </c>
      <c r="H174" s="593" t="str">
        <f>IF($E174="",IFERROR(VLOOKUP($D174,SERVIÇOS!$C:$H,3,0),IFERROR(VLOOKUP($D174,$F:$M,3,0),"")),IFERROR(VLOOKUP($E174,INSUMOS!$B:$E,3,0),IFERROR(VLOOKUP($E174,COTAÇÕES!$C:$L,5,0),"")))</f>
        <v>H</v>
      </c>
      <c r="I174" s="614">
        <v>0.5</v>
      </c>
      <c r="J174" s="670">
        <f>IF($E174="",IFERROR(VLOOKUP($D174,SERVIÇOS!$C:$H,6,0),IFERROR(VLOOKUP($D174,$F:$M,8,0),"")),IFERROR(VLOOKUP($E174,INSUMOS!$B:$E,4,0),IFERROR(VLOOKUP($E174,COTAÇÕES!$C:$L,10,0),"")))</f>
        <v>30.99</v>
      </c>
      <c r="K174" s="615">
        <f>TRUNC(IF($E174="",IFERROR(VLOOKUP($D174,SERVIÇOS!$C:$H,4,0),IFERROR(VLOOKUP($D174,$F:$M,6,0),)),IFERROR(VLOOKUP($E174,INSUMOS!$B:$E,4,0),IFERROR(VLOOKUP($E174,COTAÇÕES!$C:$L,10,0),)))*$I174,2)</f>
        <v>3.32</v>
      </c>
      <c r="L174" s="616">
        <f>TRUNC(IF($E174="",IFERROR(VLOOKUP($D174,SERVIÇOS!$C:$H,5,0),IFERROR(VLOOKUP($D174,$F:$M,7,0),)),0)*$I174,2)</f>
        <v>12.17</v>
      </c>
      <c r="M174" s="617">
        <f t="shared" si="100"/>
        <v>15.49</v>
      </c>
      <c r="N174" s="753" t="str">
        <f t="shared" si="101"/>
        <v>SERVIÇO SINAPI</v>
      </c>
      <c r="O174" s="618"/>
    </row>
    <row r="175" spans="2:15" hidden="1">
      <c r="B175" s="122">
        <f t="shared" si="98"/>
        <v>0</v>
      </c>
      <c r="C175" s="611" t="str">
        <f t="shared" si="99"/>
        <v>C</v>
      </c>
      <c r="D175" s="660">
        <v>88251</v>
      </c>
      <c r="E175" s="661"/>
      <c r="F175" s="612"/>
      <c r="G175" s="613" t="str">
        <f>IF($E175="",IFERROR(VLOOKUP($D175,SERVIÇOS!$C:$H,2,0),IFERROR(VLOOKUP($D175,$F:$M,2,0),"")),IFERROR(VLOOKUP($E175,INSUMOS!$B:$E,2,0),IFERROR(VLOOKUP($E175,COTAÇÕES!$C:$L,2,0),"")))</f>
        <v>AUXILIAR DE SERRALHEIRO COM ENCARGOS COMPLEMENTARES</v>
      </c>
      <c r="H175" s="593" t="str">
        <f>IF($E175="",IFERROR(VLOOKUP($D175,SERVIÇOS!$C:$H,3,0),IFERROR(VLOOKUP($D175,$F:$M,3,0),"")),IFERROR(VLOOKUP($E175,INSUMOS!$B:$E,3,0),IFERROR(VLOOKUP($E175,COTAÇÕES!$C:$L,5,0),"")))</f>
        <v>H</v>
      </c>
      <c r="I175" s="614">
        <v>3</v>
      </c>
      <c r="J175" s="670">
        <f>IF($E175="",IFERROR(VLOOKUP($D175,SERVIÇOS!$C:$H,6,0),IFERROR(VLOOKUP($D175,$F:$M,8,0),"")),IFERROR(VLOOKUP($E175,INSUMOS!$B:$E,4,0),IFERROR(VLOOKUP($E175,COTAÇÕES!$C:$L,10,0),"")))</f>
        <v>25.13</v>
      </c>
      <c r="K175" s="615">
        <f>TRUNC(IF($E175="",IFERROR(VLOOKUP($D175,SERVIÇOS!$C:$H,4,0),IFERROR(VLOOKUP($D175,$F:$M,6,0),)),IFERROR(VLOOKUP($E175,INSUMOS!$B:$E,4,0),IFERROR(VLOOKUP($E175,COTAÇÕES!$C:$L,10,0),)))*$I175,2)</f>
        <v>19.920000000000002</v>
      </c>
      <c r="L175" s="616">
        <f>TRUNC(IF($E175="",IFERROR(VLOOKUP($D175,SERVIÇOS!$C:$H,5,0),IFERROR(VLOOKUP($D175,$F:$M,7,0),)),0)*$I175,2)</f>
        <v>55.47</v>
      </c>
      <c r="M175" s="617">
        <f t="shared" si="100"/>
        <v>75.39</v>
      </c>
      <c r="N175" s="753" t="str">
        <f t="shared" si="101"/>
        <v>SERVIÇO SINAPI</v>
      </c>
      <c r="O175" s="618"/>
    </row>
    <row r="176" spans="2:15" hidden="1">
      <c r="B176" s="122">
        <f t="shared" si="98"/>
        <v>0</v>
      </c>
      <c r="C176" s="611" t="str">
        <f t="shared" si="99"/>
        <v>C</v>
      </c>
      <c r="D176" s="660">
        <v>88315</v>
      </c>
      <c r="E176" s="661"/>
      <c r="F176" s="612"/>
      <c r="G176" s="613" t="str">
        <f>IF($E176="",IFERROR(VLOOKUP($D176,SERVIÇOS!$C:$H,2,0),IFERROR(VLOOKUP($D176,$F:$M,2,0),"")),IFERROR(VLOOKUP($E176,INSUMOS!$B:$E,2,0),IFERROR(VLOOKUP($E176,COTAÇÕES!$C:$L,2,0),"")))</f>
        <v>SERRALHEIRO COM ENCARGOS COMPLEMENTARES</v>
      </c>
      <c r="H176" s="593" t="str">
        <f>IF($E176="",IFERROR(VLOOKUP($D176,SERVIÇOS!$C:$H,3,0),IFERROR(VLOOKUP($D176,$F:$M,3,0),"")),IFERROR(VLOOKUP($E176,INSUMOS!$B:$E,3,0),IFERROR(VLOOKUP($E176,COTAÇÕES!$C:$L,5,0),"")))</f>
        <v>H</v>
      </c>
      <c r="I176" s="614">
        <v>3</v>
      </c>
      <c r="J176" s="670">
        <f>IF($E176="",IFERROR(VLOOKUP($D176,SERVIÇOS!$C:$H,6,0),IFERROR(VLOOKUP($D176,$F:$M,8,0),"")),IFERROR(VLOOKUP($E176,INSUMOS!$B:$E,4,0),IFERROR(VLOOKUP($E176,COTAÇÕES!$C:$L,10,0),"")))</f>
        <v>30.8</v>
      </c>
      <c r="K176" s="615">
        <f>TRUNC(IF($E176="",IFERROR(VLOOKUP($D176,SERVIÇOS!$C:$H,4,0),IFERROR(VLOOKUP($D176,$F:$M,6,0),)),IFERROR(VLOOKUP($E176,INSUMOS!$B:$E,4,0),IFERROR(VLOOKUP($E176,COTAÇÕES!$C:$L,10,0),)))*$I176,2)</f>
        <v>19.920000000000002</v>
      </c>
      <c r="L176" s="616">
        <f>TRUNC(IF($E176="",IFERROR(VLOOKUP($D176,SERVIÇOS!$C:$H,5,0),IFERROR(VLOOKUP($D176,$F:$M,7,0),)),0)*$I176,2)</f>
        <v>72.48</v>
      </c>
      <c r="M176" s="617">
        <f t="shared" si="100"/>
        <v>92.4</v>
      </c>
      <c r="N176" s="753" t="str">
        <f t="shared" si="101"/>
        <v>SERVIÇO SINAPI</v>
      </c>
      <c r="O176" s="618"/>
    </row>
    <row r="177" spans="2:18" ht="25.5" hidden="1">
      <c r="B177" s="122">
        <f t="shared" si="98"/>
        <v>0</v>
      </c>
      <c r="C177" s="611" t="str">
        <f t="shared" si="99"/>
        <v>I</v>
      </c>
      <c r="D177" s="660"/>
      <c r="E177" s="661">
        <v>21013</v>
      </c>
      <c r="F177" s="612"/>
      <c r="G177" s="613" t="str">
        <f>IF($E177="",IFERROR(VLOOKUP($D177,SERVIÇOS!$C:$H,2,0),IFERROR(VLOOKUP($D177,$F:$M,2,0),"")),IFERROR(VLOOKUP($E177,INSUMOS!$B:$E,2,0),IFERROR(VLOOKUP($E177,COTAÇÕES!$C:$L,2,0),"")))</f>
        <v xml:space="preserve">TUBO ACO GALVANIZADO COM COSTURA, CLASSE LEVE, DN 50 MM ( 2"),  E = 3,00 MM,  *4,40* KG/M (NBR 5580)                                                                                                                                                                                                                                                                                                                                                                                                      </v>
      </c>
      <c r="H177" s="593" t="str">
        <f>IF($E177="",IFERROR(VLOOKUP($D177,SERVIÇOS!$C:$H,3,0),IFERROR(VLOOKUP($D177,$F:$M,3,0),"")),IFERROR(VLOOKUP($E177,INSUMOS!$B:$E,3,0),IFERROR(VLOOKUP($E177,COTAÇÕES!$C:$L,5,0),"")))</f>
        <v xml:space="preserve">M     </v>
      </c>
      <c r="I177" s="614">
        <v>2.17</v>
      </c>
      <c r="J177" s="670">
        <f>IF($E177="",IFERROR(VLOOKUP($D177,SERVIÇOS!$C:$H,6,0),IFERROR(VLOOKUP($D177,$F:$M,8,0),"")),IFERROR(VLOOKUP($E177,INSUMOS!$B:$E,4,0),IFERROR(VLOOKUP($E177,COTAÇÕES!$C:$L,10,0),"")))</f>
        <v>83.67</v>
      </c>
      <c r="K177" s="615">
        <f>TRUNC(IF($E177="",IFERROR(VLOOKUP($D177,SERVIÇOS!$C:$H,4,0),IFERROR(VLOOKUP($D177,$F:$M,6,0),)),IFERROR(VLOOKUP($E177,INSUMOS!$B:$E,4,0),IFERROR(VLOOKUP($E177,COTAÇÕES!$C:$L,10,0),)))*$I177,2)</f>
        <v>181.56</v>
      </c>
      <c r="L177" s="616">
        <f>TRUNC(IF($E177="",IFERROR(VLOOKUP($D177,SERVIÇOS!$C:$H,5,0),IFERROR(VLOOKUP($D177,$F:$M,7,0),)),0)*$I177,2)</f>
        <v>0</v>
      </c>
      <c r="M177" s="617">
        <f t="shared" si="100"/>
        <v>181.56</v>
      </c>
      <c r="N177" s="753" t="str">
        <f t="shared" si="101"/>
        <v>INSUMO SINAPI</v>
      </c>
      <c r="O177" s="618"/>
    </row>
    <row r="178" spans="2:18" ht="25.5" hidden="1">
      <c r="B178" s="122">
        <f t="shared" si="98"/>
        <v>0</v>
      </c>
      <c r="C178" s="611" t="str">
        <f>IF(D178&lt;&gt;"","C",IF(E178&lt;&gt;"","I",""))</f>
        <v>I</v>
      </c>
      <c r="D178" s="660"/>
      <c r="E178" s="661">
        <v>40424</v>
      </c>
      <c r="F178" s="612"/>
      <c r="G178" s="613" t="str">
        <f>IF($E178="",IFERROR(VLOOKUP($D178,SERVIÇOS!$C:$H,2,0),IFERROR(VLOOKUP($D178,$F:$M,2,0),"")),IFERROR(VLOOKUP($E178,INSUMOS!$B:$E,2,0),IFERROR(VLOOKUP($E178,COTAÇÕES!$C:$L,2,0),"")))</f>
        <v xml:space="preserve">CHAPA DE ACO CARBONO LAMINADO A QUENTE, QUALIDADE ESTRUTURAL, BITOLA 3/16", E =4,75 MM (37,29 KG/M2)                                                                                                                                                                                                                                                                                                                                                                                                      </v>
      </c>
      <c r="H178" s="593" t="str">
        <f>IF($E178="",IFERROR(VLOOKUP($D178,SERVIÇOS!$C:$H,3,0),IFERROR(VLOOKUP($D178,$F:$M,3,0),"")),IFERROR(VLOOKUP($E178,INSUMOS!$B:$E,3,0),IFERROR(VLOOKUP($E178,COTAÇÕES!$C:$L,5,0),"")))</f>
        <v xml:space="preserve">KG    </v>
      </c>
      <c r="I178" s="614">
        <f>(3.14*0.075*0.075)*37.29*2</f>
        <v>1.3172692499999998</v>
      </c>
      <c r="J178" s="670">
        <f>IF($E178="",IFERROR(VLOOKUP($D178,SERVIÇOS!$C:$H,6,0),IFERROR(VLOOKUP($D178,$F:$M,8,0),"")),IFERROR(VLOOKUP($E178,INSUMOS!$B:$E,4,0),IFERROR(VLOOKUP($E178,COTAÇÕES!$C:$L,10,0),"")))</f>
        <v>12.16</v>
      </c>
      <c r="K178" s="615">
        <f>TRUNC(IF($E178="",IFERROR(VLOOKUP($D178,SERVIÇOS!$C:$H,4,0),IFERROR(VLOOKUP($D178,$F:$M,6,0),)),IFERROR(VLOOKUP($E178,INSUMOS!$B:$E,4,0),IFERROR(VLOOKUP($E178,COTAÇÕES!$C:$L,10,0),)))*$I178,2)</f>
        <v>16.010000000000002</v>
      </c>
      <c r="L178" s="616">
        <f>TRUNC(IF($E178="",IFERROR(VLOOKUP($D178,SERVIÇOS!$C:$H,5,0),IFERROR(VLOOKUP($D178,$F:$M,7,0),)),0)*$I178,2)</f>
        <v>0</v>
      </c>
      <c r="M178" s="617">
        <f>K178+L178</f>
        <v>16.010000000000002</v>
      </c>
      <c r="N178" s="753" t="str">
        <f t="shared" si="101"/>
        <v>INSUMO SINAPI</v>
      </c>
      <c r="O178" s="618"/>
    </row>
    <row r="179" spans="2:18" hidden="1">
      <c r="B179" s="122">
        <f t="shared" si="98"/>
        <v>0</v>
      </c>
      <c r="C179" s="611" t="str">
        <f t="shared" si="99"/>
        <v>I</v>
      </c>
      <c r="D179" s="660"/>
      <c r="E179" s="662">
        <v>11976</v>
      </c>
      <c r="F179" s="612"/>
      <c r="G179" s="613" t="str">
        <f>IF($E179="",IFERROR(VLOOKUP($D179,SERVIÇOS!$C:$H,2,0),IFERROR(VLOOKUP($D179,$F:$M,2,0),"")),IFERROR(VLOOKUP($E179,INSUMOS!$B:$E,2,0),IFERROR(VLOOKUP($E179,COTAÇÕES!$C:$L,2,0),"")))</f>
        <v xml:space="preserve">CHUMBADOR, DIAMETRO 1/4" COM PARAFUSO 1/4" X 40 MM                                                                                                                                                                                                                                                                                                                                                                                                                                                        </v>
      </c>
      <c r="H179" s="593" t="str">
        <f>IF($E179="",IFERROR(VLOOKUP($D179,SERVIÇOS!$C:$H,3,0),IFERROR(VLOOKUP($D179,$F:$M,3,0),"")),IFERROR(VLOOKUP($E179,INSUMOS!$B:$E,3,0),IFERROR(VLOOKUP($E179,COTAÇÕES!$C:$L,5,0),"")))</f>
        <v xml:space="preserve">UN    </v>
      </c>
      <c r="I179" s="614">
        <v>6</v>
      </c>
      <c r="J179" s="670">
        <f>IF($E179="",IFERROR(VLOOKUP($D179,SERVIÇOS!$C:$H,6,0),IFERROR(VLOOKUP($D179,$F:$M,8,0),"")),IFERROR(VLOOKUP($E179,INSUMOS!$B:$E,4,0),IFERROR(VLOOKUP($E179,COTAÇÕES!$C:$L,10,0),"")))</f>
        <v>1.05</v>
      </c>
      <c r="K179" s="615">
        <f>TRUNC(IF($E179="",IFERROR(VLOOKUP($D179,SERVIÇOS!$C:$H,4,0),IFERROR(VLOOKUP($D179,$F:$M,6,0),)),IFERROR(VLOOKUP($E179,INSUMOS!$B:$E,4,0),IFERROR(VLOOKUP($E179,COTAÇÕES!$C:$L,10,0),)))*$I179,2)</f>
        <v>6.3</v>
      </c>
      <c r="L179" s="616">
        <f>TRUNC(IF($E179="",IFERROR(VLOOKUP($D179,SERVIÇOS!$C:$H,5,0),IFERROR(VLOOKUP($D179,$F:$M,7,0),)),0)*$I179,2)</f>
        <v>0</v>
      </c>
      <c r="M179" s="617">
        <f t="shared" si="100"/>
        <v>6.3</v>
      </c>
      <c r="N179" s="753" t="str">
        <f t="shared" si="101"/>
        <v>INSUMO SINAPI</v>
      </c>
      <c r="O179" s="618"/>
    </row>
    <row r="180" spans="2:18" hidden="1">
      <c r="B180" s="122">
        <f t="shared" si="98"/>
        <v>0</v>
      </c>
      <c r="C180" s="611" t="str">
        <f>IF(D180&lt;&gt;"","C",IF(E180&lt;&gt;"","I",""))</f>
        <v>I</v>
      </c>
      <c r="D180" s="660"/>
      <c r="E180" s="662">
        <v>43055</v>
      </c>
      <c r="F180" s="612"/>
      <c r="G180" s="613" t="str">
        <f>IF($E180="",IFERROR(VLOOKUP($D180,SERVIÇOS!$C:$H,2,0),IFERROR(VLOOKUP($D180,$F:$M,2,0),"")),IFERROR(VLOOKUP($E180,INSUMOS!$B:$E,2,0),IFERROR(VLOOKUP($E180,COTAÇÕES!$C:$L,2,0),"")))</f>
        <v xml:space="preserve">ACO CA-50, 12,5 MM OU 16,0 MM, VERGALHAO                                                                                                                                                                                                                                                                                                                                                                                                                                                                  </v>
      </c>
      <c r="H180" s="593" t="str">
        <f>IF($E180="",IFERROR(VLOOKUP($D180,SERVIÇOS!$C:$H,3,0),IFERROR(VLOOKUP($D180,$F:$M,3,0),"")),IFERROR(VLOOKUP($E180,INSUMOS!$B:$E,3,0),IFERROR(VLOOKUP($E180,COTAÇÕES!$C:$L,5,0),"")))</f>
        <v xml:space="preserve">KG    </v>
      </c>
      <c r="I180" s="614">
        <f>1.1*2*0.963</f>
        <v>2.1186000000000003</v>
      </c>
      <c r="J180" s="670">
        <f>IF($E180="",IFERROR(VLOOKUP($D180,SERVIÇOS!$C:$H,6,0),IFERROR(VLOOKUP($D180,$F:$M,8,0),"")),IFERROR(VLOOKUP($E180,INSUMOS!$B:$E,4,0),IFERROR(VLOOKUP($E180,COTAÇÕES!$C:$L,10,0),"")))</f>
        <v>8.2200000000000006</v>
      </c>
      <c r="K180" s="615">
        <f>TRUNC(IF($E180="",IFERROR(VLOOKUP($D180,SERVIÇOS!$C:$H,4,0),IFERROR(VLOOKUP($D180,$F:$M,6,0),)),IFERROR(VLOOKUP($E180,INSUMOS!$B:$E,4,0),IFERROR(VLOOKUP($E180,COTAÇÕES!$C:$L,10,0),)))*$I180,2)</f>
        <v>17.41</v>
      </c>
      <c r="L180" s="616">
        <f>TRUNC(IF($E180="",IFERROR(VLOOKUP($D180,SERVIÇOS!$C:$H,5,0),IFERROR(VLOOKUP($D180,$F:$M,7,0),)),0)*$I180,2)</f>
        <v>0</v>
      </c>
      <c r="M180" s="617">
        <f>K180+L180</f>
        <v>17.41</v>
      </c>
      <c r="N180" s="753" t="str">
        <f t="shared" si="101"/>
        <v>INSUMO SINAPI</v>
      </c>
      <c r="O180" s="618"/>
    </row>
    <row r="181" spans="2:18" ht="25.5" hidden="1">
      <c r="B181" s="122">
        <f t="shared" si="98"/>
        <v>0</v>
      </c>
      <c r="C181" s="611" t="str">
        <f t="shared" si="99"/>
        <v>C</v>
      </c>
      <c r="D181" s="660">
        <v>100727</v>
      </c>
      <c r="E181" s="661"/>
      <c r="F181" s="612"/>
      <c r="G181" s="613" t="str">
        <f>IF($E181="",IFERROR(VLOOKUP($D181,SERVIÇOS!$C:$H,2,0),IFERROR(VLOOKUP($D181,$F:$M,2,0),"")),IFERROR(VLOOKUP($E181,INSUMOS!$B:$E,2,0),IFERROR(VLOOKUP($E181,COTAÇÕES!$C:$L,2,0),"")))</f>
        <v>PINTURA COM TINTA EPOXÍDICA DE FUNDO PULVERIZADA SOBRE PERFIL METÁLICO EXECUTADO EM FÁBRICA (POR DEMÃO). AF_01/2020_P</v>
      </c>
      <c r="H181" s="593" t="str">
        <f>IF($E181="",IFERROR(VLOOKUP($D181,SERVIÇOS!$C:$H,3,0),IFERROR(VLOOKUP($D181,$F:$M,3,0),"")),IFERROR(VLOOKUP($E181,INSUMOS!$B:$E,3,0),IFERROR(VLOOKUP($E181,COTAÇÕES!$C:$L,5,0),"")))</f>
        <v>M2</v>
      </c>
      <c r="I181" s="614">
        <f>(2*3.14*0.075)*I177</f>
        <v>1.0220699999999998</v>
      </c>
      <c r="J181" s="670">
        <f>IF($E181="",IFERROR(VLOOKUP($D181,SERVIÇOS!$C:$H,6,0),IFERROR(VLOOKUP($D181,$F:$M,8,0),"")),IFERROR(VLOOKUP($E181,INSUMOS!$B:$E,4,0),IFERROR(VLOOKUP($E181,COTAÇÕES!$C:$L,10,0),"")))</f>
        <v>24.61</v>
      </c>
      <c r="K181" s="615">
        <f>TRUNC(IF($E181="",IFERROR(VLOOKUP($D181,SERVIÇOS!$C:$H,4,0),IFERROR(VLOOKUP($D181,$F:$M,6,0),)),IFERROR(VLOOKUP($E181,INSUMOS!$B:$E,4,0),IFERROR(VLOOKUP($E181,COTAÇÕES!$C:$L,10,0),)))*$I181,2)</f>
        <v>23.58</v>
      </c>
      <c r="L181" s="616">
        <f>TRUNC(IF($E181="",IFERROR(VLOOKUP($D181,SERVIÇOS!$C:$H,5,0),IFERROR(VLOOKUP($D181,$F:$M,7,0),)),0)*$I181,2)</f>
        <v>1.56</v>
      </c>
      <c r="M181" s="617">
        <f t="shared" si="100"/>
        <v>25.139999999999997</v>
      </c>
      <c r="N181" s="753" t="str">
        <f t="shared" si="101"/>
        <v>SERVIÇO SINAPI</v>
      </c>
      <c r="O181" s="618"/>
    </row>
    <row r="182" spans="2:18" ht="25.5" hidden="1">
      <c r="B182" s="122">
        <f t="shared" si="98"/>
        <v>0</v>
      </c>
      <c r="C182" s="611" t="str">
        <f t="shared" si="99"/>
        <v>C</v>
      </c>
      <c r="D182" s="660">
        <v>100729</v>
      </c>
      <c r="E182" s="661"/>
      <c r="F182" s="612"/>
      <c r="G182" s="613" t="str">
        <f>IF($E182="",IFERROR(VLOOKUP($D182,SERVIÇOS!$C:$H,2,0),IFERROR(VLOOKUP($D182,$F:$M,2,0),"")),IFERROR(VLOOKUP($E182,INSUMOS!$B:$E,2,0),IFERROR(VLOOKUP($E182,COTAÇÕES!$C:$L,2,0),"")))</f>
        <v>PINTURA COM TINTA EPOXÍDICA DE ACABAMENTO PULVERIZADA SOBRE PERFIL METÁLICO EXECUTADO EM FÁBRICA (POR DEMÃO). AF_01/2020_P</v>
      </c>
      <c r="H182" s="593" t="str">
        <f>IF($E182="",IFERROR(VLOOKUP($D182,SERVIÇOS!$C:$H,3,0),IFERROR(VLOOKUP($D182,$F:$M,3,0),"")),IFERROR(VLOOKUP($E182,INSUMOS!$B:$E,3,0),IFERROR(VLOOKUP($E182,COTAÇÕES!$C:$L,5,0),"")))</f>
        <v>M2</v>
      </c>
      <c r="I182" s="614">
        <f>I181</f>
        <v>1.0220699999999998</v>
      </c>
      <c r="J182" s="670">
        <f>IF($E182="",IFERROR(VLOOKUP($D182,SERVIÇOS!$C:$H,6,0),IFERROR(VLOOKUP($D182,$F:$M,8,0),"")),IFERROR(VLOOKUP($E182,INSUMOS!$B:$E,4,0),IFERROR(VLOOKUP($E182,COTAÇÕES!$C:$L,10,0),"")))</f>
        <v>18.71</v>
      </c>
      <c r="K182" s="615">
        <f>TRUNC(IF($E182="",IFERROR(VLOOKUP($D182,SERVIÇOS!$C:$H,4,0),IFERROR(VLOOKUP($D182,$F:$M,6,0),)),IFERROR(VLOOKUP($E182,INSUMOS!$B:$E,4,0),IFERROR(VLOOKUP($E182,COTAÇÕES!$C:$L,10,0),)))*$I182,2)</f>
        <v>17.55</v>
      </c>
      <c r="L182" s="616">
        <f>TRUNC(IF($E182="",IFERROR(VLOOKUP($D182,SERVIÇOS!$C:$H,5,0),IFERROR(VLOOKUP($D182,$F:$M,7,0),)),0)*$I182,2)</f>
        <v>1.56</v>
      </c>
      <c r="M182" s="617">
        <f t="shared" si="100"/>
        <v>19.11</v>
      </c>
      <c r="N182" s="753" t="str">
        <f t="shared" si="101"/>
        <v>SERVIÇO SINAPI</v>
      </c>
      <c r="O182" s="618"/>
    </row>
    <row r="183" spans="2:18" hidden="1">
      <c r="B183" s="769">
        <f>SUMIF(ORC!$G$11:$G$2470,CPU!$F183,ORC!$J$11:$J$2470)</f>
        <v>0</v>
      </c>
      <c r="C183" s="515" t="s">
        <v>2239</v>
      </c>
      <c r="D183" s="515"/>
      <c r="E183" s="515"/>
      <c r="F183" s="515" t="s">
        <v>6848</v>
      </c>
      <c r="G183" s="516" t="s">
        <v>7625</v>
      </c>
      <c r="H183" s="515" t="s">
        <v>646</v>
      </c>
      <c r="I183" s="595"/>
      <c r="J183" s="596"/>
      <c r="K183" s="597">
        <f>SUM(K184:K184)</f>
        <v>219.39</v>
      </c>
      <c r="L183" s="597">
        <f>SUM(L184:L184)</f>
        <v>55.79</v>
      </c>
      <c r="M183" s="596">
        <f>SUM(K183:L183)</f>
        <v>275.18</v>
      </c>
      <c r="N183" s="598" t="s">
        <v>7626</v>
      </c>
      <c r="O183" s="622" t="s">
        <v>6839</v>
      </c>
    </row>
    <row r="184" spans="2:18" ht="25.5" hidden="1">
      <c r="B184" s="122">
        <f>B183</f>
        <v>0</v>
      </c>
      <c r="C184" s="611" t="str">
        <f>IF(D184&lt;&gt;"","C",IF(E184&lt;&gt;"","I",""))</f>
        <v>C</v>
      </c>
      <c r="D184" s="660">
        <v>95957</v>
      </c>
      <c r="E184" s="661"/>
      <c r="F184" s="612"/>
      <c r="G184" s="613" t="str">
        <f>IF($E184="",IFERROR(VLOOKUP($D184,SERVIÇOS!$C:$H,2,0),IFERROR(VLOOKUP($D184,$F:$M,2,0),"")),IFERROR(VLOOKUP($E184,INSUMOS!$B:$E,2,0),IFERROR(VLOOKUP($E184,COTAÇÕES!$C:$L,2,0),"")))</f>
        <v>(COMPOSIÇÃO REPRESENTATIVA) EXECUÇÃO DE ESTRUTURAS DE CONCRETO ARMADO, PARA EDIFICAÇÃO INSTITUCIONAL TÉRREA, FCK = 25 MPA. AF_01/2017</v>
      </c>
      <c r="H184" s="593" t="str">
        <f>IF($E184="",IFERROR(VLOOKUP($D184,SERVIÇOS!$C:$H,3,0),IFERROR(VLOOKUP($D184,$F:$M,3,0),"")),IFERROR(VLOOKUP($E184,INSUMOS!$B:$E,3,0),IFERROR(VLOOKUP($E184,COTAÇÕES!$C:$L,5,0),"")))</f>
        <v>M3</v>
      </c>
      <c r="I184" s="614">
        <f>((0.17*0.15/2)+(0.17*0.2))*1.8</f>
        <v>8.4150000000000003E-2</v>
      </c>
      <c r="J184" s="670">
        <f>IF($E184="",IFERROR(VLOOKUP($D184,SERVIÇOS!$C:$H,6,0),IFERROR(VLOOKUP($D184,$F:$M,8,0),"")),IFERROR(VLOOKUP($E184,INSUMOS!$B:$E,4,0),IFERROR(VLOOKUP($E184,COTAÇÕES!$C:$L,10,0),"")))</f>
        <v>3270.22</v>
      </c>
      <c r="K184" s="615">
        <f>TRUNC(IF($E184="",IFERROR(VLOOKUP($D184,SERVIÇOS!$C:$H,4,0),IFERROR(VLOOKUP($D184,$F:$M,6,0),)),IFERROR(VLOOKUP($E184,INSUMOS!$B:$E,4,0),IFERROR(VLOOKUP($E184,COTAÇÕES!$C:$L,10,0),)))*$I184,2)</f>
        <v>219.39</v>
      </c>
      <c r="L184" s="616">
        <f>TRUNC(IF($E184="",IFERROR(VLOOKUP($D184,SERVIÇOS!$C:$H,5,0),IFERROR(VLOOKUP($D184,$F:$M,7,0),)),0)*$I184,2)</f>
        <v>55.79</v>
      </c>
      <c r="M184" s="617">
        <f>K184+L184</f>
        <v>275.18</v>
      </c>
      <c r="N184" s="753" t="str">
        <f>IF($D184&lt;&gt;"","SERVIÇO SINAPI",IF($E184&lt;&gt;"","INSUMO SINAPI",""))</f>
        <v>SERVIÇO SINAPI</v>
      </c>
      <c r="O184" s="618"/>
    </row>
    <row r="185" spans="2:18">
      <c r="B185" s="769">
        <f>SUMIF(ORC!$G$11:$G$2470,CPU!$F185,ORC!$J$11:$J$2470)</f>
        <v>713.26</v>
      </c>
      <c r="C185" s="515" t="s">
        <v>2239</v>
      </c>
      <c r="D185" s="515"/>
      <c r="E185" s="515"/>
      <c r="F185" s="515" t="s">
        <v>2942</v>
      </c>
      <c r="G185" s="516" t="s">
        <v>4861</v>
      </c>
      <c r="H185" s="515" t="s">
        <v>649</v>
      </c>
      <c r="I185" s="595"/>
      <c r="J185" s="596"/>
      <c r="K185" s="597">
        <f>SUM(K186:K187)</f>
        <v>1.6400000000000001</v>
      </c>
      <c r="L185" s="597">
        <f>SUM(L186:L187)</f>
        <v>2.4</v>
      </c>
      <c r="M185" s="597">
        <f>SUM(M187)</f>
        <v>3.31</v>
      </c>
      <c r="N185" s="598" t="s">
        <v>4862</v>
      </c>
      <c r="O185" s="610" t="s">
        <v>6849</v>
      </c>
    </row>
    <row r="186" spans="2:18">
      <c r="B186" s="122">
        <f t="shared" ref="B186:B187" si="102">B185</f>
        <v>713.26</v>
      </c>
      <c r="C186" s="611" t="str">
        <f>IF(D186&lt;&gt;"","C",IF(E186&lt;&gt;"","I",""))</f>
        <v>I</v>
      </c>
      <c r="D186" s="660"/>
      <c r="E186" s="662">
        <v>3</v>
      </c>
      <c r="F186" s="630"/>
      <c r="G186" s="613" t="str">
        <f>IF($E186="",IFERROR(VLOOKUP($D186,SERVIÇOS!$C:$H,2,0),IFERROR(VLOOKUP($D186,$F:$M,2,0),"")),IFERROR(VLOOKUP($E186,INSUMOS!$B:$E,2,0),IFERROR(VLOOKUP($E186,COTAÇÕES!$C:$L,2,0),"")))</f>
        <v xml:space="preserve">ACIDO CLORIDRICO / ACIDO MURIATICO, DILUICAO 10% A 12% PARA USO EM LIMPEZA                                                                                                                                                                                                                                                                                                                                                                                                                                </v>
      </c>
      <c r="H186" s="593" t="str">
        <f>IF($E186="",IFERROR(VLOOKUP($D186,SERVIÇOS!$C:$H,3,0),IFERROR(VLOOKUP($D186,$F:$M,3,0),"")),IFERROR(VLOOKUP($E186,INSUMOS!$B:$E,3,0),IFERROR(VLOOKUP($E186,COTAÇÕES!$C:$L,5,0),"")))</f>
        <v xml:space="preserve">L     </v>
      </c>
      <c r="I186" s="614">
        <v>0.05</v>
      </c>
      <c r="J186" s="670">
        <f>IF($E186="",IFERROR(VLOOKUP($D186,SERVIÇOS!$C:$H,6,0),IFERROR(VLOOKUP($D186,$F:$M,8,0),"")),IFERROR(VLOOKUP($E186,INSUMOS!$B:$E,4,0),IFERROR(VLOOKUP($E186,COTAÇÕES!$C:$L,10,0),"")))</f>
        <v>14.64</v>
      </c>
      <c r="K186" s="615">
        <f>TRUNC(IF($E186="",IFERROR(VLOOKUP($D186,SERVIÇOS!$C:$H,4,0),IFERROR(VLOOKUP($D186,$F:$M,6,0),)),IFERROR(VLOOKUP($E186,INSUMOS!$B:$E,4,0),IFERROR(VLOOKUP($E186,COTAÇÕES!$C:$L,10,0),)))*$I186,2)</f>
        <v>0.73</v>
      </c>
      <c r="L186" s="616">
        <f>TRUNC(IF($E186="",IFERROR(VLOOKUP($D186,SERVIÇOS!$C:$H,5,0),IFERROR(VLOOKUP($D186,$F:$M,7,0),)),0)*$I186,2)</f>
        <v>0</v>
      </c>
      <c r="M186" s="617">
        <f>K186+L186</f>
        <v>0.73</v>
      </c>
      <c r="N186" s="753" t="str">
        <f>IF($D186&lt;&gt;"","SERVIÇO SINAPI",IF($E186&lt;&gt;"","INSUMO SINAPI",""))</f>
        <v>INSUMO SINAPI</v>
      </c>
      <c r="O186" s="618"/>
    </row>
    <row r="187" spans="2:18">
      <c r="B187" s="122">
        <f t="shared" si="102"/>
        <v>713.26</v>
      </c>
      <c r="C187" s="611" t="str">
        <f>IF(D187&lt;&gt;"","C",IF(E187&lt;&gt;"","I",""))</f>
        <v>C</v>
      </c>
      <c r="D187" s="660">
        <v>88316</v>
      </c>
      <c r="E187" s="662"/>
      <c r="F187" s="630"/>
      <c r="G187" s="613" t="str">
        <f>IF($E187="",IFERROR(VLOOKUP($D187,SERVIÇOS!$C:$H,2,0),IFERROR(VLOOKUP($D187,$F:$M,2,0),"")),IFERROR(VLOOKUP($E187,INSUMOS!$B:$E,2,0),IFERROR(VLOOKUP($E187,COTAÇÕES!$C:$L,2,0),"")))</f>
        <v>SERVENTE COM ENCARGOS COMPLEMENTARES</v>
      </c>
      <c r="H187" s="593" t="str">
        <f>IF($E187="",IFERROR(VLOOKUP($D187,SERVIÇOS!$C:$H,3,0),IFERROR(VLOOKUP($D187,$F:$M,3,0),"")),IFERROR(VLOOKUP($E187,INSUMOS!$B:$E,3,0),IFERROR(VLOOKUP($E187,COTAÇÕES!$C:$L,5,0),"")))</f>
        <v>H</v>
      </c>
      <c r="I187" s="614">
        <v>0.14000000000000001</v>
      </c>
      <c r="J187" s="670">
        <f>IF($E187="",IFERROR(VLOOKUP($D187,SERVIÇOS!$C:$H,6,0),IFERROR(VLOOKUP($D187,$F:$M,8,0),"")),IFERROR(VLOOKUP($E187,INSUMOS!$B:$E,4,0),IFERROR(VLOOKUP($E187,COTAÇÕES!$C:$L,10,0),"")))</f>
        <v>23.71</v>
      </c>
      <c r="K187" s="615">
        <f>TRUNC(IF($E187="",IFERROR(VLOOKUP($D187,SERVIÇOS!$C:$H,4,0),IFERROR(VLOOKUP($D187,$F:$M,6,0),)),IFERROR(VLOOKUP($E187,INSUMOS!$B:$E,4,0),IFERROR(VLOOKUP($E187,COTAÇÕES!$C:$L,10,0),)))*$I187,2)</f>
        <v>0.91</v>
      </c>
      <c r="L187" s="616">
        <f>TRUNC(IF($E187="",IFERROR(VLOOKUP($D187,SERVIÇOS!$C:$H,5,0),IFERROR(VLOOKUP($D187,$F:$M,7,0),)),0)*$I187,2)</f>
        <v>2.4</v>
      </c>
      <c r="M187" s="617">
        <f>K187+L187</f>
        <v>3.31</v>
      </c>
      <c r="N187" s="753" t="str">
        <f>IF($D187&lt;&gt;"","SERVIÇO SINAPI",IF($E187&lt;&gt;"","INSUMO SINAPI",""))</f>
        <v>SERVIÇO SINAPI</v>
      </c>
      <c r="O187" s="618"/>
    </row>
    <row r="188" spans="2:18">
      <c r="B188" s="769">
        <f>SUMIF(ORC!$G$11:$G$2470,CPU!$F188,ORC!$J$11:$J$2470)</f>
        <v>179.04</v>
      </c>
      <c r="C188" s="515" t="s">
        <v>2239</v>
      </c>
      <c r="D188" s="515"/>
      <c r="E188" s="515"/>
      <c r="F188" s="515" t="s">
        <v>2943</v>
      </c>
      <c r="G188" s="623" t="s">
        <v>4863</v>
      </c>
      <c r="H188" s="515" t="s">
        <v>648</v>
      </c>
      <c r="I188" s="595"/>
      <c r="J188" s="596"/>
      <c r="K188" s="597">
        <f>SUM(K189:K191)</f>
        <v>12.76</v>
      </c>
      <c r="L188" s="597">
        <f>SUM(L189:L191)</f>
        <v>13.19</v>
      </c>
      <c r="M188" s="624">
        <f>TRUNC(L188+K188,2)</f>
        <v>25.95</v>
      </c>
      <c r="N188" s="598" t="s">
        <v>6782</v>
      </c>
      <c r="O188" s="610"/>
    </row>
    <row r="189" spans="2:18" ht="25.5">
      <c r="B189" s="122">
        <f t="shared" ref="B189:B191" si="103">B188</f>
        <v>179.04</v>
      </c>
      <c r="C189" s="611" t="str">
        <f>IF(D189&lt;&gt;"","C",IF(E189&lt;&gt;"","I",""))</f>
        <v>I</v>
      </c>
      <c r="D189" s="665"/>
      <c r="E189" s="664">
        <v>39428</v>
      </c>
      <c r="F189" s="626"/>
      <c r="G189" s="613" t="str">
        <f>IF($E189="",IFERROR(VLOOKUP($D189,SERVIÇOS!$C:$H,2,0),IFERROR(VLOOKUP($D189,$F:$M,2,0),"")),IFERROR(VLOOKUP($E189,INSUMOS!$B:$E,2,0),IFERROR(VLOOKUP($E189,COTAÇÕES!$C:$L,2,0),"")))</f>
        <v xml:space="preserve">PERFIL TABICA FECHADA, LISA, FORMATO Z, EM ACO GALVANIZADO NATURAL, LARGURA TOTAL NA HORIZONTAL *40* MM, PARA ESTRUTURA FORRO DRYWALL                                                                                                                                                                                                                                                                                                                                                                     </v>
      </c>
      <c r="H189" s="593" t="str">
        <f>IF($E189="",IFERROR(VLOOKUP($D189,SERVIÇOS!$C:$H,3,0),IFERROR(VLOOKUP($D189,$F:$M,3,0),"")),IFERROR(VLOOKUP($E189,INSUMOS!$B:$E,3,0),IFERROR(VLOOKUP($E189,COTAÇÕES!$C:$L,5,0),"")))</f>
        <v xml:space="preserve">M     </v>
      </c>
      <c r="I189" s="627">
        <v>1</v>
      </c>
      <c r="J189" s="670">
        <f>IF($E189="",IFERROR(VLOOKUP($D189,SERVIÇOS!$C:$H,6,0),IFERROR(VLOOKUP($D189,$F:$M,8,0),"")),IFERROR(VLOOKUP($E189,INSUMOS!$B:$E,4,0),IFERROR(VLOOKUP($E189,COTAÇÕES!$C:$L,10,0),"")))</f>
        <v>8.18</v>
      </c>
      <c r="K189" s="615">
        <f>TRUNC(IF($E189="",IFERROR(VLOOKUP($D189,SERVIÇOS!$C:$H,4,0),IFERROR(VLOOKUP($D189,$F:$M,6,0),)),IFERROR(VLOOKUP($E189,INSUMOS!$B:$E,4,0),IFERROR(VLOOKUP($E189,COTAÇÕES!$C:$L,10,0),)))*$I189,2)</f>
        <v>8.18</v>
      </c>
      <c r="L189" s="616">
        <f>TRUNC(IF($E189="",IFERROR(VLOOKUP($D189,SERVIÇOS!$C:$H,5,0),IFERROR(VLOOKUP($D189,$F:$M,7,0),)),0)*$I189,2)</f>
        <v>0</v>
      </c>
      <c r="M189" s="617">
        <f>K189+L189</f>
        <v>8.18</v>
      </c>
      <c r="N189" s="753" t="str">
        <f>IF($D189&lt;&gt;"","SERVIÇO SINAPI",IF($E189&lt;&gt;"","INSUMO SINAPI",""))</f>
        <v>INSUMO SINAPI</v>
      </c>
      <c r="O189" s="618"/>
    </row>
    <row r="190" spans="2:18">
      <c r="B190" s="122">
        <f t="shared" si="103"/>
        <v>179.04</v>
      </c>
      <c r="C190" s="611" t="str">
        <f>IF(D190&lt;&gt;"","C",IF(E190&lt;&gt;"","I",""))</f>
        <v>C</v>
      </c>
      <c r="D190" s="665">
        <v>88269</v>
      </c>
      <c r="E190" s="664"/>
      <c r="F190" s="626"/>
      <c r="G190" s="613" t="str">
        <f>IF($E190="",IFERROR(VLOOKUP($D190,SERVIÇOS!$C:$H,2,0),IFERROR(VLOOKUP($D190,$F:$M,2,0),"")),IFERROR(VLOOKUP($E190,INSUMOS!$B:$E,2,0),IFERROR(VLOOKUP($E190,COTAÇÕES!$C:$L,2,0),"")))</f>
        <v>GESSEIRO COM ENCARGOS COMPLEMENTARES</v>
      </c>
      <c r="H190" s="593" t="str">
        <f>IF($E190="",IFERROR(VLOOKUP($D190,SERVIÇOS!$C:$H,3,0),IFERROR(VLOOKUP($D190,$F:$M,3,0),"")),IFERROR(VLOOKUP($E190,INSUMOS!$B:$E,3,0),IFERROR(VLOOKUP($E190,COTAÇÕES!$C:$L,5,0),"")))</f>
        <v>H</v>
      </c>
      <c r="I190" s="627">
        <v>0.2</v>
      </c>
      <c r="J190" s="670">
        <f>IF($E190="",IFERROR(VLOOKUP($D190,SERVIÇOS!$C:$H,6,0),IFERROR(VLOOKUP($D190,$F:$M,8,0),"")),IFERROR(VLOOKUP($E190,INSUMOS!$B:$E,4,0),IFERROR(VLOOKUP($E190,COTAÇÕES!$C:$L,10,0),"")))</f>
        <v>29.67</v>
      </c>
      <c r="K190" s="615">
        <f>TRUNC(IF($E190="",IFERROR(VLOOKUP($D190,SERVIÇOS!$C:$H,4,0),IFERROR(VLOOKUP($D190,$F:$M,6,0),)),IFERROR(VLOOKUP($E190,INSUMOS!$B:$E,4,0),IFERROR(VLOOKUP($E190,COTAÇÕES!$C:$L,10,0),)))*$I190,2)</f>
        <v>1.32</v>
      </c>
      <c r="L190" s="616">
        <f>TRUNC(IF($E190="",IFERROR(VLOOKUP($D190,SERVIÇOS!$C:$H,5,0),IFERROR(VLOOKUP($D190,$F:$M,7,0),)),0)*$I190,2)</f>
        <v>4.5999999999999996</v>
      </c>
      <c r="M190" s="617">
        <f>K190+L190</f>
        <v>5.92</v>
      </c>
      <c r="N190" s="753" t="str">
        <f>IF($D190&lt;&gt;"","SERVIÇO SINAPI",IF($E190&lt;&gt;"","INSUMO SINAPI",""))</f>
        <v>SERVIÇO SINAPI</v>
      </c>
      <c r="O190" s="618"/>
      <c r="Q190" s="1016"/>
      <c r="R190" s="1016"/>
    </row>
    <row r="191" spans="2:18">
      <c r="B191" s="122">
        <f t="shared" si="103"/>
        <v>179.04</v>
      </c>
      <c r="C191" s="611" t="str">
        <f>IF(D191&lt;&gt;"","C",IF(E191&lt;&gt;"","I",""))</f>
        <v>C</v>
      </c>
      <c r="D191" s="665">
        <v>88316</v>
      </c>
      <c r="E191" s="664"/>
      <c r="F191" s="626"/>
      <c r="G191" s="613" t="str">
        <f>IF($E191="",IFERROR(VLOOKUP($D191,SERVIÇOS!$C:$H,2,0),IFERROR(VLOOKUP($D191,$F:$M,2,0),"")),IFERROR(VLOOKUP($E191,INSUMOS!$B:$E,2,0),IFERROR(VLOOKUP($E191,COTAÇÕES!$C:$L,2,0),"")))</f>
        <v>SERVENTE COM ENCARGOS COMPLEMENTARES</v>
      </c>
      <c r="H191" s="593" t="str">
        <f>IF($E191="",IFERROR(VLOOKUP($D191,SERVIÇOS!$C:$H,3,0),IFERROR(VLOOKUP($D191,$F:$M,3,0),"")),IFERROR(VLOOKUP($E191,INSUMOS!$B:$E,3,0),IFERROR(VLOOKUP($E191,COTAÇÕES!$C:$L,5,0),"")))</f>
        <v>H</v>
      </c>
      <c r="I191" s="627">
        <v>0.5</v>
      </c>
      <c r="J191" s="670">
        <f>IF($E191="",IFERROR(VLOOKUP($D191,SERVIÇOS!$C:$H,6,0),IFERROR(VLOOKUP($D191,$F:$M,8,0),"")),IFERROR(VLOOKUP($E191,INSUMOS!$B:$E,4,0),IFERROR(VLOOKUP($E191,COTAÇÕES!$C:$L,10,0),"")))</f>
        <v>23.71</v>
      </c>
      <c r="K191" s="615">
        <f>TRUNC(IF($E191="",IFERROR(VLOOKUP($D191,SERVIÇOS!$C:$H,4,0),IFERROR(VLOOKUP($D191,$F:$M,6,0),)),IFERROR(VLOOKUP($E191,INSUMOS!$B:$E,4,0),IFERROR(VLOOKUP($E191,COTAÇÕES!$C:$L,10,0),)))*$I191,2)</f>
        <v>3.26</v>
      </c>
      <c r="L191" s="616">
        <f>TRUNC(IF($E191="",IFERROR(VLOOKUP($D191,SERVIÇOS!$C:$H,5,0),IFERROR(VLOOKUP($D191,$F:$M,7,0),)),0)*$I191,2)</f>
        <v>8.59</v>
      </c>
      <c r="M191" s="617">
        <f>K191+L191</f>
        <v>11.85</v>
      </c>
      <c r="N191" s="753" t="str">
        <f>IF($D191&lt;&gt;"","SERVIÇO SINAPI",IF($E191&lt;&gt;"","INSUMO SINAPI",""))</f>
        <v>SERVIÇO SINAPI</v>
      </c>
      <c r="O191" s="618"/>
      <c r="Q191" s="1016"/>
      <c r="R191" s="1016"/>
    </row>
    <row r="192" spans="2:18">
      <c r="B192" s="769">
        <f>SUMIF(ORC!$G$11:$G$2470,CPU!$F192,ORC!$J$11:$J$2470)</f>
        <v>100</v>
      </c>
      <c r="C192" s="515" t="s">
        <v>2239</v>
      </c>
      <c r="D192" s="515"/>
      <c r="E192" s="515"/>
      <c r="F192" s="515" t="s">
        <v>2944</v>
      </c>
      <c r="G192" s="516" t="s">
        <v>4865</v>
      </c>
      <c r="H192" s="515" t="s">
        <v>30</v>
      </c>
      <c r="I192" s="595"/>
      <c r="J192" s="596"/>
      <c r="K192" s="597">
        <f>SUM(K193:K195)</f>
        <v>210.32000000000002</v>
      </c>
      <c r="L192" s="597">
        <f>SUM(L193:L195)</f>
        <v>850.92</v>
      </c>
      <c r="M192" s="596">
        <f>SUM(K192:L192)</f>
        <v>1061.24</v>
      </c>
      <c r="N192" s="598" t="s">
        <v>4864</v>
      </c>
      <c r="O192" s="610"/>
      <c r="Q192" s="1017"/>
      <c r="R192" s="1018"/>
    </row>
    <row r="193" spans="2:18">
      <c r="B193" s="122">
        <f t="shared" ref="B193:B195" si="104">B192</f>
        <v>100</v>
      </c>
      <c r="C193" s="611" t="str">
        <f>IF(D193&lt;&gt;"","C",IF(E193&lt;&gt;"","I",""))</f>
        <v>C</v>
      </c>
      <c r="D193" s="665">
        <v>100305</v>
      </c>
      <c r="E193" s="661"/>
      <c r="F193" s="612"/>
      <c r="G193" s="613" t="str">
        <f>IF($E193="",IFERROR(VLOOKUP($D193,SERVIÇOS!$C:$H,2,0),IFERROR(VLOOKUP($D193,$F:$M,2,0),"")),IFERROR(VLOOKUP($E193,INSUMOS!$B:$E,2,0),IFERROR(VLOOKUP($E193,COTAÇÕES!$C:$L,2,0),"")))</f>
        <v>ENGENHEIRO CIVIL JUNIOR COM ENCARGOS COMPLEMENTARES</v>
      </c>
      <c r="H193" s="593" t="str">
        <f>IF($E193="",IFERROR(VLOOKUP($D193,SERVIÇOS!$C:$H,3,0),IFERROR(VLOOKUP($D193,$F:$M,3,0),"")),IFERROR(VLOOKUP($E193,INSUMOS!$B:$E,3,0),IFERROR(VLOOKUP($E193,COTAÇÕES!$C:$L,5,0),"")))</f>
        <v>H</v>
      </c>
      <c r="I193" s="614">
        <f>4*4*9/100</f>
        <v>1.44</v>
      </c>
      <c r="J193" s="670">
        <f>IF($E193="",IFERROR(VLOOKUP($D193,SERVIÇOS!$C:$H,6,0),IFERROR(VLOOKUP($D193,$F:$M,8,0),"")),IFERROR(VLOOKUP($E193,INSUMOS!$B:$E,4,0),IFERROR(VLOOKUP($E193,COTAÇÕES!$C:$L,10,0),"")))</f>
        <v>104.67</v>
      </c>
      <c r="K193" s="615">
        <f>TRUNC(IF($E193="",IFERROR(VLOOKUP($D193,SERVIÇOS!$C:$H,4,0),IFERROR(VLOOKUP($D193,$F:$M,6,0),)),IFERROR(VLOOKUP($E193,INSUMOS!$B:$E,4,0),IFERROR(VLOOKUP($E193,COTAÇÕES!$C:$L,10,0),)))*$I193,2)</f>
        <v>2.21</v>
      </c>
      <c r="L193" s="616">
        <f>TRUNC(IF($E193="",IFERROR(VLOOKUP($D193,SERVIÇOS!$C:$H,5,0),IFERROR(VLOOKUP($D193,$F:$M,7,0),)),0)*$I193,2)</f>
        <v>148.5</v>
      </c>
      <c r="M193" s="617">
        <f>K193+L193</f>
        <v>150.71</v>
      </c>
      <c r="N193" s="753" t="str">
        <f>IF($D193&lt;&gt;"","SERVIÇO SINAPI",IF($E193&lt;&gt;"","INSUMO SINAPI",""))</f>
        <v>SERVIÇO SINAPI</v>
      </c>
      <c r="O193" s="618"/>
      <c r="P193" s="122" t="s">
        <v>14584</v>
      </c>
      <c r="Q193" s="1019"/>
      <c r="R193" s="1020"/>
    </row>
    <row r="194" spans="2:18">
      <c r="B194" s="122">
        <f t="shared" si="104"/>
        <v>100</v>
      </c>
      <c r="C194" s="611" t="str">
        <f>IF(D194&lt;&gt;"","C",IF(E194&lt;&gt;"","I",""))</f>
        <v>C</v>
      </c>
      <c r="D194" s="665">
        <v>100289</v>
      </c>
      <c r="E194" s="661"/>
      <c r="F194" s="612"/>
      <c r="G194" s="613" t="str">
        <f>IF($E194="",IFERROR(VLOOKUP($D194,SERVIÇOS!$C:$H,2,0),IFERROR(VLOOKUP($D194,$F:$M,2,0),"")),IFERROR(VLOOKUP($E194,INSUMOS!$B:$E,2,0),IFERROR(VLOOKUP($E194,COTAÇÕES!$C:$L,2,0),"")))</f>
        <v>VIGIA DIURNO COM ENCARGOS COMPLEMENTARES</v>
      </c>
      <c r="H194" s="593" t="str">
        <f>IF($E194="",IFERROR(VLOOKUP($D194,SERVIÇOS!$C:$H,3,0),IFERROR(VLOOKUP($D194,$F:$M,3,0),"")),IFERROR(VLOOKUP($E194,INSUMOS!$B:$E,3,0),IFERROR(VLOOKUP($E194,COTAÇÕES!$C:$L,5,0),"")))</f>
        <v>H</v>
      </c>
      <c r="I194" s="614">
        <f>12*2*4*7/100</f>
        <v>6.72</v>
      </c>
      <c r="J194" s="670">
        <f>IF($E194="",IFERROR(VLOOKUP($D194,SERVIÇOS!$C:$H,6,0),IFERROR(VLOOKUP($D194,$F:$M,8,0),"")),IFERROR(VLOOKUP($E194,INSUMOS!$B:$E,4,0),IFERROR(VLOOKUP($E194,COTAÇÕES!$C:$L,10,0),"")))</f>
        <v>23.86</v>
      </c>
      <c r="K194" s="615">
        <f>TRUNC(IF($E194="",IFERROR(VLOOKUP($D194,SERVIÇOS!$C:$H,4,0),IFERROR(VLOOKUP($D194,$F:$M,6,0),)),IFERROR(VLOOKUP($E194,INSUMOS!$B:$E,4,0),IFERROR(VLOOKUP($E194,COTAÇÕES!$C:$L,10,0),)))*$I194,2)</f>
        <v>43.81</v>
      </c>
      <c r="L194" s="616">
        <f>TRUNC(IF($E194="",IFERROR(VLOOKUP($D194,SERVIÇOS!$C:$H,5,0),IFERROR(VLOOKUP($D194,$F:$M,7,0),)),0)*$I194,2)</f>
        <v>116.52</v>
      </c>
      <c r="M194" s="617">
        <f>K194+L194</f>
        <v>160.32999999999998</v>
      </c>
      <c r="N194" s="753" t="str">
        <f>IF($D194&lt;&gt;"","SERVIÇO SINAPI",IF($E194&lt;&gt;"","INSUMO SINAPI",""))</f>
        <v>SERVIÇO SINAPI</v>
      </c>
      <c r="O194" s="618"/>
      <c r="P194" s="122" t="s">
        <v>14585</v>
      </c>
      <c r="Q194" s="1019"/>
      <c r="R194" s="1020"/>
    </row>
    <row r="195" spans="2:18">
      <c r="B195" s="122">
        <f t="shared" si="104"/>
        <v>100</v>
      </c>
      <c r="C195" s="611" t="str">
        <f>IF(D195&lt;&gt;"","C",IF(E195&lt;&gt;"","I",""))</f>
        <v>C</v>
      </c>
      <c r="D195" s="665">
        <v>88326</v>
      </c>
      <c r="E195" s="661"/>
      <c r="F195" s="612"/>
      <c r="G195" s="613" t="str">
        <f>IF($E195="",IFERROR(VLOOKUP($D195,SERVIÇOS!$C:$H,2,0),IFERROR(VLOOKUP($D195,$F:$M,2,0),"")),IFERROR(VLOOKUP($E195,INSUMOS!$B:$E,2,0),IFERROR(VLOOKUP($E195,COTAÇÕES!$C:$L,2,0),"")))</f>
        <v>VIGIA NOTURNO COM ENCARGOS COMPLEMENTARES</v>
      </c>
      <c r="H195" s="593" t="str">
        <f>IF($E195="",IFERROR(VLOOKUP($D195,SERVIÇOS!$C:$H,3,0),IFERROR(VLOOKUP($D195,$F:$M,3,0),"")),IFERROR(VLOOKUP($E195,INSUMOS!$B:$E,3,0),IFERROR(VLOOKUP($E195,COTAÇÕES!$C:$L,5,0),"")))</f>
        <v>H</v>
      </c>
      <c r="I195" s="614">
        <f>12*30*7/100</f>
        <v>25.2</v>
      </c>
      <c r="J195" s="670">
        <f>IF($E195="",IFERROR(VLOOKUP($D195,SERVIÇOS!$C:$H,6,0),IFERROR(VLOOKUP($D195,$F:$M,8,0),"")),IFERROR(VLOOKUP($E195,INSUMOS!$B:$E,4,0),IFERROR(VLOOKUP($E195,COTAÇÕES!$C:$L,10,0),"")))</f>
        <v>29.77</v>
      </c>
      <c r="K195" s="615">
        <f>TRUNC(IF($E195="",IFERROR(VLOOKUP($D195,SERVIÇOS!$C:$H,4,0),IFERROR(VLOOKUP($D195,$F:$M,6,0),)),IFERROR(VLOOKUP($E195,INSUMOS!$B:$E,4,0),IFERROR(VLOOKUP($E195,COTAÇÕES!$C:$L,10,0),)))*$I195,2)</f>
        <v>164.3</v>
      </c>
      <c r="L195" s="616">
        <f>TRUNC(IF($E195="",IFERROR(VLOOKUP($D195,SERVIÇOS!$C:$H,5,0),IFERROR(VLOOKUP($D195,$F:$M,7,0),)),0)*$I195,2)</f>
        <v>585.9</v>
      </c>
      <c r="M195" s="617">
        <f>K195+L195</f>
        <v>750.2</v>
      </c>
      <c r="N195" s="753" t="str">
        <f>IF($D195&lt;&gt;"","SERVIÇO SINAPI",IF($E195&lt;&gt;"","INSUMO SINAPI",""))</f>
        <v>SERVIÇO SINAPI</v>
      </c>
      <c r="O195" s="618"/>
      <c r="P195" s="122" t="s">
        <v>14586</v>
      </c>
      <c r="Q195" s="1019"/>
      <c r="R195" s="1020"/>
    </row>
    <row r="196" spans="2:18" ht="25.5">
      <c r="B196" s="769">
        <f>SUMIF(ORC!$G$11:$G$2470,CPU!$F196,ORC!$J$11:$J$2470)</f>
        <v>9</v>
      </c>
      <c r="C196" s="515" t="s">
        <v>2239</v>
      </c>
      <c r="D196" s="515"/>
      <c r="E196" s="515"/>
      <c r="F196" s="515" t="s">
        <v>2945</v>
      </c>
      <c r="G196" s="516" t="s">
        <v>6806</v>
      </c>
      <c r="H196" s="515" t="s">
        <v>646</v>
      </c>
      <c r="I196" s="595"/>
      <c r="J196" s="596"/>
      <c r="K196" s="597">
        <f>SUM(K197:K200)</f>
        <v>309.52</v>
      </c>
      <c r="L196" s="597">
        <f>SUM(L197:L200)</f>
        <v>30.240000000000002</v>
      </c>
      <c r="M196" s="596">
        <f>SUM(K196:L196)</f>
        <v>339.76</v>
      </c>
      <c r="N196" s="598" t="s">
        <v>6783</v>
      </c>
      <c r="O196" s="610" t="s">
        <v>6838</v>
      </c>
    </row>
    <row r="197" spans="2:18" ht="25.5">
      <c r="B197" s="122">
        <f t="shared" ref="B197:B200" si="105">B196</f>
        <v>9</v>
      </c>
      <c r="C197" s="611" t="str">
        <f>IF(D197&lt;&gt;"","C",IF(E197&lt;&gt;"","I",""))</f>
        <v>I</v>
      </c>
      <c r="D197" s="660"/>
      <c r="E197" s="661">
        <v>442</v>
      </c>
      <c r="F197" s="612"/>
      <c r="G197" s="613" t="str">
        <f>IF($E197="",IFERROR(VLOOKUP($D197,SERVIÇOS!$C:$H,2,0),IFERROR(VLOOKUP($D197,$F:$M,2,0),"")),IFERROR(VLOOKUP($E197,INSUMOS!$B:$E,2,0),IFERROR(VLOOKUP($E197,COTAÇÕES!$C:$L,2,0),"")))</f>
        <v xml:space="preserve">PARAFUSO FRANCES M16 EM ACO GALVANIZADO, COMPRIMENTO = 45 MM, DIAMETRO = 16 MM, CABECA ABAULADA                                                                                                                                                                                                                                                                                                                                                                                                           </v>
      </c>
      <c r="H197" s="593" t="str">
        <f>IF($E197="",IFERROR(VLOOKUP($D197,SERVIÇOS!$C:$H,3,0),IFERROR(VLOOKUP($D197,$F:$M,3,0),"")),IFERROR(VLOOKUP($E197,INSUMOS!$B:$E,3,0),IFERROR(VLOOKUP($E197,COTAÇÕES!$C:$L,5,0),"")))</f>
        <v xml:space="preserve">UN    </v>
      </c>
      <c r="I197" s="614">
        <v>4</v>
      </c>
      <c r="J197" s="670">
        <f>IF($E197="",IFERROR(VLOOKUP($D197,SERVIÇOS!$C:$H,6,0),IFERROR(VLOOKUP($D197,$F:$M,8,0),"")),IFERROR(VLOOKUP($E197,INSUMOS!$B:$E,4,0),IFERROR(VLOOKUP($E197,COTAÇÕES!$C:$L,10,0),"")))</f>
        <v>5.58</v>
      </c>
      <c r="K197" s="615">
        <f>TRUNC(IF($E197="",IFERROR(VLOOKUP($D197,SERVIÇOS!$C:$H,4,0),IFERROR(VLOOKUP($D197,$F:$M,6,0),)),IFERROR(VLOOKUP($E197,INSUMOS!$B:$E,4,0),IFERROR(VLOOKUP($E197,COTAÇÕES!$C:$L,10,0),)))*$I197,2)</f>
        <v>22.32</v>
      </c>
      <c r="L197" s="616">
        <f>TRUNC(IF($E197="",IFERROR(VLOOKUP($D197,SERVIÇOS!$C:$H,5,0),IFERROR(VLOOKUP($D197,$F:$M,7,0),)),0)*$I197,2)</f>
        <v>0</v>
      </c>
      <c r="M197" s="617">
        <f>K197+L197</f>
        <v>22.32</v>
      </c>
      <c r="N197" s="753" t="str">
        <f>IF($D197&lt;&gt;"","SERVIÇO SINAPI",IF($E197&lt;&gt;"","INSUMO SINAPI",""))</f>
        <v>INSUMO SINAPI</v>
      </c>
      <c r="O197" s="618"/>
    </row>
    <row r="198" spans="2:18">
      <c r="B198" s="122">
        <f t="shared" si="105"/>
        <v>9</v>
      </c>
      <c r="C198" s="611" t="str">
        <f>IF(D198&lt;&gt;"","C",IF(E198&lt;&gt;"","I",""))</f>
        <v>I</v>
      </c>
      <c r="D198" s="660"/>
      <c r="E198" s="661">
        <v>11186</v>
      </c>
      <c r="F198" s="612"/>
      <c r="G198" s="613" t="str">
        <f>IF($E198="",IFERROR(VLOOKUP($D198,SERVIÇOS!$C:$H,2,0),IFERROR(VLOOKUP($D198,$F:$M,2,0),"")),IFERROR(VLOOKUP($E198,INSUMOS!$B:$E,2,0),IFERROR(VLOOKUP($E198,COTAÇÕES!$C:$L,2,0),"")))</f>
        <v xml:space="preserve">ESPELHO CRISTAL E = 4 MM                                                                                                                                                                                                                                                                                                                                                                                                                                                                                  </v>
      </c>
      <c r="H198" s="593" t="str">
        <f>IF($E198="",IFERROR(VLOOKUP($D198,SERVIÇOS!$C:$H,3,0),IFERROR(VLOOKUP($D198,$F:$M,3,0),"")),IFERROR(VLOOKUP($E198,INSUMOS!$B:$E,3,0),IFERROR(VLOOKUP($E198,COTAÇÕES!$C:$L,5,0),"")))</f>
        <v xml:space="preserve">M2    </v>
      </c>
      <c r="I198" s="614">
        <v>0.54</v>
      </c>
      <c r="J198" s="670">
        <f>IF($E198="",IFERROR(VLOOKUP($D198,SERVIÇOS!$C:$H,6,0),IFERROR(VLOOKUP($D198,$F:$M,8,0),"")),IFERROR(VLOOKUP($E198,INSUMOS!$B:$E,4,0),IFERROR(VLOOKUP($E198,COTAÇÕES!$C:$L,10,0),"")))</f>
        <v>515.99</v>
      </c>
      <c r="K198" s="615">
        <f>TRUNC(IF($E198="",IFERROR(VLOOKUP($D198,SERVIÇOS!$C:$H,4,0),IFERROR(VLOOKUP($D198,$F:$M,6,0),)),IFERROR(VLOOKUP($E198,INSUMOS!$B:$E,4,0),IFERROR(VLOOKUP($E198,COTAÇÕES!$C:$L,10,0),)))*$I198,2)</f>
        <v>278.63</v>
      </c>
      <c r="L198" s="616">
        <f>TRUNC(IF($E198="",IFERROR(VLOOKUP($D198,SERVIÇOS!$C:$H,5,0),IFERROR(VLOOKUP($D198,$F:$M,7,0),)),0)*$I198,2)</f>
        <v>0</v>
      </c>
      <c r="M198" s="617">
        <f>K198+L198</f>
        <v>278.63</v>
      </c>
      <c r="N198" s="753" t="str">
        <f>IF($D198&lt;&gt;"","SERVIÇO SINAPI",IF($E198&lt;&gt;"","INSUMO SINAPI",""))</f>
        <v>INSUMO SINAPI</v>
      </c>
      <c r="O198" s="618"/>
    </row>
    <row r="199" spans="2:18">
      <c r="B199" s="122">
        <f t="shared" si="105"/>
        <v>9</v>
      </c>
      <c r="C199" s="611" t="str">
        <f>IF(D199&lt;&gt;"","C",IF(E199&lt;&gt;"","I",""))</f>
        <v>C</v>
      </c>
      <c r="D199" s="660">
        <v>88316</v>
      </c>
      <c r="E199" s="661"/>
      <c r="F199" s="612"/>
      <c r="G199" s="613" t="str">
        <f>IF($E199="",IFERROR(VLOOKUP($D199,SERVIÇOS!$C:$H,2,0),IFERROR(VLOOKUP($D199,$F:$M,2,0),"")),IFERROR(VLOOKUP($E199,INSUMOS!$B:$E,2,0),IFERROR(VLOOKUP($E199,COTAÇÕES!$C:$L,2,0),"")))</f>
        <v>SERVENTE COM ENCARGOS COMPLEMENTARES</v>
      </c>
      <c r="H199" s="593" t="str">
        <f>IF($E199="",IFERROR(VLOOKUP($D199,SERVIÇOS!$C:$H,3,0),IFERROR(VLOOKUP($D199,$F:$M,3,0),"")),IFERROR(VLOOKUP($E199,INSUMOS!$B:$E,3,0),IFERROR(VLOOKUP($E199,COTAÇÕES!$C:$L,5,0),"")))</f>
        <v>H</v>
      </c>
      <c r="I199" s="614">
        <v>0.21600000000000003</v>
      </c>
      <c r="J199" s="670">
        <f>IF($E199="",IFERROR(VLOOKUP($D199,SERVIÇOS!$C:$H,6,0),IFERROR(VLOOKUP($D199,$F:$M,8,0),"")),IFERROR(VLOOKUP($E199,INSUMOS!$B:$E,4,0),IFERROR(VLOOKUP($E199,COTAÇÕES!$C:$L,10,0),"")))</f>
        <v>23.71</v>
      </c>
      <c r="K199" s="615">
        <f>TRUNC(IF($E199="",IFERROR(VLOOKUP($D199,SERVIÇOS!$C:$H,4,0),IFERROR(VLOOKUP($D199,$F:$M,6,0),)),IFERROR(VLOOKUP($E199,INSUMOS!$B:$E,4,0),IFERROR(VLOOKUP($E199,COTAÇÕES!$C:$L,10,0),)))*$I199,2)</f>
        <v>1.4</v>
      </c>
      <c r="L199" s="616">
        <f>TRUNC(IF($E199="",IFERROR(VLOOKUP($D199,SERVIÇOS!$C:$H,5,0),IFERROR(VLOOKUP($D199,$F:$M,7,0),)),0)*$I199,2)</f>
        <v>3.71</v>
      </c>
      <c r="M199" s="617">
        <f>K199+L199</f>
        <v>5.1099999999999994</v>
      </c>
      <c r="N199" s="753" t="str">
        <f>IF($D199&lt;&gt;"","SERVIÇO SINAPI",IF($E199&lt;&gt;"","INSUMO SINAPI",""))</f>
        <v>SERVIÇO SINAPI</v>
      </c>
      <c r="O199" s="618"/>
    </row>
    <row r="200" spans="2:18">
      <c r="B200" s="122">
        <f t="shared" si="105"/>
        <v>9</v>
      </c>
      <c r="C200" s="611" t="str">
        <f>IF(D200&lt;&gt;"","C",IF(E200&lt;&gt;"","I",""))</f>
        <v>C</v>
      </c>
      <c r="D200" s="660">
        <v>88325</v>
      </c>
      <c r="E200" s="661"/>
      <c r="F200" s="612"/>
      <c r="G200" s="613" t="str">
        <f>IF($E200="",IFERROR(VLOOKUP($D200,SERVIÇOS!$C:$H,2,0),IFERROR(VLOOKUP($D200,$F:$M,2,0),"")),IFERROR(VLOOKUP($E200,INSUMOS!$B:$E,2,0),IFERROR(VLOOKUP($E200,COTAÇÕES!$C:$L,2,0),"")))</f>
        <v>VIDRACEIRO COM ENCARGOS COMPLEMENTARES</v>
      </c>
      <c r="H200" s="593" t="str">
        <f>IF($E200="",IFERROR(VLOOKUP($D200,SERVIÇOS!$C:$H,3,0),IFERROR(VLOOKUP($D200,$F:$M,3,0),"")),IFERROR(VLOOKUP($E200,INSUMOS!$B:$E,3,0),IFERROR(VLOOKUP($E200,COTAÇÕES!$C:$L,5,0),"")))</f>
        <v>H</v>
      </c>
      <c r="I200" s="614">
        <v>1.08</v>
      </c>
      <c r="J200" s="670">
        <f>IF($E200="",IFERROR(VLOOKUP($D200,SERVIÇOS!$C:$H,6,0),IFERROR(VLOOKUP($D200,$F:$M,8,0),"")),IFERROR(VLOOKUP($E200,INSUMOS!$B:$E,4,0),IFERROR(VLOOKUP($E200,COTAÇÕES!$C:$L,10,0),"")))</f>
        <v>31.21</v>
      </c>
      <c r="K200" s="615">
        <f>TRUNC(IF($E200="",IFERROR(VLOOKUP($D200,SERVIÇOS!$C:$H,4,0),IFERROR(VLOOKUP($D200,$F:$M,6,0),)),IFERROR(VLOOKUP($E200,INSUMOS!$B:$E,4,0),IFERROR(VLOOKUP($E200,COTAÇÕES!$C:$L,10,0),)))*$I200,2)</f>
        <v>7.17</v>
      </c>
      <c r="L200" s="616">
        <f>TRUNC(IF($E200="",IFERROR(VLOOKUP($D200,SERVIÇOS!$C:$H,5,0),IFERROR(VLOOKUP($D200,$F:$M,7,0),)),0)*$I200,2)</f>
        <v>26.53</v>
      </c>
      <c r="M200" s="617">
        <f>K200+L200</f>
        <v>33.700000000000003</v>
      </c>
      <c r="N200" s="753" t="str">
        <f>IF($D200&lt;&gt;"","SERVIÇO SINAPI",IF($E200&lt;&gt;"","INSUMO SINAPI",""))</f>
        <v>SERVIÇO SINAPI</v>
      </c>
      <c r="O200" s="618"/>
    </row>
    <row r="201" spans="2:18">
      <c r="B201" s="769">
        <f>SUMIF(ORC!$G$11:$G$2470,CPU!$F201,ORC!$J$11:$J$2470)</f>
        <v>3.75</v>
      </c>
      <c r="C201" s="515" t="s">
        <v>2239</v>
      </c>
      <c r="D201" s="515"/>
      <c r="E201" s="515"/>
      <c r="F201" s="515" t="s">
        <v>2946</v>
      </c>
      <c r="G201" s="516" t="s">
        <v>4866</v>
      </c>
      <c r="H201" s="515" t="s">
        <v>649</v>
      </c>
      <c r="I201" s="595"/>
      <c r="J201" s="596"/>
      <c r="K201" s="597">
        <f>SUM(K202:K208)</f>
        <v>506.82</v>
      </c>
      <c r="L201" s="597">
        <f>SUM(L202:L208)</f>
        <v>57.849999999999994</v>
      </c>
      <c r="M201" s="596">
        <f>SUM(K201:L201)</f>
        <v>564.66999999999996</v>
      </c>
      <c r="N201" s="598" t="s">
        <v>6784</v>
      </c>
      <c r="O201" s="610" t="s">
        <v>6841</v>
      </c>
    </row>
    <row r="202" spans="2:18">
      <c r="B202" s="122">
        <f t="shared" ref="B202:B208" si="106">B201</f>
        <v>3.75</v>
      </c>
      <c r="C202" s="611" t="str">
        <f t="shared" ref="C202:C208" si="107">IF(D202&lt;&gt;"","C",IF(E202&lt;&gt;"","I",""))</f>
        <v>C</v>
      </c>
      <c r="D202" s="661">
        <v>88261</v>
      </c>
      <c r="E202" s="662"/>
      <c r="F202" s="612"/>
      <c r="G202" s="613" t="str">
        <f>IF($E202="",IFERROR(VLOOKUP($D202,SERVIÇOS!$C:$H,2,0),IFERROR(VLOOKUP($D202,$F:$M,2,0),"")),IFERROR(VLOOKUP($E202,INSUMOS!$B:$E,2,0),IFERROR(VLOOKUP($E202,COTAÇÕES!$C:$L,2,0),"")))</f>
        <v>CARPINTEIRO DE ESQUADRIA COM ENCARGOS COMPLEMENTARES</v>
      </c>
      <c r="H202" s="593" t="str">
        <f>IF($E202="",IFERROR(VLOOKUP($D202,SERVIÇOS!$C:$H,3,0),IFERROR(VLOOKUP($D202,$F:$M,3,0),"")),IFERROR(VLOOKUP($E202,INSUMOS!$B:$E,3,0),IFERROR(VLOOKUP($E202,COTAÇÕES!$C:$L,5,0),"")))</f>
        <v>H</v>
      </c>
      <c r="I202" s="614">
        <v>1</v>
      </c>
      <c r="J202" s="670">
        <f>IF($E202="",IFERROR(VLOOKUP($D202,SERVIÇOS!$C:$H,6,0),IFERROR(VLOOKUP($D202,$F:$M,8,0),"")),IFERROR(VLOOKUP($E202,INSUMOS!$B:$E,4,0),IFERROR(VLOOKUP($E202,COTAÇÕES!$C:$L,10,0),"")))</f>
        <v>29.33</v>
      </c>
      <c r="K202" s="615">
        <f>TRUNC(IF($E202="",IFERROR(VLOOKUP($D202,SERVIÇOS!$C:$H,4,0),IFERROR(VLOOKUP($D202,$F:$M,6,0),)),IFERROR(VLOOKUP($E202,INSUMOS!$B:$E,4,0),IFERROR(VLOOKUP($E202,COTAÇÕES!$C:$L,10,0),)))*$I202,2)</f>
        <v>6.52</v>
      </c>
      <c r="L202" s="616">
        <f>TRUNC(IF($E202="",IFERROR(VLOOKUP($D202,SERVIÇOS!$C:$H,5,0),IFERROR(VLOOKUP($D202,$F:$M,7,0),)),0)*$I202,2)</f>
        <v>22.81</v>
      </c>
      <c r="M202" s="617">
        <f t="shared" ref="M202:M208" si="108">K202+L202</f>
        <v>29.33</v>
      </c>
      <c r="N202" s="753" t="str">
        <f t="shared" ref="N202:N208" si="109">IF($D202&lt;&gt;"","SERVIÇO SINAPI",IF($E202&lt;&gt;"","INSUMO SINAPI",""))</f>
        <v>SERVIÇO SINAPI</v>
      </c>
      <c r="O202" s="618"/>
    </row>
    <row r="203" spans="2:18">
      <c r="B203" s="122">
        <f t="shared" si="106"/>
        <v>3.75</v>
      </c>
      <c r="C203" s="611" t="str">
        <f t="shared" si="107"/>
        <v>C</v>
      </c>
      <c r="D203" s="661">
        <v>88316</v>
      </c>
      <c r="E203" s="661"/>
      <c r="F203" s="612"/>
      <c r="G203" s="613" t="str">
        <f>IF($E203="",IFERROR(VLOOKUP($D203,SERVIÇOS!$C:$H,2,0),IFERROR(VLOOKUP($D203,$F:$M,2,0),"")),IFERROR(VLOOKUP($E203,INSUMOS!$B:$E,2,0),IFERROR(VLOOKUP($E203,COTAÇÕES!$C:$L,2,0),"")))</f>
        <v>SERVENTE COM ENCARGOS COMPLEMENTARES</v>
      </c>
      <c r="H203" s="593" t="str">
        <f>IF($E203="",IFERROR(VLOOKUP($D203,SERVIÇOS!$C:$H,3,0),IFERROR(VLOOKUP($D203,$F:$M,3,0),"")),IFERROR(VLOOKUP($E203,INSUMOS!$B:$E,3,0),IFERROR(VLOOKUP($E203,COTAÇÕES!$C:$L,5,0),"")))</f>
        <v>H</v>
      </c>
      <c r="I203" s="614">
        <v>2</v>
      </c>
      <c r="J203" s="670">
        <f>IF($E203="",IFERROR(VLOOKUP($D203,SERVIÇOS!$C:$H,6,0),IFERROR(VLOOKUP($D203,$F:$M,8,0),"")),IFERROR(VLOOKUP($E203,INSUMOS!$B:$E,4,0),IFERROR(VLOOKUP($E203,COTAÇÕES!$C:$L,10,0),"")))</f>
        <v>23.71</v>
      </c>
      <c r="K203" s="615">
        <f>TRUNC(IF($E203="",IFERROR(VLOOKUP($D203,SERVIÇOS!$C:$H,4,0),IFERROR(VLOOKUP($D203,$F:$M,6,0),)),IFERROR(VLOOKUP($E203,INSUMOS!$B:$E,4,0),IFERROR(VLOOKUP($E203,COTAÇÕES!$C:$L,10,0),)))*$I203,2)</f>
        <v>13.04</v>
      </c>
      <c r="L203" s="616">
        <f>TRUNC(IF($E203="",IFERROR(VLOOKUP($D203,SERVIÇOS!$C:$H,5,0),IFERROR(VLOOKUP($D203,$F:$M,7,0),)),0)*$I203,2)</f>
        <v>34.380000000000003</v>
      </c>
      <c r="M203" s="617">
        <f t="shared" si="108"/>
        <v>47.42</v>
      </c>
      <c r="N203" s="753" t="str">
        <f t="shared" si="109"/>
        <v>SERVIÇO SINAPI</v>
      </c>
      <c r="O203" s="618"/>
    </row>
    <row r="204" spans="2:18" ht="25.5">
      <c r="B204" s="122">
        <f t="shared" si="106"/>
        <v>3.75</v>
      </c>
      <c r="C204" s="611" t="str">
        <f t="shared" si="107"/>
        <v>C</v>
      </c>
      <c r="D204" s="661">
        <v>94962</v>
      </c>
      <c r="E204" s="662"/>
      <c r="F204" s="612"/>
      <c r="G204" s="613" t="str">
        <f>IF($E204="",IFERROR(VLOOKUP($D204,SERVIÇOS!$C:$H,2,0),IFERROR(VLOOKUP($D204,$F:$M,2,0),"")),IFERROR(VLOOKUP($E204,INSUMOS!$B:$E,2,0),IFERROR(VLOOKUP($E204,COTAÇÕES!$C:$L,2,0),"")))</f>
        <v>CONCRETO MAGRO PARA LASTRO, TRAÇO 1:4,5:4,5 (EM MASSA SECA DE CIMENTO/ AREIA MÉDIA/ BRITA 1) - PREPARO MECÂNICO COM BETONEIRA 400 L. AF_05/2021</v>
      </c>
      <c r="H204" s="593" t="str">
        <f>IF($E204="",IFERROR(VLOOKUP($D204,SERVIÇOS!$C:$H,3,0),IFERROR(VLOOKUP($D204,$F:$M,3,0),"")),IFERROR(VLOOKUP($E204,INSUMOS!$B:$E,3,0),IFERROR(VLOOKUP($E204,COTAÇÕES!$C:$L,5,0),"")))</f>
        <v>M3</v>
      </c>
      <c r="I204" s="614">
        <v>0.01</v>
      </c>
      <c r="J204" s="670">
        <f>IF($E204="",IFERROR(VLOOKUP($D204,SERVIÇOS!$C:$H,6,0),IFERROR(VLOOKUP($D204,$F:$M,8,0),"")),IFERROR(VLOOKUP($E204,INSUMOS!$B:$E,4,0),IFERROR(VLOOKUP($E204,COTAÇÕES!$C:$L,10,0),"")))</f>
        <v>333.12</v>
      </c>
      <c r="K204" s="615">
        <f>TRUNC(IF($E204="",IFERROR(VLOOKUP($D204,SERVIÇOS!$C:$H,4,0),IFERROR(VLOOKUP($D204,$F:$M,6,0),)),IFERROR(VLOOKUP($E204,INSUMOS!$B:$E,4,0),IFERROR(VLOOKUP($E204,COTAÇÕES!$C:$L,10,0),)))*$I204,2)</f>
        <v>2.66</v>
      </c>
      <c r="L204" s="616">
        <f>TRUNC(IF($E204="",IFERROR(VLOOKUP($D204,SERVIÇOS!$C:$H,5,0),IFERROR(VLOOKUP($D204,$F:$M,7,0),)),0)*$I204,2)</f>
        <v>0.66</v>
      </c>
      <c r="M204" s="617">
        <f t="shared" si="108"/>
        <v>3.3200000000000003</v>
      </c>
      <c r="N204" s="753" t="str">
        <f t="shared" si="109"/>
        <v>SERVIÇO SINAPI</v>
      </c>
      <c r="O204" s="618"/>
    </row>
    <row r="205" spans="2:18" ht="25.5">
      <c r="B205" s="122">
        <f t="shared" si="106"/>
        <v>3.75</v>
      </c>
      <c r="C205" s="611" t="str">
        <f t="shared" si="107"/>
        <v>I</v>
      </c>
      <c r="D205" s="661"/>
      <c r="E205" s="661">
        <v>4417</v>
      </c>
      <c r="F205" s="612"/>
      <c r="G205" s="613" t="str">
        <f>IF($E205="",IFERROR(VLOOKUP($D205,SERVIÇOS!$C:$H,2,0),IFERROR(VLOOKUP($D205,$F:$M,2,0),"")),IFERROR(VLOOKUP($E205,INSUMOS!$B:$E,2,0),IFERROR(VLOOKUP($E205,COTAÇÕES!$C:$L,2,0),"")))</f>
        <v xml:space="preserve">SARRAFO NAO APARELHADO *2,5 X 7* CM, EM MACARANDUBA, ANGELIM OU EQUIVALENTE DA REGIAO -  BRUTA                                                                                                                                                                                                                                                                                                                                                                                                            </v>
      </c>
      <c r="H205" s="593" t="str">
        <f>IF($E205="",IFERROR(VLOOKUP($D205,SERVIÇOS!$C:$H,3,0),IFERROR(VLOOKUP($D205,$F:$M,3,0),"")),IFERROR(VLOOKUP($E205,INSUMOS!$B:$E,3,0),IFERROR(VLOOKUP($E205,COTAÇÕES!$C:$L,5,0),"")))</f>
        <v xml:space="preserve">M     </v>
      </c>
      <c r="I205" s="614">
        <v>1</v>
      </c>
      <c r="J205" s="670">
        <f>IF($E205="",IFERROR(VLOOKUP($D205,SERVIÇOS!$C:$H,6,0),IFERROR(VLOOKUP($D205,$F:$M,8,0),"")),IFERROR(VLOOKUP($E205,INSUMOS!$B:$E,4,0),IFERROR(VLOOKUP($E205,COTAÇÕES!$C:$L,10,0),"")))</f>
        <v>9.41</v>
      </c>
      <c r="K205" s="615">
        <f>TRUNC(IF($E205="",IFERROR(VLOOKUP($D205,SERVIÇOS!$C:$H,4,0),IFERROR(VLOOKUP($D205,$F:$M,6,0),)),IFERROR(VLOOKUP($E205,INSUMOS!$B:$E,4,0),IFERROR(VLOOKUP($E205,COTAÇÕES!$C:$L,10,0),)))*$I205,2)</f>
        <v>9.41</v>
      </c>
      <c r="L205" s="616">
        <f>TRUNC(IF($E205="",IFERROR(VLOOKUP($D205,SERVIÇOS!$C:$H,5,0),IFERROR(VLOOKUP($D205,$F:$M,7,0),)),0)*$I205,2)</f>
        <v>0</v>
      </c>
      <c r="M205" s="617">
        <f t="shared" si="108"/>
        <v>9.41</v>
      </c>
      <c r="N205" s="753" t="str">
        <f t="shared" si="109"/>
        <v>INSUMO SINAPI</v>
      </c>
      <c r="O205" s="618"/>
    </row>
    <row r="206" spans="2:18">
      <c r="B206" s="122">
        <f t="shared" si="106"/>
        <v>3.75</v>
      </c>
      <c r="C206" s="611" t="str">
        <f t="shared" si="107"/>
        <v>I</v>
      </c>
      <c r="D206" s="661"/>
      <c r="E206" s="661">
        <v>4491</v>
      </c>
      <c r="F206" s="612"/>
      <c r="G206" s="613" t="str">
        <f>IF($E206="",IFERROR(VLOOKUP($D206,SERVIÇOS!$C:$H,2,0),IFERROR(VLOOKUP($D206,$F:$M,2,0),"")),IFERROR(VLOOKUP($E206,INSUMOS!$B:$E,2,0),IFERROR(VLOOKUP($E206,COTAÇÕES!$C:$L,2,0),"")))</f>
        <v xml:space="preserve">PONTALETE *7,5 X 7,5* CM EM PINUS, MISTA OU EQUIVALENTE DA REGIAO - BRUTA                                                                                                                                                                                                                                                                                                                                                                                                                                 </v>
      </c>
      <c r="H206" s="593" t="str">
        <f>IF($E206="",IFERROR(VLOOKUP($D206,SERVIÇOS!$C:$H,3,0),IFERROR(VLOOKUP($D206,$F:$M,3,0),"")),IFERROR(VLOOKUP($E206,INSUMOS!$B:$E,3,0),IFERROR(VLOOKUP($E206,COTAÇÕES!$C:$L,5,0),"")))</f>
        <v xml:space="preserve">M     </v>
      </c>
      <c r="I206" s="614">
        <v>4</v>
      </c>
      <c r="J206" s="670">
        <f>IF($E206="",IFERROR(VLOOKUP($D206,SERVIÇOS!$C:$H,6,0),IFERROR(VLOOKUP($D206,$F:$M,8,0),"")),IFERROR(VLOOKUP($E206,INSUMOS!$B:$E,4,0),IFERROR(VLOOKUP($E206,COTAÇÕES!$C:$L,10,0),"")))</f>
        <v>6.97</v>
      </c>
      <c r="K206" s="615">
        <f>TRUNC(IF($E206="",IFERROR(VLOOKUP($D206,SERVIÇOS!$C:$H,4,0),IFERROR(VLOOKUP($D206,$F:$M,6,0),)),IFERROR(VLOOKUP($E206,INSUMOS!$B:$E,4,0),IFERROR(VLOOKUP($E206,COTAÇÕES!$C:$L,10,0),)))*$I206,2)</f>
        <v>27.88</v>
      </c>
      <c r="L206" s="616">
        <f>TRUNC(IF($E206="",IFERROR(VLOOKUP($D206,SERVIÇOS!$C:$H,5,0),IFERROR(VLOOKUP($D206,$F:$M,7,0),)),0)*$I206,2)</f>
        <v>0</v>
      </c>
      <c r="M206" s="617">
        <f t="shared" si="108"/>
        <v>27.88</v>
      </c>
      <c r="N206" s="753" t="str">
        <f t="shared" si="109"/>
        <v>INSUMO SINAPI</v>
      </c>
      <c r="O206" s="618"/>
    </row>
    <row r="207" spans="2:18" ht="25.5">
      <c r="B207" s="122">
        <f t="shared" si="106"/>
        <v>3.75</v>
      </c>
      <c r="C207" s="611" t="str">
        <f t="shared" si="107"/>
        <v>I</v>
      </c>
      <c r="D207" s="661"/>
      <c r="E207" s="662">
        <v>4813</v>
      </c>
      <c r="F207" s="612"/>
      <c r="G207" s="613" t="str">
        <f>IF($E207="",IFERROR(VLOOKUP($D207,SERVIÇOS!$C:$H,2,0),IFERROR(VLOOKUP($D207,$F:$M,2,0),"")),IFERROR(VLOOKUP($E207,INSUMOS!$B:$E,2,0),IFERROR(VLOOKUP($E207,COTAÇÕES!$C:$L,2,0),"")))</f>
        <v xml:space="preserve">PLACA DE OBRA (PARA CONSTRUCAO CIVIL) EM CHAPA GALVANIZADA *N. 22*, ADESIVADA, DE *2,4 X 1,2* M (SEM POSTES PARA FIXACAO)                                                                                                                                                                                                                                                                                                                                                                                 </v>
      </c>
      <c r="H207" s="593" t="str">
        <f>IF($E207="",IFERROR(VLOOKUP($D207,SERVIÇOS!$C:$H,3,0),IFERROR(VLOOKUP($D207,$F:$M,3,0),"")),IFERROR(VLOOKUP($E207,INSUMOS!$B:$E,3,0),IFERROR(VLOOKUP($E207,COTAÇÕES!$C:$L,5,0),"")))</f>
        <v xml:space="preserve">M2    </v>
      </c>
      <c r="I207" s="614">
        <v>1</v>
      </c>
      <c r="J207" s="670">
        <f>IF($E207="",IFERROR(VLOOKUP($D207,SERVIÇOS!$C:$H,6,0),IFERROR(VLOOKUP($D207,$F:$M,8,0),"")),IFERROR(VLOOKUP($E207,INSUMOS!$B:$E,4,0),IFERROR(VLOOKUP($E207,COTAÇÕES!$C:$L,10,0),"")))</f>
        <v>445</v>
      </c>
      <c r="K207" s="615">
        <f>TRUNC(IF($E207="",IFERROR(VLOOKUP($D207,SERVIÇOS!$C:$H,4,0),IFERROR(VLOOKUP($D207,$F:$M,6,0),)),IFERROR(VLOOKUP($E207,INSUMOS!$B:$E,4,0),IFERROR(VLOOKUP($E207,COTAÇÕES!$C:$L,10,0),)))*$I207,2)</f>
        <v>445</v>
      </c>
      <c r="L207" s="616">
        <f>TRUNC(IF($E207="",IFERROR(VLOOKUP($D207,SERVIÇOS!$C:$H,5,0),IFERROR(VLOOKUP($D207,$F:$M,7,0),)),0)*$I207,2)</f>
        <v>0</v>
      </c>
      <c r="M207" s="617">
        <f t="shared" si="108"/>
        <v>445</v>
      </c>
      <c r="N207" s="753" t="str">
        <f t="shared" si="109"/>
        <v>INSUMO SINAPI</v>
      </c>
      <c r="O207" s="618"/>
    </row>
    <row r="208" spans="2:18">
      <c r="B208" s="122">
        <f t="shared" si="106"/>
        <v>3.75</v>
      </c>
      <c r="C208" s="611" t="str">
        <f t="shared" si="107"/>
        <v>I</v>
      </c>
      <c r="D208" s="661"/>
      <c r="E208" s="661">
        <v>5075</v>
      </c>
      <c r="F208" s="612"/>
      <c r="G208" s="613" t="str">
        <f>IF($E208="",IFERROR(VLOOKUP($D208,SERVIÇOS!$C:$H,2,0),IFERROR(VLOOKUP($D208,$F:$M,2,0),"")),IFERROR(VLOOKUP($E208,INSUMOS!$B:$E,2,0),IFERROR(VLOOKUP($E208,COTAÇÕES!$C:$L,2,0),"")))</f>
        <v xml:space="preserve">PREGO DE ACO POLIDO COM CABECA 18 X 30 (2 3/4 X 10)                                                                                                                                                                                                                                                                                                                                                                                                                                                       </v>
      </c>
      <c r="H208" s="593" t="str">
        <f>IF($E208="",IFERROR(VLOOKUP($D208,SERVIÇOS!$C:$H,3,0),IFERROR(VLOOKUP($D208,$F:$M,3,0),"")),IFERROR(VLOOKUP($E208,INSUMOS!$B:$E,3,0),IFERROR(VLOOKUP($E208,COTAÇÕES!$C:$L,5,0),"")))</f>
        <v xml:space="preserve">KG    </v>
      </c>
      <c r="I208" s="614">
        <v>0.11</v>
      </c>
      <c r="J208" s="670">
        <f>IF($E208="",IFERROR(VLOOKUP($D208,SERVIÇOS!$C:$H,6,0),IFERROR(VLOOKUP($D208,$F:$M,8,0),"")),IFERROR(VLOOKUP($E208,INSUMOS!$B:$E,4,0),IFERROR(VLOOKUP($E208,COTAÇÕES!$C:$L,10,0),"")))</f>
        <v>21.03</v>
      </c>
      <c r="K208" s="615">
        <f>TRUNC(IF($E208="",IFERROR(VLOOKUP($D208,SERVIÇOS!$C:$H,4,0),IFERROR(VLOOKUP($D208,$F:$M,6,0),)),IFERROR(VLOOKUP($E208,INSUMOS!$B:$E,4,0),IFERROR(VLOOKUP($E208,COTAÇÕES!$C:$L,10,0),)))*$I208,2)</f>
        <v>2.31</v>
      </c>
      <c r="L208" s="616">
        <f>TRUNC(IF($E208="",IFERROR(VLOOKUP($D208,SERVIÇOS!$C:$H,5,0),IFERROR(VLOOKUP($D208,$F:$M,7,0),)),0)*$I208,2)</f>
        <v>0</v>
      </c>
      <c r="M208" s="617">
        <f t="shared" si="108"/>
        <v>2.31</v>
      </c>
      <c r="N208" s="753" t="str">
        <f t="shared" si="109"/>
        <v>INSUMO SINAPI</v>
      </c>
      <c r="O208" s="618"/>
    </row>
    <row r="209" spans="2:16">
      <c r="B209" s="769">
        <v>1</v>
      </c>
      <c r="C209" s="515" t="s">
        <v>2239</v>
      </c>
      <c r="D209" s="515"/>
      <c r="E209" s="515"/>
      <c r="F209" s="515" t="s">
        <v>2947</v>
      </c>
      <c r="G209" s="516" t="s">
        <v>6785</v>
      </c>
      <c r="H209" s="515" t="s">
        <v>2666</v>
      </c>
      <c r="I209" s="595"/>
      <c r="J209" s="596"/>
      <c r="K209" s="597">
        <f>SUM(K210:K212)</f>
        <v>119.72</v>
      </c>
      <c r="L209" s="597">
        <f>SUM(L210:L212)</f>
        <v>28.15</v>
      </c>
      <c r="M209" s="596">
        <f>SUM(K209:L209)</f>
        <v>147.87</v>
      </c>
      <c r="N209" s="598" t="s">
        <v>4886</v>
      </c>
      <c r="O209" s="610" t="s">
        <v>6838</v>
      </c>
    </row>
    <row r="210" spans="2:16">
      <c r="B210" s="122">
        <f t="shared" ref="B210:B212" si="110">B209</f>
        <v>1</v>
      </c>
      <c r="C210" s="611" t="str">
        <f>IF(D210&lt;&gt;"","C",IF(E210&lt;&gt;"","I",""))</f>
        <v>C</v>
      </c>
      <c r="D210" s="660">
        <v>88267</v>
      </c>
      <c r="E210" s="661"/>
      <c r="F210" s="612"/>
      <c r="G210" s="613" t="str">
        <f>IF($E210="",IFERROR(VLOOKUP($D210,SERVIÇOS!$C:$H,2,0),IFERROR(VLOOKUP($D210,$F:$M,2,0),"")),IFERROR(VLOOKUP($E210,INSUMOS!$B:$E,2,0),IFERROR(VLOOKUP($E210,COTAÇÕES!$C:$L,2,0),"")))</f>
        <v>ENCANADOR OU BOMBEIRO HIDRÁULICO COM ENCARGOS COMPLEMENTARES</v>
      </c>
      <c r="H210" s="593" t="str">
        <f>IF($E210="",IFERROR(VLOOKUP($D210,SERVIÇOS!$C:$H,3,0),IFERROR(VLOOKUP($D210,$F:$M,3,0),"")),IFERROR(VLOOKUP($E210,INSUMOS!$B:$E,3,0),IFERROR(VLOOKUP($E210,COTAÇÕES!$C:$L,5,0),"")))</f>
        <v>H</v>
      </c>
      <c r="I210" s="614">
        <v>0.94850000000000001</v>
      </c>
      <c r="J210" s="670">
        <f>IF($E210="",IFERROR(VLOOKUP($D210,SERVIÇOS!$C:$H,6,0),IFERROR(VLOOKUP($D210,$F:$M,8,0),"")),IFERROR(VLOOKUP($E210,INSUMOS!$B:$E,4,0),IFERROR(VLOOKUP($E210,COTAÇÕES!$C:$L,10,0),"")))</f>
        <v>30.35</v>
      </c>
      <c r="K210" s="615">
        <f>TRUNC(IF($E210="",IFERROR(VLOOKUP($D210,SERVIÇOS!$C:$H,4,0),IFERROR(VLOOKUP($D210,$F:$M,6,0),)),IFERROR(VLOOKUP($E210,INSUMOS!$B:$E,4,0),IFERROR(VLOOKUP($E210,COTAÇÕES!$C:$L,10,0),)))*$I210,2)</f>
        <v>5.75</v>
      </c>
      <c r="L210" s="616">
        <f>TRUNC(IF($E210="",IFERROR(VLOOKUP($D210,SERVIÇOS!$C:$H,5,0),IFERROR(VLOOKUP($D210,$F:$M,7,0),)),0)*$I210,2)</f>
        <v>23.02</v>
      </c>
      <c r="M210" s="617">
        <f>K210+L210</f>
        <v>28.77</v>
      </c>
      <c r="N210" s="753" t="str">
        <f>IF($D210&lt;&gt;"","SERVIÇO SINAPI",IF($E210&lt;&gt;"","INSUMO SINAPI",""))</f>
        <v>SERVIÇO SINAPI</v>
      </c>
      <c r="O210" s="618"/>
    </row>
    <row r="211" spans="2:16">
      <c r="B211" s="122">
        <f t="shared" si="110"/>
        <v>1</v>
      </c>
      <c r="C211" s="611" t="str">
        <f>IF(D211&lt;&gt;"","C",IF(E211&lt;&gt;"","I",""))</f>
        <v>C</v>
      </c>
      <c r="D211" s="660">
        <v>88316</v>
      </c>
      <c r="E211" s="661"/>
      <c r="F211" s="612"/>
      <c r="G211" s="613" t="str">
        <f>IF($E211="",IFERROR(VLOOKUP($D211,SERVIÇOS!$C:$H,2,0),IFERROR(VLOOKUP($D211,$F:$M,2,0),"")),IFERROR(VLOOKUP($E211,INSUMOS!$B:$E,2,0),IFERROR(VLOOKUP($E211,COTAÇÕES!$C:$L,2,0),"")))</f>
        <v>SERVENTE COM ENCARGOS COMPLEMENTARES</v>
      </c>
      <c r="H211" s="593" t="str">
        <f>IF($E211="",IFERROR(VLOOKUP($D211,SERVIÇOS!$C:$H,3,0),IFERROR(VLOOKUP($D211,$F:$M,3,0),"")),IFERROR(VLOOKUP($E211,INSUMOS!$B:$E,3,0),IFERROR(VLOOKUP($E211,COTAÇÕES!$C:$L,5,0),"")))</f>
        <v>H</v>
      </c>
      <c r="I211" s="614">
        <v>0.29880000000000001</v>
      </c>
      <c r="J211" s="670">
        <f>IF($E211="",IFERROR(VLOOKUP($D211,SERVIÇOS!$C:$H,6,0),IFERROR(VLOOKUP($D211,$F:$M,8,0),"")),IFERROR(VLOOKUP($E211,INSUMOS!$B:$E,4,0),IFERROR(VLOOKUP($E211,COTAÇÕES!$C:$L,10,0),"")))</f>
        <v>23.71</v>
      </c>
      <c r="K211" s="615">
        <f>TRUNC(IF($E211="",IFERROR(VLOOKUP($D211,SERVIÇOS!$C:$H,4,0),IFERROR(VLOOKUP($D211,$F:$M,6,0),)),IFERROR(VLOOKUP($E211,INSUMOS!$B:$E,4,0),IFERROR(VLOOKUP($E211,COTAÇÕES!$C:$L,10,0),)))*$I211,2)</f>
        <v>1.94</v>
      </c>
      <c r="L211" s="616">
        <f>TRUNC(IF($E211="",IFERROR(VLOOKUP($D211,SERVIÇOS!$C:$H,5,0),IFERROR(VLOOKUP($D211,$F:$M,7,0),)),0)*$I211,2)</f>
        <v>5.13</v>
      </c>
      <c r="M211" s="617">
        <f>K211+L211</f>
        <v>7.07</v>
      </c>
      <c r="N211" s="753" t="str">
        <f>IF($D211&lt;&gt;"","SERVIÇO SINAPI",IF($E211&lt;&gt;"","INSUMO SINAPI",""))</f>
        <v>SERVIÇO SINAPI</v>
      </c>
      <c r="O211" s="618"/>
    </row>
    <row r="212" spans="2:16" ht="23.25" customHeight="1">
      <c r="B212" s="122">
        <f t="shared" si="110"/>
        <v>1</v>
      </c>
      <c r="C212" s="611" t="str">
        <f>IF(D212&lt;&gt;"","C",IF(E212&lt;&gt;"","I",""))</f>
        <v>I</v>
      </c>
      <c r="D212" s="660"/>
      <c r="E212" s="661" t="s">
        <v>9016</v>
      </c>
      <c r="F212" s="612"/>
      <c r="G212" s="613" t="str">
        <f>IF($E212="",IFERROR(VLOOKUP($D212,SERVIÇOS!$C:$H,2,0),IFERROR(VLOOKUP($D212,$F:$M,2,0),"")),IFERROR(VLOOKUP($E212,INSUMOS!$B:$E,2,0),IFERROR(VLOOKUP($E212,COTAÇÕES!$C:$L,2,0),"")))</f>
        <v xml:space="preserve">BARRA DE APOIO EM AÇO INOXIDÁVEL AISI 304, DIÂMETRO DE 32 MM (1 1/4´), ESPESSURA 1,5 MM E COMPRIMENTO 40 CM </v>
      </c>
      <c r="H212" s="593" t="str">
        <f>IF($E212="",IFERROR(VLOOKUP($D212,SERVIÇOS!$C:$H,3,0),IFERROR(VLOOKUP($D212,$F:$M,3,0),"")),IFERROR(VLOOKUP($E212,INSUMOS!$B:$E,3,0),IFERROR(VLOOKUP($E212,COTAÇÕES!$C:$L,5,0),"")))</f>
        <v>UN</v>
      </c>
      <c r="I212" s="614">
        <v>1</v>
      </c>
      <c r="J212" s="670">
        <f>IF($E212="",IFERROR(VLOOKUP($D212,SERVIÇOS!$C:$H,6,0),IFERROR(VLOOKUP($D212,$F:$M,8,0),"")),IFERROR(VLOOKUP($E212,INSUMOS!$B:$E,4,0),IFERROR(VLOOKUP($E212,COTAÇÕES!$C:$L,10,0),"")))</f>
        <v>112.03333333333335</v>
      </c>
      <c r="K212" s="615">
        <f>TRUNC(IF($E212="",IFERROR(VLOOKUP($D212,SERVIÇOS!$C:$H,4,0),IFERROR(VLOOKUP($D212,$F:$M,6,0),)),IFERROR(VLOOKUP($E212,INSUMOS!$B:$E,4,0),IFERROR(VLOOKUP($E212,COTAÇÕES!$C:$L,10,0),)))*$I212,2)</f>
        <v>112.03</v>
      </c>
      <c r="L212" s="616">
        <f>TRUNC(IF($E212="",IFERROR(VLOOKUP($D212,SERVIÇOS!$C:$H,5,0),IFERROR(VLOOKUP($D212,$F:$M,7,0),)),0)*$I212,2)</f>
        <v>0</v>
      </c>
      <c r="M212" s="617">
        <f>K212+L212</f>
        <v>112.03</v>
      </c>
      <c r="N212" s="753" t="s">
        <v>6845</v>
      </c>
      <c r="O212" s="618"/>
    </row>
    <row r="213" spans="2:16">
      <c r="B213" s="769">
        <f>SUMIF(ORC!$G$11:$G$2470,CPU!$F213,ORC!$J$11:$J$2470)</f>
        <v>3</v>
      </c>
      <c r="C213" s="515" t="s">
        <v>2239</v>
      </c>
      <c r="D213" s="515"/>
      <c r="E213" s="515"/>
      <c r="F213" s="515" t="s">
        <v>8744</v>
      </c>
      <c r="G213" s="516" t="s">
        <v>8745</v>
      </c>
      <c r="H213" s="515" t="s">
        <v>2666</v>
      </c>
      <c r="I213" s="595"/>
      <c r="J213" s="596"/>
      <c r="K213" s="597">
        <f>SUM(K214:K216)</f>
        <v>150.15</v>
      </c>
      <c r="L213" s="597">
        <f>SUM(L214:L216)</f>
        <v>28.15</v>
      </c>
      <c r="M213" s="596">
        <f>SUM(K213:L213)</f>
        <v>178.3</v>
      </c>
      <c r="N213" s="598" t="s">
        <v>4886</v>
      </c>
      <c r="O213" s="610" t="s">
        <v>6838</v>
      </c>
    </row>
    <row r="214" spans="2:16">
      <c r="B214" s="122">
        <f t="shared" ref="B214:B216" si="111">B213</f>
        <v>3</v>
      </c>
      <c r="C214" s="611" t="str">
        <f>IF(D214&lt;&gt;"","C",IF(E214&lt;&gt;"","I",""))</f>
        <v>C</v>
      </c>
      <c r="D214" s="660">
        <v>88267</v>
      </c>
      <c r="E214" s="661"/>
      <c r="F214" s="612"/>
      <c r="G214" s="613" t="str">
        <f>IF($E214="",IFERROR(VLOOKUP($D214,SERVIÇOS!$C:$H,2,0),IFERROR(VLOOKUP($D214,$F:$M,2,0),"")),IFERROR(VLOOKUP($E214,INSUMOS!$B:$E,2,0),IFERROR(VLOOKUP($E214,COTAÇÕES!$C:$L,2,0),"")))</f>
        <v>ENCANADOR OU BOMBEIRO HIDRÁULICO COM ENCARGOS COMPLEMENTARES</v>
      </c>
      <c r="H214" s="593" t="str">
        <f>IF($E214="",IFERROR(VLOOKUP($D214,SERVIÇOS!$C:$H,3,0),IFERROR(VLOOKUP($D214,$F:$M,3,0),"")),IFERROR(VLOOKUP($E214,INSUMOS!$B:$E,3,0),IFERROR(VLOOKUP($E214,COTAÇÕES!$C:$L,5,0),"")))</f>
        <v>H</v>
      </c>
      <c r="I214" s="614">
        <v>0.94850000000000001</v>
      </c>
      <c r="J214" s="670">
        <f>IF($E214="",IFERROR(VLOOKUP($D214,SERVIÇOS!$C:$H,6,0),IFERROR(VLOOKUP($D214,$F:$M,8,0),"")),IFERROR(VLOOKUP($E214,INSUMOS!$B:$E,4,0),IFERROR(VLOOKUP($E214,COTAÇÕES!$C:$L,10,0),"")))</f>
        <v>30.35</v>
      </c>
      <c r="K214" s="615">
        <f>TRUNC(IF($E214="",IFERROR(VLOOKUP($D214,SERVIÇOS!$C:$H,4,0),IFERROR(VLOOKUP($D214,$F:$M,6,0),)),IFERROR(VLOOKUP($E214,INSUMOS!$B:$E,4,0),IFERROR(VLOOKUP($E214,COTAÇÕES!$C:$L,10,0),)))*$I214,2)</f>
        <v>5.75</v>
      </c>
      <c r="L214" s="616">
        <f>TRUNC(IF($E214="",IFERROR(VLOOKUP($D214,SERVIÇOS!$C:$H,5,0),IFERROR(VLOOKUP($D214,$F:$M,7,0),)),0)*$I214,2)</f>
        <v>23.02</v>
      </c>
      <c r="M214" s="617">
        <f>K214+L214</f>
        <v>28.77</v>
      </c>
      <c r="N214" s="753" t="str">
        <f>IF($D214&lt;&gt;"","SERVIÇO SINAPI",IF($E214&lt;&gt;"","INSUMO SINAPI",""))</f>
        <v>SERVIÇO SINAPI</v>
      </c>
      <c r="O214" s="618"/>
    </row>
    <row r="215" spans="2:16">
      <c r="B215" s="122">
        <f t="shared" si="111"/>
        <v>3</v>
      </c>
      <c r="C215" s="611" t="str">
        <f>IF(D215&lt;&gt;"","C",IF(E215&lt;&gt;"","I",""))</f>
        <v>C</v>
      </c>
      <c r="D215" s="660">
        <v>88316</v>
      </c>
      <c r="E215" s="661"/>
      <c r="F215" s="612"/>
      <c r="G215" s="613" t="str">
        <f>IF($E215="",IFERROR(VLOOKUP($D215,SERVIÇOS!$C:$H,2,0),IFERROR(VLOOKUP($D215,$F:$M,2,0),"")),IFERROR(VLOOKUP($E215,INSUMOS!$B:$E,2,0),IFERROR(VLOOKUP($E215,COTAÇÕES!$C:$L,2,0),"")))</f>
        <v>SERVENTE COM ENCARGOS COMPLEMENTARES</v>
      </c>
      <c r="H215" s="593" t="str">
        <f>IF($E215="",IFERROR(VLOOKUP($D215,SERVIÇOS!$C:$H,3,0),IFERROR(VLOOKUP($D215,$F:$M,3,0),"")),IFERROR(VLOOKUP($E215,INSUMOS!$B:$E,3,0),IFERROR(VLOOKUP($E215,COTAÇÕES!$C:$L,5,0),"")))</f>
        <v>H</v>
      </c>
      <c r="I215" s="614">
        <v>0.29880000000000001</v>
      </c>
      <c r="J215" s="670">
        <f>IF($E215="",IFERROR(VLOOKUP($D215,SERVIÇOS!$C:$H,6,0),IFERROR(VLOOKUP($D215,$F:$M,8,0),"")),IFERROR(VLOOKUP($E215,INSUMOS!$B:$E,4,0),IFERROR(VLOOKUP($E215,COTAÇÕES!$C:$L,10,0),"")))</f>
        <v>23.71</v>
      </c>
      <c r="K215" s="615">
        <f>TRUNC(IF($E215="",IFERROR(VLOOKUP($D215,SERVIÇOS!$C:$H,4,0),IFERROR(VLOOKUP($D215,$F:$M,6,0),)),IFERROR(VLOOKUP($E215,INSUMOS!$B:$E,4,0),IFERROR(VLOOKUP($E215,COTAÇÕES!$C:$L,10,0),)))*$I215,2)</f>
        <v>1.94</v>
      </c>
      <c r="L215" s="616">
        <f>TRUNC(IF($E215="",IFERROR(VLOOKUP($D215,SERVIÇOS!$C:$H,5,0),IFERROR(VLOOKUP($D215,$F:$M,7,0),)),0)*$I215,2)</f>
        <v>5.13</v>
      </c>
      <c r="M215" s="617">
        <f>K215+L215</f>
        <v>7.07</v>
      </c>
      <c r="N215" s="753" t="str">
        <f>IF($D215&lt;&gt;"","SERVIÇO SINAPI",IF($E215&lt;&gt;"","INSUMO SINAPI",""))</f>
        <v>SERVIÇO SINAPI</v>
      </c>
      <c r="O215" s="618"/>
    </row>
    <row r="216" spans="2:16" ht="25.5">
      <c r="B216" s="122">
        <f t="shared" si="111"/>
        <v>3</v>
      </c>
      <c r="C216" s="611" t="str">
        <f>IF(D216&lt;&gt;"","C",IF(E216&lt;&gt;"","I",""))</f>
        <v>I</v>
      </c>
      <c r="D216" s="660"/>
      <c r="E216" s="661" t="s">
        <v>9035</v>
      </c>
      <c r="F216" s="612"/>
      <c r="G216" s="613" t="str">
        <f>IF($E216="",IFERROR(VLOOKUP($D216,SERVIÇOS!$C:$H,2,0),IFERROR(VLOOKUP($D216,$F:$M,2,0),"")),IFERROR(VLOOKUP($E216,INSUMOS!$B:$E,2,0),IFERROR(VLOOKUP($E216,COTAÇÕES!$C:$L,2,0),"")))</f>
        <v>BARRA DE APOIO LATERAL FIXA PARA LAVATÓRIO EM "U" EM AÇO INOX POLIDO, COMPRIMENTO 30CM E DIAMETRO DE 32MM</v>
      </c>
      <c r="H216" s="593" t="str">
        <f>IF($E216="",IFERROR(VLOOKUP($D216,SERVIÇOS!$C:$H,3,0),IFERROR(VLOOKUP($D216,$F:$M,3,0),"")),IFERROR(VLOOKUP($E216,INSUMOS!$B:$E,3,0),IFERROR(VLOOKUP($E216,COTAÇÕES!$C:$L,5,0),"")))</f>
        <v xml:space="preserve">UN </v>
      </c>
      <c r="I216" s="614">
        <v>1</v>
      </c>
      <c r="J216" s="670">
        <f>IF($E216="",IFERROR(VLOOKUP($D216,SERVIÇOS!$C:$H,6,0),IFERROR(VLOOKUP($D216,$F:$M,8,0),"")),IFERROR(VLOOKUP($E216,INSUMOS!$B:$E,4,0),IFERROR(VLOOKUP($E216,COTAÇÕES!$C:$L,10,0),"")))</f>
        <v>142.46666666666667</v>
      </c>
      <c r="K216" s="615">
        <f>TRUNC(IF($E216="",IFERROR(VLOOKUP($D216,SERVIÇOS!$C:$H,4,0),IFERROR(VLOOKUP($D216,$F:$M,6,0),)),IFERROR(VLOOKUP($E216,INSUMOS!$B:$E,4,0),IFERROR(VLOOKUP($E216,COTAÇÕES!$C:$L,10,0),)))*$I216,2)</f>
        <v>142.46</v>
      </c>
      <c r="L216" s="616">
        <f>TRUNC(IF($E216="",IFERROR(VLOOKUP($D216,SERVIÇOS!$C:$H,5,0),IFERROR(VLOOKUP($D216,$F:$M,7,0),)),0)*$I216,2)</f>
        <v>0</v>
      </c>
      <c r="M216" s="617">
        <f>K216+L216</f>
        <v>142.46</v>
      </c>
      <c r="N216" s="753" t="s">
        <v>6845</v>
      </c>
      <c r="O216" s="618"/>
    </row>
    <row r="217" spans="2:16" ht="25.5">
      <c r="B217" s="769">
        <f>SUMIF(ORC!$G$11:$G$2470,CPU!$F217,ORC!$J$11:$J$2470)</f>
        <v>9</v>
      </c>
      <c r="C217" s="515" t="s">
        <v>2239</v>
      </c>
      <c r="D217" s="515"/>
      <c r="E217" s="515"/>
      <c r="F217" s="515" t="s">
        <v>8743</v>
      </c>
      <c r="G217" s="594" t="s">
        <v>8395</v>
      </c>
      <c r="H217" s="515" t="s">
        <v>646</v>
      </c>
      <c r="I217" s="595"/>
      <c r="J217" s="596"/>
      <c r="K217" s="597">
        <f>SUM(K218:K221)</f>
        <v>123</v>
      </c>
      <c r="L217" s="597">
        <f>SUM(L218:L221)</f>
        <v>27.85</v>
      </c>
      <c r="M217" s="596">
        <f>SUM(K217:L217)</f>
        <v>150.85</v>
      </c>
      <c r="N217" s="598"/>
      <c r="O217" s="599"/>
      <c r="P217" s="122" t="str">
        <f>UPPER(G217)</f>
        <v>TORNEIRA DE MESA, TIPO PRESSMATIC BAIXA PARA LAVATÓRIO, EM METAL CROMADO, COM CICLO DE FECHAMENTO AUTOMÁTICO DE 10 A 20 SEGUNDOS</v>
      </c>
    </row>
    <row r="218" spans="2:16">
      <c r="B218" s="122">
        <f t="shared" ref="B218:B221" si="112">B217</f>
        <v>9</v>
      </c>
      <c r="C218" s="611" t="str">
        <f>IF(D218&lt;&gt;"","C",IF(E218&lt;&gt;"","I",""))</f>
        <v>C</v>
      </c>
      <c r="D218" s="661">
        <v>88267</v>
      </c>
      <c r="E218" s="661"/>
      <c r="F218" s="612"/>
      <c r="G218" s="613" t="str">
        <f>IF($E218="",IFERROR(VLOOKUP($D218,SERVIÇOS!$C:$H,2,0),IFERROR(VLOOKUP($D218,$F:$M,2,0),"")),IFERROR(VLOOKUP($E218,INSUMOS!$B:$E,2,0),IFERROR(VLOOKUP($E218,COTAÇÕES!$C:$L,2,0),"")))</f>
        <v>ENCANADOR OU BOMBEIRO HIDRÁULICO COM ENCARGOS COMPLEMENTARES</v>
      </c>
      <c r="H218" s="593" t="str">
        <f>IF($E218="",IFERROR(VLOOKUP($D218,SERVIÇOS!$C:$H,3,0),IFERROR(VLOOKUP($D218,$F:$M,3,0),"")),IFERROR(VLOOKUP($E218,INSUMOS!$B:$E,3,0),IFERROR(VLOOKUP($E218,COTAÇÕES!$C:$L,5,0),"")))</f>
        <v>H</v>
      </c>
      <c r="I218" s="614">
        <v>0.65</v>
      </c>
      <c r="J218" s="670">
        <f>IF($E218="",IFERROR(VLOOKUP($D218,SERVIÇOS!$C:$H,6,0),IFERROR(VLOOKUP($D218,$F:$M,8,0),"")),IFERROR(VLOOKUP($E218,INSUMOS!$B:$E,4,0),IFERROR(VLOOKUP($E218,COTAÇÕES!$C:$L,10,0),"")))</f>
        <v>30.35</v>
      </c>
      <c r="K218" s="615">
        <f>TRUNC(IF($E218="",IFERROR(VLOOKUP($D218,SERVIÇOS!$C:$H,4,0),IFERROR(VLOOKUP($D218,$F:$M,6,0),)),IFERROR(VLOOKUP($E218,INSUMOS!$B:$E,4,0),IFERROR(VLOOKUP($E218,COTAÇÕES!$C:$L,10,0),)))*$I218,2)</f>
        <v>3.94</v>
      </c>
      <c r="L218" s="616">
        <f>TRUNC(IF($E218="",IFERROR(VLOOKUP($D218,SERVIÇOS!$C:$H,5,0),IFERROR(VLOOKUP($D218,$F:$M,7,0),)),0)*$I218,2)</f>
        <v>15.78</v>
      </c>
      <c r="M218" s="617">
        <f>K218+L218</f>
        <v>19.72</v>
      </c>
      <c r="N218" s="753" t="str">
        <f t="shared" ref="N218:N221" si="113">IF($D218&lt;&gt;"","SERVIÇO SINAPI",IF($E218&lt;&gt;"","INSUMO SINAPI",""))</f>
        <v>SERVIÇO SINAPI</v>
      </c>
      <c r="O218" s="648"/>
    </row>
    <row r="219" spans="2:16">
      <c r="B219" s="122">
        <f t="shared" si="112"/>
        <v>9</v>
      </c>
      <c r="C219" s="611" t="str">
        <f>IF(D219&lt;&gt;"","C",IF(E219&lt;&gt;"","I",""))</f>
        <v>C</v>
      </c>
      <c r="D219" s="661">
        <v>88248</v>
      </c>
      <c r="E219" s="661"/>
      <c r="F219" s="612"/>
      <c r="G219" s="613" t="str">
        <f>IF($E219="",IFERROR(VLOOKUP($D219,SERVIÇOS!$C:$H,2,0),IFERROR(VLOOKUP($D219,$F:$M,2,0),"")),IFERROR(VLOOKUP($E219,INSUMOS!$B:$E,2,0),IFERROR(VLOOKUP($E219,COTAÇÕES!$C:$L,2,0),"")))</f>
        <v>AUXILIAR DE ENCANADOR OU BOMBEIRO HIDRÁULICO COM ENCARGOS COMPLEMENTARES</v>
      </c>
      <c r="H219" s="593" t="str">
        <f>IF($E219="",IFERROR(VLOOKUP($D219,SERVIÇOS!$C:$H,3,0),IFERROR(VLOOKUP($D219,$F:$M,3,0),"")),IFERROR(VLOOKUP($E219,INSUMOS!$B:$E,3,0),IFERROR(VLOOKUP($E219,COTAÇÕES!$C:$L,5,0),"")))</f>
        <v>H</v>
      </c>
      <c r="I219" s="614">
        <v>0.65</v>
      </c>
      <c r="J219" s="670">
        <f>IF($E219="",IFERROR(VLOOKUP($D219,SERVIÇOS!$C:$H,6,0),IFERROR(VLOOKUP($D219,$F:$M,8,0),"")),IFERROR(VLOOKUP($E219,INSUMOS!$B:$E,4,0),IFERROR(VLOOKUP($E219,COTAÇÕES!$C:$L,10,0),"")))</f>
        <v>24.65</v>
      </c>
      <c r="K219" s="615">
        <f>TRUNC(IF($E219="",IFERROR(VLOOKUP($D219,SERVIÇOS!$C:$H,4,0),IFERROR(VLOOKUP($D219,$F:$M,6,0),)),IFERROR(VLOOKUP($E219,INSUMOS!$B:$E,4,0),IFERROR(VLOOKUP($E219,COTAÇÕES!$C:$L,10,0),)))*$I219,2)</f>
        <v>3.94</v>
      </c>
      <c r="L219" s="616">
        <f>TRUNC(IF($E219="",IFERROR(VLOOKUP($D219,SERVIÇOS!$C:$H,5,0),IFERROR(VLOOKUP($D219,$F:$M,7,0),)),0)*$I219,2)</f>
        <v>12.07</v>
      </c>
      <c r="M219" s="617">
        <f>K219+L219</f>
        <v>16.010000000000002</v>
      </c>
      <c r="N219" s="753" t="str">
        <f t="shared" si="113"/>
        <v>SERVIÇO SINAPI</v>
      </c>
      <c r="O219" s="648"/>
    </row>
    <row r="220" spans="2:16">
      <c r="B220" s="122">
        <f t="shared" si="112"/>
        <v>9</v>
      </c>
      <c r="C220" s="611" t="str">
        <f>IF(D220&lt;&gt;"","C",IF(E220&lt;&gt;"","I",""))</f>
        <v>I</v>
      </c>
      <c r="D220" s="661"/>
      <c r="E220" s="661">
        <v>3148</v>
      </c>
      <c r="F220" s="612"/>
      <c r="G220" s="613" t="str">
        <f>IF($E220="",IFERROR(VLOOKUP($D220,SERVIÇOS!$C:$H,2,0),IFERROR(VLOOKUP($D220,$F:$M,2,0),"")),IFERROR(VLOOKUP($E220,INSUMOS!$B:$E,2,0),IFERROR(VLOOKUP($E220,COTAÇÕES!$C:$L,2,0),"")))</f>
        <v xml:space="preserve">FITA VEDA ROSCA EM ROLOS DE 18 MM X 50 M (L X C)                                                                                                                                                                                                                                                                                                                                                                                                                                                          </v>
      </c>
      <c r="H220" s="593" t="str">
        <f>IF($E220="",IFERROR(VLOOKUP($D220,SERVIÇOS!$C:$H,3,0),IFERROR(VLOOKUP($D220,$F:$M,3,0),"")),IFERROR(VLOOKUP($E220,INSUMOS!$B:$E,3,0),IFERROR(VLOOKUP($E220,COTAÇÕES!$C:$L,5,0),"")))</f>
        <v xml:space="preserve">UN    </v>
      </c>
      <c r="I220" s="614">
        <v>0.28000000000000003</v>
      </c>
      <c r="J220" s="670">
        <f>IF($E220="",IFERROR(VLOOKUP($D220,SERVIÇOS!$C:$H,6,0),IFERROR(VLOOKUP($D220,$F:$M,8,0),"")),IFERROR(VLOOKUP($E220,INSUMOS!$B:$E,4,0),IFERROR(VLOOKUP($E220,COTAÇÕES!$C:$L,10,0),"")))</f>
        <v>16.78</v>
      </c>
      <c r="K220" s="615">
        <f>TRUNC(IF($E220="",IFERROR(VLOOKUP($D220,SERVIÇOS!$C:$H,4,0),IFERROR(VLOOKUP($D220,$F:$M,6,0),)),IFERROR(VLOOKUP($E220,INSUMOS!$B:$E,4,0),IFERROR(VLOOKUP($E220,COTAÇÕES!$C:$L,10,0),)))*$I220,2)</f>
        <v>4.6900000000000004</v>
      </c>
      <c r="L220" s="616">
        <f>TRUNC(IF($E220="",IFERROR(VLOOKUP($D220,SERVIÇOS!$C:$H,5,0),IFERROR(VLOOKUP($D220,$F:$M,7,0),)),0)*$I220,2)</f>
        <v>0</v>
      </c>
      <c r="M220" s="617">
        <f>K220+L220</f>
        <v>4.6900000000000004</v>
      </c>
      <c r="N220" s="753" t="str">
        <f t="shared" si="113"/>
        <v>INSUMO SINAPI</v>
      </c>
      <c r="O220" s="648"/>
    </row>
    <row r="221" spans="2:16" ht="25.5">
      <c r="B221" s="122">
        <f t="shared" si="112"/>
        <v>9</v>
      </c>
      <c r="C221" s="611" t="str">
        <f>IF(D221&lt;&gt;"","C",IF(E221&lt;&gt;"","I",""))</f>
        <v>I</v>
      </c>
      <c r="D221" s="661"/>
      <c r="E221" s="661">
        <v>36796</v>
      </c>
      <c r="F221" s="612"/>
      <c r="G221" s="613" t="str">
        <f>IF($E221="",IFERROR(VLOOKUP($D221,SERVIÇOS!$C:$H,2,0),IFERROR(VLOOKUP($D221,$F:$M,2,0),"")),IFERROR(VLOOKUP($E221,INSUMOS!$B:$E,2,0),IFERROR(VLOOKUP($E221,COTAÇÕES!$C:$L,2,0),"")))</f>
        <v xml:space="preserve">TORNEIRA METALICA CROMADA DE MESA, PARA LAVATORIO, TEMPORIZADA PRESSAO FECHAMENTO AUTOMATICO, BICA BAIXA                                                                                                                                                                                                                                                                                                                                                                                                  </v>
      </c>
      <c r="H221" s="593" t="str">
        <f>IF($E221="",IFERROR(VLOOKUP($D221,SERVIÇOS!$C:$H,3,0),IFERROR(VLOOKUP($D221,$F:$M,3,0),"")),IFERROR(VLOOKUP($E221,INSUMOS!$B:$E,3,0),IFERROR(VLOOKUP($E221,COTAÇÕES!$C:$L,5,0),"")))</f>
        <v xml:space="preserve">UN    </v>
      </c>
      <c r="I221" s="614">
        <v>1</v>
      </c>
      <c r="J221" s="670">
        <f>IF($E221="",IFERROR(VLOOKUP($D221,SERVIÇOS!$C:$H,6,0),IFERROR(VLOOKUP($D221,$F:$M,8,0),"")),IFERROR(VLOOKUP($E221,INSUMOS!$B:$E,4,0),IFERROR(VLOOKUP($E221,COTAÇÕES!$C:$L,10,0),"")))</f>
        <v>110.43</v>
      </c>
      <c r="K221" s="615">
        <f>TRUNC(IF($E221="",IFERROR(VLOOKUP($D221,SERVIÇOS!$C:$H,4,0),IFERROR(VLOOKUP($D221,$F:$M,6,0),)),IFERROR(VLOOKUP($E221,INSUMOS!$B:$E,4,0),IFERROR(VLOOKUP($E221,COTAÇÕES!$C:$L,10,0),)))*$I221,2)</f>
        <v>110.43</v>
      </c>
      <c r="L221" s="616">
        <f>TRUNC(IF($E221="",IFERROR(VLOOKUP($D221,SERVIÇOS!$C:$H,5,0),IFERROR(VLOOKUP($D221,$F:$M,7,0),)),0)*$I221,2)</f>
        <v>0</v>
      </c>
      <c r="M221" s="617">
        <f>K221+L221</f>
        <v>110.43</v>
      </c>
      <c r="N221" s="753" t="str">
        <f t="shared" si="113"/>
        <v>INSUMO SINAPI</v>
      </c>
      <c r="O221" s="648"/>
    </row>
    <row r="222" spans="2:16">
      <c r="B222" s="769">
        <f>SUMIF(ORC!$G$11:$G$2470,CPU!$F222,ORC!$J$11:$J$2470)</f>
        <v>4.7699999999999996</v>
      </c>
      <c r="C222" s="515" t="s">
        <v>2239</v>
      </c>
      <c r="D222" s="515"/>
      <c r="E222" s="515"/>
      <c r="F222" s="515" t="s">
        <v>4867</v>
      </c>
      <c r="G222" s="516" t="s">
        <v>4868</v>
      </c>
      <c r="H222" s="515" t="s">
        <v>648</v>
      </c>
      <c r="I222" s="595"/>
      <c r="J222" s="596"/>
      <c r="K222" s="597">
        <f>SUM(K223:K224)</f>
        <v>6.17</v>
      </c>
      <c r="L222" s="597">
        <f>SUM(L223:L224)</f>
        <v>16.86</v>
      </c>
      <c r="M222" s="596">
        <f>SUM(K222:L222)</f>
        <v>23.03</v>
      </c>
      <c r="N222" s="598" t="s">
        <v>7543</v>
      </c>
      <c r="O222" s="610" t="s">
        <v>6843</v>
      </c>
    </row>
    <row r="223" spans="2:16">
      <c r="B223" s="122">
        <f t="shared" ref="B223:B224" si="114">B222</f>
        <v>4.7699999999999996</v>
      </c>
      <c r="C223" s="611" t="str">
        <f>IF(D223&lt;&gt;"","C",IF(E223&lt;&gt;"","I",""))</f>
        <v>C</v>
      </c>
      <c r="D223" s="660">
        <v>88309</v>
      </c>
      <c r="E223" s="661"/>
      <c r="F223" s="612"/>
      <c r="G223" s="613" t="str">
        <f>IF($E223="",IFERROR(VLOOKUP($D223,SERVIÇOS!$C:$H,2,0),IFERROR(VLOOKUP($D223,$F:$M,2,0),"")),IFERROR(VLOOKUP($E223,INSUMOS!$B:$E,2,0),IFERROR(VLOOKUP($E223,COTAÇÕES!$C:$L,2,0),"")))</f>
        <v>PEDREIRO COM ENCARGOS COMPLEMENTARES</v>
      </c>
      <c r="H223" s="593" t="str">
        <f>IF($E223="",IFERROR(VLOOKUP($D223,SERVIÇOS!$C:$H,3,0),IFERROR(VLOOKUP($D223,$F:$M,3,0),"")),IFERROR(VLOOKUP($E223,INSUMOS!$B:$E,3,0),IFERROR(VLOOKUP($E223,COTAÇÕES!$C:$L,5,0),"")))</f>
        <v>H</v>
      </c>
      <c r="I223" s="614">
        <f>2.3196*0.12*0.3</f>
        <v>8.3505599999999999E-2</v>
      </c>
      <c r="J223" s="670">
        <f>IF($E223="",IFERROR(VLOOKUP($D223,SERVIÇOS!$C:$H,6,0),IFERROR(VLOOKUP($D223,$F:$M,8,0),"")),IFERROR(VLOOKUP($E223,INSUMOS!$B:$E,4,0),IFERROR(VLOOKUP($E223,COTAÇÕES!$C:$L,10,0),"")))</f>
        <v>30.99</v>
      </c>
      <c r="K223" s="615">
        <f>TRUNC(IF($E223="",IFERROR(VLOOKUP($D223,SERVIÇOS!$C:$H,4,0),IFERROR(VLOOKUP($D223,$F:$M,6,0),)),IFERROR(VLOOKUP($E223,INSUMOS!$B:$E,4,0),IFERROR(VLOOKUP($E223,COTAÇÕES!$C:$L,10,0),)))*$I223,2)</f>
        <v>0.55000000000000004</v>
      </c>
      <c r="L223" s="616">
        <f>TRUNC(IF($E223="",IFERROR(VLOOKUP($D223,SERVIÇOS!$C:$H,5,0),IFERROR(VLOOKUP($D223,$F:$M,7,0),)),0)*$I223,2)</f>
        <v>2.0299999999999998</v>
      </c>
      <c r="M223" s="617">
        <f>K223+L223</f>
        <v>2.58</v>
      </c>
      <c r="N223" s="753" t="str">
        <f>IF($D223&lt;&gt;"","SERVIÇO SINAPI",IF($E223&lt;&gt;"","INSUMO SINAPI",""))</f>
        <v>SERVIÇO SINAPI</v>
      </c>
      <c r="O223" s="618"/>
    </row>
    <row r="224" spans="2:16">
      <c r="B224" s="122">
        <f t="shared" si="114"/>
        <v>4.7699999999999996</v>
      </c>
      <c r="C224" s="611" t="str">
        <f>IF(D224&lt;&gt;"","C",IF(E224&lt;&gt;"","I",""))</f>
        <v>C</v>
      </c>
      <c r="D224" s="660">
        <v>88316</v>
      </c>
      <c r="E224" s="661"/>
      <c r="F224" s="612"/>
      <c r="G224" s="613" t="str">
        <f>IF($E224="",IFERROR(VLOOKUP($D224,SERVIÇOS!$C:$H,2,0),IFERROR(VLOOKUP($D224,$F:$M,2,0),"")),IFERROR(VLOOKUP($E224,INSUMOS!$B:$E,2,0),IFERROR(VLOOKUP($E224,COTAÇÕES!$C:$L,2,0),"")))</f>
        <v>SERVENTE COM ENCARGOS COMPLEMENTARES</v>
      </c>
      <c r="H224" s="593" t="str">
        <f>IF($E224="",IFERROR(VLOOKUP($D224,SERVIÇOS!$C:$H,3,0),IFERROR(VLOOKUP($D224,$F:$M,3,0),"")),IFERROR(VLOOKUP($E224,INSUMOS!$B:$E,3,0),IFERROR(VLOOKUP($E224,COTAÇÕES!$C:$L,5,0),"")))</f>
        <v>H</v>
      </c>
      <c r="I224" s="614">
        <f>23.9693*0.12*0.3</f>
        <v>0.86289479999999996</v>
      </c>
      <c r="J224" s="670">
        <f>IF($E224="",IFERROR(VLOOKUP($D224,SERVIÇOS!$C:$H,6,0),IFERROR(VLOOKUP($D224,$F:$M,8,0),"")),IFERROR(VLOOKUP($E224,INSUMOS!$B:$E,4,0),IFERROR(VLOOKUP($E224,COTAÇÕES!$C:$L,10,0),"")))</f>
        <v>23.71</v>
      </c>
      <c r="K224" s="615">
        <f>TRUNC(IF($E224="",IFERROR(VLOOKUP($D224,SERVIÇOS!$C:$H,4,0),IFERROR(VLOOKUP($D224,$F:$M,6,0),)),IFERROR(VLOOKUP($E224,INSUMOS!$B:$E,4,0),IFERROR(VLOOKUP($E224,COTAÇÕES!$C:$L,10,0),)))*$I224,2)</f>
        <v>5.62</v>
      </c>
      <c r="L224" s="616">
        <f>TRUNC(IF($E224="",IFERROR(VLOOKUP($D224,SERVIÇOS!$C:$H,5,0),IFERROR(VLOOKUP($D224,$F:$M,7,0),)),0)*$I224,2)</f>
        <v>14.83</v>
      </c>
      <c r="M224" s="617">
        <f>K224+L224</f>
        <v>20.45</v>
      </c>
      <c r="N224" s="753" t="str">
        <f>IF($D224&lt;&gt;"","SERVIÇO SINAPI",IF($E224&lt;&gt;"","INSUMO SINAPI",""))</f>
        <v>SERVIÇO SINAPI</v>
      </c>
      <c r="O224" s="618"/>
    </row>
    <row r="225" spans="2:17" ht="25.5">
      <c r="B225" s="769">
        <f>SUMIF(ORC!$G$11:$G$2470,CPU!$F225,ORC!$J$11:$J$2470)</f>
        <v>3.7</v>
      </c>
      <c r="C225" s="515" t="s">
        <v>2239</v>
      </c>
      <c r="D225" s="515"/>
      <c r="E225" s="515"/>
      <c r="F225" s="515" t="s">
        <v>5277</v>
      </c>
      <c r="G225" s="516" t="s">
        <v>6786</v>
      </c>
      <c r="H225" s="515" t="s">
        <v>649</v>
      </c>
      <c r="I225" s="595"/>
      <c r="J225" s="596"/>
      <c r="K225" s="597">
        <f>SUM(K226:K231)</f>
        <v>6.7</v>
      </c>
      <c r="L225" s="597">
        <f>SUM(L226:L231)</f>
        <v>4.12</v>
      </c>
      <c r="M225" s="597">
        <f>SUM(K225:L225)</f>
        <v>10.82</v>
      </c>
      <c r="N225" s="598" t="s">
        <v>6787</v>
      </c>
      <c r="O225" s="610" t="s">
        <v>6844</v>
      </c>
    </row>
    <row r="226" spans="2:17">
      <c r="B226" s="122">
        <f t="shared" ref="B226:B231" si="115">B225</f>
        <v>3.7</v>
      </c>
      <c r="C226" s="611" t="str">
        <f t="shared" ref="C226:C231" si="116">IF(D226&lt;&gt;"","C",IF(E226&lt;&gt;"","I",""))</f>
        <v>C</v>
      </c>
      <c r="D226" s="660">
        <v>88262</v>
      </c>
      <c r="E226" s="661"/>
      <c r="F226" s="612"/>
      <c r="G226" s="613" t="str">
        <f>IF($E226="",IFERROR(VLOOKUP($D226,SERVIÇOS!$C:$H,2,0),IFERROR(VLOOKUP($D226,$F:$M,2,0),"")),IFERROR(VLOOKUP($E226,INSUMOS!$B:$E,2,0),IFERROR(VLOOKUP($E226,COTAÇÕES!$C:$L,2,0),"")))</f>
        <v>CARPINTEIRO DE FORMAS COM ENCARGOS COMPLEMENTARES</v>
      </c>
      <c r="H226" s="593" t="str">
        <f>IF($E226="",IFERROR(VLOOKUP($D226,SERVIÇOS!$C:$H,3,0),IFERROR(VLOOKUP($D226,$F:$M,3,0),"")),IFERROR(VLOOKUP($E226,INSUMOS!$B:$E,3,0),IFERROR(VLOOKUP($E226,COTAÇÕES!$C:$L,5,0),"")))</f>
        <v>H</v>
      </c>
      <c r="I226" s="614">
        <v>0.1</v>
      </c>
      <c r="J226" s="670">
        <f>IF($E226="",IFERROR(VLOOKUP($D226,SERVIÇOS!$C:$H,6,0),IFERROR(VLOOKUP($D226,$F:$M,8,0),"")),IFERROR(VLOOKUP($E226,INSUMOS!$B:$E,4,0),IFERROR(VLOOKUP($E226,COTAÇÕES!$C:$L,10,0),"")))</f>
        <v>30.68</v>
      </c>
      <c r="K226" s="615">
        <f>TRUNC(IF($E226="",IFERROR(VLOOKUP($D226,SERVIÇOS!$C:$H,4,0),IFERROR(VLOOKUP($D226,$F:$M,6,0),)),IFERROR(VLOOKUP($E226,INSUMOS!$B:$E,4,0),IFERROR(VLOOKUP($E226,COTAÇÕES!$C:$L,10,0),)))*$I226,2)</f>
        <v>0.65</v>
      </c>
      <c r="L226" s="616">
        <f>TRUNC(IF($E226="",IFERROR(VLOOKUP($D226,SERVIÇOS!$C:$H,5,0),IFERROR(VLOOKUP($D226,$F:$M,7,0),)),0)*$I226,2)</f>
        <v>2.41</v>
      </c>
      <c r="M226" s="617">
        <f t="shared" ref="M226:M231" si="117">K226+L226</f>
        <v>3.06</v>
      </c>
      <c r="N226" s="753" t="str">
        <f t="shared" ref="N226:N231" si="118">IF($D226&lt;&gt;"","SERVIÇO SINAPI",IF($E226&lt;&gt;"","INSUMO SINAPI",""))</f>
        <v>SERVIÇO SINAPI</v>
      </c>
      <c r="O226" s="618"/>
    </row>
    <row r="227" spans="2:17">
      <c r="B227" s="122">
        <f t="shared" si="115"/>
        <v>3.7</v>
      </c>
      <c r="C227" s="611" t="str">
        <f t="shared" si="116"/>
        <v>C</v>
      </c>
      <c r="D227" s="660">
        <v>88316</v>
      </c>
      <c r="E227" s="661"/>
      <c r="F227" s="612"/>
      <c r="G227" s="613" t="str">
        <f>IF($E227="",IFERROR(VLOOKUP($D227,SERVIÇOS!$C:$H,2,0),IFERROR(VLOOKUP($D227,$F:$M,2,0),"")),IFERROR(VLOOKUP($E227,INSUMOS!$B:$E,2,0),IFERROR(VLOOKUP($E227,COTAÇÕES!$C:$L,2,0),"")))</f>
        <v>SERVENTE COM ENCARGOS COMPLEMENTARES</v>
      </c>
      <c r="H227" s="593" t="str">
        <f>IF($E227="",IFERROR(VLOOKUP($D227,SERVIÇOS!$C:$H,3,0),IFERROR(VLOOKUP($D227,$F:$M,3,0),"")),IFERROR(VLOOKUP($E227,INSUMOS!$B:$E,3,0),IFERROR(VLOOKUP($E227,COTAÇÕES!$C:$L,5,0),"")))</f>
        <v>H</v>
      </c>
      <c r="I227" s="614">
        <v>0.1</v>
      </c>
      <c r="J227" s="670">
        <f>IF($E227="",IFERROR(VLOOKUP($D227,SERVIÇOS!$C:$H,6,0),IFERROR(VLOOKUP($D227,$F:$M,8,0),"")),IFERROR(VLOOKUP($E227,INSUMOS!$B:$E,4,0),IFERROR(VLOOKUP($E227,COTAÇÕES!$C:$L,10,0),"")))</f>
        <v>23.71</v>
      </c>
      <c r="K227" s="615">
        <f>TRUNC(IF($E227="",IFERROR(VLOOKUP($D227,SERVIÇOS!$C:$H,4,0),IFERROR(VLOOKUP($D227,$F:$M,6,0),)),IFERROR(VLOOKUP($E227,INSUMOS!$B:$E,4,0),IFERROR(VLOOKUP($E227,COTAÇÕES!$C:$L,10,0),)))*$I227,2)</f>
        <v>0.65</v>
      </c>
      <c r="L227" s="616">
        <f>TRUNC(IF($E227="",IFERROR(VLOOKUP($D227,SERVIÇOS!$C:$H,5,0),IFERROR(VLOOKUP($D227,$F:$M,7,0),)),0)*$I227,2)</f>
        <v>1.71</v>
      </c>
      <c r="M227" s="617">
        <f t="shared" si="117"/>
        <v>2.36</v>
      </c>
      <c r="N227" s="753" t="str">
        <f t="shared" si="118"/>
        <v>SERVIÇO SINAPI</v>
      </c>
      <c r="O227" s="618"/>
    </row>
    <row r="228" spans="2:17">
      <c r="B228" s="122">
        <f t="shared" si="115"/>
        <v>3.7</v>
      </c>
      <c r="C228" s="611" t="str">
        <f t="shared" si="116"/>
        <v>I</v>
      </c>
      <c r="D228" s="660"/>
      <c r="E228" s="661">
        <v>5061</v>
      </c>
      <c r="F228" s="612"/>
      <c r="G228" s="613" t="str">
        <f>IF($E228="",IFERROR(VLOOKUP($D228,SERVIÇOS!$C:$H,2,0),IFERROR(VLOOKUP($D228,$F:$M,2,0),"")),IFERROR(VLOOKUP($E228,INSUMOS!$B:$E,2,0),IFERROR(VLOOKUP($E228,COTAÇÕES!$C:$L,2,0),"")))</f>
        <v xml:space="preserve">PREGO DE ACO POLIDO COM CABECA 18 X 27 (2 1/2 X 10)                                                                                                                                                                                                                                                                                                                                                                                                                                                       </v>
      </c>
      <c r="H228" s="593" t="str">
        <f>IF($E228="",IFERROR(VLOOKUP($D228,SERVIÇOS!$C:$H,3,0),IFERROR(VLOOKUP($D228,$F:$M,3,0),"")),IFERROR(VLOOKUP($E228,INSUMOS!$B:$E,3,0),IFERROR(VLOOKUP($E228,COTAÇÕES!$C:$L,5,0),"")))</f>
        <v xml:space="preserve">KG    </v>
      </c>
      <c r="I228" s="614">
        <v>0.01</v>
      </c>
      <c r="J228" s="670">
        <f>IF($E228="",IFERROR(VLOOKUP($D228,SERVIÇOS!$C:$H,6,0),IFERROR(VLOOKUP($D228,$F:$M,8,0),"")),IFERROR(VLOOKUP($E228,INSUMOS!$B:$E,4,0),IFERROR(VLOOKUP($E228,COTAÇÕES!$C:$L,10,0),"")))</f>
        <v>20.67</v>
      </c>
      <c r="K228" s="615">
        <f>TRUNC(IF($E228="",IFERROR(VLOOKUP($D228,SERVIÇOS!$C:$H,4,0),IFERROR(VLOOKUP($D228,$F:$M,6,0),)),IFERROR(VLOOKUP($E228,INSUMOS!$B:$E,4,0),IFERROR(VLOOKUP($E228,COTAÇÕES!$C:$L,10,0),)))*$I228,2)</f>
        <v>0.2</v>
      </c>
      <c r="L228" s="616">
        <f>TRUNC(IF($E228="",IFERROR(VLOOKUP($D228,SERVIÇOS!$C:$H,5,0),IFERROR(VLOOKUP($D228,$F:$M,7,0),)),0)*$I228,2)</f>
        <v>0</v>
      </c>
      <c r="M228" s="617">
        <f t="shared" si="117"/>
        <v>0.2</v>
      </c>
      <c r="N228" s="753" t="str">
        <f t="shared" si="118"/>
        <v>INSUMO SINAPI</v>
      </c>
      <c r="O228" s="618"/>
    </row>
    <row r="229" spans="2:17" ht="25.5">
      <c r="B229" s="122">
        <f t="shared" si="115"/>
        <v>3.7</v>
      </c>
      <c r="C229" s="611" t="str">
        <f t="shared" si="116"/>
        <v>I</v>
      </c>
      <c r="D229" s="660"/>
      <c r="E229" s="661">
        <v>6189</v>
      </c>
      <c r="F229" s="612"/>
      <c r="G229" s="613" t="str">
        <f>IF($E229="",IFERROR(VLOOKUP($D229,SERVIÇOS!$C:$H,2,0),IFERROR(VLOOKUP($D229,$F:$M,2,0),"")),IFERROR(VLOOKUP($E229,INSUMOS!$B:$E,2,0),IFERROR(VLOOKUP($E229,COTAÇÕES!$C:$L,2,0),"")))</f>
        <v xml:space="preserve">TABUA NAO APARELHADA *2,5 X 30* CM, EM MACARANDUBA, ANGELIM OU EQUIVALENTE DA REGIAO - BRUTA                                                                                                                                                                                                                                                                                                                                                                                                              </v>
      </c>
      <c r="H229" s="593" t="str">
        <f>IF($E229="",IFERROR(VLOOKUP($D229,SERVIÇOS!$C:$H,3,0),IFERROR(VLOOKUP($D229,$F:$M,3,0),"")),IFERROR(VLOOKUP($E229,INSUMOS!$B:$E,3,0),IFERROR(VLOOKUP($E229,COTAÇÕES!$C:$L,5,0),"")))</f>
        <v xml:space="preserve">M     </v>
      </c>
      <c r="I229" s="614">
        <v>0.1067</v>
      </c>
      <c r="J229" s="670">
        <f>IF($E229="",IFERROR(VLOOKUP($D229,SERVIÇOS!$C:$H,6,0),IFERROR(VLOOKUP($D229,$F:$M,8,0),"")),IFERROR(VLOOKUP($E229,INSUMOS!$B:$E,4,0),IFERROR(VLOOKUP($E229,COTAÇÕES!$C:$L,10,0),"")))</f>
        <v>35.68</v>
      </c>
      <c r="K229" s="615">
        <f>TRUNC(IF($E229="",IFERROR(VLOOKUP($D229,SERVIÇOS!$C:$H,4,0),IFERROR(VLOOKUP($D229,$F:$M,6,0),)),IFERROR(VLOOKUP($E229,INSUMOS!$B:$E,4,0),IFERROR(VLOOKUP($E229,COTAÇÕES!$C:$L,10,0),)))*$I229,2)</f>
        <v>3.8</v>
      </c>
      <c r="L229" s="616">
        <f>TRUNC(IF($E229="",IFERROR(VLOOKUP($D229,SERVIÇOS!$C:$H,5,0),IFERROR(VLOOKUP($D229,$F:$M,7,0),)),0)*$I229,2)</f>
        <v>0</v>
      </c>
      <c r="M229" s="617">
        <f t="shared" si="117"/>
        <v>3.8</v>
      </c>
      <c r="N229" s="753" t="str">
        <f t="shared" si="118"/>
        <v>INSUMO SINAPI</v>
      </c>
      <c r="O229" s="618"/>
    </row>
    <row r="230" spans="2:17">
      <c r="B230" s="122">
        <f t="shared" si="115"/>
        <v>3.7</v>
      </c>
      <c r="C230" s="611" t="str">
        <f t="shared" si="116"/>
        <v>I</v>
      </c>
      <c r="D230" s="660"/>
      <c r="E230" s="661">
        <v>4491</v>
      </c>
      <c r="F230" s="612"/>
      <c r="G230" s="613" t="str">
        <f>IF($E230="",IFERROR(VLOOKUP($D230,SERVIÇOS!$C:$H,2,0),IFERROR(VLOOKUP($D230,$F:$M,2,0),"")),IFERROR(VLOOKUP($E230,INSUMOS!$B:$E,2,0),IFERROR(VLOOKUP($E230,COTAÇÕES!$C:$L,2,0),"")))</f>
        <v xml:space="preserve">PONTALETE *7,5 X 7,5* CM EM PINUS, MISTA OU EQUIVALENTE DA REGIAO - BRUTA                                                                                                                                                                                                                                                                                                                                                                                                                                 </v>
      </c>
      <c r="H230" s="593" t="str">
        <f>IF($E230="",IFERROR(VLOOKUP($D230,SERVIÇOS!$C:$H,3,0),IFERROR(VLOOKUP($D230,$F:$M,3,0),"")),IFERROR(VLOOKUP($E230,INSUMOS!$B:$E,3,0),IFERROR(VLOOKUP($E230,COTAÇÕES!$C:$L,5,0),"")))</f>
        <v xml:space="preserve">M     </v>
      </c>
      <c r="I230" s="614">
        <v>0.12</v>
      </c>
      <c r="J230" s="670">
        <f>IF($E230="",IFERROR(VLOOKUP($D230,SERVIÇOS!$C:$H,6,0),IFERROR(VLOOKUP($D230,$F:$M,8,0),"")),IFERROR(VLOOKUP($E230,INSUMOS!$B:$E,4,0),IFERROR(VLOOKUP($E230,COTAÇÕES!$C:$L,10,0),"")))</f>
        <v>6.97</v>
      </c>
      <c r="K230" s="615">
        <f>TRUNC(IF($E230="",IFERROR(VLOOKUP($D230,SERVIÇOS!$C:$H,4,0),IFERROR(VLOOKUP($D230,$F:$M,6,0),)),IFERROR(VLOOKUP($E230,INSUMOS!$B:$E,4,0),IFERROR(VLOOKUP($E230,COTAÇÕES!$C:$L,10,0),)))*$I230,2)</f>
        <v>0.83</v>
      </c>
      <c r="L230" s="616">
        <f>TRUNC(IF($E230="",IFERROR(VLOOKUP($D230,SERVIÇOS!$C:$H,5,0),IFERROR(VLOOKUP($D230,$F:$M,7,0),)),0)*$I230,2)</f>
        <v>0</v>
      </c>
      <c r="M230" s="617">
        <f t="shared" si="117"/>
        <v>0.83</v>
      </c>
      <c r="N230" s="753" t="str">
        <f t="shared" si="118"/>
        <v>INSUMO SINAPI</v>
      </c>
      <c r="O230" s="618"/>
    </row>
    <row r="231" spans="2:17">
      <c r="B231" s="122">
        <f t="shared" si="115"/>
        <v>3.7</v>
      </c>
      <c r="C231" s="611" t="str">
        <f t="shared" si="116"/>
        <v>I</v>
      </c>
      <c r="D231" s="660"/>
      <c r="E231" s="661">
        <v>43132</v>
      </c>
      <c r="F231" s="612"/>
      <c r="G231" s="613" t="str">
        <f>IF($E231="",IFERROR(VLOOKUP($D231,SERVIÇOS!$C:$H,2,0),IFERROR(VLOOKUP($D231,$F:$M,2,0),"")),IFERROR(VLOOKUP($E231,INSUMOS!$B:$E,2,0),IFERROR(VLOOKUP($E231,COTAÇÕES!$C:$L,2,0),"")))</f>
        <v xml:space="preserve">ARAME RECOZIDO 16 BWG, D = 1,65 MM (0,016 KG/M) OU 18 BWG, D = 1,25 MM (0,01 KG/M)                                                                                                                                                                                                                                                                                                                                                                                                                        </v>
      </c>
      <c r="H231" s="593" t="str">
        <f>IF($E231="",IFERROR(VLOOKUP($D231,SERVIÇOS!$C:$H,3,0),IFERROR(VLOOKUP($D231,$F:$M,3,0),"")),IFERROR(VLOOKUP($E231,INSUMOS!$B:$E,3,0),IFERROR(VLOOKUP($E231,COTAÇÕES!$C:$L,5,0),"")))</f>
        <v xml:space="preserve">KG    </v>
      </c>
      <c r="I231" s="614">
        <v>0.02</v>
      </c>
      <c r="J231" s="670">
        <f>IF($E231="",IFERROR(VLOOKUP($D231,SERVIÇOS!$C:$H,6,0),IFERROR(VLOOKUP($D231,$F:$M,8,0),"")),IFERROR(VLOOKUP($E231,INSUMOS!$B:$E,4,0),IFERROR(VLOOKUP($E231,COTAÇÕES!$C:$L,10,0),"")))</f>
        <v>28.65</v>
      </c>
      <c r="K231" s="615">
        <f>TRUNC(IF($E231="",IFERROR(VLOOKUP($D231,SERVIÇOS!$C:$H,4,0),IFERROR(VLOOKUP($D231,$F:$M,6,0),)),IFERROR(VLOOKUP($E231,INSUMOS!$B:$E,4,0),IFERROR(VLOOKUP($E231,COTAÇÕES!$C:$L,10,0),)))*$I231,2)</f>
        <v>0.56999999999999995</v>
      </c>
      <c r="L231" s="616">
        <f>TRUNC(IF($E231="",IFERROR(VLOOKUP($D231,SERVIÇOS!$C:$H,5,0),IFERROR(VLOOKUP($D231,$F:$M,7,0),)),0)*$I231,2)</f>
        <v>0</v>
      </c>
      <c r="M231" s="617">
        <f t="shared" si="117"/>
        <v>0.56999999999999995</v>
      </c>
      <c r="N231" s="753" t="str">
        <f t="shared" si="118"/>
        <v>INSUMO SINAPI</v>
      </c>
      <c r="O231" s="618"/>
    </row>
    <row r="232" spans="2:17">
      <c r="B232" s="769">
        <f>SUMIF(ORC!$G$11:$G$2470,CPU!$F232,ORC!$J$11:$J$2470)</f>
        <v>1</v>
      </c>
      <c r="C232" s="515" t="s">
        <v>2239</v>
      </c>
      <c r="D232" s="515"/>
      <c r="E232" s="515"/>
      <c r="F232" s="515" t="s">
        <v>5279</v>
      </c>
      <c r="G232" s="516" t="s">
        <v>5278</v>
      </c>
      <c r="H232" s="515" t="s">
        <v>646</v>
      </c>
      <c r="I232" s="595"/>
      <c r="J232" s="597"/>
      <c r="K232" s="597">
        <f>SUM(K233)</f>
        <v>233.94</v>
      </c>
      <c r="L232" s="597">
        <f>SUM(L233)</f>
        <v>0</v>
      </c>
      <c r="M232" s="597">
        <f>SUM(K232:L232)</f>
        <v>233.94</v>
      </c>
      <c r="N232" s="598" t="s">
        <v>2954</v>
      </c>
      <c r="O232" s="610"/>
    </row>
    <row r="233" spans="2:17">
      <c r="B233" s="122">
        <f>B232</f>
        <v>1</v>
      </c>
      <c r="C233" s="611" t="str">
        <f>IF(D233&lt;&gt;"","C",IF(E233&lt;&gt;"","I",""))</f>
        <v>I</v>
      </c>
      <c r="D233" s="661"/>
      <c r="E233" s="661" t="s">
        <v>9036</v>
      </c>
      <c r="F233" s="612"/>
      <c r="G233" s="613" t="str">
        <f>IF($E233="",IFERROR(VLOOKUP($D233,SERVIÇOS!$C:$H,2,0),IFERROR(VLOOKUP($D233,$F:$M,2,0),"")),IFERROR(VLOOKUP($E233,INSUMOS!$B:$E,2,0),IFERROR(VLOOKUP($E233,COTAÇÕES!$C:$L,2,0),"")))</f>
        <v>ART - CREA/PR</v>
      </c>
      <c r="H233" s="593" t="str">
        <f>IF($E233="",IFERROR(VLOOKUP($D233,SERVIÇOS!$C:$H,3,0),IFERROR(VLOOKUP($D233,$F:$M,3,0),"")),IFERROR(VLOOKUP($E233,INSUMOS!$B:$E,3,0),IFERROR(VLOOKUP($E233,COTAÇÕES!$C:$L,5,0),"")))</f>
        <v>UN</v>
      </c>
      <c r="I233" s="627">
        <v>1</v>
      </c>
      <c r="J233" s="670">
        <f>IF($E233="",IFERROR(VLOOKUP($D233,SERVIÇOS!$C:$H,6,0),IFERROR(VLOOKUP($D233,$F:$M,8,0),"")),IFERROR(VLOOKUP($E233,INSUMOS!$B:$E,4,0),IFERROR(VLOOKUP($E233,COTAÇÕES!$C:$L,10,0),"")))</f>
        <v>233.94</v>
      </c>
      <c r="K233" s="615">
        <f>TRUNC(IF($E233="",IFERROR(VLOOKUP($D233,SERVIÇOS!$C:$H,4,0),IFERROR(VLOOKUP($D233,$F:$M,6,0),)),IFERROR(VLOOKUP($E233,INSUMOS!$B:$E,4,0),IFERROR(VLOOKUP($E233,COTAÇÕES!$C:$L,10,0),)))*$I233,2)</f>
        <v>233.94</v>
      </c>
      <c r="L233" s="616">
        <f>TRUNC(IF($E233="",IFERROR(VLOOKUP($D233,SERVIÇOS!$C:$H,5,0),IFERROR(VLOOKUP($D233,$F:$M,7,0),)),0)*$I233,2)</f>
        <v>0</v>
      </c>
      <c r="M233" s="617">
        <f>K233+L233</f>
        <v>233.94</v>
      </c>
      <c r="N233" s="753" t="s">
        <v>6845</v>
      </c>
      <c r="O233" s="633"/>
    </row>
    <row r="234" spans="2:17" ht="25.5" hidden="1">
      <c r="B234" s="769">
        <f>SUMIF(ORC!$G$11:$G$2470,CPU!$F234,ORC!$J$11:$J$2470)</f>
        <v>0</v>
      </c>
      <c r="C234" s="515" t="s">
        <v>2239</v>
      </c>
      <c r="D234" s="515"/>
      <c r="E234" s="515"/>
      <c r="F234" s="515" t="s">
        <v>7174</v>
      </c>
      <c r="G234" s="516" t="s">
        <v>8681</v>
      </c>
      <c r="H234" s="458" t="s">
        <v>646</v>
      </c>
      <c r="I234" s="595"/>
      <c r="J234" s="596"/>
      <c r="K234" s="597">
        <f>SUM(K235:K237)</f>
        <v>46.5</v>
      </c>
      <c r="L234" s="597">
        <f>SUM(L235:L237)</f>
        <v>2.2000000000000002</v>
      </c>
      <c r="M234" s="596">
        <f>SUM(K234:L234)</f>
        <v>48.7</v>
      </c>
      <c r="N234" s="598" t="s">
        <v>7544</v>
      </c>
      <c r="O234" s="599"/>
      <c r="Q234" s="122" t="str">
        <f>UPPER(G234)</f>
        <v>CLÚSIA (CLUSIA FLUMINENSIS), ALTURA MUDA 30CM, FORNECIMENTO E PLANTIO, INCLUSIVE PREPARO DO SOLO</v>
      </c>
    </row>
    <row r="235" spans="2:17" hidden="1">
      <c r="B235" s="122">
        <f t="shared" ref="B235:B237" si="119">B234</f>
        <v>0</v>
      </c>
      <c r="C235" s="611" t="str">
        <f>IF(D235&lt;&gt;"","C",IF(E235&lt;&gt;"","I",""))</f>
        <v>C</v>
      </c>
      <c r="D235" s="661">
        <v>88316</v>
      </c>
      <c r="E235" s="661"/>
      <c r="F235" s="612"/>
      <c r="G235" s="613" t="str">
        <f>IF($E235="",IFERROR(VLOOKUP($D235,SERVIÇOS!$C:$H,2,0),IFERROR(VLOOKUP($D235,$F:$M,2,0),"")),IFERROR(VLOOKUP($E235,INSUMOS!$B:$E,2,0),IFERROR(VLOOKUP($E235,COTAÇÕES!$C:$L,2,0),"")))</f>
        <v>SERVENTE COM ENCARGOS COMPLEMENTARES</v>
      </c>
      <c r="H235" s="593" t="str">
        <f>IF($E235="",IFERROR(VLOOKUP($D235,SERVIÇOS!$C:$H,3,0),IFERROR(VLOOKUP($D235,$F:$M,3,0),"")),IFERROR(VLOOKUP($E235,INSUMOS!$B:$E,3,0),IFERROR(VLOOKUP($E235,COTAÇÕES!$C:$L,5,0),"")))</f>
        <v>H</v>
      </c>
      <c r="I235" s="614">
        <v>0.1018</v>
      </c>
      <c r="J235" s="670">
        <f>IF($E235="",IFERROR(VLOOKUP($D235,SERVIÇOS!$C:$H,6,0),IFERROR(VLOOKUP($D235,$F:$M,8,0),"")),IFERROR(VLOOKUP($E235,INSUMOS!$B:$E,4,0),IFERROR(VLOOKUP($E235,COTAÇÕES!$C:$L,10,0),"")))</f>
        <v>23.71</v>
      </c>
      <c r="K235" s="615">
        <f>TRUNC(IF($E235="",IFERROR(VLOOKUP($D235,SERVIÇOS!$C:$H,4,0),IFERROR(VLOOKUP($D235,$F:$M,6,0),)),IFERROR(VLOOKUP($E235,INSUMOS!$B:$E,4,0),IFERROR(VLOOKUP($E235,COTAÇÕES!$C:$L,10,0),)))*$I235,2)</f>
        <v>0.66</v>
      </c>
      <c r="L235" s="616">
        <f>TRUNC(IF($E235="",IFERROR(VLOOKUP($D235,SERVIÇOS!$C:$H,5,0),IFERROR(VLOOKUP($D235,$F:$M,7,0),)),0)*$I235,2)</f>
        <v>1.74</v>
      </c>
      <c r="M235" s="617">
        <f>K235+L235</f>
        <v>2.4</v>
      </c>
      <c r="N235" s="753" t="str">
        <f t="shared" ref="N235:N237" si="120">IF($D235&lt;&gt;"","SERVIÇO SINAPI",IF($E235&lt;&gt;"","INSUMO SINAPI",""))</f>
        <v>SERVIÇO SINAPI</v>
      </c>
      <c r="O235" s="618"/>
    </row>
    <row r="236" spans="2:17" hidden="1">
      <c r="B236" s="122">
        <f t="shared" si="119"/>
        <v>0</v>
      </c>
      <c r="C236" s="611" t="str">
        <f>IF(D236&lt;&gt;"","C",IF(E236&lt;&gt;"","I",""))</f>
        <v>C</v>
      </c>
      <c r="D236" s="661">
        <v>88441</v>
      </c>
      <c r="E236" s="661"/>
      <c r="F236" s="612"/>
      <c r="G236" s="613" t="str">
        <f>IF($E236="",IFERROR(VLOOKUP($D236,SERVIÇOS!$C:$H,2,0),IFERROR(VLOOKUP($D236,$F:$M,2,0),"")),IFERROR(VLOOKUP($E236,INSUMOS!$B:$E,2,0),IFERROR(VLOOKUP($E236,COTAÇÕES!$C:$L,2,0),"")))</f>
        <v>JARDINEIRO COM ENCARGOS COMPLEMENTARES</v>
      </c>
      <c r="H236" s="593" t="str">
        <f>IF($E236="",IFERROR(VLOOKUP($D236,SERVIÇOS!$C:$H,3,0),IFERROR(VLOOKUP($D236,$F:$M,3,0),"")),IFERROR(VLOOKUP($E236,INSUMOS!$B:$E,3,0),IFERROR(VLOOKUP($E236,COTAÇÕES!$C:$L,5,0),"")))</f>
        <v>H</v>
      </c>
      <c r="I236" s="614">
        <v>2.5499999999999998E-2</v>
      </c>
      <c r="J236" s="670">
        <f>IF($E236="",IFERROR(VLOOKUP($D236,SERVIÇOS!$C:$H,6,0),IFERROR(VLOOKUP($D236,$F:$M,8,0),"")),IFERROR(VLOOKUP($E236,INSUMOS!$B:$E,4,0),IFERROR(VLOOKUP($E236,COTAÇÕES!$C:$L,10,0),"")))</f>
        <v>24.75</v>
      </c>
      <c r="K236" s="615">
        <f>TRUNC(IF($E236="",IFERROR(VLOOKUP($D236,SERVIÇOS!$C:$H,4,0),IFERROR(VLOOKUP($D236,$F:$M,6,0),)),IFERROR(VLOOKUP($E236,INSUMOS!$B:$E,4,0),IFERROR(VLOOKUP($E236,COTAÇÕES!$C:$L,10,0),)))*$I236,2)</f>
        <v>0.16</v>
      </c>
      <c r="L236" s="616">
        <f>TRUNC(IF($E236="",IFERROR(VLOOKUP($D236,SERVIÇOS!$C:$H,5,0),IFERROR(VLOOKUP($D236,$F:$M,7,0),)),0)*$I236,2)</f>
        <v>0.46</v>
      </c>
      <c r="M236" s="617">
        <f>K236+L236</f>
        <v>0.62</v>
      </c>
      <c r="N236" s="753" t="str">
        <f t="shared" si="120"/>
        <v>SERVIÇO SINAPI</v>
      </c>
      <c r="O236" s="618"/>
    </row>
    <row r="237" spans="2:17" ht="25.5" hidden="1">
      <c r="B237" s="122">
        <f t="shared" si="119"/>
        <v>0</v>
      </c>
      <c r="C237" s="611" t="str">
        <f>IF(D237&lt;&gt;"","C",IF(E237&lt;&gt;"","I",""))</f>
        <v>I</v>
      </c>
      <c r="D237" s="661"/>
      <c r="E237" s="661">
        <v>10826</v>
      </c>
      <c r="F237" s="612"/>
      <c r="G237" s="613" t="str">
        <f>IF($E237="",IFERROR(VLOOKUP($D237,SERVIÇOS!$C:$H,2,0),IFERROR(VLOOKUP($D237,$F:$M,2,0),"")),IFERROR(VLOOKUP($E237,INSUMOS!$B:$E,2,0),IFERROR(VLOOKUP($E237,COTAÇÕES!$C:$L,2,0),"")))</f>
        <v xml:space="preserve">MUDA DE ARBUSTO FLORIFERO, CLUSIA/GARDENIA/MOREIA BRANCA/ AZALEIA OU EQUIVALENTE DA REGIAO, H= *50 A 70* CM                                                                                                                                                                                                                                                                                                                                                                                               </v>
      </c>
      <c r="H237" s="593" t="str">
        <f>IF($E237="",IFERROR(VLOOKUP($D237,SERVIÇOS!$C:$H,3,0),IFERROR(VLOOKUP($D237,$F:$M,3,0),"")),IFERROR(VLOOKUP($E237,INSUMOS!$B:$E,3,0),IFERROR(VLOOKUP($E237,COTAÇÕES!$C:$L,5,0),"")))</f>
        <v xml:space="preserve">UN    </v>
      </c>
      <c r="I237" s="614">
        <v>1</v>
      </c>
      <c r="J237" s="670">
        <f>IF($E237="",IFERROR(VLOOKUP($D237,SERVIÇOS!$C:$H,6,0),IFERROR(VLOOKUP($D237,$F:$M,8,0),"")),IFERROR(VLOOKUP($E237,INSUMOS!$B:$E,4,0),IFERROR(VLOOKUP($E237,COTAÇÕES!$C:$L,10,0),"")))</f>
        <v>45.68</v>
      </c>
      <c r="K237" s="615">
        <f>TRUNC(IF($E237="",IFERROR(VLOOKUP($D237,SERVIÇOS!$C:$H,4,0),IFERROR(VLOOKUP($D237,$F:$M,6,0),)),IFERROR(VLOOKUP($E237,INSUMOS!$B:$E,4,0),IFERROR(VLOOKUP($E237,COTAÇÕES!$C:$L,10,0),)))*$I237,2)</f>
        <v>45.68</v>
      </c>
      <c r="L237" s="616">
        <f>TRUNC(IF($E237="",IFERROR(VLOOKUP($D237,SERVIÇOS!$C:$H,5,0),IFERROR(VLOOKUP($D237,$F:$M,7,0),)),0)*$I237,2)</f>
        <v>0</v>
      </c>
      <c r="M237" s="617">
        <f>K237+L237</f>
        <v>45.68</v>
      </c>
      <c r="N237" s="753" t="str">
        <f t="shared" si="120"/>
        <v>INSUMO SINAPI</v>
      </c>
      <c r="O237" s="618"/>
    </row>
    <row r="238" spans="2:17" ht="25.5" hidden="1">
      <c r="B238" s="769">
        <f>SUMIF(ORC!$G$11:$G$2470,CPU!$F238,ORC!$J$11:$J$2470)</f>
        <v>0</v>
      </c>
      <c r="C238" s="515" t="s">
        <v>2239</v>
      </c>
      <c r="D238" s="515"/>
      <c r="E238" s="515"/>
      <c r="F238" s="515" t="s">
        <v>7187</v>
      </c>
      <c r="G238" s="516" t="s">
        <v>8680</v>
      </c>
      <c r="H238" s="458" t="s">
        <v>646</v>
      </c>
      <c r="I238" s="595"/>
      <c r="J238" s="596"/>
      <c r="K238" s="597">
        <f>SUM(K239:K241)</f>
        <v>29.14</v>
      </c>
      <c r="L238" s="597">
        <f>SUM(L239:L241)</f>
        <v>2.2000000000000002</v>
      </c>
      <c r="M238" s="596">
        <f>SUM(K238:L238)</f>
        <v>31.34</v>
      </c>
      <c r="N238" s="598" t="s">
        <v>7544</v>
      </c>
      <c r="O238" s="599"/>
      <c r="Q238" s="122" t="str">
        <f>UPPER(G238)</f>
        <v>MORÉIA-BRANCA (DIETES IRIDIOIDES), ALTURA MUDA 50CM, FORNECIMENTO E PLANTIO, INCLUSIVE PREPARO DO SOLO</v>
      </c>
    </row>
    <row r="239" spans="2:17" hidden="1">
      <c r="B239" s="122">
        <f t="shared" ref="B239:B241" si="121">B238</f>
        <v>0</v>
      </c>
      <c r="C239" s="611" t="str">
        <f>IF(D239&lt;&gt;"","C",IF(E239&lt;&gt;"","I",""))</f>
        <v>C</v>
      </c>
      <c r="D239" s="661">
        <v>88316</v>
      </c>
      <c r="E239" s="661"/>
      <c r="F239" s="612"/>
      <c r="G239" s="613" t="str">
        <f>IF($E239="",IFERROR(VLOOKUP($D239,SERVIÇOS!$C:$H,2,0),IFERROR(VLOOKUP($D239,$F:$M,2,0),"")),IFERROR(VLOOKUP($E239,INSUMOS!$B:$E,2,0),IFERROR(VLOOKUP($E239,COTAÇÕES!$C:$L,2,0),"")))</f>
        <v>SERVENTE COM ENCARGOS COMPLEMENTARES</v>
      </c>
      <c r="H239" s="593" t="str">
        <f>IF($E239="",IFERROR(VLOOKUP($D239,SERVIÇOS!$C:$H,3,0),IFERROR(VLOOKUP($D239,$F:$M,3,0),"")),IFERROR(VLOOKUP($E239,INSUMOS!$B:$E,3,0),IFERROR(VLOOKUP($E239,COTAÇÕES!$C:$L,5,0),"")))</f>
        <v>H</v>
      </c>
      <c r="I239" s="614">
        <v>0.1018</v>
      </c>
      <c r="J239" s="670">
        <f>IF($E239="",IFERROR(VLOOKUP($D239,SERVIÇOS!$C:$H,6,0),IFERROR(VLOOKUP($D239,$F:$M,8,0),"")),IFERROR(VLOOKUP($E239,INSUMOS!$B:$E,4,0),IFERROR(VLOOKUP($E239,COTAÇÕES!$C:$L,10,0),"")))</f>
        <v>23.71</v>
      </c>
      <c r="K239" s="615">
        <f>TRUNC(IF($E239="",IFERROR(VLOOKUP($D239,SERVIÇOS!$C:$H,4,0),IFERROR(VLOOKUP($D239,$F:$M,6,0),)),IFERROR(VLOOKUP($E239,INSUMOS!$B:$E,4,0),IFERROR(VLOOKUP($E239,COTAÇÕES!$C:$L,10,0),)))*$I239,2)</f>
        <v>0.66</v>
      </c>
      <c r="L239" s="616">
        <f>TRUNC(IF($E239="",IFERROR(VLOOKUP($D239,SERVIÇOS!$C:$H,5,0),IFERROR(VLOOKUP($D239,$F:$M,7,0),)),0)*$I239,2)</f>
        <v>1.74</v>
      </c>
      <c r="M239" s="617">
        <f>K239+L239</f>
        <v>2.4</v>
      </c>
      <c r="N239" s="753" t="str">
        <f t="shared" ref="N239:N253" si="122">IF($D239&lt;&gt;"","SERVIÇO SINAPI",IF($E239&lt;&gt;"","INSUMO SINAPI",""))</f>
        <v>SERVIÇO SINAPI</v>
      </c>
      <c r="O239" s="618"/>
    </row>
    <row r="240" spans="2:17" hidden="1">
      <c r="B240" s="122">
        <f t="shared" si="121"/>
        <v>0</v>
      </c>
      <c r="C240" s="611" t="str">
        <f>IF(D240&lt;&gt;"","C",IF(E240&lt;&gt;"","I",""))</f>
        <v>C</v>
      </c>
      <c r="D240" s="661">
        <v>88441</v>
      </c>
      <c r="E240" s="661"/>
      <c r="F240" s="612"/>
      <c r="G240" s="613" t="str">
        <f>IF($E240="",IFERROR(VLOOKUP($D240,SERVIÇOS!$C:$H,2,0),IFERROR(VLOOKUP($D240,$F:$M,2,0),"")),IFERROR(VLOOKUP($E240,INSUMOS!$B:$E,2,0),IFERROR(VLOOKUP($E240,COTAÇÕES!$C:$L,2,0),"")))</f>
        <v>JARDINEIRO COM ENCARGOS COMPLEMENTARES</v>
      </c>
      <c r="H240" s="593" t="str">
        <f>IF($E240="",IFERROR(VLOOKUP($D240,SERVIÇOS!$C:$H,3,0),IFERROR(VLOOKUP($D240,$F:$M,3,0),"")),IFERROR(VLOOKUP($E240,INSUMOS!$B:$E,3,0),IFERROR(VLOOKUP($E240,COTAÇÕES!$C:$L,5,0),"")))</f>
        <v>H</v>
      </c>
      <c r="I240" s="614">
        <v>2.5499999999999998E-2</v>
      </c>
      <c r="J240" s="670">
        <f>IF($E240="",IFERROR(VLOOKUP($D240,SERVIÇOS!$C:$H,6,0),IFERROR(VLOOKUP($D240,$F:$M,8,0),"")),IFERROR(VLOOKUP($E240,INSUMOS!$B:$E,4,0),IFERROR(VLOOKUP($E240,COTAÇÕES!$C:$L,10,0),"")))</f>
        <v>24.75</v>
      </c>
      <c r="K240" s="615">
        <f>TRUNC(IF($E240="",IFERROR(VLOOKUP($D240,SERVIÇOS!$C:$H,4,0),IFERROR(VLOOKUP($D240,$F:$M,6,0),)),IFERROR(VLOOKUP($E240,INSUMOS!$B:$E,4,0),IFERROR(VLOOKUP($E240,COTAÇÕES!$C:$L,10,0),)))*$I240,2)</f>
        <v>0.16</v>
      </c>
      <c r="L240" s="616">
        <f>TRUNC(IF($E240="",IFERROR(VLOOKUP($D240,SERVIÇOS!$C:$H,5,0),IFERROR(VLOOKUP($D240,$F:$M,7,0),)),0)*$I240,2)</f>
        <v>0.46</v>
      </c>
      <c r="M240" s="617">
        <f>K240+L240</f>
        <v>0.62</v>
      </c>
      <c r="N240" s="753" t="str">
        <f t="shared" si="122"/>
        <v>SERVIÇO SINAPI</v>
      </c>
      <c r="O240" s="618"/>
    </row>
    <row r="241" spans="2:15" hidden="1">
      <c r="B241" s="122">
        <f t="shared" si="121"/>
        <v>0</v>
      </c>
      <c r="C241" s="611" t="str">
        <f>IF(D241&lt;&gt;"","C",IF(E241&lt;&gt;"","I",""))</f>
        <v>I</v>
      </c>
      <c r="D241" s="661"/>
      <c r="E241" s="661">
        <v>365</v>
      </c>
      <c r="F241" s="612"/>
      <c r="G241" s="613" t="str">
        <f>IF($E241="",IFERROR(VLOOKUP($D241,SERVIÇOS!$C:$H,2,0),IFERROR(VLOOKUP($D241,$F:$M,2,0),"")),IFERROR(VLOOKUP($E241,INSUMOS!$B:$E,2,0),IFERROR(VLOOKUP($E241,COTAÇÕES!$C:$L,2,0),"")))</f>
        <v xml:space="preserve">MUDA DE ARBUSTO FOLHAGEM, SANSAO-DO-CAMPO OU EQUIVALENTE DA REGIAO, H= *50 A 70* CM                                                                                                                                                                                                                                                                                                                                                                                                                       </v>
      </c>
      <c r="H241" s="593" t="str">
        <f>IF($E241="",IFERROR(VLOOKUP($D241,SERVIÇOS!$C:$H,3,0),IFERROR(VLOOKUP($D241,$F:$M,3,0),"")),IFERROR(VLOOKUP($E241,INSUMOS!$B:$E,3,0),IFERROR(VLOOKUP($E241,COTAÇÕES!$C:$L,5,0),"")))</f>
        <v xml:space="preserve">UN    </v>
      </c>
      <c r="I241" s="614">
        <v>1</v>
      </c>
      <c r="J241" s="670">
        <f>IF($E241="",IFERROR(VLOOKUP($D241,SERVIÇOS!$C:$H,6,0),IFERROR(VLOOKUP($D241,$F:$M,8,0),"")),IFERROR(VLOOKUP($E241,INSUMOS!$B:$E,4,0),IFERROR(VLOOKUP($E241,COTAÇÕES!$C:$L,10,0),"")))</f>
        <v>28.32</v>
      </c>
      <c r="K241" s="615">
        <f>TRUNC(IF($E241="",IFERROR(VLOOKUP($D241,SERVIÇOS!$C:$H,4,0),IFERROR(VLOOKUP($D241,$F:$M,6,0),)),IFERROR(VLOOKUP($E241,INSUMOS!$B:$E,4,0),IFERROR(VLOOKUP($E241,COTAÇÕES!$C:$L,10,0),)))*$I241,2)</f>
        <v>28.32</v>
      </c>
      <c r="L241" s="616">
        <f>TRUNC(IF($E241="",IFERROR(VLOOKUP($D241,SERVIÇOS!$C:$H,5,0),IFERROR(VLOOKUP($D241,$F:$M,7,0),)),0)*$I241,2)</f>
        <v>0</v>
      </c>
      <c r="M241" s="617">
        <f>K241+L241</f>
        <v>28.32</v>
      </c>
      <c r="N241" s="753" t="str">
        <f t="shared" si="122"/>
        <v>INSUMO SINAPI</v>
      </c>
      <c r="O241" s="618"/>
    </row>
    <row r="242" spans="2:15" ht="25.5" hidden="1">
      <c r="B242" s="769">
        <f>SUMIF(ORC!$G$11:$G$2470,CPU!$F242,ORC!$J$11:$J$2470)</f>
        <v>0</v>
      </c>
      <c r="C242" s="515" t="s">
        <v>2239</v>
      </c>
      <c r="D242" s="515"/>
      <c r="E242" s="515"/>
      <c r="F242" s="515" t="s">
        <v>7188</v>
      </c>
      <c r="G242" s="516" t="s">
        <v>8682</v>
      </c>
      <c r="H242" s="458" t="s">
        <v>646</v>
      </c>
      <c r="I242" s="595"/>
      <c r="J242" s="596"/>
      <c r="K242" s="597">
        <f>SUM(K243:K245)</f>
        <v>39.75</v>
      </c>
      <c r="L242" s="597">
        <f>SUM(L243:L245)</f>
        <v>15.79</v>
      </c>
      <c r="M242" s="596">
        <f>SUM(K242:L242)</f>
        <v>55.54</v>
      </c>
      <c r="N242" s="598" t="s">
        <v>7190</v>
      </c>
      <c r="O242" s="599"/>
    </row>
    <row r="243" spans="2:15" hidden="1">
      <c r="B243" s="122">
        <f t="shared" ref="B243:B245" si="123">B242</f>
        <v>0</v>
      </c>
      <c r="C243" s="611" t="str">
        <f>IF(D243&lt;&gt;"","C",IF(E243&lt;&gt;"","I",""))</f>
        <v>C</v>
      </c>
      <c r="D243" s="661">
        <v>88316</v>
      </c>
      <c r="E243" s="661"/>
      <c r="F243" s="612"/>
      <c r="G243" s="613" t="str">
        <f>IF($E243="",IFERROR(VLOOKUP($D243,SERVIÇOS!$C:$H,2,0),IFERROR(VLOOKUP($D243,$F:$M,2,0),"")),IFERROR(VLOOKUP($E243,INSUMOS!$B:$E,2,0),IFERROR(VLOOKUP($E243,COTAÇÕES!$C:$L,2,0),"")))</f>
        <v>SERVENTE COM ENCARGOS COMPLEMENTARES</v>
      </c>
      <c r="H243" s="593" t="str">
        <f>IF($E243="",IFERROR(VLOOKUP($D243,SERVIÇOS!$C:$H,3,0),IFERROR(VLOOKUP($D243,$F:$M,3,0),"")),IFERROR(VLOOKUP($E243,INSUMOS!$B:$E,3,0),IFERROR(VLOOKUP($E243,COTAÇÕES!$C:$L,5,0),"")))</f>
        <v>H</v>
      </c>
      <c r="I243" s="614">
        <v>0.72719999999999996</v>
      </c>
      <c r="J243" s="670">
        <f>IF($E243="",IFERROR(VLOOKUP($D243,SERVIÇOS!$C:$H,6,0),IFERROR(VLOOKUP($D243,$F:$M,8,0),"")),IFERROR(VLOOKUP($E243,INSUMOS!$B:$E,4,0),IFERROR(VLOOKUP($E243,COTAÇÕES!$C:$L,10,0),"")))</f>
        <v>23.71</v>
      </c>
      <c r="K243" s="615">
        <f>TRUNC(IF($E243="",IFERROR(VLOOKUP($D243,SERVIÇOS!$C:$H,4,0),IFERROR(VLOOKUP($D243,$F:$M,6,0),)),IFERROR(VLOOKUP($E243,INSUMOS!$B:$E,4,0),IFERROR(VLOOKUP($E243,COTAÇÕES!$C:$L,10,0),)))*$I243,2)</f>
        <v>4.74</v>
      </c>
      <c r="L243" s="616">
        <f>TRUNC(IF($E243="",IFERROR(VLOOKUP($D243,SERVIÇOS!$C:$H,5,0),IFERROR(VLOOKUP($D243,$F:$M,7,0),)),0)*$I243,2)</f>
        <v>12.5</v>
      </c>
      <c r="M243" s="617">
        <f>K243+L243</f>
        <v>17.240000000000002</v>
      </c>
      <c r="N243" s="753" t="str">
        <f t="shared" si="122"/>
        <v>SERVIÇO SINAPI</v>
      </c>
      <c r="O243" s="618"/>
    </row>
    <row r="244" spans="2:15" hidden="1">
      <c r="B244" s="122">
        <f t="shared" si="123"/>
        <v>0</v>
      </c>
      <c r="C244" s="611" t="str">
        <f>IF(D244&lt;&gt;"","C",IF(E244&lt;&gt;"","I",""))</f>
        <v>C</v>
      </c>
      <c r="D244" s="661">
        <v>88441</v>
      </c>
      <c r="E244" s="661"/>
      <c r="F244" s="612"/>
      <c r="G244" s="613" t="str">
        <f>IF($E244="",IFERROR(VLOOKUP($D244,SERVIÇOS!$C:$H,2,0),IFERROR(VLOOKUP($D244,$F:$M,2,0),"")),IFERROR(VLOOKUP($E244,INSUMOS!$B:$E,2,0),IFERROR(VLOOKUP($E244,COTAÇÕES!$C:$L,2,0),"")))</f>
        <v>JARDINEIRO COM ENCARGOS COMPLEMENTARES</v>
      </c>
      <c r="H244" s="593" t="str">
        <f>IF($E244="",IFERROR(VLOOKUP($D244,SERVIÇOS!$C:$H,3,0),IFERROR(VLOOKUP($D244,$F:$M,3,0),"")),IFERROR(VLOOKUP($E244,INSUMOS!$B:$E,3,0),IFERROR(VLOOKUP($E244,COTAÇÕES!$C:$L,5,0),"")))</f>
        <v>H</v>
      </c>
      <c r="I244" s="614">
        <v>0.18179999999999999</v>
      </c>
      <c r="J244" s="670">
        <f>IF($E244="",IFERROR(VLOOKUP($D244,SERVIÇOS!$C:$H,6,0),IFERROR(VLOOKUP($D244,$F:$M,8,0),"")),IFERROR(VLOOKUP($E244,INSUMOS!$B:$E,4,0),IFERROR(VLOOKUP($E244,COTAÇÕES!$C:$L,10,0),"")))</f>
        <v>24.75</v>
      </c>
      <c r="K244" s="615">
        <f>TRUNC(IF($E244="",IFERROR(VLOOKUP($D244,SERVIÇOS!$C:$H,4,0),IFERROR(VLOOKUP($D244,$F:$M,6,0),)),IFERROR(VLOOKUP($E244,INSUMOS!$B:$E,4,0),IFERROR(VLOOKUP($E244,COTAÇÕES!$C:$L,10,0),)))*$I244,2)</f>
        <v>1.2</v>
      </c>
      <c r="L244" s="616">
        <f>TRUNC(IF($E244="",IFERROR(VLOOKUP($D244,SERVIÇOS!$C:$H,5,0),IFERROR(VLOOKUP($D244,$F:$M,7,0),)),0)*$I244,2)</f>
        <v>3.29</v>
      </c>
      <c r="M244" s="617">
        <f>K244+L244</f>
        <v>4.49</v>
      </c>
      <c r="N244" s="753" t="str">
        <f t="shared" si="122"/>
        <v>SERVIÇO SINAPI</v>
      </c>
      <c r="O244" s="618"/>
    </row>
    <row r="245" spans="2:15" ht="25.5" hidden="1">
      <c r="B245" s="122">
        <f t="shared" si="123"/>
        <v>0</v>
      </c>
      <c r="C245" s="611" t="str">
        <f>IF(D245&lt;&gt;"","C",IF(E245&lt;&gt;"","I",""))</f>
        <v>I</v>
      </c>
      <c r="D245" s="661"/>
      <c r="E245" s="661">
        <v>358</v>
      </c>
      <c r="F245" s="612"/>
      <c r="G245" s="613" t="str">
        <f>IF($E245="",IFERROR(VLOOKUP($D245,SERVIÇOS!$C:$H,2,0),IFERROR(VLOOKUP($D245,$F:$M,2,0),"")),IFERROR(VLOOKUP($E245,INSUMOS!$B:$E,2,0),IFERROR(VLOOKUP($E245,COTAÇÕES!$C:$L,2,0),"")))</f>
        <v xml:space="preserve">MUDA DE ARVORE ORNAMENTAL, OITI/AROEIRA SALSA/ANGICO/IPE/JACARANDA OU EQUIVALENTE  DA REGIAO, H= *1* M                                                                                                                                                                                                                                                                                                                                                                                                    </v>
      </c>
      <c r="H245" s="593" t="str">
        <f>IF($E245="",IFERROR(VLOOKUP($D245,SERVIÇOS!$C:$H,3,0),IFERROR(VLOOKUP($D245,$F:$M,3,0),"")),IFERROR(VLOOKUP($E245,INSUMOS!$B:$E,3,0),IFERROR(VLOOKUP($E245,COTAÇÕES!$C:$L,5,0),"")))</f>
        <v xml:space="preserve">UN    </v>
      </c>
      <c r="I245" s="614">
        <v>1</v>
      </c>
      <c r="J245" s="670">
        <f>IF($E245="",IFERROR(VLOOKUP($D245,SERVIÇOS!$C:$H,6,0),IFERROR(VLOOKUP($D245,$F:$M,8,0),"")),IFERROR(VLOOKUP($E245,INSUMOS!$B:$E,4,0),IFERROR(VLOOKUP($E245,COTAÇÕES!$C:$L,10,0),"")))</f>
        <v>33.81</v>
      </c>
      <c r="K245" s="615">
        <f>TRUNC(IF($E245="",IFERROR(VLOOKUP($D245,SERVIÇOS!$C:$H,4,0),IFERROR(VLOOKUP($D245,$F:$M,6,0),)),IFERROR(VLOOKUP($E245,INSUMOS!$B:$E,4,0),IFERROR(VLOOKUP($E245,COTAÇÕES!$C:$L,10,0),)))*$I245,2)</f>
        <v>33.81</v>
      </c>
      <c r="L245" s="616">
        <f>TRUNC(IF($E245="",IFERROR(VLOOKUP($D245,SERVIÇOS!$C:$H,5,0),IFERROR(VLOOKUP($D245,$F:$M,7,0),)),0)*$I245,2)</f>
        <v>0</v>
      </c>
      <c r="M245" s="617">
        <f>K245+L245</f>
        <v>33.81</v>
      </c>
      <c r="N245" s="753" t="str">
        <f t="shared" si="122"/>
        <v>INSUMO SINAPI</v>
      </c>
      <c r="O245" s="618"/>
    </row>
    <row r="246" spans="2:15" ht="25.5" hidden="1">
      <c r="B246" s="769">
        <f>SUMIF(ORC!$G$11:$G$2470,CPU!$F246,ORC!$J$11:$J$2470)</f>
        <v>0</v>
      </c>
      <c r="C246" s="515" t="s">
        <v>2239</v>
      </c>
      <c r="D246" s="515"/>
      <c r="E246" s="515"/>
      <c r="F246" s="515" t="s">
        <v>7189</v>
      </c>
      <c r="G246" s="516" t="s">
        <v>8683</v>
      </c>
      <c r="H246" s="458" t="s">
        <v>646</v>
      </c>
      <c r="I246" s="595"/>
      <c r="J246" s="596"/>
      <c r="K246" s="597">
        <f>SUM(K247:K249)</f>
        <v>75.38</v>
      </c>
      <c r="L246" s="597">
        <f>SUM(L247:L249)</f>
        <v>15.79</v>
      </c>
      <c r="M246" s="596">
        <f>SUM(K246:L246)</f>
        <v>91.169999999999987</v>
      </c>
      <c r="N246" s="598" t="s">
        <v>7190</v>
      </c>
      <c r="O246" s="599"/>
    </row>
    <row r="247" spans="2:15" hidden="1">
      <c r="B247" s="122">
        <f t="shared" ref="B247:B249" si="124">B246</f>
        <v>0</v>
      </c>
      <c r="C247" s="611" t="str">
        <f>IF(D247&lt;&gt;"","C",IF(E247&lt;&gt;"","I",""))</f>
        <v>C</v>
      </c>
      <c r="D247" s="661">
        <v>88316</v>
      </c>
      <c r="E247" s="661"/>
      <c r="F247" s="612"/>
      <c r="G247" s="613" t="str">
        <f>IF($E247="",IFERROR(VLOOKUP($D247,SERVIÇOS!$C:$H,2,0),IFERROR(VLOOKUP($D247,$F:$M,2,0),"")),IFERROR(VLOOKUP($E247,INSUMOS!$B:$E,2,0),IFERROR(VLOOKUP($E247,COTAÇÕES!$C:$L,2,0),"")))</f>
        <v>SERVENTE COM ENCARGOS COMPLEMENTARES</v>
      </c>
      <c r="H247" s="593" t="str">
        <f>IF($E247="",IFERROR(VLOOKUP($D247,SERVIÇOS!$C:$H,3,0),IFERROR(VLOOKUP($D247,$F:$M,3,0),"")),IFERROR(VLOOKUP($E247,INSUMOS!$B:$E,3,0),IFERROR(VLOOKUP($E247,COTAÇÕES!$C:$L,5,0),"")))</f>
        <v>H</v>
      </c>
      <c r="I247" s="614">
        <v>0.72719999999999996</v>
      </c>
      <c r="J247" s="670">
        <f>IF($E247="",IFERROR(VLOOKUP($D247,SERVIÇOS!$C:$H,6,0),IFERROR(VLOOKUP($D247,$F:$M,8,0),"")),IFERROR(VLOOKUP($E247,INSUMOS!$B:$E,4,0),IFERROR(VLOOKUP($E247,COTAÇÕES!$C:$L,10,0),"")))</f>
        <v>23.71</v>
      </c>
      <c r="K247" s="615">
        <f>TRUNC(IF($E247="",IFERROR(VLOOKUP($D247,SERVIÇOS!$C:$H,4,0),IFERROR(VLOOKUP($D247,$F:$M,6,0),)),IFERROR(VLOOKUP($E247,INSUMOS!$B:$E,4,0),IFERROR(VLOOKUP($E247,COTAÇÕES!$C:$L,10,0),)))*$I247,2)</f>
        <v>4.74</v>
      </c>
      <c r="L247" s="616">
        <f>TRUNC(IF($E247="",IFERROR(VLOOKUP($D247,SERVIÇOS!$C:$H,5,0),IFERROR(VLOOKUP($D247,$F:$M,7,0),)),0)*$I247,2)</f>
        <v>12.5</v>
      </c>
      <c r="M247" s="617">
        <f>K247+L247</f>
        <v>17.240000000000002</v>
      </c>
      <c r="N247" s="753" t="str">
        <f t="shared" si="122"/>
        <v>SERVIÇO SINAPI</v>
      </c>
      <c r="O247" s="618"/>
    </row>
    <row r="248" spans="2:15" hidden="1">
      <c r="B248" s="122">
        <f t="shared" si="124"/>
        <v>0</v>
      </c>
      <c r="C248" s="611" t="str">
        <f>IF(D248&lt;&gt;"","C",IF(E248&lt;&gt;"","I",""))</f>
        <v>C</v>
      </c>
      <c r="D248" s="661">
        <v>88441</v>
      </c>
      <c r="E248" s="661"/>
      <c r="F248" s="612"/>
      <c r="G248" s="613" t="str">
        <f>IF($E248="",IFERROR(VLOOKUP($D248,SERVIÇOS!$C:$H,2,0),IFERROR(VLOOKUP($D248,$F:$M,2,0),"")),IFERROR(VLOOKUP($E248,INSUMOS!$B:$E,2,0),IFERROR(VLOOKUP($E248,COTAÇÕES!$C:$L,2,0),"")))</f>
        <v>JARDINEIRO COM ENCARGOS COMPLEMENTARES</v>
      </c>
      <c r="H248" s="593" t="str">
        <f>IF($E248="",IFERROR(VLOOKUP($D248,SERVIÇOS!$C:$H,3,0),IFERROR(VLOOKUP($D248,$F:$M,3,0),"")),IFERROR(VLOOKUP($E248,INSUMOS!$B:$E,3,0),IFERROR(VLOOKUP($E248,COTAÇÕES!$C:$L,5,0),"")))</f>
        <v>H</v>
      </c>
      <c r="I248" s="614">
        <v>0.18179999999999999</v>
      </c>
      <c r="J248" s="670">
        <f>IF($E248="",IFERROR(VLOOKUP($D248,SERVIÇOS!$C:$H,6,0),IFERROR(VLOOKUP($D248,$F:$M,8,0),"")),IFERROR(VLOOKUP($E248,INSUMOS!$B:$E,4,0),IFERROR(VLOOKUP($E248,COTAÇÕES!$C:$L,10,0),"")))</f>
        <v>24.75</v>
      </c>
      <c r="K248" s="615">
        <f>TRUNC(IF($E248="",IFERROR(VLOOKUP($D248,SERVIÇOS!$C:$H,4,0),IFERROR(VLOOKUP($D248,$F:$M,6,0),)),IFERROR(VLOOKUP($E248,INSUMOS!$B:$E,4,0),IFERROR(VLOOKUP($E248,COTAÇÕES!$C:$L,10,0),)))*$I248,2)</f>
        <v>1.2</v>
      </c>
      <c r="L248" s="616">
        <f>TRUNC(IF($E248="",IFERROR(VLOOKUP($D248,SERVIÇOS!$C:$H,5,0),IFERROR(VLOOKUP($D248,$F:$M,7,0),)),0)*$I248,2)</f>
        <v>3.29</v>
      </c>
      <c r="M248" s="617">
        <f>K248+L248</f>
        <v>4.49</v>
      </c>
      <c r="N248" s="753" t="str">
        <f t="shared" si="122"/>
        <v>SERVIÇO SINAPI</v>
      </c>
      <c r="O248" s="618"/>
    </row>
    <row r="249" spans="2:15" ht="25.5" hidden="1">
      <c r="B249" s="122">
        <f t="shared" si="124"/>
        <v>0</v>
      </c>
      <c r="C249" s="611" t="str">
        <f>IF(D249&lt;&gt;"","C",IF(E249&lt;&gt;"","I",""))</f>
        <v>I</v>
      </c>
      <c r="D249" s="661"/>
      <c r="E249" s="661">
        <v>359</v>
      </c>
      <c r="F249" s="612"/>
      <c r="G249" s="613" t="str">
        <f>IF($E249="",IFERROR(VLOOKUP($D249,SERVIÇOS!$C:$H,2,0),IFERROR(VLOOKUP($D249,$F:$M,2,0),"")),IFERROR(VLOOKUP($E249,INSUMOS!$B:$E,2,0),IFERROR(VLOOKUP($E249,COTAÇÕES!$C:$L,2,0),"")))</f>
        <v xml:space="preserve">MUDA DE ARVORE ORNAMENTAL, OITI/AROEIRA SALSA/ANGICO/IPE/JACARANDA OU EQUIVALENTE  DA REGIAO, H= *2* M                                                                                                                                                                                                                                                                                                                                                                                                    </v>
      </c>
      <c r="H249" s="593" t="str">
        <f>IF($E249="",IFERROR(VLOOKUP($D249,SERVIÇOS!$C:$H,3,0),IFERROR(VLOOKUP($D249,$F:$M,3,0),"")),IFERROR(VLOOKUP($E249,INSUMOS!$B:$E,3,0),IFERROR(VLOOKUP($E249,COTAÇÕES!$C:$L,5,0),"")))</f>
        <v xml:space="preserve">UN    </v>
      </c>
      <c r="I249" s="614">
        <v>1</v>
      </c>
      <c r="J249" s="670">
        <f>IF($E249="",IFERROR(VLOOKUP($D249,SERVIÇOS!$C:$H,6,0),IFERROR(VLOOKUP($D249,$F:$M,8,0),"")),IFERROR(VLOOKUP($E249,INSUMOS!$B:$E,4,0),IFERROR(VLOOKUP($E249,COTAÇÕES!$C:$L,10,0),"")))</f>
        <v>69.44</v>
      </c>
      <c r="K249" s="615">
        <f>TRUNC(IF($E249="",IFERROR(VLOOKUP($D249,SERVIÇOS!$C:$H,4,0),IFERROR(VLOOKUP($D249,$F:$M,6,0),)),IFERROR(VLOOKUP($E249,INSUMOS!$B:$E,4,0),IFERROR(VLOOKUP($E249,COTAÇÕES!$C:$L,10,0),)))*$I249,2)</f>
        <v>69.44</v>
      </c>
      <c r="L249" s="616">
        <f>TRUNC(IF($E249="",IFERROR(VLOOKUP($D249,SERVIÇOS!$C:$H,5,0),IFERROR(VLOOKUP($D249,$F:$M,7,0),)),0)*$I249,2)</f>
        <v>0</v>
      </c>
      <c r="M249" s="617">
        <f>K249+L249</f>
        <v>69.44</v>
      </c>
      <c r="N249" s="753" t="str">
        <f t="shared" si="122"/>
        <v>INSUMO SINAPI</v>
      </c>
      <c r="O249" s="618"/>
    </row>
    <row r="250" spans="2:15">
      <c r="B250" s="769">
        <f>SUMIF(ORC!$G$11:$G$2470,CPU!$F250,ORC!$J$11:$J$2470)</f>
        <v>26.19</v>
      </c>
      <c r="C250" s="515" t="s">
        <v>2239</v>
      </c>
      <c r="D250" s="515"/>
      <c r="E250" s="515"/>
      <c r="F250" s="515" t="s">
        <v>7192</v>
      </c>
      <c r="G250" s="516" t="s">
        <v>7193</v>
      </c>
      <c r="H250" s="458" t="s">
        <v>649</v>
      </c>
      <c r="I250" s="595"/>
      <c r="J250" s="596"/>
      <c r="K250" s="597">
        <f>SUM(K251:K253)</f>
        <v>14.370000000000001</v>
      </c>
      <c r="L250" s="597">
        <f>SUM(L251:L253)</f>
        <v>13.17</v>
      </c>
      <c r="M250" s="596">
        <f>SUM(K250:L250)</f>
        <v>27.54</v>
      </c>
      <c r="N250" s="598" t="s">
        <v>8782</v>
      </c>
      <c r="O250" s="599"/>
    </row>
    <row r="251" spans="2:15">
      <c r="B251" s="122">
        <f t="shared" ref="B251:B253" si="125">B250</f>
        <v>26.19</v>
      </c>
      <c r="C251" s="611" t="str">
        <f>IF(D251&lt;&gt;"","C",IF(E251&lt;&gt;"","I",""))</f>
        <v>C</v>
      </c>
      <c r="D251" s="661">
        <v>88309</v>
      </c>
      <c r="E251" s="661"/>
      <c r="F251" s="612"/>
      <c r="G251" s="613" t="str">
        <f>IF($E251="",IFERROR(VLOOKUP($D251,SERVIÇOS!$C:$H,2,0),IFERROR(VLOOKUP($D251,$F:$M,2,0),"")),IFERROR(VLOOKUP($E251,INSUMOS!$B:$E,2,0),IFERROR(VLOOKUP($E251,COTAÇÕES!$C:$L,2,0),"")))</f>
        <v>PEDREIRO COM ENCARGOS COMPLEMENTARES</v>
      </c>
      <c r="H251" s="593" t="str">
        <f>IF($E251="",IFERROR(VLOOKUP($D251,SERVIÇOS!$C:$H,3,0),IFERROR(VLOOKUP($D251,$F:$M,3,0),"")),IFERROR(VLOOKUP($E251,INSUMOS!$B:$E,3,0),IFERROR(VLOOKUP($E251,COTAÇÕES!$C:$L,5,0),"")))</f>
        <v>H</v>
      </c>
      <c r="I251" s="614">
        <v>0.4</v>
      </c>
      <c r="J251" s="670">
        <f>IF($E251="",IFERROR(VLOOKUP($D251,SERVIÇOS!$C:$H,6,0),IFERROR(VLOOKUP($D251,$F:$M,8,0),"")),IFERROR(VLOOKUP($E251,INSUMOS!$B:$E,4,0),IFERROR(VLOOKUP($E251,COTAÇÕES!$C:$L,10,0),"")))</f>
        <v>30.99</v>
      </c>
      <c r="K251" s="615">
        <f>TRUNC(IF($E251="",IFERROR(VLOOKUP($D251,SERVIÇOS!$C:$H,4,0),IFERROR(VLOOKUP($D251,$F:$M,6,0),)),IFERROR(VLOOKUP($E251,INSUMOS!$B:$E,4,0),IFERROR(VLOOKUP($E251,COTAÇÕES!$C:$L,10,0),)))*$I251,2)</f>
        <v>2.65</v>
      </c>
      <c r="L251" s="616">
        <f>TRUNC(IF($E251="",IFERROR(VLOOKUP($D251,SERVIÇOS!$C:$H,5,0),IFERROR(VLOOKUP($D251,$F:$M,7,0),)),0)*$I251,2)</f>
        <v>9.74</v>
      </c>
      <c r="M251" s="617">
        <f>K251+L251</f>
        <v>12.39</v>
      </c>
      <c r="N251" s="753" t="str">
        <f t="shared" si="122"/>
        <v>SERVIÇO SINAPI</v>
      </c>
      <c r="O251" s="618"/>
    </row>
    <row r="252" spans="2:15">
      <c r="B252" s="122">
        <f t="shared" si="125"/>
        <v>26.19</v>
      </c>
      <c r="C252" s="611" t="str">
        <f>IF(D252&lt;&gt;"","C",IF(E252&lt;&gt;"","I",""))</f>
        <v>C</v>
      </c>
      <c r="D252" s="661">
        <v>88316</v>
      </c>
      <c r="E252" s="661"/>
      <c r="F252" s="612"/>
      <c r="G252" s="613" t="str">
        <f>IF($E252="",IFERROR(VLOOKUP($D252,SERVIÇOS!$C:$H,2,0),IFERROR(VLOOKUP($D252,$F:$M,2,0),"")),IFERROR(VLOOKUP($E252,INSUMOS!$B:$E,2,0),IFERROR(VLOOKUP($E252,COTAÇÕES!$C:$L,2,0),"")))</f>
        <v>SERVENTE COM ENCARGOS COMPLEMENTARES</v>
      </c>
      <c r="H252" s="593" t="str">
        <f>IF($E252="",IFERROR(VLOOKUP($D252,SERVIÇOS!$C:$H,3,0),IFERROR(VLOOKUP($D252,$F:$M,3,0),"")),IFERROR(VLOOKUP($E252,INSUMOS!$B:$E,3,0),IFERROR(VLOOKUP($E252,COTAÇÕES!$C:$L,5,0),"")))</f>
        <v>H</v>
      </c>
      <c r="I252" s="614">
        <v>0.2</v>
      </c>
      <c r="J252" s="670">
        <f>IF($E252="",IFERROR(VLOOKUP($D252,SERVIÇOS!$C:$H,6,0),IFERROR(VLOOKUP($D252,$F:$M,8,0),"")),IFERROR(VLOOKUP($E252,INSUMOS!$B:$E,4,0),IFERROR(VLOOKUP($E252,COTAÇÕES!$C:$L,10,0),"")))</f>
        <v>23.71</v>
      </c>
      <c r="K252" s="615">
        <f>TRUNC(IF($E252="",IFERROR(VLOOKUP($D252,SERVIÇOS!$C:$H,4,0),IFERROR(VLOOKUP($D252,$F:$M,6,0),)),IFERROR(VLOOKUP($E252,INSUMOS!$B:$E,4,0),IFERROR(VLOOKUP($E252,COTAÇÕES!$C:$L,10,0),)))*$I252,2)</f>
        <v>1.3</v>
      </c>
      <c r="L252" s="616">
        <f>TRUNC(IF($E252="",IFERROR(VLOOKUP($D252,SERVIÇOS!$C:$H,5,0),IFERROR(VLOOKUP($D252,$F:$M,7,0),)),0)*$I252,2)</f>
        <v>3.43</v>
      </c>
      <c r="M252" s="617">
        <f>K252+L252</f>
        <v>4.7300000000000004</v>
      </c>
      <c r="N252" s="753" t="str">
        <f t="shared" si="122"/>
        <v>SERVIÇO SINAPI</v>
      </c>
      <c r="O252" s="618"/>
    </row>
    <row r="253" spans="2:15" ht="25.5">
      <c r="B253" s="122">
        <f t="shared" si="125"/>
        <v>26.19</v>
      </c>
      <c r="C253" s="611" t="str">
        <f>IF(D253&lt;&gt;"","C",IF(E253&lt;&gt;"","I",""))</f>
        <v>I</v>
      </c>
      <c r="D253" s="661"/>
      <c r="E253" s="661">
        <v>7313</v>
      </c>
      <c r="F253" s="612"/>
      <c r="G253" s="613" t="str">
        <f>IF($E253="",IFERROR(VLOOKUP($D253,SERVIÇOS!$C:$H,2,0),IFERROR(VLOOKUP($D253,$F:$M,2,0),"")),IFERROR(VLOOKUP($E253,INSUMOS!$B:$E,2,0),IFERROR(VLOOKUP($E253,COTAÇÕES!$C:$L,2,0),"")))</f>
        <v xml:space="preserve">TINTA ASFALTICA IMPERMEABILIZANTE DILUIDA EM SOLVENTE, PARA MATERIAIS CIMENTICIOS, METAL E MADEIRA                                                                                                                                                                                                                                                                                                                                                                                                        </v>
      </c>
      <c r="H253" s="593" t="str">
        <f>IF($E253="",IFERROR(VLOOKUP($D253,SERVIÇOS!$C:$H,3,0),IFERROR(VLOOKUP($D253,$F:$M,3,0),"")),IFERROR(VLOOKUP($E253,INSUMOS!$B:$E,3,0),IFERROR(VLOOKUP($E253,COTAÇÕES!$C:$L,5,0),"")))</f>
        <v xml:space="preserve">L     </v>
      </c>
      <c r="I253" s="614">
        <v>0.5</v>
      </c>
      <c r="J253" s="670">
        <f>IF($E253="",IFERROR(VLOOKUP($D253,SERVIÇOS!$C:$H,6,0),IFERROR(VLOOKUP($D253,$F:$M,8,0),"")),IFERROR(VLOOKUP($E253,INSUMOS!$B:$E,4,0),IFERROR(VLOOKUP($E253,COTAÇÕES!$C:$L,10,0),"")))</f>
        <v>20.84</v>
      </c>
      <c r="K253" s="615">
        <f>TRUNC(IF($E253="",IFERROR(VLOOKUP($D253,SERVIÇOS!$C:$H,4,0),IFERROR(VLOOKUP($D253,$F:$M,6,0),)),IFERROR(VLOOKUP($E253,INSUMOS!$B:$E,4,0),IFERROR(VLOOKUP($E253,COTAÇÕES!$C:$L,10,0),)))*$I253,2)</f>
        <v>10.42</v>
      </c>
      <c r="L253" s="616">
        <f>TRUNC(IF($E253="",IFERROR(VLOOKUP($D253,SERVIÇOS!$C:$H,5,0),IFERROR(VLOOKUP($D253,$F:$M,7,0),)),0)*$I253,2)</f>
        <v>0</v>
      </c>
      <c r="M253" s="617">
        <f>K253+L253</f>
        <v>10.42</v>
      </c>
      <c r="N253" s="753" t="str">
        <f t="shared" si="122"/>
        <v>INSUMO SINAPI</v>
      </c>
      <c r="O253" s="618"/>
    </row>
    <row r="254" spans="2:15">
      <c r="B254" s="769">
        <f>SUMIF(ORC!$G$11:$G$2470,CPU!$F254,ORC!$J$11:$J$2470)</f>
        <v>134.54</v>
      </c>
      <c r="C254" s="515" t="s">
        <v>2239</v>
      </c>
      <c r="D254" s="515"/>
      <c r="E254" s="515"/>
      <c r="F254" s="515" t="s">
        <v>8376</v>
      </c>
      <c r="G254" s="594" t="s">
        <v>8378</v>
      </c>
      <c r="H254" s="458" t="s">
        <v>648</v>
      </c>
      <c r="I254" s="595"/>
      <c r="J254" s="596"/>
      <c r="K254" s="597">
        <f>SUM(K255:K255)</f>
        <v>34.1</v>
      </c>
      <c r="L254" s="597">
        <f>SUM(L255:L255)</f>
        <v>12.82</v>
      </c>
      <c r="M254" s="596">
        <f>SUM(K254:L254)</f>
        <v>46.92</v>
      </c>
      <c r="N254" s="598" t="s">
        <v>8377</v>
      </c>
      <c r="O254" s="599"/>
    </row>
    <row r="255" spans="2:15" ht="38.25">
      <c r="B255" s="122">
        <f>B254</f>
        <v>134.54</v>
      </c>
      <c r="C255" s="611" t="str">
        <f>IF(D255&lt;&gt;"","C",IF(E255&lt;&gt;"","I",""))</f>
        <v>C</v>
      </c>
      <c r="D255" s="660">
        <v>94279</v>
      </c>
      <c r="E255" s="661"/>
      <c r="F255" s="612"/>
      <c r="G255" s="613" t="str">
        <f>IF($E255="",IFERROR(VLOOKUP($D255,SERVIÇOS!$C:$H,2,0),IFERROR(VLOOKUP($D255,$F:$M,2,0),"")),IFERROR(VLOOKUP($E255,INSUMOS!$B:$E,2,0),IFERROR(VLOOKUP($E255,COTAÇÕES!$C:$L,2,0),"")))</f>
        <v>ASSENTAMENTO DE GUIA (MEIO-FIO) EM TRECHO RETO, CONFECCIONADA EM CONCRETO PRÉ-FABRICADO, DIMENSÕES 39X6,5X6,5X19 CM (COMPRIMENTO X BASE INFERIOR X BASE SUPERIOR X ALTURA), PARA DELIMITAÇÃO DE JARDINS, PRAÇAS OU PASSEIOS. AF_05/2016</v>
      </c>
      <c r="H255" s="593" t="str">
        <f>IF($E255="",IFERROR(VLOOKUP($D255,SERVIÇOS!$C:$H,3,0),IFERROR(VLOOKUP($D255,$F:$M,3,0),"")),IFERROR(VLOOKUP($E255,INSUMOS!$B:$E,3,0),IFERROR(VLOOKUP($E255,COTAÇÕES!$C:$L,5,0),"")))</f>
        <v>M</v>
      </c>
      <c r="I255" s="614">
        <v>1</v>
      </c>
      <c r="J255" s="670">
        <f>IF($E255="",IFERROR(VLOOKUP($D255,SERVIÇOS!$C:$H,6,0),IFERROR(VLOOKUP($D255,$F:$M,8,0),"")),IFERROR(VLOOKUP($E255,INSUMOS!$B:$E,4,0),IFERROR(VLOOKUP($E255,COTAÇÕES!$C:$L,10,0),"")))</f>
        <v>46.92</v>
      </c>
      <c r="K255" s="615">
        <f>TRUNC(IF($E255="",IFERROR(VLOOKUP($D255,SERVIÇOS!$C:$H,4,0),IFERROR(VLOOKUP($D255,$F:$M,6,0),)),IFERROR(VLOOKUP($E255,INSUMOS!$B:$E,4,0),IFERROR(VLOOKUP($E255,COTAÇÕES!$C:$L,10,0),)))*$I255,2)</f>
        <v>34.1</v>
      </c>
      <c r="L255" s="616">
        <f>TRUNC(IF($E255="",IFERROR(VLOOKUP($D255,SERVIÇOS!$C:$H,5,0),IFERROR(VLOOKUP($D255,$F:$M,7,0),)),0)*$I255,2)</f>
        <v>12.82</v>
      </c>
      <c r="M255" s="617">
        <f>K255+L255</f>
        <v>46.92</v>
      </c>
      <c r="N255" s="753" t="str">
        <f t="shared" ref="N255:N272" si="126">IF($D255&lt;&gt;"","SERVIÇO SINAPI",IF($E255&lt;&gt;"","INSUMO SINAPI",""))</f>
        <v>SERVIÇO SINAPI</v>
      </c>
      <c r="O255" s="648"/>
    </row>
    <row r="256" spans="2:15">
      <c r="B256" s="769">
        <f>SUMIF(ORC!$G$11:$G$2470,CPU!$F256,ORC!$J$11:$J$2470)</f>
        <v>54.64</v>
      </c>
      <c r="C256" s="515" t="s">
        <v>2239</v>
      </c>
      <c r="D256" s="515"/>
      <c r="E256" s="515"/>
      <c r="F256" s="515" t="s">
        <v>8380</v>
      </c>
      <c r="G256" s="594" t="s">
        <v>8382</v>
      </c>
      <c r="H256" s="458" t="s">
        <v>648</v>
      </c>
      <c r="I256" s="595"/>
      <c r="J256" s="596"/>
      <c r="K256" s="597">
        <f>SUM(K257:K265)</f>
        <v>72.789999999999992</v>
      </c>
      <c r="L256" s="597">
        <f>SUM(L257:L265)</f>
        <v>8.25</v>
      </c>
      <c r="M256" s="596">
        <f>SUM(K256:L256)</f>
        <v>81.039999999999992</v>
      </c>
      <c r="N256" s="598" t="s">
        <v>8381</v>
      </c>
      <c r="O256" s="599"/>
    </row>
    <row r="257" spans="2:15">
      <c r="B257" s="122">
        <f t="shared" ref="B257:B265" si="127">B256</f>
        <v>54.64</v>
      </c>
      <c r="C257" s="611" t="str">
        <f>IF(D257&lt;&gt;"","C",IF(E257&lt;&gt;"","I",""))</f>
        <v>I</v>
      </c>
      <c r="D257" s="660"/>
      <c r="E257" s="661">
        <v>142</v>
      </c>
      <c r="F257" s="612"/>
      <c r="G257" s="613" t="str">
        <f>IF($E257="",IFERROR(VLOOKUP($D257,SERVIÇOS!$C:$H,2,0),IFERROR(VLOOKUP($D257,$F:$M,2,0),"")),IFERROR(VLOOKUP($E257,INSUMOS!$B:$E,2,0),IFERROR(VLOOKUP($E257,COTAÇÕES!$C:$L,2,0),"")))</f>
        <v xml:space="preserve">SELANTE ELASTICO MONOCOMPONENTE A BASE DE POLIURETANO (PU) PARA JUNTAS DIVERSAS                                                                                                                                                                                                                                                                                                                                                                                                                           </v>
      </c>
      <c r="H257" s="593" t="str">
        <f>IF($E257="",IFERROR(VLOOKUP($D257,SERVIÇOS!$C:$H,3,0),IFERROR(VLOOKUP($D257,$F:$M,3,0),"")),IFERROR(VLOOKUP($E257,INSUMOS!$B:$E,3,0),IFERROR(VLOOKUP($E257,COTAÇÕES!$C:$L,5,0),"")))</f>
        <v xml:space="preserve">310ML </v>
      </c>
      <c r="I257" s="614">
        <v>0.21099999999999999</v>
      </c>
      <c r="J257" s="670">
        <f>IF($E257="",IFERROR(VLOOKUP($D257,SERVIÇOS!$C:$H,6,0),IFERROR(VLOOKUP($D257,$F:$M,8,0),"")),IFERROR(VLOOKUP($E257,INSUMOS!$B:$E,4,0),IFERROR(VLOOKUP($E257,COTAÇÕES!$C:$L,10,0),"")))</f>
        <v>32.75</v>
      </c>
      <c r="K257" s="615">
        <f>TRUNC(IF($E257="",IFERROR(VLOOKUP($D257,SERVIÇOS!$C:$H,4,0),IFERROR(VLOOKUP($D257,$F:$M,6,0),)),IFERROR(VLOOKUP($E257,INSUMOS!$B:$E,4,0),IFERROR(VLOOKUP($E257,COTAÇÕES!$C:$L,10,0),)))*$I257,2)</f>
        <v>6.91</v>
      </c>
      <c r="L257" s="616">
        <f>TRUNC(IF($E257="",IFERROR(VLOOKUP($D257,SERVIÇOS!$C:$H,5,0),IFERROR(VLOOKUP($D257,$F:$M,7,0),)),0)*$I257,2)</f>
        <v>0</v>
      </c>
      <c r="M257" s="617">
        <f>K257+L257</f>
        <v>6.91</v>
      </c>
      <c r="N257" s="753" t="str">
        <f t="shared" si="126"/>
        <v>INSUMO SINAPI</v>
      </c>
      <c r="O257" s="648"/>
    </row>
    <row r="258" spans="2:15" s="923" customFormat="1">
      <c r="B258" s="923">
        <f t="shared" si="127"/>
        <v>54.64</v>
      </c>
      <c r="C258" s="924" t="str">
        <f>IF(D258&lt;&gt;"","C",IF(E258&lt;&gt;"","I",""))</f>
        <v>I</v>
      </c>
      <c r="D258" s="925"/>
      <c r="E258" s="926">
        <v>78875</v>
      </c>
      <c r="F258" s="927"/>
      <c r="G258" s="955" t="str">
        <f>IF($E258="",IFERROR(VLOOKUP($D258,SERVIÇOS!$C:$H,2,0),IFERROR(VLOOKUP($D258,$F:$M,2,0),"")),IFERROR(VLOOKUP($E258,INSUMOS!$B:$E,2,0),IFERROR(VLOOKUP($E258,COTAÇÕES!$C:$L,2,0),"")))</f>
        <v>RUFO EM CHAPA DE AÇO GALVANIZADO N.24 - CORTE 33CM</v>
      </c>
      <c r="H258" s="928" t="str">
        <f>IF($E258="",IFERROR(VLOOKUP($D258,SERVIÇOS!$C:$H,3,0),IFERROR(VLOOKUP($D258,$F:$M,3,0),"")),IFERROR(VLOOKUP($E258,INSUMOS!$B:$E,3,0),IFERROR(VLOOKUP($E258,COTAÇÕES!$C:$L,5,0),"")))</f>
        <v>M2</v>
      </c>
      <c r="I258" s="934">
        <v>1.05</v>
      </c>
      <c r="J258" s="929">
        <f>IF($E258="",IFERROR(VLOOKUP($D258,SERVIÇOS!$C:$H,6,0),IFERROR(VLOOKUP($D258,$F:$M,8,0),"")),IFERROR(VLOOKUP($E258,INSUMOS!$B:$E,4,0),IFERROR(VLOOKUP($E258,COTAÇÕES!$C:$L,10,0),"")))</f>
        <v>47.14</v>
      </c>
      <c r="K258" s="930">
        <f>TRUNC(IF($E258="",IFERROR(VLOOKUP($D258,SERVIÇOS!$C:$H,4,0),IFERROR(VLOOKUP($D258,$F:$M,6,0),)),IFERROR(VLOOKUP($E258,INSUMOS!$B:$E,4,0),IFERROR(VLOOKUP($E258,COTAÇÕES!$C:$L,10,0),)))*$I258,2)</f>
        <v>49.49</v>
      </c>
      <c r="L258" s="931">
        <f>TRUNC(IF($E258="",IFERROR(VLOOKUP($D258,SERVIÇOS!$C:$H,5,0),IFERROR(VLOOKUP($D258,$F:$M,7,0),)),0)*$I258,2)</f>
        <v>0</v>
      </c>
      <c r="M258" s="932">
        <f>K258+L258</f>
        <v>49.49</v>
      </c>
      <c r="N258" s="933" t="s">
        <v>6845</v>
      </c>
      <c r="O258" s="954"/>
    </row>
    <row r="259" spans="2:15">
      <c r="B259" s="122">
        <f t="shared" si="127"/>
        <v>54.64</v>
      </c>
      <c r="C259" s="611" t="str">
        <f t="shared" ref="C259:C265" si="128">IF(D259&lt;&gt;"","C",IF(E259&lt;&gt;"","I",""))</f>
        <v>I</v>
      </c>
      <c r="D259" s="660"/>
      <c r="E259" s="661">
        <v>5061</v>
      </c>
      <c r="F259" s="612"/>
      <c r="G259" s="613" t="str">
        <f>IF($E259="",IFERROR(VLOOKUP($D259,SERVIÇOS!$C:$H,2,0),IFERROR(VLOOKUP($D259,$F:$M,2,0),"")),IFERROR(VLOOKUP($E259,INSUMOS!$B:$E,2,0),IFERROR(VLOOKUP($E259,COTAÇÕES!$C:$L,2,0),"")))</f>
        <v xml:space="preserve">PREGO DE ACO POLIDO COM CABECA 18 X 27 (2 1/2 X 10)                                                                                                                                                                                                                                                                                                                                                                                                                                                       </v>
      </c>
      <c r="H259" s="593" t="str">
        <f>IF($E259="",IFERROR(VLOOKUP($D259,SERVIÇOS!$C:$H,3,0),IFERROR(VLOOKUP($D259,$F:$M,3,0),"")),IFERROR(VLOOKUP($E259,INSUMOS!$B:$E,3,0),IFERROR(VLOOKUP($E259,COTAÇÕES!$C:$L,5,0),"")))</f>
        <v xml:space="preserve">KG    </v>
      </c>
      <c r="I259" s="614">
        <v>8.0000000000000002E-3</v>
      </c>
      <c r="J259" s="670">
        <f>IF($E259="",IFERROR(VLOOKUP($D259,SERVIÇOS!$C:$H,6,0),IFERROR(VLOOKUP($D259,$F:$M,8,0),"")),IFERROR(VLOOKUP($E259,INSUMOS!$B:$E,4,0),IFERROR(VLOOKUP($E259,COTAÇÕES!$C:$L,10,0),"")))</f>
        <v>20.67</v>
      </c>
      <c r="K259" s="615">
        <f>TRUNC(IF($E259="",IFERROR(VLOOKUP($D259,SERVIÇOS!$C:$H,4,0),IFERROR(VLOOKUP($D259,$F:$M,6,0),)),IFERROR(VLOOKUP($E259,INSUMOS!$B:$E,4,0),IFERROR(VLOOKUP($E259,COTAÇÕES!$C:$L,10,0),)))*$I259,2)</f>
        <v>0.16</v>
      </c>
      <c r="L259" s="616">
        <f>TRUNC(IF($E259="",IFERROR(VLOOKUP($D259,SERVIÇOS!$C:$H,5,0),IFERROR(VLOOKUP($D259,$F:$M,7,0),)),0)*$I259,2)</f>
        <v>0</v>
      </c>
      <c r="M259" s="617">
        <f t="shared" ref="M259:M265" si="129">K259+L259</f>
        <v>0.16</v>
      </c>
      <c r="N259" s="753" t="str">
        <f t="shared" si="126"/>
        <v>INSUMO SINAPI</v>
      </c>
      <c r="O259" s="648"/>
    </row>
    <row r="260" spans="2:15">
      <c r="B260" s="122">
        <f t="shared" si="127"/>
        <v>54.64</v>
      </c>
      <c r="C260" s="611" t="str">
        <f t="shared" si="128"/>
        <v>I</v>
      </c>
      <c r="D260" s="660"/>
      <c r="E260" s="661">
        <v>5104</v>
      </c>
      <c r="F260" s="612"/>
      <c r="G260" s="613" t="str">
        <f>IF($E260="",IFERROR(VLOOKUP($D260,SERVIÇOS!$C:$H,2,0),IFERROR(VLOOKUP($D260,$F:$M,2,0),"")),IFERROR(VLOOKUP($E260,INSUMOS!$B:$E,2,0),IFERROR(VLOOKUP($E260,COTAÇÕES!$C:$L,2,0),"")))</f>
        <v xml:space="preserve">REBITE DE ALUMINIO VAZADO DE REPUXO, 3,2 X 8 MM (1KG = 1025 UNIDADES)                                                                                                                                                                                                                                                                                                                                                                                                                                     </v>
      </c>
      <c r="H260" s="593" t="str">
        <f>IF($E260="",IFERROR(VLOOKUP($D260,SERVIÇOS!$C:$H,3,0),IFERROR(VLOOKUP($D260,$F:$M,3,0),"")),IFERROR(VLOOKUP($E260,INSUMOS!$B:$E,3,0),IFERROR(VLOOKUP($E260,COTAÇÕES!$C:$L,5,0),"")))</f>
        <v xml:space="preserve">KG    </v>
      </c>
      <c r="I260" s="614">
        <v>1.6000000000000001E-3</v>
      </c>
      <c r="J260" s="670">
        <f>IF($E260="",IFERROR(VLOOKUP($D260,SERVIÇOS!$C:$H,6,0),IFERROR(VLOOKUP($D260,$F:$M,8,0),"")),IFERROR(VLOOKUP($E260,INSUMOS!$B:$E,4,0),IFERROR(VLOOKUP($E260,COTAÇÕES!$C:$L,10,0),"")))</f>
        <v>74.69</v>
      </c>
      <c r="K260" s="615">
        <f>TRUNC(IF($E260="",IFERROR(VLOOKUP($D260,SERVIÇOS!$C:$H,4,0),IFERROR(VLOOKUP($D260,$F:$M,6,0),)),IFERROR(VLOOKUP($E260,INSUMOS!$B:$E,4,0),IFERROR(VLOOKUP($E260,COTAÇÕES!$C:$L,10,0),)))*$I260,2)</f>
        <v>0.11</v>
      </c>
      <c r="L260" s="616">
        <f>TRUNC(IF($E260="",IFERROR(VLOOKUP($D260,SERVIÇOS!$C:$H,5,0),IFERROR(VLOOKUP($D260,$F:$M,7,0),)),0)*$I260,2)</f>
        <v>0</v>
      </c>
      <c r="M260" s="617">
        <f t="shared" si="129"/>
        <v>0.11</v>
      </c>
      <c r="N260" s="753" t="str">
        <f t="shared" si="126"/>
        <v>INSUMO SINAPI</v>
      </c>
      <c r="O260" s="648"/>
    </row>
    <row r="261" spans="2:15">
      <c r="B261" s="122">
        <f t="shared" si="127"/>
        <v>54.64</v>
      </c>
      <c r="C261" s="611" t="str">
        <f t="shared" si="128"/>
        <v>I</v>
      </c>
      <c r="D261" s="660"/>
      <c r="E261" s="661">
        <v>13388</v>
      </c>
      <c r="F261" s="612"/>
      <c r="G261" s="613" t="str">
        <f>IF($E261="",IFERROR(VLOOKUP($D261,SERVIÇOS!$C:$H,2,0),IFERROR(VLOOKUP($D261,$F:$M,2,0),"")),IFERROR(VLOOKUP($E261,INSUMOS!$B:$E,2,0),IFERROR(VLOOKUP($E261,COTAÇÕES!$C:$L,2,0),"")))</f>
        <v xml:space="preserve">SOLDA EM BARRA DE ESTANHO-CHUMBO 50/50                                                                                                                                                                                                                                                                                                                                                                                                                                                                    </v>
      </c>
      <c r="H261" s="593" t="str">
        <f>IF($E261="",IFERROR(VLOOKUP($D261,SERVIÇOS!$C:$H,3,0),IFERROR(VLOOKUP($D261,$F:$M,3,0),"")),IFERROR(VLOOKUP($E261,INSUMOS!$B:$E,3,0),IFERROR(VLOOKUP($E261,COTAÇÕES!$C:$L,5,0),"")))</f>
        <v xml:space="preserve">KG    </v>
      </c>
      <c r="I261" s="614">
        <v>5.8999999999999997E-2</v>
      </c>
      <c r="J261" s="670">
        <f>IF($E261="",IFERROR(VLOOKUP($D261,SERVIÇOS!$C:$H,6,0),IFERROR(VLOOKUP($D261,$F:$M,8,0),"")),IFERROR(VLOOKUP($E261,INSUMOS!$B:$E,4,0),IFERROR(VLOOKUP($E261,COTAÇÕES!$C:$L,10,0),"")))</f>
        <v>227.94</v>
      </c>
      <c r="K261" s="615">
        <f>TRUNC(IF($E261="",IFERROR(VLOOKUP($D261,SERVIÇOS!$C:$H,4,0),IFERROR(VLOOKUP($D261,$F:$M,6,0),)),IFERROR(VLOOKUP($E261,INSUMOS!$B:$E,4,0),IFERROR(VLOOKUP($E261,COTAÇÕES!$C:$L,10,0),)))*$I261,2)</f>
        <v>13.44</v>
      </c>
      <c r="L261" s="616">
        <f>TRUNC(IF($E261="",IFERROR(VLOOKUP($D261,SERVIÇOS!$C:$H,5,0),IFERROR(VLOOKUP($D261,$F:$M,7,0),)),0)*$I261,2)</f>
        <v>0</v>
      </c>
      <c r="M261" s="617">
        <f t="shared" si="129"/>
        <v>13.44</v>
      </c>
      <c r="N261" s="753" t="str">
        <f t="shared" si="126"/>
        <v>INSUMO SINAPI</v>
      </c>
      <c r="O261" s="648"/>
    </row>
    <row r="262" spans="2:15">
      <c r="B262" s="122">
        <f t="shared" si="127"/>
        <v>54.64</v>
      </c>
      <c r="C262" s="611" t="str">
        <f t="shared" si="128"/>
        <v>C</v>
      </c>
      <c r="D262" s="660">
        <v>88316</v>
      </c>
      <c r="E262" s="661"/>
      <c r="F262" s="612"/>
      <c r="G262" s="613" t="str">
        <f>IF($E262="",IFERROR(VLOOKUP($D262,SERVIÇOS!$C:$H,2,0),IFERROR(VLOOKUP($D262,$F:$M,2,0),"")),IFERROR(VLOOKUP($E262,INSUMOS!$B:$E,2,0),IFERROR(VLOOKUP($E262,COTAÇÕES!$C:$L,2,0),"")))</f>
        <v>SERVENTE COM ENCARGOS COMPLEMENTARES</v>
      </c>
      <c r="H262" s="593" t="str">
        <f>IF($E262="",IFERROR(VLOOKUP($D262,SERVIÇOS!$C:$H,3,0),IFERROR(VLOOKUP($D262,$F:$M,3,0),"")),IFERROR(VLOOKUP($E262,INSUMOS!$B:$E,3,0),IFERROR(VLOOKUP($E262,COTAÇÕES!$C:$L,5,0),"")))</f>
        <v>H</v>
      </c>
      <c r="I262" s="614">
        <v>0.23899999999999999</v>
      </c>
      <c r="J262" s="670">
        <f>IF($E262="",IFERROR(VLOOKUP($D262,SERVIÇOS!$C:$H,6,0),IFERROR(VLOOKUP($D262,$F:$M,8,0),"")),IFERROR(VLOOKUP($E262,INSUMOS!$B:$E,4,0),IFERROR(VLOOKUP($E262,COTAÇÕES!$C:$L,10,0),"")))</f>
        <v>23.71</v>
      </c>
      <c r="K262" s="615">
        <f>TRUNC(IF($E262="",IFERROR(VLOOKUP($D262,SERVIÇOS!$C:$H,4,0),IFERROR(VLOOKUP($D262,$F:$M,6,0),)),IFERROR(VLOOKUP($E262,INSUMOS!$B:$E,4,0),IFERROR(VLOOKUP($E262,COTAÇÕES!$C:$L,10,0),)))*$I262,2)</f>
        <v>1.55</v>
      </c>
      <c r="L262" s="616">
        <f>TRUNC(IF($E262="",IFERROR(VLOOKUP($D262,SERVIÇOS!$C:$H,5,0),IFERROR(VLOOKUP($D262,$F:$M,7,0),)),0)*$I262,2)</f>
        <v>4.0999999999999996</v>
      </c>
      <c r="M262" s="617">
        <f t="shared" si="129"/>
        <v>5.6499999999999995</v>
      </c>
      <c r="N262" s="753" t="str">
        <f t="shared" si="126"/>
        <v>SERVIÇO SINAPI</v>
      </c>
      <c r="O262" s="648"/>
    </row>
    <row r="263" spans="2:15">
      <c r="B263" s="122">
        <f t="shared" si="127"/>
        <v>54.64</v>
      </c>
      <c r="C263" s="611" t="str">
        <f t="shared" si="128"/>
        <v>C</v>
      </c>
      <c r="D263" s="660">
        <v>88323</v>
      </c>
      <c r="E263" s="661"/>
      <c r="F263" s="612"/>
      <c r="G263" s="613" t="str">
        <f>IF($E263="",IFERROR(VLOOKUP($D263,SERVIÇOS!$C:$H,2,0),IFERROR(VLOOKUP($D263,$F:$M,2,0),"")),IFERROR(VLOOKUP($E263,INSUMOS!$B:$E,2,0),IFERROR(VLOOKUP($E263,COTAÇÕES!$C:$L,2,0),"")))</f>
        <v>TELHADISTA COM ENCARGOS COMPLEMENTARES</v>
      </c>
      <c r="H263" s="593" t="str">
        <f>IF($E263="",IFERROR(VLOOKUP($D263,SERVIÇOS!$C:$H,3,0),IFERROR(VLOOKUP($D263,$F:$M,3,0),"")),IFERROR(VLOOKUP($E263,INSUMOS!$B:$E,3,0),IFERROR(VLOOKUP($E263,COTAÇÕES!$C:$L,5,0),"")))</f>
        <v>H</v>
      </c>
      <c r="I263" s="614">
        <v>0.14499999999999999</v>
      </c>
      <c r="J263" s="670">
        <f>IF($E263="",IFERROR(VLOOKUP($D263,SERVIÇOS!$C:$H,6,0),IFERROR(VLOOKUP($D263,$F:$M,8,0),"")),IFERROR(VLOOKUP($E263,INSUMOS!$B:$E,4,0),IFERROR(VLOOKUP($E263,COTAÇÕES!$C:$L,10,0),"")))</f>
        <v>30.38</v>
      </c>
      <c r="K263" s="615">
        <f>TRUNC(IF($E263="",IFERROR(VLOOKUP($D263,SERVIÇOS!$C:$H,4,0),IFERROR(VLOOKUP($D263,$F:$M,6,0),)),IFERROR(VLOOKUP($E263,INSUMOS!$B:$E,4,0),IFERROR(VLOOKUP($E263,COTAÇÕES!$C:$L,10,0),)))*$I263,2)</f>
        <v>0.94</v>
      </c>
      <c r="L263" s="616">
        <f>TRUNC(IF($E263="",IFERROR(VLOOKUP($D263,SERVIÇOS!$C:$H,5,0),IFERROR(VLOOKUP($D263,$F:$M,7,0),)),0)*$I263,2)</f>
        <v>3.45</v>
      </c>
      <c r="M263" s="617">
        <f t="shared" si="129"/>
        <v>4.3900000000000006</v>
      </c>
      <c r="N263" s="753" t="str">
        <f t="shared" si="126"/>
        <v>SERVIÇO SINAPI</v>
      </c>
      <c r="O263" s="648"/>
    </row>
    <row r="264" spans="2:15" ht="25.5">
      <c r="B264" s="122">
        <f t="shared" si="127"/>
        <v>54.64</v>
      </c>
      <c r="C264" s="611" t="str">
        <f t="shared" si="128"/>
        <v>C</v>
      </c>
      <c r="D264" s="660">
        <v>93281</v>
      </c>
      <c r="E264" s="661"/>
      <c r="F264" s="612"/>
      <c r="G264" s="613" t="str">
        <f>IF($E264="",IFERROR(VLOOKUP($D264,SERVIÇOS!$C:$H,2,0),IFERROR(VLOOKUP($D264,$F:$M,2,0),"")),IFERROR(VLOOKUP($E264,INSUMOS!$B:$E,2,0),IFERROR(VLOOKUP($E264,COTAÇÕES!$C:$L,2,0),"")))</f>
        <v>GUINCHO ELÉTRICO DE COLUNA, CAPACIDADE 400 KG, COM MOTO FREIO, MOTOR TRIFÁSICO DE 1,25 CV - CHP DIURNO. AF_03/2016</v>
      </c>
      <c r="H264" s="593" t="str">
        <f>IF($E264="",IFERROR(VLOOKUP($D264,SERVIÇOS!$C:$H,3,0),IFERROR(VLOOKUP($D264,$F:$M,3,0),"")),IFERROR(VLOOKUP($E264,INSUMOS!$B:$E,3,0),IFERROR(VLOOKUP($E264,COTAÇÕES!$C:$L,5,0),"")))</f>
        <v>CHP</v>
      </c>
      <c r="I264" s="614">
        <v>1.32E-2</v>
      </c>
      <c r="J264" s="670">
        <f>IF($E264="",IFERROR(VLOOKUP($D264,SERVIÇOS!$C:$H,6,0),IFERROR(VLOOKUP($D264,$F:$M,8,0),"")),IFERROR(VLOOKUP($E264,INSUMOS!$B:$E,4,0),IFERROR(VLOOKUP($E264,COTAÇÕES!$C:$L,10,0),"")))</f>
        <v>29.56</v>
      </c>
      <c r="K264" s="615">
        <f>TRUNC(IF($E264="",IFERROR(VLOOKUP($D264,SERVIÇOS!$C:$H,4,0),IFERROR(VLOOKUP($D264,$F:$M,6,0),)),IFERROR(VLOOKUP($E264,INSUMOS!$B:$E,4,0),IFERROR(VLOOKUP($E264,COTAÇÕES!$C:$L,10,0),)))*$I264,2)</f>
        <v>0.09</v>
      </c>
      <c r="L264" s="616">
        <f>TRUNC(IF($E264="",IFERROR(VLOOKUP($D264,SERVIÇOS!$C:$H,5,0),IFERROR(VLOOKUP($D264,$F:$M,7,0),)),0)*$I264,2)</f>
        <v>0.28999999999999998</v>
      </c>
      <c r="M264" s="617">
        <f t="shared" si="129"/>
        <v>0.38</v>
      </c>
      <c r="N264" s="753" t="str">
        <f t="shared" si="126"/>
        <v>SERVIÇO SINAPI</v>
      </c>
      <c r="O264" s="648"/>
    </row>
    <row r="265" spans="2:15" ht="25.5">
      <c r="B265" s="122">
        <f t="shared" si="127"/>
        <v>54.64</v>
      </c>
      <c r="C265" s="611" t="str">
        <f t="shared" si="128"/>
        <v>C</v>
      </c>
      <c r="D265" s="660">
        <v>93282</v>
      </c>
      <c r="E265" s="661"/>
      <c r="F265" s="612"/>
      <c r="G265" s="613" t="str">
        <f>IF($E265="",IFERROR(VLOOKUP($D265,SERVIÇOS!$C:$H,2,0),IFERROR(VLOOKUP($D265,$F:$M,2,0),"")),IFERROR(VLOOKUP($E265,INSUMOS!$B:$E,2,0),IFERROR(VLOOKUP($E265,COTAÇÕES!$C:$L,2,0),"")))</f>
        <v>GUINCHO ELÉTRICO DE COLUNA, CAPACIDADE 400 KG, COM MOTO FREIO, MOTOR TRIFÁSICO DE 1,25 CV - CHI DIURNO. AF_03/2016</v>
      </c>
      <c r="H265" s="593" t="str">
        <f>IF($E265="",IFERROR(VLOOKUP($D265,SERVIÇOS!$C:$H,3,0),IFERROR(VLOOKUP($D265,$F:$M,3,0),"")),IFERROR(VLOOKUP($E265,INSUMOS!$B:$E,3,0),IFERROR(VLOOKUP($E265,COTAÇÕES!$C:$L,5,0),"")))</f>
        <v>CHI</v>
      </c>
      <c r="I265" s="614">
        <v>1.83E-2</v>
      </c>
      <c r="J265" s="670">
        <f>IF($E265="",IFERROR(VLOOKUP($D265,SERVIÇOS!$C:$H,6,0),IFERROR(VLOOKUP($D265,$F:$M,8,0),"")),IFERROR(VLOOKUP($E265,INSUMOS!$B:$E,4,0),IFERROR(VLOOKUP($E265,COTAÇÕES!$C:$L,10,0),"")))</f>
        <v>28.62</v>
      </c>
      <c r="K265" s="615">
        <f>TRUNC(IF($E265="",IFERROR(VLOOKUP($D265,SERVIÇOS!$C:$H,4,0),IFERROR(VLOOKUP($D265,$F:$M,6,0),)),IFERROR(VLOOKUP($E265,INSUMOS!$B:$E,4,0),IFERROR(VLOOKUP($E265,COTAÇÕES!$C:$L,10,0),)))*$I265,2)</f>
        <v>0.1</v>
      </c>
      <c r="L265" s="616">
        <f>TRUNC(IF($E265="",IFERROR(VLOOKUP($D265,SERVIÇOS!$C:$H,5,0),IFERROR(VLOOKUP($D265,$F:$M,7,0),)),0)*$I265,2)</f>
        <v>0.41</v>
      </c>
      <c r="M265" s="617">
        <f t="shared" si="129"/>
        <v>0.51</v>
      </c>
      <c r="N265" s="753" t="str">
        <f t="shared" si="126"/>
        <v>SERVIÇO SINAPI</v>
      </c>
      <c r="O265" s="648"/>
    </row>
    <row r="266" spans="2:15" ht="25.5">
      <c r="B266" s="769">
        <f>SUMIF(ORC!$G$11:$G$2470,CPU!$F266,ORC!$J$11:$J$2470)</f>
        <v>478.73</v>
      </c>
      <c r="C266" s="515" t="s">
        <v>2239</v>
      </c>
      <c r="D266" s="515"/>
      <c r="E266" s="515"/>
      <c r="F266" s="515" t="s">
        <v>8393</v>
      </c>
      <c r="G266" s="594" t="s">
        <v>8416</v>
      </c>
      <c r="H266" s="458" t="s">
        <v>649</v>
      </c>
      <c r="I266" s="595"/>
      <c r="J266" s="596"/>
      <c r="K266" s="597">
        <f>SUM(K267:K268)</f>
        <v>40.26</v>
      </c>
      <c r="L266" s="597">
        <f>SUM(L267:L268)</f>
        <v>3.06</v>
      </c>
      <c r="M266" s="596">
        <f>SUM(K266:L266)</f>
        <v>43.32</v>
      </c>
      <c r="N266" s="598" t="s">
        <v>8375</v>
      </c>
      <c r="O266" s="599"/>
    </row>
    <row r="267" spans="2:15" ht="25.5">
      <c r="B267" s="122">
        <f t="shared" ref="B267:B268" si="130">B266</f>
        <v>478.73</v>
      </c>
      <c r="C267" s="611" t="str">
        <f>IF(D267&lt;&gt;"","C",IF(E267&lt;&gt;"","I",""))</f>
        <v>C</v>
      </c>
      <c r="D267" s="660">
        <v>100727</v>
      </c>
      <c r="E267" s="661"/>
      <c r="F267" s="612"/>
      <c r="G267" s="613" t="str">
        <f>IF($E267="",IFERROR(VLOOKUP($D267,SERVIÇOS!$C:$H,2,0),IFERROR(VLOOKUP($D267,$F:$M,2,0),"")),IFERROR(VLOOKUP($E267,INSUMOS!$B:$E,2,0),IFERROR(VLOOKUP($E267,COTAÇÕES!$C:$L,2,0),"")))</f>
        <v>PINTURA COM TINTA EPOXÍDICA DE FUNDO PULVERIZADA SOBRE PERFIL METÁLICO EXECUTADO EM FÁBRICA (POR DEMÃO). AF_01/2020_P</v>
      </c>
      <c r="H267" s="593" t="str">
        <f>IF($E267="",IFERROR(VLOOKUP($D267,SERVIÇOS!$C:$H,3,0),IFERROR(VLOOKUP($D267,$F:$M,3,0),"")),IFERROR(VLOOKUP($E267,INSUMOS!$B:$E,3,0),IFERROR(VLOOKUP($E267,COTAÇÕES!$C:$L,5,0),"")))</f>
        <v>M2</v>
      </c>
      <c r="I267" s="614">
        <v>1</v>
      </c>
      <c r="J267" s="670">
        <f>IF($E267="",IFERROR(VLOOKUP($D267,SERVIÇOS!$C:$H,6,0),IFERROR(VLOOKUP($D267,$F:$M,8,0),"")),IFERROR(VLOOKUP($E267,INSUMOS!$B:$E,4,0),IFERROR(VLOOKUP($E267,COTAÇÕES!$C:$L,10,0),"")))</f>
        <v>24.61</v>
      </c>
      <c r="K267" s="615">
        <f>TRUNC(IF($E267="",IFERROR(VLOOKUP($D267,SERVIÇOS!$C:$H,4,0),IFERROR(VLOOKUP($D267,$F:$M,6,0),)),IFERROR(VLOOKUP($E267,INSUMOS!$B:$E,4,0),IFERROR(VLOOKUP($E267,COTAÇÕES!$C:$L,10,0),)))*$I267,2)</f>
        <v>23.08</v>
      </c>
      <c r="L267" s="616">
        <f>TRUNC(IF($E267="",IFERROR(VLOOKUP($D267,SERVIÇOS!$C:$H,5,0),IFERROR(VLOOKUP($D267,$F:$M,7,0),)),0)*$I267,2)</f>
        <v>1.53</v>
      </c>
      <c r="M267" s="617">
        <f>K267+L267</f>
        <v>24.61</v>
      </c>
      <c r="N267" s="753" t="str">
        <f t="shared" si="126"/>
        <v>SERVIÇO SINAPI</v>
      </c>
      <c r="O267" s="648"/>
    </row>
    <row r="268" spans="2:15" ht="25.5">
      <c r="B268" s="122">
        <f t="shared" si="130"/>
        <v>478.73</v>
      </c>
      <c r="C268" s="611" t="str">
        <f>IF(D268&lt;&gt;"","C",IF(E268&lt;&gt;"","I",""))</f>
        <v>C</v>
      </c>
      <c r="D268" s="660">
        <v>100729</v>
      </c>
      <c r="E268" s="661"/>
      <c r="F268" s="612"/>
      <c r="G268" s="613" t="str">
        <f>IF($E268="",IFERROR(VLOOKUP($D268,SERVIÇOS!$C:$H,2,0),IFERROR(VLOOKUP($D268,$F:$M,2,0),"")),IFERROR(VLOOKUP($E268,INSUMOS!$B:$E,2,0),IFERROR(VLOOKUP($E268,COTAÇÕES!$C:$L,2,0),"")))</f>
        <v>PINTURA COM TINTA EPOXÍDICA DE ACABAMENTO PULVERIZADA SOBRE PERFIL METÁLICO EXECUTADO EM FÁBRICA (POR DEMÃO). AF_01/2020_P</v>
      </c>
      <c r="H268" s="593" t="str">
        <f>IF($E268="",IFERROR(VLOOKUP($D268,SERVIÇOS!$C:$H,3,0),IFERROR(VLOOKUP($D268,$F:$M,3,0),"")),IFERROR(VLOOKUP($E268,INSUMOS!$B:$E,3,0),IFERROR(VLOOKUP($E268,COTAÇÕES!$C:$L,5,0),"")))</f>
        <v>M2</v>
      </c>
      <c r="I268" s="614">
        <v>1</v>
      </c>
      <c r="J268" s="670">
        <f>IF($E268="",IFERROR(VLOOKUP($D268,SERVIÇOS!$C:$H,6,0),IFERROR(VLOOKUP($D268,$F:$M,8,0),"")),IFERROR(VLOOKUP($E268,INSUMOS!$B:$E,4,0),IFERROR(VLOOKUP($E268,COTAÇÕES!$C:$L,10,0),"")))</f>
        <v>18.71</v>
      </c>
      <c r="K268" s="615">
        <f>TRUNC(IF($E268="",IFERROR(VLOOKUP($D268,SERVIÇOS!$C:$H,4,0),IFERROR(VLOOKUP($D268,$F:$M,6,0),)),IFERROR(VLOOKUP($E268,INSUMOS!$B:$E,4,0),IFERROR(VLOOKUP($E268,COTAÇÕES!$C:$L,10,0),)))*$I268,2)</f>
        <v>17.18</v>
      </c>
      <c r="L268" s="616">
        <f>TRUNC(IF($E268="",IFERROR(VLOOKUP($D268,SERVIÇOS!$C:$H,5,0),IFERROR(VLOOKUP($D268,$F:$M,7,0),)),0)*$I268,2)</f>
        <v>1.53</v>
      </c>
      <c r="M268" s="617">
        <f>K268+L268</f>
        <v>18.71</v>
      </c>
      <c r="N268" s="753" t="str">
        <f t="shared" si="126"/>
        <v>SERVIÇO SINAPI</v>
      </c>
      <c r="O268" s="648"/>
    </row>
    <row r="269" spans="2:15">
      <c r="B269" s="769">
        <f>SUMIF(ORC!$G$11:$G$2470,CPU!$F269,ORC!$J$11:$J$2470)</f>
        <v>478.73</v>
      </c>
      <c r="C269" s="515" t="s">
        <v>2239</v>
      </c>
      <c r="D269" s="515"/>
      <c r="E269" s="515"/>
      <c r="F269" s="515" t="s">
        <v>8415</v>
      </c>
      <c r="G269" s="594" t="s">
        <v>8417</v>
      </c>
      <c r="H269" s="458" t="s">
        <v>649</v>
      </c>
      <c r="I269" s="595"/>
      <c r="J269" s="596"/>
      <c r="K269" s="597">
        <f>SUM(K270:K272)</f>
        <v>17.679999999999996</v>
      </c>
      <c r="L269" s="597">
        <f>SUM(L270:L272)</f>
        <v>1.53</v>
      </c>
      <c r="M269" s="596">
        <f>SUM(K269:L269)</f>
        <v>19.209999999999997</v>
      </c>
      <c r="N269" s="598" t="s">
        <v>8418</v>
      </c>
      <c r="O269" s="599"/>
    </row>
    <row r="270" spans="2:15" ht="25.5">
      <c r="B270" s="122">
        <f t="shared" ref="B270:B272" si="131">B269</f>
        <v>478.73</v>
      </c>
      <c r="C270" s="611" t="str">
        <f>IF(D270&lt;&gt;"","C",IF(E270&lt;&gt;"","I",""))</f>
        <v>I</v>
      </c>
      <c r="D270" s="660"/>
      <c r="E270" s="661" t="s">
        <v>9038</v>
      </c>
      <c r="F270" s="612"/>
      <c r="G270" s="613" t="str">
        <f>IF($E270="",IFERROR(VLOOKUP($D270,SERVIÇOS!$C:$H,2,0),IFERROR(VLOOKUP($D270,$F:$M,2,0),"")),IFERROR(VLOOKUP($E270,INSUMOS!$B:$E,2,0),IFERROR(VLOOKUP($E270,COTAÇÕES!$C:$L,2,0),"")))</f>
        <v>TINTA POLIURETANO ACRÍLICO BICOMPONENTE, ADPOLY 7990 ADVANCE 40 MICRAS, OU EQUIVALENTE TÉCNICO</v>
      </c>
      <c r="H270" s="593" t="str">
        <f>IF($E270="",IFERROR(VLOOKUP($D270,SERVIÇOS!$C:$H,3,0),IFERROR(VLOOKUP($D270,$F:$M,3,0),"")),IFERROR(VLOOKUP($E270,INSUMOS!$B:$E,3,0),IFERROR(VLOOKUP($E270,COTAÇÕES!$C:$L,5,0),"")))</f>
        <v>L</v>
      </c>
      <c r="I270" s="614">
        <v>5.8400000000000001E-2</v>
      </c>
      <c r="J270" s="670">
        <f>IF($E270="",IFERROR(VLOOKUP($D270,SERVIÇOS!$C:$H,6,0),IFERROR(VLOOKUP($D270,$F:$M,8,0),"")),IFERROR(VLOOKUP($E270,INSUMOS!$B:$E,4,0),IFERROR(VLOOKUP($E270,COTAÇÕES!$C:$L,10,0),"")))</f>
        <v>103.09351851851851</v>
      </c>
      <c r="K270" s="615">
        <f>TRUNC(IF($E270="",IFERROR(VLOOKUP($D270,SERVIÇOS!$C:$H,4,0),IFERROR(VLOOKUP($D270,$F:$M,6,0),)),IFERROR(VLOOKUP($E270,INSUMOS!$B:$E,4,0),IFERROR(VLOOKUP($E270,COTAÇÕES!$C:$L,10,0),)))*$I270,2)</f>
        <v>6.02</v>
      </c>
      <c r="L270" s="616">
        <f>TRUNC(IF($E270="",IFERROR(VLOOKUP($D270,SERVIÇOS!$C:$H,5,0),IFERROR(VLOOKUP($D270,$F:$M,7,0),)),0)*$I270,2)</f>
        <v>0</v>
      </c>
      <c r="M270" s="617">
        <f>K270+L270</f>
        <v>6.02</v>
      </c>
      <c r="N270" s="753" t="s">
        <v>6845</v>
      </c>
      <c r="O270" s="648"/>
    </row>
    <row r="271" spans="2:15">
      <c r="B271" s="122">
        <f t="shared" si="131"/>
        <v>478.73</v>
      </c>
      <c r="C271" s="611" t="str">
        <f>IF(D271&lt;&gt;"","C",IF(E271&lt;&gt;"","I",""))</f>
        <v>I</v>
      </c>
      <c r="D271" s="660"/>
      <c r="E271" s="661" t="s">
        <v>9039</v>
      </c>
      <c r="F271" s="612"/>
      <c r="G271" s="613" t="str">
        <f>IF($E271="",IFERROR(VLOOKUP($D271,SERVIÇOS!$C:$H,2,0),IFERROR(VLOOKUP($D271,$F:$M,2,0),"")),IFERROR(VLOOKUP($E271,INSUMOS!$B:$E,2,0),IFERROR(VLOOKUP($E271,COTAÇÕES!$C:$L,2,0),"")))</f>
        <v>DILUENTE PARA PU POLIURETANO ADVANCE 400 OU EQUIVALENTE TÉCNICO</v>
      </c>
      <c r="H271" s="593" t="str">
        <f>IF($E271="",IFERROR(VLOOKUP($D271,SERVIÇOS!$C:$H,3,0),IFERROR(VLOOKUP($D271,$F:$M,3,0),"")),IFERROR(VLOOKUP($E271,INSUMOS!$B:$E,3,0),IFERROR(VLOOKUP($E271,COTAÇÕES!$C:$L,5,0),"")))</f>
        <v>L</v>
      </c>
      <c r="I271" s="614">
        <v>0.19450000000000001</v>
      </c>
      <c r="J271" s="670">
        <f>IF($E271="",IFERROR(VLOOKUP($D271,SERVIÇOS!$C:$H,6,0),IFERROR(VLOOKUP($D271,$F:$M,8,0),"")),IFERROR(VLOOKUP($E271,INSUMOS!$B:$E,4,0),IFERROR(VLOOKUP($E271,COTAÇÕES!$C:$L,10,0),"")))</f>
        <v>57.444444444444436</v>
      </c>
      <c r="K271" s="615">
        <f>TRUNC(IF($E271="",IFERROR(VLOOKUP($D271,SERVIÇOS!$C:$H,4,0),IFERROR(VLOOKUP($D271,$F:$M,6,0),)),IFERROR(VLOOKUP($E271,INSUMOS!$B:$E,4,0),IFERROR(VLOOKUP($E271,COTAÇÕES!$C:$L,10,0),)))*$I271,2)</f>
        <v>11.17</v>
      </c>
      <c r="L271" s="616">
        <f>TRUNC(IF($E271="",IFERROR(VLOOKUP($D271,SERVIÇOS!$C:$H,5,0),IFERROR(VLOOKUP($D271,$F:$M,7,0),)),0)*$I271,2)</f>
        <v>0</v>
      </c>
      <c r="M271" s="617">
        <f>K271+L271</f>
        <v>11.17</v>
      </c>
      <c r="N271" s="753" t="s">
        <v>6845</v>
      </c>
      <c r="O271" s="648"/>
    </row>
    <row r="272" spans="2:15">
      <c r="B272" s="122">
        <f t="shared" si="131"/>
        <v>478.73</v>
      </c>
      <c r="C272" s="611" t="str">
        <f>IF(D272&lt;&gt;"","C",IF(E272&lt;&gt;"","I",""))</f>
        <v>C</v>
      </c>
      <c r="D272" s="660">
        <v>88310</v>
      </c>
      <c r="E272" s="661"/>
      <c r="F272" s="612"/>
      <c r="G272" s="613" t="str">
        <f>IF($E272="",IFERROR(VLOOKUP($D272,SERVIÇOS!$C:$H,2,0),IFERROR(VLOOKUP($D272,$F:$M,2,0),"")),IFERROR(VLOOKUP($E272,INSUMOS!$B:$E,2,0),IFERROR(VLOOKUP($E272,COTAÇÕES!$C:$L,2,0),"")))</f>
        <v>PINTOR COM ENCARGOS COMPLEMENTARES</v>
      </c>
      <c r="H272" s="593" t="str">
        <f>IF($E272="",IFERROR(VLOOKUP($D272,SERVIÇOS!$C:$H,3,0),IFERROR(VLOOKUP($D272,$F:$M,3,0),"")),IFERROR(VLOOKUP($E272,INSUMOS!$B:$E,3,0),IFERROR(VLOOKUP($E272,COTAÇÕES!$C:$L,5,0),"")))</f>
        <v>H</v>
      </c>
      <c r="I272" s="614">
        <v>6.3500000000000001E-2</v>
      </c>
      <c r="J272" s="670">
        <f>IF($E272="",IFERROR(VLOOKUP($D272,SERVIÇOS!$C:$H,6,0),IFERROR(VLOOKUP($D272,$F:$M,8,0),"")),IFERROR(VLOOKUP($E272,INSUMOS!$B:$E,4,0),IFERROR(VLOOKUP($E272,COTAÇÕES!$C:$L,10,0),"")))</f>
        <v>32.01</v>
      </c>
      <c r="K272" s="615">
        <f>TRUNC(IF($E272="",IFERROR(VLOOKUP($D272,SERVIÇOS!$C:$H,4,0),IFERROR(VLOOKUP($D272,$F:$M,6,0),)),IFERROR(VLOOKUP($E272,INSUMOS!$B:$E,4,0),IFERROR(VLOOKUP($E272,COTAÇÕES!$C:$L,10,0),)))*$I272,2)</f>
        <v>0.49</v>
      </c>
      <c r="L272" s="616">
        <f>TRUNC(IF($E272="",IFERROR(VLOOKUP($D272,SERVIÇOS!$C:$H,5,0),IFERROR(VLOOKUP($D272,$F:$M,7,0),)),0)*$I272,2)</f>
        <v>1.53</v>
      </c>
      <c r="M272" s="617">
        <f>K272+L272</f>
        <v>2.02</v>
      </c>
      <c r="N272" s="753" t="str">
        <f t="shared" si="126"/>
        <v>SERVIÇO SINAPI</v>
      </c>
      <c r="O272" s="648"/>
    </row>
    <row r="273" spans="2:15" ht="25.5">
      <c r="B273" s="769">
        <f>SUMIF(ORC!$G$11:$G$2470,CPU!$F273,ORC!$J$11:$J$2470)</f>
        <v>10.19</v>
      </c>
      <c r="C273" s="515" t="s">
        <v>2239</v>
      </c>
      <c r="D273" s="515"/>
      <c r="E273" s="515"/>
      <c r="F273" s="515" t="s">
        <v>8465</v>
      </c>
      <c r="G273" s="594" t="s">
        <v>8467</v>
      </c>
      <c r="H273" s="458" t="s">
        <v>649</v>
      </c>
      <c r="I273" s="595"/>
      <c r="J273" s="596"/>
      <c r="K273" s="597">
        <f>SUM(K274:K284)</f>
        <v>110.44999999999999</v>
      </c>
      <c r="L273" s="597">
        <f>SUM(L274:L284)</f>
        <v>16.84</v>
      </c>
      <c r="M273" s="596">
        <f>SUM(K273:L273)</f>
        <v>127.28999999999999</v>
      </c>
      <c r="N273" s="598" t="s">
        <v>8466</v>
      </c>
      <c r="O273" s="599"/>
    </row>
    <row r="274" spans="2:15" ht="25.5">
      <c r="B274" s="122">
        <f t="shared" ref="B274:B284" si="132">B273</f>
        <v>10.19</v>
      </c>
      <c r="C274" s="611" t="str">
        <f t="shared" ref="C274:C284" si="133">IF(D274&lt;&gt;"","C",IF(E274&lt;&gt;"","I",""))</f>
        <v>I</v>
      </c>
      <c r="D274" s="660"/>
      <c r="E274" s="661">
        <v>37586</v>
      </c>
      <c r="F274" s="612"/>
      <c r="G274" s="613" t="str">
        <f>IF($E274="",IFERROR(VLOOKUP($D274,SERVIÇOS!$C:$H,2,0),IFERROR(VLOOKUP($D274,$F:$M,2,0),"")),IFERROR(VLOOKUP($E274,INSUMOS!$B:$E,2,0),IFERROR(VLOOKUP($E274,COTAÇÕES!$C:$L,2,0),"")))</f>
        <v xml:space="preserve">PINO DE ACO COM ARRUELA CONICA, DIAMETRO ARRUELA = *23* MM E COMP HASTE = *27* MM (ACAO INDIRETA)                                                                                                                                                                                                                                                                                                                                                                                                         </v>
      </c>
      <c r="H274" s="593" t="str">
        <f>IF($E274="",IFERROR(VLOOKUP($D274,SERVIÇOS!$C:$H,3,0),IFERROR(VLOOKUP($D274,$F:$M,3,0),"")),IFERROR(VLOOKUP($E274,INSUMOS!$B:$E,3,0),IFERROR(VLOOKUP($E274,COTAÇÕES!$C:$L,5,0),"")))</f>
        <v xml:space="preserve">CENTO </v>
      </c>
      <c r="I274" s="614">
        <v>2.9000000000000001E-2</v>
      </c>
      <c r="J274" s="670">
        <f>IF($E274="",IFERROR(VLOOKUP($D274,SERVIÇOS!$C:$H,6,0),IFERROR(VLOOKUP($D274,$F:$M,8,0),"")),IFERROR(VLOOKUP($E274,INSUMOS!$B:$E,4,0),IFERROR(VLOOKUP($E274,COTAÇÕES!$C:$L,10,0),"")))</f>
        <v>46.91</v>
      </c>
      <c r="K274" s="615">
        <f>TRUNC(IF($E274="",IFERROR(VLOOKUP($D274,SERVIÇOS!$C:$H,4,0),IFERROR(VLOOKUP($D274,$F:$M,6,0),)),IFERROR(VLOOKUP($E274,INSUMOS!$B:$E,4,0),IFERROR(VLOOKUP($E274,COTAÇÕES!$C:$L,10,0),)))*$I274,2)</f>
        <v>1.36</v>
      </c>
      <c r="L274" s="616">
        <f>TRUNC(IF($E274="",IFERROR(VLOOKUP($D274,SERVIÇOS!$C:$H,5,0),IFERROR(VLOOKUP($D274,$F:$M,7,0),)),0)*$I274,2)</f>
        <v>0</v>
      </c>
      <c r="M274" s="617">
        <f t="shared" ref="M274:M284" si="134">K274+L274</f>
        <v>1.36</v>
      </c>
      <c r="N274" s="753" t="str">
        <f t="shared" ref="N274:N284" si="135">IF($D274&lt;&gt;"","SERVIÇO SINAPI",IF($E274&lt;&gt;"","INSUMO SINAPI",""))</f>
        <v>INSUMO SINAPI</v>
      </c>
      <c r="O274" s="648"/>
    </row>
    <row r="275" spans="2:15" ht="25.5">
      <c r="B275" s="122">
        <f t="shared" si="132"/>
        <v>10.19</v>
      </c>
      <c r="C275" s="611" t="str">
        <f t="shared" si="133"/>
        <v>I</v>
      </c>
      <c r="D275" s="660"/>
      <c r="E275" s="661">
        <v>39413</v>
      </c>
      <c r="F275" s="612"/>
      <c r="G275" s="613" t="str">
        <f>IF($E275="",IFERROR(VLOOKUP($D275,SERVIÇOS!$C:$H,2,0),IFERROR(VLOOKUP($D275,$F:$M,2,0),"")),IFERROR(VLOOKUP($E275,INSUMOS!$B:$E,2,0),IFERROR(VLOOKUP($E275,COTAÇÕES!$C:$L,2,0),"")))</f>
        <v xml:space="preserve">PLACA / CHAPA DE GESSO ACARTONADO, STANDARD (ST), COR BRANCA, E = 12,5 MM, 1200 X 2400 MM (L X C)                                                                                                                                                                                                                                                                                                                                                                                                         </v>
      </c>
      <c r="H275" s="593" t="str">
        <f>IF($E275="",IFERROR(VLOOKUP($D275,SERVIÇOS!$C:$H,3,0),IFERROR(VLOOKUP($D275,$F:$M,3,0),"")),IFERROR(VLOOKUP($E275,INSUMOS!$B:$E,3,0),IFERROR(VLOOKUP($E275,COTAÇÕES!$C:$L,5,0),"")))</f>
        <v xml:space="preserve">M2    </v>
      </c>
      <c r="I275" s="614">
        <v>2.1059999999999999</v>
      </c>
      <c r="J275" s="670">
        <f>IF($E275="",IFERROR(VLOOKUP($D275,SERVIÇOS!$C:$H,6,0),IFERROR(VLOOKUP($D275,$F:$M,8,0),"")),IFERROR(VLOOKUP($E275,INSUMOS!$B:$E,4,0),IFERROR(VLOOKUP($E275,COTAÇÕES!$C:$L,10,0),"")))</f>
        <v>19.52</v>
      </c>
      <c r="K275" s="615">
        <f>TRUNC(IF($E275="",IFERROR(VLOOKUP($D275,SERVIÇOS!$C:$H,4,0),IFERROR(VLOOKUP($D275,$F:$M,6,0),)),IFERROR(VLOOKUP($E275,INSUMOS!$B:$E,4,0),IFERROR(VLOOKUP($E275,COTAÇÕES!$C:$L,10,0),)))*$I275,2)</f>
        <v>41.1</v>
      </c>
      <c r="L275" s="616">
        <f>TRUNC(IF($E275="",IFERROR(VLOOKUP($D275,SERVIÇOS!$C:$H,5,0),IFERROR(VLOOKUP($D275,$F:$M,7,0),)),0)*$I275,2)</f>
        <v>0</v>
      </c>
      <c r="M275" s="617">
        <f t="shared" si="134"/>
        <v>41.1</v>
      </c>
      <c r="N275" s="753" t="str">
        <f t="shared" si="135"/>
        <v>INSUMO SINAPI</v>
      </c>
      <c r="O275" s="648"/>
    </row>
    <row r="276" spans="2:15" ht="25.5">
      <c r="B276" s="122">
        <f t="shared" si="132"/>
        <v>10.19</v>
      </c>
      <c r="C276" s="611" t="str">
        <f t="shared" si="133"/>
        <v>I</v>
      </c>
      <c r="D276" s="660"/>
      <c r="E276" s="661">
        <v>39420</v>
      </c>
      <c r="F276" s="612"/>
      <c r="G276" s="613" t="str">
        <f>IF($E276="",IFERROR(VLOOKUP($D276,SERVIÇOS!$C:$H,2,0),IFERROR(VLOOKUP($D276,$F:$M,2,0),"")),IFERROR(VLOOKUP($E276,INSUMOS!$B:$E,2,0),IFERROR(VLOOKUP($E276,COTAÇÕES!$C:$L,2,0),"")))</f>
        <v xml:space="preserve">PERFIL GUIA, FORMATO U, EM ACO ZINCADO, PARA ESTRUTURA PAREDE DRYWALL, E = 0,5 MM, 90 X 3000 MM (L X C)                                                                                                                                                                                                                                                                                                                                                                                                   </v>
      </c>
      <c r="H276" s="593" t="str">
        <f>IF($E276="",IFERROR(VLOOKUP($D276,SERVIÇOS!$C:$H,3,0),IFERROR(VLOOKUP($D276,$F:$M,3,0),"")),IFERROR(VLOOKUP($E276,INSUMOS!$B:$E,3,0),IFERROR(VLOOKUP($E276,COTAÇÕES!$C:$L,5,0),"")))</f>
        <v xml:space="preserve">M     </v>
      </c>
      <c r="I276" s="614">
        <v>0.9093</v>
      </c>
      <c r="J276" s="670">
        <f>IF($E276="",IFERROR(VLOOKUP($D276,SERVIÇOS!$C:$H,6,0),IFERROR(VLOOKUP($D276,$F:$M,8,0),"")),IFERROR(VLOOKUP($E276,INSUMOS!$B:$E,4,0),IFERROR(VLOOKUP($E276,COTAÇÕES!$C:$L,10,0),"")))</f>
        <v>12.66</v>
      </c>
      <c r="K276" s="615">
        <f>TRUNC(IF($E276="",IFERROR(VLOOKUP($D276,SERVIÇOS!$C:$H,4,0),IFERROR(VLOOKUP($D276,$F:$M,6,0),)),IFERROR(VLOOKUP($E276,INSUMOS!$B:$E,4,0),IFERROR(VLOOKUP($E276,COTAÇÕES!$C:$L,10,0),)))*$I276,2)</f>
        <v>11.51</v>
      </c>
      <c r="L276" s="616">
        <f>TRUNC(IF($E276="",IFERROR(VLOOKUP($D276,SERVIÇOS!$C:$H,5,0),IFERROR(VLOOKUP($D276,$F:$M,7,0),)),0)*$I276,2)</f>
        <v>0</v>
      </c>
      <c r="M276" s="617">
        <f t="shared" si="134"/>
        <v>11.51</v>
      </c>
      <c r="N276" s="753" t="str">
        <f t="shared" si="135"/>
        <v>INSUMO SINAPI</v>
      </c>
      <c r="O276" s="648"/>
    </row>
    <row r="277" spans="2:15" ht="25.5">
      <c r="B277" s="122">
        <f t="shared" si="132"/>
        <v>10.19</v>
      </c>
      <c r="C277" s="611" t="str">
        <f t="shared" si="133"/>
        <v>I</v>
      </c>
      <c r="D277" s="660"/>
      <c r="E277" s="661">
        <v>39423</v>
      </c>
      <c r="F277" s="612"/>
      <c r="G277" s="613" t="str">
        <f>IF($E277="",IFERROR(VLOOKUP($D277,SERVIÇOS!$C:$H,2,0),IFERROR(VLOOKUP($D277,$F:$M,2,0),"")),IFERROR(VLOOKUP($E277,INSUMOS!$B:$E,2,0),IFERROR(VLOOKUP($E277,COTAÇÕES!$C:$L,2,0),"")))</f>
        <v xml:space="preserve">PERFIL MONTANTE, FORMATO C, EM ACO ZINCADO, PARA ESTRUTURA PAREDE DRYWALL, E = 0,5 MM, 90 X 3000 MM (L X C)                                                                                                                                                                                                                                                                                                                                                                                               </v>
      </c>
      <c r="H277" s="593" t="str">
        <f>IF($E277="",IFERROR(VLOOKUP($D277,SERVIÇOS!$C:$H,3,0),IFERROR(VLOOKUP($D277,$F:$M,3,0),"")),IFERROR(VLOOKUP($E277,INSUMOS!$B:$E,3,0),IFERROR(VLOOKUP($E277,COTAÇÕES!$C:$L,5,0),"")))</f>
        <v xml:space="preserve">M     </v>
      </c>
      <c r="I277" s="614">
        <v>2.8999000000000001</v>
      </c>
      <c r="J277" s="670">
        <f>IF($E277="",IFERROR(VLOOKUP($D277,SERVIÇOS!$C:$H,6,0),IFERROR(VLOOKUP($D277,$F:$M,8,0),"")),IFERROR(VLOOKUP($E277,INSUMOS!$B:$E,4,0),IFERROR(VLOOKUP($E277,COTAÇÕES!$C:$L,10,0),"")))</f>
        <v>15.1</v>
      </c>
      <c r="K277" s="615">
        <f>TRUNC(IF($E277="",IFERROR(VLOOKUP($D277,SERVIÇOS!$C:$H,4,0),IFERROR(VLOOKUP($D277,$F:$M,6,0),)),IFERROR(VLOOKUP($E277,INSUMOS!$B:$E,4,0),IFERROR(VLOOKUP($E277,COTAÇÕES!$C:$L,10,0),)))*$I277,2)</f>
        <v>43.78</v>
      </c>
      <c r="L277" s="616">
        <f>TRUNC(IF($E277="",IFERROR(VLOOKUP($D277,SERVIÇOS!$C:$H,5,0),IFERROR(VLOOKUP($D277,$F:$M,7,0),)),0)*$I277,2)</f>
        <v>0</v>
      </c>
      <c r="M277" s="617">
        <f t="shared" si="134"/>
        <v>43.78</v>
      </c>
      <c r="N277" s="753" t="str">
        <f t="shared" si="135"/>
        <v>INSUMO SINAPI</v>
      </c>
      <c r="O277" s="648"/>
    </row>
    <row r="278" spans="2:15" ht="25.5">
      <c r="B278" s="122">
        <f t="shared" si="132"/>
        <v>10.19</v>
      </c>
      <c r="C278" s="611" t="str">
        <f t="shared" si="133"/>
        <v>I</v>
      </c>
      <c r="D278" s="660"/>
      <c r="E278" s="661">
        <v>39431</v>
      </c>
      <c r="F278" s="612"/>
      <c r="G278" s="613" t="str">
        <f>IF($E278="",IFERROR(VLOOKUP($D278,SERVIÇOS!$C:$H,2,0),IFERROR(VLOOKUP($D278,$F:$M,2,0),"")),IFERROR(VLOOKUP($E278,INSUMOS!$B:$E,2,0),IFERROR(VLOOKUP($E278,COTAÇÕES!$C:$L,2,0),"")))</f>
        <v xml:space="preserve">FITA DE PAPEL MICROPERFURADO, 50 X 150 MM, PARA TRATAMENTO DE JUNTAS DE CHAPA DE GESSO PARA DRYWALL                                                                                                                                                                                                                                                                                                                                                                                                       </v>
      </c>
      <c r="H278" s="593" t="str">
        <f>IF($E278="",IFERROR(VLOOKUP($D278,SERVIÇOS!$C:$H,3,0),IFERROR(VLOOKUP($D278,$F:$M,3,0),"")),IFERROR(VLOOKUP($E278,INSUMOS!$B:$E,3,0),IFERROR(VLOOKUP($E278,COTAÇÕES!$C:$L,5,0),"")))</f>
        <v xml:space="preserve">M     </v>
      </c>
      <c r="I278" s="614">
        <v>2.5026999999999999</v>
      </c>
      <c r="J278" s="670">
        <f>IF($E278="",IFERROR(VLOOKUP($D278,SERVIÇOS!$C:$H,6,0),IFERROR(VLOOKUP($D278,$F:$M,8,0),"")),IFERROR(VLOOKUP($E278,INSUMOS!$B:$E,4,0),IFERROR(VLOOKUP($E278,COTAÇÕES!$C:$L,10,0),"")))</f>
        <v>0.3</v>
      </c>
      <c r="K278" s="615">
        <f>TRUNC(IF($E278="",IFERROR(VLOOKUP($D278,SERVIÇOS!$C:$H,4,0),IFERROR(VLOOKUP($D278,$F:$M,6,0),)),IFERROR(VLOOKUP($E278,INSUMOS!$B:$E,4,0),IFERROR(VLOOKUP($E278,COTAÇÕES!$C:$L,10,0),)))*$I278,2)</f>
        <v>0.75</v>
      </c>
      <c r="L278" s="616">
        <f>TRUNC(IF($E278="",IFERROR(VLOOKUP($D278,SERVIÇOS!$C:$H,5,0),IFERROR(VLOOKUP($D278,$F:$M,7,0),)),0)*$I278,2)</f>
        <v>0</v>
      </c>
      <c r="M278" s="617">
        <f t="shared" si="134"/>
        <v>0.75</v>
      </c>
      <c r="N278" s="753" t="str">
        <f t="shared" si="135"/>
        <v>INSUMO SINAPI</v>
      </c>
      <c r="O278" s="648"/>
    </row>
    <row r="279" spans="2:15" ht="25.5">
      <c r="B279" s="122">
        <f t="shared" si="132"/>
        <v>10.19</v>
      </c>
      <c r="C279" s="611" t="str">
        <f t="shared" si="133"/>
        <v>I</v>
      </c>
      <c r="D279" s="660"/>
      <c r="E279" s="661">
        <v>39432</v>
      </c>
      <c r="F279" s="612"/>
      <c r="G279" s="613" t="str">
        <f>IF($E279="",IFERROR(VLOOKUP($D279,SERVIÇOS!$C:$H,2,0),IFERROR(VLOOKUP($D279,$F:$M,2,0),"")),IFERROR(VLOOKUP($E279,INSUMOS!$B:$E,2,0),IFERROR(VLOOKUP($E279,COTAÇÕES!$C:$L,2,0),"")))</f>
        <v xml:space="preserve">FITA DE PAPEL REFORCADA COM LAMINA DE METAL PARA REFORCO DE CANTOS DE CHAPA DE GESSO PARA DRYWALL                                                                                                                                                                                                                                                                                                                                                                                                         </v>
      </c>
      <c r="H279" s="593" t="str">
        <f>IF($E279="",IFERROR(VLOOKUP($D279,SERVIÇOS!$C:$H,3,0),IFERROR(VLOOKUP($D279,$F:$M,3,0),"")),IFERROR(VLOOKUP($E279,INSUMOS!$B:$E,3,0),IFERROR(VLOOKUP($E279,COTAÇÕES!$C:$L,5,0),"")))</f>
        <v xml:space="preserve">M     </v>
      </c>
      <c r="I279" s="614">
        <v>0.79249999999999998</v>
      </c>
      <c r="J279" s="670">
        <f>IF($E279="",IFERROR(VLOOKUP($D279,SERVIÇOS!$C:$H,6,0),IFERROR(VLOOKUP($D279,$F:$M,8,0),"")),IFERROR(VLOOKUP($E279,INSUMOS!$B:$E,4,0),IFERROR(VLOOKUP($E279,COTAÇÕES!$C:$L,10,0),"")))</f>
        <v>2.7</v>
      </c>
      <c r="K279" s="615">
        <f>TRUNC(IF($E279="",IFERROR(VLOOKUP($D279,SERVIÇOS!$C:$H,4,0),IFERROR(VLOOKUP($D279,$F:$M,6,0),)),IFERROR(VLOOKUP($E279,INSUMOS!$B:$E,4,0),IFERROR(VLOOKUP($E279,COTAÇÕES!$C:$L,10,0),)))*$I279,2)</f>
        <v>2.13</v>
      </c>
      <c r="L279" s="616">
        <f>TRUNC(IF($E279="",IFERROR(VLOOKUP($D279,SERVIÇOS!$C:$H,5,0),IFERROR(VLOOKUP($D279,$F:$M,7,0),)),0)*$I279,2)</f>
        <v>0</v>
      </c>
      <c r="M279" s="617">
        <f t="shared" si="134"/>
        <v>2.13</v>
      </c>
      <c r="N279" s="753" t="str">
        <f t="shared" si="135"/>
        <v>INSUMO SINAPI</v>
      </c>
      <c r="O279" s="648"/>
    </row>
    <row r="280" spans="2:15" ht="25.5">
      <c r="B280" s="122">
        <f t="shared" si="132"/>
        <v>10.19</v>
      </c>
      <c r="C280" s="611" t="str">
        <f t="shared" si="133"/>
        <v>I</v>
      </c>
      <c r="D280" s="660"/>
      <c r="E280" s="661">
        <v>39434</v>
      </c>
      <c r="F280" s="612"/>
      <c r="G280" s="613" t="str">
        <f>IF($E280="",IFERROR(VLOOKUP($D280,SERVIÇOS!$C:$H,2,0),IFERROR(VLOOKUP($D280,$F:$M,2,0),"")),IFERROR(VLOOKUP($E280,INSUMOS!$B:$E,2,0),IFERROR(VLOOKUP($E280,COTAÇÕES!$C:$L,2,0),"")))</f>
        <v xml:space="preserve">MASSA DE REJUNTE EM PO PARA DRYWALL, A BASE DE GESSO, SECAGEM RAPIDA, PARA TRATAMENTO DE JUNTAS DE CHAPA DE GESSO (NECESSITA ADICAO DE AGUA)                                                                                                                                                                                                                                                                                                                                                              </v>
      </c>
      <c r="H280" s="593" t="str">
        <f>IF($E280="",IFERROR(VLOOKUP($D280,SERVIÇOS!$C:$H,3,0),IFERROR(VLOOKUP($D280,$F:$M,3,0),"")),IFERROR(VLOOKUP($E280,INSUMOS!$B:$E,3,0),IFERROR(VLOOKUP($E280,COTAÇÕES!$C:$L,5,0),"")))</f>
        <v xml:space="preserve">KG    </v>
      </c>
      <c r="I280" s="614">
        <v>1.0327</v>
      </c>
      <c r="J280" s="670">
        <f>IF($E280="",IFERROR(VLOOKUP($D280,SERVIÇOS!$C:$H,6,0),IFERROR(VLOOKUP($D280,$F:$M,8,0),"")),IFERROR(VLOOKUP($E280,INSUMOS!$B:$E,4,0),IFERROR(VLOOKUP($E280,COTAÇÕES!$C:$L,10,0),"")))</f>
        <v>3.38</v>
      </c>
      <c r="K280" s="615">
        <f>TRUNC(IF($E280="",IFERROR(VLOOKUP($D280,SERVIÇOS!$C:$H,4,0),IFERROR(VLOOKUP($D280,$F:$M,6,0),)),IFERROR(VLOOKUP($E280,INSUMOS!$B:$E,4,0),IFERROR(VLOOKUP($E280,COTAÇÕES!$C:$L,10,0),)))*$I280,2)</f>
        <v>3.49</v>
      </c>
      <c r="L280" s="616">
        <f>TRUNC(IF($E280="",IFERROR(VLOOKUP($D280,SERVIÇOS!$C:$H,5,0),IFERROR(VLOOKUP($D280,$F:$M,7,0),)),0)*$I280,2)</f>
        <v>0</v>
      </c>
      <c r="M280" s="617">
        <f t="shared" si="134"/>
        <v>3.49</v>
      </c>
      <c r="N280" s="753" t="str">
        <f t="shared" si="135"/>
        <v>INSUMO SINAPI</v>
      </c>
      <c r="O280" s="648"/>
    </row>
    <row r="281" spans="2:15" ht="25.5">
      <c r="B281" s="122">
        <f t="shared" si="132"/>
        <v>10.19</v>
      </c>
      <c r="C281" s="611" t="str">
        <f t="shared" si="133"/>
        <v>I</v>
      </c>
      <c r="D281" s="660"/>
      <c r="E281" s="661">
        <v>39435</v>
      </c>
      <c r="F281" s="612"/>
      <c r="G281" s="613" t="str">
        <f>IF($E281="",IFERROR(VLOOKUP($D281,SERVIÇOS!$C:$H,2,0),IFERROR(VLOOKUP($D281,$F:$M,2,0),"")),IFERROR(VLOOKUP($E281,INSUMOS!$B:$E,2,0),IFERROR(VLOOKUP($E281,COTAÇÕES!$C:$L,2,0),"")))</f>
        <v xml:space="preserve">PARAFUSO DRY WALL, EM ACO FOSFATIZADO, CABECA TROMBETA E PONTA AGULHA (TA), COMPRIMENTO 25 MM                                                                                                                                                                                                                                                                                                                                                                                                             </v>
      </c>
      <c r="H281" s="593" t="str">
        <f>IF($E281="",IFERROR(VLOOKUP($D281,SERVIÇOS!$C:$H,3,0),IFERROR(VLOOKUP($D281,$F:$M,3,0),"")),IFERROR(VLOOKUP($E281,INSUMOS!$B:$E,3,0),IFERROR(VLOOKUP($E281,COTAÇÕES!$C:$L,5,0),"")))</f>
        <v xml:space="preserve">UN    </v>
      </c>
      <c r="I281" s="614">
        <v>20.0077</v>
      </c>
      <c r="J281" s="670">
        <f>IF($E281="",IFERROR(VLOOKUP($D281,SERVIÇOS!$C:$H,6,0),IFERROR(VLOOKUP($D281,$F:$M,8,0),"")),IFERROR(VLOOKUP($E281,INSUMOS!$B:$E,4,0),IFERROR(VLOOKUP($E281,COTAÇÕES!$C:$L,10,0),"")))</f>
        <v>0.09</v>
      </c>
      <c r="K281" s="615">
        <f>TRUNC(IF($E281="",IFERROR(VLOOKUP($D281,SERVIÇOS!$C:$H,4,0),IFERROR(VLOOKUP($D281,$F:$M,6,0),)),IFERROR(VLOOKUP($E281,INSUMOS!$B:$E,4,0),IFERROR(VLOOKUP($E281,COTAÇÕES!$C:$L,10,0),)))*$I281,2)</f>
        <v>1.8</v>
      </c>
      <c r="L281" s="616">
        <f>TRUNC(IF($E281="",IFERROR(VLOOKUP($D281,SERVIÇOS!$C:$H,5,0),IFERROR(VLOOKUP($D281,$F:$M,7,0),)),0)*$I281,2)</f>
        <v>0</v>
      </c>
      <c r="M281" s="617">
        <f t="shared" si="134"/>
        <v>1.8</v>
      </c>
      <c r="N281" s="753" t="str">
        <f t="shared" si="135"/>
        <v>INSUMO SINAPI</v>
      </c>
      <c r="O281" s="648"/>
    </row>
    <row r="282" spans="2:15" ht="25.5">
      <c r="B282" s="122">
        <f t="shared" si="132"/>
        <v>10.19</v>
      </c>
      <c r="C282" s="611" t="str">
        <f t="shared" si="133"/>
        <v>I</v>
      </c>
      <c r="D282" s="660"/>
      <c r="E282" s="661">
        <v>39443</v>
      </c>
      <c r="F282" s="612"/>
      <c r="G282" s="613" t="str">
        <f>IF($E282="",IFERROR(VLOOKUP($D282,SERVIÇOS!$C:$H,2,0),IFERROR(VLOOKUP($D282,$F:$M,2,0),"")),IFERROR(VLOOKUP($E282,INSUMOS!$B:$E,2,0),IFERROR(VLOOKUP($E282,COTAÇÕES!$C:$L,2,0),"")))</f>
        <v xml:space="preserve">PARAFUSO DRY WALL, EM ACO ZINCADO, CABECA LENTILHA E PONTA BROCA (LB), LARGURA 4,2 MM, COMPRIMENTO 13 MM                                                                                                                                                                                                                                                                                                                                                                                                  </v>
      </c>
      <c r="H282" s="593" t="str">
        <f>IF($E282="",IFERROR(VLOOKUP($D282,SERVIÇOS!$C:$H,3,0),IFERROR(VLOOKUP($D282,$F:$M,3,0),"")),IFERROR(VLOOKUP($E282,INSUMOS!$B:$E,3,0),IFERROR(VLOOKUP($E282,COTAÇÕES!$C:$L,5,0),"")))</f>
        <v xml:space="preserve">UN    </v>
      </c>
      <c r="I282" s="614">
        <v>9.1490000000000002E-2</v>
      </c>
      <c r="J282" s="670">
        <f>IF($E282="",IFERROR(VLOOKUP($D282,SERVIÇOS!$C:$H,6,0),IFERROR(VLOOKUP($D282,$F:$M,8,0),"")),IFERROR(VLOOKUP($E282,INSUMOS!$B:$E,4,0),IFERROR(VLOOKUP($E282,COTAÇÕES!$C:$L,10,0),"")))</f>
        <v>0.21</v>
      </c>
      <c r="K282" s="615">
        <f>TRUNC(IF($E282="",IFERROR(VLOOKUP($D282,SERVIÇOS!$C:$H,4,0),IFERROR(VLOOKUP($D282,$F:$M,6,0),)),IFERROR(VLOOKUP($E282,INSUMOS!$B:$E,4,0),IFERROR(VLOOKUP($E282,COTAÇÕES!$C:$L,10,0),)))*$I282,2)</f>
        <v>0.01</v>
      </c>
      <c r="L282" s="616">
        <f>TRUNC(IF($E282="",IFERROR(VLOOKUP($D282,SERVIÇOS!$C:$H,5,0),IFERROR(VLOOKUP($D282,$F:$M,7,0),)),0)*$I282,2)</f>
        <v>0</v>
      </c>
      <c r="M282" s="617">
        <f t="shared" si="134"/>
        <v>0.01</v>
      </c>
      <c r="N282" s="753" t="str">
        <f t="shared" si="135"/>
        <v>INSUMO SINAPI</v>
      </c>
      <c r="O282" s="648"/>
    </row>
    <row r="283" spans="2:15">
      <c r="B283" s="122">
        <f t="shared" si="132"/>
        <v>10.19</v>
      </c>
      <c r="C283" s="611" t="str">
        <f t="shared" si="133"/>
        <v>C</v>
      </c>
      <c r="D283" s="660">
        <v>88278</v>
      </c>
      <c r="E283" s="661"/>
      <c r="F283" s="612"/>
      <c r="G283" s="613" t="str">
        <f>IF($E283="",IFERROR(VLOOKUP($D283,SERVIÇOS!$C:$H,2,0),IFERROR(VLOOKUP($D283,$F:$M,2,0),"")),IFERROR(VLOOKUP($E283,INSUMOS!$B:$E,2,0),IFERROR(VLOOKUP($E283,COTAÇÕES!$C:$L,2,0),"")))</f>
        <v>MONTADOR DE ESTRUTURA METÁLICA COM ENCARGOS COMPLEMENTARES</v>
      </c>
      <c r="H283" s="593" t="str">
        <f>IF($E283="",IFERROR(VLOOKUP($D283,SERVIÇOS!$C:$H,3,0),IFERROR(VLOOKUP($D283,$F:$M,3,0),"")),IFERROR(VLOOKUP($E283,INSUMOS!$B:$E,3,0),IFERROR(VLOOKUP($E283,COTAÇÕES!$C:$L,5,0),"")))</f>
        <v>H</v>
      </c>
      <c r="I283" s="614">
        <v>0.628</v>
      </c>
      <c r="J283" s="670">
        <f>IF($E283="",IFERROR(VLOOKUP($D283,SERVIÇOS!$C:$H,6,0),IFERROR(VLOOKUP($D283,$F:$M,8,0),"")),IFERROR(VLOOKUP($E283,INSUMOS!$B:$E,4,0),IFERROR(VLOOKUP($E283,COTAÇÕES!$C:$L,10,0),"")))</f>
        <v>28.12</v>
      </c>
      <c r="K283" s="615">
        <f>TRUNC(IF($E283="",IFERROR(VLOOKUP($D283,SERVIÇOS!$C:$H,4,0),IFERROR(VLOOKUP($D283,$F:$M,6,0),)),IFERROR(VLOOKUP($E283,INSUMOS!$B:$E,4,0),IFERROR(VLOOKUP($E283,COTAÇÕES!$C:$L,10,0),)))*$I283,2)</f>
        <v>3.5</v>
      </c>
      <c r="L283" s="616">
        <f>TRUNC(IF($E283="",IFERROR(VLOOKUP($D283,SERVIÇOS!$C:$H,5,0),IFERROR(VLOOKUP($D283,$F:$M,7,0),)),0)*$I283,2)</f>
        <v>14.15</v>
      </c>
      <c r="M283" s="617">
        <f t="shared" si="134"/>
        <v>17.649999999999999</v>
      </c>
      <c r="N283" s="753" t="str">
        <f t="shared" si="135"/>
        <v>SERVIÇO SINAPI</v>
      </c>
      <c r="O283" s="648"/>
    </row>
    <row r="284" spans="2:15">
      <c r="B284" s="122">
        <f t="shared" si="132"/>
        <v>10.19</v>
      </c>
      <c r="C284" s="611" t="str">
        <f t="shared" si="133"/>
        <v>C</v>
      </c>
      <c r="D284" s="660">
        <v>88316</v>
      </c>
      <c r="E284" s="661"/>
      <c r="F284" s="612"/>
      <c r="G284" s="613" t="str">
        <f>IF($E284="",IFERROR(VLOOKUP($D284,SERVIÇOS!$C:$H,2,0),IFERROR(VLOOKUP($D284,$F:$M,2,0),"")),IFERROR(VLOOKUP($E284,INSUMOS!$B:$E,2,0),IFERROR(VLOOKUP($E284,COTAÇÕES!$C:$L,2,0),"")))</f>
        <v>SERVENTE COM ENCARGOS COMPLEMENTARES</v>
      </c>
      <c r="H284" s="593" t="str">
        <f>IF($E284="",IFERROR(VLOOKUP($D284,SERVIÇOS!$C:$H,3,0),IFERROR(VLOOKUP($D284,$F:$M,3,0),"")),IFERROR(VLOOKUP($E284,INSUMOS!$B:$E,3,0),IFERROR(VLOOKUP($E284,COTAÇÕES!$C:$L,5,0),"")))</f>
        <v>H</v>
      </c>
      <c r="I284" s="614">
        <v>0.157</v>
      </c>
      <c r="J284" s="670">
        <f>IF($E284="",IFERROR(VLOOKUP($D284,SERVIÇOS!$C:$H,6,0),IFERROR(VLOOKUP($D284,$F:$M,8,0),"")),IFERROR(VLOOKUP($E284,INSUMOS!$B:$E,4,0),IFERROR(VLOOKUP($E284,COTAÇÕES!$C:$L,10,0),"")))</f>
        <v>23.71</v>
      </c>
      <c r="K284" s="615">
        <f>TRUNC(IF($E284="",IFERROR(VLOOKUP($D284,SERVIÇOS!$C:$H,4,0),IFERROR(VLOOKUP($D284,$F:$M,6,0),)),IFERROR(VLOOKUP($E284,INSUMOS!$B:$E,4,0),IFERROR(VLOOKUP($E284,COTAÇÕES!$C:$L,10,0),)))*$I284,2)</f>
        <v>1.02</v>
      </c>
      <c r="L284" s="616">
        <f>TRUNC(IF($E284="",IFERROR(VLOOKUP($D284,SERVIÇOS!$C:$H,5,0),IFERROR(VLOOKUP($D284,$F:$M,7,0),)),0)*$I284,2)</f>
        <v>2.69</v>
      </c>
      <c r="M284" s="617">
        <f t="shared" si="134"/>
        <v>3.71</v>
      </c>
      <c r="N284" s="753" t="str">
        <f t="shared" si="135"/>
        <v>SERVIÇO SINAPI</v>
      </c>
      <c r="O284" s="648"/>
    </row>
    <row r="285" spans="2:15">
      <c r="B285" s="769">
        <f>SUMIF(ORC!$G$11:$G$2470,CPU!$F285,ORC!$J$11:$J$2470)</f>
        <v>12.649999999999999</v>
      </c>
      <c r="C285" s="515" t="s">
        <v>2239</v>
      </c>
      <c r="D285" s="515"/>
      <c r="E285" s="515"/>
      <c r="F285" s="515" t="s">
        <v>8470</v>
      </c>
      <c r="G285" s="594" t="s">
        <v>8374</v>
      </c>
      <c r="H285" s="515" t="s">
        <v>644</v>
      </c>
      <c r="I285" s="595"/>
      <c r="J285" s="596"/>
      <c r="K285" s="597">
        <f>SUM(K286:K286)</f>
        <v>38.67</v>
      </c>
      <c r="L285" s="597">
        <f>SUM(L286:L286)</f>
        <v>100.52</v>
      </c>
      <c r="M285" s="596">
        <f>SUM(K285:L285)</f>
        <v>139.19</v>
      </c>
      <c r="N285" s="598" t="s">
        <v>8898</v>
      </c>
      <c r="O285" s="599"/>
    </row>
    <row r="286" spans="2:15" ht="25.5">
      <c r="B286" s="122">
        <f>B285</f>
        <v>12.649999999999999</v>
      </c>
      <c r="C286" s="611" t="str">
        <f>IF(D286&lt;&gt;"","C",IF(E286&lt;&gt;"","I",""))</f>
        <v>C</v>
      </c>
      <c r="D286" s="661">
        <v>97629</v>
      </c>
      <c r="E286" s="661"/>
      <c r="F286" s="612"/>
      <c r="G286" s="613" t="str">
        <f>IF($E286="",IFERROR(VLOOKUP($D286,SERVIÇOS!$C:$H,2,0),IFERROR(VLOOKUP($D286,$F:$M,2,0),"")),IFERROR(VLOOKUP($E286,INSUMOS!$B:$E,2,0),IFERROR(VLOOKUP($E286,COTAÇÕES!$C:$L,2,0),"")))</f>
        <v>DEMOLIÇÃO DE LAJES, DE FORMA MECANIZADA COM MARTELETE, SEM REAPROVEITAMENTO. AF_12/2017</v>
      </c>
      <c r="H286" s="593" t="str">
        <f>IF($E286="",IFERROR(VLOOKUP($D286,SERVIÇOS!$C:$H,3,0),IFERROR(VLOOKUP($D286,$F:$M,3,0),"")),IFERROR(VLOOKUP($E286,INSUMOS!$B:$E,3,0),IFERROR(VLOOKUP($E286,COTAÇÕES!$C:$L,5,0),"")))</f>
        <v>M3</v>
      </c>
      <c r="I286" s="614">
        <v>1</v>
      </c>
      <c r="J286" s="670">
        <f>IF($E286="",IFERROR(VLOOKUP($D286,SERVIÇOS!$C:$H,6,0),IFERROR(VLOOKUP($D286,$F:$M,8,0),"")),IFERROR(VLOOKUP($E286,INSUMOS!$B:$E,4,0),IFERROR(VLOOKUP($E286,COTAÇÕES!$C:$L,10,0),"")))</f>
        <v>139.19</v>
      </c>
      <c r="K286" s="615">
        <f>TRUNC(IF($E286="",IFERROR(VLOOKUP($D286,SERVIÇOS!$C:$H,4,0),IFERROR(VLOOKUP($D286,$F:$M,6,0),)),IFERROR(VLOOKUP($E286,INSUMOS!$B:$E,4,0),IFERROR(VLOOKUP($E286,COTAÇÕES!$C:$L,10,0),)))*$I286,2)</f>
        <v>38.67</v>
      </c>
      <c r="L286" s="616">
        <f>TRUNC(IF($E286="",IFERROR(VLOOKUP($D286,SERVIÇOS!$C:$H,5,0),IFERROR(VLOOKUP($D286,$F:$M,7,0),)),0)*$I286,2)</f>
        <v>100.52</v>
      </c>
      <c r="M286" s="617">
        <f>K286+L286</f>
        <v>139.19</v>
      </c>
      <c r="N286" s="753" t="str">
        <f>IF($D286&lt;&gt;"","SERVIÇO SINAPI",IF($E286&lt;&gt;"","INSUMO SINAPI",""))</f>
        <v>SERVIÇO SINAPI</v>
      </c>
      <c r="O286" s="648"/>
    </row>
    <row r="287" spans="2:15" ht="25.5">
      <c r="B287" s="769">
        <f>SUMIF(ORC!$G$11:$G$2470,CPU!$F287,ORC!$J$11:$J$2470)</f>
        <v>464.8</v>
      </c>
      <c r="C287" s="515" t="s">
        <v>2239</v>
      </c>
      <c r="D287" s="515"/>
      <c r="E287" s="515"/>
      <c r="F287" s="515" t="s">
        <v>8576</v>
      </c>
      <c r="G287" s="594" t="s">
        <v>8770</v>
      </c>
      <c r="H287" s="515" t="s">
        <v>649</v>
      </c>
      <c r="I287" s="595"/>
      <c r="J287" s="596"/>
      <c r="K287" s="597">
        <f>SUM(K288:K288)</f>
        <v>209.6</v>
      </c>
      <c r="L287" s="597">
        <f>SUM(L288:L288)</f>
        <v>0</v>
      </c>
      <c r="M287" s="596">
        <f>SUM(K287:L287)</f>
        <v>209.6</v>
      </c>
      <c r="N287" s="598" t="s">
        <v>7577</v>
      </c>
      <c r="O287" s="599"/>
    </row>
    <row r="288" spans="2:15" ht="25.5">
      <c r="B288" s="122">
        <f>B287</f>
        <v>464.8</v>
      </c>
      <c r="C288" s="611" t="str">
        <f>IF(D288&lt;&gt;"","C",IF(E288&lt;&gt;"","I",""))</f>
        <v>I</v>
      </c>
      <c r="D288" s="661"/>
      <c r="E288" s="661" t="s">
        <v>9133</v>
      </c>
      <c r="F288" s="612"/>
      <c r="G288" s="894" t="str">
        <f>IF($E288="",IFERROR(VLOOKUP($D288,SERVIÇOS!$C:$H,2,0),IFERROR(VLOOKUP($D288,$F:$M,2,0),"")),IFERROR(VLOOKUP($E288,INSUMOS!$B:$E,2,0),IFERROR(VLOOKUP($E288,COTAÇÕES!$C:$L,2,0),"")))</f>
        <v>FORRO COMPOSTO POR PAINEIS DE LA DE VIDRO, REVESTIDOS EM PVC MICROPERFURADO, DE 625 X 625 MM,CLICADOS NA COR BRANCA, INCLUSO PERFIS, ACESSÓRIOS DE FIXAÇÃO E MÃO DE OBRA</v>
      </c>
      <c r="H288" s="593" t="str">
        <f>IF($E288="",IFERROR(VLOOKUP($D288,SERVIÇOS!$C:$H,3,0),IFERROR(VLOOKUP($D288,$F:$M,3,0),"")),IFERROR(VLOOKUP($E288,INSUMOS!$B:$E,3,0),IFERROR(VLOOKUP($E288,COTAÇÕES!$C:$L,5,0),"")))</f>
        <v>M2</v>
      </c>
      <c r="I288" s="614">
        <v>1</v>
      </c>
      <c r="J288" s="670">
        <f>IF($E288="",IFERROR(VLOOKUP($D288,SERVIÇOS!$C:$H,6,0),IFERROR(VLOOKUP($D288,$F:$M,8,0),"")),IFERROR(VLOOKUP($E288,INSUMOS!$B:$E,4,0),IFERROR(VLOOKUP($E288,COTAÇÕES!$C:$L,10,0),"")))</f>
        <v>209.6</v>
      </c>
      <c r="K288" s="615">
        <f>TRUNC(IF($E288="",IFERROR(VLOOKUP($D288,SERVIÇOS!$C:$H,4,0),IFERROR(VLOOKUP($D288,$F:$M,6,0),)),IFERROR(VLOOKUP($E288,INSUMOS!$B:$E,4,0),IFERROR(VLOOKUP($E288,COTAÇÕES!$C:$L,10,0),)))*$I288,2)</f>
        <v>209.6</v>
      </c>
      <c r="L288" s="616">
        <f>TRUNC(IF($E288="",IFERROR(VLOOKUP($D288,SERVIÇOS!$C:$H,5,0),IFERROR(VLOOKUP($D288,$F:$M,7,0),)),0)*$I288,2)</f>
        <v>0</v>
      </c>
      <c r="M288" s="617">
        <f>K288+L288</f>
        <v>209.6</v>
      </c>
      <c r="N288" s="753" t="s">
        <v>6845</v>
      </c>
      <c r="O288" s="648"/>
    </row>
    <row r="289" spans="2:15">
      <c r="B289" s="769">
        <f>SUMIF(ORC!$G$11:$G$2470,CPU!$F289,ORC!$J$11:$J$2470)</f>
        <v>7.28</v>
      </c>
      <c r="C289" s="515" t="s">
        <v>2239</v>
      </c>
      <c r="D289" s="515"/>
      <c r="E289" s="515"/>
      <c r="F289" s="515" t="s">
        <v>8577</v>
      </c>
      <c r="G289" s="594" t="s">
        <v>8579</v>
      </c>
      <c r="H289" s="515" t="s">
        <v>649</v>
      </c>
      <c r="I289" s="595"/>
      <c r="J289" s="596"/>
      <c r="K289" s="597">
        <f>SUM(K290:K296)</f>
        <v>43.169999999999995</v>
      </c>
      <c r="L289" s="597">
        <f>SUM(L290:L296)</f>
        <v>19.95</v>
      </c>
      <c r="M289" s="596">
        <f>SUM(K289:L289)</f>
        <v>63.11999999999999</v>
      </c>
      <c r="N289" s="598" t="s">
        <v>8578</v>
      </c>
      <c r="O289" s="599"/>
    </row>
    <row r="290" spans="2:15">
      <c r="B290" s="122">
        <f t="shared" ref="B290:B296" si="136">B289</f>
        <v>7.28</v>
      </c>
      <c r="C290" s="611" t="str">
        <f>IF(D290&lt;&gt;"","C",IF(E290&lt;&gt;"","I",""))</f>
        <v>I</v>
      </c>
      <c r="D290" s="661"/>
      <c r="E290" s="661">
        <v>345</v>
      </c>
      <c r="F290" s="612"/>
      <c r="G290" s="613" t="str">
        <f>IF($E290="",IFERROR(VLOOKUP($D290,SERVIÇOS!$C:$H,2,0),IFERROR(VLOOKUP($D290,$F:$M,2,0),"")),IFERROR(VLOOKUP($E290,INSUMOS!$B:$E,2,0),IFERROR(VLOOKUP($E290,COTAÇÕES!$C:$L,2,0),"")))</f>
        <v xml:space="preserve">ARAME GALVANIZADO 18 BWG, D = 1,24MM (0,009 KG/M)                                                                                                                                                                                                                                                                                                                                                                                                                                                         </v>
      </c>
      <c r="H290" s="593" t="str">
        <f>IF($E290="",IFERROR(VLOOKUP($D290,SERVIÇOS!$C:$H,3,0),IFERROR(VLOOKUP($D290,$F:$M,3,0),"")),IFERROR(VLOOKUP($E290,INSUMOS!$B:$E,3,0),IFERROR(VLOOKUP($E290,COTAÇÕES!$C:$L,5,0),"")))</f>
        <v xml:space="preserve">KG    </v>
      </c>
      <c r="I290" s="614">
        <v>2.5000000000000001E-2</v>
      </c>
      <c r="J290" s="670">
        <f>IF($E290="",IFERROR(VLOOKUP($D290,SERVIÇOS!$C:$H,6,0),IFERROR(VLOOKUP($D290,$F:$M,8,0),"")),IFERROR(VLOOKUP($E290,INSUMOS!$B:$E,4,0),IFERROR(VLOOKUP($E290,COTAÇÕES!$C:$L,10,0),"")))</f>
        <v>40.86</v>
      </c>
      <c r="K290" s="615">
        <f>TRUNC(IF($E290="",IFERROR(VLOOKUP($D290,SERVIÇOS!$C:$H,4,0),IFERROR(VLOOKUP($D290,$F:$M,6,0),)),IFERROR(VLOOKUP($E290,INSUMOS!$B:$E,4,0),IFERROR(VLOOKUP($E290,COTAÇÕES!$C:$L,10,0),)))*$I290,2)</f>
        <v>1.02</v>
      </c>
      <c r="L290" s="616">
        <f>TRUNC(IF($E290="",IFERROR(VLOOKUP($D290,SERVIÇOS!$C:$H,5,0),IFERROR(VLOOKUP($D290,$F:$M,7,0),)),0)*$I290,2)</f>
        <v>0</v>
      </c>
      <c r="M290" s="617">
        <f>K290+L290</f>
        <v>1.02</v>
      </c>
      <c r="N290" s="753" t="str">
        <f>IF($D290&lt;&gt;"","SERVIÇO SINAPI",IF($E290&lt;&gt;"","INSUMO SINAPI",""))</f>
        <v>INSUMO SINAPI</v>
      </c>
      <c r="O290" s="648"/>
    </row>
    <row r="291" spans="2:15">
      <c r="B291" s="122">
        <f t="shared" si="136"/>
        <v>7.28</v>
      </c>
      <c r="C291" s="611" t="str">
        <f t="shared" ref="C291:C296" si="137">IF(D291&lt;&gt;"","C",IF(E291&lt;&gt;"","I",""))</f>
        <v>I</v>
      </c>
      <c r="D291" s="661"/>
      <c r="E291" s="661">
        <v>3315</v>
      </c>
      <c r="F291" s="612"/>
      <c r="G291" s="613" t="str">
        <f>IF($E291="",IFERROR(VLOOKUP($D291,SERVIÇOS!$C:$H,2,0),IFERROR(VLOOKUP($D291,$F:$M,2,0),"")),IFERROR(VLOOKUP($E291,INSUMOS!$B:$E,2,0),IFERROR(VLOOKUP($E291,COTAÇÕES!$C:$L,2,0),"")))</f>
        <v xml:space="preserve">GESSO EM PO PARA REVESTIMENTOS/MOLDURAS/SANCAS E USO GERAL                                                                                                                                                                                                                                                                                                                                                                                                                                                </v>
      </c>
      <c r="H291" s="593" t="str">
        <f>IF($E291="",IFERROR(VLOOKUP($D291,SERVIÇOS!$C:$H,3,0),IFERROR(VLOOKUP($D291,$F:$M,3,0),"")),IFERROR(VLOOKUP($E291,INSUMOS!$B:$E,3,0),IFERROR(VLOOKUP($E291,COTAÇÕES!$C:$L,5,0),"")))</f>
        <v xml:space="preserve">KG    </v>
      </c>
      <c r="I291" s="614">
        <v>0.99639999999999995</v>
      </c>
      <c r="J291" s="670">
        <f>IF($E291="",IFERROR(VLOOKUP($D291,SERVIÇOS!$C:$H,6,0),IFERROR(VLOOKUP($D291,$F:$M,8,0),"")),IFERROR(VLOOKUP($E291,INSUMOS!$B:$E,4,0),IFERROR(VLOOKUP($E291,COTAÇÕES!$C:$L,10,0),"")))</f>
        <v>0.77</v>
      </c>
      <c r="K291" s="615">
        <f>TRUNC(IF($E291="",IFERROR(VLOOKUP($D291,SERVIÇOS!$C:$H,4,0),IFERROR(VLOOKUP($D291,$F:$M,6,0),)),IFERROR(VLOOKUP($E291,INSUMOS!$B:$E,4,0),IFERROR(VLOOKUP($E291,COTAÇÕES!$C:$L,10,0),)))*$I291,2)</f>
        <v>0.76</v>
      </c>
      <c r="L291" s="616">
        <f>TRUNC(IF($E291="",IFERROR(VLOOKUP($D291,SERVIÇOS!$C:$H,5,0),IFERROR(VLOOKUP($D291,$F:$M,7,0),)),0)*$I291,2)</f>
        <v>0</v>
      </c>
      <c r="M291" s="617">
        <f t="shared" ref="M291:M296" si="138">K291+L291</f>
        <v>0.76</v>
      </c>
      <c r="N291" s="753" t="str">
        <f t="shared" ref="N291:N296" si="139">IF($D291&lt;&gt;"","SERVIÇO SINAPI",IF($E291&lt;&gt;"","INSUMO SINAPI",""))</f>
        <v>INSUMO SINAPI</v>
      </c>
      <c r="O291" s="648"/>
    </row>
    <row r="292" spans="2:15" ht="27" customHeight="1">
      <c r="B292" s="122">
        <f t="shared" si="136"/>
        <v>7.28</v>
      </c>
      <c r="C292" s="611" t="str">
        <f t="shared" si="137"/>
        <v>I</v>
      </c>
      <c r="D292" s="661"/>
      <c r="E292" s="661">
        <v>39417</v>
      </c>
      <c r="F292" s="612"/>
      <c r="G292" s="613" t="str">
        <f>IF($E292="",IFERROR(VLOOKUP($D292,SERVIÇOS!$C:$H,2,0),IFERROR(VLOOKUP($D292,$F:$M,2,0),"")),IFERROR(VLOOKUP($E292,INSUMOS!$B:$E,2,0),IFERROR(VLOOKUP($E292,COTAÇÕES!$C:$L,2,0),"")))</f>
        <v xml:space="preserve">PLACA / CHAPA DE GESSO ACARTONADO, RESISTENTE A UMIDADE (RU), COR VERDE, E = 12,5 MM, 1200 X 2400 MM (L X C)                                                                                                                                                                                                                                                                                                                                                                                              </v>
      </c>
      <c r="H292" s="593" t="str">
        <f>IF($E292="",IFERROR(VLOOKUP($D292,SERVIÇOS!$C:$H,3,0),IFERROR(VLOOKUP($D292,$F:$M,3,0),"")),IFERROR(VLOOKUP($E292,INSUMOS!$B:$E,3,0),IFERROR(VLOOKUP($E292,COTAÇÕES!$C:$L,5,0),"")))</f>
        <v xml:space="preserve">M2    </v>
      </c>
      <c r="I292" s="614">
        <v>1.0740000000000001</v>
      </c>
      <c r="J292" s="670">
        <f>IF($E292="",IFERROR(VLOOKUP($D292,SERVIÇOS!$C:$H,6,0),IFERROR(VLOOKUP($D292,$F:$M,8,0),"")),IFERROR(VLOOKUP($E292,INSUMOS!$B:$E,4,0),IFERROR(VLOOKUP($E292,COTAÇÕES!$C:$L,10,0),"")))</f>
        <v>25.75</v>
      </c>
      <c r="K292" s="615">
        <f>TRUNC(IF($E292="",IFERROR(VLOOKUP($D292,SERVIÇOS!$C:$H,4,0),IFERROR(VLOOKUP($D292,$F:$M,6,0),)),IFERROR(VLOOKUP($E292,INSUMOS!$B:$E,4,0),IFERROR(VLOOKUP($E292,COTAÇÕES!$C:$L,10,0),)))*$I292,2)</f>
        <v>27.65</v>
      </c>
      <c r="L292" s="616">
        <f>TRUNC(IF($E292="",IFERROR(VLOOKUP($D292,SERVIÇOS!$C:$H,5,0),IFERROR(VLOOKUP($D292,$F:$M,7,0),)),0)*$I292,2)</f>
        <v>0</v>
      </c>
      <c r="M292" s="617">
        <f t="shared" si="138"/>
        <v>27.65</v>
      </c>
      <c r="N292" s="753" t="str">
        <f t="shared" si="139"/>
        <v>INSUMO SINAPI</v>
      </c>
      <c r="O292" s="648"/>
    </row>
    <row r="293" spans="2:15">
      <c r="B293" s="122">
        <f t="shared" si="136"/>
        <v>7.28</v>
      </c>
      <c r="C293" s="611" t="str">
        <f t="shared" si="137"/>
        <v>I</v>
      </c>
      <c r="D293" s="661"/>
      <c r="E293" s="661">
        <v>20250</v>
      </c>
      <c r="F293" s="612"/>
      <c r="G293" s="613" t="str">
        <f>IF($E293="",IFERROR(VLOOKUP($D293,SERVIÇOS!$C:$H,2,0),IFERROR(VLOOKUP($D293,$F:$M,2,0),"")),IFERROR(VLOOKUP($E293,INSUMOS!$B:$E,2,0),IFERROR(VLOOKUP($E293,COTAÇÕES!$C:$L,2,0),"")))</f>
        <v xml:space="preserve">SISAL EM FIBRA / ESTOPA SISAL PARA GESSO                                                                                                                                                                                                                                                                                                                                                                                                                                                                  </v>
      </c>
      <c r="H293" s="593" t="str">
        <f>IF($E293="",IFERROR(VLOOKUP($D293,SERVIÇOS!$C:$H,3,0),IFERROR(VLOOKUP($D293,$F:$M,3,0),"")),IFERROR(VLOOKUP($E293,INSUMOS!$B:$E,3,0),IFERROR(VLOOKUP($E293,COTAÇÕES!$C:$L,5,0),"")))</f>
        <v xml:space="preserve">KG    </v>
      </c>
      <c r="I293" s="614">
        <v>7.7999999999999996E-3</v>
      </c>
      <c r="J293" s="670">
        <f>IF($E293="",IFERROR(VLOOKUP($D293,SERVIÇOS!$C:$H,6,0),IFERROR(VLOOKUP($D293,$F:$M,8,0),"")),IFERROR(VLOOKUP($E293,INSUMOS!$B:$E,4,0),IFERROR(VLOOKUP($E293,COTAÇÕES!$C:$L,10,0),"")))</f>
        <v>15.75</v>
      </c>
      <c r="K293" s="615">
        <f>TRUNC(IF($E293="",IFERROR(VLOOKUP($D293,SERVIÇOS!$C:$H,4,0),IFERROR(VLOOKUP($D293,$F:$M,6,0),)),IFERROR(VLOOKUP($E293,INSUMOS!$B:$E,4,0),IFERROR(VLOOKUP($E293,COTAÇÕES!$C:$L,10,0),)))*$I293,2)</f>
        <v>0.12</v>
      </c>
      <c r="L293" s="616">
        <f>TRUNC(IF($E293="",IFERROR(VLOOKUP($D293,SERVIÇOS!$C:$H,5,0),IFERROR(VLOOKUP($D293,$F:$M,7,0),)),0)*$I293,2)</f>
        <v>0</v>
      </c>
      <c r="M293" s="617">
        <f t="shared" si="138"/>
        <v>0.12</v>
      </c>
      <c r="N293" s="753" t="str">
        <f t="shared" si="139"/>
        <v>INSUMO SINAPI</v>
      </c>
      <c r="O293" s="648"/>
    </row>
    <row r="294" spans="2:15">
      <c r="B294" s="122">
        <f t="shared" si="136"/>
        <v>7.28</v>
      </c>
      <c r="C294" s="611" t="str">
        <f t="shared" si="137"/>
        <v>I</v>
      </c>
      <c r="D294" s="661"/>
      <c r="E294" s="661">
        <v>40547</v>
      </c>
      <c r="F294" s="612"/>
      <c r="G294" s="613" t="str">
        <f>IF($E294="",IFERROR(VLOOKUP($D294,SERVIÇOS!$C:$H,2,0),IFERROR(VLOOKUP($D294,$F:$M,2,0),"")),IFERROR(VLOOKUP($E294,INSUMOS!$B:$E,2,0),IFERROR(VLOOKUP($E294,COTAÇÕES!$C:$L,2,0),"")))</f>
        <v xml:space="preserve">PARAFUSO ZINCADO, AUTOBROCANTE, FLANGEADO, 4,2 MM X 19 MM                                                                                                                                                                                                                                                                                                                                                                                                                                                 </v>
      </c>
      <c r="H294" s="593" t="str">
        <f>IF($E294="",IFERROR(VLOOKUP($D294,SERVIÇOS!$C:$H,3,0),IFERROR(VLOOKUP($D294,$F:$M,3,0),"")),IFERROR(VLOOKUP($E294,INSUMOS!$B:$E,3,0),IFERROR(VLOOKUP($E294,COTAÇÕES!$C:$L,5,0),"")))</f>
        <v xml:space="preserve">CENTO </v>
      </c>
      <c r="I294" s="614">
        <v>0.308</v>
      </c>
      <c r="J294" s="670">
        <f>IF($E294="",IFERROR(VLOOKUP($D294,SERVIÇOS!$C:$H,6,0),IFERROR(VLOOKUP($D294,$F:$M,8,0),"")),IFERROR(VLOOKUP($E294,INSUMOS!$B:$E,4,0),IFERROR(VLOOKUP($E294,COTAÇÕES!$C:$L,10,0),"")))</f>
        <v>23.98</v>
      </c>
      <c r="K294" s="615">
        <f>TRUNC(IF($E294="",IFERROR(VLOOKUP($D294,SERVIÇOS!$C:$H,4,0),IFERROR(VLOOKUP($D294,$F:$M,6,0),)),IFERROR(VLOOKUP($E294,INSUMOS!$B:$E,4,0),IFERROR(VLOOKUP($E294,COTAÇÕES!$C:$L,10,0),)))*$I294,2)</f>
        <v>7.38</v>
      </c>
      <c r="L294" s="616">
        <f>TRUNC(IF($E294="",IFERROR(VLOOKUP($D294,SERVIÇOS!$C:$H,5,0),IFERROR(VLOOKUP($D294,$F:$M,7,0),)),0)*$I294,2)</f>
        <v>0</v>
      </c>
      <c r="M294" s="617">
        <f t="shared" si="138"/>
        <v>7.38</v>
      </c>
      <c r="N294" s="753" t="str">
        <f t="shared" si="139"/>
        <v>INSUMO SINAPI</v>
      </c>
      <c r="O294" s="648"/>
    </row>
    <row r="295" spans="2:15">
      <c r="B295" s="122">
        <f t="shared" si="136"/>
        <v>7.28</v>
      </c>
      <c r="C295" s="611" t="str">
        <f t="shared" si="137"/>
        <v>C</v>
      </c>
      <c r="D295" s="661">
        <v>88269</v>
      </c>
      <c r="E295" s="661"/>
      <c r="F295" s="612"/>
      <c r="G295" s="613" t="str">
        <f>IF($E295="",IFERROR(VLOOKUP($D295,SERVIÇOS!$C:$H,2,0),IFERROR(VLOOKUP($D295,$F:$M,2,0),"")),IFERROR(VLOOKUP($E295,INSUMOS!$B:$E,2,0),IFERROR(VLOOKUP($E295,COTAÇÕES!$C:$L,2,0),"")))</f>
        <v>GESSEIRO COM ENCARGOS COMPLEMENTARES</v>
      </c>
      <c r="H295" s="593" t="str">
        <f>IF($E295="",IFERROR(VLOOKUP($D295,SERVIÇOS!$C:$H,3,0),IFERROR(VLOOKUP($D295,$F:$M,3,0),"")),IFERROR(VLOOKUP($E295,INSUMOS!$B:$E,3,0),IFERROR(VLOOKUP($E295,COTAÇÕES!$C:$L,5,0),"")))</f>
        <v>H</v>
      </c>
      <c r="I295" s="614">
        <v>0.63129999999999997</v>
      </c>
      <c r="J295" s="670">
        <f>IF($E295="",IFERROR(VLOOKUP($D295,SERVIÇOS!$C:$H,6,0),IFERROR(VLOOKUP($D295,$F:$M,8,0),"")),IFERROR(VLOOKUP($E295,INSUMOS!$B:$E,4,0),IFERROR(VLOOKUP($E295,COTAÇÕES!$C:$L,10,0),"")))</f>
        <v>29.67</v>
      </c>
      <c r="K295" s="615">
        <f>TRUNC(IF($E295="",IFERROR(VLOOKUP($D295,SERVIÇOS!$C:$H,4,0),IFERROR(VLOOKUP($D295,$F:$M,6,0),)),IFERROR(VLOOKUP($E295,INSUMOS!$B:$E,4,0),IFERROR(VLOOKUP($E295,COTAÇÕES!$C:$L,10,0),)))*$I295,2)</f>
        <v>4.1900000000000004</v>
      </c>
      <c r="L295" s="616">
        <f>TRUNC(IF($E295="",IFERROR(VLOOKUP($D295,SERVIÇOS!$C:$H,5,0),IFERROR(VLOOKUP($D295,$F:$M,7,0),)),0)*$I295,2)</f>
        <v>14.53</v>
      </c>
      <c r="M295" s="617">
        <f t="shared" si="138"/>
        <v>18.72</v>
      </c>
      <c r="N295" s="753" t="str">
        <f t="shared" si="139"/>
        <v>SERVIÇO SINAPI</v>
      </c>
      <c r="O295" s="648"/>
    </row>
    <row r="296" spans="2:15">
      <c r="B296" s="122">
        <f t="shared" si="136"/>
        <v>7.28</v>
      </c>
      <c r="C296" s="611" t="str">
        <f t="shared" si="137"/>
        <v>C</v>
      </c>
      <c r="D296" s="661">
        <v>88316</v>
      </c>
      <c r="E296" s="661"/>
      <c r="F296" s="612"/>
      <c r="G296" s="613" t="str">
        <f>IF($E296="",IFERROR(VLOOKUP($D296,SERVIÇOS!$C:$H,2,0),IFERROR(VLOOKUP($D296,$F:$M,2,0),"")),IFERROR(VLOOKUP($E296,INSUMOS!$B:$E,2,0),IFERROR(VLOOKUP($E296,COTAÇÕES!$C:$L,2,0),"")))</f>
        <v>SERVENTE COM ENCARGOS COMPLEMENTARES</v>
      </c>
      <c r="H296" s="593" t="str">
        <f>IF($E296="",IFERROR(VLOOKUP($D296,SERVIÇOS!$C:$H,3,0),IFERROR(VLOOKUP($D296,$F:$M,3,0),"")),IFERROR(VLOOKUP($E296,INSUMOS!$B:$E,3,0),IFERROR(VLOOKUP($E296,COTAÇÕES!$C:$L,5,0),"")))</f>
        <v>H</v>
      </c>
      <c r="I296" s="614">
        <v>0.31559999999999999</v>
      </c>
      <c r="J296" s="670">
        <f>IF($E296="",IFERROR(VLOOKUP($D296,SERVIÇOS!$C:$H,6,0),IFERROR(VLOOKUP($D296,$F:$M,8,0),"")),IFERROR(VLOOKUP($E296,INSUMOS!$B:$E,4,0),IFERROR(VLOOKUP($E296,COTAÇÕES!$C:$L,10,0),"")))</f>
        <v>23.71</v>
      </c>
      <c r="K296" s="615">
        <f>TRUNC(IF($E296="",IFERROR(VLOOKUP($D296,SERVIÇOS!$C:$H,4,0),IFERROR(VLOOKUP($D296,$F:$M,6,0),)),IFERROR(VLOOKUP($E296,INSUMOS!$B:$E,4,0),IFERROR(VLOOKUP($E296,COTAÇÕES!$C:$L,10,0),)))*$I296,2)</f>
        <v>2.0499999999999998</v>
      </c>
      <c r="L296" s="616">
        <f>TRUNC(IF($E296="",IFERROR(VLOOKUP($D296,SERVIÇOS!$C:$H,5,0),IFERROR(VLOOKUP($D296,$F:$M,7,0),)),0)*$I296,2)</f>
        <v>5.42</v>
      </c>
      <c r="M296" s="617">
        <f t="shared" si="138"/>
        <v>7.47</v>
      </c>
      <c r="N296" s="753" t="str">
        <f t="shared" si="139"/>
        <v>SERVIÇO SINAPI</v>
      </c>
      <c r="O296" s="648"/>
    </row>
    <row r="297" spans="2:15" ht="25.5">
      <c r="B297" s="769">
        <f>SUMIF(ORC!$G$11:$G$2470,CPU!$F297,ORC!$J$11:$J$2470)</f>
        <v>236.65</v>
      </c>
      <c r="C297" s="515" t="s">
        <v>2239</v>
      </c>
      <c r="D297" s="515"/>
      <c r="E297" s="515"/>
      <c r="F297" s="515" t="s">
        <v>8580</v>
      </c>
      <c r="G297" s="594" t="s">
        <v>8582</v>
      </c>
      <c r="H297" s="515" t="s">
        <v>649</v>
      </c>
      <c r="I297" s="595"/>
      <c r="J297" s="596"/>
      <c r="K297" s="597">
        <f>SUM(K298:K302)</f>
        <v>47.319999999999993</v>
      </c>
      <c r="L297" s="597">
        <f>SUM(L298:L302)</f>
        <v>20.61</v>
      </c>
      <c r="M297" s="596">
        <f>SUM(K297:L297)</f>
        <v>67.929999999999993</v>
      </c>
      <c r="N297" s="598" t="s">
        <v>8581</v>
      </c>
      <c r="O297" s="599" t="s">
        <v>7651</v>
      </c>
    </row>
    <row r="298" spans="2:15" ht="25.5">
      <c r="B298" s="122">
        <f t="shared" ref="B298:B302" si="140">B297</f>
        <v>236.65</v>
      </c>
      <c r="C298" s="611" t="str">
        <f>IF(D298&lt;&gt;"","C",IF(E298&lt;&gt;"","I",""))</f>
        <v>I</v>
      </c>
      <c r="D298" s="661"/>
      <c r="E298" s="661">
        <v>536</v>
      </c>
      <c r="F298" s="612"/>
      <c r="G298" s="613" t="str">
        <f>IF($E298="",IFERROR(VLOOKUP($D298,SERVIÇOS!$C:$H,2,0),IFERROR(VLOOKUP($D298,$F:$M,2,0),"")),IFERROR(VLOOKUP($E298,INSUMOS!$B:$E,2,0),IFERROR(VLOOKUP($E298,COTAÇÕES!$C:$L,2,0),"")))</f>
        <v xml:space="preserve">REVESTIMENTO EM CERAMICA ESMALTADA EXTRA, PEI MENOR OU IGUAL A 3, FORMATO MENOR OU IGUAL A 2025 CM2                                                                                                                                                                                                                                                                                                                                                                                                       </v>
      </c>
      <c r="H298" s="593" t="str">
        <f>IF($E298="",IFERROR(VLOOKUP($D298,SERVIÇOS!$C:$H,3,0),IFERROR(VLOOKUP($D298,$F:$M,3,0),"")),IFERROR(VLOOKUP($E298,INSUMOS!$B:$E,3,0),IFERROR(VLOOKUP($E298,COTAÇÕES!$C:$L,5,0),"")))</f>
        <v xml:space="preserve">M2    </v>
      </c>
      <c r="I298" s="614">
        <v>1.07</v>
      </c>
      <c r="J298" s="670">
        <f>IF($E298="",IFERROR(VLOOKUP($D298,SERVIÇOS!$C:$H,6,0),IFERROR(VLOOKUP($D298,$F:$M,8,0),"")),IFERROR(VLOOKUP($E298,INSUMOS!$B:$E,4,0),IFERROR(VLOOKUP($E298,COTAÇÕES!$C:$L,10,0),"")))</f>
        <v>34.090000000000003</v>
      </c>
      <c r="K298" s="615">
        <f>TRUNC(IF($E298="",IFERROR(VLOOKUP($D298,SERVIÇOS!$C:$H,4,0),IFERROR(VLOOKUP($D298,$F:$M,6,0),)),IFERROR(VLOOKUP($E298,INSUMOS!$B:$E,4,0),IFERROR(VLOOKUP($E298,COTAÇÕES!$C:$L,10,0),)))*$I298,2)</f>
        <v>36.47</v>
      </c>
      <c r="L298" s="616">
        <f>TRUNC(IF($E298="",IFERROR(VLOOKUP($D298,SERVIÇOS!$C:$H,5,0),IFERROR(VLOOKUP($D298,$F:$M,7,0),)),0)*$I298,2)</f>
        <v>0</v>
      </c>
      <c r="M298" s="617">
        <f>K298+L298</f>
        <v>36.47</v>
      </c>
      <c r="N298" s="753" t="str">
        <f>IF($D298&lt;&gt;"","SERVIÇO SINAPI",IF($E298&lt;&gt;"","INSUMO SINAPI",""))</f>
        <v>INSUMO SINAPI</v>
      </c>
      <c r="O298" s="648"/>
    </row>
    <row r="299" spans="2:15">
      <c r="B299" s="122">
        <f t="shared" si="140"/>
        <v>236.65</v>
      </c>
      <c r="C299" s="611" t="str">
        <f t="shared" ref="C299:C302" si="141">IF(D299&lt;&gt;"","C",IF(E299&lt;&gt;"","I",""))</f>
        <v>I</v>
      </c>
      <c r="D299" s="661"/>
      <c r="E299" s="661">
        <v>1381</v>
      </c>
      <c r="F299" s="612"/>
      <c r="G299" s="613" t="str">
        <f>IF($E299="",IFERROR(VLOOKUP($D299,SERVIÇOS!$C:$H,2,0),IFERROR(VLOOKUP($D299,$F:$M,2,0),"")),IFERROR(VLOOKUP($E299,INSUMOS!$B:$E,2,0),IFERROR(VLOOKUP($E299,COTAÇÕES!$C:$L,2,0),"")))</f>
        <v xml:space="preserve">ARGAMASSA COLANTE AC I PARA CERAMICAS                                                                                                                                                                                                                                                                                                                                                                                                                                                                     </v>
      </c>
      <c r="H299" s="593" t="str">
        <f>IF($E299="",IFERROR(VLOOKUP($D299,SERVIÇOS!$C:$H,3,0),IFERROR(VLOOKUP($D299,$F:$M,3,0),"")),IFERROR(VLOOKUP($E299,INSUMOS!$B:$E,3,0),IFERROR(VLOOKUP($E299,COTAÇÕES!$C:$L,5,0),"")))</f>
        <v xml:space="preserve">KG    </v>
      </c>
      <c r="I299" s="614">
        <v>4.8600000000000003</v>
      </c>
      <c r="J299" s="670">
        <f>IF($E299="",IFERROR(VLOOKUP($D299,SERVIÇOS!$C:$H,6,0),IFERROR(VLOOKUP($D299,$F:$M,8,0),"")),IFERROR(VLOOKUP($E299,INSUMOS!$B:$E,4,0),IFERROR(VLOOKUP($E299,COTAÇÕES!$C:$L,10,0),"")))</f>
        <v>0.7</v>
      </c>
      <c r="K299" s="615">
        <f>TRUNC(IF($E299="",IFERROR(VLOOKUP($D299,SERVIÇOS!$C:$H,4,0),IFERROR(VLOOKUP($D299,$F:$M,6,0),)),IFERROR(VLOOKUP($E299,INSUMOS!$B:$E,4,0),IFERROR(VLOOKUP($E299,COTAÇÕES!$C:$L,10,0),)))*$I299,2)</f>
        <v>3.4</v>
      </c>
      <c r="L299" s="616">
        <f>TRUNC(IF($E299="",IFERROR(VLOOKUP($D299,SERVIÇOS!$C:$H,5,0),IFERROR(VLOOKUP($D299,$F:$M,7,0),)),0)*$I299,2)</f>
        <v>0</v>
      </c>
      <c r="M299" s="617">
        <f t="shared" ref="M299:M302" si="142">K299+L299</f>
        <v>3.4</v>
      </c>
      <c r="N299" s="753" t="str">
        <f t="shared" ref="N299:N302" si="143">IF($D299&lt;&gt;"","SERVIÇO SINAPI",IF($E299&lt;&gt;"","INSUMO SINAPI",""))</f>
        <v>INSUMO SINAPI</v>
      </c>
      <c r="O299" s="648"/>
    </row>
    <row r="300" spans="2:15">
      <c r="B300" s="122">
        <f t="shared" si="140"/>
        <v>236.65</v>
      </c>
      <c r="C300" s="611" t="str">
        <f t="shared" si="141"/>
        <v>I</v>
      </c>
      <c r="D300" s="661"/>
      <c r="E300" s="661">
        <v>34357</v>
      </c>
      <c r="F300" s="612"/>
      <c r="G300" s="613" t="str">
        <f>IF($E300="",IFERROR(VLOOKUP($D300,SERVIÇOS!$C:$H,2,0),IFERROR(VLOOKUP($D300,$F:$M,2,0),"")),IFERROR(VLOOKUP($E300,INSUMOS!$B:$E,2,0),IFERROR(VLOOKUP($E300,COTAÇÕES!$C:$L,2,0),"")))</f>
        <v xml:space="preserve">REJUNTE CIMENTICIO, QUALQUER COR                                                                                                                                                                                                                                                                                                                                                                                                                                                                          </v>
      </c>
      <c r="H300" s="593" t="str">
        <f>IF($E300="",IFERROR(VLOOKUP($D300,SERVIÇOS!$C:$H,3,0),IFERROR(VLOOKUP($D300,$F:$M,3,0),"")),IFERROR(VLOOKUP($E300,INSUMOS!$B:$E,3,0),IFERROR(VLOOKUP($E300,COTAÇÕES!$C:$L,5,0),"")))</f>
        <v xml:space="preserve">KG    </v>
      </c>
      <c r="I300" s="614">
        <v>0.28999999999999998</v>
      </c>
      <c r="J300" s="670">
        <f>IF($E300="",IFERROR(VLOOKUP($D300,SERVIÇOS!$C:$H,6,0),IFERROR(VLOOKUP($D300,$F:$M,8,0),"")),IFERROR(VLOOKUP($E300,INSUMOS!$B:$E,4,0),IFERROR(VLOOKUP($E300,COTAÇÕES!$C:$L,10,0),"")))</f>
        <v>4.1100000000000003</v>
      </c>
      <c r="K300" s="615">
        <f>TRUNC(IF($E300="",IFERROR(VLOOKUP($D300,SERVIÇOS!$C:$H,4,0),IFERROR(VLOOKUP($D300,$F:$M,6,0),)),IFERROR(VLOOKUP($E300,INSUMOS!$B:$E,4,0),IFERROR(VLOOKUP($E300,COTAÇÕES!$C:$L,10,0),)))*$I300,2)</f>
        <v>1.19</v>
      </c>
      <c r="L300" s="616">
        <f>TRUNC(IF($E300="",IFERROR(VLOOKUP($D300,SERVIÇOS!$C:$H,5,0),IFERROR(VLOOKUP($D300,$F:$M,7,0),)),0)*$I300,2)</f>
        <v>0</v>
      </c>
      <c r="M300" s="617">
        <f t="shared" si="142"/>
        <v>1.19</v>
      </c>
      <c r="N300" s="753" t="str">
        <f t="shared" si="143"/>
        <v>INSUMO SINAPI</v>
      </c>
      <c r="O300" s="648"/>
    </row>
    <row r="301" spans="2:15">
      <c r="B301" s="122">
        <f t="shared" si="140"/>
        <v>236.65</v>
      </c>
      <c r="C301" s="611" t="str">
        <f t="shared" si="141"/>
        <v>C</v>
      </c>
      <c r="D301" s="661">
        <v>88256</v>
      </c>
      <c r="E301" s="661"/>
      <c r="F301" s="612"/>
      <c r="G301" s="613" t="str">
        <f>IF($E301="",IFERROR(VLOOKUP($D301,SERVIÇOS!$C:$H,2,0),IFERROR(VLOOKUP($D301,$F:$M,2,0),"")),IFERROR(VLOOKUP($E301,INSUMOS!$B:$E,2,0),IFERROR(VLOOKUP($E301,COTAÇÕES!$C:$L,2,0),"")))</f>
        <v>AZULEJISTA OU LADRILHISTA COM ENCARGOS COMPLEMENTARES</v>
      </c>
      <c r="H301" s="593" t="str">
        <f>IF($E301="",IFERROR(VLOOKUP($D301,SERVIÇOS!$C:$H,3,0),IFERROR(VLOOKUP($D301,$F:$M,3,0),"")),IFERROR(VLOOKUP($E301,INSUMOS!$B:$E,3,0),IFERROR(VLOOKUP($E301,COTAÇÕES!$C:$L,5,0),"")))</f>
        <v>H</v>
      </c>
      <c r="I301" s="614">
        <v>0.61</v>
      </c>
      <c r="J301" s="670">
        <f>IF($E301="",IFERROR(VLOOKUP($D301,SERVIÇOS!$C:$H,6,0),IFERROR(VLOOKUP($D301,$F:$M,8,0),"")),IFERROR(VLOOKUP($E301,INSUMOS!$B:$E,4,0),IFERROR(VLOOKUP($E301,COTAÇÕES!$C:$L,10,0),"")))</f>
        <v>30.86</v>
      </c>
      <c r="K301" s="615">
        <f>TRUNC(IF($E301="",IFERROR(VLOOKUP($D301,SERVIÇOS!$C:$H,4,0),IFERROR(VLOOKUP($D301,$F:$M,6,0),)),IFERROR(VLOOKUP($E301,INSUMOS!$B:$E,4,0),IFERROR(VLOOKUP($E301,COTAÇÕES!$C:$L,10,0),)))*$I301,2)</f>
        <v>4.05</v>
      </c>
      <c r="L301" s="616">
        <f>TRUNC(IF($E301="",IFERROR(VLOOKUP($D301,SERVIÇOS!$C:$H,5,0),IFERROR(VLOOKUP($D301,$F:$M,7,0),)),0)*$I301,2)</f>
        <v>14.77</v>
      </c>
      <c r="M301" s="617">
        <f t="shared" si="142"/>
        <v>18.82</v>
      </c>
      <c r="N301" s="753" t="str">
        <f t="shared" si="143"/>
        <v>SERVIÇO SINAPI</v>
      </c>
      <c r="O301" s="648"/>
    </row>
    <row r="302" spans="2:15">
      <c r="B302" s="122">
        <f t="shared" si="140"/>
        <v>236.65</v>
      </c>
      <c r="C302" s="611" t="str">
        <f t="shared" si="141"/>
        <v>C</v>
      </c>
      <c r="D302" s="661">
        <v>88316</v>
      </c>
      <c r="E302" s="661"/>
      <c r="F302" s="612"/>
      <c r="G302" s="613" t="str">
        <f>IF($E302="",IFERROR(VLOOKUP($D302,SERVIÇOS!$C:$H,2,0),IFERROR(VLOOKUP($D302,$F:$M,2,0),"")),IFERROR(VLOOKUP($E302,INSUMOS!$B:$E,2,0),IFERROR(VLOOKUP($E302,COTAÇÕES!$C:$L,2,0),"")))</f>
        <v>SERVENTE COM ENCARGOS COMPLEMENTARES</v>
      </c>
      <c r="H302" s="593" t="str">
        <f>IF($E302="",IFERROR(VLOOKUP($D302,SERVIÇOS!$C:$H,3,0),IFERROR(VLOOKUP($D302,$F:$M,3,0),"")),IFERROR(VLOOKUP($E302,INSUMOS!$B:$E,3,0),IFERROR(VLOOKUP($E302,COTAÇÕES!$C:$L,5,0),"")))</f>
        <v>H</v>
      </c>
      <c r="I302" s="614">
        <v>0.34</v>
      </c>
      <c r="J302" s="670">
        <f>IF($E302="",IFERROR(VLOOKUP($D302,SERVIÇOS!$C:$H,6,0),IFERROR(VLOOKUP($D302,$F:$M,8,0),"")),IFERROR(VLOOKUP($E302,INSUMOS!$B:$E,4,0),IFERROR(VLOOKUP($E302,COTAÇÕES!$C:$L,10,0),"")))</f>
        <v>23.71</v>
      </c>
      <c r="K302" s="615">
        <f>TRUNC(IF($E302="",IFERROR(VLOOKUP($D302,SERVIÇOS!$C:$H,4,0),IFERROR(VLOOKUP($D302,$F:$M,6,0),)),IFERROR(VLOOKUP($E302,INSUMOS!$B:$E,4,0),IFERROR(VLOOKUP($E302,COTAÇÕES!$C:$L,10,0),)))*$I302,2)</f>
        <v>2.21</v>
      </c>
      <c r="L302" s="616">
        <f>TRUNC(IF($E302="",IFERROR(VLOOKUP($D302,SERVIÇOS!$C:$H,5,0),IFERROR(VLOOKUP($D302,$F:$M,7,0),)),0)*$I302,2)</f>
        <v>5.84</v>
      </c>
      <c r="M302" s="617">
        <f t="shared" si="142"/>
        <v>8.0500000000000007</v>
      </c>
      <c r="N302" s="753" t="str">
        <f t="shared" si="143"/>
        <v>SERVIÇO SINAPI</v>
      </c>
      <c r="O302" s="648"/>
    </row>
    <row r="303" spans="2:15" ht="25.5">
      <c r="B303" s="769">
        <f>SUMIF(ORC!$G$11:$G$2470,CPU!$F303,ORC!$J$11:$J$2470)</f>
        <v>26.69</v>
      </c>
      <c r="C303" s="515" t="s">
        <v>2239</v>
      </c>
      <c r="D303" s="515"/>
      <c r="E303" s="515"/>
      <c r="F303" s="515" t="s">
        <v>8583</v>
      </c>
      <c r="G303" s="594" t="s">
        <v>8584</v>
      </c>
      <c r="H303" s="515" t="s">
        <v>649</v>
      </c>
      <c r="I303" s="595"/>
      <c r="J303" s="596"/>
      <c r="K303" s="597">
        <f>SUM(K304:K308)</f>
        <v>83.169999999999987</v>
      </c>
      <c r="L303" s="597">
        <f>SUM(L304:L308)</f>
        <v>20.61</v>
      </c>
      <c r="M303" s="596">
        <f>SUM(K303:L303)</f>
        <v>103.77999999999999</v>
      </c>
      <c r="N303" s="598" t="s">
        <v>8581</v>
      </c>
      <c r="O303" s="599" t="s">
        <v>7651</v>
      </c>
    </row>
    <row r="304" spans="2:15">
      <c r="B304" s="122">
        <f t="shared" ref="B304:B308" si="144">B303</f>
        <v>26.69</v>
      </c>
      <c r="C304" s="611" t="str">
        <f>IF(D304&lt;&gt;"","C",IF(E304&lt;&gt;"","I",""))</f>
        <v>I</v>
      </c>
      <c r="D304" s="661"/>
      <c r="E304" s="661" t="s">
        <v>9040</v>
      </c>
      <c r="F304" s="612"/>
      <c r="G304" s="613" t="str">
        <f>IF($E304="",IFERROR(VLOOKUP($D304,SERVIÇOS!$C:$H,2,0),IFERROR(VLOOKUP($D304,$F:$M,2,0),"")),IFERROR(VLOOKUP($E304,INSUMOS!$B:$E,2,0),IFERROR(VLOOKUP($E304,COTAÇÕES!$C:$L,2,0),"")))</f>
        <v>PASTILHA CERÂMICA ESMALTADA, 10X10CM, CINZA MÉDIO</v>
      </c>
      <c r="H304" s="593" t="str">
        <f>IF($E304="",IFERROR(VLOOKUP($D304,SERVIÇOS!$C:$H,3,0),IFERROR(VLOOKUP($D304,$F:$M,3,0),"")),IFERROR(VLOOKUP($E304,INSUMOS!$B:$E,3,0),IFERROR(VLOOKUP($E304,COTAÇÕES!$C:$L,5,0),"")))</f>
        <v>M2</v>
      </c>
      <c r="I304" s="614">
        <v>1.07</v>
      </c>
      <c r="J304" s="670">
        <f>IF($E304="",IFERROR(VLOOKUP($D304,SERVIÇOS!$C:$H,6,0),IFERROR(VLOOKUP($D304,$F:$M,8,0),"")),IFERROR(VLOOKUP($E304,INSUMOS!$B:$E,4,0),IFERROR(VLOOKUP($E304,COTAÇÕES!$C:$L,10,0),"")))</f>
        <v>67.596666666666678</v>
      </c>
      <c r="K304" s="615">
        <f>TRUNC(IF($E304="",IFERROR(VLOOKUP($D304,SERVIÇOS!$C:$H,4,0),IFERROR(VLOOKUP($D304,$F:$M,6,0),)),IFERROR(VLOOKUP($E304,INSUMOS!$B:$E,4,0),IFERROR(VLOOKUP($E304,COTAÇÕES!$C:$L,10,0),)))*$I304,2)</f>
        <v>72.319999999999993</v>
      </c>
      <c r="L304" s="616">
        <f>TRUNC(IF($E304="",IFERROR(VLOOKUP($D304,SERVIÇOS!$C:$H,5,0),IFERROR(VLOOKUP($D304,$F:$M,7,0),)),0)*$I304,2)</f>
        <v>0</v>
      </c>
      <c r="M304" s="617">
        <f>K304+L304</f>
        <v>72.319999999999993</v>
      </c>
      <c r="N304" s="753" t="s">
        <v>6845</v>
      </c>
      <c r="O304" s="648"/>
    </row>
    <row r="305" spans="2:15">
      <c r="B305" s="122">
        <f t="shared" si="144"/>
        <v>26.69</v>
      </c>
      <c r="C305" s="611" t="str">
        <f t="shared" ref="C305:C308" si="145">IF(D305&lt;&gt;"","C",IF(E305&lt;&gt;"","I",""))</f>
        <v>I</v>
      </c>
      <c r="D305" s="661"/>
      <c r="E305" s="661">
        <v>1381</v>
      </c>
      <c r="F305" s="612"/>
      <c r="G305" s="613" t="str">
        <f>IF($E305="",IFERROR(VLOOKUP($D305,SERVIÇOS!$C:$H,2,0),IFERROR(VLOOKUP($D305,$F:$M,2,0),"")),IFERROR(VLOOKUP($E305,INSUMOS!$B:$E,2,0),IFERROR(VLOOKUP($E305,COTAÇÕES!$C:$L,2,0),"")))</f>
        <v xml:space="preserve">ARGAMASSA COLANTE AC I PARA CERAMICAS                                                                                                                                                                                                                                                                                                                                                                                                                                                                     </v>
      </c>
      <c r="H305" s="593" t="str">
        <f>IF($E305="",IFERROR(VLOOKUP($D305,SERVIÇOS!$C:$H,3,0),IFERROR(VLOOKUP($D305,$F:$M,3,0),"")),IFERROR(VLOOKUP($E305,INSUMOS!$B:$E,3,0),IFERROR(VLOOKUP($E305,COTAÇÕES!$C:$L,5,0),"")))</f>
        <v xml:space="preserve">KG    </v>
      </c>
      <c r="I305" s="614">
        <v>4.8600000000000003</v>
      </c>
      <c r="J305" s="670">
        <f>IF($E305="",IFERROR(VLOOKUP($D305,SERVIÇOS!$C:$H,6,0),IFERROR(VLOOKUP($D305,$F:$M,8,0),"")),IFERROR(VLOOKUP($E305,INSUMOS!$B:$E,4,0),IFERROR(VLOOKUP($E305,COTAÇÕES!$C:$L,10,0),"")))</f>
        <v>0.7</v>
      </c>
      <c r="K305" s="615">
        <f>TRUNC(IF($E305="",IFERROR(VLOOKUP($D305,SERVIÇOS!$C:$H,4,0),IFERROR(VLOOKUP($D305,$F:$M,6,0),)),IFERROR(VLOOKUP($E305,INSUMOS!$B:$E,4,0),IFERROR(VLOOKUP($E305,COTAÇÕES!$C:$L,10,0),)))*$I305,2)</f>
        <v>3.4</v>
      </c>
      <c r="L305" s="616">
        <f>TRUNC(IF($E305="",IFERROR(VLOOKUP($D305,SERVIÇOS!$C:$H,5,0),IFERROR(VLOOKUP($D305,$F:$M,7,0),)),0)*$I305,2)</f>
        <v>0</v>
      </c>
      <c r="M305" s="617">
        <f t="shared" ref="M305:M308" si="146">K305+L305</f>
        <v>3.4</v>
      </c>
      <c r="N305" s="753" t="str">
        <f t="shared" ref="N305:N308" si="147">IF($D305&lt;&gt;"","SERVIÇO SINAPI",IF($E305&lt;&gt;"","INSUMO SINAPI",""))</f>
        <v>INSUMO SINAPI</v>
      </c>
      <c r="O305" s="648"/>
    </row>
    <row r="306" spans="2:15">
      <c r="B306" s="122">
        <f t="shared" si="144"/>
        <v>26.69</v>
      </c>
      <c r="C306" s="611" t="str">
        <f t="shared" si="145"/>
        <v>I</v>
      </c>
      <c r="D306" s="661"/>
      <c r="E306" s="661">
        <v>34357</v>
      </c>
      <c r="F306" s="612"/>
      <c r="G306" s="613" t="str">
        <f>IF($E306="",IFERROR(VLOOKUP($D306,SERVIÇOS!$C:$H,2,0),IFERROR(VLOOKUP($D306,$F:$M,2,0),"")),IFERROR(VLOOKUP($E306,INSUMOS!$B:$E,2,0),IFERROR(VLOOKUP($E306,COTAÇÕES!$C:$L,2,0),"")))</f>
        <v xml:space="preserve">REJUNTE CIMENTICIO, QUALQUER COR                                                                                                                                                                                                                                                                                                                                                                                                                                                                          </v>
      </c>
      <c r="H306" s="593" t="str">
        <f>IF($E306="",IFERROR(VLOOKUP($D306,SERVIÇOS!$C:$H,3,0),IFERROR(VLOOKUP($D306,$F:$M,3,0),"")),IFERROR(VLOOKUP($E306,INSUMOS!$B:$E,3,0),IFERROR(VLOOKUP($E306,COTAÇÕES!$C:$L,5,0),"")))</f>
        <v xml:space="preserve">KG    </v>
      </c>
      <c r="I306" s="614">
        <v>0.28999999999999998</v>
      </c>
      <c r="J306" s="670">
        <f>IF($E306="",IFERROR(VLOOKUP($D306,SERVIÇOS!$C:$H,6,0),IFERROR(VLOOKUP($D306,$F:$M,8,0),"")),IFERROR(VLOOKUP($E306,INSUMOS!$B:$E,4,0),IFERROR(VLOOKUP($E306,COTAÇÕES!$C:$L,10,0),"")))</f>
        <v>4.1100000000000003</v>
      </c>
      <c r="K306" s="615">
        <f>TRUNC(IF($E306="",IFERROR(VLOOKUP($D306,SERVIÇOS!$C:$H,4,0),IFERROR(VLOOKUP($D306,$F:$M,6,0),)),IFERROR(VLOOKUP($E306,INSUMOS!$B:$E,4,0),IFERROR(VLOOKUP($E306,COTAÇÕES!$C:$L,10,0),)))*$I306,2)</f>
        <v>1.19</v>
      </c>
      <c r="L306" s="616">
        <f>TRUNC(IF($E306="",IFERROR(VLOOKUP($D306,SERVIÇOS!$C:$H,5,0),IFERROR(VLOOKUP($D306,$F:$M,7,0),)),0)*$I306,2)</f>
        <v>0</v>
      </c>
      <c r="M306" s="617">
        <f t="shared" si="146"/>
        <v>1.19</v>
      </c>
      <c r="N306" s="753" t="str">
        <f t="shared" si="147"/>
        <v>INSUMO SINAPI</v>
      </c>
      <c r="O306" s="648"/>
    </row>
    <row r="307" spans="2:15">
      <c r="B307" s="122">
        <f t="shared" si="144"/>
        <v>26.69</v>
      </c>
      <c r="C307" s="611" t="str">
        <f t="shared" si="145"/>
        <v>C</v>
      </c>
      <c r="D307" s="661">
        <v>88256</v>
      </c>
      <c r="E307" s="661"/>
      <c r="F307" s="612"/>
      <c r="G307" s="613" t="str">
        <f>IF($E307="",IFERROR(VLOOKUP($D307,SERVIÇOS!$C:$H,2,0),IFERROR(VLOOKUP($D307,$F:$M,2,0),"")),IFERROR(VLOOKUP($E307,INSUMOS!$B:$E,2,0),IFERROR(VLOOKUP($E307,COTAÇÕES!$C:$L,2,0),"")))</f>
        <v>AZULEJISTA OU LADRILHISTA COM ENCARGOS COMPLEMENTARES</v>
      </c>
      <c r="H307" s="593" t="str">
        <f>IF($E307="",IFERROR(VLOOKUP($D307,SERVIÇOS!$C:$H,3,0),IFERROR(VLOOKUP($D307,$F:$M,3,0),"")),IFERROR(VLOOKUP($E307,INSUMOS!$B:$E,3,0),IFERROR(VLOOKUP($E307,COTAÇÕES!$C:$L,5,0),"")))</f>
        <v>H</v>
      </c>
      <c r="I307" s="614">
        <v>0.61</v>
      </c>
      <c r="J307" s="670">
        <f>IF($E307="",IFERROR(VLOOKUP($D307,SERVIÇOS!$C:$H,6,0),IFERROR(VLOOKUP($D307,$F:$M,8,0),"")),IFERROR(VLOOKUP($E307,INSUMOS!$B:$E,4,0),IFERROR(VLOOKUP($E307,COTAÇÕES!$C:$L,10,0),"")))</f>
        <v>30.86</v>
      </c>
      <c r="K307" s="615">
        <f>TRUNC(IF($E307="",IFERROR(VLOOKUP($D307,SERVIÇOS!$C:$H,4,0),IFERROR(VLOOKUP($D307,$F:$M,6,0),)),IFERROR(VLOOKUP($E307,INSUMOS!$B:$E,4,0),IFERROR(VLOOKUP($E307,COTAÇÕES!$C:$L,10,0),)))*$I307,2)</f>
        <v>4.05</v>
      </c>
      <c r="L307" s="616">
        <f>TRUNC(IF($E307="",IFERROR(VLOOKUP($D307,SERVIÇOS!$C:$H,5,0),IFERROR(VLOOKUP($D307,$F:$M,7,0),)),0)*$I307,2)</f>
        <v>14.77</v>
      </c>
      <c r="M307" s="617">
        <f t="shared" si="146"/>
        <v>18.82</v>
      </c>
      <c r="N307" s="753" t="str">
        <f t="shared" si="147"/>
        <v>SERVIÇO SINAPI</v>
      </c>
      <c r="O307" s="648"/>
    </row>
    <row r="308" spans="2:15">
      <c r="B308" s="122">
        <f t="shared" si="144"/>
        <v>26.69</v>
      </c>
      <c r="C308" s="611" t="str">
        <f t="shared" si="145"/>
        <v>C</v>
      </c>
      <c r="D308" s="661">
        <v>88316</v>
      </c>
      <c r="E308" s="661"/>
      <c r="F308" s="612"/>
      <c r="G308" s="613" t="str">
        <f>IF($E308="",IFERROR(VLOOKUP($D308,SERVIÇOS!$C:$H,2,0),IFERROR(VLOOKUP($D308,$F:$M,2,0),"")),IFERROR(VLOOKUP($E308,INSUMOS!$B:$E,2,0),IFERROR(VLOOKUP($E308,COTAÇÕES!$C:$L,2,0),"")))</f>
        <v>SERVENTE COM ENCARGOS COMPLEMENTARES</v>
      </c>
      <c r="H308" s="593" t="str">
        <f>IF($E308="",IFERROR(VLOOKUP($D308,SERVIÇOS!$C:$H,3,0),IFERROR(VLOOKUP($D308,$F:$M,3,0),"")),IFERROR(VLOOKUP($E308,INSUMOS!$B:$E,3,0),IFERROR(VLOOKUP($E308,COTAÇÕES!$C:$L,5,0),"")))</f>
        <v>H</v>
      </c>
      <c r="I308" s="614">
        <v>0.34</v>
      </c>
      <c r="J308" s="670">
        <f>IF($E308="",IFERROR(VLOOKUP($D308,SERVIÇOS!$C:$H,6,0),IFERROR(VLOOKUP($D308,$F:$M,8,0),"")),IFERROR(VLOOKUP($E308,INSUMOS!$B:$E,4,0),IFERROR(VLOOKUP($E308,COTAÇÕES!$C:$L,10,0),"")))</f>
        <v>23.71</v>
      </c>
      <c r="K308" s="615">
        <f>TRUNC(IF($E308="",IFERROR(VLOOKUP($D308,SERVIÇOS!$C:$H,4,0),IFERROR(VLOOKUP($D308,$F:$M,6,0),)),IFERROR(VLOOKUP($E308,INSUMOS!$B:$E,4,0),IFERROR(VLOOKUP($E308,COTAÇÕES!$C:$L,10,0),)))*$I308,2)</f>
        <v>2.21</v>
      </c>
      <c r="L308" s="616">
        <f>TRUNC(IF($E308="",IFERROR(VLOOKUP($D308,SERVIÇOS!$C:$H,5,0),IFERROR(VLOOKUP($D308,$F:$M,7,0),)),0)*$I308,2)</f>
        <v>5.84</v>
      </c>
      <c r="M308" s="617">
        <f t="shared" si="146"/>
        <v>8.0500000000000007</v>
      </c>
      <c r="N308" s="753" t="str">
        <f t="shared" si="147"/>
        <v>SERVIÇO SINAPI</v>
      </c>
      <c r="O308" s="648"/>
    </row>
    <row r="309" spans="2:15" ht="25.5">
      <c r="B309" s="769">
        <f>SUMIF(ORC!$G$11:$G$2470,CPU!$F309,ORC!$J$11:$J$2470)</f>
        <v>479.35</v>
      </c>
      <c r="C309" s="515" t="s">
        <v>2239</v>
      </c>
      <c r="D309" s="515"/>
      <c r="E309" s="515"/>
      <c r="F309" s="515" t="s">
        <v>8585</v>
      </c>
      <c r="G309" s="594" t="s">
        <v>8598</v>
      </c>
      <c r="H309" s="515" t="s">
        <v>649</v>
      </c>
      <c r="I309" s="595"/>
      <c r="J309" s="596"/>
      <c r="K309" s="597">
        <f>SUM(K310:K313)</f>
        <v>208.37</v>
      </c>
      <c r="L309" s="597">
        <f>SUM(L310:L313)</f>
        <v>5.62</v>
      </c>
      <c r="M309" s="596">
        <f>SUM(K309:L309)</f>
        <v>213.99</v>
      </c>
      <c r="N309" s="598" t="s">
        <v>8586</v>
      </c>
      <c r="O309" s="599" t="s">
        <v>7651</v>
      </c>
    </row>
    <row r="310" spans="2:15" ht="25.5">
      <c r="B310" s="122">
        <f t="shared" ref="B310:B313" si="148">B309</f>
        <v>479.35</v>
      </c>
      <c r="C310" s="611" t="str">
        <f>IF(D310&lt;&gt;"","C",IF(E310&lt;&gt;"","I",""))</f>
        <v>I</v>
      </c>
      <c r="D310" s="661"/>
      <c r="E310" s="661" t="s">
        <v>9041</v>
      </c>
      <c r="F310" s="612"/>
      <c r="G310" s="613" t="str">
        <f>IF($E310="",IFERROR(VLOOKUP($D310,SERVIÇOS!$C:$H,2,0),IFERROR(VLOOKUP($D310,$F:$M,2,0),"")),IFERROR(VLOOKUP($E310,INSUMOS!$B:$E,2,0),IFERROR(VLOOKUP($E310,COTAÇÕES!$C:$L,2,0),"")))</f>
        <v>REVESTIMENTO VINÍLICO HETEROGÊNEO FLEXÍVEL EM RÉGUAS 184X950MM, ESPESSURA 3,2MM, COR CANELA, USO COMERCIAL</v>
      </c>
      <c r="H310" s="593" t="str">
        <f>IF($E310="",IFERROR(VLOOKUP($D310,SERVIÇOS!$C:$H,3,0),IFERROR(VLOOKUP($D310,$F:$M,3,0),"")),IFERROR(VLOOKUP($E310,INSUMOS!$B:$E,3,0),IFERROR(VLOOKUP($E310,COTAÇÕES!$C:$L,5,0),"")))</f>
        <v>M2</v>
      </c>
      <c r="I310" s="614">
        <v>1.1100000000000001</v>
      </c>
      <c r="J310" s="670">
        <f>IF($E310="",IFERROR(VLOOKUP($D310,SERVIÇOS!$C:$H,6,0),IFERROR(VLOOKUP($D310,$F:$M,8,0),"")),IFERROR(VLOOKUP($E310,INSUMOS!$B:$E,4,0),IFERROR(VLOOKUP($E310,COTAÇÕES!$C:$L,10,0),"")))</f>
        <v>182.31622489959841</v>
      </c>
      <c r="K310" s="615">
        <f>TRUNC(IF($E310="",IFERROR(VLOOKUP($D310,SERVIÇOS!$C:$H,4,0),IFERROR(VLOOKUP($D310,$F:$M,6,0),)),IFERROR(VLOOKUP($E310,INSUMOS!$B:$E,4,0),IFERROR(VLOOKUP($E310,COTAÇÕES!$C:$L,10,0),)))*$I310,2)</f>
        <v>202.37</v>
      </c>
      <c r="L310" s="616">
        <f>TRUNC(IF($E310="",IFERROR(VLOOKUP($D310,SERVIÇOS!$C:$H,5,0),IFERROR(VLOOKUP($D310,$F:$M,7,0),)),0)*$I310,2)</f>
        <v>0</v>
      </c>
      <c r="M310" s="617">
        <f>K310+L310</f>
        <v>202.37</v>
      </c>
      <c r="N310" s="753" t="s">
        <v>6845</v>
      </c>
      <c r="O310" s="648"/>
    </row>
    <row r="311" spans="2:15">
      <c r="B311" s="122">
        <f t="shared" si="148"/>
        <v>479.35</v>
      </c>
      <c r="C311" s="611" t="str">
        <f t="shared" ref="C311:C313" si="149">IF(D311&lt;&gt;"","C",IF(E311&lt;&gt;"","I",""))</f>
        <v>I</v>
      </c>
      <c r="D311" s="661"/>
      <c r="E311" s="661">
        <v>4791</v>
      </c>
      <c r="F311" s="612"/>
      <c r="G311" s="613" t="str">
        <f>IF($E311="",IFERROR(VLOOKUP($D311,SERVIÇOS!$C:$H,2,0),IFERROR(VLOOKUP($D311,$F:$M,2,0),"")),IFERROR(VLOOKUP($E311,INSUMOS!$B:$E,2,0),IFERROR(VLOOKUP($E311,COTAÇÕES!$C:$L,2,0),"")))</f>
        <v xml:space="preserve">ADESIVO ACRILICO DE BASE AQUOSA / COLA DE CONTATO                                                                                                                                                                                                                                                                                                                                                                                                                                                         </v>
      </c>
      <c r="H311" s="593" t="str">
        <f>IF($E311="",IFERROR(VLOOKUP($D311,SERVIÇOS!$C:$H,3,0),IFERROR(VLOOKUP($D311,$F:$M,3,0),"")),IFERROR(VLOOKUP($E311,INSUMOS!$B:$E,3,0),IFERROR(VLOOKUP($E311,COTAÇÕES!$C:$L,5,0),"")))</f>
        <v xml:space="preserve">KG    </v>
      </c>
      <c r="I311" s="614">
        <v>9.5000000000000001E-2</v>
      </c>
      <c r="J311" s="670">
        <f>IF($E311="",IFERROR(VLOOKUP($D311,SERVIÇOS!$C:$H,6,0),IFERROR(VLOOKUP($D311,$F:$M,8,0),"")),IFERROR(VLOOKUP($E311,INSUMOS!$B:$E,4,0),IFERROR(VLOOKUP($E311,COTAÇÕES!$C:$L,10,0),"")))</f>
        <v>45.49</v>
      </c>
      <c r="K311" s="615">
        <f>TRUNC(IF($E311="",IFERROR(VLOOKUP($D311,SERVIÇOS!$C:$H,4,0),IFERROR(VLOOKUP($D311,$F:$M,6,0),)),IFERROR(VLOOKUP($E311,INSUMOS!$B:$E,4,0),IFERROR(VLOOKUP($E311,COTAÇÕES!$C:$L,10,0),)))*$I311,2)</f>
        <v>4.32</v>
      </c>
      <c r="L311" s="616">
        <f>TRUNC(IF($E311="",IFERROR(VLOOKUP($D311,SERVIÇOS!$C:$H,5,0),IFERROR(VLOOKUP($D311,$F:$M,7,0),)),0)*$I311,2)</f>
        <v>0</v>
      </c>
      <c r="M311" s="617">
        <f t="shared" ref="M311:M313" si="150">K311+L311</f>
        <v>4.32</v>
      </c>
      <c r="N311" s="753" t="str">
        <f t="shared" ref="N311:N313" si="151">IF($D311&lt;&gt;"","SERVIÇO SINAPI",IF($E311&lt;&gt;"","INSUMO SINAPI",""))</f>
        <v>INSUMO SINAPI</v>
      </c>
      <c r="O311" s="648"/>
    </row>
    <row r="312" spans="2:15">
      <c r="B312" s="122">
        <f t="shared" si="148"/>
        <v>479.35</v>
      </c>
      <c r="C312" s="611" t="str">
        <f t="shared" si="149"/>
        <v>C</v>
      </c>
      <c r="D312" s="661">
        <v>88309</v>
      </c>
      <c r="E312" s="661"/>
      <c r="F312" s="612"/>
      <c r="G312" s="613" t="str">
        <f>IF($E312="",IFERROR(VLOOKUP($D312,SERVIÇOS!$C:$H,2,0),IFERROR(VLOOKUP($D312,$F:$M,2,0),"")),IFERROR(VLOOKUP($E312,INSUMOS!$B:$E,2,0),IFERROR(VLOOKUP($E312,COTAÇÕES!$C:$L,2,0),"")))</f>
        <v>PEDREIRO COM ENCARGOS COMPLEMENTARES</v>
      </c>
      <c r="H312" s="593" t="str">
        <f>IF($E312="",IFERROR(VLOOKUP($D312,SERVIÇOS!$C:$H,3,0),IFERROR(VLOOKUP($D312,$F:$M,3,0),"")),IFERROR(VLOOKUP($E312,INSUMOS!$B:$E,3,0),IFERROR(VLOOKUP($E312,COTAÇÕES!$C:$L,5,0),"")))</f>
        <v>H</v>
      </c>
      <c r="I312" s="614">
        <v>0.17100000000000001</v>
      </c>
      <c r="J312" s="670">
        <f>IF($E312="",IFERROR(VLOOKUP($D312,SERVIÇOS!$C:$H,6,0),IFERROR(VLOOKUP($D312,$F:$M,8,0),"")),IFERROR(VLOOKUP($E312,INSUMOS!$B:$E,4,0),IFERROR(VLOOKUP($E312,COTAÇÕES!$C:$L,10,0),"")))</f>
        <v>30.99</v>
      </c>
      <c r="K312" s="615">
        <f>TRUNC(IF($E312="",IFERROR(VLOOKUP($D312,SERVIÇOS!$C:$H,4,0),IFERROR(VLOOKUP($D312,$F:$M,6,0),)),IFERROR(VLOOKUP($E312,INSUMOS!$B:$E,4,0),IFERROR(VLOOKUP($E312,COTAÇÕES!$C:$L,10,0),)))*$I312,2)</f>
        <v>1.1299999999999999</v>
      </c>
      <c r="L312" s="616">
        <f>TRUNC(IF($E312="",IFERROR(VLOOKUP($D312,SERVIÇOS!$C:$H,5,0),IFERROR(VLOOKUP($D312,$F:$M,7,0),)),0)*$I312,2)</f>
        <v>4.16</v>
      </c>
      <c r="M312" s="617">
        <f t="shared" si="150"/>
        <v>5.29</v>
      </c>
      <c r="N312" s="753" t="str">
        <f t="shared" si="151"/>
        <v>SERVIÇO SINAPI</v>
      </c>
      <c r="O312" s="648"/>
    </row>
    <row r="313" spans="2:15">
      <c r="B313" s="122">
        <f t="shared" si="148"/>
        <v>479.35</v>
      </c>
      <c r="C313" s="611" t="str">
        <f t="shared" si="149"/>
        <v>C</v>
      </c>
      <c r="D313" s="661">
        <v>88316</v>
      </c>
      <c r="E313" s="661"/>
      <c r="F313" s="612"/>
      <c r="G313" s="613" t="str">
        <f>IF($E313="",IFERROR(VLOOKUP($D313,SERVIÇOS!$C:$H,2,0),IFERROR(VLOOKUP($D313,$F:$M,2,0),"")),IFERROR(VLOOKUP($E313,INSUMOS!$B:$E,2,0),IFERROR(VLOOKUP($E313,COTAÇÕES!$C:$L,2,0),"")))</f>
        <v>SERVENTE COM ENCARGOS COMPLEMENTARES</v>
      </c>
      <c r="H313" s="593" t="str">
        <f>IF($E313="",IFERROR(VLOOKUP($D313,SERVIÇOS!$C:$H,3,0),IFERROR(VLOOKUP($D313,$F:$M,3,0),"")),IFERROR(VLOOKUP($E313,INSUMOS!$B:$E,3,0),IFERROR(VLOOKUP($E313,COTAÇÕES!$C:$L,5,0),"")))</f>
        <v>H</v>
      </c>
      <c r="I313" s="614">
        <v>8.5000000000000006E-2</v>
      </c>
      <c r="J313" s="670">
        <f>IF($E313="",IFERROR(VLOOKUP($D313,SERVIÇOS!$C:$H,6,0),IFERROR(VLOOKUP($D313,$F:$M,8,0),"")),IFERROR(VLOOKUP($E313,INSUMOS!$B:$E,4,0),IFERROR(VLOOKUP($E313,COTAÇÕES!$C:$L,10,0),"")))</f>
        <v>23.71</v>
      </c>
      <c r="K313" s="615">
        <f>TRUNC(IF($E313="",IFERROR(VLOOKUP($D313,SERVIÇOS!$C:$H,4,0),IFERROR(VLOOKUP($D313,$F:$M,6,0),)),IFERROR(VLOOKUP($E313,INSUMOS!$B:$E,4,0),IFERROR(VLOOKUP($E313,COTAÇÕES!$C:$L,10,0),)))*$I313,2)</f>
        <v>0.55000000000000004</v>
      </c>
      <c r="L313" s="616">
        <f>TRUNC(IF($E313="",IFERROR(VLOOKUP($D313,SERVIÇOS!$C:$H,5,0),IFERROR(VLOOKUP($D313,$F:$M,7,0),)),0)*$I313,2)</f>
        <v>1.46</v>
      </c>
      <c r="M313" s="617">
        <f t="shared" si="150"/>
        <v>2.0099999999999998</v>
      </c>
      <c r="N313" s="753" t="str">
        <f t="shared" si="151"/>
        <v>SERVIÇO SINAPI</v>
      </c>
      <c r="O313" s="648"/>
    </row>
    <row r="314" spans="2:15" hidden="1">
      <c r="B314" s="769">
        <f>SUMIF(ORC!$G$11:$G$2470,CPU!$F314,ORC!$J$11:$J$2470)</f>
        <v>0</v>
      </c>
      <c r="C314" s="515" t="s">
        <v>2239</v>
      </c>
      <c r="D314" s="515"/>
      <c r="E314" s="515"/>
      <c r="F314" s="515" t="s">
        <v>8587</v>
      </c>
      <c r="G314" s="594" t="s">
        <v>8588</v>
      </c>
      <c r="H314" s="515" t="s">
        <v>649</v>
      </c>
      <c r="I314" s="595"/>
      <c r="J314" s="596"/>
      <c r="K314" s="597">
        <f>SUM(K315:K318)</f>
        <v>652</v>
      </c>
      <c r="L314" s="597">
        <f>SUM(L315:L318)</f>
        <v>5.62</v>
      </c>
      <c r="M314" s="596">
        <f>SUM(K314:L314)</f>
        <v>657.62</v>
      </c>
      <c r="N314" s="598" t="s">
        <v>8586</v>
      </c>
      <c r="O314" s="599" t="s">
        <v>7651</v>
      </c>
    </row>
    <row r="315" spans="2:15" hidden="1">
      <c r="B315" s="122">
        <f t="shared" ref="B315:B318" si="152">B314</f>
        <v>0</v>
      </c>
      <c r="C315" s="611" t="str">
        <f>IF(D315&lt;&gt;"","C",IF(E315&lt;&gt;"","I",""))</f>
        <v>I</v>
      </c>
      <c r="D315" s="661"/>
      <c r="E315" s="661" t="s">
        <v>9042</v>
      </c>
      <c r="F315" s="612"/>
      <c r="G315" s="613" t="str">
        <f>IF($E315="",IFERROR(VLOOKUP($D315,SERVIÇOS!$C:$H,2,0),IFERROR(VLOOKUP($D315,$F:$M,2,0),"")),IFERROR(VLOOKUP($E315,INSUMOS!$B:$E,2,0),IFERROR(VLOOKUP($E315,COTAÇÕES!$C:$L,2,0),"")))</f>
        <v>PAINÉIS ABSORVENTES SONOROS EM LÃ DE VIDRO, RESISTENTE AO FOGO</v>
      </c>
      <c r="H315" s="593" t="str">
        <f>IF($E315="",IFERROR(VLOOKUP($D315,SERVIÇOS!$C:$H,3,0),IFERROR(VLOOKUP($D315,$F:$M,3,0),"")),IFERROR(VLOOKUP($E315,INSUMOS!$B:$E,3,0),IFERROR(VLOOKUP($E315,COTAÇÕES!$C:$L,5,0),"")))</f>
        <v>M2</v>
      </c>
      <c r="I315" s="614">
        <v>1.1100000000000001</v>
      </c>
      <c r="J315" s="670">
        <f>IF($E315="",IFERROR(VLOOKUP($D315,SERVIÇOS!$C:$H,6,0),IFERROR(VLOOKUP($D315,$F:$M,8,0),"")),IFERROR(VLOOKUP($E315,INSUMOS!$B:$E,4,0),IFERROR(VLOOKUP($E315,COTAÇÕES!$C:$L,10,0),"")))</f>
        <v>581.98333333333335</v>
      </c>
      <c r="K315" s="615">
        <f>TRUNC(IF($E315="",IFERROR(VLOOKUP($D315,SERVIÇOS!$C:$H,4,0),IFERROR(VLOOKUP($D315,$F:$M,6,0),)),IFERROR(VLOOKUP($E315,INSUMOS!$B:$E,4,0),IFERROR(VLOOKUP($E315,COTAÇÕES!$C:$L,10,0),)))*$I315,2)</f>
        <v>646</v>
      </c>
      <c r="L315" s="616">
        <f>TRUNC(IF($E315="",IFERROR(VLOOKUP($D315,SERVIÇOS!$C:$H,5,0),IFERROR(VLOOKUP($D315,$F:$M,7,0),)),0)*$I315,2)</f>
        <v>0</v>
      </c>
      <c r="M315" s="617">
        <f>K315+L315</f>
        <v>646</v>
      </c>
      <c r="N315" s="753" t="s">
        <v>6845</v>
      </c>
      <c r="O315" s="648"/>
    </row>
    <row r="316" spans="2:15" hidden="1">
      <c r="B316" s="122">
        <f t="shared" si="152"/>
        <v>0</v>
      </c>
      <c r="C316" s="611" t="str">
        <f t="shared" ref="C316:C318" si="153">IF(D316&lt;&gt;"","C",IF(E316&lt;&gt;"","I",""))</f>
        <v>I</v>
      </c>
      <c r="D316" s="661"/>
      <c r="E316" s="661">
        <v>4791</v>
      </c>
      <c r="F316" s="612"/>
      <c r="G316" s="613" t="str">
        <f>IF($E316="",IFERROR(VLOOKUP($D316,SERVIÇOS!$C:$H,2,0),IFERROR(VLOOKUP($D316,$F:$M,2,0),"")),IFERROR(VLOOKUP($E316,INSUMOS!$B:$E,2,0),IFERROR(VLOOKUP($E316,COTAÇÕES!$C:$L,2,0),"")))</f>
        <v xml:space="preserve">ADESIVO ACRILICO DE BASE AQUOSA / COLA DE CONTATO                                                                                                                                                                                                                                                                                                                                                                                                                                                         </v>
      </c>
      <c r="H316" s="593" t="str">
        <f>IF($E316="",IFERROR(VLOOKUP($D316,SERVIÇOS!$C:$H,3,0),IFERROR(VLOOKUP($D316,$F:$M,3,0),"")),IFERROR(VLOOKUP($E316,INSUMOS!$B:$E,3,0),IFERROR(VLOOKUP($E316,COTAÇÕES!$C:$L,5,0),"")))</f>
        <v xml:space="preserve">KG    </v>
      </c>
      <c r="I316" s="614">
        <v>9.5000000000000001E-2</v>
      </c>
      <c r="J316" s="670">
        <f>IF($E316="",IFERROR(VLOOKUP($D316,SERVIÇOS!$C:$H,6,0),IFERROR(VLOOKUP($D316,$F:$M,8,0),"")),IFERROR(VLOOKUP($E316,INSUMOS!$B:$E,4,0),IFERROR(VLOOKUP($E316,COTAÇÕES!$C:$L,10,0),"")))</f>
        <v>45.49</v>
      </c>
      <c r="K316" s="615">
        <f>TRUNC(IF($E316="",IFERROR(VLOOKUP($D316,SERVIÇOS!$C:$H,4,0),IFERROR(VLOOKUP($D316,$F:$M,6,0),)),IFERROR(VLOOKUP($E316,INSUMOS!$B:$E,4,0),IFERROR(VLOOKUP($E316,COTAÇÕES!$C:$L,10,0),)))*$I316,2)</f>
        <v>4.32</v>
      </c>
      <c r="L316" s="616">
        <f>TRUNC(IF($E316="",IFERROR(VLOOKUP($D316,SERVIÇOS!$C:$H,5,0),IFERROR(VLOOKUP($D316,$F:$M,7,0),)),0)*$I316,2)</f>
        <v>0</v>
      </c>
      <c r="M316" s="617">
        <f t="shared" ref="M316:M318" si="154">K316+L316</f>
        <v>4.32</v>
      </c>
      <c r="N316" s="753" t="str">
        <f t="shared" ref="N316:N320" si="155">IF($D316&lt;&gt;"","SERVIÇO SINAPI",IF($E316&lt;&gt;"","INSUMO SINAPI",""))</f>
        <v>INSUMO SINAPI</v>
      </c>
      <c r="O316" s="648"/>
    </row>
    <row r="317" spans="2:15" hidden="1">
      <c r="B317" s="122">
        <f t="shared" si="152"/>
        <v>0</v>
      </c>
      <c r="C317" s="611" t="str">
        <f t="shared" si="153"/>
        <v>C</v>
      </c>
      <c r="D317" s="661">
        <v>88309</v>
      </c>
      <c r="E317" s="661"/>
      <c r="F317" s="612"/>
      <c r="G317" s="613" t="str">
        <f>IF($E317="",IFERROR(VLOOKUP($D317,SERVIÇOS!$C:$H,2,0),IFERROR(VLOOKUP($D317,$F:$M,2,0),"")),IFERROR(VLOOKUP($E317,INSUMOS!$B:$E,2,0),IFERROR(VLOOKUP($E317,COTAÇÕES!$C:$L,2,0),"")))</f>
        <v>PEDREIRO COM ENCARGOS COMPLEMENTARES</v>
      </c>
      <c r="H317" s="593" t="str">
        <f>IF($E317="",IFERROR(VLOOKUP($D317,SERVIÇOS!$C:$H,3,0),IFERROR(VLOOKUP($D317,$F:$M,3,0),"")),IFERROR(VLOOKUP($E317,INSUMOS!$B:$E,3,0),IFERROR(VLOOKUP($E317,COTAÇÕES!$C:$L,5,0),"")))</f>
        <v>H</v>
      </c>
      <c r="I317" s="614">
        <v>0.17100000000000001</v>
      </c>
      <c r="J317" s="670">
        <f>IF($E317="",IFERROR(VLOOKUP($D317,SERVIÇOS!$C:$H,6,0),IFERROR(VLOOKUP($D317,$F:$M,8,0),"")),IFERROR(VLOOKUP($E317,INSUMOS!$B:$E,4,0),IFERROR(VLOOKUP($E317,COTAÇÕES!$C:$L,10,0),"")))</f>
        <v>30.99</v>
      </c>
      <c r="K317" s="615">
        <f>TRUNC(IF($E317="",IFERROR(VLOOKUP($D317,SERVIÇOS!$C:$H,4,0),IFERROR(VLOOKUP($D317,$F:$M,6,0),)),IFERROR(VLOOKUP($E317,INSUMOS!$B:$E,4,0),IFERROR(VLOOKUP($E317,COTAÇÕES!$C:$L,10,0),)))*$I317,2)</f>
        <v>1.1299999999999999</v>
      </c>
      <c r="L317" s="616">
        <f>TRUNC(IF($E317="",IFERROR(VLOOKUP($D317,SERVIÇOS!$C:$H,5,0),IFERROR(VLOOKUP($D317,$F:$M,7,0),)),0)*$I317,2)</f>
        <v>4.16</v>
      </c>
      <c r="M317" s="617">
        <f t="shared" si="154"/>
        <v>5.29</v>
      </c>
      <c r="N317" s="753" t="str">
        <f t="shared" si="155"/>
        <v>SERVIÇO SINAPI</v>
      </c>
      <c r="O317" s="648"/>
    </row>
    <row r="318" spans="2:15" hidden="1">
      <c r="B318" s="122">
        <f t="shared" si="152"/>
        <v>0</v>
      </c>
      <c r="C318" s="611" t="str">
        <f t="shared" si="153"/>
        <v>C</v>
      </c>
      <c r="D318" s="661">
        <v>88316</v>
      </c>
      <c r="E318" s="661"/>
      <c r="F318" s="612"/>
      <c r="G318" s="613" t="str">
        <f>IF($E318="",IFERROR(VLOOKUP($D318,SERVIÇOS!$C:$H,2,0),IFERROR(VLOOKUP($D318,$F:$M,2,0),"")),IFERROR(VLOOKUP($E318,INSUMOS!$B:$E,2,0),IFERROR(VLOOKUP($E318,COTAÇÕES!$C:$L,2,0),"")))</f>
        <v>SERVENTE COM ENCARGOS COMPLEMENTARES</v>
      </c>
      <c r="H318" s="593" t="str">
        <f>IF($E318="",IFERROR(VLOOKUP($D318,SERVIÇOS!$C:$H,3,0),IFERROR(VLOOKUP($D318,$F:$M,3,0),"")),IFERROR(VLOOKUP($E318,INSUMOS!$B:$E,3,0),IFERROR(VLOOKUP($E318,COTAÇÕES!$C:$L,5,0),"")))</f>
        <v>H</v>
      </c>
      <c r="I318" s="614">
        <v>8.5000000000000006E-2</v>
      </c>
      <c r="J318" s="670">
        <f>IF($E318="",IFERROR(VLOOKUP($D318,SERVIÇOS!$C:$H,6,0),IFERROR(VLOOKUP($D318,$F:$M,8,0),"")),IFERROR(VLOOKUP($E318,INSUMOS!$B:$E,4,0),IFERROR(VLOOKUP($E318,COTAÇÕES!$C:$L,10,0),"")))</f>
        <v>23.71</v>
      </c>
      <c r="K318" s="615">
        <f>TRUNC(IF($E318="",IFERROR(VLOOKUP($D318,SERVIÇOS!$C:$H,4,0),IFERROR(VLOOKUP($D318,$F:$M,6,0),)),IFERROR(VLOOKUP($E318,INSUMOS!$B:$E,4,0),IFERROR(VLOOKUP($E318,COTAÇÕES!$C:$L,10,0),)))*$I318,2)</f>
        <v>0.55000000000000004</v>
      </c>
      <c r="L318" s="616">
        <f>TRUNC(IF($E318="",IFERROR(VLOOKUP($D318,SERVIÇOS!$C:$H,5,0),IFERROR(VLOOKUP($D318,$F:$M,7,0),)),0)*$I318,2)</f>
        <v>1.46</v>
      </c>
      <c r="M318" s="617">
        <f t="shared" si="154"/>
        <v>2.0099999999999998</v>
      </c>
      <c r="N318" s="753" t="str">
        <f t="shared" si="155"/>
        <v>SERVIÇO SINAPI</v>
      </c>
      <c r="O318" s="648"/>
    </row>
    <row r="319" spans="2:15">
      <c r="B319" s="769">
        <f>SUMIF(ORC!$G$11:$G$2470,CPU!$F319,ORC!$J$11:$J$2470)</f>
        <v>7.16</v>
      </c>
      <c r="C319" s="515" t="s">
        <v>2239</v>
      </c>
      <c r="D319" s="515"/>
      <c r="E319" s="515"/>
      <c r="F319" s="515" t="s">
        <v>8589</v>
      </c>
      <c r="G319" s="594" t="s">
        <v>8590</v>
      </c>
      <c r="H319" s="515" t="s">
        <v>649</v>
      </c>
      <c r="I319" s="595"/>
      <c r="J319" s="596"/>
      <c r="K319" s="597">
        <f>SUM(K320:K329)</f>
        <v>136.03</v>
      </c>
      <c r="L319" s="597">
        <f>SUM(L320:L329)</f>
        <v>116.93</v>
      </c>
      <c r="M319" s="596">
        <f>SUM(K319:L319)</f>
        <v>252.96</v>
      </c>
      <c r="N319" s="598" t="s">
        <v>8591</v>
      </c>
      <c r="O319" s="599" t="s">
        <v>7651</v>
      </c>
    </row>
    <row r="320" spans="2:15" ht="25.5">
      <c r="B320" s="122">
        <f t="shared" ref="B320:B329" si="156">B319</f>
        <v>7.16</v>
      </c>
      <c r="C320" s="611" t="str">
        <f>IF(D320&lt;&gt;"","C",IF(E320&lt;&gt;"","I",""))</f>
        <v>C</v>
      </c>
      <c r="D320" s="661">
        <v>91692</v>
      </c>
      <c r="E320" s="661"/>
      <c r="F320" s="612"/>
      <c r="G320" s="613" t="str">
        <f>IF($E320="",IFERROR(VLOOKUP($D320,SERVIÇOS!$C:$H,2,0),IFERROR(VLOOKUP($D320,$F:$M,2,0),"")),IFERROR(VLOOKUP($E320,INSUMOS!$B:$E,2,0),IFERROR(VLOOKUP($E320,COTAÇÕES!$C:$L,2,0),"")))</f>
        <v>SERRA CIRCULAR DE BANCADA COM MOTOR ELÉTRICO POTÊNCIA DE 5HP, COM COIFA PARA DISCO 10" - CHP DIURNO. AF_08/2015</v>
      </c>
      <c r="H320" s="593" t="str">
        <f>IF($E320="",IFERROR(VLOOKUP($D320,SERVIÇOS!$C:$H,3,0),IFERROR(VLOOKUP($D320,$F:$M,3,0),"")),IFERROR(VLOOKUP($E320,INSUMOS!$B:$E,3,0),IFERROR(VLOOKUP($E320,COTAÇÕES!$C:$L,5,0),"")))</f>
        <v>CHP</v>
      </c>
      <c r="I320" s="614">
        <v>0.19600000000000001</v>
      </c>
      <c r="J320" s="670">
        <f>IF($E320="",IFERROR(VLOOKUP($D320,SERVIÇOS!$C:$H,6,0),IFERROR(VLOOKUP($D320,$F:$M,8,0),"")),IFERROR(VLOOKUP($E320,INSUMOS!$B:$E,4,0),IFERROR(VLOOKUP($E320,COTAÇÕES!$C:$L,10,0),"")))</f>
        <v>31.07</v>
      </c>
      <c r="K320" s="615">
        <f>TRUNC(IF($E320="",IFERROR(VLOOKUP($D320,SERVIÇOS!$C:$H,4,0),IFERROR(VLOOKUP($D320,$F:$M,6,0),)),IFERROR(VLOOKUP($E320,INSUMOS!$B:$E,4,0),IFERROR(VLOOKUP($E320,COTAÇÕES!$C:$L,10,0),)))*$I320,2)</f>
        <v>1.34</v>
      </c>
      <c r="L320" s="616">
        <f>TRUNC(IF($E320="",IFERROR(VLOOKUP($D320,SERVIÇOS!$C:$H,5,0),IFERROR(VLOOKUP($D320,$F:$M,7,0),)),0)*$I320,2)</f>
        <v>4.74</v>
      </c>
      <c r="M320" s="617">
        <f>K320+L320</f>
        <v>6.08</v>
      </c>
      <c r="N320" s="753" t="str">
        <f t="shared" si="155"/>
        <v>SERVIÇO SINAPI</v>
      </c>
      <c r="O320" s="648"/>
    </row>
    <row r="321" spans="2:15" ht="25.5">
      <c r="B321" s="122">
        <f t="shared" si="156"/>
        <v>7.16</v>
      </c>
      <c r="C321" s="611" t="str">
        <f t="shared" ref="C321:C323" si="157">IF(D321&lt;&gt;"","C",IF(E321&lt;&gt;"","I",""))</f>
        <v>C</v>
      </c>
      <c r="D321" s="661">
        <v>91693</v>
      </c>
      <c r="E321" s="661"/>
      <c r="F321" s="612"/>
      <c r="G321" s="613" t="str">
        <f>IF($E321="",IFERROR(VLOOKUP($D321,SERVIÇOS!$C:$H,2,0),IFERROR(VLOOKUP($D321,$F:$M,2,0),"")),IFERROR(VLOOKUP($E321,INSUMOS!$B:$E,2,0),IFERROR(VLOOKUP($E321,COTAÇÕES!$C:$L,2,0),"")))</f>
        <v>SERRA CIRCULAR DE BANCADA COM MOTOR ELÉTRICO POTÊNCIA DE 5HP, COM COIFA PARA DISCO 10" - CHI DIURNO. AF_08/2015</v>
      </c>
      <c r="H321" s="593" t="str">
        <f>IF($E321="",IFERROR(VLOOKUP($D321,SERVIÇOS!$C:$H,3,0),IFERROR(VLOOKUP($D321,$F:$M,3,0),"")),IFERROR(VLOOKUP($E321,INSUMOS!$B:$E,3,0),IFERROR(VLOOKUP($E321,COTAÇÕES!$C:$L,5,0),"")))</f>
        <v>CHI</v>
      </c>
      <c r="I321" s="614">
        <v>1.917</v>
      </c>
      <c r="J321" s="670">
        <f>IF($E321="",IFERROR(VLOOKUP($D321,SERVIÇOS!$C:$H,6,0),IFERROR(VLOOKUP($D321,$F:$M,8,0),"")),IFERROR(VLOOKUP($E321,INSUMOS!$B:$E,4,0),IFERROR(VLOOKUP($E321,COTAÇÕES!$C:$L,10,0),"")))</f>
        <v>29.88</v>
      </c>
      <c r="K321" s="615">
        <f>TRUNC(IF($E321="",IFERROR(VLOOKUP($D321,SERVIÇOS!$C:$H,4,0),IFERROR(VLOOKUP($D321,$F:$M,6,0),)),IFERROR(VLOOKUP($E321,INSUMOS!$B:$E,4,0),IFERROR(VLOOKUP($E321,COTAÇÕES!$C:$L,10,0),)))*$I321,2)</f>
        <v>10.85</v>
      </c>
      <c r="L321" s="616">
        <f>TRUNC(IF($E321="",IFERROR(VLOOKUP($D321,SERVIÇOS!$C:$H,5,0),IFERROR(VLOOKUP($D321,$F:$M,7,0),)),0)*$I321,2)</f>
        <v>46.42</v>
      </c>
      <c r="M321" s="617">
        <f t="shared" ref="M321:M323" si="158">K321+L321</f>
        <v>57.27</v>
      </c>
      <c r="N321" s="753" t="str">
        <f t="shared" ref="N321:N329" si="159">IF($D321&lt;&gt;"","SERVIÇO SINAPI",IF($E321&lt;&gt;"","INSUMO SINAPI",""))</f>
        <v>SERVIÇO SINAPI</v>
      </c>
      <c r="O321" s="648"/>
    </row>
    <row r="322" spans="2:15">
      <c r="B322" s="122">
        <f t="shared" si="156"/>
        <v>7.16</v>
      </c>
      <c r="C322" s="611" t="str">
        <f t="shared" si="157"/>
        <v>C</v>
      </c>
      <c r="D322" s="661">
        <v>88316</v>
      </c>
      <c r="E322" s="661"/>
      <c r="F322" s="612"/>
      <c r="G322" s="613" t="str">
        <f>IF($E322="",IFERROR(VLOOKUP($D322,SERVIÇOS!$C:$H,2,0),IFERROR(VLOOKUP($D322,$F:$M,2,0),"")),IFERROR(VLOOKUP($E322,INSUMOS!$B:$E,2,0),IFERROR(VLOOKUP($E322,COTAÇÕES!$C:$L,2,0),"")))</f>
        <v>SERVENTE COM ENCARGOS COMPLEMENTARES</v>
      </c>
      <c r="H322" s="593" t="str">
        <f>IF($E322="",IFERROR(VLOOKUP($D322,SERVIÇOS!$C:$H,3,0),IFERROR(VLOOKUP($D322,$F:$M,3,0),"")),IFERROR(VLOOKUP($E322,INSUMOS!$B:$E,3,0),IFERROR(VLOOKUP($E322,COTAÇÕES!$C:$L,5,0),"")))</f>
        <v>H</v>
      </c>
      <c r="I322" s="614">
        <v>1.056</v>
      </c>
      <c r="J322" s="670">
        <f>IF($E322="",IFERROR(VLOOKUP($D322,SERVIÇOS!$C:$H,6,0),IFERROR(VLOOKUP($D322,$F:$M,8,0),"")),IFERROR(VLOOKUP($E322,INSUMOS!$B:$E,4,0),IFERROR(VLOOKUP($E322,COTAÇÕES!$C:$L,10,0),"")))</f>
        <v>23.71</v>
      </c>
      <c r="K322" s="615">
        <f>TRUNC(IF($E322="",IFERROR(VLOOKUP($D322,SERVIÇOS!$C:$H,4,0),IFERROR(VLOOKUP($D322,$F:$M,6,0),)),IFERROR(VLOOKUP($E322,INSUMOS!$B:$E,4,0),IFERROR(VLOOKUP($E322,COTAÇÕES!$C:$L,10,0),)))*$I322,2)</f>
        <v>6.88</v>
      </c>
      <c r="L322" s="616">
        <f>TRUNC(IF($E322="",IFERROR(VLOOKUP($D322,SERVIÇOS!$C:$H,5,0),IFERROR(VLOOKUP($D322,$F:$M,7,0),)),0)*$I322,2)</f>
        <v>18.149999999999999</v>
      </c>
      <c r="M322" s="617">
        <f t="shared" si="158"/>
        <v>25.029999999999998</v>
      </c>
      <c r="N322" s="753" t="str">
        <f t="shared" si="159"/>
        <v>SERVIÇO SINAPI</v>
      </c>
      <c r="O322" s="648"/>
    </row>
    <row r="323" spans="2:15">
      <c r="B323" s="122">
        <f t="shared" si="156"/>
        <v>7.16</v>
      </c>
      <c r="C323" s="611" t="str">
        <f t="shared" si="157"/>
        <v>C</v>
      </c>
      <c r="D323" s="661">
        <v>88278</v>
      </c>
      <c r="E323" s="661"/>
      <c r="F323" s="612"/>
      <c r="G323" s="613" t="str">
        <f>IF($E323="",IFERROR(VLOOKUP($D323,SERVIÇOS!$C:$H,2,0),IFERROR(VLOOKUP($D323,$F:$M,2,0),"")),IFERROR(VLOOKUP($E323,INSUMOS!$B:$E,2,0),IFERROR(VLOOKUP($E323,COTAÇÕES!$C:$L,2,0),"")))</f>
        <v>MONTADOR DE ESTRUTURA METÁLICA COM ENCARGOS COMPLEMENTARES</v>
      </c>
      <c r="H323" s="593" t="str">
        <f>IF($E323="",IFERROR(VLOOKUP($D323,SERVIÇOS!$C:$H,3,0),IFERROR(VLOOKUP($D323,$F:$M,3,0),"")),IFERROR(VLOOKUP($E323,INSUMOS!$B:$E,3,0),IFERROR(VLOOKUP($E323,COTAÇÕES!$C:$L,5,0),"")))</f>
        <v>H</v>
      </c>
      <c r="I323" s="614">
        <v>2.113</v>
      </c>
      <c r="J323" s="670">
        <f>IF($E323="",IFERROR(VLOOKUP($D323,SERVIÇOS!$C:$H,6,0),IFERROR(VLOOKUP($D323,$F:$M,8,0),"")),IFERROR(VLOOKUP($E323,INSUMOS!$B:$E,4,0),IFERROR(VLOOKUP($E323,COTAÇÕES!$C:$L,10,0),"")))</f>
        <v>28.12</v>
      </c>
      <c r="K323" s="615">
        <f>TRUNC(IF($E323="",IFERROR(VLOOKUP($D323,SERVIÇOS!$C:$H,4,0),IFERROR(VLOOKUP($D323,$F:$M,6,0),)),IFERROR(VLOOKUP($E323,INSUMOS!$B:$E,4,0),IFERROR(VLOOKUP($E323,COTAÇÕES!$C:$L,10,0),)))*$I323,2)</f>
        <v>11.79</v>
      </c>
      <c r="L323" s="616">
        <f>TRUNC(IF($E323="",IFERROR(VLOOKUP($D323,SERVIÇOS!$C:$H,5,0),IFERROR(VLOOKUP($D323,$F:$M,7,0),)),0)*$I323,2)</f>
        <v>47.62</v>
      </c>
      <c r="M323" s="617">
        <f t="shared" si="158"/>
        <v>59.41</v>
      </c>
      <c r="N323" s="753" t="str">
        <f t="shared" si="159"/>
        <v>SERVIÇO SINAPI</v>
      </c>
      <c r="O323" s="648"/>
    </row>
    <row r="324" spans="2:15" ht="25.5">
      <c r="B324" s="122">
        <f t="shared" si="156"/>
        <v>7.16</v>
      </c>
      <c r="C324" s="611" t="str">
        <f>IF(D324&lt;&gt;"","C",IF(E324&lt;&gt;"","I",""))</f>
        <v>I</v>
      </c>
      <c r="D324" s="661"/>
      <c r="E324" s="661">
        <v>11950</v>
      </c>
      <c r="F324" s="612"/>
      <c r="G324" s="613" t="str">
        <f>IF($E324="",IFERROR(VLOOKUP($D324,SERVIÇOS!$C:$H,2,0),IFERROR(VLOOKUP($D324,$F:$M,2,0),"")),IFERROR(VLOOKUP($E324,INSUMOS!$B:$E,2,0),IFERROR(VLOOKUP($E324,COTAÇÕES!$C:$L,2,0),"")))</f>
        <v xml:space="preserve">BUCHA DE NYLON SEM ABA S6, COM PARAFUSO DE 4,20 X 40 MM EM ACO ZINCADO COM ROSCA SOBERBA, CABECA CHATA E FENDA PHILLIPS                                                                                                                                                                                                                                                                                                                                                                                   </v>
      </c>
      <c r="H324" s="593" t="str">
        <f>IF($E324="",IFERROR(VLOOKUP($D324,SERVIÇOS!$C:$H,3,0),IFERROR(VLOOKUP($D324,$F:$M,3,0),"")),IFERROR(VLOOKUP($E324,INSUMOS!$B:$E,3,0),IFERROR(VLOOKUP($E324,COTAÇÕES!$C:$L,5,0),"")))</f>
        <v xml:space="preserve">UN    </v>
      </c>
      <c r="I324" s="614">
        <v>1.75</v>
      </c>
      <c r="J324" s="670">
        <f>IF($E324="",IFERROR(VLOOKUP($D324,SERVIÇOS!$C:$H,6,0),IFERROR(VLOOKUP($D324,$F:$M,8,0),"")),IFERROR(VLOOKUP($E324,INSUMOS!$B:$E,4,0),IFERROR(VLOOKUP($E324,COTAÇÕES!$C:$L,10,0),"")))</f>
        <v>0.24</v>
      </c>
      <c r="K324" s="615">
        <f>TRUNC(IF($E324="",IFERROR(VLOOKUP($D324,SERVIÇOS!$C:$H,4,0),IFERROR(VLOOKUP($D324,$F:$M,6,0),)),IFERROR(VLOOKUP($E324,INSUMOS!$B:$E,4,0),IFERROR(VLOOKUP($E324,COTAÇÕES!$C:$L,10,0),)))*$I324,2)</f>
        <v>0.42</v>
      </c>
      <c r="L324" s="616">
        <f>TRUNC(IF($E324="",IFERROR(VLOOKUP($D324,SERVIÇOS!$C:$H,5,0),IFERROR(VLOOKUP($D324,$F:$M,7,0),)),0)*$I324,2)</f>
        <v>0</v>
      </c>
      <c r="M324" s="617">
        <f>K324+L324</f>
        <v>0.42</v>
      </c>
      <c r="N324" s="753" t="str">
        <f t="shared" si="159"/>
        <v>INSUMO SINAPI</v>
      </c>
      <c r="O324" s="648"/>
    </row>
    <row r="325" spans="2:15" ht="25.5">
      <c r="B325" s="122">
        <f t="shared" si="156"/>
        <v>7.16</v>
      </c>
      <c r="C325" s="611" t="str">
        <f t="shared" ref="C325:C327" si="160">IF(D325&lt;&gt;"","C",IF(E325&lt;&gt;"","I",""))</f>
        <v>I</v>
      </c>
      <c r="D325" s="661"/>
      <c r="E325" s="661">
        <v>39442</v>
      </c>
      <c r="F325" s="612"/>
      <c r="G325" s="613" t="str">
        <f>IF($E325="",IFERROR(VLOOKUP($D325,SERVIÇOS!$C:$H,2,0),IFERROR(VLOOKUP($D325,$F:$M,2,0),"")),IFERROR(VLOOKUP($E325,INSUMOS!$B:$E,2,0),IFERROR(VLOOKUP($E325,COTAÇÕES!$C:$L,2,0),"")))</f>
        <v xml:space="preserve">PARAFUSO DRY WALL, EM ACO ZINCADO, CABECA LENTILHA E PONTA AGULHA (LA), LARGURA 4,2 MM, COMPRIMENTO 13 MM                                                                                                                                                                                                                                                                                                                                                                                                 </v>
      </c>
      <c r="H325" s="593" t="str">
        <f>IF($E325="",IFERROR(VLOOKUP($D325,SERVIÇOS!$C:$H,3,0),IFERROR(VLOOKUP($D325,$F:$M,3,0),"")),IFERROR(VLOOKUP($E325,INSUMOS!$B:$E,3,0),IFERROR(VLOOKUP($E325,COTAÇÕES!$C:$L,5,0),"")))</f>
        <v xml:space="preserve">UN    </v>
      </c>
      <c r="I325" s="614">
        <v>3.49</v>
      </c>
      <c r="J325" s="670">
        <f>IF($E325="",IFERROR(VLOOKUP($D325,SERVIÇOS!$C:$H,6,0),IFERROR(VLOOKUP($D325,$F:$M,8,0),"")),IFERROR(VLOOKUP($E325,INSUMOS!$B:$E,4,0),IFERROR(VLOOKUP($E325,COTAÇÕES!$C:$L,10,0),"")))</f>
        <v>0.16</v>
      </c>
      <c r="K325" s="615">
        <f>TRUNC(IF($E325="",IFERROR(VLOOKUP($D325,SERVIÇOS!$C:$H,4,0),IFERROR(VLOOKUP($D325,$F:$M,6,0),)),IFERROR(VLOOKUP($E325,INSUMOS!$B:$E,4,0),IFERROR(VLOOKUP($E325,COTAÇÕES!$C:$L,10,0),)))*$I325,2)</f>
        <v>0.55000000000000004</v>
      </c>
      <c r="L325" s="616">
        <f>TRUNC(IF($E325="",IFERROR(VLOOKUP($D325,SERVIÇOS!$C:$H,5,0),IFERROR(VLOOKUP($D325,$F:$M,7,0),)),0)*$I325,2)</f>
        <v>0</v>
      </c>
      <c r="M325" s="617">
        <f t="shared" ref="M325:M327" si="161">K325+L325</f>
        <v>0.55000000000000004</v>
      </c>
      <c r="N325" s="753" t="str">
        <f t="shared" si="159"/>
        <v>INSUMO SINAPI</v>
      </c>
      <c r="O325" s="648"/>
    </row>
    <row r="326" spans="2:15" ht="25.5">
      <c r="B326" s="122">
        <f t="shared" si="156"/>
        <v>7.16</v>
      </c>
      <c r="C326" s="611" t="str">
        <f t="shared" si="160"/>
        <v>I</v>
      </c>
      <c r="D326" s="661"/>
      <c r="E326" s="661">
        <v>39443</v>
      </c>
      <c r="F326" s="612"/>
      <c r="G326" s="613" t="str">
        <f>IF($E326="",IFERROR(VLOOKUP($D326,SERVIÇOS!$C:$H,2,0),IFERROR(VLOOKUP($D326,$F:$M,2,0),"")),IFERROR(VLOOKUP($E326,INSUMOS!$B:$E,2,0),IFERROR(VLOOKUP($E326,COTAÇÕES!$C:$L,2,0),"")))</f>
        <v xml:space="preserve">PARAFUSO DRY WALL, EM ACO ZINCADO, CABECA LENTILHA E PONTA BROCA (LB), LARGURA 4,2 MM, COMPRIMENTO 13 MM                                                                                                                                                                                                                                                                                                                                                                                                  </v>
      </c>
      <c r="H326" s="593" t="str">
        <f>IF($E326="",IFERROR(VLOOKUP($D326,SERVIÇOS!$C:$H,3,0),IFERROR(VLOOKUP($D326,$F:$M,3,0),"")),IFERROR(VLOOKUP($E326,INSUMOS!$B:$E,3,0),IFERROR(VLOOKUP($E326,COTAÇÕES!$C:$L,5,0),"")))</f>
        <v xml:space="preserve">UN    </v>
      </c>
      <c r="I326" s="614">
        <v>3.49</v>
      </c>
      <c r="J326" s="670">
        <f>IF($E326="",IFERROR(VLOOKUP($D326,SERVIÇOS!$C:$H,6,0),IFERROR(VLOOKUP($D326,$F:$M,8,0),"")),IFERROR(VLOOKUP($E326,INSUMOS!$B:$E,4,0),IFERROR(VLOOKUP($E326,COTAÇÕES!$C:$L,10,0),"")))</f>
        <v>0.21</v>
      </c>
      <c r="K326" s="615">
        <f>TRUNC(IF($E326="",IFERROR(VLOOKUP($D326,SERVIÇOS!$C:$H,4,0),IFERROR(VLOOKUP($D326,$F:$M,6,0),)),IFERROR(VLOOKUP($E326,INSUMOS!$B:$E,4,0),IFERROR(VLOOKUP($E326,COTAÇÕES!$C:$L,10,0),)))*$I326,2)</f>
        <v>0.73</v>
      </c>
      <c r="L326" s="616">
        <f>TRUNC(IF($E326="",IFERROR(VLOOKUP($D326,SERVIÇOS!$C:$H,5,0),IFERROR(VLOOKUP($D326,$F:$M,7,0),)),0)*$I326,2)</f>
        <v>0</v>
      </c>
      <c r="M326" s="617">
        <f t="shared" si="161"/>
        <v>0.73</v>
      </c>
      <c r="N326" s="753" t="str">
        <f t="shared" si="159"/>
        <v>INSUMO SINAPI</v>
      </c>
      <c r="O326" s="648"/>
    </row>
    <row r="327" spans="2:15" ht="25.5">
      <c r="B327" s="122">
        <f t="shared" si="156"/>
        <v>7.16</v>
      </c>
      <c r="C327" s="611" t="str">
        <f t="shared" si="160"/>
        <v>I</v>
      </c>
      <c r="D327" s="661"/>
      <c r="E327" s="661">
        <v>4377</v>
      </c>
      <c r="F327" s="612"/>
      <c r="G327" s="613" t="str">
        <f>IF($E327="",IFERROR(VLOOKUP($D327,SERVIÇOS!$C:$H,2,0),IFERROR(VLOOKUP($D327,$F:$M,2,0),"")),IFERROR(VLOOKUP($E327,INSUMOS!$B:$E,2,0),IFERROR(VLOOKUP($E327,COTAÇÕES!$C:$L,2,0),"")))</f>
        <v xml:space="preserve">PARAFUSO DE ACO ZINCADO COM ROSCA SOBERBA, CABECA CHATA E FENDA SIMPLES, DIAMETRO 4,2 MM, COMPRIMENTO * 32 * MM                                                                                                                                                                                                                                                                                                                                                                                           </v>
      </c>
      <c r="H327" s="593" t="str">
        <f>IF($E327="",IFERROR(VLOOKUP($D327,SERVIÇOS!$C:$H,3,0),IFERROR(VLOOKUP($D327,$F:$M,3,0),"")),IFERROR(VLOOKUP($E327,INSUMOS!$B:$E,3,0),IFERROR(VLOOKUP($E327,COTAÇÕES!$C:$L,5,0),"")))</f>
        <v xml:space="preserve">UN    </v>
      </c>
      <c r="I327" s="614">
        <v>6.98</v>
      </c>
      <c r="J327" s="670">
        <f>IF($E327="",IFERROR(VLOOKUP($D327,SERVIÇOS!$C:$H,6,0),IFERROR(VLOOKUP($D327,$F:$M,8,0),"")),IFERROR(VLOOKUP($E327,INSUMOS!$B:$E,4,0),IFERROR(VLOOKUP($E327,COTAÇÕES!$C:$L,10,0),"")))</f>
        <v>0.16</v>
      </c>
      <c r="K327" s="615">
        <f>TRUNC(IF($E327="",IFERROR(VLOOKUP($D327,SERVIÇOS!$C:$H,4,0),IFERROR(VLOOKUP($D327,$F:$M,6,0),)),IFERROR(VLOOKUP($E327,INSUMOS!$B:$E,4,0),IFERROR(VLOOKUP($E327,COTAÇÕES!$C:$L,10,0),)))*$I327,2)</f>
        <v>1.1100000000000001</v>
      </c>
      <c r="L327" s="616">
        <f>TRUNC(IF($E327="",IFERROR(VLOOKUP($D327,SERVIÇOS!$C:$H,5,0),IFERROR(VLOOKUP($D327,$F:$M,7,0),)),0)*$I327,2)</f>
        <v>0</v>
      </c>
      <c r="M327" s="617">
        <f t="shared" si="161"/>
        <v>1.1100000000000001</v>
      </c>
      <c r="N327" s="753" t="str">
        <f t="shared" si="159"/>
        <v>INSUMO SINAPI</v>
      </c>
      <c r="O327" s="648"/>
    </row>
    <row r="328" spans="2:15">
      <c r="B328" s="122">
        <f t="shared" si="156"/>
        <v>7.16</v>
      </c>
      <c r="C328" s="611" t="str">
        <f t="shared" ref="C328:C329" si="162">IF(D328&lt;&gt;"","C",IF(E328&lt;&gt;"","I",""))</f>
        <v>I</v>
      </c>
      <c r="D328" s="661"/>
      <c r="E328" s="661">
        <v>34672</v>
      </c>
      <c r="F328" s="612"/>
      <c r="G328" s="613" t="str">
        <f>IF($E328="",IFERROR(VLOOKUP($D328,SERVIÇOS!$C:$H,2,0),IFERROR(VLOOKUP($D328,$F:$M,2,0),"")),IFERROR(VLOOKUP($E328,INSUMOS!$B:$E,2,0),IFERROR(VLOOKUP($E328,COTAÇÕES!$C:$L,2,0),"")))</f>
        <v xml:space="preserve">CHAPA DE MDF CRU, E = 15 MM, DE *2,75 X 1,85* M                                                                                                                                                                                                                                                                                                                                                                                                                                                           </v>
      </c>
      <c r="H328" s="593" t="str">
        <f>IF($E328="",IFERROR(VLOOKUP($D328,SERVIÇOS!$C:$H,3,0),IFERROR(VLOOKUP($D328,$F:$M,3,0),"")),IFERROR(VLOOKUP($E328,INSUMOS!$B:$E,3,0),IFERROR(VLOOKUP($E328,COTAÇÕES!$C:$L,5,0),"")))</f>
        <v xml:space="preserve">M2    </v>
      </c>
      <c r="I328" s="614">
        <v>1</v>
      </c>
      <c r="J328" s="670">
        <f>IF($E328="",IFERROR(VLOOKUP($D328,SERVIÇOS!$C:$H,6,0),IFERROR(VLOOKUP($D328,$F:$M,8,0),"")),IFERROR(VLOOKUP($E328,INSUMOS!$B:$E,4,0),IFERROR(VLOOKUP($E328,COTAÇÕES!$C:$L,10,0),"")))</f>
        <v>36</v>
      </c>
      <c r="K328" s="615">
        <f>TRUNC(IF($E328="",IFERROR(VLOOKUP($D328,SERVIÇOS!$C:$H,4,0),IFERROR(VLOOKUP($D328,$F:$M,6,0),)),IFERROR(VLOOKUP($E328,INSUMOS!$B:$E,4,0),IFERROR(VLOOKUP($E328,COTAÇÕES!$C:$L,10,0),)))*$I328,2)</f>
        <v>36</v>
      </c>
      <c r="L328" s="616">
        <f>TRUNC(IF($E328="",IFERROR(VLOOKUP($D328,SERVIÇOS!$C:$H,5,0),IFERROR(VLOOKUP($D328,$F:$M,7,0),)),0)*$I328,2)</f>
        <v>0</v>
      </c>
      <c r="M328" s="617">
        <f t="shared" ref="M328:M329" si="163">K328+L328</f>
        <v>36</v>
      </c>
      <c r="N328" s="753" t="str">
        <f t="shared" si="159"/>
        <v>INSUMO SINAPI</v>
      </c>
      <c r="O328" s="648"/>
    </row>
    <row r="329" spans="2:15">
      <c r="B329" s="122">
        <f t="shared" si="156"/>
        <v>7.16</v>
      </c>
      <c r="C329" s="611" t="str">
        <f t="shared" si="162"/>
        <v>I</v>
      </c>
      <c r="D329" s="661"/>
      <c r="E329" s="661">
        <v>1340</v>
      </c>
      <c r="F329" s="612"/>
      <c r="G329" s="613" t="str">
        <f>IF($E329="",IFERROR(VLOOKUP($D329,SERVIÇOS!$C:$H,2,0),IFERROR(VLOOKUP($D329,$F:$M,2,0),"")),IFERROR(VLOOKUP($E329,INSUMOS!$B:$E,2,0),IFERROR(VLOOKUP($E329,COTAÇÕES!$C:$L,2,0),"")))</f>
        <v xml:space="preserve">CHAPA DE LAMINADO MELAMINICO, LISO FOSCO, DE *1,25 X 3,08* M, E = 0,8 MM                                                                                                                                                                                                                                                                                                                                                                                                                                  </v>
      </c>
      <c r="H329" s="593" t="str">
        <f>IF($E329="",IFERROR(VLOOKUP($D329,SERVIÇOS!$C:$H,3,0),IFERROR(VLOOKUP($D329,$F:$M,3,0),"")),IFERROR(VLOOKUP($E329,INSUMOS!$B:$E,3,0),IFERROR(VLOOKUP($E329,COTAÇÕES!$C:$L,5,0),"")))</f>
        <v xml:space="preserve">M2    </v>
      </c>
      <c r="I329" s="614">
        <v>1</v>
      </c>
      <c r="J329" s="670">
        <f>IF($E329="",IFERROR(VLOOKUP($D329,SERVIÇOS!$C:$H,6,0),IFERROR(VLOOKUP($D329,$F:$M,8,0),"")),IFERROR(VLOOKUP($E329,INSUMOS!$B:$E,4,0),IFERROR(VLOOKUP($E329,COTAÇÕES!$C:$L,10,0),"")))</f>
        <v>66.36</v>
      </c>
      <c r="K329" s="615">
        <f>TRUNC(IF($E329="",IFERROR(VLOOKUP($D329,SERVIÇOS!$C:$H,4,0),IFERROR(VLOOKUP($D329,$F:$M,6,0),)),IFERROR(VLOOKUP($E329,INSUMOS!$B:$E,4,0),IFERROR(VLOOKUP($E329,COTAÇÕES!$C:$L,10,0),)))*$I329,2)</f>
        <v>66.36</v>
      </c>
      <c r="L329" s="616">
        <f>TRUNC(IF($E329="",IFERROR(VLOOKUP($D329,SERVIÇOS!$C:$H,5,0),IFERROR(VLOOKUP($D329,$F:$M,7,0),)),0)*$I329,2)</f>
        <v>0</v>
      </c>
      <c r="M329" s="617">
        <f t="shared" si="163"/>
        <v>66.36</v>
      </c>
      <c r="N329" s="753" t="str">
        <f t="shared" si="159"/>
        <v>INSUMO SINAPI</v>
      </c>
      <c r="O329" s="648"/>
    </row>
    <row r="330" spans="2:15">
      <c r="B330" s="769">
        <f>SUMIF(ORC!$G$11:$G$2470,CPU!$F330,ORC!$J$11:$J$2470)</f>
        <v>79.41</v>
      </c>
      <c r="C330" s="515" t="s">
        <v>2239</v>
      </c>
      <c r="D330" s="515"/>
      <c r="E330" s="515"/>
      <c r="F330" s="515" t="s">
        <v>8592</v>
      </c>
      <c r="G330" s="594" t="s">
        <v>8593</v>
      </c>
      <c r="H330" s="515" t="s">
        <v>649</v>
      </c>
      <c r="I330" s="595"/>
      <c r="J330" s="596"/>
      <c r="K330" s="597">
        <f>SUM(K331:K334)</f>
        <v>149.61000000000001</v>
      </c>
      <c r="L330" s="597">
        <f>SUM(L331:L334)</f>
        <v>27.5</v>
      </c>
      <c r="M330" s="596">
        <f>SUM(K330:L330)</f>
        <v>177.11</v>
      </c>
      <c r="N330" s="598" t="s">
        <v>8594</v>
      </c>
      <c r="O330" s="599" t="s">
        <v>7651</v>
      </c>
    </row>
    <row r="331" spans="2:15">
      <c r="B331" s="122">
        <f t="shared" ref="B331:B334" si="164">B330</f>
        <v>79.41</v>
      </c>
      <c r="C331" s="611" t="str">
        <f>IF(D331&lt;&gt;"","C",IF(E331&lt;&gt;"","I",""))</f>
        <v>C</v>
      </c>
      <c r="D331" s="661">
        <v>88316</v>
      </c>
      <c r="E331" s="661"/>
      <c r="F331" s="612"/>
      <c r="G331" s="613" t="str">
        <f>IF($E331="",IFERROR(VLOOKUP($D331,SERVIÇOS!$C:$H,2,0),IFERROR(VLOOKUP($D331,$F:$M,2,0),"")),IFERROR(VLOOKUP($E331,INSUMOS!$B:$E,2,0),IFERROR(VLOOKUP($E331,COTAÇÕES!$C:$L,2,0),"")))</f>
        <v>SERVENTE COM ENCARGOS COMPLEMENTARES</v>
      </c>
      <c r="H331" s="593" t="str">
        <f>IF($E331="",IFERROR(VLOOKUP($D331,SERVIÇOS!$C:$H,3,0),IFERROR(VLOOKUP($D331,$F:$M,3,0),"")),IFERROR(VLOOKUP($E331,INSUMOS!$B:$E,3,0),IFERROR(VLOOKUP($E331,COTAÇÕES!$C:$L,5,0),"")))</f>
        <v>H</v>
      </c>
      <c r="I331" s="614">
        <v>1.6</v>
      </c>
      <c r="J331" s="670">
        <f>IF($E331="",IFERROR(VLOOKUP($D331,SERVIÇOS!$C:$H,6,0),IFERROR(VLOOKUP($D331,$F:$M,8,0),"")),IFERROR(VLOOKUP($E331,INSUMOS!$B:$E,4,0),IFERROR(VLOOKUP($E331,COTAÇÕES!$C:$L,10,0),"")))</f>
        <v>23.71</v>
      </c>
      <c r="K331" s="615">
        <f>TRUNC(IF($E331="",IFERROR(VLOOKUP($D331,SERVIÇOS!$C:$H,4,0),IFERROR(VLOOKUP($D331,$F:$M,6,0),)),IFERROR(VLOOKUP($E331,INSUMOS!$B:$E,4,0),IFERROR(VLOOKUP($E331,COTAÇÕES!$C:$L,10,0),)))*$I331,2)</f>
        <v>10.43</v>
      </c>
      <c r="L331" s="616">
        <f>TRUNC(IF($E331="",IFERROR(VLOOKUP($D331,SERVIÇOS!$C:$H,5,0),IFERROR(VLOOKUP($D331,$F:$M,7,0),)),0)*$I331,2)</f>
        <v>27.5</v>
      </c>
      <c r="M331" s="617">
        <f>K331+L331</f>
        <v>37.93</v>
      </c>
      <c r="N331" s="753" t="str">
        <f t="shared" ref="N331:N333" si="165">IF($D331&lt;&gt;"","SERVIÇO SINAPI",IF($E331&lt;&gt;"","INSUMO SINAPI",""))</f>
        <v>SERVIÇO SINAPI</v>
      </c>
      <c r="O331" s="648"/>
    </row>
    <row r="332" spans="2:15">
      <c r="B332" s="122">
        <f t="shared" si="164"/>
        <v>79.41</v>
      </c>
      <c r="C332" s="611" t="str">
        <f t="shared" ref="C332:C334" si="166">IF(D332&lt;&gt;"","C",IF(E332&lt;&gt;"","I",""))</f>
        <v>I</v>
      </c>
      <c r="D332" s="661"/>
      <c r="E332" s="661">
        <v>1379</v>
      </c>
      <c r="F332" s="612"/>
      <c r="G332" s="613" t="str">
        <f>IF($E332="",IFERROR(VLOOKUP($D332,SERVIÇOS!$C:$H,2,0),IFERROR(VLOOKUP($D332,$F:$M,2,0),"")),IFERROR(VLOOKUP($E332,INSUMOS!$B:$E,2,0),IFERROR(VLOOKUP($E332,COTAÇÕES!$C:$L,2,0),"")))</f>
        <v xml:space="preserve">CIMENTO PORTLAND COMPOSTO CP II-32                                                                                                                                                                                                                                                                                                                                                                                                                                                                        </v>
      </c>
      <c r="H332" s="593" t="str">
        <f>IF($E332="",IFERROR(VLOOKUP($D332,SERVIÇOS!$C:$H,3,0),IFERROR(VLOOKUP($D332,$F:$M,3,0),"")),IFERROR(VLOOKUP($E332,INSUMOS!$B:$E,3,0),IFERROR(VLOOKUP($E332,COTAÇÕES!$C:$L,5,0),"")))</f>
        <v xml:space="preserve">KG    </v>
      </c>
      <c r="I332" s="614">
        <v>8.0500000000000007</v>
      </c>
      <c r="J332" s="670">
        <f>IF($E332="",IFERROR(VLOOKUP($D332,SERVIÇOS!$C:$H,6,0),IFERROR(VLOOKUP($D332,$F:$M,8,0),"")),IFERROR(VLOOKUP($E332,INSUMOS!$B:$E,4,0),IFERROR(VLOOKUP($E332,COTAÇÕES!$C:$L,10,0),"")))</f>
        <v>0.67</v>
      </c>
      <c r="K332" s="615">
        <f>TRUNC(IF($E332="",IFERROR(VLOOKUP($D332,SERVIÇOS!$C:$H,4,0),IFERROR(VLOOKUP($D332,$F:$M,6,0),)),IFERROR(VLOOKUP($E332,INSUMOS!$B:$E,4,0),IFERROR(VLOOKUP($E332,COTAÇÕES!$C:$L,10,0),)))*$I332,2)</f>
        <v>5.39</v>
      </c>
      <c r="L332" s="616">
        <f>TRUNC(IF($E332="",IFERROR(VLOOKUP($D332,SERVIÇOS!$C:$H,5,0),IFERROR(VLOOKUP($D332,$F:$M,7,0),)),0)*$I332,2)</f>
        <v>0</v>
      </c>
      <c r="M332" s="617">
        <f t="shared" ref="M332:M334" si="167">K332+L332</f>
        <v>5.39</v>
      </c>
      <c r="N332" s="753" t="str">
        <f t="shared" si="165"/>
        <v>INSUMO SINAPI</v>
      </c>
      <c r="O332" s="648"/>
    </row>
    <row r="333" spans="2:15">
      <c r="B333" s="122">
        <f t="shared" si="164"/>
        <v>79.41</v>
      </c>
      <c r="C333" s="611" t="str">
        <f t="shared" si="166"/>
        <v>I</v>
      </c>
      <c r="D333" s="661"/>
      <c r="E333" s="661">
        <v>370</v>
      </c>
      <c r="F333" s="612"/>
      <c r="G333" s="613" t="str">
        <f>IF($E333="",IFERROR(VLOOKUP($D333,SERVIÇOS!$C:$H,2,0),IFERROR(VLOOKUP($D333,$F:$M,2,0),"")),IFERROR(VLOOKUP($E333,INSUMOS!$B:$E,2,0),IFERROR(VLOOKUP($E333,COTAÇÕES!$C:$L,2,0),"")))</f>
        <v xml:space="preserve">AREIA MEDIA - POSTO JAZIDA/FORNECEDOR (RETIRADO NA JAZIDA, SEM TRANSPORTE)                                                                                                                                                                                                                                                                                                                                                                                                                                </v>
      </c>
      <c r="H333" s="593" t="str">
        <f>IF($E333="",IFERROR(VLOOKUP($D333,SERVIÇOS!$C:$H,3,0),IFERROR(VLOOKUP($D333,$F:$M,3,0),"")),IFERROR(VLOOKUP($E333,INSUMOS!$B:$E,3,0),IFERROR(VLOOKUP($E333,COTAÇÕES!$C:$L,5,0),"")))</f>
        <v xml:space="preserve">M3    </v>
      </c>
      <c r="I333" s="614">
        <v>3.04E-2</v>
      </c>
      <c r="J333" s="670">
        <f>IF($E333="",IFERROR(VLOOKUP($D333,SERVIÇOS!$C:$H,6,0),IFERROR(VLOOKUP($D333,$F:$M,8,0),"")),IFERROR(VLOOKUP($E333,INSUMOS!$B:$E,4,0),IFERROR(VLOOKUP($E333,COTAÇÕES!$C:$L,10,0),"")))</f>
        <v>81.650000000000006</v>
      </c>
      <c r="K333" s="615">
        <f>TRUNC(IF($E333="",IFERROR(VLOOKUP($D333,SERVIÇOS!$C:$H,4,0),IFERROR(VLOOKUP($D333,$F:$M,6,0),)),IFERROR(VLOOKUP($E333,INSUMOS!$B:$E,4,0),IFERROR(VLOOKUP($E333,COTAÇÕES!$C:$L,10,0),)))*$I333,2)</f>
        <v>2.48</v>
      </c>
      <c r="L333" s="616">
        <f>TRUNC(IF($E333="",IFERROR(VLOOKUP($D333,SERVIÇOS!$C:$H,5,0),IFERROR(VLOOKUP($D333,$F:$M,7,0),)),0)*$I333,2)</f>
        <v>0</v>
      </c>
      <c r="M333" s="617">
        <f t="shared" si="167"/>
        <v>2.48</v>
      </c>
      <c r="N333" s="753" t="str">
        <f t="shared" si="165"/>
        <v>INSUMO SINAPI</v>
      </c>
      <c r="O333" s="648"/>
    </row>
    <row r="334" spans="2:15">
      <c r="B334" s="122">
        <f t="shared" si="164"/>
        <v>79.41</v>
      </c>
      <c r="C334" s="611" t="str">
        <f t="shared" si="166"/>
        <v>I</v>
      </c>
      <c r="D334" s="661"/>
      <c r="E334" s="661" t="s">
        <v>9134</v>
      </c>
      <c r="F334" s="612"/>
      <c r="G334" s="894" t="str">
        <f>IF($E334="",IFERROR(VLOOKUP($D334,SERVIÇOS!$C:$H,2,0),IFERROR(VLOOKUP($D334,$F:$M,2,0),"")),IFERROR(VLOOKUP($E334,INSUMOS!$B:$E,2,0),IFERROR(VLOOKUP($E334,COTAÇÕES!$C:$L,2,0),"")))</f>
        <v>ARENITO VERMELHO COMUM PARA REVESTIMENTO</v>
      </c>
      <c r="H334" s="593" t="str">
        <f>IF($E334="",IFERROR(VLOOKUP($D334,SERVIÇOS!$C:$H,3,0),IFERROR(VLOOKUP($D334,$F:$M,3,0),"")),IFERROR(VLOOKUP($E334,INSUMOS!$B:$E,3,0),IFERROR(VLOOKUP($E334,COTAÇÕES!$C:$L,5,0),"")))</f>
        <v>M2</v>
      </c>
      <c r="I334" s="614">
        <v>1</v>
      </c>
      <c r="J334" s="670">
        <f>IF($E334="",IFERROR(VLOOKUP($D334,SERVIÇOS!$C:$H,6,0),IFERROR(VLOOKUP($D334,$F:$M,8,0),"")),IFERROR(VLOOKUP($E334,INSUMOS!$B:$E,4,0),IFERROR(VLOOKUP($E334,COTAÇÕES!$C:$L,10,0),"")))</f>
        <v>131.31666666666669</v>
      </c>
      <c r="K334" s="615">
        <f>TRUNC(IF($E334="",IFERROR(VLOOKUP($D334,SERVIÇOS!$C:$H,4,0),IFERROR(VLOOKUP($D334,$F:$M,6,0),)),IFERROR(VLOOKUP($E334,INSUMOS!$B:$E,4,0),IFERROR(VLOOKUP($E334,COTAÇÕES!$C:$L,10,0),)))*$I334,2)</f>
        <v>131.31</v>
      </c>
      <c r="L334" s="616">
        <f>TRUNC(IF($E334="",IFERROR(VLOOKUP($D334,SERVIÇOS!$C:$H,5,0),IFERROR(VLOOKUP($D334,$F:$M,7,0),)),0)*$I334,2)</f>
        <v>0</v>
      </c>
      <c r="M334" s="617">
        <f t="shared" si="167"/>
        <v>131.31</v>
      </c>
      <c r="N334" s="753" t="s">
        <v>6845</v>
      </c>
      <c r="O334" s="648"/>
    </row>
    <row r="335" spans="2:15" ht="25.5">
      <c r="B335" s="769">
        <f>SUMIF(ORC!$G$11:$G$2470,CPU!$F335,ORC!$J$11:$J$2470)</f>
        <v>135.01</v>
      </c>
      <c r="C335" s="515" t="s">
        <v>2239</v>
      </c>
      <c r="D335" s="515"/>
      <c r="E335" s="515"/>
      <c r="F335" s="515" t="s">
        <v>8595</v>
      </c>
      <c r="G335" s="594" t="s">
        <v>8596</v>
      </c>
      <c r="H335" s="515" t="s">
        <v>649</v>
      </c>
      <c r="I335" s="595"/>
      <c r="J335" s="596"/>
      <c r="K335" s="597">
        <f>SUM(K336:K340)</f>
        <v>141.29</v>
      </c>
      <c r="L335" s="597">
        <f>SUM(L336:L340)</f>
        <v>14.08</v>
      </c>
      <c r="M335" s="596">
        <f>SUM(K335:L335)</f>
        <v>155.37</v>
      </c>
      <c r="N335" s="598" t="s">
        <v>8597</v>
      </c>
      <c r="O335" s="599" t="s">
        <v>7651</v>
      </c>
    </row>
    <row r="336" spans="2:15">
      <c r="B336" s="122">
        <f t="shared" ref="B336:B340" si="168">B335</f>
        <v>135.01</v>
      </c>
      <c r="C336" s="611" t="str">
        <f>IF(D336&lt;&gt;"","C",IF(E336&lt;&gt;"","I",""))</f>
        <v>I</v>
      </c>
      <c r="D336" s="661"/>
      <c r="E336" s="661">
        <v>37329</v>
      </c>
      <c r="F336" s="612"/>
      <c r="G336" s="613" t="str">
        <f>IF($E336="",IFERROR(VLOOKUP($D336,SERVIÇOS!$C:$H,2,0),IFERROR(VLOOKUP($D336,$F:$M,2,0),"")),IFERROR(VLOOKUP($E336,INSUMOS!$B:$E,2,0),IFERROR(VLOOKUP($E336,COTAÇÕES!$C:$L,2,0),"")))</f>
        <v xml:space="preserve">REJUNTE EPOXI, QUALQUER COR                                                                                                                                                                                                                                                                                                                                                                                                                                                                               </v>
      </c>
      <c r="H336" s="593" t="str">
        <f>IF($E336="",IFERROR(VLOOKUP($D336,SERVIÇOS!$C:$H,3,0),IFERROR(VLOOKUP($D336,$F:$M,3,0),"")),IFERROR(VLOOKUP($E336,INSUMOS!$B:$E,3,0),IFERROR(VLOOKUP($E336,COTAÇÕES!$C:$L,5,0),"")))</f>
        <v xml:space="preserve">KG    </v>
      </c>
      <c r="I336" s="614">
        <v>0.14000000000000001</v>
      </c>
      <c r="J336" s="670">
        <f>IF($E336="",IFERROR(VLOOKUP($D336,SERVIÇOS!$C:$H,6,0),IFERROR(VLOOKUP($D336,$F:$M,8,0),"")),IFERROR(VLOOKUP($E336,INSUMOS!$B:$E,4,0),IFERROR(VLOOKUP($E336,COTAÇÕES!$C:$L,10,0),"")))</f>
        <v>86.57</v>
      </c>
      <c r="K336" s="615">
        <f>TRUNC(IF($E336="",IFERROR(VLOOKUP($D336,SERVIÇOS!$C:$H,4,0),IFERROR(VLOOKUP($D336,$F:$M,6,0),)),IFERROR(VLOOKUP($E336,INSUMOS!$B:$E,4,0),IFERROR(VLOOKUP($E336,COTAÇÕES!$C:$L,10,0),)))*$I336,2)</f>
        <v>12.11</v>
      </c>
      <c r="L336" s="616">
        <f>TRUNC(IF($E336="",IFERROR(VLOOKUP($D336,SERVIÇOS!$C:$H,5,0),IFERROR(VLOOKUP($D336,$F:$M,7,0),)),0)*$I336,2)</f>
        <v>0</v>
      </c>
      <c r="M336" s="617">
        <f>K336+L336</f>
        <v>12.11</v>
      </c>
      <c r="N336" s="753" t="str">
        <f t="shared" ref="N336:N386" si="169">IF($D336&lt;&gt;"","SERVIÇO SINAPI",IF($E336&lt;&gt;"","INSUMO SINAPI",""))</f>
        <v>INSUMO SINAPI</v>
      </c>
      <c r="O336" s="648"/>
    </row>
    <row r="337" spans="2:15">
      <c r="B337" s="122">
        <f t="shared" si="168"/>
        <v>135.01</v>
      </c>
      <c r="C337" s="611" t="str">
        <f t="shared" ref="C337:C339" si="170">IF(D337&lt;&gt;"","C",IF(E337&lt;&gt;"","I",""))</f>
        <v>I</v>
      </c>
      <c r="D337" s="661"/>
      <c r="E337" s="661">
        <v>37595</v>
      </c>
      <c r="F337" s="612"/>
      <c r="G337" s="613" t="str">
        <f>IF($E337="",IFERROR(VLOOKUP($D337,SERVIÇOS!$C:$H,2,0),IFERROR(VLOOKUP($D337,$F:$M,2,0),"")),IFERROR(VLOOKUP($E337,INSUMOS!$B:$E,2,0),IFERROR(VLOOKUP($E337,COTAÇÕES!$C:$L,2,0),"")))</f>
        <v xml:space="preserve">ARGAMASSA COLANTE TIPO AC III                                                                                                                                                                                                                                                                                                                                                                                                                                                                             </v>
      </c>
      <c r="H337" s="593" t="str">
        <f>IF($E337="",IFERROR(VLOOKUP($D337,SERVIÇOS!$C:$H,3,0),IFERROR(VLOOKUP($D337,$F:$M,3,0),"")),IFERROR(VLOOKUP($E337,INSUMOS!$B:$E,3,0),IFERROR(VLOOKUP($E337,COTAÇÕES!$C:$L,5,0),"")))</f>
        <v xml:space="preserve">KG    </v>
      </c>
      <c r="I337" s="614">
        <v>8.6199999999999992</v>
      </c>
      <c r="J337" s="670">
        <f>IF($E337="",IFERROR(VLOOKUP($D337,SERVIÇOS!$C:$H,6,0),IFERROR(VLOOKUP($D337,$F:$M,8,0),"")),IFERROR(VLOOKUP($E337,INSUMOS!$B:$E,4,0),IFERROR(VLOOKUP($E337,COTAÇÕES!$C:$L,10,0),"")))</f>
        <v>2.15</v>
      </c>
      <c r="K337" s="615">
        <f>TRUNC(IF($E337="",IFERROR(VLOOKUP($D337,SERVIÇOS!$C:$H,4,0),IFERROR(VLOOKUP($D337,$F:$M,6,0),)),IFERROR(VLOOKUP($E337,INSUMOS!$B:$E,4,0),IFERROR(VLOOKUP($E337,COTAÇÕES!$C:$L,10,0),)))*$I337,2)</f>
        <v>18.53</v>
      </c>
      <c r="L337" s="616">
        <f>TRUNC(IF($E337="",IFERROR(VLOOKUP($D337,SERVIÇOS!$C:$H,5,0),IFERROR(VLOOKUP($D337,$F:$M,7,0),)),0)*$I337,2)</f>
        <v>0</v>
      </c>
      <c r="M337" s="617">
        <f t="shared" ref="M337:M339" si="171">K337+L337</f>
        <v>18.53</v>
      </c>
      <c r="N337" s="753" t="str">
        <f t="shared" si="169"/>
        <v>INSUMO SINAPI</v>
      </c>
      <c r="O337" s="648"/>
    </row>
    <row r="338" spans="2:15">
      <c r="B338" s="122">
        <f t="shared" si="168"/>
        <v>135.01</v>
      </c>
      <c r="C338" s="611" t="str">
        <f t="shared" si="170"/>
        <v>I</v>
      </c>
      <c r="D338" s="661"/>
      <c r="E338" s="661">
        <v>38195</v>
      </c>
      <c r="F338" s="612"/>
      <c r="G338" s="613" t="str">
        <f>IF($E338="",IFERROR(VLOOKUP($D338,SERVIÇOS!$C:$H,2,0),IFERROR(VLOOKUP($D338,$F:$M,2,0),"")),IFERROR(VLOOKUP($E338,INSUMOS!$B:$E,2,0),IFERROR(VLOOKUP($E338,COTAÇÕES!$C:$L,2,0),"")))</f>
        <v xml:space="preserve">PISO PORCELANATO, BORDA RETA, EXTRA, FORMATO MAIOR QUE 2025 CM2                                                                                                                                                                                                                                                                                                                                                                                                                                           </v>
      </c>
      <c r="H338" s="593" t="str">
        <f>IF($E338="",IFERROR(VLOOKUP($D338,SERVIÇOS!$C:$H,3,0),IFERROR(VLOOKUP($D338,$F:$M,3,0),"")),IFERROR(VLOOKUP($E338,INSUMOS!$B:$E,3,0),IFERROR(VLOOKUP($E338,COTAÇÕES!$C:$L,5,0),"")))</f>
        <v xml:space="preserve">M2    </v>
      </c>
      <c r="I338" s="614">
        <v>1.07</v>
      </c>
      <c r="J338" s="670">
        <f>IF($E338="",IFERROR(VLOOKUP($D338,SERVIÇOS!$C:$H,6,0),IFERROR(VLOOKUP($D338,$F:$M,8,0),"")),IFERROR(VLOOKUP($E338,INSUMOS!$B:$E,4,0),IFERROR(VLOOKUP($E338,COTAÇÕES!$C:$L,10,0),"")))</f>
        <v>99.47</v>
      </c>
      <c r="K338" s="615">
        <f>TRUNC(IF($E338="",IFERROR(VLOOKUP($D338,SERVIÇOS!$C:$H,4,0),IFERROR(VLOOKUP($D338,$F:$M,6,0),)),IFERROR(VLOOKUP($E338,INSUMOS!$B:$E,4,0),IFERROR(VLOOKUP($E338,COTAÇÕES!$C:$L,10,0),)))*$I338,2)</f>
        <v>106.43</v>
      </c>
      <c r="L338" s="616">
        <f>TRUNC(IF($E338="",IFERROR(VLOOKUP($D338,SERVIÇOS!$C:$H,5,0),IFERROR(VLOOKUP($D338,$F:$M,7,0),)),0)*$I338,2)</f>
        <v>0</v>
      </c>
      <c r="M338" s="617">
        <f t="shared" si="171"/>
        <v>106.43</v>
      </c>
      <c r="N338" s="753" t="str">
        <f t="shared" si="169"/>
        <v>INSUMO SINAPI</v>
      </c>
      <c r="O338" s="648"/>
    </row>
    <row r="339" spans="2:15">
      <c r="B339" s="122">
        <f t="shared" si="168"/>
        <v>135.01</v>
      </c>
      <c r="C339" s="611" t="str">
        <f t="shared" si="170"/>
        <v>C</v>
      </c>
      <c r="D339" s="661">
        <v>88256</v>
      </c>
      <c r="E339" s="661"/>
      <c r="F339" s="612"/>
      <c r="G339" s="613" t="str">
        <f>IF($E339="",IFERROR(VLOOKUP($D339,SERVIÇOS!$C:$H,2,0),IFERROR(VLOOKUP($D339,$F:$M,2,0),"")),IFERROR(VLOOKUP($E339,INSUMOS!$B:$E,2,0),IFERROR(VLOOKUP($E339,COTAÇÕES!$C:$L,2,0),"")))</f>
        <v>AZULEJISTA OU LADRILHISTA COM ENCARGOS COMPLEMENTARES</v>
      </c>
      <c r="H339" s="593" t="str">
        <f>IF($E339="",IFERROR(VLOOKUP($D339,SERVIÇOS!$C:$H,3,0),IFERROR(VLOOKUP($D339,$F:$M,3,0),"")),IFERROR(VLOOKUP($E339,INSUMOS!$B:$E,3,0),IFERROR(VLOOKUP($E339,COTAÇÕES!$C:$L,5,0),"")))</f>
        <v>H</v>
      </c>
      <c r="I339" s="614">
        <v>0.44</v>
      </c>
      <c r="J339" s="670">
        <f>IF($E339="",IFERROR(VLOOKUP($D339,SERVIÇOS!$C:$H,6,0),IFERROR(VLOOKUP($D339,$F:$M,8,0),"")),IFERROR(VLOOKUP($E339,INSUMOS!$B:$E,4,0),IFERROR(VLOOKUP($E339,COTAÇÕES!$C:$L,10,0),"")))</f>
        <v>30.86</v>
      </c>
      <c r="K339" s="615">
        <f>TRUNC(IF($E339="",IFERROR(VLOOKUP($D339,SERVIÇOS!$C:$H,4,0),IFERROR(VLOOKUP($D339,$F:$M,6,0),)),IFERROR(VLOOKUP($E339,INSUMOS!$B:$E,4,0),IFERROR(VLOOKUP($E339,COTAÇÕES!$C:$L,10,0),)))*$I339,2)</f>
        <v>2.92</v>
      </c>
      <c r="L339" s="616">
        <f>TRUNC(IF($E339="",IFERROR(VLOOKUP($D339,SERVIÇOS!$C:$H,5,0),IFERROR(VLOOKUP($D339,$F:$M,7,0),)),0)*$I339,2)</f>
        <v>10.65</v>
      </c>
      <c r="M339" s="617">
        <f t="shared" si="171"/>
        <v>13.57</v>
      </c>
      <c r="N339" s="753" t="str">
        <f t="shared" si="169"/>
        <v>SERVIÇO SINAPI</v>
      </c>
      <c r="O339" s="648"/>
    </row>
    <row r="340" spans="2:15">
      <c r="B340" s="122">
        <f t="shared" si="168"/>
        <v>135.01</v>
      </c>
      <c r="C340" s="611" t="str">
        <f t="shared" ref="C340" si="172">IF(D340&lt;&gt;"","C",IF(E340&lt;&gt;"","I",""))</f>
        <v>C</v>
      </c>
      <c r="D340" s="661">
        <v>88316</v>
      </c>
      <c r="E340" s="661"/>
      <c r="F340" s="612"/>
      <c r="G340" s="613" t="str">
        <f>IF($E340="",IFERROR(VLOOKUP($D340,SERVIÇOS!$C:$H,2,0),IFERROR(VLOOKUP($D340,$F:$M,2,0),"")),IFERROR(VLOOKUP($E340,INSUMOS!$B:$E,2,0),IFERROR(VLOOKUP($E340,COTAÇÕES!$C:$L,2,0),"")))</f>
        <v>SERVENTE COM ENCARGOS COMPLEMENTARES</v>
      </c>
      <c r="H340" s="593" t="str">
        <f>IF($E340="",IFERROR(VLOOKUP($D340,SERVIÇOS!$C:$H,3,0),IFERROR(VLOOKUP($D340,$F:$M,3,0),"")),IFERROR(VLOOKUP($E340,INSUMOS!$B:$E,3,0),IFERROR(VLOOKUP($E340,COTAÇÕES!$C:$L,5,0),"")))</f>
        <v>H</v>
      </c>
      <c r="I340" s="614">
        <v>0.2</v>
      </c>
      <c r="J340" s="670">
        <f>IF($E340="",IFERROR(VLOOKUP($D340,SERVIÇOS!$C:$H,6,0),IFERROR(VLOOKUP($D340,$F:$M,8,0),"")),IFERROR(VLOOKUP($E340,INSUMOS!$B:$E,4,0),IFERROR(VLOOKUP($E340,COTAÇÕES!$C:$L,10,0),"")))</f>
        <v>23.71</v>
      </c>
      <c r="K340" s="615">
        <f>TRUNC(IF($E340="",IFERROR(VLOOKUP($D340,SERVIÇOS!$C:$H,4,0),IFERROR(VLOOKUP($D340,$F:$M,6,0),)),IFERROR(VLOOKUP($E340,INSUMOS!$B:$E,4,0),IFERROR(VLOOKUP($E340,COTAÇÕES!$C:$L,10,0),)))*$I340,2)</f>
        <v>1.3</v>
      </c>
      <c r="L340" s="616">
        <f>TRUNC(IF($E340="",IFERROR(VLOOKUP($D340,SERVIÇOS!$C:$H,5,0),IFERROR(VLOOKUP($D340,$F:$M,7,0),)),0)*$I340,2)</f>
        <v>3.43</v>
      </c>
      <c r="M340" s="617">
        <f t="shared" ref="M340" si="173">K340+L340</f>
        <v>4.7300000000000004</v>
      </c>
      <c r="N340" s="753" t="str">
        <f t="shared" si="169"/>
        <v>SERVIÇO SINAPI</v>
      </c>
      <c r="O340" s="648"/>
    </row>
    <row r="341" spans="2:15" ht="51">
      <c r="B341" s="769">
        <f>SUMIF(ORC!$G$11:$G$2470,CPU!$F341,ORC!$J$11:$J$2470)</f>
        <v>30.56</v>
      </c>
      <c r="C341" s="515" t="s">
        <v>2239</v>
      </c>
      <c r="D341" s="515"/>
      <c r="E341" s="515"/>
      <c r="F341" s="515" t="s">
        <v>8599</v>
      </c>
      <c r="G341" s="594" t="s">
        <v>8604</v>
      </c>
      <c r="H341" s="515" t="s">
        <v>649</v>
      </c>
      <c r="I341" s="595"/>
      <c r="J341" s="596"/>
      <c r="K341" s="597">
        <f>SUM(K342:K346)</f>
        <v>637.57999999999993</v>
      </c>
      <c r="L341" s="597">
        <f>SUM(L342:L346)</f>
        <v>19.060000000000002</v>
      </c>
      <c r="M341" s="596">
        <f>SUM(K341:L341)</f>
        <v>656.63999999999987</v>
      </c>
      <c r="N341" s="598" t="s">
        <v>8600</v>
      </c>
      <c r="O341" s="599" t="s">
        <v>7651</v>
      </c>
    </row>
    <row r="342" spans="2:15">
      <c r="B342" s="122">
        <f t="shared" ref="B342:B346" si="174">B341</f>
        <v>30.56</v>
      </c>
      <c r="C342" s="611" t="str">
        <f>IF(D342&lt;&gt;"","C",IF(E342&lt;&gt;"","I",""))</f>
        <v>C</v>
      </c>
      <c r="D342" s="661">
        <v>98678</v>
      </c>
      <c r="E342" s="661"/>
      <c r="F342" s="612"/>
      <c r="G342" s="613" t="str">
        <f>IF($E342="",IFERROR(VLOOKUP($D342,SERVIÇOS!$C:$H,2,0),IFERROR(VLOOKUP($D342,$F:$M,2,0),"")),IFERROR(VLOOKUP($E342,INSUMOS!$B:$E,2,0),IFERROR(VLOOKUP($E342,COTAÇÕES!$C:$L,2,0),"")))</f>
        <v>PISO ELEVADO COM ESTRUTURA EM AÇO, COMPOSTO POR PEDESTAIS E LONGARINAS. AF_09/2020</v>
      </c>
      <c r="H342" s="593" t="str">
        <f>IF($E342="",IFERROR(VLOOKUP($D342,SERVIÇOS!$C:$H,3,0),IFERROR(VLOOKUP($D342,$F:$M,3,0),"")),IFERROR(VLOOKUP($E342,INSUMOS!$B:$E,3,0),IFERROR(VLOOKUP($E342,COTAÇÕES!$C:$L,5,0),"")))</f>
        <v>M2</v>
      </c>
      <c r="I342" s="614">
        <v>1</v>
      </c>
      <c r="J342" s="670">
        <f>IF($E342="",IFERROR(VLOOKUP($D342,SERVIÇOS!$C:$H,6,0),IFERROR(VLOOKUP($D342,$F:$M,8,0),"")),IFERROR(VLOOKUP($E342,INSUMOS!$B:$E,4,0),IFERROR(VLOOKUP($E342,COTAÇÕES!$C:$L,10,0),"")))</f>
        <v>472.21</v>
      </c>
      <c r="K342" s="615">
        <f>TRUNC(IF($E342="",IFERROR(VLOOKUP($D342,SERVIÇOS!$C:$H,4,0),IFERROR(VLOOKUP($D342,$F:$M,6,0),)),IFERROR(VLOOKUP($E342,INSUMOS!$B:$E,4,0),IFERROR(VLOOKUP($E342,COTAÇÕES!$C:$L,10,0),)))*$I342,2)</f>
        <v>458.77</v>
      </c>
      <c r="L342" s="616">
        <f>TRUNC(IF($E342="",IFERROR(VLOOKUP($D342,SERVIÇOS!$C:$H,5,0),IFERROR(VLOOKUP($D342,$F:$M,7,0),)),0)*$I342,2)</f>
        <v>13.44</v>
      </c>
      <c r="M342" s="617">
        <f>K342+L342</f>
        <v>472.21</v>
      </c>
      <c r="N342" s="753" t="str">
        <f t="shared" si="169"/>
        <v>SERVIÇO SINAPI</v>
      </c>
      <c r="O342" s="648"/>
    </row>
    <row r="343" spans="2:15">
      <c r="B343" s="122">
        <f t="shared" si="174"/>
        <v>30.56</v>
      </c>
      <c r="C343" s="611" t="str">
        <f t="shared" ref="C343:C346" si="175">IF(D343&lt;&gt;"","C",IF(E343&lt;&gt;"","I",""))</f>
        <v>I</v>
      </c>
      <c r="D343" s="661"/>
      <c r="E343" s="661">
        <v>4791</v>
      </c>
      <c r="F343" s="612"/>
      <c r="G343" s="613" t="str">
        <f>IF($E343="",IFERROR(VLOOKUP($D343,SERVIÇOS!$C:$H,2,0),IFERROR(VLOOKUP($D343,$F:$M,2,0),"")),IFERROR(VLOOKUP($E343,INSUMOS!$B:$E,2,0),IFERROR(VLOOKUP($E343,COTAÇÕES!$C:$L,2,0),"")))</f>
        <v xml:space="preserve">ADESIVO ACRILICO DE BASE AQUOSA / COLA DE CONTATO                                                                                                                                                                                                                                                                                                                                                                                                                                                         </v>
      </c>
      <c r="H343" s="593" t="str">
        <f>IF($E343="",IFERROR(VLOOKUP($D343,SERVIÇOS!$C:$H,3,0),IFERROR(VLOOKUP($D343,$F:$M,3,0),"")),IFERROR(VLOOKUP($E343,INSUMOS!$B:$E,3,0),IFERROR(VLOOKUP($E343,COTAÇÕES!$C:$L,5,0),"")))</f>
        <v xml:space="preserve">KG    </v>
      </c>
      <c r="I343" s="614">
        <v>9.5000000000000001E-2</v>
      </c>
      <c r="J343" s="670">
        <f>IF($E343="",IFERROR(VLOOKUP($D343,SERVIÇOS!$C:$H,6,0),IFERROR(VLOOKUP($D343,$F:$M,8,0),"")),IFERROR(VLOOKUP($E343,INSUMOS!$B:$E,4,0),IFERROR(VLOOKUP($E343,COTAÇÕES!$C:$L,10,0),"")))</f>
        <v>45.49</v>
      </c>
      <c r="K343" s="615">
        <f>TRUNC(IF($E343="",IFERROR(VLOOKUP($D343,SERVIÇOS!$C:$H,4,0),IFERROR(VLOOKUP($D343,$F:$M,6,0),)),IFERROR(VLOOKUP($E343,INSUMOS!$B:$E,4,0),IFERROR(VLOOKUP($E343,COTAÇÕES!$C:$L,10,0),)))*$I343,2)</f>
        <v>4.32</v>
      </c>
      <c r="L343" s="616">
        <f>TRUNC(IF($E343="",IFERROR(VLOOKUP($D343,SERVIÇOS!$C:$H,5,0),IFERROR(VLOOKUP($D343,$F:$M,7,0),)),0)*$I343,2)</f>
        <v>0</v>
      </c>
      <c r="M343" s="617">
        <f t="shared" ref="M343:M346" si="176">K343+L343</f>
        <v>4.32</v>
      </c>
      <c r="N343" s="753" t="str">
        <f t="shared" si="169"/>
        <v>INSUMO SINAPI</v>
      </c>
      <c r="O343" s="648"/>
    </row>
    <row r="344" spans="2:15">
      <c r="B344" s="122">
        <f t="shared" si="174"/>
        <v>30.56</v>
      </c>
      <c r="C344" s="611" t="str">
        <f t="shared" si="175"/>
        <v>I</v>
      </c>
      <c r="D344" s="661"/>
      <c r="E344" s="661" t="s">
        <v>9043</v>
      </c>
      <c r="F344" s="612"/>
      <c r="G344" s="613" t="str">
        <f>IF($E344="",IFERROR(VLOOKUP($D344,SERVIÇOS!$C:$H,2,0),IFERROR(VLOOKUP($D344,$F:$M,2,0),"")),IFERROR(VLOOKUP($E344,INSUMOS!$B:$E,2,0),IFERROR(VLOOKUP($E344,COTAÇÕES!$C:$L,2,0),"")))</f>
        <v>PISO VINÍLICO EM MANTA HOMOGÊNEO, E=2MM, REF. VYLON PLUS TARKETT OU EQUIVALENTE TÉCNICO</v>
      </c>
      <c r="H344" s="593" t="str">
        <f>IF($E344="",IFERROR(VLOOKUP($D344,SERVIÇOS!$C:$H,3,0),IFERROR(VLOOKUP($D344,$F:$M,3,0),"")),IFERROR(VLOOKUP($E344,INSUMOS!$B:$E,3,0),IFERROR(VLOOKUP($E344,COTAÇÕES!$C:$L,5,0),"")))</f>
        <v>M2</v>
      </c>
      <c r="I344" s="614">
        <v>1.1100000000000001</v>
      </c>
      <c r="J344" s="670">
        <f>IF($E344="",IFERROR(VLOOKUP($D344,SERVIÇOS!$C:$H,6,0),IFERROR(VLOOKUP($D344,$F:$M,8,0),"")),IFERROR(VLOOKUP($E344,INSUMOS!$B:$E,4,0),IFERROR(VLOOKUP($E344,COTAÇÕES!$C:$L,10,0),"")))</f>
        <v>155.69333333333336</v>
      </c>
      <c r="K344" s="615">
        <f>TRUNC(IF($E344="",IFERROR(VLOOKUP($D344,SERVIÇOS!$C:$H,4,0),IFERROR(VLOOKUP($D344,$F:$M,6,0),)),IFERROR(VLOOKUP($E344,INSUMOS!$B:$E,4,0),IFERROR(VLOOKUP($E344,COTAÇÕES!$C:$L,10,0),)))*$I344,2)</f>
        <v>172.81</v>
      </c>
      <c r="L344" s="616">
        <f>TRUNC(IF($E344="",IFERROR(VLOOKUP($D344,SERVIÇOS!$C:$H,5,0),IFERROR(VLOOKUP($D344,$F:$M,7,0),)),0)*$I344,2)</f>
        <v>0</v>
      </c>
      <c r="M344" s="617">
        <f t="shared" si="176"/>
        <v>172.81</v>
      </c>
      <c r="N344" s="753" t="s">
        <v>6845</v>
      </c>
      <c r="O344" s="648"/>
    </row>
    <row r="345" spans="2:15">
      <c r="B345" s="122">
        <f t="shared" si="174"/>
        <v>30.56</v>
      </c>
      <c r="C345" s="611" t="str">
        <f t="shared" si="175"/>
        <v>C</v>
      </c>
      <c r="D345" s="661">
        <v>88309</v>
      </c>
      <c r="E345" s="661"/>
      <c r="F345" s="612"/>
      <c r="G345" s="613" t="str">
        <f>IF($E345="",IFERROR(VLOOKUP($D345,SERVIÇOS!$C:$H,2,0),IFERROR(VLOOKUP($D345,$F:$M,2,0),"")),IFERROR(VLOOKUP($E345,INSUMOS!$B:$E,2,0),IFERROR(VLOOKUP($E345,COTAÇÕES!$C:$L,2,0),"")))</f>
        <v>PEDREIRO COM ENCARGOS COMPLEMENTARES</v>
      </c>
      <c r="H345" s="593" t="str">
        <f>IF($E345="",IFERROR(VLOOKUP($D345,SERVIÇOS!$C:$H,3,0),IFERROR(VLOOKUP($D345,$F:$M,3,0),"")),IFERROR(VLOOKUP($E345,INSUMOS!$B:$E,3,0),IFERROR(VLOOKUP($E345,COTAÇÕES!$C:$L,5,0),"")))</f>
        <v>H</v>
      </c>
      <c r="I345" s="614">
        <v>0.17100000000000001</v>
      </c>
      <c r="J345" s="670">
        <f>IF($E345="",IFERROR(VLOOKUP($D345,SERVIÇOS!$C:$H,6,0),IFERROR(VLOOKUP($D345,$F:$M,8,0),"")),IFERROR(VLOOKUP($E345,INSUMOS!$B:$E,4,0),IFERROR(VLOOKUP($E345,COTAÇÕES!$C:$L,10,0),"")))</f>
        <v>30.99</v>
      </c>
      <c r="K345" s="615">
        <f>TRUNC(IF($E345="",IFERROR(VLOOKUP($D345,SERVIÇOS!$C:$H,4,0),IFERROR(VLOOKUP($D345,$F:$M,6,0),)),IFERROR(VLOOKUP($E345,INSUMOS!$B:$E,4,0),IFERROR(VLOOKUP($E345,COTAÇÕES!$C:$L,10,0),)))*$I345,2)</f>
        <v>1.1299999999999999</v>
      </c>
      <c r="L345" s="616">
        <f>TRUNC(IF($E345="",IFERROR(VLOOKUP($D345,SERVIÇOS!$C:$H,5,0),IFERROR(VLOOKUP($D345,$F:$M,7,0),)),0)*$I345,2)</f>
        <v>4.16</v>
      </c>
      <c r="M345" s="617">
        <f t="shared" si="176"/>
        <v>5.29</v>
      </c>
      <c r="N345" s="753" t="str">
        <f t="shared" si="169"/>
        <v>SERVIÇO SINAPI</v>
      </c>
      <c r="O345" s="648"/>
    </row>
    <row r="346" spans="2:15">
      <c r="B346" s="122">
        <f t="shared" si="174"/>
        <v>30.56</v>
      </c>
      <c r="C346" s="611" t="str">
        <f t="shared" si="175"/>
        <v>C</v>
      </c>
      <c r="D346" s="661">
        <v>88316</v>
      </c>
      <c r="E346" s="661"/>
      <c r="F346" s="612"/>
      <c r="G346" s="613" t="str">
        <f>IF($E346="",IFERROR(VLOOKUP($D346,SERVIÇOS!$C:$H,2,0),IFERROR(VLOOKUP($D346,$F:$M,2,0),"")),IFERROR(VLOOKUP($E346,INSUMOS!$B:$E,2,0),IFERROR(VLOOKUP($E346,COTAÇÕES!$C:$L,2,0),"")))</f>
        <v>SERVENTE COM ENCARGOS COMPLEMENTARES</v>
      </c>
      <c r="H346" s="593" t="str">
        <f>IF($E346="",IFERROR(VLOOKUP($D346,SERVIÇOS!$C:$H,3,0),IFERROR(VLOOKUP($D346,$F:$M,3,0),"")),IFERROR(VLOOKUP($E346,INSUMOS!$B:$E,3,0),IFERROR(VLOOKUP($E346,COTAÇÕES!$C:$L,5,0),"")))</f>
        <v>H</v>
      </c>
      <c r="I346" s="614">
        <v>8.5000000000000006E-2</v>
      </c>
      <c r="J346" s="670">
        <f>IF($E346="",IFERROR(VLOOKUP($D346,SERVIÇOS!$C:$H,6,0),IFERROR(VLOOKUP($D346,$F:$M,8,0),"")),IFERROR(VLOOKUP($E346,INSUMOS!$B:$E,4,0),IFERROR(VLOOKUP($E346,COTAÇÕES!$C:$L,10,0),"")))</f>
        <v>23.71</v>
      </c>
      <c r="K346" s="615">
        <f>TRUNC(IF($E346="",IFERROR(VLOOKUP($D346,SERVIÇOS!$C:$H,4,0),IFERROR(VLOOKUP($D346,$F:$M,6,0),)),IFERROR(VLOOKUP($E346,INSUMOS!$B:$E,4,0),IFERROR(VLOOKUP($E346,COTAÇÕES!$C:$L,10,0),)))*$I346,2)</f>
        <v>0.55000000000000004</v>
      </c>
      <c r="L346" s="616">
        <f>TRUNC(IF($E346="",IFERROR(VLOOKUP($D346,SERVIÇOS!$C:$H,5,0),IFERROR(VLOOKUP($D346,$F:$M,7,0),)),0)*$I346,2)</f>
        <v>1.46</v>
      </c>
      <c r="M346" s="617">
        <f t="shared" si="176"/>
        <v>2.0099999999999998</v>
      </c>
      <c r="N346" s="753" t="str">
        <f t="shared" si="169"/>
        <v>SERVIÇO SINAPI</v>
      </c>
      <c r="O346" s="648"/>
    </row>
    <row r="347" spans="2:15">
      <c r="B347" s="769">
        <f>SUMIF(ORC!$G$11:$G$2470,CPU!$F347,ORC!$J$11:$J$2470)</f>
        <v>19.77</v>
      </c>
      <c r="C347" s="515" t="s">
        <v>2239</v>
      </c>
      <c r="D347" s="515"/>
      <c r="E347" s="515"/>
      <c r="F347" s="515" t="s">
        <v>8605</v>
      </c>
      <c r="G347" s="594" t="s">
        <v>8606</v>
      </c>
      <c r="H347" s="515" t="s">
        <v>648</v>
      </c>
      <c r="I347" s="595"/>
      <c r="J347" s="596"/>
      <c r="K347" s="597">
        <f>SUM(K348:K352)</f>
        <v>39.700000000000003</v>
      </c>
      <c r="L347" s="597">
        <f>SUM(L348:L352)</f>
        <v>2.58</v>
      </c>
      <c r="M347" s="596">
        <f>SUM(K347:L347)</f>
        <v>42.28</v>
      </c>
      <c r="N347" s="598" t="s">
        <v>8607</v>
      </c>
      <c r="O347" s="599" t="s">
        <v>7651</v>
      </c>
    </row>
    <row r="348" spans="2:15">
      <c r="B348" s="122">
        <f t="shared" ref="B348:B352" si="177">B347</f>
        <v>19.77</v>
      </c>
      <c r="C348" s="611" t="str">
        <f>IF(D348&lt;&gt;"","C",IF(E348&lt;&gt;"","I",""))</f>
        <v>I</v>
      </c>
      <c r="D348" s="661"/>
      <c r="E348" s="661">
        <v>37329</v>
      </c>
      <c r="F348" s="612"/>
      <c r="G348" s="613" t="str">
        <f>IF($E348="",IFERROR(VLOOKUP($D348,SERVIÇOS!$C:$H,2,0),IFERROR(VLOOKUP($D348,$F:$M,2,0),"")),IFERROR(VLOOKUP($E348,INSUMOS!$B:$E,2,0),IFERROR(VLOOKUP($E348,COTAÇÕES!$C:$L,2,0),"")))</f>
        <v xml:space="preserve">REJUNTE EPOXI, QUALQUER COR                                                                                                                                                                                                                                                                                                                                                                                                                                                                               </v>
      </c>
      <c r="H348" s="593" t="str">
        <f>IF($E348="",IFERROR(VLOOKUP($D348,SERVIÇOS!$C:$H,3,0),IFERROR(VLOOKUP($D348,$F:$M,3,0),"")),IFERROR(VLOOKUP($E348,INSUMOS!$B:$E,3,0),IFERROR(VLOOKUP($E348,COTAÇÕES!$C:$L,5,0),"")))</f>
        <v xml:space="preserve">KG    </v>
      </c>
      <c r="I348" s="614">
        <f>0.084*0.1/0.07</f>
        <v>0.12000000000000001</v>
      </c>
      <c r="J348" s="670">
        <f>IF($E348="",IFERROR(VLOOKUP($D348,SERVIÇOS!$C:$H,6,0),IFERROR(VLOOKUP($D348,$F:$M,8,0),"")),IFERROR(VLOOKUP($E348,INSUMOS!$B:$E,4,0),IFERROR(VLOOKUP($E348,COTAÇÕES!$C:$L,10,0),"")))</f>
        <v>86.57</v>
      </c>
      <c r="K348" s="615">
        <f>TRUNC(IF($E348="",IFERROR(VLOOKUP($D348,SERVIÇOS!$C:$H,4,0),IFERROR(VLOOKUP($D348,$F:$M,6,0),)),IFERROR(VLOOKUP($E348,INSUMOS!$B:$E,4,0),IFERROR(VLOOKUP($E348,COTAÇÕES!$C:$L,10,0),)))*$I348,2)</f>
        <v>10.38</v>
      </c>
      <c r="L348" s="616">
        <f>TRUNC(IF($E348="",IFERROR(VLOOKUP($D348,SERVIÇOS!$C:$H,5,0),IFERROR(VLOOKUP($D348,$F:$M,7,0),)),0)*$I348,2)</f>
        <v>0</v>
      </c>
      <c r="M348" s="617">
        <f>K348+L348</f>
        <v>10.38</v>
      </c>
      <c r="N348" s="753" t="str">
        <f t="shared" si="169"/>
        <v>INSUMO SINAPI</v>
      </c>
      <c r="O348" s="648"/>
    </row>
    <row r="349" spans="2:15">
      <c r="B349" s="122">
        <f t="shared" si="177"/>
        <v>19.77</v>
      </c>
      <c r="C349" s="611" t="str">
        <f t="shared" ref="C349:C352" si="178">IF(D349&lt;&gt;"","C",IF(E349&lt;&gt;"","I",""))</f>
        <v>I</v>
      </c>
      <c r="D349" s="661"/>
      <c r="E349" s="661">
        <v>37595</v>
      </c>
      <c r="F349" s="612"/>
      <c r="G349" s="613" t="str">
        <f>IF($E349="",IFERROR(VLOOKUP($D349,SERVIÇOS!$C:$H,2,0),IFERROR(VLOOKUP($D349,$F:$M,2,0),"")),IFERROR(VLOOKUP($E349,INSUMOS!$B:$E,2,0),IFERROR(VLOOKUP($E349,COTAÇÕES!$C:$L,2,0),"")))</f>
        <v xml:space="preserve">ARGAMASSA COLANTE TIPO AC III                                                                                                                                                                                                                                                                                                                                                                                                                                                                             </v>
      </c>
      <c r="H349" s="593" t="str">
        <f>IF($E349="",IFERROR(VLOOKUP($D349,SERVIÇOS!$C:$H,3,0),IFERROR(VLOOKUP($D349,$F:$M,3,0),"")),IFERROR(VLOOKUP($E349,INSUMOS!$B:$E,3,0),IFERROR(VLOOKUP($E349,COTAÇÕES!$C:$L,5,0),"")))</f>
        <v xml:space="preserve">KG    </v>
      </c>
      <c r="I349" s="614">
        <f>0.603*0.1/0.07</f>
        <v>0.86142857142857132</v>
      </c>
      <c r="J349" s="670">
        <f>IF($E349="",IFERROR(VLOOKUP($D349,SERVIÇOS!$C:$H,6,0),IFERROR(VLOOKUP($D349,$F:$M,8,0),"")),IFERROR(VLOOKUP($E349,INSUMOS!$B:$E,4,0),IFERROR(VLOOKUP($E349,COTAÇÕES!$C:$L,10,0),"")))</f>
        <v>2.15</v>
      </c>
      <c r="K349" s="615">
        <f>TRUNC(IF($E349="",IFERROR(VLOOKUP($D349,SERVIÇOS!$C:$H,4,0),IFERROR(VLOOKUP($D349,$F:$M,6,0),)),IFERROR(VLOOKUP($E349,INSUMOS!$B:$E,4,0),IFERROR(VLOOKUP($E349,COTAÇÕES!$C:$L,10,0),)))*$I349,2)</f>
        <v>1.85</v>
      </c>
      <c r="L349" s="616">
        <f>TRUNC(IF($E349="",IFERROR(VLOOKUP($D349,SERVIÇOS!$C:$H,5,0),IFERROR(VLOOKUP($D349,$F:$M,7,0),)),0)*$I349,2)</f>
        <v>0</v>
      </c>
      <c r="M349" s="617">
        <f t="shared" ref="M349:M352" si="179">K349+L349</f>
        <v>1.85</v>
      </c>
      <c r="N349" s="753" t="str">
        <f t="shared" si="169"/>
        <v>INSUMO SINAPI</v>
      </c>
      <c r="O349" s="648"/>
    </row>
    <row r="350" spans="2:15">
      <c r="B350" s="122">
        <f t="shared" si="177"/>
        <v>19.77</v>
      </c>
      <c r="C350" s="611" t="str">
        <f t="shared" si="178"/>
        <v>I</v>
      </c>
      <c r="D350" s="661"/>
      <c r="E350" s="661">
        <v>38195</v>
      </c>
      <c r="F350" s="612"/>
      <c r="G350" s="613" t="str">
        <f>IF($E350="",IFERROR(VLOOKUP($D350,SERVIÇOS!$C:$H,2,0),IFERROR(VLOOKUP($D350,$F:$M,2,0),"")),IFERROR(VLOOKUP($E350,INSUMOS!$B:$E,2,0),IFERROR(VLOOKUP($E350,COTAÇÕES!$C:$L,2,0),"")))</f>
        <v xml:space="preserve">PISO PORCELANATO, BORDA RETA, EXTRA, FORMATO MAIOR QUE 2025 CM2                                                                                                                                                                                                                                                                                                                                                                                                                                           </v>
      </c>
      <c r="H350" s="593" t="str">
        <f>IF($E350="",IFERROR(VLOOKUP($D350,SERVIÇOS!$C:$H,3,0),IFERROR(VLOOKUP($D350,$F:$M,3,0),"")),IFERROR(VLOOKUP($E350,INSUMOS!$B:$E,3,0),IFERROR(VLOOKUP($E350,COTAÇÕES!$C:$L,5,0),"")))</f>
        <v xml:space="preserve">M2    </v>
      </c>
      <c r="I350" s="614">
        <f>0.188*0.1/0.07</f>
        <v>0.26857142857142857</v>
      </c>
      <c r="J350" s="670">
        <f>IF($E350="",IFERROR(VLOOKUP($D350,SERVIÇOS!$C:$H,6,0),IFERROR(VLOOKUP($D350,$F:$M,8,0),"")),IFERROR(VLOOKUP($E350,INSUMOS!$B:$E,4,0),IFERROR(VLOOKUP($E350,COTAÇÕES!$C:$L,10,0),"")))</f>
        <v>99.47</v>
      </c>
      <c r="K350" s="615">
        <f>TRUNC(IF($E350="",IFERROR(VLOOKUP($D350,SERVIÇOS!$C:$H,4,0),IFERROR(VLOOKUP($D350,$F:$M,6,0),)),IFERROR(VLOOKUP($E350,INSUMOS!$B:$E,4,0),IFERROR(VLOOKUP($E350,COTAÇÕES!$C:$L,10,0),)))*$I350,2)</f>
        <v>26.71</v>
      </c>
      <c r="L350" s="616">
        <f>TRUNC(IF($E350="",IFERROR(VLOOKUP($D350,SERVIÇOS!$C:$H,5,0),IFERROR(VLOOKUP($D350,$F:$M,7,0),)),0)*$I350,2)</f>
        <v>0</v>
      </c>
      <c r="M350" s="617">
        <f t="shared" si="179"/>
        <v>26.71</v>
      </c>
      <c r="N350" s="753" t="str">
        <f t="shared" si="169"/>
        <v>INSUMO SINAPI</v>
      </c>
      <c r="O350" s="648"/>
    </row>
    <row r="351" spans="2:15">
      <c r="B351" s="122">
        <f t="shared" si="177"/>
        <v>19.77</v>
      </c>
      <c r="C351" s="611" t="str">
        <f t="shared" si="178"/>
        <v>C</v>
      </c>
      <c r="D351" s="661">
        <v>88256</v>
      </c>
      <c r="E351" s="661"/>
      <c r="F351" s="612"/>
      <c r="G351" s="613" t="str">
        <f>IF($E351="",IFERROR(VLOOKUP($D351,SERVIÇOS!$C:$H,2,0),IFERROR(VLOOKUP($D351,$F:$M,2,0),"")),IFERROR(VLOOKUP($E351,INSUMOS!$B:$E,2,0),IFERROR(VLOOKUP($E351,COTAÇÕES!$C:$L,2,0),"")))</f>
        <v>AZULEJISTA OU LADRILHISTA COM ENCARGOS COMPLEMENTARES</v>
      </c>
      <c r="H351" s="593" t="str">
        <f>IF($E351="",IFERROR(VLOOKUP($D351,SERVIÇOS!$C:$H,3,0),IFERROR(VLOOKUP($D351,$F:$M,3,0),"")),IFERROR(VLOOKUP($E351,INSUMOS!$B:$E,3,0),IFERROR(VLOOKUP($E351,COTAÇÕES!$C:$L,5,0),"")))</f>
        <v>H</v>
      </c>
      <c r="I351" s="614">
        <v>8.5000000000000006E-2</v>
      </c>
      <c r="J351" s="670">
        <f>IF($E351="",IFERROR(VLOOKUP($D351,SERVIÇOS!$C:$H,6,0),IFERROR(VLOOKUP($D351,$F:$M,8,0),"")),IFERROR(VLOOKUP($E351,INSUMOS!$B:$E,4,0),IFERROR(VLOOKUP($E351,COTAÇÕES!$C:$L,10,0),"")))</f>
        <v>30.86</v>
      </c>
      <c r="K351" s="615">
        <f>TRUNC(IF($E351="",IFERROR(VLOOKUP($D351,SERVIÇOS!$C:$H,4,0),IFERROR(VLOOKUP($D351,$F:$M,6,0),)),IFERROR(VLOOKUP($E351,INSUMOS!$B:$E,4,0),IFERROR(VLOOKUP($E351,COTAÇÕES!$C:$L,10,0),)))*$I351,2)</f>
        <v>0.56000000000000005</v>
      </c>
      <c r="L351" s="616">
        <f>TRUNC(IF($E351="",IFERROR(VLOOKUP($D351,SERVIÇOS!$C:$H,5,0),IFERROR(VLOOKUP($D351,$F:$M,7,0),)),0)*$I351,2)</f>
        <v>2.0499999999999998</v>
      </c>
      <c r="M351" s="617">
        <f t="shared" si="179"/>
        <v>2.61</v>
      </c>
      <c r="N351" s="753" t="str">
        <f t="shared" si="169"/>
        <v>SERVIÇO SINAPI</v>
      </c>
      <c r="O351" s="648"/>
    </row>
    <row r="352" spans="2:15">
      <c r="B352" s="122">
        <f t="shared" si="177"/>
        <v>19.77</v>
      </c>
      <c r="C352" s="611" t="str">
        <f t="shared" si="178"/>
        <v>C</v>
      </c>
      <c r="D352" s="661">
        <v>88316</v>
      </c>
      <c r="E352" s="661"/>
      <c r="F352" s="612"/>
      <c r="G352" s="613" t="str">
        <f>IF($E352="",IFERROR(VLOOKUP($D352,SERVIÇOS!$C:$H,2,0),IFERROR(VLOOKUP($D352,$F:$M,2,0),"")),IFERROR(VLOOKUP($E352,INSUMOS!$B:$E,2,0),IFERROR(VLOOKUP($E352,COTAÇÕES!$C:$L,2,0),"")))</f>
        <v>SERVENTE COM ENCARGOS COMPLEMENTARES</v>
      </c>
      <c r="H352" s="593" t="str">
        <f>IF($E352="",IFERROR(VLOOKUP($D352,SERVIÇOS!$C:$H,3,0),IFERROR(VLOOKUP($D352,$F:$M,3,0),"")),IFERROR(VLOOKUP($E352,INSUMOS!$B:$E,3,0),IFERROR(VLOOKUP($E352,COTAÇÕES!$C:$L,5,0),"")))</f>
        <v>H</v>
      </c>
      <c r="I352" s="614">
        <v>3.1E-2</v>
      </c>
      <c r="J352" s="670">
        <f>IF($E352="",IFERROR(VLOOKUP($D352,SERVIÇOS!$C:$H,6,0),IFERROR(VLOOKUP($D352,$F:$M,8,0),"")),IFERROR(VLOOKUP($E352,INSUMOS!$B:$E,4,0),IFERROR(VLOOKUP($E352,COTAÇÕES!$C:$L,10,0),"")))</f>
        <v>23.71</v>
      </c>
      <c r="K352" s="615">
        <f>TRUNC(IF($E352="",IFERROR(VLOOKUP($D352,SERVIÇOS!$C:$H,4,0),IFERROR(VLOOKUP($D352,$F:$M,6,0),)),IFERROR(VLOOKUP($E352,INSUMOS!$B:$E,4,0),IFERROR(VLOOKUP($E352,COTAÇÕES!$C:$L,10,0),)))*$I352,2)</f>
        <v>0.2</v>
      </c>
      <c r="L352" s="616">
        <f>TRUNC(IF($E352="",IFERROR(VLOOKUP($D352,SERVIÇOS!$C:$H,5,0),IFERROR(VLOOKUP($D352,$F:$M,7,0),)),0)*$I352,2)</f>
        <v>0.53</v>
      </c>
      <c r="M352" s="617">
        <f t="shared" si="179"/>
        <v>0.73</v>
      </c>
      <c r="N352" s="753" t="str">
        <f t="shared" si="169"/>
        <v>SERVIÇO SINAPI</v>
      </c>
      <c r="O352" s="648"/>
    </row>
    <row r="353" spans="2:15">
      <c r="B353" s="769">
        <f>SUMIF(ORC!$G$11:$G$2470,CPU!$F353,ORC!$J$11:$J$2470)</f>
        <v>1.47</v>
      </c>
      <c r="C353" s="515" t="s">
        <v>2239</v>
      </c>
      <c r="D353" s="515"/>
      <c r="E353" s="515"/>
      <c r="F353" s="515" t="s">
        <v>8608</v>
      </c>
      <c r="G353" s="594" t="s">
        <v>8610</v>
      </c>
      <c r="H353" s="515" t="s">
        <v>648</v>
      </c>
      <c r="I353" s="595"/>
      <c r="J353" s="596"/>
      <c r="K353" s="597">
        <f>SUM(K354:K357)</f>
        <v>58.080000000000005</v>
      </c>
      <c r="L353" s="597">
        <f>SUM(L354:L357)</f>
        <v>13.14</v>
      </c>
      <c r="M353" s="596">
        <f>SUM(K353:L353)</f>
        <v>71.22</v>
      </c>
      <c r="N353" s="598" t="s">
        <v>8609</v>
      </c>
      <c r="O353" s="599" t="s">
        <v>7651</v>
      </c>
    </row>
    <row r="354" spans="2:15" ht="25.5">
      <c r="B354" s="122">
        <f t="shared" ref="B354:B357" si="180">B353</f>
        <v>1.47</v>
      </c>
      <c r="C354" s="611" t="str">
        <f>IF(D354&lt;&gt;"","C",IF(E354&lt;&gt;"","I",""))</f>
        <v>I</v>
      </c>
      <c r="D354" s="661"/>
      <c r="E354" s="661">
        <v>10841</v>
      </c>
      <c r="F354" s="612"/>
      <c r="G354" s="613" t="str">
        <f>IF($E354="",IFERROR(VLOOKUP($D354,SERVIÇOS!$C:$H,2,0),IFERROR(VLOOKUP($D354,$F:$M,2,0),"")),IFERROR(VLOOKUP($E354,INSUMOS!$B:$E,2,0),IFERROR(VLOOKUP($E354,COTAÇÕES!$C:$L,2,0),"")))</f>
        <v xml:space="preserve">PISO EM GRANITO, POLIDO, TIPO ANDORINHA/ QUARTZ/ CASTELO/ CORUMBA OU OUTROS EQUIVALENTES DA REGIAO, FORMATO MENOR OU IGUAL A 3025 CM2, E=  *2* CM                                                                                                                                                                                                                                                                                                                                                         </v>
      </c>
      <c r="H354" s="593" t="str">
        <f>IF($E354="",IFERROR(VLOOKUP($D354,SERVIÇOS!$C:$H,3,0),IFERROR(VLOOKUP($D354,$F:$M,3,0),"")),IFERROR(VLOOKUP($E354,INSUMOS!$B:$E,3,0),IFERROR(VLOOKUP($E354,COTAÇÕES!$C:$L,5,0),"")))</f>
        <v xml:space="preserve">M2    </v>
      </c>
      <c r="I354" s="614">
        <f>0.1*1.5</f>
        <v>0.15000000000000002</v>
      </c>
      <c r="J354" s="670">
        <f>IF($E354="",IFERROR(VLOOKUP($D354,SERVIÇOS!$C:$H,6,0),IFERROR(VLOOKUP($D354,$F:$M,8,0),"")),IFERROR(VLOOKUP($E354,INSUMOS!$B:$E,4,0),IFERROR(VLOOKUP($E354,COTAÇÕES!$C:$L,10,0),"")))</f>
        <v>350.94</v>
      </c>
      <c r="K354" s="615">
        <f>TRUNC(IF($E354="",IFERROR(VLOOKUP($D354,SERVIÇOS!$C:$H,4,0),IFERROR(VLOOKUP($D354,$F:$M,6,0),)),IFERROR(VLOOKUP($E354,INSUMOS!$B:$E,4,0),IFERROR(VLOOKUP($E354,COTAÇÕES!$C:$L,10,0),)))*$I354,2)</f>
        <v>52.64</v>
      </c>
      <c r="L354" s="616">
        <f>TRUNC(IF($E354="",IFERROR(VLOOKUP($D354,SERVIÇOS!$C:$H,5,0),IFERROR(VLOOKUP($D354,$F:$M,7,0),)),0)*$I354,2)</f>
        <v>0</v>
      </c>
      <c r="M354" s="617">
        <f>K354+L354</f>
        <v>52.64</v>
      </c>
      <c r="N354" s="753" t="str">
        <f t="shared" si="169"/>
        <v>INSUMO SINAPI</v>
      </c>
      <c r="O354" s="648"/>
    </row>
    <row r="355" spans="2:15">
      <c r="B355" s="122">
        <f t="shared" si="180"/>
        <v>1.47</v>
      </c>
      <c r="C355" s="611" t="str">
        <f t="shared" ref="C355:C357" si="181">IF(D355&lt;&gt;"","C",IF(E355&lt;&gt;"","I",""))</f>
        <v>I</v>
      </c>
      <c r="D355" s="661"/>
      <c r="E355" s="661">
        <v>37595</v>
      </c>
      <c r="F355" s="612"/>
      <c r="G355" s="613" t="str">
        <f>IF($E355="",IFERROR(VLOOKUP($D355,SERVIÇOS!$C:$H,2,0),IFERROR(VLOOKUP($D355,$F:$M,2,0),"")),IFERROR(VLOOKUP($E355,INSUMOS!$B:$E,2,0),IFERROR(VLOOKUP($E355,COTAÇÕES!$C:$L,2,0),"")))</f>
        <v xml:space="preserve">ARGAMASSA COLANTE TIPO AC III                                                                                                                                                                                                                                                                                                                                                                                                                                                                             </v>
      </c>
      <c r="H355" s="593" t="str">
        <f>IF($E355="",IFERROR(VLOOKUP($D355,SERVIÇOS!$C:$H,3,0),IFERROR(VLOOKUP($D355,$F:$M,3,0),"")),IFERROR(VLOOKUP($E355,INSUMOS!$B:$E,3,0),IFERROR(VLOOKUP($E355,COTAÇÕES!$C:$L,5,0),"")))</f>
        <v xml:space="preserve">KG    </v>
      </c>
      <c r="I355" s="614">
        <f>1.29*0.1/0.15</f>
        <v>0.8600000000000001</v>
      </c>
      <c r="J355" s="670">
        <f>IF($E355="",IFERROR(VLOOKUP($D355,SERVIÇOS!$C:$H,6,0),IFERROR(VLOOKUP($D355,$F:$M,8,0),"")),IFERROR(VLOOKUP($E355,INSUMOS!$B:$E,4,0),IFERROR(VLOOKUP($E355,COTAÇÕES!$C:$L,10,0),"")))</f>
        <v>2.15</v>
      </c>
      <c r="K355" s="615">
        <f>TRUNC(IF($E355="",IFERROR(VLOOKUP($D355,SERVIÇOS!$C:$H,4,0),IFERROR(VLOOKUP($D355,$F:$M,6,0),)),IFERROR(VLOOKUP($E355,INSUMOS!$B:$E,4,0),IFERROR(VLOOKUP($E355,COTAÇÕES!$C:$L,10,0),)))*$I355,2)</f>
        <v>1.84</v>
      </c>
      <c r="L355" s="616">
        <f>TRUNC(IF($E355="",IFERROR(VLOOKUP($D355,SERVIÇOS!$C:$H,5,0),IFERROR(VLOOKUP($D355,$F:$M,7,0),)),0)*$I355,2)</f>
        <v>0</v>
      </c>
      <c r="M355" s="617">
        <f t="shared" ref="M355:M357" si="182">K355+L355</f>
        <v>1.84</v>
      </c>
      <c r="N355" s="753" t="str">
        <f t="shared" si="169"/>
        <v>INSUMO SINAPI</v>
      </c>
      <c r="O355" s="648"/>
    </row>
    <row r="356" spans="2:15">
      <c r="B356" s="122">
        <f t="shared" si="180"/>
        <v>1.47</v>
      </c>
      <c r="C356" s="611" t="str">
        <f t="shared" si="181"/>
        <v>C</v>
      </c>
      <c r="D356" s="661">
        <v>88274</v>
      </c>
      <c r="E356" s="661"/>
      <c r="F356" s="612"/>
      <c r="G356" s="613" t="str">
        <f>IF($E356="",IFERROR(VLOOKUP($D356,SERVIÇOS!$C:$H,2,0),IFERROR(VLOOKUP($D356,$F:$M,2,0),"")),IFERROR(VLOOKUP($E356,INSUMOS!$B:$E,2,0),IFERROR(VLOOKUP($E356,COTAÇÕES!$C:$L,2,0),"")))</f>
        <v>MARMORISTA/GRANITEIRO COM ENCARGOS COMPLEMENTARES</v>
      </c>
      <c r="H356" s="593" t="str">
        <f>IF($E356="",IFERROR(VLOOKUP($D356,SERVIÇOS!$C:$H,3,0),IFERROR(VLOOKUP($D356,$F:$M,3,0),"")),IFERROR(VLOOKUP($E356,INSUMOS!$B:$E,3,0),IFERROR(VLOOKUP($E356,COTAÇÕES!$C:$L,5,0),"")))</f>
        <v>H</v>
      </c>
      <c r="I356" s="614">
        <f>0.547*0.1/0.15</f>
        <v>0.36466666666666669</v>
      </c>
      <c r="J356" s="670">
        <f>IF($E356="",IFERROR(VLOOKUP($D356,SERVIÇOS!$C:$H,6,0),IFERROR(VLOOKUP($D356,$F:$M,8,0),"")),IFERROR(VLOOKUP($E356,INSUMOS!$B:$E,4,0),IFERROR(VLOOKUP($E356,COTAÇÕES!$C:$L,10,0),"")))</f>
        <v>34.14</v>
      </c>
      <c r="K356" s="615">
        <f>TRUNC(IF($E356="",IFERROR(VLOOKUP($D356,SERVIÇOS!$C:$H,4,0),IFERROR(VLOOKUP($D356,$F:$M,6,0),)),IFERROR(VLOOKUP($E356,INSUMOS!$B:$E,4,0),IFERROR(VLOOKUP($E356,COTAÇÕES!$C:$L,10,0),)))*$I356,2)</f>
        <v>2.42</v>
      </c>
      <c r="L356" s="616">
        <f>TRUNC(IF($E356="",IFERROR(VLOOKUP($D356,SERVIÇOS!$C:$H,5,0),IFERROR(VLOOKUP($D356,$F:$M,7,0),)),0)*$I356,2)</f>
        <v>10.02</v>
      </c>
      <c r="M356" s="617">
        <f t="shared" si="182"/>
        <v>12.44</v>
      </c>
      <c r="N356" s="753" t="str">
        <f t="shared" si="169"/>
        <v>SERVIÇO SINAPI</v>
      </c>
      <c r="O356" s="648"/>
    </row>
    <row r="357" spans="2:15">
      <c r="B357" s="122">
        <f t="shared" si="180"/>
        <v>1.47</v>
      </c>
      <c r="C357" s="611" t="str">
        <f t="shared" si="181"/>
        <v>C</v>
      </c>
      <c r="D357" s="661">
        <v>88316</v>
      </c>
      <c r="E357" s="661"/>
      <c r="F357" s="612"/>
      <c r="G357" s="613" t="str">
        <f>IF($E357="",IFERROR(VLOOKUP($D357,SERVIÇOS!$C:$H,2,0),IFERROR(VLOOKUP($D357,$F:$M,2,0),"")),IFERROR(VLOOKUP($E357,INSUMOS!$B:$E,2,0),IFERROR(VLOOKUP($E357,COTAÇÕES!$C:$L,2,0),"")))</f>
        <v>SERVENTE COM ENCARGOS COMPLEMENTARES</v>
      </c>
      <c r="H357" s="593" t="str">
        <f>IF($E357="",IFERROR(VLOOKUP($D357,SERVIÇOS!$C:$H,3,0),IFERROR(VLOOKUP($D357,$F:$M,3,0),"")),IFERROR(VLOOKUP($E357,INSUMOS!$B:$E,3,0),IFERROR(VLOOKUP($E357,COTAÇÕES!$C:$L,5,0),"")))</f>
        <v>H</v>
      </c>
      <c r="I357" s="614">
        <f>0.273*0.1/0.15</f>
        <v>0.18200000000000005</v>
      </c>
      <c r="J357" s="670">
        <f>IF($E357="",IFERROR(VLOOKUP($D357,SERVIÇOS!$C:$H,6,0),IFERROR(VLOOKUP($D357,$F:$M,8,0),"")),IFERROR(VLOOKUP($E357,INSUMOS!$B:$E,4,0),IFERROR(VLOOKUP($E357,COTAÇÕES!$C:$L,10,0),"")))</f>
        <v>23.71</v>
      </c>
      <c r="K357" s="615">
        <f>TRUNC(IF($E357="",IFERROR(VLOOKUP($D357,SERVIÇOS!$C:$H,4,0),IFERROR(VLOOKUP($D357,$F:$M,6,0),)),IFERROR(VLOOKUP($E357,INSUMOS!$B:$E,4,0),IFERROR(VLOOKUP($E357,COTAÇÕES!$C:$L,10,0),)))*$I357,2)</f>
        <v>1.18</v>
      </c>
      <c r="L357" s="616">
        <f>TRUNC(IF($E357="",IFERROR(VLOOKUP($D357,SERVIÇOS!$C:$H,5,0),IFERROR(VLOOKUP($D357,$F:$M,7,0),)),0)*$I357,2)</f>
        <v>3.12</v>
      </c>
      <c r="M357" s="617">
        <f t="shared" si="182"/>
        <v>4.3</v>
      </c>
      <c r="N357" s="753" t="str">
        <f t="shared" si="169"/>
        <v>SERVIÇO SINAPI</v>
      </c>
      <c r="O357" s="648"/>
    </row>
    <row r="358" spans="2:15">
      <c r="B358" s="769">
        <f>SUMIF(ORC!$G$11:$G$2470,CPU!$F358,ORC!$J$11:$J$2470)</f>
        <v>22.96</v>
      </c>
      <c r="C358" s="515" t="s">
        <v>2239</v>
      </c>
      <c r="D358" s="515"/>
      <c r="E358" s="515"/>
      <c r="F358" s="515" t="s">
        <v>8611</v>
      </c>
      <c r="G358" s="594" t="s">
        <v>8612</v>
      </c>
      <c r="H358" s="515" t="s">
        <v>648</v>
      </c>
      <c r="I358" s="595"/>
      <c r="J358" s="596"/>
      <c r="K358" s="597">
        <f>SUM(K359:K362)</f>
        <v>63.89</v>
      </c>
      <c r="L358" s="597">
        <f>SUM(L359:L362)</f>
        <v>14.469999999999999</v>
      </c>
      <c r="M358" s="596">
        <f>SUM(K358:L358)</f>
        <v>78.36</v>
      </c>
      <c r="N358" s="598" t="s">
        <v>8609</v>
      </c>
      <c r="O358" s="599" t="s">
        <v>7651</v>
      </c>
    </row>
    <row r="359" spans="2:15" ht="25.5">
      <c r="B359" s="122">
        <f t="shared" ref="B359:B362" si="183">B358</f>
        <v>22.96</v>
      </c>
      <c r="C359" s="611" t="str">
        <f>IF(D359&lt;&gt;"","C",IF(E359&lt;&gt;"","I",""))</f>
        <v>I</v>
      </c>
      <c r="D359" s="661"/>
      <c r="E359" s="661">
        <v>10841</v>
      </c>
      <c r="F359" s="612"/>
      <c r="G359" s="613" t="str">
        <f>IF($E359="",IFERROR(VLOOKUP($D359,SERVIÇOS!$C:$H,2,0),IFERROR(VLOOKUP($D359,$F:$M,2,0),"")),IFERROR(VLOOKUP($E359,INSUMOS!$B:$E,2,0),IFERROR(VLOOKUP($E359,COTAÇÕES!$C:$L,2,0),"")))</f>
        <v xml:space="preserve">PISO EM GRANITO, POLIDO, TIPO ANDORINHA/ QUARTZ/ CASTELO/ CORUMBA OU OUTROS EQUIVALENTES DA REGIAO, FORMATO MENOR OU IGUAL A 3025 CM2, E=  *2* CM                                                                                                                                                                                                                                                                                                                                                         </v>
      </c>
      <c r="H359" s="593" t="str">
        <f>IF($E359="",IFERROR(VLOOKUP($D359,SERVIÇOS!$C:$H,3,0),IFERROR(VLOOKUP($D359,$F:$M,3,0),"")),IFERROR(VLOOKUP($E359,INSUMOS!$B:$E,3,0),IFERROR(VLOOKUP($E359,COTAÇÕES!$C:$L,5,0),"")))</f>
        <v xml:space="preserve">M2    </v>
      </c>
      <c r="I359" s="614">
        <f>0.11*1.5</f>
        <v>0.16500000000000001</v>
      </c>
      <c r="J359" s="670">
        <f>IF($E359="",IFERROR(VLOOKUP($D359,SERVIÇOS!$C:$H,6,0),IFERROR(VLOOKUP($D359,$F:$M,8,0),"")),IFERROR(VLOOKUP($E359,INSUMOS!$B:$E,4,0),IFERROR(VLOOKUP($E359,COTAÇÕES!$C:$L,10,0),"")))</f>
        <v>350.94</v>
      </c>
      <c r="K359" s="615">
        <f>TRUNC(IF($E359="",IFERROR(VLOOKUP($D359,SERVIÇOS!$C:$H,4,0),IFERROR(VLOOKUP($D359,$F:$M,6,0),)),IFERROR(VLOOKUP($E359,INSUMOS!$B:$E,4,0),IFERROR(VLOOKUP($E359,COTAÇÕES!$C:$L,10,0),)))*$I359,2)</f>
        <v>57.9</v>
      </c>
      <c r="L359" s="616">
        <f>TRUNC(IF($E359="",IFERROR(VLOOKUP($D359,SERVIÇOS!$C:$H,5,0),IFERROR(VLOOKUP($D359,$F:$M,7,0),)),0)*$I359,2)</f>
        <v>0</v>
      </c>
      <c r="M359" s="617">
        <f>K359+L359</f>
        <v>57.9</v>
      </c>
      <c r="N359" s="753" t="str">
        <f t="shared" si="169"/>
        <v>INSUMO SINAPI</v>
      </c>
      <c r="O359" s="648"/>
    </row>
    <row r="360" spans="2:15">
      <c r="B360" s="122">
        <f t="shared" si="183"/>
        <v>22.96</v>
      </c>
      <c r="C360" s="611" t="str">
        <f t="shared" ref="C360:C362" si="184">IF(D360&lt;&gt;"","C",IF(E360&lt;&gt;"","I",""))</f>
        <v>I</v>
      </c>
      <c r="D360" s="661"/>
      <c r="E360" s="661">
        <v>37595</v>
      </c>
      <c r="F360" s="612"/>
      <c r="G360" s="613" t="str">
        <f>IF($E360="",IFERROR(VLOOKUP($D360,SERVIÇOS!$C:$H,2,0),IFERROR(VLOOKUP($D360,$F:$M,2,0),"")),IFERROR(VLOOKUP($E360,INSUMOS!$B:$E,2,0),IFERROR(VLOOKUP($E360,COTAÇÕES!$C:$L,2,0),"")))</f>
        <v xml:space="preserve">ARGAMASSA COLANTE TIPO AC III                                                                                                                                                                                                                                                                                                                                                                                                                                                                             </v>
      </c>
      <c r="H360" s="593" t="str">
        <f>IF($E360="",IFERROR(VLOOKUP($D360,SERVIÇOS!$C:$H,3,0),IFERROR(VLOOKUP($D360,$F:$M,3,0),"")),IFERROR(VLOOKUP($E360,INSUMOS!$B:$E,3,0),IFERROR(VLOOKUP($E360,COTAÇÕES!$C:$L,5,0),"")))</f>
        <v xml:space="preserve">KG    </v>
      </c>
      <c r="I360" s="614">
        <f>1.29*0.11/0.15</f>
        <v>0.94600000000000006</v>
      </c>
      <c r="J360" s="670">
        <f>IF($E360="",IFERROR(VLOOKUP($D360,SERVIÇOS!$C:$H,6,0),IFERROR(VLOOKUP($D360,$F:$M,8,0),"")),IFERROR(VLOOKUP($E360,INSUMOS!$B:$E,4,0),IFERROR(VLOOKUP($E360,COTAÇÕES!$C:$L,10,0),"")))</f>
        <v>2.15</v>
      </c>
      <c r="K360" s="615">
        <f>TRUNC(IF($E360="",IFERROR(VLOOKUP($D360,SERVIÇOS!$C:$H,4,0),IFERROR(VLOOKUP($D360,$F:$M,6,0),)),IFERROR(VLOOKUP($E360,INSUMOS!$B:$E,4,0),IFERROR(VLOOKUP($E360,COTAÇÕES!$C:$L,10,0),)))*$I360,2)</f>
        <v>2.0299999999999998</v>
      </c>
      <c r="L360" s="616">
        <f>TRUNC(IF($E360="",IFERROR(VLOOKUP($D360,SERVIÇOS!$C:$H,5,0),IFERROR(VLOOKUP($D360,$F:$M,7,0),)),0)*$I360,2)</f>
        <v>0</v>
      </c>
      <c r="M360" s="617">
        <f t="shared" ref="M360:M362" si="185">K360+L360</f>
        <v>2.0299999999999998</v>
      </c>
      <c r="N360" s="753" t="str">
        <f t="shared" si="169"/>
        <v>INSUMO SINAPI</v>
      </c>
      <c r="O360" s="648"/>
    </row>
    <row r="361" spans="2:15">
      <c r="B361" s="122">
        <f t="shared" si="183"/>
        <v>22.96</v>
      </c>
      <c r="C361" s="611" t="str">
        <f t="shared" si="184"/>
        <v>C</v>
      </c>
      <c r="D361" s="661">
        <v>88274</v>
      </c>
      <c r="E361" s="661"/>
      <c r="F361" s="612"/>
      <c r="G361" s="613" t="str">
        <f>IF($E361="",IFERROR(VLOOKUP($D361,SERVIÇOS!$C:$H,2,0),IFERROR(VLOOKUP($D361,$F:$M,2,0),"")),IFERROR(VLOOKUP($E361,INSUMOS!$B:$E,2,0),IFERROR(VLOOKUP($E361,COTAÇÕES!$C:$L,2,0),"")))</f>
        <v>MARMORISTA/GRANITEIRO COM ENCARGOS COMPLEMENTARES</v>
      </c>
      <c r="H361" s="593" t="str">
        <f>IF($E361="",IFERROR(VLOOKUP($D361,SERVIÇOS!$C:$H,3,0),IFERROR(VLOOKUP($D361,$F:$M,3,0),"")),IFERROR(VLOOKUP($E361,INSUMOS!$B:$E,3,0),IFERROR(VLOOKUP($E361,COTAÇÕES!$C:$L,5,0),"")))</f>
        <v>H</v>
      </c>
      <c r="I361" s="614">
        <f>0.547*0.11/0.15</f>
        <v>0.4011333333333334</v>
      </c>
      <c r="J361" s="670">
        <f>IF($E361="",IFERROR(VLOOKUP($D361,SERVIÇOS!$C:$H,6,0),IFERROR(VLOOKUP($D361,$F:$M,8,0),"")),IFERROR(VLOOKUP($E361,INSUMOS!$B:$E,4,0),IFERROR(VLOOKUP($E361,COTAÇÕES!$C:$L,10,0),"")))</f>
        <v>34.14</v>
      </c>
      <c r="K361" s="615">
        <f>TRUNC(IF($E361="",IFERROR(VLOOKUP($D361,SERVIÇOS!$C:$H,4,0),IFERROR(VLOOKUP($D361,$F:$M,6,0),)),IFERROR(VLOOKUP($E361,INSUMOS!$B:$E,4,0),IFERROR(VLOOKUP($E361,COTAÇÕES!$C:$L,10,0),)))*$I361,2)</f>
        <v>2.66</v>
      </c>
      <c r="L361" s="616">
        <f>TRUNC(IF($E361="",IFERROR(VLOOKUP($D361,SERVIÇOS!$C:$H,5,0),IFERROR(VLOOKUP($D361,$F:$M,7,0),)),0)*$I361,2)</f>
        <v>11.03</v>
      </c>
      <c r="M361" s="617">
        <f t="shared" si="185"/>
        <v>13.69</v>
      </c>
      <c r="N361" s="753" t="str">
        <f t="shared" si="169"/>
        <v>SERVIÇO SINAPI</v>
      </c>
      <c r="O361" s="648"/>
    </row>
    <row r="362" spans="2:15">
      <c r="B362" s="122">
        <f t="shared" si="183"/>
        <v>22.96</v>
      </c>
      <c r="C362" s="611" t="str">
        <f t="shared" si="184"/>
        <v>C</v>
      </c>
      <c r="D362" s="661">
        <v>88316</v>
      </c>
      <c r="E362" s="661"/>
      <c r="F362" s="612"/>
      <c r="G362" s="613" t="str">
        <f>IF($E362="",IFERROR(VLOOKUP($D362,SERVIÇOS!$C:$H,2,0),IFERROR(VLOOKUP($D362,$F:$M,2,0),"")),IFERROR(VLOOKUP($E362,INSUMOS!$B:$E,2,0),IFERROR(VLOOKUP($E362,COTAÇÕES!$C:$L,2,0),"")))</f>
        <v>SERVENTE COM ENCARGOS COMPLEMENTARES</v>
      </c>
      <c r="H362" s="593" t="str">
        <f>IF($E362="",IFERROR(VLOOKUP($D362,SERVIÇOS!$C:$H,3,0),IFERROR(VLOOKUP($D362,$F:$M,3,0),"")),IFERROR(VLOOKUP($E362,INSUMOS!$B:$E,3,0),IFERROR(VLOOKUP($E362,COTAÇÕES!$C:$L,5,0),"")))</f>
        <v>H</v>
      </c>
      <c r="I362" s="614">
        <f>0.273*0.11/0.15</f>
        <v>0.20020000000000002</v>
      </c>
      <c r="J362" s="670">
        <f>IF($E362="",IFERROR(VLOOKUP($D362,SERVIÇOS!$C:$H,6,0),IFERROR(VLOOKUP($D362,$F:$M,8,0),"")),IFERROR(VLOOKUP($E362,INSUMOS!$B:$E,4,0),IFERROR(VLOOKUP($E362,COTAÇÕES!$C:$L,10,0),"")))</f>
        <v>23.71</v>
      </c>
      <c r="K362" s="615">
        <f>TRUNC(IF($E362="",IFERROR(VLOOKUP($D362,SERVIÇOS!$C:$H,4,0),IFERROR(VLOOKUP($D362,$F:$M,6,0),)),IFERROR(VLOOKUP($E362,INSUMOS!$B:$E,4,0),IFERROR(VLOOKUP($E362,COTAÇÕES!$C:$L,10,0),)))*$I362,2)</f>
        <v>1.3</v>
      </c>
      <c r="L362" s="616">
        <f>TRUNC(IF($E362="",IFERROR(VLOOKUP($D362,SERVIÇOS!$C:$H,5,0),IFERROR(VLOOKUP($D362,$F:$M,7,0),)),0)*$I362,2)</f>
        <v>3.44</v>
      </c>
      <c r="M362" s="617">
        <f t="shared" si="185"/>
        <v>4.74</v>
      </c>
      <c r="N362" s="753" t="str">
        <f t="shared" si="169"/>
        <v>SERVIÇO SINAPI</v>
      </c>
      <c r="O362" s="648"/>
    </row>
    <row r="363" spans="2:15">
      <c r="B363" s="769">
        <f>SUMIF(ORC!$G$11:$G$2470,CPU!$F363,ORC!$J$11:$J$2470)</f>
        <v>3.46</v>
      </c>
      <c r="C363" s="515" t="s">
        <v>2239</v>
      </c>
      <c r="D363" s="515"/>
      <c r="E363" s="515"/>
      <c r="F363" s="515" t="s">
        <v>8613</v>
      </c>
      <c r="G363" s="594" t="s">
        <v>8614</v>
      </c>
      <c r="H363" s="515" t="s">
        <v>648</v>
      </c>
      <c r="I363" s="595"/>
      <c r="J363" s="596"/>
      <c r="K363" s="597">
        <f>SUM(K364:K367)</f>
        <v>106.13999999999999</v>
      </c>
      <c r="L363" s="597">
        <f>SUM(L364:L367)</f>
        <v>19.73</v>
      </c>
      <c r="M363" s="596">
        <f>SUM(K363:L363)</f>
        <v>125.86999999999999</v>
      </c>
      <c r="N363" s="598" t="s">
        <v>8609</v>
      </c>
      <c r="O363" s="599" t="s">
        <v>7651</v>
      </c>
    </row>
    <row r="364" spans="2:15" ht="25.5">
      <c r="B364" s="122">
        <f t="shared" ref="B364:B367" si="186">B363</f>
        <v>3.46</v>
      </c>
      <c r="C364" s="611" t="str">
        <f>IF(D364&lt;&gt;"","C",IF(E364&lt;&gt;"","I",""))</f>
        <v>I</v>
      </c>
      <c r="D364" s="661"/>
      <c r="E364" s="661">
        <v>20232</v>
      </c>
      <c r="F364" s="612"/>
      <c r="G364" s="613" t="str">
        <f>IF($E364="",IFERROR(VLOOKUP($D364,SERVIÇOS!$C:$H,2,0),IFERROR(VLOOKUP($D364,$F:$M,2,0),"")),IFERROR(VLOOKUP($E364,INSUMOS!$B:$E,2,0),IFERROR(VLOOKUP($E364,COTAÇÕES!$C:$L,2,0),"")))</f>
        <v xml:space="preserve">SOLEIRA EM GRANITO, POLIDO, TIPO ANDORINHA/ QUARTZ/ CASTELO/ CORUMBA OU OUTROS EQUIVALENTES DA REGIAO, L= *15* CM, E=  *2,0* CM                                                                                                                                                                                                                                                                                                                                                                           </v>
      </c>
      <c r="H364" s="593" t="str">
        <f>IF($E364="",IFERROR(VLOOKUP($D364,SERVIÇOS!$C:$H,3,0),IFERROR(VLOOKUP($D364,$F:$M,3,0),"")),IFERROR(VLOOKUP($E364,INSUMOS!$B:$E,3,0),IFERROR(VLOOKUP($E364,COTAÇÕES!$C:$L,5,0),"")))</f>
        <v xml:space="preserve">M     </v>
      </c>
      <c r="I364" s="614">
        <v>1</v>
      </c>
      <c r="J364" s="670">
        <f>IF($E364="",IFERROR(VLOOKUP($D364,SERVIÇOS!$C:$H,6,0),IFERROR(VLOOKUP($D364,$F:$M,8,0),"")),IFERROR(VLOOKUP($E364,INSUMOS!$B:$E,4,0),IFERROR(VLOOKUP($E364,COTAÇÕES!$C:$L,10,0),"")))</f>
        <v>97.97</v>
      </c>
      <c r="K364" s="615">
        <f>TRUNC(IF($E364="",IFERROR(VLOOKUP($D364,SERVIÇOS!$C:$H,4,0),IFERROR(VLOOKUP($D364,$F:$M,6,0),)),IFERROR(VLOOKUP($E364,INSUMOS!$B:$E,4,0),IFERROR(VLOOKUP($E364,COTAÇÕES!$C:$L,10,0),)))*$I364,2)</f>
        <v>97.97</v>
      </c>
      <c r="L364" s="616">
        <f>TRUNC(IF($E364="",IFERROR(VLOOKUP($D364,SERVIÇOS!$C:$H,5,0),IFERROR(VLOOKUP($D364,$F:$M,7,0),)),0)*$I364,2)</f>
        <v>0</v>
      </c>
      <c r="M364" s="617">
        <f>K364+L364</f>
        <v>97.97</v>
      </c>
      <c r="N364" s="753" t="str">
        <f t="shared" si="169"/>
        <v>INSUMO SINAPI</v>
      </c>
      <c r="O364" s="648"/>
    </row>
    <row r="365" spans="2:15">
      <c r="B365" s="122">
        <f t="shared" si="186"/>
        <v>3.46</v>
      </c>
      <c r="C365" s="611" t="str">
        <f t="shared" ref="C365:C367" si="187">IF(D365&lt;&gt;"","C",IF(E365&lt;&gt;"","I",""))</f>
        <v>I</v>
      </c>
      <c r="D365" s="661"/>
      <c r="E365" s="661">
        <v>37595</v>
      </c>
      <c r="F365" s="612"/>
      <c r="G365" s="613" t="str">
        <f>IF($E365="",IFERROR(VLOOKUP($D365,SERVIÇOS!$C:$H,2,0),IFERROR(VLOOKUP($D365,$F:$M,2,0),"")),IFERROR(VLOOKUP($E365,INSUMOS!$B:$E,2,0),IFERROR(VLOOKUP($E365,COTAÇÕES!$C:$L,2,0),"")))</f>
        <v xml:space="preserve">ARGAMASSA COLANTE TIPO AC III                                                                                                                                                                                                                                                                                                                                                                                                                                                                             </v>
      </c>
      <c r="H365" s="593" t="str">
        <f>IF($E365="",IFERROR(VLOOKUP($D365,SERVIÇOS!$C:$H,3,0),IFERROR(VLOOKUP($D365,$F:$M,3,0),"")),IFERROR(VLOOKUP($E365,INSUMOS!$B:$E,3,0),IFERROR(VLOOKUP($E365,COTAÇÕES!$C:$L,5,0),"")))</f>
        <v xml:space="preserve">KG    </v>
      </c>
      <c r="I365" s="614">
        <f>1.29</f>
        <v>1.29</v>
      </c>
      <c r="J365" s="670">
        <f>IF($E365="",IFERROR(VLOOKUP($D365,SERVIÇOS!$C:$H,6,0),IFERROR(VLOOKUP($D365,$F:$M,8,0),"")),IFERROR(VLOOKUP($E365,INSUMOS!$B:$E,4,0),IFERROR(VLOOKUP($E365,COTAÇÕES!$C:$L,10,0),"")))</f>
        <v>2.15</v>
      </c>
      <c r="K365" s="615">
        <f>TRUNC(IF($E365="",IFERROR(VLOOKUP($D365,SERVIÇOS!$C:$H,4,0),IFERROR(VLOOKUP($D365,$F:$M,6,0),)),IFERROR(VLOOKUP($E365,INSUMOS!$B:$E,4,0),IFERROR(VLOOKUP($E365,COTAÇÕES!$C:$L,10,0),)))*$I365,2)</f>
        <v>2.77</v>
      </c>
      <c r="L365" s="616">
        <f>TRUNC(IF($E365="",IFERROR(VLOOKUP($D365,SERVIÇOS!$C:$H,5,0),IFERROR(VLOOKUP($D365,$F:$M,7,0),)),0)*$I365,2)</f>
        <v>0</v>
      </c>
      <c r="M365" s="617">
        <f t="shared" ref="M365:M367" si="188">K365+L365</f>
        <v>2.77</v>
      </c>
      <c r="N365" s="753" t="str">
        <f t="shared" si="169"/>
        <v>INSUMO SINAPI</v>
      </c>
      <c r="O365" s="648"/>
    </row>
    <row r="366" spans="2:15">
      <c r="B366" s="122">
        <f t="shared" si="186"/>
        <v>3.46</v>
      </c>
      <c r="C366" s="611" t="str">
        <f t="shared" si="187"/>
        <v>C</v>
      </c>
      <c r="D366" s="661">
        <v>88274</v>
      </c>
      <c r="E366" s="661"/>
      <c r="F366" s="612"/>
      <c r="G366" s="613" t="str">
        <f>IF($E366="",IFERROR(VLOOKUP($D366,SERVIÇOS!$C:$H,2,0),IFERROR(VLOOKUP($D366,$F:$M,2,0),"")),IFERROR(VLOOKUP($E366,INSUMOS!$B:$E,2,0),IFERROR(VLOOKUP($E366,COTAÇÕES!$C:$L,2,0),"")))</f>
        <v>MARMORISTA/GRANITEIRO COM ENCARGOS COMPLEMENTARES</v>
      </c>
      <c r="H366" s="593" t="str">
        <f>IF($E366="",IFERROR(VLOOKUP($D366,SERVIÇOS!$C:$H,3,0),IFERROR(VLOOKUP($D366,$F:$M,3,0),"")),IFERROR(VLOOKUP($E366,INSUMOS!$B:$E,3,0),IFERROR(VLOOKUP($E366,COTAÇÕES!$C:$L,5,0),"")))</f>
        <v>H</v>
      </c>
      <c r="I366" s="614">
        <f>0.547</f>
        <v>0.54700000000000004</v>
      </c>
      <c r="J366" s="670">
        <f>IF($E366="",IFERROR(VLOOKUP($D366,SERVIÇOS!$C:$H,6,0),IFERROR(VLOOKUP($D366,$F:$M,8,0),"")),IFERROR(VLOOKUP($E366,INSUMOS!$B:$E,4,0),IFERROR(VLOOKUP($E366,COTAÇÕES!$C:$L,10,0),"")))</f>
        <v>34.14</v>
      </c>
      <c r="K366" s="615">
        <f>TRUNC(IF($E366="",IFERROR(VLOOKUP($D366,SERVIÇOS!$C:$H,4,0),IFERROR(VLOOKUP($D366,$F:$M,6,0),)),IFERROR(VLOOKUP($E366,INSUMOS!$B:$E,4,0),IFERROR(VLOOKUP($E366,COTAÇÕES!$C:$L,10,0),)))*$I366,2)</f>
        <v>3.63</v>
      </c>
      <c r="L366" s="616">
        <f>TRUNC(IF($E366="",IFERROR(VLOOKUP($D366,SERVIÇOS!$C:$H,5,0),IFERROR(VLOOKUP($D366,$F:$M,7,0),)),0)*$I366,2)</f>
        <v>15.04</v>
      </c>
      <c r="M366" s="617">
        <f t="shared" si="188"/>
        <v>18.669999999999998</v>
      </c>
      <c r="N366" s="753" t="str">
        <f t="shared" si="169"/>
        <v>SERVIÇO SINAPI</v>
      </c>
      <c r="O366" s="648"/>
    </row>
    <row r="367" spans="2:15">
      <c r="B367" s="122">
        <f t="shared" si="186"/>
        <v>3.46</v>
      </c>
      <c r="C367" s="611" t="str">
        <f t="shared" si="187"/>
        <v>C</v>
      </c>
      <c r="D367" s="661">
        <v>88316</v>
      </c>
      <c r="E367" s="661"/>
      <c r="F367" s="612"/>
      <c r="G367" s="613" t="str">
        <f>IF($E367="",IFERROR(VLOOKUP($D367,SERVIÇOS!$C:$H,2,0),IFERROR(VLOOKUP($D367,$F:$M,2,0),"")),IFERROR(VLOOKUP($E367,INSUMOS!$B:$E,2,0),IFERROR(VLOOKUP($E367,COTAÇÕES!$C:$L,2,0),"")))</f>
        <v>SERVENTE COM ENCARGOS COMPLEMENTARES</v>
      </c>
      <c r="H367" s="593" t="str">
        <f>IF($E367="",IFERROR(VLOOKUP($D367,SERVIÇOS!$C:$H,3,0),IFERROR(VLOOKUP($D367,$F:$M,3,0),"")),IFERROR(VLOOKUP($E367,INSUMOS!$B:$E,3,0),IFERROR(VLOOKUP($E367,COTAÇÕES!$C:$L,5,0),"")))</f>
        <v>H</v>
      </c>
      <c r="I367" s="614">
        <f>0.273</f>
        <v>0.27300000000000002</v>
      </c>
      <c r="J367" s="670">
        <f>IF($E367="",IFERROR(VLOOKUP($D367,SERVIÇOS!$C:$H,6,0),IFERROR(VLOOKUP($D367,$F:$M,8,0),"")),IFERROR(VLOOKUP($E367,INSUMOS!$B:$E,4,0),IFERROR(VLOOKUP($E367,COTAÇÕES!$C:$L,10,0),"")))</f>
        <v>23.71</v>
      </c>
      <c r="K367" s="615">
        <f>TRUNC(IF($E367="",IFERROR(VLOOKUP($D367,SERVIÇOS!$C:$H,4,0),IFERROR(VLOOKUP($D367,$F:$M,6,0),)),IFERROR(VLOOKUP($E367,INSUMOS!$B:$E,4,0),IFERROR(VLOOKUP($E367,COTAÇÕES!$C:$L,10,0),)))*$I367,2)</f>
        <v>1.77</v>
      </c>
      <c r="L367" s="616">
        <f>TRUNC(IF($E367="",IFERROR(VLOOKUP($D367,SERVIÇOS!$C:$H,5,0),IFERROR(VLOOKUP($D367,$F:$M,7,0),)),0)*$I367,2)</f>
        <v>4.6900000000000004</v>
      </c>
      <c r="M367" s="617">
        <f t="shared" si="188"/>
        <v>6.4600000000000009</v>
      </c>
      <c r="N367" s="753" t="str">
        <f t="shared" si="169"/>
        <v>SERVIÇO SINAPI</v>
      </c>
      <c r="O367" s="648"/>
    </row>
    <row r="368" spans="2:15">
      <c r="B368" s="769">
        <f>SUMIF(ORC!$G$11:$G$2470,CPU!$F368,ORC!$J$11:$J$2470)</f>
        <v>2.82</v>
      </c>
      <c r="C368" s="515" t="s">
        <v>2239</v>
      </c>
      <c r="D368" s="515"/>
      <c r="E368" s="515"/>
      <c r="F368" s="515" t="s">
        <v>8615</v>
      </c>
      <c r="G368" s="594" t="s">
        <v>8616</v>
      </c>
      <c r="H368" s="515" t="s">
        <v>648</v>
      </c>
      <c r="I368" s="595"/>
      <c r="J368" s="596"/>
      <c r="K368" s="597">
        <f>SUM(K369:K372)</f>
        <v>116.18</v>
      </c>
      <c r="L368" s="597">
        <f>SUM(L369:L372)</f>
        <v>26.3</v>
      </c>
      <c r="M368" s="596">
        <f>SUM(K368:L368)</f>
        <v>142.48000000000002</v>
      </c>
      <c r="N368" s="598" t="s">
        <v>8609</v>
      </c>
      <c r="O368" s="599" t="s">
        <v>7651</v>
      </c>
    </row>
    <row r="369" spans="2:15" ht="25.5">
      <c r="B369" s="122">
        <f t="shared" ref="B369:B372" si="189">B368</f>
        <v>2.82</v>
      </c>
      <c r="C369" s="611" t="str">
        <f>IF(D369&lt;&gt;"","C",IF(E369&lt;&gt;"","I",""))</f>
        <v>I</v>
      </c>
      <c r="D369" s="661"/>
      <c r="E369" s="661">
        <v>10841</v>
      </c>
      <c r="F369" s="612"/>
      <c r="G369" s="613" t="str">
        <f>IF($E369="",IFERROR(VLOOKUP($D369,SERVIÇOS!$C:$H,2,0),IFERROR(VLOOKUP($D369,$F:$M,2,0),"")),IFERROR(VLOOKUP($E369,INSUMOS!$B:$E,2,0),IFERROR(VLOOKUP($E369,COTAÇÕES!$C:$L,2,0),"")))</f>
        <v xml:space="preserve">PISO EM GRANITO, POLIDO, TIPO ANDORINHA/ QUARTZ/ CASTELO/ CORUMBA OU OUTROS EQUIVALENTES DA REGIAO, FORMATO MENOR OU IGUAL A 3025 CM2, E=  *2* CM                                                                                                                                                                                                                                                                                                                                                         </v>
      </c>
      <c r="H369" s="593" t="str">
        <f>IF($E369="",IFERROR(VLOOKUP($D369,SERVIÇOS!$C:$H,3,0),IFERROR(VLOOKUP($D369,$F:$M,3,0),"")),IFERROR(VLOOKUP($E369,INSUMOS!$B:$E,3,0),IFERROR(VLOOKUP($E369,COTAÇÕES!$C:$L,5,0),"")))</f>
        <v xml:space="preserve">M2    </v>
      </c>
      <c r="I369" s="614">
        <f>0.2*1.5</f>
        <v>0.30000000000000004</v>
      </c>
      <c r="J369" s="670">
        <f>IF($E369="",IFERROR(VLOOKUP($D369,SERVIÇOS!$C:$H,6,0),IFERROR(VLOOKUP($D369,$F:$M,8,0),"")),IFERROR(VLOOKUP($E369,INSUMOS!$B:$E,4,0),IFERROR(VLOOKUP($E369,COTAÇÕES!$C:$L,10,0),"")))</f>
        <v>350.94</v>
      </c>
      <c r="K369" s="615">
        <f>TRUNC(IF($E369="",IFERROR(VLOOKUP($D369,SERVIÇOS!$C:$H,4,0),IFERROR(VLOOKUP($D369,$F:$M,6,0),)),IFERROR(VLOOKUP($E369,INSUMOS!$B:$E,4,0),IFERROR(VLOOKUP($E369,COTAÇÕES!$C:$L,10,0),)))*$I369,2)</f>
        <v>105.28</v>
      </c>
      <c r="L369" s="616">
        <f>TRUNC(IF($E369="",IFERROR(VLOOKUP($D369,SERVIÇOS!$C:$H,5,0),IFERROR(VLOOKUP($D369,$F:$M,7,0),)),0)*$I369,2)</f>
        <v>0</v>
      </c>
      <c r="M369" s="617">
        <f>K369+L369</f>
        <v>105.28</v>
      </c>
      <c r="N369" s="753" t="str">
        <f t="shared" si="169"/>
        <v>INSUMO SINAPI</v>
      </c>
      <c r="O369" s="648"/>
    </row>
    <row r="370" spans="2:15">
      <c r="B370" s="122">
        <f t="shared" si="189"/>
        <v>2.82</v>
      </c>
      <c r="C370" s="611" t="str">
        <f t="shared" ref="C370:C372" si="190">IF(D370&lt;&gt;"","C",IF(E370&lt;&gt;"","I",""))</f>
        <v>I</v>
      </c>
      <c r="D370" s="661"/>
      <c r="E370" s="661">
        <v>37595</v>
      </c>
      <c r="F370" s="612"/>
      <c r="G370" s="613" t="str">
        <f>IF($E370="",IFERROR(VLOOKUP($D370,SERVIÇOS!$C:$H,2,0),IFERROR(VLOOKUP($D370,$F:$M,2,0),"")),IFERROR(VLOOKUP($E370,INSUMOS!$B:$E,2,0),IFERROR(VLOOKUP($E370,COTAÇÕES!$C:$L,2,0),"")))</f>
        <v xml:space="preserve">ARGAMASSA COLANTE TIPO AC III                                                                                                                                                                                                                                                                                                                                                                                                                                                                             </v>
      </c>
      <c r="H370" s="593" t="str">
        <f>IF($E370="",IFERROR(VLOOKUP($D370,SERVIÇOS!$C:$H,3,0),IFERROR(VLOOKUP($D370,$F:$M,3,0),"")),IFERROR(VLOOKUP($E370,INSUMOS!$B:$E,3,0),IFERROR(VLOOKUP($E370,COTAÇÕES!$C:$L,5,0),"")))</f>
        <v xml:space="preserve">KG    </v>
      </c>
      <c r="I370" s="614">
        <f>1.29*0.2/0.15</f>
        <v>1.7200000000000002</v>
      </c>
      <c r="J370" s="670">
        <f>IF($E370="",IFERROR(VLOOKUP($D370,SERVIÇOS!$C:$H,6,0),IFERROR(VLOOKUP($D370,$F:$M,8,0),"")),IFERROR(VLOOKUP($E370,INSUMOS!$B:$E,4,0),IFERROR(VLOOKUP($E370,COTAÇÕES!$C:$L,10,0),"")))</f>
        <v>2.15</v>
      </c>
      <c r="K370" s="615">
        <f>TRUNC(IF($E370="",IFERROR(VLOOKUP($D370,SERVIÇOS!$C:$H,4,0),IFERROR(VLOOKUP($D370,$F:$M,6,0),)),IFERROR(VLOOKUP($E370,INSUMOS!$B:$E,4,0),IFERROR(VLOOKUP($E370,COTAÇÕES!$C:$L,10,0),)))*$I370,2)</f>
        <v>3.69</v>
      </c>
      <c r="L370" s="616">
        <f>TRUNC(IF($E370="",IFERROR(VLOOKUP($D370,SERVIÇOS!$C:$H,5,0),IFERROR(VLOOKUP($D370,$F:$M,7,0),)),0)*$I370,2)</f>
        <v>0</v>
      </c>
      <c r="M370" s="617">
        <f t="shared" ref="M370:M372" si="191">K370+L370</f>
        <v>3.69</v>
      </c>
      <c r="N370" s="753" t="str">
        <f t="shared" si="169"/>
        <v>INSUMO SINAPI</v>
      </c>
      <c r="O370" s="648"/>
    </row>
    <row r="371" spans="2:15">
      <c r="B371" s="122">
        <f t="shared" si="189"/>
        <v>2.82</v>
      </c>
      <c r="C371" s="611" t="str">
        <f t="shared" si="190"/>
        <v>C</v>
      </c>
      <c r="D371" s="661">
        <v>88274</v>
      </c>
      <c r="E371" s="661"/>
      <c r="F371" s="612"/>
      <c r="G371" s="613" t="str">
        <f>IF($E371="",IFERROR(VLOOKUP($D371,SERVIÇOS!$C:$H,2,0),IFERROR(VLOOKUP($D371,$F:$M,2,0),"")),IFERROR(VLOOKUP($E371,INSUMOS!$B:$E,2,0),IFERROR(VLOOKUP($E371,COTAÇÕES!$C:$L,2,0),"")))</f>
        <v>MARMORISTA/GRANITEIRO COM ENCARGOS COMPLEMENTARES</v>
      </c>
      <c r="H371" s="593" t="str">
        <f>IF($E371="",IFERROR(VLOOKUP($D371,SERVIÇOS!$C:$H,3,0),IFERROR(VLOOKUP($D371,$F:$M,3,0),"")),IFERROR(VLOOKUP($E371,INSUMOS!$B:$E,3,0),IFERROR(VLOOKUP($E371,COTAÇÕES!$C:$L,5,0),"")))</f>
        <v>H</v>
      </c>
      <c r="I371" s="614">
        <f>0.547*0.2/0.15</f>
        <v>0.72933333333333339</v>
      </c>
      <c r="J371" s="670">
        <f>IF($E371="",IFERROR(VLOOKUP($D371,SERVIÇOS!$C:$H,6,0),IFERROR(VLOOKUP($D371,$F:$M,8,0),"")),IFERROR(VLOOKUP($E371,INSUMOS!$B:$E,4,0),IFERROR(VLOOKUP($E371,COTAÇÕES!$C:$L,10,0),"")))</f>
        <v>34.14</v>
      </c>
      <c r="K371" s="615">
        <f>TRUNC(IF($E371="",IFERROR(VLOOKUP($D371,SERVIÇOS!$C:$H,4,0),IFERROR(VLOOKUP($D371,$F:$M,6,0),)),IFERROR(VLOOKUP($E371,INSUMOS!$B:$E,4,0),IFERROR(VLOOKUP($E371,COTAÇÕES!$C:$L,10,0),)))*$I371,2)</f>
        <v>4.84</v>
      </c>
      <c r="L371" s="616">
        <f>TRUNC(IF($E371="",IFERROR(VLOOKUP($D371,SERVIÇOS!$C:$H,5,0),IFERROR(VLOOKUP($D371,$F:$M,7,0),)),0)*$I371,2)</f>
        <v>20.05</v>
      </c>
      <c r="M371" s="617">
        <f t="shared" si="191"/>
        <v>24.89</v>
      </c>
      <c r="N371" s="753" t="str">
        <f t="shared" si="169"/>
        <v>SERVIÇO SINAPI</v>
      </c>
      <c r="O371" s="648"/>
    </row>
    <row r="372" spans="2:15">
      <c r="B372" s="122">
        <f t="shared" si="189"/>
        <v>2.82</v>
      </c>
      <c r="C372" s="611" t="str">
        <f t="shared" si="190"/>
        <v>C</v>
      </c>
      <c r="D372" s="661">
        <v>88316</v>
      </c>
      <c r="E372" s="661"/>
      <c r="F372" s="612"/>
      <c r="G372" s="613" t="str">
        <f>IF($E372="",IFERROR(VLOOKUP($D372,SERVIÇOS!$C:$H,2,0),IFERROR(VLOOKUP($D372,$F:$M,2,0),"")),IFERROR(VLOOKUP($E372,INSUMOS!$B:$E,2,0),IFERROR(VLOOKUP($E372,COTAÇÕES!$C:$L,2,0),"")))</f>
        <v>SERVENTE COM ENCARGOS COMPLEMENTARES</v>
      </c>
      <c r="H372" s="593" t="str">
        <f>IF($E372="",IFERROR(VLOOKUP($D372,SERVIÇOS!$C:$H,3,0),IFERROR(VLOOKUP($D372,$F:$M,3,0),"")),IFERROR(VLOOKUP($E372,INSUMOS!$B:$E,3,0),IFERROR(VLOOKUP($E372,COTAÇÕES!$C:$L,5,0),"")))</f>
        <v>H</v>
      </c>
      <c r="I372" s="614">
        <f>0.273*0.2/0.15</f>
        <v>0.3640000000000001</v>
      </c>
      <c r="J372" s="670">
        <f>IF($E372="",IFERROR(VLOOKUP($D372,SERVIÇOS!$C:$H,6,0),IFERROR(VLOOKUP($D372,$F:$M,8,0),"")),IFERROR(VLOOKUP($E372,INSUMOS!$B:$E,4,0),IFERROR(VLOOKUP($E372,COTAÇÕES!$C:$L,10,0),"")))</f>
        <v>23.71</v>
      </c>
      <c r="K372" s="615">
        <f>TRUNC(IF($E372="",IFERROR(VLOOKUP($D372,SERVIÇOS!$C:$H,4,0),IFERROR(VLOOKUP($D372,$F:$M,6,0),)),IFERROR(VLOOKUP($E372,INSUMOS!$B:$E,4,0),IFERROR(VLOOKUP($E372,COTAÇÕES!$C:$L,10,0),)))*$I372,2)</f>
        <v>2.37</v>
      </c>
      <c r="L372" s="616">
        <f>TRUNC(IF($E372="",IFERROR(VLOOKUP($D372,SERVIÇOS!$C:$H,5,0),IFERROR(VLOOKUP($D372,$F:$M,7,0),)),0)*$I372,2)</f>
        <v>6.25</v>
      </c>
      <c r="M372" s="617">
        <f t="shared" si="191"/>
        <v>8.620000000000001</v>
      </c>
      <c r="N372" s="753" t="str">
        <f t="shared" si="169"/>
        <v>SERVIÇO SINAPI</v>
      </c>
      <c r="O372" s="648"/>
    </row>
    <row r="373" spans="2:15">
      <c r="B373" s="769">
        <f>SUMIF(ORC!$G$11:$G$2470,CPU!$F373,ORC!$J$11:$J$2470)</f>
        <v>5.1400000000000006</v>
      </c>
      <c r="C373" s="515" t="s">
        <v>2239</v>
      </c>
      <c r="D373" s="515"/>
      <c r="E373" s="515"/>
      <c r="F373" s="515" t="s">
        <v>8617</v>
      </c>
      <c r="G373" s="594" t="s">
        <v>8618</v>
      </c>
      <c r="H373" s="515" t="s">
        <v>648</v>
      </c>
      <c r="I373" s="595"/>
      <c r="J373" s="596"/>
      <c r="K373" s="597">
        <f>SUM(K374:K377)</f>
        <v>127.8</v>
      </c>
      <c r="L373" s="597">
        <f>SUM(L374:L377)</f>
        <v>28.939999999999998</v>
      </c>
      <c r="M373" s="596">
        <f>SUM(K373:L373)</f>
        <v>156.74</v>
      </c>
      <c r="N373" s="598" t="s">
        <v>8609</v>
      </c>
      <c r="O373" s="599" t="s">
        <v>7651</v>
      </c>
    </row>
    <row r="374" spans="2:15" ht="25.5">
      <c r="B374" s="122">
        <f t="shared" ref="B374:B377" si="192">B373</f>
        <v>5.1400000000000006</v>
      </c>
      <c r="C374" s="611" t="str">
        <f>IF(D374&lt;&gt;"","C",IF(E374&lt;&gt;"","I",""))</f>
        <v>I</v>
      </c>
      <c r="D374" s="661"/>
      <c r="E374" s="661">
        <v>10841</v>
      </c>
      <c r="F374" s="612"/>
      <c r="G374" s="613" t="str">
        <f>IF($E374="",IFERROR(VLOOKUP($D374,SERVIÇOS!$C:$H,2,0),IFERROR(VLOOKUP($D374,$F:$M,2,0),"")),IFERROR(VLOOKUP($E374,INSUMOS!$B:$E,2,0),IFERROR(VLOOKUP($E374,COTAÇÕES!$C:$L,2,0),"")))</f>
        <v xml:space="preserve">PISO EM GRANITO, POLIDO, TIPO ANDORINHA/ QUARTZ/ CASTELO/ CORUMBA OU OUTROS EQUIVALENTES DA REGIAO, FORMATO MENOR OU IGUAL A 3025 CM2, E=  *2* CM                                                                                                                                                                                                                                                                                                                                                         </v>
      </c>
      <c r="H374" s="593" t="str">
        <f>IF($E374="",IFERROR(VLOOKUP($D374,SERVIÇOS!$C:$H,3,0),IFERROR(VLOOKUP($D374,$F:$M,3,0),"")),IFERROR(VLOOKUP($E374,INSUMOS!$B:$E,3,0),IFERROR(VLOOKUP($E374,COTAÇÕES!$C:$L,5,0),"")))</f>
        <v xml:space="preserve">M2    </v>
      </c>
      <c r="I374" s="614">
        <f>0.22*1.5</f>
        <v>0.33</v>
      </c>
      <c r="J374" s="670">
        <f>IF($E374="",IFERROR(VLOOKUP($D374,SERVIÇOS!$C:$H,6,0),IFERROR(VLOOKUP($D374,$F:$M,8,0),"")),IFERROR(VLOOKUP($E374,INSUMOS!$B:$E,4,0),IFERROR(VLOOKUP($E374,COTAÇÕES!$C:$L,10,0),"")))</f>
        <v>350.94</v>
      </c>
      <c r="K374" s="615">
        <f>TRUNC(IF($E374="",IFERROR(VLOOKUP($D374,SERVIÇOS!$C:$H,4,0),IFERROR(VLOOKUP($D374,$F:$M,6,0),)),IFERROR(VLOOKUP($E374,INSUMOS!$B:$E,4,0),IFERROR(VLOOKUP($E374,COTAÇÕES!$C:$L,10,0),)))*$I374,2)</f>
        <v>115.81</v>
      </c>
      <c r="L374" s="616">
        <f>TRUNC(IF($E374="",IFERROR(VLOOKUP($D374,SERVIÇOS!$C:$H,5,0),IFERROR(VLOOKUP($D374,$F:$M,7,0),)),0)*$I374,2)</f>
        <v>0</v>
      </c>
      <c r="M374" s="617">
        <f>K374+L374</f>
        <v>115.81</v>
      </c>
      <c r="N374" s="753" t="str">
        <f t="shared" si="169"/>
        <v>INSUMO SINAPI</v>
      </c>
      <c r="O374" s="648"/>
    </row>
    <row r="375" spans="2:15">
      <c r="B375" s="122">
        <f t="shared" si="192"/>
        <v>5.1400000000000006</v>
      </c>
      <c r="C375" s="611" t="str">
        <f t="shared" ref="C375:C377" si="193">IF(D375&lt;&gt;"","C",IF(E375&lt;&gt;"","I",""))</f>
        <v>I</v>
      </c>
      <c r="D375" s="661"/>
      <c r="E375" s="661">
        <v>37595</v>
      </c>
      <c r="F375" s="612"/>
      <c r="G375" s="613" t="str">
        <f>IF($E375="",IFERROR(VLOOKUP($D375,SERVIÇOS!$C:$H,2,0),IFERROR(VLOOKUP($D375,$F:$M,2,0),"")),IFERROR(VLOOKUP($E375,INSUMOS!$B:$E,2,0),IFERROR(VLOOKUP($E375,COTAÇÕES!$C:$L,2,0),"")))</f>
        <v xml:space="preserve">ARGAMASSA COLANTE TIPO AC III                                                                                                                                                                                                                                                                                                                                                                                                                                                                             </v>
      </c>
      <c r="H375" s="593" t="str">
        <f>IF($E375="",IFERROR(VLOOKUP($D375,SERVIÇOS!$C:$H,3,0),IFERROR(VLOOKUP($D375,$F:$M,3,0),"")),IFERROR(VLOOKUP($E375,INSUMOS!$B:$E,3,0),IFERROR(VLOOKUP($E375,COTAÇÕES!$C:$L,5,0),"")))</f>
        <v xml:space="preserve">KG    </v>
      </c>
      <c r="I375" s="614">
        <f>1.29*0.22/0.15</f>
        <v>1.8920000000000001</v>
      </c>
      <c r="J375" s="670">
        <f>IF($E375="",IFERROR(VLOOKUP($D375,SERVIÇOS!$C:$H,6,0),IFERROR(VLOOKUP($D375,$F:$M,8,0),"")),IFERROR(VLOOKUP($E375,INSUMOS!$B:$E,4,0),IFERROR(VLOOKUP($E375,COTAÇÕES!$C:$L,10,0),"")))</f>
        <v>2.15</v>
      </c>
      <c r="K375" s="615">
        <f>TRUNC(IF($E375="",IFERROR(VLOOKUP($D375,SERVIÇOS!$C:$H,4,0),IFERROR(VLOOKUP($D375,$F:$M,6,0),)),IFERROR(VLOOKUP($E375,INSUMOS!$B:$E,4,0),IFERROR(VLOOKUP($E375,COTAÇÕES!$C:$L,10,0),)))*$I375,2)</f>
        <v>4.0599999999999996</v>
      </c>
      <c r="L375" s="616">
        <f>TRUNC(IF($E375="",IFERROR(VLOOKUP($D375,SERVIÇOS!$C:$H,5,0),IFERROR(VLOOKUP($D375,$F:$M,7,0),)),0)*$I375,2)</f>
        <v>0</v>
      </c>
      <c r="M375" s="617">
        <f t="shared" ref="M375:M377" si="194">K375+L375</f>
        <v>4.0599999999999996</v>
      </c>
      <c r="N375" s="753" t="str">
        <f t="shared" si="169"/>
        <v>INSUMO SINAPI</v>
      </c>
      <c r="O375" s="648"/>
    </row>
    <row r="376" spans="2:15">
      <c r="B376" s="122">
        <f t="shared" si="192"/>
        <v>5.1400000000000006</v>
      </c>
      <c r="C376" s="611" t="str">
        <f t="shared" si="193"/>
        <v>C</v>
      </c>
      <c r="D376" s="661">
        <v>88274</v>
      </c>
      <c r="E376" s="661"/>
      <c r="F376" s="612"/>
      <c r="G376" s="613" t="str">
        <f>IF($E376="",IFERROR(VLOOKUP($D376,SERVIÇOS!$C:$H,2,0),IFERROR(VLOOKUP($D376,$F:$M,2,0),"")),IFERROR(VLOOKUP($E376,INSUMOS!$B:$E,2,0),IFERROR(VLOOKUP($E376,COTAÇÕES!$C:$L,2,0),"")))</f>
        <v>MARMORISTA/GRANITEIRO COM ENCARGOS COMPLEMENTARES</v>
      </c>
      <c r="H376" s="593" t="str">
        <f>IF($E376="",IFERROR(VLOOKUP($D376,SERVIÇOS!$C:$H,3,0),IFERROR(VLOOKUP($D376,$F:$M,3,0),"")),IFERROR(VLOOKUP($E376,INSUMOS!$B:$E,3,0),IFERROR(VLOOKUP($E376,COTAÇÕES!$C:$L,5,0),"")))</f>
        <v>H</v>
      </c>
      <c r="I376" s="614">
        <f>0.547*0.22/0.15</f>
        <v>0.80226666666666679</v>
      </c>
      <c r="J376" s="670">
        <f>IF($E376="",IFERROR(VLOOKUP($D376,SERVIÇOS!$C:$H,6,0),IFERROR(VLOOKUP($D376,$F:$M,8,0),"")),IFERROR(VLOOKUP($E376,INSUMOS!$B:$E,4,0),IFERROR(VLOOKUP($E376,COTAÇÕES!$C:$L,10,0),"")))</f>
        <v>34.14</v>
      </c>
      <c r="K376" s="615">
        <f>TRUNC(IF($E376="",IFERROR(VLOOKUP($D376,SERVIÇOS!$C:$H,4,0),IFERROR(VLOOKUP($D376,$F:$M,6,0),)),IFERROR(VLOOKUP($E376,INSUMOS!$B:$E,4,0),IFERROR(VLOOKUP($E376,COTAÇÕES!$C:$L,10,0),)))*$I376,2)</f>
        <v>5.32</v>
      </c>
      <c r="L376" s="616">
        <f>TRUNC(IF($E376="",IFERROR(VLOOKUP($D376,SERVIÇOS!$C:$H,5,0),IFERROR(VLOOKUP($D376,$F:$M,7,0),)),0)*$I376,2)</f>
        <v>22.06</v>
      </c>
      <c r="M376" s="617">
        <f t="shared" si="194"/>
        <v>27.38</v>
      </c>
      <c r="N376" s="753" t="str">
        <f t="shared" si="169"/>
        <v>SERVIÇO SINAPI</v>
      </c>
      <c r="O376" s="648"/>
    </row>
    <row r="377" spans="2:15">
      <c r="B377" s="122">
        <f t="shared" si="192"/>
        <v>5.1400000000000006</v>
      </c>
      <c r="C377" s="611" t="str">
        <f t="shared" si="193"/>
        <v>C</v>
      </c>
      <c r="D377" s="661">
        <v>88316</v>
      </c>
      <c r="E377" s="661"/>
      <c r="F377" s="612"/>
      <c r="G377" s="613" t="str">
        <f>IF($E377="",IFERROR(VLOOKUP($D377,SERVIÇOS!$C:$H,2,0),IFERROR(VLOOKUP($D377,$F:$M,2,0),"")),IFERROR(VLOOKUP($E377,INSUMOS!$B:$E,2,0),IFERROR(VLOOKUP($E377,COTAÇÕES!$C:$L,2,0),"")))</f>
        <v>SERVENTE COM ENCARGOS COMPLEMENTARES</v>
      </c>
      <c r="H377" s="593" t="str">
        <f>IF($E377="",IFERROR(VLOOKUP($D377,SERVIÇOS!$C:$H,3,0),IFERROR(VLOOKUP($D377,$F:$M,3,0),"")),IFERROR(VLOOKUP($E377,INSUMOS!$B:$E,3,0),IFERROR(VLOOKUP($E377,COTAÇÕES!$C:$L,5,0),"")))</f>
        <v>H</v>
      </c>
      <c r="I377" s="614">
        <f>0.273*0.22/0.15</f>
        <v>0.40040000000000003</v>
      </c>
      <c r="J377" s="670">
        <f>IF($E377="",IFERROR(VLOOKUP($D377,SERVIÇOS!$C:$H,6,0),IFERROR(VLOOKUP($D377,$F:$M,8,0),"")),IFERROR(VLOOKUP($E377,INSUMOS!$B:$E,4,0),IFERROR(VLOOKUP($E377,COTAÇÕES!$C:$L,10,0),"")))</f>
        <v>23.71</v>
      </c>
      <c r="K377" s="615">
        <f>TRUNC(IF($E377="",IFERROR(VLOOKUP($D377,SERVIÇOS!$C:$H,4,0),IFERROR(VLOOKUP($D377,$F:$M,6,0),)),IFERROR(VLOOKUP($E377,INSUMOS!$B:$E,4,0),IFERROR(VLOOKUP($E377,COTAÇÕES!$C:$L,10,0),)))*$I377,2)</f>
        <v>2.61</v>
      </c>
      <c r="L377" s="616">
        <f>TRUNC(IF($E377="",IFERROR(VLOOKUP($D377,SERVIÇOS!$C:$H,5,0),IFERROR(VLOOKUP($D377,$F:$M,7,0),)),0)*$I377,2)</f>
        <v>6.88</v>
      </c>
      <c r="M377" s="617">
        <f t="shared" si="194"/>
        <v>9.49</v>
      </c>
      <c r="N377" s="753" t="str">
        <f t="shared" si="169"/>
        <v>SERVIÇO SINAPI</v>
      </c>
      <c r="O377" s="648"/>
    </row>
    <row r="378" spans="2:15" ht="25.5">
      <c r="B378" s="769">
        <f>SUMIF(ORC!$G$11:$G$2470,CPU!$F378,ORC!$J$11:$J$2470)</f>
        <v>46.46</v>
      </c>
      <c r="C378" s="515" t="s">
        <v>2239</v>
      </c>
      <c r="D378" s="515"/>
      <c r="E378" s="515"/>
      <c r="F378" s="515" t="s">
        <v>8619</v>
      </c>
      <c r="G378" s="594" t="s">
        <v>8620</v>
      </c>
      <c r="H378" s="515" t="s">
        <v>648</v>
      </c>
      <c r="I378" s="595"/>
      <c r="J378" s="596"/>
      <c r="K378" s="597">
        <f>SUM(K379:K382)</f>
        <v>29.040000000000003</v>
      </c>
      <c r="L378" s="597">
        <f>SUM(L379:L382)</f>
        <v>6.57</v>
      </c>
      <c r="M378" s="596">
        <f>SUM(K378:L378)</f>
        <v>35.61</v>
      </c>
      <c r="N378" s="598" t="s">
        <v>8609</v>
      </c>
      <c r="O378" s="599" t="s">
        <v>7651</v>
      </c>
    </row>
    <row r="379" spans="2:15" ht="25.5">
      <c r="B379" s="122">
        <f t="shared" ref="B379:B382" si="195">B378</f>
        <v>46.46</v>
      </c>
      <c r="C379" s="611" t="str">
        <f>IF(D379&lt;&gt;"","C",IF(E379&lt;&gt;"","I",""))</f>
        <v>I</v>
      </c>
      <c r="D379" s="661"/>
      <c r="E379" s="661">
        <v>10841</v>
      </c>
      <c r="F379" s="612"/>
      <c r="G379" s="613" t="str">
        <f>IF($E379="",IFERROR(VLOOKUP($D379,SERVIÇOS!$C:$H,2,0),IFERROR(VLOOKUP($D379,$F:$M,2,0),"")),IFERROR(VLOOKUP($E379,INSUMOS!$B:$E,2,0),IFERROR(VLOOKUP($E379,COTAÇÕES!$C:$L,2,0),"")))</f>
        <v xml:space="preserve">PISO EM GRANITO, POLIDO, TIPO ANDORINHA/ QUARTZ/ CASTELO/ CORUMBA OU OUTROS EQUIVALENTES DA REGIAO, FORMATO MENOR OU IGUAL A 3025 CM2, E=  *2* CM                                                                                                                                                                                                                                                                                                                                                         </v>
      </c>
      <c r="H379" s="593" t="str">
        <f>IF($E379="",IFERROR(VLOOKUP($D379,SERVIÇOS!$C:$H,3,0),IFERROR(VLOOKUP($D379,$F:$M,3,0),"")),IFERROR(VLOOKUP($E379,INSUMOS!$B:$E,3,0),IFERROR(VLOOKUP($E379,COTAÇÕES!$C:$L,5,0),"")))</f>
        <v xml:space="preserve">M2    </v>
      </c>
      <c r="I379" s="614">
        <f>0.05*1.5</f>
        <v>7.5000000000000011E-2</v>
      </c>
      <c r="J379" s="670">
        <f>IF($E379="",IFERROR(VLOOKUP($D379,SERVIÇOS!$C:$H,6,0),IFERROR(VLOOKUP($D379,$F:$M,8,0),"")),IFERROR(VLOOKUP($E379,INSUMOS!$B:$E,4,0),IFERROR(VLOOKUP($E379,COTAÇÕES!$C:$L,10,0),"")))</f>
        <v>350.94</v>
      </c>
      <c r="K379" s="615">
        <f>TRUNC(IF($E379="",IFERROR(VLOOKUP($D379,SERVIÇOS!$C:$H,4,0),IFERROR(VLOOKUP($D379,$F:$M,6,0),)),IFERROR(VLOOKUP($E379,INSUMOS!$B:$E,4,0),IFERROR(VLOOKUP($E379,COTAÇÕES!$C:$L,10,0),)))*$I379,2)</f>
        <v>26.32</v>
      </c>
      <c r="L379" s="616">
        <f>TRUNC(IF($E379="",IFERROR(VLOOKUP($D379,SERVIÇOS!$C:$H,5,0),IFERROR(VLOOKUP($D379,$F:$M,7,0),)),0)*$I379,2)</f>
        <v>0</v>
      </c>
      <c r="M379" s="617">
        <f>K379+L379</f>
        <v>26.32</v>
      </c>
      <c r="N379" s="753" t="str">
        <f t="shared" si="169"/>
        <v>INSUMO SINAPI</v>
      </c>
      <c r="O379" s="648"/>
    </row>
    <row r="380" spans="2:15">
      <c r="B380" s="122">
        <f t="shared" si="195"/>
        <v>46.46</v>
      </c>
      <c r="C380" s="611" t="str">
        <f t="shared" ref="C380:C382" si="196">IF(D380&lt;&gt;"","C",IF(E380&lt;&gt;"","I",""))</f>
        <v>I</v>
      </c>
      <c r="D380" s="661"/>
      <c r="E380" s="661">
        <v>37595</v>
      </c>
      <c r="F380" s="612"/>
      <c r="G380" s="613" t="str">
        <f>IF($E380="",IFERROR(VLOOKUP($D380,SERVIÇOS!$C:$H,2,0),IFERROR(VLOOKUP($D380,$F:$M,2,0),"")),IFERROR(VLOOKUP($E380,INSUMOS!$B:$E,2,0),IFERROR(VLOOKUP($E380,COTAÇÕES!$C:$L,2,0),"")))</f>
        <v xml:space="preserve">ARGAMASSA COLANTE TIPO AC III                                                                                                                                                                                                                                                                                                                                                                                                                                                                             </v>
      </c>
      <c r="H380" s="593" t="str">
        <f>IF($E380="",IFERROR(VLOOKUP($D380,SERVIÇOS!$C:$H,3,0),IFERROR(VLOOKUP($D380,$F:$M,3,0),"")),IFERROR(VLOOKUP($E380,INSUMOS!$B:$E,3,0),IFERROR(VLOOKUP($E380,COTAÇÕES!$C:$L,5,0),"")))</f>
        <v xml:space="preserve">KG    </v>
      </c>
      <c r="I380" s="614">
        <f>1.29*0.05/0.15</f>
        <v>0.43000000000000005</v>
      </c>
      <c r="J380" s="670">
        <f>IF($E380="",IFERROR(VLOOKUP($D380,SERVIÇOS!$C:$H,6,0),IFERROR(VLOOKUP($D380,$F:$M,8,0),"")),IFERROR(VLOOKUP($E380,INSUMOS!$B:$E,4,0),IFERROR(VLOOKUP($E380,COTAÇÕES!$C:$L,10,0),"")))</f>
        <v>2.15</v>
      </c>
      <c r="K380" s="615">
        <f>TRUNC(IF($E380="",IFERROR(VLOOKUP($D380,SERVIÇOS!$C:$H,4,0),IFERROR(VLOOKUP($D380,$F:$M,6,0),)),IFERROR(VLOOKUP($E380,INSUMOS!$B:$E,4,0),IFERROR(VLOOKUP($E380,COTAÇÕES!$C:$L,10,0),)))*$I380,2)</f>
        <v>0.92</v>
      </c>
      <c r="L380" s="616">
        <f>TRUNC(IF($E380="",IFERROR(VLOOKUP($D380,SERVIÇOS!$C:$H,5,0),IFERROR(VLOOKUP($D380,$F:$M,7,0),)),0)*$I380,2)</f>
        <v>0</v>
      </c>
      <c r="M380" s="617">
        <f t="shared" ref="M380:M382" si="197">K380+L380</f>
        <v>0.92</v>
      </c>
      <c r="N380" s="753" t="str">
        <f t="shared" si="169"/>
        <v>INSUMO SINAPI</v>
      </c>
      <c r="O380" s="648"/>
    </row>
    <row r="381" spans="2:15">
      <c r="B381" s="122">
        <f t="shared" si="195"/>
        <v>46.46</v>
      </c>
      <c r="C381" s="611" t="str">
        <f t="shared" si="196"/>
        <v>C</v>
      </c>
      <c r="D381" s="661">
        <v>88274</v>
      </c>
      <c r="E381" s="661"/>
      <c r="F381" s="612"/>
      <c r="G381" s="613" t="str">
        <f>IF($E381="",IFERROR(VLOOKUP($D381,SERVIÇOS!$C:$H,2,0),IFERROR(VLOOKUP($D381,$F:$M,2,0),"")),IFERROR(VLOOKUP($E381,INSUMOS!$B:$E,2,0),IFERROR(VLOOKUP($E381,COTAÇÕES!$C:$L,2,0),"")))</f>
        <v>MARMORISTA/GRANITEIRO COM ENCARGOS COMPLEMENTARES</v>
      </c>
      <c r="H381" s="593" t="str">
        <f>IF($E381="",IFERROR(VLOOKUP($D381,SERVIÇOS!$C:$H,3,0),IFERROR(VLOOKUP($D381,$F:$M,3,0),"")),IFERROR(VLOOKUP($E381,INSUMOS!$B:$E,3,0),IFERROR(VLOOKUP($E381,COTAÇÕES!$C:$L,5,0),"")))</f>
        <v>H</v>
      </c>
      <c r="I381" s="614">
        <f>0.547*0.05/0.15</f>
        <v>0.18233333333333335</v>
      </c>
      <c r="J381" s="670">
        <f>IF($E381="",IFERROR(VLOOKUP($D381,SERVIÇOS!$C:$H,6,0),IFERROR(VLOOKUP($D381,$F:$M,8,0),"")),IFERROR(VLOOKUP($E381,INSUMOS!$B:$E,4,0),IFERROR(VLOOKUP($E381,COTAÇÕES!$C:$L,10,0),"")))</f>
        <v>34.14</v>
      </c>
      <c r="K381" s="615">
        <f>TRUNC(IF($E381="",IFERROR(VLOOKUP($D381,SERVIÇOS!$C:$H,4,0),IFERROR(VLOOKUP($D381,$F:$M,6,0),)),IFERROR(VLOOKUP($E381,INSUMOS!$B:$E,4,0),IFERROR(VLOOKUP($E381,COTAÇÕES!$C:$L,10,0),)))*$I381,2)</f>
        <v>1.21</v>
      </c>
      <c r="L381" s="616">
        <f>TRUNC(IF($E381="",IFERROR(VLOOKUP($D381,SERVIÇOS!$C:$H,5,0),IFERROR(VLOOKUP($D381,$F:$M,7,0),)),0)*$I381,2)</f>
        <v>5.01</v>
      </c>
      <c r="M381" s="617">
        <f t="shared" si="197"/>
        <v>6.22</v>
      </c>
      <c r="N381" s="753" t="str">
        <f t="shared" si="169"/>
        <v>SERVIÇO SINAPI</v>
      </c>
      <c r="O381" s="648"/>
    </row>
    <row r="382" spans="2:15">
      <c r="B382" s="122">
        <f t="shared" si="195"/>
        <v>46.46</v>
      </c>
      <c r="C382" s="611" t="str">
        <f t="shared" si="196"/>
        <v>C</v>
      </c>
      <c r="D382" s="661">
        <v>88316</v>
      </c>
      <c r="E382" s="661"/>
      <c r="F382" s="612"/>
      <c r="G382" s="613" t="str">
        <f>IF($E382="",IFERROR(VLOOKUP($D382,SERVIÇOS!$C:$H,2,0),IFERROR(VLOOKUP($D382,$F:$M,2,0),"")),IFERROR(VLOOKUP($E382,INSUMOS!$B:$E,2,0),IFERROR(VLOOKUP($E382,COTAÇÕES!$C:$L,2,0),"")))</f>
        <v>SERVENTE COM ENCARGOS COMPLEMENTARES</v>
      </c>
      <c r="H382" s="593" t="str">
        <f>IF($E382="",IFERROR(VLOOKUP($D382,SERVIÇOS!$C:$H,3,0),IFERROR(VLOOKUP($D382,$F:$M,3,0),"")),IFERROR(VLOOKUP($E382,INSUMOS!$B:$E,3,0),IFERROR(VLOOKUP($E382,COTAÇÕES!$C:$L,5,0),"")))</f>
        <v>H</v>
      </c>
      <c r="I382" s="614">
        <f>0.273*0.05/0.15</f>
        <v>9.1000000000000025E-2</v>
      </c>
      <c r="J382" s="670">
        <f>IF($E382="",IFERROR(VLOOKUP($D382,SERVIÇOS!$C:$H,6,0),IFERROR(VLOOKUP($D382,$F:$M,8,0),"")),IFERROR(VLOOKUP($E382,INSUMOS!$B:$E,4,0),IFERROR(VLOOKUP($E382,COTAÇÕES!$C:$L,10,0),"")))</f>
        <v>23.71</v>
      </c>
      <c r="K382" s="615">
        <f>TRUNC(IF($E382="",IFERROR(VLOOKUP($D382,SERVIÇOS!$C:$H,4,0),IFERROR(VLOOKUP($D382,$F:$M,6,0),)),IFERROR(VLOOKUP($E382,INSUMOS!$B:$E,4,0),IFERROR(VLOOKUP($E382,COTAÇÕES!$C:$L,10,0),)))*$I382,2)</f>
        <v>0.59</v>
      </c>
      <c r="L382" s="616">
        <f>TRUNC(IF($E382="",IFERROR(VLOOKUP($D382,SERVIÇOS!$C:$H,5,0),IFERROR(VLOOKUP($D382,$F:$M,7,0),)),0)*$I382,2)</f>
        <v>1.56</v>
      </c>
      <c r="M382" s="617">
        <f t="shared" si="197"/>
        <v>2.15</v>
      </c>
      <c r="N382" s="753" t="str">
        <f t="shared" si="169"/>
        <v>SERVIÇO SINAPI</v>
      </c>
      <c r="O382" s="648"/>
    </row>
    <row r="383" spans="2:15" ht="25.5">
      <c r="B383" s="769">
        <f>SUMIF(ORC!$G$11:$G$2470,CPU!$F383,ORC!$J$11:$J$2470)</f>
        <v>8.51</v>
      </c>
      <c r="C383" s="515" t="s">
        <v>2239</v>
      </c>
      <c r="D383" s="515"/>
      <c r="E383" s="515"/>
      <c r="F383" s="515" t="s">
        <v>8621</v>
      </c>
      <c r="G383" s="594" t="s">
        <v>8622</v>
      </c>
      <c r="H383" s="515" t="s">
        <v>648</v>
      </c>
      <c r="I383" s="595"/>
      <c r="J383" s="596"/>
      <c r="K383" s="597">
        <f>SUM(K384:K386)</f>
        <v>25.799999999999997</v>
      </c>
      <c r="L383" s="597">
        <f>SUM(L384:L386)</f>
        <v>4.1400000000000006</v>
      </c>
      <c r="M383" s="596">
        <f>SUM(K383:L383)</f>
        <v>29.939999999999998</v>
      </c>
      <c r="N383" s="598" t="s">
        <v>8623</v>
      </c>
      <c r="O383" s="599">
        <v>184</v>
      </c>
    </row>
    <row r="384" spans="2:15">
      <c r="B384" s="122">
        <f t="shared" ref="B384:B386" si="198">B383</f>
        <v>8.51</v>
      </c>
      <c r="C384" s="611" t="str">
        <f t="shared" ref="C384:C386" si="199">IF(D384&lt;&gt;"","C",IF(E384&lt;&gt;"","I",""))</f>
        <v>I</v>
      </c>
      <c r="D384" s="661"/>
      <c r="E384" s="661" t="s">
        <v>9044</v>
      </c>
      <c r="F384" s="612"/>
      <c r="G384" s="613" t="str">
        <f>IF($E384="",IFERROR(VLOOKUP($D384,SERVIÇOS!$C:$H,2,0),IFERROR(VLOOKUP($D384,$F:$M,2,0),"")),IFERROR(VLOOKUP($E384,INSUMOS!$B:$E,2,0),IFERROR(VLOOKUP($E384,COTAÇÕES!$C:$L,2,0),"")))</f>
        <v>PERFIL METÁLICO DE ACABAMENTO ENTRE PISO VINÍLICO E PORCELANATO</v>
      </c>
      <c r="H384" s="593" t="str">
        <f>IF($E384="",IFERROR(VLOOKUP($D384,SERVIÇOS!$C:$H,3,0),IFERROR(VLOOKUP($D384,$F:$M,3,0),"")),IFERROR(VLOOKUP($E384,INSUMOS!$B:$E,3,0),IFERROR(VLOOKUP($E384,COTAÇÕES!$C:$L,5,0),"")))</f>
        <v>M</v>
      </c>
      <c r="I384" s="614">
        <v>1.05</v>
      </c>
      <c r="J384" s="670">
        <f>IF($E384="",IFERROR(VLOOKUP($D384,SERVIÇOS!$C:$H,6,0),IFERROR(VLOOKUP($D384,$F:$M,8,0),"")),IFERROR(VLOOKUP($E384,INSUMOS!$B:$E,4,0),IFERROR(VLOOKUP($E384,COTAÇÕES!$C:$L,10,0),"")))</f>
        <v>23.331111111111113</v>
      </c>
      <c r="K384" s="615">
        <f>TRUNC(IF($E384="",IFERROR(VLOOKUP($D384,SERVIÇOS!$C:$H,4,0),IFERROR(VLOOKUP($D384,$F:$M,6,0),)),IFERROR(VLOOKUP($E384,INSUMOS!$B:$E,4,0),IFERROR(VLOOKUP($E384,COTAÇÕES!$C:$L,10,0),)))*$I384,2)</f>
        <v>24.49</v>
      </c>
      <c r="L384" s="616">
        <f>TRUNC(IF($E384="",IFERROR(VLOOKUP($D384,SERVIÇOS!$C:$H,5,0),IFERROR(VLOOKUP($D384,$F:$M,7,0),)),0)*$I384,2)</f>
        <v>0</v>
      </c>
      <c r="M384" s="617">
        <f t="shared" ref="M384:M386" si="200">K384+L384</f>
        <v>24.49</v>
      </c>
      <c r="N384" s="753" t="s">
        <v>6845</v>
      </c>
      <c r="O384" s="648"/>
    </row>
    <row r="385" spans="2:15">
      <c r="B385" s="122">
        <f t="shared" si="198"/>
        <v>8.51</v>
      </c>
      <c r="C385" s="611" t="str">
        <f t="shared" si="199"/>
        <v>C</v>
      </c>
      <c r="D385" s="661">
        <v>88309</v>
      </c>
      <c r="E385" s="661"/>
      <c r="F385" s="612"/>
      <c r="G385" s="613" t="str">
        <f>IF($E385="",IFERROR(VLOOKUP($D385,SERVIÇOS!$C:$H,2,0),IFERROR(VLOOKUP($D385,$F:$M,2,0),"")),IFERROR(VLOOKUP($E385,INSUMOS!$B:$E,2,0),IFERROR(VLOOKUP($E385,COTAÇÕES!$C:$L,2,0),"")))</f>
        <v>PEDREIRO COM ENCARGOS COMPLEMENTARES</v>
      </c>
      <c r="H385" s="593" t="str">
        <f>IF($E385="",IFERROR(VLOOKUP($D385,SERVIÇOS!$C:$H,3,0),IFERROR(VLOOKUP($D385,$F:$M,3,0),"")),IFERROR(VLOOKUP($E385,INSUMOS!$B:$E,3,0),IFERROR(VLOOKUP($E385,COTAÇÕES!$C:$L,5,0),"")))</f>
        <v>H</v>
      </c>
      <c r="I385" s="614">
        <v>0.1</v>
      </c>
      <c r="J385" s="670">
        <f>IF($E385="",IFERROR(VLOOKUP($D385,SERVIÇOS!$C:$H,6,0),IFERROR(VLOOKUP($D385,$F:$M,8,0),"")),IFERROR(VLOOKUP($E385,INSUMOS!$B:$E,4,0),IFERROR(VLOOKUP($E385,COTAÇÕES!$C:$L,10,0),"")))</f>
        <v>30.99</v>
      </c>
      <c r="K385" s="615">
        <f>TRUNC(IF($E385="",IFERROR(VLOOKUP($D385,SERVIÇOS!$C:$H,4,0),IFERROR(VLOOKUP($D385,$F:$M,6,0),)),IFERROR(VLOOKUP($E385,INSUMOS!$B:$E,4,0),IFERROR(VLOOKUP($E385,COTAÇÕES!$C:$L,10,0),)))*$I385,2)</f>
        <v>0.66</v>
      </c>
      <c r="L385" s="616">
        <f>TRUNC(IF($E385="",IFERROR(VLOOKUP($D385,SERVIÇOS!$C:$H,5,0),IFERROR(VLOOKUP($D385,$F:$M,7,0),)),0)*$I385,2)</f>
        <v>2.4300000000000002</v>
      </c>
      <c r="M385" s="617">
        <f t="shared" si="200"/>
        <v>3.0900000000000003</v>
      </c>
      <c r="N385" s="753" t="str">
        <f t="shared" si="169"/>
        <v>SERVIÇO SINAPI</v>
      </c>
      <c r="O385" s="648"/>
    </row>
    <row r="386" spans="2:15">
      <c r="B386" s="122">
        <f t="shared" si="198"/>
        <v>8.51</v>
      </c>
      <c r="C386" s="611" t="str">
        <f t="shared" si="199"/>
        <v>C</v>
      </c>
      <c r="D386" s="661">
        <v>88316</v>
      </c>
      <c r="E386" s="661"/>
      <c r="F386" s="612"/>
      <c r="G386" s="613" t="str">
        <f>IF($E386="",IFERROR(VLOOKUP($D386,SERVIÇOS!$C:$H,2,0),IFERROR(VLOOKUP($D386,$F:$M,2,0),"")),IFERROR(VLOOKUP($E386,INSUMOS!$B:$E,2,0),IFERROR(VLOOKUP($E386,COTAÇÕES!$C:$L,2,0),"")))</f>
        <v>SERVENTE COM ENCARGOS COMPLEMENTARES</v>
      </c>
      <c r="H386" s="593" t="str">
        <f>IF($E386="",IFERROR(VLOOKUP($D386,SERVIÇOS!$C:$H,3,0),IFERROR(VLOOKUP($D386,$F:$M,3,0),"")),IFERROR(VLOOKUP($E386,INSUMOS!$B:$E,3,0),IFERROR(VLOOKUP($E386,COTAÇÕES!$C:$L,5,0),"")))</f>
        <v>H</v>
      </c>
      <c r="I386" s="614">
        <v>0.1</v>
      </c>
      <c r="J386" s="670">
        <f>IF($E386="",IFERROR(VLOOKUP($D386,SERVIÇOS!$C:$H,6,0),IFERROR(VLOOKUP($D386,$F:$M,8,0),"")),IFERROR(VLOOKUP($E386,INSUMOS!$B:$E,4,0),IFERROR(VLOOKUP($E386,COTAÇÕES!$C:$L,10,0),"")))</f>
        <v>23.71</v>
      </c>
      <c r="K386" s="615">
        <f>TRUNC(IF($E386="",IFERROR(VLOOKUP($D386,SERVIÇOS!$C:$H,4,0),IFERROR(VLOOKUP($D386,$F:$M,6,0),)),IFERROR(VLOOKUP($E386,INSUMOS!$B:$E,4,0),IFERROR(VLOOKUP($E386,COTAÇÕES!$C:$L,10,0),)))*$I386,2)</f>
        <v>0.65</v>
      </c>
      <c r="L386" s="616">
        <f>TRUNC(IF($E386="",IFERROR(VLOOKUP($D386,SERVIÇOS!$C:$H,5,0),IFERROR(VLOOKUP($D386,$F:$M,7,0),)),0)*$I386,2)</f>
        <v>1.71</v>
      </c>
      <c r="M386" s="617">
        <f t="shared" si="200"/>
        <v>2.36</v>
      </c>
      <c r="N386" s="753" t="str">
        <f t="shared" si="169"/>
        <v>SERVIÇO SINAPI</v>
      </c>
      <c r="O386" s="648"/>
    </row>
    <row r="387" spans="2:15" ht="25.5">
      <c r="B387" s="769">
        <f>SUMIF(ORC!$G$11:$G$2470,CPU!$F387,ORC!$J$11:$J$2470)</f>
        <v>110.96</v>
      </c>
      <c r="C387" s="515" t="s">
        <v>2239</v>
      </c>
      <c r="D387" s="515"/>
      <c r="E387" s="515"/>
      <c r="F387" s="515" t="s">
        <v>8625</v>
      </c>
      <c r="G387" s="594" t="s">
        <v>7175</v>
      </c>
      <c r="H387" s="515" t="s">
        <v>648</v>
      </c>
      <c r="I387" s="595"/>
      <c r="J387" s="596"/>
      <c r="K387" s="597">
        <f>SUM(K388:K395)</f>
        <v>32.18</v>
      </c>
      <c r="L387" s="597">
        <f>SUM(L388:L395)</f>
        <v>20.87</v>
      </c>
      <c r="M387" s="596">
        <f>SUM(K387:L387)</f>
        <v>53.05</v>
      </c>
      <c r="N387" s="598"/>
      <c r="O387" s="599"/>
    </row>
    <row r="388" spans="2:15">
      <c r="B388" s="122">
        <f t="shared" ref="B388:B395" si="201">B387</f>
        <v>110.96</v>
      </c>
      <c r="C388" s="611" t="str">
        <f>IF(D388&lt;&gt;"","C",IF(E388&lt;&gt;"","I",""))</f>
        <v>C</v>
      </c>
      <c r="D388" s="661">
        <v>88256</v>
      </c>
      <c r="E388" s="661"/>
      <c r="F388" s="612"/>
      <c r="G388" s="613" t="str">
        <f>IF($E388="",IFERROR(VLOOKUP($D388,SERVIÇOS!$C:$H,2,0),IFERROR(VLOOKUP($D388,$F:$M,2,0),"")),IFERROR(VLOOKUP($E388,INSUMOS!$B:$E,2,0),IFERROR(VLOOKUP($E388,COTAÇÕES!$C:$L,2,0),"")))</f>
        <v>AZULEJISTA OU LADRILHISTA COM ENCARGOS COMPLEMENTARES</v>
      </c>
      <c r="H388" s="593" t="str">
        <f>IF($E388="",IFERROR(VLOOKUP($D388,SERVIÇOS!$C:$H,3,0),IFERROR(VLOOKUP($D388,$F:$M,3,0),"")),IFERROR(VLOOKUP($E388,INSUMOS!$B:$E,3,0),IFERROR(VLOOKUP($E388,COTAÇÕES!$C:$L,5,0),"")))</f>
        <v>H</v>
      </c>
      <c r="I388" s="614">
        <v>0.45</v>
      </c>
      <c r="J388" s="670">
        <f>IF($E388="",IFERROR(VLOOKUP($D388,SERVIÇOS!$C:$H,6,0),IFERROR(VLOOKUP($D388,$F:$M,8,0),"")),IFERROR(VLOOKUP($E388,INSUMOS!$B:$E,4,0),IFERROR(VLOOKUP($E388,COTAÇÕES!$C:$L,10,0),"")))</f>
        <v>30.86</v>
      </c>
      <c r="K388" s="615">
        <f>TRUNC(IF($E388="",IFERROR(VLOOKUP($D388,SERVIÇOS!$C:$H,4,0),IFERROR(VLOOKUP($D388,$F:$M,6,0),)),IFERROR(VLOOKUP($E388,INSUMOS!$B:$E,4,0),IFERROR(VLOOKUP($E388,COTAÇÕES!$C:$L,10,0),)))*$I388,2)</f>
        <v>2.98</v>
      </c>
      <c r="L388" s="616">
        <f>TRUNC(IF($E388="",IFERROR(VLOOKUP($D388,SERVIÇOS!$C:$H,5,0),IFERROR(VLOOKUP($D388,$F:$M,7,0),)),0)*$I388,2)</f>
        <v>10.89</v>
      </c>
      <c r="M388" s="617">
        <f>K388+L388</f>
        <v>13.870000000000001</v>
      </c>
      <c r="N388" s="753" t="str">
        <f>IF($D388&lt;&gt;"","SERVIÇO SINAPI",IF($E388&lt;&gt;"","INSUMO SINAPI",""))</f>
        <v>SERVIÇO SINAPI</v>
      </c>
      <c r="O388" s="648"/>
    </row>
    <row r="389" spans="2:15">
      <c r="B389" s="122">
        <f t="shared" si="201"/>
        <v>110.96</v>
      </c>
      <c r="C389" s="611" t="str">
        <f t="shared" ref="C389:C395" si="202">IF(D389&lt;&gt;"","C",IF(E389&lt;&gt;"","I",""))</f>
        <v>C</v>
      </c>
      <c r="D389" s="661">
        <v>88316</v>
      </c>
      <c r="E389" s="661"/>
      <c r="F389" s="612"/>
      <c r="G389" s="613" t="str">
        <f>IF($E389="",IFERROR(VLOOKUP($D389,SERVIÇOS!$C:$H,2,0),IFERROR(VLOOKUP($D389,$F:$M,2,0),"")),IFERROR(VLOOKUP($E389,INSUMOS!$B:$E,2,0),IFERROR(VLOOKUP($E389,COTAÇÕES!$C:$L,2,0),"")))</f>
        <v>SERVENTE COM ENCARGOS COMPLEMENTARES</v>
      </c>
      <c r="H389" s="593" t="str">
        <f>IF($E389="",IFERROR(VLOOKUP($D389,SERVIÇOS!$C:$H,3,0),IFERROR(VLOOKUP($D389,$F:$M,3,0),"")),IFERROR(VLOOKUP($E389,INSUMOS!$B:$E,3,0),IFERROR(VLOOKUP($E389,COTAÇÕES!$C:$L,5,0),"")))</f>
        <v>H</v>
      </c>
      <c r="I389" s="614">
        <v>0.45</v>
      </c>
      <c r="J389" s="670">
        <f>IF($E389="",IFERROR(VLOOKUP($D389,SERVIÇOS!$C:$H,6,0),IFERROR(VLOOKUP($D389,$F:$M,8,0),"")),IFERROR(VLOOKUP($E389,INSUMOS!$B:$E,4,0),IFERROR(VLOOKUP($E389,COTAÇÕES!$C:$L,10,0),"")))</f>
        <v>23.71</v>
      </c>
      <c r="K389" s="615">
        <f>TRUNC(IF($E389="",IFERROR(VLOOKUP($D389,SERVIÇOS!$C:$H,4,0),IFERROR(VLOOKUP($D389,$F:$M,6,0),)),IFERROR(VLOOKUP($E389,INSUMOS!$B:$E,4,0),IFERROR(VLOOKUP($E389,COTAÇÕES!$C:$L,10,0),)))*$I389,2)</f>
        <v>2.93</v>
      </c>
      <c r="L389" s="616">
        <f>TRUNC(IF($E389="",IFERROR(VLOOKUP($D389,SERVIÇOS!$C:$H,5,0),IFERROR(VLOOKUP($D389,$F:$M,7,0),)),0)*$I389,2)</f>
        <v>7.73</v>
      </c>
      <c r="M389" s="617">
        <f t="shared" ref="M389:M395" si="203">K389+L389</f>
        <v>10.66</v>
      </c>
      <c r="N389" s="753" t="str">
        <f>IF($D389&lt;&gt;"","SERVIÇO SINAPI",IF($E389&lt;&gt;"","INSUMO SINAPI",""))</f>
        <v>SERVIÇO SINAPI</v>
      </c>
      <c r="O389" s="648"/>
    </row>
    <row r="390" spans="2:15">
      <c r="B390" s="122">
        <f t="shared" si="201"/>
        <v>110.96</v>
      </c>
      <c r="C390" s="611" t="str">
        <f t="shared" si="202"/>
        <v>I</v>
      </c>
      <c r="D390" s="661"/>
      <c r="E390" s="661" t="s">
        <v>9045</v>
      </c>
      <c r="F390" s="612"/>
      <c r="G390" s="613" t="str">
        <f>IF($E390="",IFERROR(VLOOKUP($D390,SERVIÇOS!$C:$H,2,0),IFERROR(VLOOKUP($D390,$F:$M,2,0),"")),IFERROR(VLOOKUP($E390,INSUMOS!$B:$E,2,0),IFERROR(VLOOKUP($E390,COTAÇÕES!$C:$L,2,0),"")))</f>
        <v>PISO TÁTIL DE LADRILHO HIDRÁULICO 30X30CM DE CONCRETO</v>
      </c>
      <c r="H390" s="593" t="str">
        <f>IF($E390="",IFERROR(VLOOKUP($D390,SERVIÇOS!$C:$H,3,0),IFERROR(VLOOKUP($D390,$F:$M,3,0),"")),IFERROR(VLOOKUP($E390,INSUMOS!$B:$E,3,0),IFERROR(VLOOKUP($E390,COTAÇÕES!$C:$L,5,0),"")))</f>
        <v>M2</v>
      </c>
      <c r="I390" s="614">
        <v>0.3</v>
      </c>
      <c r="J390" s="670">
        <f>IF($E390="",IFERROR(VLOOKUP($D390,SERVIÇOS!$C:$H,6,0),IFERROR(VLOOKUP($D390,$F:$M,8,0),"")),IFERROR(VLOOKUP($E390,INSUMOS!$B:$E,4,0),IFERROR(VLOOKUP($E390,COTAÇÕES!$C:$L,10,0),"")))</f>
        <v>64.907407407407405</v>
      </c>
      <c r="K390" s="615">
        <f>TRUNC(IF($E390="",IFERROR(VLOOKUP($D390,SERVIÇOS!$C:$H,4,0),IFERROR(VLOOKUP($D390,$F:$M,6,0),)),IFERROR(VLOOKUP($E390,INSUMOS!$B:$E,4,0),IFERROR(VLOOKUP($E390,COTAÇÕES!$C:$L,10,0),)))*$I390,2)</f>
        <v>19.47</v>
      </c>
      <c r="L390" s="616">
        <f>TRUNC(IF($E390="",IFERROR(VLOOKUP($D390,SERVIÇOS!$C:$H,5,0),IFERROR(VLOOKUP($D390,$F:$M,7,0),)),0)*$I390,2)</f>
        <v>0</v>
      </c>
      <c r="M390" s="617">
        <f t="shared" si="203"/>
        <v>19.47</v>
      </c>
      <c r="N390" s="753" t="s">
        <v>6845</v>
      </c>
      <c r="O390" s="648"/>
    </row>
    <row r="391" spans="2:15" ht="25.5">
      <c r="B391" s="122">
        <f t="shared" si="201"/>
        <v>110.96</v>
      </c>
      <c r="C391" s="611" t="str">
        <f t="shared" si="202"/>
        <v>C</v>
      </c>
      <c r="D391" s="661">
        <v>96622</v>
      </c>
      <c r="E391" s="661"/>
      <c r="F391" s="612"/>
      <c r="G391" s="613" t="str">
        <f>IF($E391="",IFERROR(VLOOKUP($D391,SERVIÇOS!$C:$H,2,0),IFERROR(VLOOKUP($D391,$F:$M,2,0),"")),IFERROR(VLOOKUP($E391,INSUMOS!$B:$E,2,0),IFERROR(VLOOKUP($E391,COTAÇÕES!$C:$L,2,0),"")))</f>
        <v>LASTRO COM MATERIAL GRANULAR, APLICADO EM PISOS OU LAJES SOBRE SOLO, ESPESSURA DE *5 CM*. AF_08/2017</v>
      </c>
      <c r="H391" s="593" t="str">
        <f>IF($E391="",IFERROR(VLOOKUP($D391,SERVIÇOS!$C:$H,3,0),IFERROR(VLOOKUP($D391,$F:$M,3,0),"")),IFERROR(VLOOKUP($E391,INSUMOS!$B:$E,3,0),IFERROR(VLOOKUP($E391,COTAÇÕES!$C:$L,5,0),"")))</f>
        <v>M3</v>
      </c>
      <c r="I391" s="614">
        <v>6.0000000000000001E-3</v>
      </c>
      <c r="J391" s="670">
        <f>IF($E391="",IFERROR(VLOOKUP($D391,SERVIÇOS!$C:$H,6,0),IFERROR(VLOOKUP($D391,$F:$M,8,0),"")),IFERROR(VLOOKUP($E391,INSUMOS!$B:$E,4,0),IFERROR(VLOOKUP($E391,COTAÇÕES!$C:$L,10,0),"")))</f>
        <v>110.64</v>
      </c>
      <c r="K391" s="615">
        <f>TRUNC(IF($E391="",IFERROR(VLOOKUP($D391,SERVIÇOS!$C:$H,4,0),IFERROR(VLOOKUP($D391,$F:$M,6,0),)),IFERROR(VLOOKUP($E391,INSUMOS!$B:$E,4,0),IFERROR(VLOOKUP($E391,COTAÇÕES!$C:$L,10,0),)))*$I391,2)</f>
        <v>0.44</v>
      </c>
      <c r="L391" s="616">
        <f>TRUNC(IF($E391="",IFERROR(VLOOKUP($D391,SERVIÇOS!$C:$H,5,0),IFERROR(VLOOKUP($D391,$F:$M,7,0),)),0)*$I391,2)</f>
        <v>0.21</v>
      </c>
      <c r="M391" s="617">
        <f t="shared" si="203"/>
        <v>0.65</v>
      </c>
      <c r="N391" s="753" t="str">
        <f>IF($D391&lt;&gt;"","SERVIÇO SINAPI",IF($E391&lt;&gt;"","INSUMO SINAPI",""))</f>
        <v>SERVIÇO SINAPI</v>
      </c>
      <c r="O391" s="648"/>
    </row>
    <row r="392" spans="2:15">
      <c r="B392" s="122">
        <f t="shared" si="201"/>
        <v>110.96</v>
      </c>
      <c r="C392" s="611" t="str">
        <f t="shared" si="202"/>
        <v>I</v>
      </c>
      <c r="D392" s="661"/>
      <c r="E392" s="661">
        <v>1379</v>
      </c>
      <c r="F392" s="612"/>
      <c r="G392" s="613" t="str">
        <f>IF($E392="",IFERROR(VLOOKUP($D392,SERVIÇOS!$C:$H,2,0),IFERROR(VLOOKUP($D392,$F:$M,2,0),"")),IFERROR(VLOOKUP($E392,INSUMOS!$B:$E,2,0),IFERROR(VLOOKUP($E392,COTAÇÕES!$C:$L,2,0),"")))</f>
        <v xml:space="preserve">CIMENTO PORTLAND COMPOSTO CP II-32                                                                                                                                                                                                                                                                                                                                                                                                                                                                        </v>
      </c>
      <c r="H392" s="593" t="str">
        <f>IF($E392="",IFERROR(VLOOKUP($D392,SERVIÇOS!$C:$H,3,0),IFERROR(VLOOKUP($D392,$F:$M,3,0),"")),IFERROR(VLOOKUP($E392,INSUMOS!$B:$E,3,0),IFERROR(VLOOKUP($E392,COTAÇÕES!$C:$L,5,0),"")))</f>
        <v xml:space="preserve">KG    </v>
      </c>
      <c r="I392" s="614">
        <v>3.1949999999999998</v>
      </c>
      <c r="J392" s="670">
        <f>IF($E392="",IFERROR(VLOOKUP($D392,SERVIÇOS!$C:$H,6,0),IFERROR(VLOOKUP($D392,$F:$M,8,0),"")),IFERROR(VLOOKUP($E392,INSUMOS!$B:$E,4,0),IFERROR(VLOOKUP($E392,COTAÇÕES!$C:$L,10,0),"")))</f>
        <v>0.67</v>
      </c>
      <c r="K392" s="615">
        <f>TRUNC(IF($E392="",IFERROR(VLOOKUP($D392,SERVIÇOS!$C:$H,4,0),IFERROR(VLOOKUP($D392,$F:$M,6,0),)),IFERROR(VLOOKUP($E392,INSUMOS!$B:$E,4,0),IFERROR(VLOOKUP($E392,COTAÇÕES!$C:$L,10,0),)))*$I392,2)</f>
        <v>2.14</v>
      </c>
      <c r="L392" s="616">
        <f>TRUNC(IF($E392="",IFERROR(VLOOKUP($D392,SERVIÇOS!$C:$H,5,0),IFERROR(VLOOKUP($D392,$F:$M,7,0),)),0)*$I392,2)</f>
        <v>0</v>
      </c>
      <c r="M392" s="617">
        <f t="shared" si="203"/>
        <v>2.14</v>
      </c>
      <c r="N392" s="753" t="str">
        <f>IF($D392&lt;&gt;"","SERVIÇO SINAPI",IF($E392&lt;&gt;"","INSUMO SINAPI",""))</f>
        <v>INSUMO SINAPI</v>
      </c>
      <c r="O392" s="648"/>
    </row>
    <row r="393" spans="2:15">
      <c r="B393" s="122">
        <f t="shared" si="201"/>
        <v>110.96</v>
      </c>
      <c r="C393" s="611" t="str">
        <f t="shared" si="202"/>
        <v>I</v>
      </c>
      <c r="D393" s="661"/>
      <c r="E393" s="661">
        <v>1106</v>
      </c>
      <c r="F393" s="612"/>
      <c r="G393" s="613" t="str">
        <f>IF($E393="",IFERROR(VLOOKUP($D393,SERVIÇOS!$C:$H,2,0),IFERROR(VLOOKUP($D393,$F:$M,2,0),"")),IFERROR(VLOOKUP($E393,INSUMOS!$B:$E,2,0),IFERROR(VLOOKUP($E393,COTAÇÕES!$C:$L,2,0),"")))</f>
        <v xml:space="preserve">CAL HIDRATADA CH-I PARA ARGAMASSAS                                                                                                                                                                                                                                                                                                                                                                                                                                                                        </v>
      </c>
      <c r="H393" s="593" t="str">
        <f>IF($E393="",IFERROR(VLOOKUP($D393,SERVIÇOS!$C:$H,3,0),IFERROR(VLOOKUP($D393,$F:$M,3,0),"")),IFERROR(VLOOKUP($E393,INSUMOS!$B:$E,3,0),IFERROR(VLOOKUP($E393,COTAÇÕES!$C:$L,5,0),"")))</f>
        <v xml:space="preserve">KG    </v>
      </c>
      <c r="I393" s="614">
        <v>0.54900000000000004</v>
      </c>
      <c r="J393" s="670">
        <f>IF($E393="",IFERROR(VLOOKUP($D393,SERVIÇOS!$C:$H,6,0),IFERROR(VLOOKUP($D393,$F:$M,8,0),"")),IFERROR(VLOOKUP($E393,INSUMOS!$B:$E,4,0),IFERROR(VLOOKUP($E393,COTAÇÕES!$C:$L,10,0),"")))</f>
        <v>0.66</v>
      </c>
      <c r="K393" s="615">
        <f>TRUNC(IF($E393="",IFERROR(VLOOKUP($D393,SERVIÇOS!$C:$H,4,0),IFERROR(VLOOKUP($D393,$F:$M,6,0),)),IFERROR(VLOOKUP($E393,INSUMOS!$B:$E,4,0),IFERROR(VLOOKUP($E393,COTAÇÕES!$C:$L,10,0),)))*$I393,2)</f>
        <v>0.36</v>
      </c>
      <c r="L393" s="616">
        <f>TRUNC(IF($E393="",IFERROR(VLOOKUP($D393,SERVIÇOS!$C:$H,5,0),IFERROR(VLOOKUP($D393,$F:$M,7,0),)),0)*$I393,2)</f>
        <v>0</v>
      </c>
      <c r="M393" s="617">
        <f t="shared" si="203"/>
        <v>0.36</v>
      </c>
      <c r="N393" s="753" t="str">
        <f>IF($D393&lt;&gt;"","SERVIÇO SINAPI",IF($E393&lt;&gt;"","INSUMO SINAPI",""))</f>
        <v>INSUMO SINAPI</v>
      </c>
      <c r="O393" s="648"/>
    </row>
    <row r="394" spans="2:15">
      <c r="B394" s="122">
        <f t="shared" si="201"/>
        <v>110.96</v>
      </c>
      <c r="C394" s="611" t="str">
        <f t="shared" si="202"/>
        <v>I</v>
      </c>
      <c r="D394" s="661"/>
      <c r="E394" s="661">
        <v>370</v>
      </c>
      <c r="F394" s="612"/>
      <c r="G394" s="613" t="str">
        <f>IF($E394="",IFERROR(VLOOKUP($D394,SERVIÇOS!$C:$H,2,0),IFERROR(VLOOKUP($D394,$F:$M,2,0),"")),IFERROR(VLOOKUP($E394,INSUMOS!$B:$E,2,0),IFERROR(VLOOKUP($E394,COTAÇÕES!$C:$L,2,0),"")))</f>
        <v xml:space="preserve">AREIA MEDIA - POSTO JAZIDA/FORNECEDOR (RETIRADO NA JAZIDA, SEM TRANSPORTE)                                                                                                                                                                                                                                                                                                                                                                                                                                </v>
      </c>
      <c r="H394" s="593" t="str">
        <f>IF($E394="",IFERROR(VLOOKUP($D394,SERVIÇOS!$C:$H,3,0),IFERROR(VLOOKUP($D394,$F:$M,3,0),"")),IFERROR(VLOOKUP($E394,INSUMOS!$B:$E,3,0),IFERROR(VLOOKUP($E394,COTAÇÕES!$C:$L,5,0),"")))</f>
        <v xml:space="preserve">M3    </v>
      </c>
      <c r="I394" s="614">
        <v>9.1000000000000004E-3</v>
      </c>
      <c r="J394" s="670">
        <f>IF($E394="",IFERROR(VLOOKUP($D394,SERVIÇOS!$C:$H,6,0),IFERROR(VLOOKUP($D394,$F:$M,8,0),"")),IFERROR(VLOOKUP($E394,INSUMOS!$B:$E,4,0),IFERROR(VLOOKUP($E394,COTAÇÕES!$C:$L,10,0),"")))</f>
        <v>81.650000000000006</v>
      </c>
      <c r="K394" s="615">
        <f>TRUNC(IF($E394="",IFERROR(VLOOKUP($D394,SERVIÇOS!$C:$H,4,0),IFERROR(VLOOKUP($D394,$F:$M,6,0),)),IFERROR(VLOOKUP($E394,INSUMOS!$B:$E,4,0),IFERROR(VLOOKUP($E394,COTAÇÕES!$C:$L,10,0),)))*$I394,2)</f>
        <v>0.74</v>
      </c>
      <c r="L394" s="616">
        <f>TRUNC(IF($E394="",IFERROR(VLOOKUP($D394,SERVIÇOS!$C:$H,5,0),IFERROR(VLOOKUP($D394,$F:$M,7,0),)),0)*$I394,2)</f>
        <v>0</v>
      </c>
      <c r="M394" s="617">
        <f t="shared" si="203"/>
        <v>0.74</v>
      </c>
      <c r="N394" s="753" t="str">
        <f>IF($D394&lt;&gt;"","SERVIÇO SINAPI",IF($E394&lt;&gt;"","INSUMO SINAPI",""))</f>
        <v>INSUMO SINAPI</v>
      </c>
      <c r="O394" s="648"/>
    </row>
    <row r="395" spans="2:15" ht="25.5">
      <c r="B395" s="122">
        <f t="shared" si="201"/>
        <v>110.96</v>
      </c>
      <c r="C395" s="611" t="str">
        <f t="shared" si="202"/>
        <v>C</v>
      </c>
      <c r="D395" s="661">
        <v>95240</v>
      </c>
      <c r="E395" s="661"/>
      <c r="F395" s="612"/>
      <c r="G395" s="613" t="str">
        <f>IF($E395="",IFERROR(VLOOKUP($D395,SERVIÇOS!$C:$H,2,0),IFERROR(VLOOKUP($D395,$F:$M,2,0),"")),IFERROR(VLOOKUP($E395,INSUMOS!$B:$E,2,0),IFERROR(VLOOKUP($E395,COTAÇÕES!$C:$L,2,0),"")))</f>
        <v>LASTRO DE CONCRETO MAGRO, APLICADO EM PISOS, LAJES SOBRE SOLO OU RADIERS, ESPESSURA DE 3 CM. AF_07/2016</v>
      </c>
      <c r="H395" s="593" t="str">
        <f>IF($E395="",IFERROR(VLOOKUP($D395,SERVIÇOS!$C:$H,3,0),IFERROR(VLOOKUP($D395,$F:$M,3,0),"")),IFERROR(VLOOKUP($E395,INSUMOS!$B:$E,3,0),IFERROR(VLOOKUP($E395,COTAÇÕES!$C:$L,5,0),"")))</f>
        <v>M2</v>
      </c>
      <c r="I395" s="614">
        <v>0.3</v>
      </c>
      <c r="J395" s="670">
        <f>IF($E395="",IFERROR(VLOOKUP($D395,SERVIÇOS!$C:$H,6,0),IFERROR(VLOOKUP($D395,$F:$M,8,0),"")),IFERROR(VLOOKUP($E395,INSUMOS!$B:$E,4,0),IFERROR(VLOOKUP($E395,COTAÇÕES!$C:$L,10,0),"")))</f>
        <v>17.23</v>
      </c>
      <c r="K395" s="615">
        <f>TRUNC(IF($E395="",IFERROR(VLOOKUP($D395,SERVIÇOS!$C:$H,4,0),IFERROR(VLOOKUP($D395,$F:$M,6,0),)),IFERROR(VLOOKUP($E395,INSUMOS!$B:$E,4,0),IFERROR(VLOOKUP($E395,COTAÇÕES!$C:$L,10,0),)))*$I395,2)</f>
        <v>3.12</v>
      </c>
      <c r="L395" s="616">
        <f>TRUNC(IF($E395="",IFERROR(VLOOKUP($D395,SERVIÇOS!$C:$H,5,0),IFERROR(VLOOKUP($D395,$F:$M,7,0),)),0)*$I395,2)</f>
        <v>2.04</v>
      </c>
      <c r="M395" s="617">
        <f t="shared" si="203"/>
        <v>5.16</v>
      </c>
      <c r="N395" s="753" t="str">
        <f>IF($D395&lt;&gt;"","SERVIÇO SINAPI",IF($E395&lt;&gt;"","INSUMO SINAPI",""))</f>
        <v>SERVIÇO SINAPI</v>
      </c>
      <c r="O395" s="648"/>
    </row>
    <row r="396" spans="2:15">
      <c r="B396" s="769">
        <f>SUMIF(ORC!$G$11:$G$2470,CPU!$F396,ORC!$J$11:$J$2470)</f>
        <v>69.8</v>
      </c>
      <c r="C396" s="515" t="s">
        <v>2239</v>
      </c>
      <c r="D396" s="515"/>
      <c r="E396" s="515"/>
      <c r="F396" s="515" t="s">
        <v>8673</v>
      </c>
      <c r="G396" s="594" t="s">
        <v>8674</v>
      </c>
      <c r="H396" s="515" t="s">
        <v>648</v>
      </c>
      <c r="I396" s="595"/>
      <c r="J396" s="596"/>
      <c r="K396" s="597">
        <f>SUM(K397:K400)</f>
        <v>127.8</v>
      </c>
      <c r="L396" s="597">
        <f>SUM(L397:L400)</f>
        <v>28.939999999999998</v>
      </c>
      <c r="M396" s="596">
        <f>SUM(K396:L396)</f>
        <v>156.74</v>
      </c>
      <c r="N396" s="598" t="s">
        <v>8609</v>
      </c>
      <c r="O396" s="599" t="s">
        <v>7651</v>
      </c>
    </row>
    <row r="397" spans="2:15" ht="25.5">
      <c r="B397" s="122">
        <f t="shared" ref="B397:B400" si="204">B396</f>
        <v>69.8</v>
      </c>
      <c r="C397" s="611" t="str">
        <f>IF(D397&lt;&gt;"","C",IF(E397&lt;&gt;"","I",""))</f>
        <v>I</v>
      </c>
      <c r="D397" s="661"/>
      <c r="E397" s="661">
        <v>10841</v>
      </c>
      <c r="F397" s="612"/>
      <c r="G397" s="613" t="str">
        <f>IF($E397="",IFERROR(VLOOKUP($D397,SERVIÇOS!$C:$H,2,0),IFERROR(VLOOKUP($D397,$F:$M,2,0),"")),IFERROR(VLOOKUP($E397,INSUMOS!$B:$E,2,0),IFERROR(VLOOKUP($E397,COTAÇÕES!$C:$L,2,0),"")))</f>
        <v xml:space="preserve">PISO EM GRANITO, POLIDO, TIPO ANDORINHA/ QUARTZ/ CASTELO/ CORUMBA OU OUTROS EQUIVALENTES DA REGIAO, FORMATO MENOR OU IGUAL A 3025 CM2, E=  *2* CM                                                                                                                                                                                                                                                                                                                                                         </v>
      </c>
      <c r="H397" s="593" t="str">
        <f>IF($E397="",IFERROR(VLOOKUP($D397,SERVIÇOS!$C:$H,3,0),IFERROR(VLOOKUP($D397,$F:$M,3,0),"")),IFERROR(VLOOKUP($E397,INSUMOS!$B:$E,3,0),IFERROR(VLOOKUP($E397,COTAÇÕES!$C:$L,5,0),"")))</f>
        <v xml:space="preserve">M2    </v>
      </c>
      <c r="I397" s="614">
        <f>0.22*1.5</f>
        <v>0.33</v>
      </c>
      <c r="J397" s="670">
        <f>IF($E397="",IFERROR(VLOOKUP($D397,SERVIÇOS!$C:$H,6,0),IFERROR(VLOOKUP($D397,$F:$M,8,0),"")),IFERROR(VLOOKUP($E397,INSUMOS!$B:$E,4,0),IFERROR(VLOOKUP($E397,COTAÇÕES!$C:$L,10,0),"")))</f>
        <v>350.94</v>
      </c>
      <c r="K397" s="615">
        <f>TRUNC(IF($E397="",IFERROR(VLOOKUP($D397,SERVIÇOS!$C:$H,4,0),IFERROR(VLOOKUP($D397,$F:$M,6,0),)),IFERROR(VLOOKUP($E397,INSUMOS!$B:$E,4,0),IFERROR(VLOOKUP($E397,COTAÇÕES!$C:$L,10,0),)))*$I397,2)</f>
        <v>115.81</v>
      </c>
      <c r="L397" s="616">
        <f>TRUNC(IF($E397="",IFERROR(VLOOKUP($D397,SERVIÇOS!$C:$H,5,0),IFERROR(VLOOKUP($D397,$F:$M,7,0),)),0)*$I397,2)</f>
        <v>0</v>
      </c>
      <c r="M397" s="617">
        <f>K397+L397</f>
        <v>115.81</v>
      </c>
      <c r="N397" s="753" t="str">
        <f t="shared" ref="N397:N400" si="205">IF($D397&lt;&gt;"","SERVIÇO SINAPI",IF($E397&lt;&gt;"","INSUMO SINAPI",""))</f>
        <v>INSUMO SINAPI</v>
      </c>
      <c r="O397" s="648"/>
    </row>
    <row r="398" spans="2:15">
      <c r="B398" s="122">
        <f t="shared" si="204"/>
        <v>69.8</v>
      </c>
      <c r="C398" s="611" t="str">
        <f t="shared" ref="C398:C400" si="206">IF(D398&lt;&gt;"","C",IF(E398&lt;&gt;"","I",""))</f>
        <v>I</v>
      </c>
      <c r="D398" s="661"/>
      <c r="E398" s="661">
        <v>37595</v>
      </c>
      <c r="F398" s="612"/>
      <c r="G398" s="613" t="str">
        <f>IF($E398="",IFERROR(VLOOKUP($D398,SERVIÇOS!$C:$H,2,0),IFERROR(VLOOKUP($D398,$F:$M,2,0),"")),IFERROR(VLOOKUP($E398,INSUMOS!$B:$E,2,0),IFERROR(VLOOKUP($E398,COTAÇÕES!$C:$L,2,0),"")))</f>
        <v xml:space="preserve">ARGAMASSA COLANTE TIPO AC III                                                                                                                                                                                                                                                                                                                                                                                                                                                                             </v>
      </c>
      <c r="H398" s="593" t="str">
        <f>IF($E398="",IFERROR(VLOOKUP($D398,SERVIÇOS!$C:$H,3,0),IFERROR(VLOOKUP($D398,$F:$M,3,0),"")),IFERROR(VLOOKUP($E398,INSUMOS!$B:$E,3,0),IFERROR(VLOOKUP($E398,COTAÇÕES!$C:$L,5,0),"")))</f>
        <v xml:space="preserve">KG    </v>
      </c>
      <c r="I398" s="614">
        <f>1.29*0.22/0.15</f>
        <v>1.8920000000000001</v>
      </c>
      <c r="J398" s="670">
        <f>IF($E398="",IFERROR(VLOOKUP($D398,SERVIÇOS!$C:$H,6,0),IFERROR(VLOOKUP($D398,$F:$M,8,0),"")),IFERROR(VLOOKUP($E398,INSUMOS!$B:$E,4,0),IFERROR(VLOOKUP($E398,COTAÇÕES!$C:$L,10,0),"")))</f>
        <v>2.15</v>
      </c>
      <c r="K398" s="615">
        <f>TRUNC(IF($E398="",IFERROR(VLOOKUP($D398,SERVIÇOS!$C:$H,4,0),IFERROR(VLOOKUP($D398,$F:$M,6,0),)),IFERROR(VLOOKUP($E398,INSUMOS!$B:$E,4,0),IFERROR(VLOOKUP($E398,COTAÇÕES!$C:$L,10,0),)))*$I398,2)</f>
        <v>4.0599999999999996</v>
      </c>
      <c r="L398" s="616">
        <f>TRUNC(IF($E398="",IFERROR(VLOOKUP($D398,SERVIÇOS!$C:$H,5,0),IFERROR(VLOOKUP($D398,$F:$M,7,0),)),0)*$I398,2)</f>
        <v>0</v>
      </c>
      <c r="M398" s="617">
        <f t="shared" ref="M398:M400" si="207">K398+L398</f>
        <v>4.0599999999999996</v>
      </c>
      <c r="N398" s="753" t="str">
        <f t="shared" si="205"/>
        <v>INSUMO SINAPI</v>
      </c>
      <c r="O398" s="648"/>
    </row>
    <row r="399" spans="2:15">
      <c r="B399" s="122">
        <f t="shared" si="204"/>
        <v>69.8</v>
      </c>
      <c r="C399" s="611" t="str">
        <f t="shared" si="206"/>
        <v>C</v>
      </c>
      <c r="D399" s="661">
        <v>88274</v>
      </c>
      <c r="E399" s="661"/>
      <c r="F399" s="612"/>
      <c r="G399" s="613" t="str">
        <f>IF($E399="",IFERROR(VLOOKUP($D399,SERVIÇOS!$C:$H,2,0),IFERROR(VLOOKUP($D399,$F:$M,2,0),"")),IFERROR(VLOOKUP($E399,INSUMOS!$B:$E,2,0),IFERROR(VLOOKUP($E399,COTAÇÕES!$C:$L,2,0),"")))</f>
        <v>MARMORISTA/GRANITEIRO COM ENCARGOS COMPLEMENTARES</v>
      </c>
      <c r="H399" s="593" t="str">
        <f>IF($E399="",IFERROR(VLOOKUP($D399,SERVIÇOS!$C:$H,3,0),IFERROR(VLOOKUP($D399,$F:$M,3,0),"")),IFERROR(VLOOKUP($E399,INSUMOS!$B:$E,3,0),IFERROR(VLOOKUP($E399,COTAÇÕES!$C:$L,5,0),"")))</f>
        <v>H</v>
      </c>
      <c r="I399" s="614">
        <f>0.547*0.22/0.15</f>
        <v>0.80226666666666679</v>
      </c>
      <c r="J399" s="670">
        <f>IF($E399="",IFERROR(VLOOKUP($D399,SERVIÇOS!$C:$H,6,0),IFERROR(VLOOKUP($D399,$F:$M,8,0),"")),IFERROR(VLOOKUP($E399,INSUMOS!$B:$E,4,0),IFERROR(VLOOKUP($E399,COTAÇÕES!$C:$L,10,0),"")))</f>
        <v>34.14</v>
      </c>
      <c r="K399" s="615">
        <f>TRUNC(IF($E399="",IFERROR(VLOOKUP($D399,SERVIÇOS!$C:$H,4,0),IFERROR(VLOOKUP($D399,$F:$M,6,0),)),IFERROR(VLOOKUP($E399,INSUMOS!$B:$E,4,0),IFERROR(VLOOKUP($E399,COTAÇÕES!$C:$L,10,0),)))*$I399,2)</f>
        <v>5.32</v>
      </c>
      <c r="L399" s="616">
        <f>TRUNC(IF($E399="",IFERROR(VLOOKUP($D399,SERVIÇOS!$C:$H,5,0),IFERROR(VLOOKUP($D399,$F:$M,7,0),)),0)*$I399,2)</f>
        <v>22.06</v>
      </c>
      <c r="M399" s="617">
        <f t="shared" si="207"/>
        <v>27.38</v>
      </c>
      <c r="N399" s="753" t="str">
        <f t="shared" si="205"/>
        <v>SERVIÇO SINAPI</v>
      </c>
      <c r="O399" s="648"/>
    </row>
    <row r="400" spans="2:15">
      <c r="B400" s="122">
        <f t="shared" si="204"/>
        <v>69.8</v>
      </c>
      <c r="C400" s="611" t="str">
        <f t="shared" si="206"/>
        <v>C</v>
      </c>
      <c r="D400" s="661">
        <v>88316</v>
      </c>
      <c r="E400" s="661"/>
      <c r="F400" s="612"/>
      <c r="G400" s="613" t="str">
        <f>IF($E400="",IFERROR(VLOOKUP($D400,SERVIÇOS!$C:$H,2,0),IFERROR(VLOOKUP($D400,$F:$M,2,0),"")),IFERROR(VLOOKUP($E400,INSUMOS!$B:$E,2,0),IFERROR(VLOOKUP($E400,COTAÇÕES!$C:$L,2,0),"")))</f>
        <v>SERVENTE COM ENCARGOS COMPLEMENTARES</v>
      </c>
      <c r="H400" s="593" t="str">
        <f>IF($E400="",IFERROR(VLOOKUP($D400,SERVIÇOS!$C:$H,3,0),IFERROR(VLOOKUP($D400,$F:$M,3,0),"")),IFERROR(VLOOKUP($E400,INSUMOS!$B:$E,3,0),IFERROR(VLOOKUP($E400,COTAÇÕES!$C:$L,5,0),"")))</f>
        <v>H</v>
      </c>
      <c r="I400" s="614">
        <f>0.273*0.22/0.15</f>
        <v>0.40040000000000003</v>
      </c>
      <c r="J400" s="670">
        <f>IF($E400="",IFERROR(VLOOKUP($D400,SERVIÇOS!$C:$H,6,0),IFERROR(VLOOKUP($D400,$F:$M,8,0),"")),IFERROR(VLOOKUP($E400,INSUMOS!$B:$E,4,0),IFERROR(VLOOKUP($E400,COTAÇÕES!$C:$L,10,0),"")))</f>
        <v>23.71</v>
      </c>
      <c r="K400" s="615">
        <f>TRUNC(IF($E400="",IFERROR(VLOOKUP($D400,SERVIÇOS!$C:$H,4,0),IFERROR(VLOOKUP($D400,$F:$M,6,0),)),IFERROR(VLOOKUP($E400,INSUMOS!$B:$E,4,0),IFERROR(VLOOKUP($E400,COTAÇÕES!$C:$L,10,0),)))*$I400,2)</f>
        <v>2.61</v>
      </c>
      <c r="L400" s="616">
        <f>TRUNC(IF($E400="",IFERROR(VLOOKUP($D400,SERVIÇOS!$C:$H,5,0),IFERROR(VLOOKUP($D400,$F:$M,7,0),)),0)*$I400,2)</f>
        <v>6.88</v>
      </c>
      <c r="M400" s="617">
        <f t="shared" si="207"/>
        <v>9.49</v>
      </c>
      <c r="N400" s="753" t="str">
        <f t="shared" si="205"/>
        <v>SERVIÇO SINAPI</v>
      </c>
      <c r="O400" s="648"/>
    </row>
    <row r="401" spans="2:15">
      <c r="B401" s="769">
        <f>SUMIF(ORC!$G$11:$G$2470,CPU!$F401,ORC!$J$11:$J$2470)</f>
        <v>10.5</v>
      </c>
      <c r="C401" s="515" t="s">
        <v>2239</v>
      </c>
      <c r="D401" s="515"/>
      <c r="E401" s="515"/>
      <c r="F401" s="515" t="s">
        <v>8676</v>
      </c>
      <c r="G401" s="594" t="s">
        <v>7191</v>
      </c>
      <c r="H401" s="515" t="s">
        <v>648</v>
      </c>
      <c r="I401" s="595"/>
      <c r="J401" s="596"/>
      <c r="K401" s="597">
        <f>SUM(K402:K406)</f>
        <v>5.1800000000000006</v>
      </c>
      <c r="L401" s="597">
        <f>SUM(L402:L406)</f>
        <v>12.09</v>
      </c>
      <c r="M401" s="596">
        <f>SUM(K401:L401)</f>
        <v>17.27</v>
      </c>
      <c r="N401" s="598"/>
      <c r="O401" s="599"/>
    </row>
    <row r="402" spans="2:15">
      <c r="B402" s="122">
        <f t="shared" ref="B402:B406" si="208">B401</f>
        <v>10.5</v>
      </c>
      <c r="C402" s="611" t="str">
        <f>IF(D402&lt;&gt;"","C",IF(E402&lt;&gt;"","I",""))</f>
        <v>C</v>
      </c>
      <c r="D402" s="661">
        <v>88309</v>
      </c>
      <c r="E402" s="661"/>
      <c r="F402" s="612"/>
      <c r="G402" s="613" t="str">
        <f>IF($E402="",IFERROR(VLOOKUP($D402,SERVIÇOS!$C:$H,2,0),IFERROR(VLOOKUP($D402,$F:$M,2,0),"")),IFERROR(VLOOKUP($E402,INSUMOS!$B:$E,2,0),IFERROR(VLOOKUP($E402,COTAÇÕES!$C:$L,2,0),"")))</f>
        <v>PEDREIRO COM ENCARGOS COMPLEMENTARES</v>
      </c>
      <c r="H402" s="593" t="str">
        <f>IF($E402="",IFERROR(VLOOKUP($D402,SERVIÇOS!$C:$H,3,0),IFERROR(VLOOKUP($D402,$F:$M,3,0),"")),IFERROR(VLOOKUP($E402,INSUMOS!$B:$E,3,0),IFERROR(VLOOKUP($E402,COTAÇÕES!$C:$L,5,0),"")))</f>
        <v>H</v>
      </c>
      <c r="I402" s="614">
        <v>0.13</v>
      </c>
      <c r="J402" s="670">
        <f>IF($E402="",IFERROR(VLOOKUP($D402,SERVIÇOS!$C:$H,6,0),IFERROR(VLOOKUP($D402,$F:$M,8,0),"")),IFERROR(VLOOKUP($E402,INSUMOS!$B:$E,4,0),IFERROR(VLOOKUP($E402,COTAÇÕES!$C:$L,10,0),"")))</f>
        <v>30.99</v>
      </c>
      <c r="K402" s="615">
        <f>TRUNC(IF($E402="",IFERROR(VLOOKUP($D402,SERVIÇOS!$C:$H,4,0),IFERROR(VLOOKUP($D402,$F:$M,6,0),)),IFERROR(VLOOKUP($E402,INSUMOS!$B:$E,4,0),IFERROR(VLOOKUP($E402,COTAÇÕES!$C:$L,10,0),)))*$I402,2)</f>
        <v>0.86</v>
      </c>
      <c r="L402" s="616">
        <f>TRUNC(IF($E402="",IFERROR(VLOOKUP($D402,SERVIÇOS!$C:$H,5,0),IFERROR(VLOOKUP($D402,$F:$M,7,0),)),0)*$I402,2)</f>
        <v>3.16</v>
      </c>
      <c r="M402" s="617">
        <f>K402+L402</f>
        <v>4.0200000000000005</v>
      </c>
      <c r="N402" s="753" t="str">
        <f t="shared" ref="N402:N406" si="209">IF($D402&lt;&gt;"","SERVIÇO SINAPI",IF($E402&lt;&gt;"","INSUMO SINAPI",""))</f>
        <v>SERVIÇO SINAPI</v>
      </c>
      <c r="O402" s="648"/>
    </row>
    <row r="403" spans="2:15">
      <c r="B403" s="122">
        <f t="shared" si="208"/>
        <v>10.5</v>
      </c>
      <c r="C403" s="611" t="str">
        <f>IF(D403&lt;&gt;"","C",IF(E403&lt;&gt;"","I",""))</f>
        <v>C</v>
      </c>
      <c r="D403" s="661">
        <v>88316</v>
      </c>
      <c r="E403" s="661"/>
      <c r="F403" s="612"/>
      <c r="G403" s="613" t="str">
        <f>IF($E403="",IFERROR(VLOOKUP($D403,SERVIÇOS!$C:$H,2,0),IFERROR(VLOOKUP($D403,$F:$M,2,0),"")),IFERROR(VLOOKUP($E403,INSUMOS!$B:$E,2,0),IFERROR(VLOOKUP($E403,COTAÇÕES!$C:$L,2,0),"")))</f>
        <v>SERVENTE COM ENCARGOS COMPLEMENTARES</v>
      </c>
      <c r="H403" s="593" t="str">
        <f>IF($E403="",IFERROR(VLOOKUP($D403,SERVIÇOS!$C:$H,3,0),IFERROR(VLOOKUP($D403,$F:$M,3,0),"")),IFERROR(VLOOKUP($E403,INSUMOS!$B:$E,3,0),IFERROR(VLOOKUP($E403,COTAÇÕES!$C:$L,5,0),"")))</f>
        <v>H</v>
      </c>
      <c r="I403" s="614">
        <v>0.52</v>
      </c>
      <c r="J403" s="670">
        <f>IF($E403="",IFERROR(VLOOKUP($D403,SERVIÇOS!$C:$H,6,0),IFERROR(VLOOKUP($D403,$F:$M,8,0),"")),IFERROR(VLOOKUP($E403,INSUMOS!$B:$E,4,0),IFERROR(VLOOKUP($E403,COTAÇÕES!$C:$L,10,0),"")))</f>
        <v>23.71</v>
      </c>
      <c r="K403" s="615">
        <f>TRUNC(IF($E403="",IFERROR(VLOOKUP($D403,SERVIÇOS!$C:$H,4,0),IFERROR(VLOOKUP($D403,$F:$M,6,0),)),IFERROR(VLOOKUP($E403,INSUMOS!$B:$E,4,0),IFERROR(VLOOKUP($E403,COTAÇÕES!$C:$L,10,0),)))*$I403,2)</f>
        <v>3.39</v>
      </c>
      <c r="L403" s="616">
        <f>TRUNC(IF($E403="",IFERROR(VLOOKUP($D403,SERVIÇOS!$C:$H,5,0),IFERROR(VLOOKUP($D403,$F:$M,7,0),)),0)*$I403,2)</f>
        <v>8.93</v>
      </c>
      <c r="M403" s="617">
        <f>K403+L403</f>
        <v>12.32</v>
      </c>
      <c r="N403" s="753" t="str">
        <f t="shared" si="209"/>
        <v>SERVIÇO SINAPI</v>
      </c>
      <c r="O403" s="648"/>
    </row>
    <row r="404" spans="2:15">
      <c r="B404" s="122">
        <f t="shared" si="208"/>
        <v>10.5</v>
      </c>
      <c r="C404" s="611" t="str">
        <f>IF(D404&lt;&gt;"","C",IF(E404&lt;&gt;"","I",""))</f>
        <v>I</v>
      </c>
      <c r="D404" s="661"/>
      <c r="E404" s="661">
        <v>1379</v>
      </c>
      <c r="F404" s="612"/>
      <c r="G404" s="613" t="str">
        <f>IF($E404="",IFERROR(VLOOKUP($D404,SERVIÇOS!$C:$H,2,0),IFERROR(VLOOKUP($D404,$F:$M,2,0),"")),IFERROR(VLOOKUP($E404,INSUMOS!$B:$E,2,0),IFERROR(VLOOKUP($E404,COTAÇÕES!$C:$L,2,0),"")))</f>
        <v xml:space="preserve">CIMENTO PORTLAND COMPOSTO CP II-32                                                                                                                                                                                                                                                                                                                                                                                                                                                                        </v>
      </c>
      <c r="H404" s="593" t="str">
        <f>IF($E404="",IFERROR(VLOOKUP($D404,SERVIÇOS!$C:$H,3,0),IFERROR(VLOOKUP($D404,$F:$M,3,0),"")),IFERROR(VLOOKUP($E404,INSUMOS!$B:$E,3,0),IFERROR(VLOOKUP($E404,COTAÇÕES!$C:$L,5,0),"")))</f>
        <v xml:space="preserve">KG    </v>
      </c>
      <c r="I404" s="614">
        <v>0.49</v>
      </c>
      <c r="J404" s="670">
        <f>IF($E404="",IFERROR(VLOOKUP($D404,SERVIÇOS!$C:$H,6,0),IFERROR(VLOOKUP($D404,$F:$M,8,0),"")),IFERROR(VLOOKUP($E404,INSUMOS!$B:$E,4,0),IFERROR(VLOOKUP($E404,COTAÇÕES!$C:$L,10,0),"")))</f>
        <v>0.67</v>
      </c>
      <c r="K404" s="615">
        <f>TRUNC(IF($E404="",IFERROR(VLOOKUP($D404,SERVIÇOS!$C:$H,4,0),IFERROR(VLOOKUP($D404,$F:$M,6,0),)),IFERROR(VLOOKUP($E404,INSUMOS!$B:$E,4,0),IFERROR(VLOOKUP($E404,COTAÇÕES!$C:$L,10,0),)))*$I404,2)</f>
        <v>0.32</v>
      </c>
      <c r="L404" s="616">
        <f>TRUNC(IF($E404="",IFERROR(VLOOKUP($D404,SERVIÇOS!$C:$H,5,0),IFERROR(VLOOKUP($D404,$F:$M,7,0),)),0)*$I404,2)</f>
        <v>0</v>
      </c>
      <c r="M404" s="617">
        <f>K404+L404</f>
        <v>0.32</v>
      </c>
      <c r="N404" s="753" t="str">
        <f t="shared" si="209"/>
        <v>INSUMO SINAPI</v>
      </c>
      <c r="O404" s="648"/>
    </row>
    <row r="405" spans="2:15">
      <c r="B405" s="122">
        <f t="shared" si="208"/>
        <v>10.5</v>
      </c>
      <c r="C405" s="611" t="str">
        <f>IF(D405&lt;&gt;"","C",IF(E405&lt;&gt;"","I",""))</f>
        <v>I</v>
      </c>
      <c r="D405" s="661"/>
      <c r="E405" s="661">
        <v>370</v>
      </c>
      <c r="F405" s="612"/>
      <c r="G405" s="613" t="str">
        <f>IF($E405="",IFERROR(VLOOKUP($D405,SERVIÇOS!$C:$H,2,0),IFERROR(VLOOKUP($D405,$F:$M,2,0),"")),IFERROR(VLOOKUP($E405,INSUMOS!$B:$E,2,0),IFERROR(VLOOKUP($E405,COTAÇÕES!$C:$L,2,0),"")))</f>
        <v xml:space="preserve">AREIA MEDIA - POSTO JAZIDA/FORNECEDOR (RETIRADO NA JAZIDA, SEM TRANSPORTE)                                                                                                                                                                                                                                                                                                                                                                                                                                </v>
      </c>
      <c r="H405" s="593" t="str">
        <f>IF($E405="",IFERROR(VLOOKUP($D405,SERVIÇOS!$C:$H,3,0),IFERROR(VLOOKUP($D405,$F:$M,3,0),"")),IFERROR(VLOOKUP($E405,INSUMOS!$B:$E,3,0),IFERROR(VLOOKUP($E405,COTAÇÕES!$C:$L,5,0),"")))</f>
        <v xml:space="preserve">M3    </v>
      </c>
      <c r="I405" s="614">
        <v>3.5999999999999999E-3</v>
      </c>
      <c r="J405" s="670">
        <f>IF($E405="",IFERROR(VLOOKUP($D405,SERVIÇOS!$C:$H,6,0),IFERROR(VLOOKUP($D405,$F:$M,8,0),"")),IFERROR(VLOOKUP($E405,INSUMOS!$B:$E,4,0),IFERROR(VLOOKUP($E405,COTAÇÕES!$C:$L,10,0),"")))</f>
        <v>81.650000000000006</v>
      </c>
      <c r="K405" s="615">
        <f>TRUNC(IF($E405="",IFERROR(VLOOKUP($D405,SERVIÇOS!$C:$H,4,0),IFERROR(VLOOKUP($D405,$F:$M,6,0),)),IFERROR(VLOOKUP($E405,INSUMOS!$B:$E,4,0),IFERROR(VLOOKUP($E405,COTAÇÕES!$C:$L,10,0),)))*$I405,2)</f>
        <v>0.28999999999999998</v>
      </c>
      <c r="L405" s="616">
        <f>TRUNC(IF($E405="",IFERROR(VLOOKUP($D405,SERVIÇOS!$C:$H,5,0),IFERROR(VLOOKUP($D405,$F:$M,7,0),)),0)*$I405,2)</f>
        <v>0</v>
      </c>
      <c r="M405" s="617">
        <f>K405+L405</f>
        <v>0.28999999999999998</v>
      </c>
      <c r="N405" s="753" t="str">
        <f t="shared" si="209"/>
        <v>INSUMO SINAPI</v>
      </c>
      <c r="O405" s="648"/>
    </row>
    <row r="406" spans="2:15">
      <c r="B406" s="122">
        <f t="shared" si="208"/>
        <v>10.5</v>
      </c>
      <c r="C406" s="611" t="str">
        <f>IF(D406&lt;&gt;"","C",IF(E406&lt;&gt;"","I",""))</f>
        <v>I</v>
      </c>
      <c r="D406" s="661"/>
      <c r="E406" s="661">
        <v>1106</v>
      </c>
      <c r="F406" s="612"/>
      <c r="G406" s="613" t="str">
        <f>IF($E406="",IFERROR(VLOOKUP($D406,SERVIÇOS!$C:$H,2,0),IFERROR(VLOOKUP($D406,$F:$M,2,0),"")),IFERROR(VLOOKUP($E406,INSUMOS!$B:$E,2,0),IFERROR(VLOOKUP($E406,COTAÇÕES!$C:$L,2,0),"")))</f>
        <v xml:space="preserve">CAL HIDRATADA CH-I PARA ARGAMASSAS                                                                                                                                                                                                                                                                                                                                                                                                                                                                        </v>
      </c>
      <c r="H406" s="593" t="str">
        <f>IF($E406="",IFERROR(VLOOKUP($D406,SERVIÇOS!$C:$H,3,0),IFERROR(VLOOKUP($D406,$F:$M,3,0),"")),IFERROR(VLOOKUP($E406,INSUMOS!$B:$E,3,0),IFERROR(VLOOKUP($E406,COTAÇÕES!$C:$L,5,0),"")))</f>
        <v xml:space="preserve">KG    </v>
      </c>
      <c r="I406" s="614">
        <v>0.49</v>
      </c>
      <c r="J406" s="670">
        <f>IF($E406="",IFERROR(VLOOKUP($D406,SERVIÇOS!$C:$H,6,0),IFERROR(VLOOKUP($D406,$F:$M,8,0),"")),IFERROR(VLOOKUP($E406,INSUMOS!$B:$E,4,0),IFERROR(VLOOKUP($E406,COTAÇÕES!$C:$L,10,0),"")))</f>
        <v>0.66</v>
      </c>
      <c r="K406" s="615">
        <f>TRUNC(IF($E406="",IFERROR(VLOOKUP($D406,SERVIÇOS!$C:$H,4,0),IFERROR(VLOOKUP($D406,$F:$M,6,0),)),IFERROR(VLOOKUP($E406,INSUMOS!$B:$E,4,0),IFERROR(VLOOKUP($E406,COTAÇÕES!$C:$L,10,0),)))*$I406,2)</f>
        <v>0.32</v>
      </c>
      <c r="L406" s="616">
        <f>TRUNC(IF($E406="",IFERROR(VLOOKUP($D406,SERVIÇOS!$C:$H,5,0),IFERROR(VLOOKUP($D406,$F:$M,7,0),)),0)*$I406,2)</f>
        <v>0</v>
      </c>
      <c r="M406" s="617">
        <f>K406+L406</f>
        <v>0.32</v>
      </c>
      <c r="N406" s="753" t="str">
        <f t="shared" si="209"/>
        <v>INSUMO SINAPI</v>
      </c>
      <c r="O406" s="648"/>
    </row>
    <row r="407" spans="2:15" ht="25.5">
      <c r="B407" s="769">
        <f>SUMIF(ORC!$G$11:$G$2470,CPU!$F407,ORC!$J$11:$J$2470)</f>
        <v>11.83</v>
      </c>
      <c r="C407" s="515" t="s">
        <v>2239</v>
      </c>
      <c r="D407" s="515"/>
      <c r="E407" s="515"/>
      <c r="F407" s="515" t="s">
        <v>8678</v>
      </c>
      <c r="G407" s="594" t="s">
        <v>8679</v>
      </c>
      <c r="H407" s="515" t="s">
        <v>649</v>
      </c>
      <c r="I407" s="595"/>
      <c r="J407" s="596"/>
      <c r="K407" s="597">
        <f>SUM(K408:K411)</f>
        <v>208.37</v>
      </c>
      <c r="L407" s="597">
        <f>SUM(L408:L411)</f>
        <v>5.62</v>
      </c>
      <c r="M407" s="596">
        <f>SUM(K407:L407)</f>
        <v>213.99</v>
      </c>
      <c r="N407" s="598" t="s">
        <v>8586</v>
      </c>
      <c r="O407" s="599" t="s">
        <v>7651</v>
      </c>
    </row>
    <row r="408" spans="2:15" ht="22.5" customHeight="1">
      <c r="B408" s="122">
        <f t="shared" ref="B408:B411" si="210">B407</f>
        <v>11.83</v>
      </c>
      <c r="C408" s="611" t="str">
        <f>IF(D408&lt;&gt;"","C",IF(E408&lt;&gt;"","I",""))</f>
        <v>I</v>
      </c>
      <c r="D408" s="661"/>
      <c r="E408" s="661" t="s">
        <v>9041</v>
      </c>
      <c r="F408" s="612"/>
      <c r="G408" s="613" t="str">
        <f>IF($E408="",IFERROR(VLOOKUP($D408,SERVIÇOS!$C:$H,2,0),IFERROR(VLOOKUP($D408,$F:$M,2,0),"")),IFERROR(VLOOKUP($E408,INSUMOS!$B:$E,2,0),IFERROR(VLOOKUP($E408,COTAÇÕES!$C:$L,2,0),"")))</f>
        <v>REVESTIMENTO VINÍLICO HETEROGÊNEO FLEXÍVEL EM RÉGUAS 184X950MM, ESPESSURA 3,2MM, COR CANELA, USO COMERCIAL</v>
      </c>
      <c r="H408" s="593" t="str">
        <f>IF($E408="",IFERROR(VLOOKUP($D408,SERVIÇOS!$C:$H,3,0),IFERROR(VLOOKUP($D408,$F:$M,3,0),"")),IFERROR(VLOOKUP($E408,INSUMOS!$B:$E,3,0),IFERROR(VLOOKUP($E408,COTAÇÕES!$C:$L,5,0),"")))</f>
        <v>M2</v>
      </c>
      <c r="I408" s="614">
        <v>1.1100000000000001</v>
      </c>
      <c r="J408" s="670">
        <f>IF($E408="",IFERROR(VLOOKUP($D408,SERVIÇOS!$C:$H,6,0),IFERROR(VLOOKUP($D408,$F:$M,8,0),"")),IFERROR(VLOOKUP($E408,INSUMOS!$B:$E,4,0),IFERROR(VLOOKUP($E408,COTAÇÕES!$C:$L,10,0),"")))</f>
        <v>182.31622489959841</v>
      </c>
      <c r="K408" s="615">
        <f>TRUNC(IF($E408="",IFERROR(VLOOKUP($D408,SERVIÇOS!$C:$H,4,0),IFERROR(VLOOKUP($D408,$F:$M,6,0),)),IFERROR(VLOOKUP($E408,INSUMOS!$B:$E,4,0),IFERROR(VLOOKUP($E408,COTAÇÕES!$C:$L,10,0),)))*$I408,2)</f>
        <v>202.37</v>
      </c>
      <c r="L408" s="616">
        <f>TRUNC(IF($E408="",IFERROR(VLOOKUP($D408,SERVIÇOS!$C:$H,5,0),IFERROR(VLOOKUP($D408,$F:$M,7,0),)),0)*$I408,2)</f>
        <v>0</v>
      </c>
      <c r="M408" s="617">
        <f>K408+L408</f>
        <v>202.37</v>
      </c>
      <c r="N408" s="753" t="s">
        <v>6845</v>
      </c>
      <c r="O408" s="648"/>
    </row>
    <row r="409" spans="2:15">
      <c r="B409" s="122">
        <f t="shared" si="210"/>
        <v>11.83</v>
      </c>
      <c r="C409" s="611" t="str">
        <f t="shared" ref="C409:C411" si="211">IF(D409&lt;&gt;"","C",IF(E409&lt;&gt;"","I",""))</f>
        <v>I</v>
      </c>
      <c r="D409" s="661"/>
      <c r="E409" s="661">
        <v>4791</v>
      </c>
      <c r="F409" s="612"/>
      <c r="G409" s="613" t="str">
        <f>IF($E409="",IFERROR(VLOOKUP($D409,SERVIÇOS!$C:$H,2,0),IFERROR(VLOOKUP($D409,$F:$M,2,0),"")),IFERROR(VLOOKUP($E409,INSUMOS!$B:$E,2,0),IFERROR(VLOOKUP($E409,COTAÇÕES!$C:$L,2,0),"")))</f>
        <v xml:space="preserve">ADESIVO ACRILICO DE BASE AQUOSA / COLA DE CONTATO                                                                                                                                                                                                                                                                                                                                                                                                                                                         </v>
      </c>
      <c r="H409" s="593" t="str">
        <f>IF($E409="",IFERROR(VLOOKUP($D409,SERVIÇOS!$C:$H,3,0),IFERROR(VLOOKUP($D409,$F:$M,3,0),"")),IFERROR(VLOOKUP($E409,INSUMOS!$B:$E,3,0),IFERROR(VLOOKUP($E409,COTAÇÕES!$C:$L,5,0),"")))</f>
        <v xml:space="preserve">KG    </v>
      </c>
      <c r="I409" s="614">
        <v>9.5000000000000001E-2</v>
      </c>
      <c r="J409" s="670">
        <f>IF($E409="",IFERROR(VLOOKUP($D409,SERVIÇOS!$C:$H,6,0),IFERROR(VLOOKUP($D409,$F:$M,8,0),"")),IFERROR(VLOOKUP($E409,INSUMOS!$B:$E,4,0),IFERROR(VLOOKUP($E409,COTAÇÕES!$C:$L,10,0),"")))</f>
        <v>45.49</v>
      </c>
      <c r="K409" s="615">
        <f>TRUNC(IF($E409="",IFERROR(VLOOKUP($D409,SERVIÇOS!$C:$H,4,0),IFERROR(VLOOKUP($D409,$F:$M,6,0),)),IFERROR(VLOOKUP($E409,INSUMOS!$B:$E,4,0),IFERROR(VLOOKUP($E409,COTAÇÕES!$C:$L,10,0),)))*$I409,2)</f>
        <v>4.32</v>
      </c>
      <c r="L409" s="616">
        <f>TRUNC(IF($E409="",IFERROR(VLOOKUP($D409,SERVIÇOS!$C:$H,5,0),IFERROR(VLOOKUP($D409,$F:$M,7,0),)),0)*$I409,2)</f>
        <v>0</v>
      </c>
      <c r="M409" s="617">
        <f t="shared" ref="M409:M411" si="212">K409+L409</f>
        <v>4.32</v>
      </c>
      <c r="N409" s="753" t="str">
        <f t="shared" ref="N409:N411" si="213">IF($D409&lt;&gt;"","SERVIÇO SINAPI",IF($E409&lt;&gt;"","INSUMO SINAPI",""))</f>
        <v>INSUMO SINAPI</v>
      </c>
      <c r="O409" s="648"/>
    </row>
    <row r="410" spans="2:15">
      <c r="B410" s="122">
        <f t="shared" si="210"/>
        <v>11.83</v>
      </c>
      <c r="C410" s="611" t="str">
        <f t="shared" si="211"/>
        <v>C</v>
      </c>
      <c r="D410" s="661">
        <v>88309</v>
      </c>
      <c r="E410" s="661"/>
      <c r="F410" s="612"/>
      <c r="G410" s="613" t="str">
        <f>IF($E410="",IFERROR(VLOOKUP($D410,SERVIÇOS!$C:$H,2,0),IFERROR(VLOOKUP($D410,$F:$M,2,0),"")),IFERROR(VLOOKUP($E410,INSUMOS!$B:$E,2,0),IFERROR(VLOOKUP($E410,COTAÇÕES!$C:$L,2,0),"")))</f>
        <v>PEDREIRO COM ENCARGOS COMPLEMENTARES</v>
      </c>
      <c r="H410" s="593" t="str">
        <f>IF($E410="",IFERROR(VLOOKUP($D410,SERVIÇOS!$C:$H,3,0),IFERROR(VLOOKUP($D410,$F:$M,3,0),"")),IFERROR(VLOOKUP($E410,INSUMOS!$B:$E,3,0),IFERROR(VLOOKUP($E410,COTAÇÕES!$C:$L,5,0),"")))</f>
        <v>H</v>
      </c>
      <c r="I410" s="614">
        <v>0.17100000000000001</v>
      </c>
      <c r="J410" s="670">
        <f>IF($E410="",IFERROR(VLOOKUP($D410,SERVIÇOS!$C:$H,6,0),IFERROR(VLOOKUP($D410,$F:$M,8,0),"")),IFERROR(VLOOKUP($E410,INSUMOS!$B:$E,4,0),IFERROR(VLOOKUP($E410,COTAÇÕES!$C:$L,10,0),"")))</f>
        <v>30.99</v>
      </c>
      <c r="K410" s="615">
        <f>TRUNC(IF($E410="",IFERROR(VLOOKUP($D410,SERVIÇOS!$C:$H,4,0),IFERROR(VLOOKUP($D410,$F:$M,6,0),)),IFERROR(VLOOKUP($E410,INSUMOS!$B:$E,4,0),IFERROR(VLOOKUP($E410,COTAÇÕES!$C:$L,10,0),)))*$I410,2)</f>
        <v>1.1299999999999999</v>
      </c>
      <c r="L410" s="616">
        <f>TRUNC(IF($E410="",IFERROR(VLOOKUP($D410,SERVIÇOS!$C:$H,5,0),IFERROR(VLOOKUP($D410,$F:$M,7,0),)),0)*$I410,2)</f>
        <v>4.16</v>
      </c>
      <c r="M410" s="617">
        <f t="shared" si="212"/>
        <v>5.29</v>
      </c>
      <c r="N410" s="753" t="str">
        <f t="shared" si="213"/>
        <v>SERVIÇO SINAPI</v>
      </c>
      <c r="O410" s="648"/>
    </row>
    <row r="411" spans="2:15">
      <c r="B411" s="122">
        <f t="shared" si="210"/>
        <v>11.83</v>
      </c>
      <c r="C411" s="611" t="str">
        <f t="shared" si="211"/>
        <v>C</v>
      </c>
      <c r="D411" s="661">
        <v>88316</v>
      </c>
      <c r="E411" s="661"/>
      <c r="F411" s="612"/>
      <c r="G411" s="613" t="str">
        <f>IF($E411="",IFERROR(VLOOKUP($D411,SERVIÇOS!$C:$H,2,0),IFERROR(VLOOKUP($D411,$F:$M,2,0),"")),IFERROR(VLOOKUP($E411,INSUMOS!$B:$E,2,0),IFERROR(VLOOKUP($E411,COTAÇÕES!$C:$L,2,0),"")))</f>
        <v>SERVENTE COM ENCARGOS COMPLEMENTARES</v>
      </c>
      <c r="H411" s="593" t="str">
        <f>IF($E411="",IFERROR(VLOOKUP($D411,SERVIÇOS!$C:$H,3,0),IFERROR(VLOOKUP($D411,$F:$M,3,0),"")),IFERROR(VLOOKUP($E411,INSUMOS!$B:$E,3,0),IFERROR(VLOOKUP($E411,COTAÇÕES!$C:$L,5,0),"")))</f>
        <v>H</v>
      </c>
      <c r="I411" s="614">
        <v>8.5000000000000006E-2</v>
      </c>
      <c r="J411" s="670">
        <f>IF($E411="",IFERROR(VLOOKUP($D411,SERVIÇOS!$C:$H,6,0),IFERROR(VLOOKUP($D411,$F:$M,8,0),"")),IFERROR(VLOOKUP($E411,INSUMOS!$B:$E,4,0),IFERROR(VLOOKUP($E411,COTAÇÕES!$C:$L,10,0),"")))</f>
        <v>23.71</v>
      </c>
      <c r="K411" s="615">
        <f>TRUNC(IF($E411="",IFERROR(VLOOKUP($D411,SERVIÇOS!$C:$H,4,0),IFERROR(VLOOKUP($D411,$F:$M,6,0),)),IFERROR(VLOOKUP($E411,INSUMOS!$B:$E,4,0),IFERROR(VLOOKUP($E411,COTAÇÕES!$C:$L,10,0),)))*$I411,2)</f>
        <v>0.55000000000000004</v>
      </c>
      <c r="L411" s="616">
        <f>TRUNC(IF($E411="",IFERROR(VLOOKUP($D411,SERVIÇOS!$C:$H,5,0),IFERROR(VLOOKUP($D411,$F:$M,7,0),)),0)*$I411,2)</f>
        <v>1.46</v>
      </c>
      <c r="M411" s="617">
        <f t="shared" si="212"/>
        <v>2.0099999999999998</v>
      </c>
      <c r="N411" s="753" t="str">
        <f t="shared" si="213"/>
        <v>SERVIÇO SINAPI</v>
      </c>
      <c r="O411" s="648"/>
    </row>
    <row r="412" spans="2:15">
      <c r="B412" s="769">
        <f>SUMIF(ORC!$G$11:$G$2470,CPU!$F412,ORC!$J$11:$J$2470)</f>
        <v>491.46</v>
      </c>
      <c r="C412" s="515" t="s">
        <v>2239</v>
      </c>
      <c r="D412" s="515"/>
      <c r="E412" s="515"/>
      <c r="F412" s="515" t="s">
        <v>8881</v>
      </c>
      <c r="G412" s="594" t="s">
        <v>9152</v>
      </c>
      <c r="H412" s="515" t="s">
        <v>648</v>
      </c>
      <c r="I412" s="595"/>
      <c r="J412" s="596"/>
      <c r="K412" s="597">
        <f>SUM(K413:K415)</f>
        <v>19.46</v>
      </c>
      <c r="L412" s="597">
        <f>SUM(L413:L415)</f>
        <v>6.88</v>
      </c>
      <c r="M412" s="596">
        <f>SUM(K412:L412)</f>
        <v>26.34</v>
      </c>
      <c r="N412" s="598" t="s">
        <v>8882</v>
      </c>
      <c r="O412" s="599" t="s">
        <v>7651</v>
      </c>
    </row>
    <row r="413" spans="2:15">
      <c r="B413" s="122">
        <f t="shared" ref="B413:B417" si="214">B412</f>
        <v>491.46</v>
      </c>
      <c r="C413" s="611" t="str">
        <f>IF(D413&lt;&gt;"","C",IF(E413&lt;&gt;"","I",""))</f>
        <v>C</v>
      </c>
      <c r="D413" s="661">
        <v>88309</v>
      </c>
      <c r="E413" s="661"/>
      <c r="F413" s="612"/>
      <c r="G413" s="613" t="str">
        <f>IF($E413="",IFERROR(VLOOKUP($D413,SERVIÇOS!$C:$H,2,0),IFERROR(VLOOKUP($D413,$F:$M,2,0),"")),IFERROR(VLOOKUP($E413,INSUMOS!$B:$E,2,0),IFERROR(VLOOKUP($E413,COTAÇÕES!$C:$L,2,0),"")))</f>
        <v>PEDREIRO COM ENCARGOS COMPLEMENTARES</v>
      </c>
      <c r="H413" s="593" t="str">
        <f>IF($E413="",IFERROR(VLOOKUP($D413,SERVIÇOS!$C:$H,3,0),IFERROR(VLOOKUP($D413,$F:$M,3,0),"")),IFERROR(VLOOKUP($E413,INSUMOS!$B:$E,3,0),IFERROR(VLOOKUP($E413,COTAÇÕES!$C:$L,5,0),"")))</f>
        <v>H</v>
      </c>
      <c r="I413" s="614">
        <v>0.17</v>
      </c>
      <c r="J413" s="670">
        <f>IF($E413="",IFERROR(VLOOKUP($D413,SERVIÇOS!$C:$H,6,0),IFERROR(VLOOKUP($D413,$F:$M,8,0),"")),IFERROR(VLOOKUP($E413,INSUMOS!$B:$E,4,0),IFERROR(VLOOKUP($E413,COTAÇÕES!$C:$L,10,0),"")))</f>
        <v>30.99</v>
      </c>
      <c r="K413" s="615">
        <f>TRUNC(IF($E413="",IFERROR(VLOOKUP($D413,SERVIÇOS!$C:$H,4,0),IFERROR(VLOOKUP($D413,$F:$M,6,0),)),IFERROR(VLOOKUP($E413,INSUMOS!$B:$E,4,0),IFERROR(VLOOKUP($E413,COTAÇÕES!$C:$L,10,0),)))*$I413,2)</f>
        <v>1.1200000000000001</v>
      </c>
      <c r="L413" s="616">
        <f>TRUNC(IF($E413="",IFERROR(VLOOKUP($D413,SERVIÇOS!$C:$H,5,0),IFERROR(VLOOKUP($D413,$F:$M,7,0),)),0)*$I413,2)</f>
        <v>4.13</v>
      </c>
      <c r="M413" s="617">
        <f>K413+L413</f>
        <v>5.25</v>
      </c>
      <c r="N413" s="753" t="str">
        <f t="shared" ref="N413:N414" si="215">IF($D413&lt;&gt;"","SERVIÇO SINAPI",IF($E413&lt;&gt;"","INSUMO SINAPI",""))</f>
        <v>SERVIÇO SINAPI</v>
      </c>
      <c r="O413" s="648"/>
    </row>
    <row r="414" spans="2:15">
      <c r="B414" s="122">
        <f t="shared" si="214"/>
        <v>491.46</v>
      </c>
      <c r="C414" s="611" t="str">
        <f t="shared" ref="C414:C415" si="216">IF(D414&lt;&gt;"","C",IF(E414&lt;&gt;"","I",""))</f>
        <v>C</v>
      </c>
      <c r="D414" s="661">
        <v>88316</v>
      </c>
      <c r="E414" s="661"/>
      <c r="F414" s="612"/>
      <c r="G414" s="613" t="str">
        <f>IF($E414="",IFERROR(VLOOKUP($D414,SERVIÇOS!$C:$H,2,0),IFERROR(VLOOKUP($D414,$F:$M,2,0),"")),IFERROR(VLOOKUP($E414,INSUMOS!$B:$E,2,0),IFERROR(VLOOKUP($E414,COTAÇÕES!$C:$L,2,0),"")))</f>
        <v>SERVENTE COM ENCARGOS COMPLEMENTARES</v>
      </c>
      <c r="H414" s="593" t="str">
        <f>IF($E414="",IFERROR(VLOOKUP($D414,SERVIÇOS!$C:$H,3,0),IFERROR(VLOOKUP($D414,$F:$M,3,0),"")),IFERROR(VLOOKUP($E414,INSUMOS!$B:$E,3,0),IFERROR(VLOOKUP($E414,COTAÇÕES!$C:$L,5,0),"")))</f>
        <v>H</v>
      </c>
      <c r="I414" s="614">
        <v>0.16</v>
      </c>
      <c r="J414" s="670">
        <f>IF($E414="",IFERROR(VLOOKUP($D414,SERVIÇOS!$C:$H,6,0),IFERROR(VLOOKUP($D414,$F:$M,8,0),"")),IFERROR(VLOOKUP($E414,INSUMOS!$B:$E,4,0),IFERROR(VLOOKUP($E414,COTAÇÕES!$C:$L,10,0),"")))</f>
        <v>23.71</v>
      </c>
      <c r="K414" s="615">
        <f>TRUNC(IF($E414="",IFERROR(VLOOKUP($D414,SERVIÇOS!$C:$H,4,0),IFERROR(VLOOKUP($D414,$F:$M,6,0),)),IFERROR(VLOOKUP($E414,INSUMOS!$B:$E,4,0),IFERROR(VLOOKUP($E414,COTAÇÕES!$C:$L,10,0),)))*$I414,2)</f>
        <v>1.04</v>
      </c>
      <c r="L414" s="616">
        <f>TRUNC(IF($E414="",IFERROR(VLOOKUP($D414,SERVIÇOS!$C:$H,5,0),IFERROR(VLOOKUP($D414,$F:$M,7,0),)),0)*$I414,2)</f>
        <v>2.75</v>
      </c>
      <c r="M414" s="617">
        <f t="shared" ref="M414:M415" si="217">K414+L414</f>
        <v>3.79</v>
      </c>
      <c r="N414" s="753" t="str">
        <f t="shared" si="215"/>
        <v>SERVIÇO SINAPI</v>
      </c>
      <c r="O414" s="648"/>
    </row>
    <row r="415" spans="2:15">
      <c r="B415" s="122">
        <f t="shared" si="214"/>
        <v>491.46</v>
      </c>
      <c r="C415" s="611" t="str">
        <f t="shared" si="216"/>
        <v>I</v>
      </c>
      <c r="D415" s="661"/>
      <c r="E415" s="661" t="s">
        <v>9046</v>
      </c>
      <c r="F415" s="612"/>
      <c r="G415" s="613" t="str">
        <f>IF($E415="",IFERROR(VLOOKUP($D415,SERVIÇOS!$C:$H,2,0),IFERROR(VLOOKUP($D415,$F:$M,2,0),"")),IFERROR(VLOOKUP($E415,INSUMOS!$B:$E,2,0),IFERROR(VLOOKUP($E415,COTAÇÕES!$C:$L,2,0),"")))</f>
        <v>RODAPÉ DE EVA AUTOCOLANTE COM ALTURA DE 7CM, COR BRANCA</v>
      </c>
      <c r="H415" s="593" t="str">
        <f>IF($E415="",IFERROR(VLOOKUP($D415,SERVIÇOS!$C:$H,3,0),IFERROR(VLOOKUP($D415,$F:$M,3,0),"")),IFERROR(VLOOKUP($E415,INSUMOS!$B:$E,3,0),IFERROR(VLOOKUP($E415,COTAÇÕES!$C:$L,5,0),"")))</f>
        <v>M</v>
      </c>
      <c r="I415" s="614">
        <v>1.1000000000000001</v>
      </c>
      <c r="J415" s="670">
        <f>IF($E415="",IFERROR(VLOOKUP($D415,SERVIÇOS!$C:$H,6,0),IFERROR(VLOOKUP($D415,$F:$M,8,0),"")),IFERROR(VLOOKUP($E415,INSUMOS!$B:$E,4,0),IFERROR(VLOOKUP($E415,COTAÇÕES!$C:$L,10,0),"")))</f>
        <v>15.735666666666665</v>
      </c>
      <c r="K415" s="615">
        <f>TRUNC(IF($E415="",IFERROR(VLOOKUP($D415,SERVIÇOS!$C:$H,4,0),IFERROR(VLOOKUP($D415,$F:$M,6,0),)),IFERROR(VLOOKUP($E415,INSUMOS!$B:$E,4,0),IFERROR(VLOOKUP($E415,COTAÇÕES!$C:$L,10,0),)))*$I415,2)</f>
        <v>17.3</v>
      </c>
      <c r="L415" s="616">
        <f>TRUNC(IF($E415="",IFERROR(VLOOKUP($D415,SERVIÇOS!$C:$H,5,0),IFERROR(VLOOKUP($D415,$F:$M,7,0),)),0)*$I415,2)</f>
        <v>0</v>
      </c>
      <c r="M415" s="617">
        <f t="shared" si="217"/>
        <v>17.3</v>
      </c>
      <c r="N415" s="753" t="s">
        <v>6845</v>
      </c>
      <c r="O415" s="648"/>
    </row>
    <row r="416" spans="2:15">
      <c r="B416" s="769">
        <f>SUMIF(ORC!$G$11:$G$2470,CPU!$F416,ORC!$J$11:$J$2470)</f>
        <v>105.6</v>
      </c>
      <c r="C416" s="515" t="s">
        <v>2239</v>
      </c>
      <c r="D416" s="515"/>
      <c r="E416" s="515"/>
      <c r="F416" s="515" t="s">
        <v>14575</v>
      </c>
      <c r="G416" s="594" t="s">
        <v>14576</v>
      </c>
      <c r="H416" s="515" t="s">
        <v>649</v>
      </c>
      <c r="I416" s="595"/>
      <c r="J416" s="596"/>
      <c r="K416" s="597">
        <f>SUM(K417:K417)</f>
        <v>0.32</v>
      </c>
      <c r="L416" s="597">
        <f>SUM(L417:L417)</f>
        <v>0.85</v>
      </c>
      <c r="M416" s="596">
        <f>SUM(K416:L416)</f>
        <v>1.17</v>
      </c>
      <c r="N416" s="598" t="s">
        <v>14577</v>
      </c>
      <c r="O416" s="599" t="s">
        <v>7651</v>
      </c>
    </row>
    <row r="417" spans="1:15">
      <c r="B417" s="122">
        <f t="shared" si="214"/>
        <v>105.6</v>
      </c>
      <c r="C417" s="611" t="str">
        <f>IF(D417&lt;&gt;"","C",IF(E417&lt;&gt;"","I",""))</f>
        <v>C</v>
      </c>
      <c r="D417" s="661">
        <v>88316</v>
      </c>
      <c r="E417" s="661"/>
      <c r="F417" s="612"/>
      <c r="G417" s="613" t="str">
        <f>IF($E417="",IFERROR(VLOOKUP($D417,SERVIÇOS!$C:$H,2,0),IFERROR(VLOOKUP($D417,$F:$M,2,0),"")),IFERROR(VLOOKUP($E417,INSUMOS!$B:$E,2,0),IFERROR(VLOOKUP($E417,COTAÇÕES!$C:$L,2,0),"")))</f>
        <v>SERVENTE COM ENCARGOS COMPLEMENTARES</v>
      </c>
      <c r="H417" s="593" t="str">
        <f>IF($E417="",IFERROR(VLOOKUP($D417,SERVIÇOS!$C:$H,3,0),IFERROR(VLOOKUP($D417,$F:$M,3,0),"")),IFERROR(VLOOKUP($E417,INSUMOS!$B:$E,3,0),IFERROR(VLOOKUP($E417,COTAÇÕES!$C:$L,5,0),"")))</f>
        <v>H</v>
      </c>
      <c r="I417" s="614">
        <v>0.05</v>
      </c>
      <c r="J417" s="670">
        <f>IF($E417="",IFERROR(VLOOKUP($D417,SERVIÇOS!$C:$H,6,0),IFERROR(VLOOKUP($D417,$F:$M,8,0),"")),IFERROR(VLOOKUP($E417,INSUMOS!$B:$E,4,0),IFERROR(VLOOKUP($E417,COTAÇÕES!$C:$L,10,0),"")))</f>
        <v>23.71</v>
      </c>
      <c r="K417" s="615">
        <f>TRUNC(IF($E417="",IFERROR(VLOOKUP($D417,SERVIÇOS!$C:$H,4,0),IFERROR(VLOOKUP($D417,$F:$M,6,0),)),IFERROR(VLOOKUP($E417,INSUMOS!$B:$E,4,0),IFERROR(VLOOKUP($E417,COTAÇÕES!$C:$L,10,0),)))*$I417,2)</f>
        <v>0.32</v>
      </c>
      <c r="L417" s="616">
        <f>TRUNC(IF($E417="",IFERROR(VLOOKUP($D417,SERVIÇOS!$C:$H,5,0),IFERROR(VLOOKUP($D417,$F:$M,7,0),)),0)*$I417,2)</f>
        <v>0.85</v>
      </c>
      <c r="M417" s="617">
        <f>K417+L417</f>
        <v>1.17</v>
      </c>
      <c r="N417" s="753" t="str">
        <f t="shared" ref="N417" si="218">IF($D417&lt;&gt;"","SERVIÇO SINAPI",IF($E417&lt;&gt;"","INSUMO SINAPI",""))</f>
        <v>SERVIÇO SINAPI</v>
      </c>
      <c r="O417" s="648"/>
    </row>
    <row r="418" spans="1:15" s="893" customFormat="1">
      <c r="A418" s="893" t="s">
        <v>7479</v>
      </c>
      <c r="C418" s="607"/>
      <c r="D418" s="607"/>
      <c r="E418" s="607"/>
      <c r="F418" s="608"/>
      <c r="G418" s="609" t="s">
        <v>5270</v>
      </c>
      <c r="H418" s="608"/>
      <c r="I418" s="608"/>
      <c r="J418" s="608"/>
      <c r="K418" s="608"/>
      <c r="L418" s="608"/>
      <c r="M418" s="608"/>
      <c r="N418" s="754"/>
      <c r="O418" s="607"/>
    </row>
    <row r="419" spans="1:15" ht="25.5">
      <c r="B419" s="769">
        <f>SUMIF(ORC!$G$11:$G$2470,CPU!$F419,ORC!$J$11:$J$2470)</f>
        <v>10</v>
      </c>
      <c r="C419" s="458" t="s">
        <v>2239</v>
      </c>
      <c r="D419" s="458"/>
      <c r="E419" s="458"/>
      <c r="F419" s="458" t="s">
        <v>6507</v>
      </c>
      <c r="G419" s="634" t="s">
        <v>6789</v>
      </c>
      <c r="H419" s="458" t="s">
        <v>646</v>
      </c>
      <c r="I419" s="635"/>
      <c r="J419" s="636"/>
      <c r="K419" s="636">
        <f>TRUNC(SUM(K420:K428),2)</f>
        <v>80.36</v>
      </c>
      <c r="L419" s="636">
        <f>TRUNC(SUM(L420:L428),2)</f>
        <v>8.99</v>
      </c>
      <c r="M419" s="636">
        <f>TRUNC(SUM(M420:M428),2)</f>
        <v>89.35</v>
      </c>
      <c r="N419" s="755" t="s">
        <v>6790</v>
      </c>
      <c r="O419" s="639"/>
    </row>
    <row r="420" spans="1:15">
      <c r="B420" s="122">
        <f t="shared" ref="B420:B428" si="219">B419</f>
        <v>10</v>
      </c>
      <c r="C420" s="611" t="str">
        <f t="shared" ref="C420:C428" si="220">IF(D420&lt;&gt;"","C",IF(E420&lt;&gt;"","I",""))</f>
        <v>C</v>
      </c>
      <c r="D420" s="666">
        <v>88248</v>
      </c>
      <c r="E420" s="661"/>
      <c r="F420" s="612"/>
      <c r="G420" s="613" t="str">
        <f>IF($E420="",IFERROR(VLOOKUP($D420,SERVIÇOS!$C:$H,2,0),IFERROR(VLOOKUP($D420,$F:$M,2,0),"")),IFERROR(VLOOKUP($E420,INSUMOS!$B:$E,2,0),IFERROR(VLOOKUP($E420,COTAÇÕES!$C:$L,2,0),"")))</f>
        <v>AUXILIAR DE ENCANADOR OU BOMBEIRO HIDRÁULICO COM ENCARGOS COMPLEMENTARES</v>
      </c>
      <c r="H420" s="593" t="str">
        <f>IF($E420="",IFERROR(VLOOKUP($D420,SERVIÇOS!$C:$H,3,0),IFERROR(VLOOKUP($D420,$F:$M,3,0),"")),IFERROR(VLOOKUP($E420,INSUMOS!$B:$E,3,0),IFERROR(VLOOKUP($E420,COTAÇÕES!$C:$L,5,0),"")))</f>
        <v>H</v>
      </c>
      <c r="I420" s="638">
        <v>0.21</v>
      </c>
      <c r="J420" s="670">
        <f>IF($E420="",IFERROR(VLOOKUP($D420,SERVIÇOS!$C:$H,6,0),IFERROR(VLOOKUP($D420,$F:$M,8,0),"")),IFERROR(VLOOKUP($E420,INSUMOS!$B:$E,4,0),IFERROR(VLOOKUP($E420,COTAÇÕES!$C:$L,10,0),"")))</f>
        <v>24.65</v>
      </c>
      <c r="K420" s="615">
        <f>TRUNC(IF($E420="",IFERROR(VLOOKUP($D420,SERVIÇOS!$C:$H,4,0),IFERROR(VLOOKUP($D420,$F:$M,6,0),)),IFERROR(VLOOKUP($E420,INSUMOS!$B:$E,4,0),IFERROR(VLOOKUP($E420,COTAÇÕES!$C:$L,10,0),)))*$I420,2)</f>
        <v>1.27</v>
      </c>
      <c r="L420" s="616">
        <f>TRUNC(IF($E420="",IFERROR(VLOOKUP($D420,SERVIÇOS!$C:$H,5,0),IFERROR(VLOOKUP($D420,$F:$M,7,0),)),0)*$I420,2)</f>
        <v>3.9</v>
      </c>
      <c r="M420" s="617">
        <f t="shared" ref="M420:M428" si="221">K420+L420</f>
        <v>5.17</v>
      </c>
      <c r="N420" s="753" t="str">
        <f>IF($D420&lt;&gt;"","SERVIÇO SINAPI",IF($E420&lt;&gt;"","INSUMO SINAPI",""))</f>
        <v>SERVIÇO SINAPI</v>
      </c>
      <c r="O420" s="605"/>
    </row>
    <row r="421" spans="1:15">
      <c r="B421" s="122">
        <f t="shared" si="219"/>
        <v>10</v>
      </c>
      <c r="C421" s="611" t="str">
        <f t="shared" si="220"/>
        <v>C</v>
      </c>
      <c r="D421" s="666">
        <v>88267</v>
      </c>
      <c r="E421" s="661"/>
      <c r="F421" s="612"/>
      <c r="G421" s="613" t="str">
        <f>IF($E421="",IFERROR(VLOOKUP($D421,SERVIÇOS!$C:$H,2,0),IFERROR(VLOOKUP($D421,$F:$M,2,0),"")),IFERROR(VLOOKUP($E421,INSUMOS!$B:$E,2,0),IFERROR(VLOOKUP($E421,COTAÇÕES!$C:$L,2,0),"")))</f>
        <v>ENCANADOR OU BOMBEIRO HIDRÁULICO COM ENCARGOS COMPLEMENTARES</v>
      </c>
      <c r="H421" s="593" t="str">
        <f>IF($E421="",IFERROR(VLOOKUP($D421,SERVIÇOS!$C:$H,3,0),IFERROR(VLOOKUP($D421,$F:$M,3,0),"")),IFERROR(VLOOKUP($E421,INSUMOS!$B:$E,3,0),IFERROR(VLOOKUP($E421,COTAÇÕES!$C:$L,5,0),"")))</f>
        <v>H</v>
      </c>
      <c r="I421" s="638">
        <v>0.21</v>
      </c>
      <c r="J421" s="670">
        <f>IF($E421="",IFERROR(VLOOKUP($D421,SERVIÇOS!$C:$H,6,0),IFERROR(VLOOKUP($D421,$F:$M,8,0),"")),IFERROR(VLOOKUP($E421,INSUMOS!$B:$E,4,0),IFERROR(VLOOKUP($E421,COTAÇÕES!$C:$L,10,0),"")))</f>
        <v>30.35</v>
      </c>
      <c r="K421" s="615">
        <f>TRUNC(IF($E421="",IFERROR(VLOOKUP($D421,SERVIÇOS!$C:$H,4,0),IFERROR(VLOOKUP($D421,$F:$M,6,0),)),IFERROR(VLOOKUP($E421,INSUMOS!$B:$E,4,0),IFERROR(VLOOKUP($E421,COTAÇÕES!$C:$L,10,0),)))*$I421,2)</f>
        <v>1.27</v>
      </c>
      <c r="L421" s="616">
        <f>TRUNC(IF($E421="",IFERROR(VLOOKUP($D421,SERVIÇOS!$C:$H,5,0),IFERROR(VLOOKUP($D421,$F:$M,7,0),)),0)*$I421,2)</f>
        <v>5.09</v>
      </c>
      <c r="M421" s="617">
        <f t="shared" si="221"/>
        <v>6.3599999999999994</v>
      </c>
      <c r="N421" s="753" t="str">
        <f>IF($D421&lt;&gt;"","SERVIÇO SINAPI",IF($E421&lt;&gt;"","INSUMO SINAPI",""))</f>
        <v>SERVIÇO SINAPI</v>
      </c>
      <c r="O421" s="605"/>
    </row>
    <row r="422" spans="1:15">
      <c r="B422" s="122">
        <f t="shared" si="219"/>
        <v>10</v>
      </c>
      <c r="C422" s="611" t="str">
        <f t="shared" si="220"/>
        <v>I</v>
      </c>
      <c r="D422" s="666"/>
      <c r="E422" s="661">
        <v>122</v>
      </c>
      <c r="F422" s="612"/>
      <c r="G422" s="613" t="str">
        <f>IF($E422="",IFERROR(VLOOKUP($D422,SERVIÇOS!$C:$H,2,0),IFERROR(VLOOKUP($D422,$F:$M,2,0),"")),IFERROR(VLOOKUP($E422,INSUMOS!$B:$E,2,0),IFERROR(VLOOKUP($E422,COTAÇÕES!$C:$L,2,0),"")))</f>
        <v xml:space="preserve">ADESIVO PLASTICO PARA PVC, FRASCO COM *850* GR                                                                                                                                                                                                                                                                                                                                                                                                                                                            </v>
      </c>
      <c r="H422" s="593" t="str">
        <f>IF($E422="",IFERROR(VLOOKUP($D422,SERVIÇOS!$C:$H,3,0),IFERROR(VLOOKUP($D422,$F:$M,3,0),"")),IFERROR(VLOOKUP($E422,INSUMOS!$B:$E,3,0),IFERROR(VLOOKUP($E422,COTAÇÕES!$C:$L,5,0),"")))</f>
        <v xml:space="preserve">UN    </v>
      </c>
      <c r="I422" s="638">
        <v>1.4800000000000001E-2</v>
      </c>
      <c r="J422" s="670">
        <f>IF($E422="",IFERROR(VLOOKUP($D422,SERVIÇOS!$C:$H,6,0),IFERROR(VLOOKUP($D422,$F:$M,8,0),"")),IFERROR(VLOOKUP($E422,INSUMOS!$B:$E,4,0),IFERROR(VLOOKUP($E422,COTAÇÕES!$C:$L,10,0),"")))</f>
        <v>72.55</v>
      </c>
      <c r="K422" s="615">
        <f>TRUNC(IF($E422="",IFERROR(VLOOKUP($D422,SERVIÇOS!$C:$H,4,0),IFERROR(VLOOKUP($D422,$F:$M,6,0),)),IFERROR(VLOOKUP($E422,INSUMOS!$B:$E,4,0),IFERROR(VLOOKUP($E422,COTAÇÕES!$C:$L,10,0),)))*$I422,2)</f>
        <v>1.07</v>
      </c>
      <c r="L422" s="616">
        <f>TRUNC(IF($E422="",IFERROR(VLOOKUP($D422,SERVIÇOS!$C:$H,5,0),IFERROR(VLOOKUP($D422,$F:$M,7,0),)),0)*$I422,2)</f>
        <v>0</v>
      </c>
      <c r="M422" s="617">
        <f t="shared" si="221"/>
        <v>1.07</v>
      </c>
      <c r="N422" s="753" t="str">
        <f>IF($D422&lt;&gt;"","SERVIÇO SINAPI",IF($E422&lt;&gt;"","INSUMO SINAPI",""))</f>
        <v>INSUMO SINAPI</v>
      </c>
      <c r="O422" s="605"/>
    </row>
    <row r="423" spans="1:15">
      <c r="B423" s="122">
        <f t="shared" si="219"/>
        <v>10</v>
      </c>
      <c r="C423" s="611" t="str">
        <f t="shared" si="220"/>
        <v>I</v>
      </c>
      <c r="D423" s="666"/>
      <c r="E423" s="661">
        <v>298</v>
      </c>
      <c r="F423" s="612"/>
      <c r="G423" s="613" t="str">
        <f>IF($E423="",IFERROR(VLOOKUP($D423,SERVIÇOS!$C:$H,2,0),IFERROR(VLOOKUP($D423,$F:$M,2,0),"")),IFERROR(VLOOKUP($E423,INSUMOS!$B:$E,2,0),IFERROR(VLOOKUP($E423,COTAÇÕES!$C:$L,2,0),"")))</f>
        <v xml:space="preserve">ANEL BORRACHA, DN 75 MM, PARA TUBO SERIE REFORCADA ESGOTO PREDIAL                                                                                                                                                                                                                                                                                                                                                                                                                                         </v>
      </c>
      <c r="H423" s="593" t="str">
        <f>IF($E423="",IFERROR(VLOOKUP($D423,SERVIÇOS!$C:$H,3,0),IFERROR(VLOOKUP($D423,$F:$M,3,0),"")),IFERROR(VLOOKUP($E423,INSUMOS!$B:$E,3,0),IFERROR(VLOOKUP($E423,COTAÇÕES!$C:$L,5,0),"")))</f>
        <v xml:space="preserve">UN    </v>
      </c>
      <c r="I423" s="638">
        <v>1</v>
      </c>
      <c r="J423" s="670">
        <f>IF($E423="",IFERROR(VLOOKUP($D423,SERVIÇOS!$C:$H,6,0),IFERROR(VLOOKUP($D423,$F:$M,8,0),"")),IFERROR(VLOOKUP($E423,INSUMOS!$B:$E,4,0),IFERROR(VLOOKUP($E423,COTAÇÕES!$C:$L,10,0),"")))</f>
        <v>2.4300000000000002</v>
      </c>
      <c r="K423" s="615">
        <f>TRUNC(IF($E423="",IFERROR(VLOOKUP($D423,SERVIÇOS!$C:$H,4,0),IFERROR(VLOOKUP($D423,$F:$M,6,0),)),IFERROR(VLOOKUP($E423,INSUMOS!$B:$E,4,0),IFERROR(VLOOKUP($E423,COTAÇÕES!$C:$L,10,0),)))*$I423,2)</f>
        <v>2.4300000000000002</v>
      </c>
      <c r="L423" s="616">
        <f>TRUNC(IF($E423="",IFERROR(VLOOKUP($D423,SERVIÇOS!$C:$H,5,0),IFERROR(VLOOKUP($D423,$F:$M,7,0),)),0)*$I423,2)</f>
        <v>0</v>
      </c>
      <c r="M423" s="617">
        <f t="shared" si="221"/>
        <v>2.4300000000000002</v>
      </c>
      <c r="N423" s="753" t="str">
        <f>IF($D423&lt;&gt;"","SERVIÇO SINAPI",IF($E423&lt;&gt;"","INSUMO SINAPI",""))</f>
        <v>INSUMO SINAPI</v>
      </c>
      <c r="O423" s="605"/>
    </row>
    <row r="424" spans="1:15">
      <c r="B424" s="122">
        <f t="shared" si="219"/>
        <v>10</v>
      </c>
      <c r="C424" s="611" t="str">
        <f t="shared" si="220"/>
        <v>I</v>
      </c>
      <c r="D424" s="666"/>
      <c r="E424" s="661" t="s">
        <v>9047</v>
      </c>
      <c r="F424" s="612"/>
      <c r="G424" s="613" t="str">
        <f>IF($E424="",IFERROR(VLOOKUP($D424,SERVIÇOS!$C:$H,2,0),IFERROR(VLOOKUP($D424,$F:$M,2,0),"")),IFERROR(VLOOKUP($E424,INSUMOS!$B:$E,2,0),IFERROR(VLOOKUP($E424,COTAÇÕES!$C:$L,2,0),"")))</f>
        <v>CORPO PARA CAIXA SIFONADA QUADRADA EM PVC 150 X 150 X 50MM</v>
      </c>
      <c r="H424" s="593" t="str">
        <f>IF($E424="",IFERROR(VLOOKUP($D424,SERVIÇOS!$C:$H,3,0),IFERROR(VLOOKUP($D424,$F:$M,3,0),"")),IFERROR(VLOOKUP($E424,INSUMOS!$B:$E,3,0),IFERROR(VLOOKUP($E424,COTAÇÕES!$C:$L,5,0),"")))</f>
        <v>UN</v>
      </c>
      <c r="I424" s="638">
        <v>1</v>
      </c>
      <c r="J424" s="670">
        <f>IF($E424="",IFERROR(VLOOKUP($D424,SERVIÇOS!$C:$H,6,0),IFERROR(VLOOKUP($D424,$F:$M,8,0),"")),IFERROR(VLOOKUP($E424,INSUMOS!$B:$E,4,0),IFERROR(VLOOKUP($E424,COTAÇÕES!$C:$L,10,0),"")))</f>
        <v>27.840000000000003</v>
      </c>
      <c r="K424" s="615">
        <f>TRUNC(IF($E424="",IFERROR(VLOOKUP($D424,SERVIÇOS!$C:$H,4,0),IFERROR(VLOOKUP($D424,$F:$M,6,0),)),IFERROR(VLOOKUP($E424,INSUMOS!$B:$E,4,0),IFERROR(VLOOKUP($E424,COTAÇÕES!$C:$L,10,0),)))*$I424,2)</f>
        <v>27.84</v>
      </c>
      <c r="L424" s="616">
        <f>TRUNC(IF($E424="",IFERROR(VLOOKUP($D424,SERVIÇOS!$C:$H,5,0),IFERROR(VLOOKUP($D424,$F:$M,7,0),)),0)*$I424,2)</f>
        <v>0</v>
      </c>
      <c r="M424" s="617">
        <f t="shared" si="221"/>
        <v>27.84</v>
      </c>
      <c r="N424" s="753" t="s">
        <v>6845</v>
      </c>
      <c r="O424" s="640"/>
    </row>
    <row r="425" spans="1:15">
      <c r="B425" s="122">
        <f t="shared" si="219"/>
        <v>10</v>
      </c>
      <c r="C425" s="611" t="str">
        <f t="shared" si="220"/>
        <v>I</v>
      </c>
      <c r="D425" s="666"/>
      <c r="E425" s="661" t="s">
        <v>9048</v>
      </c>
      <c r="F425" s="612"/>
      <c r="G425" s="613" t="str">
        <f>IF($E425="",IFERROR(VLOOKUP($D425,SERVIÇOS!$C:$H,2,0),IFERROR(VLOOKUP($D425,$F:$M,2,0),"")),IFERROR(VLOOKUP($E425,INSUMOS!$B:$E,2,0),IFERROR(VLOOKUP($E425,COTAÇÕES!$C:$L,2,0),"")))</f>
        <v xml:space="preserve">GRELHA P/RALO EM INOX, QUADRADA, 15X15CM, TIPO ABRE/FECHA, MEBER OU SIMILAR </v>
      </c>
      <c r="H425" s="593" t="str">
        <f>IF($E425="",IFERROR(VLOOKUP($D425,SERVIÇOS!$C:$H,3,0),IFERROR(VLOOKUP($D425,$F:$M,3,0),"")),IFERROR(VLOOKUP($E425,INSUMOS!$B:$E,3,0),IFERROR(VLOOKUP($E425,COTAÇÕES!$C:$L,5,0),"")))</f>
        <v>UN</v>
      </c>
      <c r="I425" s="638">
        <v>1</v>
      </c>
      <c r="J425" s="670">
        <f>IF($E425="",IFERROR(VLOOKUP($D425,SERVIÇOS!$C:$H,6,0),IFERROR(VLOOKUP($D425,$F:$M,8,0),"")),IFERROR(VLOOKUP($E425,INSUMOS!$B:$E,4,0),IFERROR(VLOOKUP($E425,COTAÇÕES!$C:$L,10,0),"")))</f>
        <v>43.686666666666667</v>
      </c>
      <c r="K425" s="615">
        <f>TRUNC(IF($E425="",IFERROR(VLOOKUP($D425,SERVIÇOS!$C:$H,4,0),IFERROR(VLOOKUP($D425,$F:$M,6,0),)),IFERROR(VLOOKUP($E425,INSUMOS!$B:$E,4,0),IFERROR(VLOOKUP($E425,COTAÇÕES!$C:$L,10,0),)))*$I425,2)</f>
        <v>43.68</v>
      </c>
      <c r="L425" s="616">
        <f>TRUNC(IF($E425="",IFERROR(VLOOKUP($D425,SERVIÇOS!$C:$H,5,0),IFERROR(VLOOKUP($D425,$F:$M,7,0),)),0)*$I425,2)</f>
        <v>0</v>
      </c>
      <c r="M425" s="617">
        <f t="shared" si="221"/>
        <v>43.68</v>
      </c>
      <c r="N425" s="753" t="s">
        <v>6845</v>
      </c>
      <c r="O425" s="640"/>
    </row>
    <row r="426" spans="1:15" ht="25.5">
      <c r="B426" s="122">
        <f t="shared" si="219"/>
        <v>10</v>
      </c>
      <c r="C426" s="611" t="str">
        <f t="shared" si="220"/>
        <v>I</v>
      </c>
      <c r="D426" s="666"/>
      <c r="E426" s="661">
        <v>20078</v>
      </c>
      <c r="F426" s="612"/>
      <c r="G426" s="613" t="str">
        <f>IF($E426="",IFERROR(VLOOKUP($D426,SERVIÇOS!$C:$H,2,0),IFERROR(VLOOKUP($D426,$F:$M,2,0),"")),IFERROR(VLOOKUP($E426,INSUMOS!$B:$E,2,0),IFERROR(VLOOKUP($E426,COTAÇÕES!$C:$L,2,0),"")))</f>
        <v xml:space="preserve">PASTA LUBRIFICANTE PARA TUBOS E CONEXOES COM JUNTA ELASTICA, EMBALAGEM DE *400* GR (USO EM PVC, ACO, POLIETILENO E OUTROS)                                                                                                                                                                                                                                                                                                                                                                                </v>
      </c>
      <c r="H426" s="593" t="str">
        <f>IF($E426="",IFERROR(VLOOKUP($D426,SERVIÇOS!$C:$H,3,0),IFERROR(VLOOKUP($D426,$F:$M,3,0),"")),IFERROR(VLOOKUP($E426,INSUMOS!$B:$E,3,0),IFERROR(VLOOKUP($E426,COTAÇÕES!$C:$L,5,0),"")))</f>
        <v xml:space="preserve">UN    </v>
      </c>
      <c r="I426" s="638">
        <v>0.03</v>
      </c>
      <c r="J426" s="670">
        <f>IF($E426="",IFERROR(VLOOKUP($D426,SERVIÇOS!$C:$H,6,0),IFERROR(VLOOKUP($D426,$F:$M,8,0),"")),IFERROR(VLOOKUP($E426,INSUMOS!$B:$E,4,0),IFERROR(VLOOKUP($E426,COTAÇÕES!$C:$L,10,0),"")))</f>
        <v>29.94</v>
      </c>
      <c r="K426" s="615">
        <f>TRUNC(IF($E426="",IFERROR(VLOOKUP($D426,SERVIÇOS!$C:$H,4,0),IFERROR(VLOOKUP($D426,$F:$M,6,0),)),IFERROR(VLOOKUP($E426,INSUMOS!$B:$E,4,0),IFERROR(VLOOKUP($E426,COTAÇÕES!$C:$L,10,0),)))*$I426,2)</f>
        <v>0.89</v>
      </c>
      <c r="L426" s="616">
        <f>TRUNC(IF($E426="",IFERROR(VLOOKUP($D426,SERVIÇOS!$C:$H,5,0),IFERROR(VLOOKUP($D426,$F:$M,7,0),)),0)*$I426,2)</f>
        <v>0</v>
      </c>
      <c r="M426" s="617">
        <f t="shared" si="221"/>
        <v>0.89</v>
      </c>
      <c r="N426" s="753" t="str">
        <f>IF($D426&lt;&gt;"","SERVIÇO SINAPI",IF($E426&lt;&gt;"","INSUMO SINAPI",""))</f>
        <v>INSUMO SINAPI</v>
      </c>
      <c r="O426" s="605"/>
    </row>
    <row r="427" spans="1:15">
      <c r="B427" s="122">
        <f t="shared" si="219"/>
        <v>10</v>
      </c>
      <c r="C427" s="611" t="str">
        <f t="shared" si="220"/>
        <v>I</v>
      </c>
      <c r="D427" s="666"/>
      <c r="E427" s="661">
        <v>20083</v>
      </c>
      <c r="F427" s="612"/>
      <c r="G427" s="613" t="str">
        <f>IF($E427="",IFERROR(VLOOKUP($D427,SERVIÇOS!$C:$H,2,0),IFERROR(VLOOKUP($D427,$F:$M,2,0),"")),IFERROR(VLOOKUP($E427,INSUMOS!$B:$E,2,0),IFERROR(VLOOKUP($E427,COTAÇÕES!$C:$L,2,0),"")))</f>
        <v xml:space="preserve">SOLUCAO PREPARADORA / LIMPADORA PARA PVC, FRASCO COM 1000 CM3                                                                                                                                                                                                                                                                                                                                                                                                                                             </v>
      </c>
      <c r="H427" s="593" t="str">
        <f>IF($E427="",IFERROR(VLOOKUP($D427,SERVIÇOS!$C:$H,3,0),IFERROR(VLOOKUP($D427,$F:$M,3,0),"")),IFERROR(VLOOKUP($E427,INSUMOS!$B:$E,3,0),IFERROR(VLOOKUP($E427,COTAÇÕES!$C:$L,5,0),"")))</f>
        <v xml:space="preserve">UN    </v>
      </c>
      <c r="I427" s="638">
        <v>2.2499999999999999E-2</v>
      </c>
      <c r="J427" s="670">
        <f>IF($E427="",IFERROR(VLOOKUP($D427,SERVIÇOS!$C:$H,6,0),IFERROR(VLOOKUP($D427,$F:$M,8,0),"")),IFERROR(VLOOKUP($E427,INSUMOS!$B:$E,4,0),IFERROR(VLOOKUP($E427,COTAÇÕES!$C:$L,10,0),"")))</f>
        <v>82.2</v>
      </c>
      <c r="K427" s="615">
        <f>TRUNC(IF($E427="",IFERROR(VLOOKUP($D427,SERVIÇOS!$C:$H,4,0),IFERROR(VLOOKUP($D427,$F:$M,6,0),)),IFERROR(VLOOKUP($E427,INSUMOS!$B:$E,4,0),IFERROR(VLOOKUP($E427,COTAÇÕES!$C:$L,10,0),)))*$I427,2)</f>
        <v>1.84</v>
      </c>
      <c r="L427" s="616">
        <f>TRUNC(IF($E427="",IFERROR(VLOOKUP($D427,SERVIÇOS!$C:$H,5,0),IFERROR(VLOOKUP($D427,$F:$M,7,0),)),0)*$I427,2)</f>
        <v>0</v>
      </c>
      <c r="M427" s="617">
        <f t="shared" si="221"/>
        <v>1.84</v>
      </c>
      <c r="N427" s="753" t="str">
        <f>IF($D427&lt;&gt;"","SERVIÇO SINAPI",IF($E427&lt;&gt;"","INSUMO SINAPI",""))</f>
        <v>INSUMO SINAPI</v>
      </c>
      <c r="O427" s="605"/>
    </row>
    <row r="428" spans="1:15">
      <c r="B428" s="122">
        <f t="shared" si="219"/>
        <v>10</v>
      </c>
      <c r="C428" s="611" t="str">
        <f t="shared" si="220"/>
        <v>I</v>
      </c>
      <c r="D428" s="666"/>
      <c r="E428" s="661">
        <v>38383</v>
      </c>
      <c r="F428" s="612"/>
      <c r="G428" s="613" t="str">
        <f>IF($E428="",IFERROR(VLOOKUP($D428,SERVIÇOS!$C:$H,2,0),IFERROR(VLOOKUP($D428,$F:$M,2,0),"")),IFERROR(VLOOKUP($E428,INSUMOS!$B:$E,2,0),IFERROR(VLOOKUP($E428,COTAÇÕES!$C:$L,2,0),"")))</f>
        <v xml:space="preserve">LIXA D'AGUA EM FOLHA, GRAO 100                                                                                                                                                                                                                                                                                                                                                                                                                                                                            </v>
      </c>
      <c r="H428" s="593" t="str">
        <f>IF($E428="",IFERROR(VLOOKUP($D428,SERVIÇOS!$C:$H,3,0),IFERROR(VLOOKUP($D428,$F:$M,3,0),"")),IFERROR(VLOOKUP($E428,INSUMOS!$B:$E,3,0),IFERROR(VLOOKUP($E428,COTAÇÕES!$C:$L,5,0),"")))</f>
        <v xml:space="preserve">UN    </v>
      </c>
      <c r="I428" s="638">
        <v>3.6499999999999998E-2</v>
      </c>
      <c r="J428" s="670">
        <f>IF($E428="",IFERROR(VLOOKUP($D428,SERVIÇOS!$C:$H,6,0),IFERROR(VLOOKUP($D428,$F:$M,8,0),"")),IFERROR(VLOOKUP($E428,INSUMOS!$B:$E,4,0),IFERROR(VLOOKUP($E428,COTAÇÕES!$C:$L,10,0),"")))</f>
        <v>1.93</v>
      </c>
      <c r="K428" s="615">
        <f>TRUNC(IF($E428="",IFERROR(VLOOKUP($D428,SERVIÇOS!$C:$H,4,0),IFERROR(VLOOKUP($D428,$F:$M,6,0),)),IFERROR(VLOOKUP($E428,INSUMOS!$B:$E,4,0),IFERROR(VLOOKUP($E428,COTAÇÕES!$C:$L,10,0),)))*$I428,2)</f>
        <v>7.0000000000000007E-2</v>
      </c>
      <c r="L428" s="616">
        <f>TRUNC(IF($E428="",IFERROR(VLOOKUP($D428,SERVIÇOS!$C:$H,5,0),IFERROR(VLOOKUP($D428,$F:$M,7,0),)),0)*$I428,2)</f>
        <v>0</v>
      </c>
      <c r="M428" s="617">
        <f t="shared" si="221"/>
        <v>7.0000000000000007E-2</v>
      </c>
      <c r="N428" s="753" t="str">
        <f>IF($D428&lt;&gt;"","SERVIÇO SINAPI",IF($E428&lt;&gt;"","INSUMO SINAPI",""))</f>
        <v>INSUMO SINAPI</v>
      </c>
      <c r="O428" s="605"/>
    </row>
    <row r="429" spans="1:15" ht="25.5">
      <c r="B429" s="769">
        <f>SUMIF(ORC!$G$11:$G$2470,CPU!$F429,ORC!$J$11:$J$2470)</f>
        <v>16</v>
      </c>
      <c r="C429" s="458" t="s">
        <v>2239</v>
      </c>
      <c r="D429" s="458"/>
      <c r="E429" s="458"/>
      <c r="F429" s="458" t="s">
        <v>5267</v>
      </c>
      <c r="G429" s="634" t="s">
        <v>8454</v>
      </c>
      <c r="H429" s="458" t="s">
        <v>646</v>
      </c>
      <c r="I429" s="635"/>
      <c r="J429" s="636"/>
      <c r="K429" s="636">
        <f>TRUNC(SUM(K430:K431),2)</f>
        <v>11.65</v>
      </c>
      <c r="L429" s="636">
        <f>TRUNC(SUM(L430:L431),2)</f>
        <v>1.71</v>
      </c>
      <c r="M429" s="636">
        <f>TRUNC(SUM(M430:M431),2)</f>
        <v>13.36</v>
      </c>
      <c r="N429" s="755" t="s">
        <v>6889</v>
      </c>
      <c r="O429" s="639"/>
    </row>
    <row r="430" spans="1:15">
      <c r="B430" s="122">
        <f t="shared" ref="B430:B431" si="222">B429</f>
        <v>16</v>
      </c>
      <c r="C430" s="611" t="str">
        <f>IF(D430&lt;&gt;"","C",IF(E430&lt;&gt;"","I",""))</f>
        <v>C</v>
      </c>
      <c r="D430" s="666">
        <v>88316</v>
      </c>
      <c r="E430" s="661"/>
      <c r="F430" s="612"/>
      <c r="G430" s="613" t="str">
        <f>IF($E430="",IFERROR(VLOOKUP($D430,SERVIÇOS!$C:$H,2,0),IFERROR(VLOOKUP($D430,$F:$M,2,0),"")),IFERROR(VLOOKUP($E430,INSUMOS!$B:$E,2,0),IFERROR(VLOOKUP($E430,COTAÇÕES!$C:$L,2,0),"")))</f>
        <v>SERVENTE COM ENCARGOS COMPLEMENTARES</v>
      </c>
      <c r="H430" s="593" t="str">
        <f>IF($E430="",IFERROR(VLOOKUP($D430,SERVIÇOS!$C:$H,3,0),IFERROR(VLOOKUP($D430,$F:$M,3,0),"")),IFERROR(VLOOKUP($E430,INSUMOS!$B:$E,3,0),IFERROR(VLOOKUP($E430,COTAÇÕES!$C:$L,5,0),"")))</f>
        <v>H</v>
      </c>
      <c r="I430" s="638">
        <v>0.1</v>
      </c>
      <c r="J430" s="670">
        <f>IF($E430="",IFERROR(VLOOKUP($D430,SERVIÇOS!$C:$H,6,0),IFERROR(VLOOKUP($D430,$F:$M,8,0),"")),IFERROR(VLOOKUP($E430,INSUMOS!$B:$E,4,0),IFERROR(VLOOKUP($E430,COTAÇÕES!$C:$L,10,0),"")))</f>
        <v>23.71</v>
      </c>
      <c r="K430" s="615">
        <f>TRUNC(IF($E430="",IFERROR(VLOOKUP($D430,SERVIÇOS!$C:$H,4,0),IFERROR(VLOOKUP($D430,$F:$M,6,0),)),IFERROR(VLOOKUP($E430,INSUMOS!$B:$E,4,0),IFERROR(VLOOKUP($E430,COTAÇÕES!$C:$L,10,0),)))*$I430,2)</f>
        <v>0.65</v>
      </c>
      <c r="L430" s="616">
        <f>TRUNC(IF($E430="",IFERROR(VLOOKUP($D430,SERVIÇOS!$C:$H,5,0),IFERROR(VLOOKUP($D430,$F:$M,7,0),)),0)*$I430,2)</f>
        <v>1.71</v>
      </c>
      <c r="M430" s="617">
        <f>K430+L430</f>
        <v>2.36</v>
      </c>
      <c r="N430" s="753" t="str">
        <f>IF($D430&lt;&gt;"","SERVIÇO SINAPI",IF($E430&lt;&gt;"","INSUMO SINAPI",""))</f>
        <v>SERVIÇO SINAPI</v>
      </c>
      <c r="O430" s="605"/>
    </row>
    <row r="431" spans="1:15" ht="25.5">
      <c r="B431" s="122">
        <f t="shared" si="222"/>
        <v>16</v>
      </c>
      <c r="C431" s="611" t="str">
        <f>IF(D431&lt;&gt;"","C",IF(E431&lt;&gt;"","I",""))</f>
        <v>I</v>
      </c>
      <c r="D431" s="666"/>
      <c r="E431" s="661">
        <v>37539</v>
      </c>
      <c r="F431" s="612"/>
      <c r="G431" s="613" t="str">
        <f>IF($E431="",IFERROR(VLOOKUP($D431,SERVIÇOS!$C:$H,2,0),IFERROR(VLOOKUP($D431,$F:$M,2,0),"")),IFERROR(VLOOKUP($E431,INSUMOS!$B:$E,2,0),IFERROR(VLOOKUP($E431,COTAÇÕES!$C:$L,2,0),"")))</f>
        <v xml:space="preserve">PLACA DE SINALIZACAO DE SEGURANCA CONTRA INCENDIO, FOTOLUMINESCENTE, RETANGULAR, *13 X 26* CM, EM PVC *2* MM ANTI-CHAMAS (SIMBOLOS, CORES E PICTOGRAMAS CONFORME NBR 16820)                                                                                                                                                                                                                                                                                                                               </v>
      </c>
      <c r="H431" s="593" t="str">
        <f>IF($E431="",IFERROR(VLOOKUP($D431,SERVIÇOS!$C:$H,3,0),IFERROR(VLOOKUP($D431,$F:$M,3,0),"")),IFERROR(VLOOKUP($E431,INSUMOS!$B:$E,3,0),IFERROR(VLOOKUP($E431,COTAÇÕES!$C:$L,5,0),"")))</f>
        <v xml:space="preserve">UN    </v>
      </c>
      <c r="I431" s="638">
        <v>1</v>
      </c>
      <c r="J431" s="670">
        <f>IF($E431="",IFERROR(VLOOKUP($D431,SERVIÇOS!$C:$H,6,0),IFERROR(VLOOKUP($D431,$F:$M,8,0),"")),IFERROR(VLOOKUP($E431,INSUMOS!$B:$E,4,0),IFERROR(VLOOKUP($E431,COTAÇÕES!$C:$L,10,0),"")))</f>
        <v>11</v>
      </c>
      <c r="K431" s="615">
        <f>TRUNC(IF($E431="",IFERROR(VLOOKUP($D431,SERVIÇOS!$C:$H,4,0),IFERROR(VLOOKUP($D431,$F:$M,6,0),)),IFERROR(VLOOKUP($E431,INSUMOS!$B:$E,4,0),IFERROR(VLOOKUP($E431,COTAÇÕES!$C:$L,10,0),)))*$I431,2)</f>
        <v>11</v>
      </c>
      <c r="L431" s="616">
        <f>TRUNC(IF($E431="",IFERROR(VLOOKUP($D431,SERVIÇOS!$C:$H,5,0),IFERROR(VLOOKUP($D431,$F:$M,7,0),)),0)*$I431,2)</f>
        <v>0</v>
      </c>
      <c r="M431" s="617">
        <f>K431+L431</f>
        <v>11</v>
      </c>
      <c r="N431" s="753" t="str">
        <f>IF($D431&lt;&gt;"","SERVIÇO SINAPI",IF($E431&lt;&gt;"","INSUMO SINAPI",""))</f>
        <v>INSUMO SINAPI</v>
      </c>
      <c r="O431" s="605"/>
    </row>
    <row r="432" spans="1:15" ht="25.5">
      <c r="B432" s="769">
        <f>SUMIF(ORC!$G$11:$G$2470,CPU!$F432,ORC!$J$11:$J$2470)</f>
        <v>14</v>
      </c>
      <c r="C432" s="458" t="s">
        <v>2239</v>
      </c>
      <c r="D432" s="458"/>
      <c r="E432" s="458"/>
      <c r="F432" s="458" t="s">
        <v>4875</v>
      </c>
      <c r="G432" s="634" t="s">
        <v>8455</v>
      </c>
      <c r="H432" s="458" t="s">
        <v>646</v>
      </c>
      <c r="I432" s="635"/>
      <c r="J432" s="636"/>
      <c r="K432" s="636">
        <f>TRUNC(SUM(K433:K434),2)</f>
        <v>7.22</v>
      </c>
      <c r="L432" s="636">
        <f>TRUNC(SUM(L433:L434),2)</f>
        <v>1.71</v>
      </c>
      <c r="M432" s="636">
        <f>TRUNC(SUM(M433:M434),2)</f>
        <v>8.93</v>
      </c>
      <c r="N432" s="755" t="s">
        <v>5268</v>
      </c>
      <c r="O432" s="639"/>
    </row>
    <row r="433" spans="2:15">
      <c r="B433" s="122">
        <f t="shared" ref="B433:B434" si="223">B432</f>
        <v>14</v>
      </c>
      <c r="C433" s="611" t="str">
        <f>IF(D433&lt;&gt;"","C",IF(E433&lt;&gt;"","I",""))</f>
        <v>C</v>
      </c>
      <c r="D433" s="666">
        <v>88316</v>
      </c>
      <c r="E433" s="661"/>
      <c r="F433" s="612"/>
      <c r="G433" s="613" t="str">
        <f>IF($E433="",IFERROR(VLOOKUP($D433,SERVIÇOS!$C:$H,2,0),IFERROR(VLOOKUP($D433,$F:$M,2,0),"")),IFERROR(VLOOKUP($E433,INSUMOS!$B:$E,2,0),IFERROR(VLOOKUP($E433,COTAÇÕES!$C:$L,2,0),"")))</f>
        <v>SERVENTE COM ENCARGOS COMPLEMENTARES</v>
      </c>
      <c r="H433" s="593" t="str">
        <f>IF($E433="",IFERROR(VLOOKUP($D433,SERVIÇOS!$C:$H,3,0),IFERROR(VLOOKUP($D433,$F:$M,3,0),"")),IFERROR(VLOOKUP($E433,INSUMOS!$B:$E,3,0),IFERROR(VLOOKUP($E433,COTAÇÕES!$C:$L,5,0),"")))</f>
        <v>H</v>
      </c>
      <c r="I433" s="638">
        <v>0.1</v>
      </c>
      <c r="J433" s="670">
        <f>IF($E433="",IFERROR(VLOOKUP($D433,SERVIÇOS!$C:$H,6,0),IFERROR(VLOOKUP($D433,$F:$M,8,0),"")),IFERROR(VLOOKUP($E433,INSUMOS!$B:$E,4,0),IFERROR(VLOOKUP($E433,COTAÇÕES!$C:$L,10,0),"")))</f>
        <v>23.71</v>
      </c>
      <c r="K433" s="615">
        <f>TRUNC(IF($E433="",IFERROR(VLOOKUP($D433,SERVIÇOS!$C:$H,4,0),IFERROR(VLOOKUP($D433,$F:$M,6,0),)),IFERROR(VLOOKUP($E433,INSUMOS!$B:$E,4,0),IFERROR(VLOOKUP($E433,COTAÇÕES!$C:$L,10,0),)))*$I433,2)</f>
        <v>0.65</v>
      </c>
      <c r="L433" s="616">
        <f>TRUNC(IF($E433="",IFERROR(VLOOKUP($D433,SERVIÇOS!$C:$H,5,0),IFERROR(VLOOKUP($D433,$F:$M,7,0),)),0)*$I433,2)</f>
        <v>1.71</v>
      </c>
      <c r="M433" s="617">
        <f>K433+L433</f>
        <v>2.36</v>
      </c>
      <c r="N433" s="753" t="str">
        <f>IF($D433&lt;&gt;"","SERVIÇO SINAPI",IF($E433&lt;&gt;"","INSUMO SINAPI",""))</f>
        <v>SERVIÇO SINAPI</v>
      </c>
      <c r="O433" s="605"/>
    </row>
    <row r="434" spans="2:15" ht="25.5">
      <c r="B434" s="122">
        <f t="shared" si="223"/>
        <v>14</v>
      </c>
      <c r="C434" s="611" t="str">
        <f>IF(D434&lt;&gt;"","C",IF(E434&lt;&gt;"","I",""))</f>
        <v>I</v>
      </c>
      <c r="D434" s="666"/>
      <c r="E434" s="661">
        <v>37557</v>
      </c>
      <c r="F434" s="612"/>
      <c r="G434" s="613" t="str">
        <f>IF($E434="",IFERROR(VLOOKUP($D434,SERVIÇOS!$C:$H,2,0),IFERROR(VLOOKUP($D434,$F:$M,2,0),"")),IFERROR(VLOOKUP($E434,INSUMOS!$B:$E,2,0),IFERROR(VLOOKUP($E434,COTAÇÕES!$C:$L,2,0),"")))</f>
        <v xml:space="preserve">PLACA DE SINALIZACAO DE SEGURANCA CONTRA INCENDIO, FOTOLUMINESCENTE, QUADRADA, *14 X 14* CM, EM PVC *2* MM ANTI-CHAMAS (SIMBOLOS, CORES E PICTOGRAMAS CONFORME NBR 16820)                                                                                                                                                                                                                                                                                                                                 </v>
      </c>
      <c r="H434" s="593" t="str">
        <f>IF($E434="",IFERROR(VLOOKUP($D434,SERVIÇOS!$C:$H,3,0),IFERROR(VLOOKUP($D434,$F:$M,3,0),"")),IFERROR(VLOOKUP($E434,INSUMOS!$B:$E,3,0),IFERROR(VLOOKUP($E434,COTAÇÕES!$C:$L,5,0),"")))</f>
        <v xml:space="preserve">UN    </v>
      </c>
      <c r="I434" s="638">
        <v>1</v>
      </c>
      <c r="J434" s="670">
        <f>IF($E434="",IFERROR(VLOOKUP($D434,SERVIÇOS!$C:$H,6,0),IFERROR(VLOOKUP($D434,$F:$M,8,0),"")),IFERROR(VLOOKUP($E434,INSUMOS!$B:$E,4,0),IFERROR(VLOOKUP($E434,COTAÇÕES!$C:$L,10,0),"")))</f>
        <v>6.57</v>
      </c>
      <c r="K434" s="615">
        <f>TRUNC(IF($E434="",IFERROR(VLOOKUP($D434,SERVIÇOS!$C:$H,4,0),IFERROR(VLOOKUP($D434,$F:$M,6,0),)),IFERROR(VLOOKUP($E434,INSUMOS!$B:$E,4,0),IFERROR(VLOOKUP($E434,COTAÇÕES!$C:$L,10,0),)))*$I434,2)</f>
        <v>6.57</v>
      </c>
      <c r="L434" s="616">
        <f>TRUNC(IF($E434="",IFERROR(VLOOKUP($D434,SERVIÇOS!$C:$H,5,0),IFERROR(VLOOKUP($D434,$F:$M,7,0),)),0)*$I434,2)</f>
        <v>0</v>
      </c>
      <c r="M434" s="617">
        <f>K434+L434</f>
        <v>6.57</v>
      </c>
      <c r="N434" s="753" t="str">
        <f>IF($D434&lt;&gt;"","SERVIÇO SINAPI",IF($E434&lt;&gt;"","INSUMO SINAPI",""))</f>
        <v>INSUMO SINAPI</v>
      </c>
      <c r="O434" s="605"/>
    </row>
    <row r="435" spans="2:15" ht="25.5">
      <c r="B435" s="769">
        <f>SUMIF(ORC!$G$11:$G$2470,CPU!$F435,ORC!$J$11:$J$2470)</f>
        <v>6</v>
      </c>
      <c r="C435" s="458" t="s">
        <v>2239</v>
      </c>
      <c r="D435" s="458"/>
      <c r="E435" s="458"/>
      <c r="F435" s="458" t="s">
        <v>8876</v>
      </c>
      <c r="G435" s="634" t="s">
        <v>8877</v>
      </c>
      <c r="H435" s="458" t="s">
        <v>646</v>
      </c>
      <c r="I435" s="635"/>
      <c r="J435" s="636"/>
      <c r="K435" s="636">
        <f>TRUNC(SUM(K436:K437),2)</f>
        <v>11.65</v>
      </c>
      <c r="L435" s="636">
        <f>TRUNC(SUM(L436:L437),2)</f>
        <v>1.71</v>
      </c>
      <c r="M435" s="636">
        <f>TRUNC(SUM(M436:M437),2)</f>
        <v>13.36</v>
      </c>
      <c r="N435" s="755" t="s">
        <v>5268</v>
      </c>
      <c r="O435" s="639"/>
    </row>
    <row r="436" spans="2:15">
      <c r="B436" s="122">
        <f t="shared" ref="B436:B437" si="224">B435</f>
        <v>6</v>
      </c>
      <c r="C436" s="611" t="str">
        <f>IF(D436&lt;&gt;"","C",IF(E436&lt;&gt;"","I",""))</f>
        <v>C</v>
      </c>
      <c r="D436" s="666">
        <v>88316</v>
      </c>
      <c r="E436" s="661"/>
      <c r="F436" s="612"/>
      <c r="G436" s="613" t="str">
        <f>IF($E436="",IFERROR(VLOOKUP($D436,SERVIÇOS!$C:$H,2,0),IFERROR(VLOOKUP($D436,$F:$M,2,0),"")),IFERROR(VLOOKUP($E436,INSUMOS!$B:$E,2,0),IFERROR(VLOOKUP($E436,COTAÇÕES!$C:$L,2,0),"")))</f>
        <v>SERVENTE COM ENCARGOS COMPLEMENTARES</v>
      </c>
      <c r="H436" s="593" t="str">
        <f>IF($E436="",IFERROR(VLOOKUP($D436,SERVIÇOS!$C:$H,3,0),IFERROR(VLOOKUP($D436,$F:$M,3,0),"")),IFERROR(VLOOKUP($E436,INSUMOS!$B:$E,3,0),IFERROR(VLOOKUP($E436,COTAÇÕES!$C:$L,5,0),"")))</f>
        <v>H</v>
      </c>
      <c r="I436" s="638">
        <v>0.1</v>
      </c>
      <c r="J436" s="670">
        <f>IF($E436="",IFERROR(VLOOKUP($D436,SERVIÇOS!$C:$H,6,0),IFERROR(VLOOKUP($D436,$F:$M,8,0),"")),IFERROR(VLOOKUP($E436,INSUMOS!$B:$E,4,0),IFERROR(VLOOKUP($E436,COTAÇÕES!$C:$L,10,0),"")))</f>
        <v>23.71</v>
      </c>
      <c r="K436" s="615">
        <f>TRUNC(IF($E436="",IFERROR(VLOOKUP($D436,SERVIÇOS!$C:$H,4,0),IFERROR(VLOOKUP($D436,$F:$M,6,0),)),IFERROR(VLOOKUP($E436,INSUMOS!$B:$E,4,0),IFERROR(VLOOKUP($E436,COTAÇÕES!$C:$L,10,0),)))*$I436,2)</f>
        <v>0.65</v>
      </c>
      <c r="L436" s="616">
        <f>TRUNC(IF($E436="",IFERROR(VLOOKUP($D436,SERVIÇOS!$C:$H,5,0),IFERROR(VLOOKUP($D436,$F:$M,7,0),)),0)*$I436,2)</f>
        <v>1.71</v>
      </c>
      <c r="M436" s="617">
        <f>K436+L436</f>
        <v>2.36</v>
      </c>
      <c r="N436" s="753" t="str">
        <f>IF($D436&lt;&gt;"","SERVIÇO SINAPI",IF($E436&lt;&gt;"","INSUMO SINAPI",""))</f>
        <v>SERVIÇO SINAPI</v>
      </c>
      <c r="O436" s="605"/>
    </row>
    <row r="437" spans="2:15" ht="25.5">
      <c r="B437" s="122">
        <f t="shared" si="224"/>
        <v>6</v>
      </c>
      <c r="C437" s="611" t="str">
        <f>IF(D437&lt;&gt;"","C",IF(E437&lt;&gt;"","I",""))</f>
        <v>I</v>
      </c>
      <c r="D437" s="666"/>
      <c r="E437" s="661">
        <v>37539</v>
      </c>
      <c r="F437" s="612"/>
      <c r="G437" s="613" t="str">
        <f>IF($E437="",IFERROR(VLOOKUP($D437,SERVIÇOS!$C:$H,2,0),IFERROR(VLOOKUP($D437,$F:$M,2,0),"")),IFERROR(VLOOKUP($E437,INSUMOS!$B:$E,2,0),IFERROR(VLOOKUP($E437,COTAÇÕES!$C:$L,2,0),"")))</f>
        <v xml:space="preserve">PLACA DE SINALIZACAO DE SEGURANCA CONTRA INCENDIO, FOTOLUMINESCENTE, RETANGULAR, *13 X 26* CM, EM PVC *2* MM ANTI-CHAMAS (SIMBOLOS, CORES E PICTOGRAMAS CONFORME NBR 16820)                                                                                                                                                                                                                                                                                                                               </v>
      </c>
      <c r="H437" s="593" t="str">
        <f>IF($E437="",IFERROR(VLOOKUP($D437,SERVIÇOS!$C:$H,3,0),IFERROR(VLOOKUP($D437,$F:$M,3,0),"")),IFERROR(VLOOKUP($E437,INSUMOS!$B:$E,3,0),IFERROR(VLOOKUP($E437,COTAÇÕES!$C:$L,5,0),"")))</f>
        <v xml:space="preserve">UN    </v>
      </c>
      <c r="I437" s="638">
        <v>1</v>
      </c>
      <c r="J437" s="670">
        <f>IF($E437="",IFERROR(VLOOKUP($D437,SERVIÇOS!$C:$H,6,0),IFERROR(VLOOKUP($D437,$F:$M,8,0),"")),IFERROR(VLOOKUP($E437,INSUMOS!$B:$E,4,0),IFERROR(VLOOKUP($E437,COTAÇÕES!$C:$L,10,0),"")))</f>
        <v>11</v>
      </c>
      <c r="K437" s="615">
        <f>TRUNC(IF($E437="",IFERROR(VLOOKUP($D437,SERVIÇOS!$C:$H,4,0),IFERROR(VLOOKUP($D437,$F:$M,6,0),)),IFERROR(VLOOKUP($E437,INSUMOS!$B:$E,4,0),IFERROR(VLOOKUP($E437,COTAÇÕES!$C:$L,10,0),)))*$I437,2)</f>
        <v>11</v>
      </c>
      <c r="L437" s="616">
        <f>TRUNC(IF($E437="",IFERROR(VLOOKUP($D437,SERVIÇOS!$C:$H,5,0),IFERROR(VLOOKUP($D437,$F:$M,7,0),)),0)*$I437,2)</f>
        <v>0</v>
      </c>
      <c r="M437" s="617">
        <f>K437+L437</f>
        <v>11</v>
      </c>
      <c r="N437" s="753" t="str">
        <f>IF($D437&lt;&gt;"","SERVIÇO SINAPI",IF($E437&lt;&gt;"","INSUMO SINAPI",""))</f>
        <v>INSUMO SINAPI</v>
      </c>
      <c r="O437" s="605"/>
    </row>
    <row r="438" spans="2:15" ht="25.5">
      <c r="B438" s="769">
        <f>SUMIF(ORC!$G$11:$G$2470,CPU!$F438,ORC!$J$11:$J$2470)</f>
        <v>12</v>
      </c>
      <c r="C438" s="458" t="s">
        <v>2239</v>
      </c>
      <c r="D438" s="458"/>
      <c r="E438" s="458"/>
      <c r="F438" s="458" t="s">
        <v>8879</v>
      </c>
      <c r="G438" s="634" t="s">
        <v>8878</v>
      </c>
      <c r="H438" s="458" t="s">
        <v>646</v>
      </c>
      <c r="I438" s="635"/>
      <c r="J438" s="636"/>
      <c r="K438" s="636">
        <f>TRUNC(SUM(K439:K440),2)</f>
        <v>21.16</v>
      </c>
      <c r="L438" s="636">
        <f>TRUNC(SUM(L439:L440),2)</f>
        <v>1.71</v>
      </c>
      <c r="M438" s="636">
        <f>TRUNC(SUM(M439:M440),2)</f>
        <v>22.87</v>
      </c>
      <c r="N438" s="755" t="s">
        <v>5268</v>
      </c>
      <c r="O438" s="639"/>
    </row>
    <row r="439" spans="2:15">
      <c r="B439" s="122">
        <f t="shared" ref="B439:B440" si="225">B438</f>
        <v>12</v>
      </c>
      <c r="C439" s="611" t="str">
        <f>IF(D439&lt;&gt;"","C",IF(E439&lt;&gt;"","I",""))</f>
        <v>C</v>
      </c>
      <c r="D439" s="666">
        <v>88316</v>
      </c>
      <c r="E439" s="661"/>
      <c r="F439" s="612"/>
      <c r="G439" s="613" t="str">
        <f>IF($E439="",IFERROR(VLOOKUP($D439,SERVIÇOS!$C:$H,2,0),IFERROR(VLOOKUP($D439,$F:$M,2,0),"")),IFERROR(VLOOKUP($E439,INSUMOS!$B:$E,2,0),IFERROR(VLOOKUP($E439,COTAÇÕES!$C:$L,2,0),"")))</f>
        <v>SERVENTE COM ENCARGOS COMPLEMENTARES</v>
      </c>
      <c r="H439" s="593" t="str">
        <f>IF($E439="",IFERROR(VLOOKUP($D439,SERVIÇOS!$C:$H,3,0),IFERROR(VLOOKUP($D439,$F:$M,3,0),"")),IFERROR(VLOOKUP($E439,INSUMOS!$B:$E,3,0),IFERROR(VLOOKUP($E439,COTAÇÕES!$C:$L,5,0),"")))</f>
        <v>H</v>
      </c>
      <c r="I439" s="638">
        <v>0.1</v>
      </c>
      <c r="J439" s="670">
        <f>IF($E439="",IFERROR(VLOOKUP($D439,SERVIÇOS!$C:$H,6,0),IFERROR(VLOOKUP($D439,$F:$M,8,0),"")),IFERROR(VLOOKUP($E439,INSUMOS!$B:$E,4,0),IFERROR(VLOOKUP($E439,COTAÇÕES!$C:$L,10,0),"")))</f>
        <v>23.71</v>
      </c>
      <c r="K439" s="615">
        <f>TRUNC(IF($E439="",IFERROR(VLOOKUP($D439,SERVIÇOS!$C:$H,4,0),IFERROR(VLOOKUP($D439,$F:$M,6,0),)),IFERROR(VLOOKUP($E439,INSUMOS!$B:$E,4,0),IFERROR(VLOOKUP($E439,COTAÇÕES!$C:$L,10,0),)))*$I439,2)</f>
        <v>0.65</v>
      </c>
      <c r="L439" s="616">
        <f>TRUNC(IF($E439="",IFERROR(VLOOKUP($D439,SERVIÇOS!$C:$H,5,0),IFERROR(VLOOKUP($D439,$F:$M,7,0),)),0)*$I439,2)</f>
        <v>1.71</v>
      </c>
      <c r="M439" s="617">
        <f>K439+L439</f>
        <v>2.36</v>
      </c>
      <c r="N439" s="753" t="str">
        <f>IF($D439&lt;&gt;"","SERVIÇO SINAPI",IF($E439&lt;&gt;"","INSUMO SINAPI",""))</f>
        <v>SERVIÇO SINAPI</v>
      </c>
      <c r="O439" s="605"/>
    </row>
    <row r="440" spans="2:15" ht="25.5">
      <c r="B440" s="122">
        <f t="shared" si="225"/>
        <v>12</v>
      </c>
      <c r="C440" s="611" t="str">
        <f>IF(D440&lt;&gt;"","C",IF(E440&lt;&gt;"","I",""))</f>
        <v>I</v>
      </c>
      <c r="D440" s="666"/>
      <c r="E440" s="661">
        <v>37558</v>
      </c>
      <c r="F440" s="612"/>
      <c r="G440" s="613" t="str">
        <f>IF($E440="",IFERROR(VLOOKUP($D440,SERVIÇOS!$C:$H,2,0),IFERROR(VLOOKUP($D440,$F:$M,2,0),"")),IFERROR(VLOOKUP($E440,INSUMOS!$B:$E,2,0),IFERROR(VLOOKUP($E440,COTAÇÕES!$C:$L,2,0),"")))</f>
        <v xml:space="preserve">PLACA DE SINALIZACAO DE SEGURANCA CONTRA INCENDIO, FOTOLUMINESCENTE, RETANGULAR, *20 X 40* CM, EM PVC *2* MM ANTI-CHAMAS (SIMBOLOS, CORES E PICTOGRAMAS CONFORME NBR 16820)                                                                                                                                                                                                                                                                                                                               </v>
      </c>
      <c r="H440" s="593" t="str">
        <f>IF($E440="",IFERROR(VLOOKUP($D440,SERVIÇOS!$C:$H,3,0),IFERROR(VLOOKUP($D440,$F:$M,3,0),"")),IFERROR(VLOOKUP($E440,INSUMOS!$B:$E,3,0),IFERROR(VLOOKUP($E440,COTAÇÕES!$C:$L,5,0),"")))</f>
        <v xml:space="preserve">UN    </v>
      </c>
      <c r="I440" s="638">
        <v>1</v>
      </c>
      <c r="J440" s="670">
        <f>IF($E440="",IFERROR(VLOOKUP($D440,SERVIÇOS!$C:$H,6,0),IFERROR(VLOOKUP($D440,$F:$M,8,0),"")),IFERROR(VLOOKUP($E440,INSUMOS!$B:$E,4,0),IFERROR(VLOOKUP($E440,COTAÇÕES!$C:$L,10,0),"")))</f>
        <v>20.51</v>
      </c>
      <c r="K440" s="615">
        <f>TRUNC(IF($E440="",IFERROR(VLOOKUP($D440,SERVIÇOS!$C:$H,4,0),IFERROR(VLOOKUP($D440,$F:$M,6,0),)),IFERROR(VLOOKUP($E440,INSUMOS!$B:$E,4,0),IFERROR(VLOOKUP($E440,COTAÇÕES!$C:$L,10,0),)))*$I440,2)</f>
        <v>20.51</v>
      </c>
      <c r="L440" s="616">
        <f>TRUNC(IF($E440="",IFERROR(VLOOKUP($D440,SERVIÇOS!$C:$H,5,0),IFERROR(VLOOKUP($D440,$F:$M,7,0),)),0)*$I440,2)</f>
        <v>0</v>
      </c>
      <c r="M440" s="617">
        <f>K440+L440</f>
        <v>20.51</v>
      </c>
      <c r="N440" s="753" t="str">
        <f>IF($D440&lt;&gt;"","SERVIÇO SINAPI",IF($E440&lt;&gt;"","INSUMO SINAPI",""))</f>
        <v>INSUMO SINAPI</v>
      </c>
      <c r="O440" s="605"/>
    </row>
    <row r="441" spans="2:15" ht="25.5">
      <c r="B441" s="769">
        <f>SUMIF(ORC!$G$11:$G$2470,CPU!$F441,ORC!$J$11:$J$2470)</f>
        <v>1</v>
      </c>
      <c r="C441" s="458" t="s">
        <v>2239</v>
      </c>
      <c r="D441" s="458"/>
      <c r="E441" s="458"/>
      <c r="F441" s="458" t="s">
        <v>2948</v>
      </c>
      <c r="G441" s="634" t="s">
        <v>6890</v>
      </c>
      <c r="H441" s="458" t="s">
        <v>646</v>
      </c>
      <c r="I441" s="635"/>
      <c r="J441" s="636"/>
      <c r="K441" s="636">
        <f>TRUNC(SUM(K442:K443),2)</f>
        <v>905.68</v>
      </c>
      <c r="L441" s="636">
        <f>TRUNC(SUM(L442:L443),2)</f>
        <v>3.43</v>
      </c>
      <c r="M441" s="636">
        <f>TRUNC(SUM(M442:M443),2)</f>
        <v>909.11</v>
      </c>
      <c r="N441" s="755" t="s">
        <v>5268</v>
      </c>
      <c r="O441" s="637"/>
    </row>
    <row r="442" spans="2:15">
      <c r="B442" s="122">
        <f t="shared" ref="B442:B443" si="226">B441</f>
        <v>1</v>
      </c>
      <c r="C442" s="611" t="str">
        <f>IF(D442&lt;&gt;"","C",IF(E442&lt;&gt;"","I",""))</f>
        <v>C</v>
      </c>
      <c r="D442" s="666">
        <v>88316</v>
      </c>
      <c r="E442" s="661"/>
      <c r="F442" s="612"/>
      <c r="G442" s="613" t="str">
        <f>IF($E442="",IFERROR(VLOOKUP($D442,SERVIÇOS!$C:$H,2,0),IFERROR(VLOOKUP($D442,$F:$M,2,0),"")),IFERROR(VLOOKUP($E442,INSUMOS!$B:$E,2,0),IFERROR(VLOOKUP($E442,COTAÇÕES!$C:$L,2,0),"")))</f>
        <v>SERVENTE COM ENCARGOS COMPLEMENTARES</v>
      </c>
      <c r="H442" s="593" t="str">
        <f>IF($E442="",IFERROR(VLOOKUP($D442,SERVIÇOS!$C:$H,3,0),IFERROR(VLOOKUP($D442,$F:$M,3,0),"")),IFERROR(VLOOKUP($E442,INSUMOS!$B:$E,3,0),IFERROR(VLOOKUP($E442,COTAÇÕES!$C:$L,5,0),"")))</f>
        <v>H</v>
      </c>
      <c r="I442" s="638">
        <v>0.2</v>
      </c>
      <c r="J442" s="670">
        <f>IF($E442="",IFERROR(VLOOKUP($D442,SERVIÇOS!$C:$H,6,0),IFERROR(VLOOKUP($D442,$F:$M,8,0),"")),IFERROR(VLOOKUP($E442,INSUMOS!$B:$E,4,0),IFERROR(VLOOKUP($E442,COTAÇÕES!$C:$L,10,0),"")))</f>
        <v>23.71</v>
      </c>
      <c r="K442" s="615">
        <f>TRUNC(IF($E442="",IFERROR(VLOOKUP($D442,SERVIÇOS!$C:$H,4,0),IFERROR(VLOOKUP($D442,$F:$M,6,0),)),IFERROR(VLOOKUP($E442,INSUMOS!$B:$E,4,0),IFERROR(VLOOKUP($E442,COTAÇÕES!$C:$L,10,0),)))*$I442,2)</f>
        <v>1.3</v>
      </c>
      <c r="L442" s="616">
        <f>TRUNC(IF($E442="",IFERROR(VLOOKUP($D442,SERVIÇOS!$C:$H,5,0),IFERROR(VLOOKUP($D442,$F:$M,7,0),)),0)*$I442,2)</f>
        <v>3.43</v>
      </c>
      <c r="M442" s="617">
        <f>K442+L442</f>
        <v>4.7300000000000004</v>
      </c>
      <c r="N442" s="753" t="str">
        <f>IF($D442&lt;&gt;"","SERVIÇO SINAPI",IF($E442&lt;&gt;"","INSUMO SINAPI",""))</f>
        <v>SERVIÇO SINAPI</v>
      </c>
      <c r="O442" s="606"/>
    </row>
    <row r="443" spans="2:15" ht="38.25" customHeight="1">
      <c r="B443" s="122">
        <f t="shared" si="226"/>
        <v>1</v>
      </c>
      <c r="C443" s="611" t="str">
        <f>IF(D443&lt;&gt;"","C",IF(E443&lt;&gt;"","I",""))</f>
        <v>I</v>
      </c>
      <c r="D443" s="666"/>
      <c r="E443" s="661" t="s">
        <v>9049</v>
      </c>
      <c r="F443" s="612"/>
      <c r="G443" s="613" t="str">
        <f>IF($E443="",IFERROR(VLOOKUP($D443,SERVIÇOS!$C:$H,2,0),IFERROR(VLOOKUP($D443,$F:$M,2,0),"")),IFERROR(VLOOKUP($E443,INSUMOS!$B:$E,2,0),IFERROR(VLOOKUP($E443,COTAÇÕES!$C:$L,2,0),"")))</f>
        <v>PLACA DE SINALIZAÇÃO  TIPO M1, COM INDICAÇÃO DOS SISTEMAS DE PROTEÇÃO CONTRA INCÊNDIO EXISTENTES NA EDIFICAÇÃO (SIMBOLOS, CORES E PICTOGRAMAS CONFORME NBR 13434), DIMENSÃO APROXIMADA 78X107,5CM</v>
      </c>
      <c r="H443" s="593" t="str">
        <f>IF($E443="",IFERROR(VLOOKUP($D443,SERVIÇOS!$C:$H,3,0),IFERROR(VLOOKUP($D443,$F:$M,3,0),"")),IFERROR(VLOOKUP($E443,INSUMOS!$B:$E,3,0),IFERROR(VLOOKUP($E443,COTAÇÕES!$C:$L,5,0),"")))</f>
        <v xml:space="preserve">UN </v>
      </c>
      <c r="I443" s="638">
        <v>1</v>
      </c>
      <c r="J443" s="670">
        <f>IF($E443="",IFERROR(VLOOKUP($D443,SERVIÇOS!$C:$H,6,0),IFERROR(VLOOKUP($D443,$F:$M,8,0),"")),IFERROR(VLOOKUP($E443,INSUMOS!$B:$E,4,0),IFERROR(VLOOKUP($E443,COTAÇÕES!$C:$L,10,0),"")))</f>
        <v>904.38333333333333</v>
      </c>
      <c r="K443" s="615">
        <f>TRUNC(IF($E443="",IFERROR(VLOOKUP($D443,SERVIÇOS!$C:$H,4,0),IFERROR(VLOOKUP($D443,$F:$M,6,0),)),IFERROR(VLOOKUP($E443,INSUMOS!$B:$E,4,0),IFERROR(VLOOKUP($E443,COTAÇÕES!$C:$L,10,0),)))*$I443,2)</f>
        <v>904.38</v>
      </c>
      <c r="L443" s="616">
        <f>TRUNC(IF($E443="",IFERROR(VLOOKUP($D443,SERVIÇOS!$C:$H,5,0),IFERROR(VLOOKUP($D443,$F:$M,7,0),)),0)*$I443,2)</f>
        <v>0</v>
      </c>
      <c r="M443" s="617">
        <f>K443+L443</f>
        <v>904.38</v>
      </c>
      <c r="N443" s="753" t="s">
        <v>6845</v>
      </c>
      <c r="O443" s="606"/>
    </row>
    <row r="444" spans="2:15" ht="25.5">
      <c r="B444" s="769">
        <f>SUMIF(ORC!$G$11:$G$2470,CPU!$F444,ORC!$J$11:$J$2470)</f>
        <v>1</v>
      </c>
      <c r="C444" s="458" t="s">
        <v>2239</v>
      </c>
      <c r="D444" s="458"/>
      <c r="E444" s="458"/>
      <c r="F444" s="458" t="s">
        <v>8452</v>
      </c>
      <c r="G444" s="634" t="s">
        <v>8453</v>
      </c>
      <c r="H444" s="458" t="s">
        <v>646</v>
      </c>
      <c r="I444" s="635"/>
      <c r="J444" s="636"/>
      <c r="K444" s="636">
        <f>TRUNC(SUM(K445:K446),2)</f>
        <v>36.44</v>
      </c>
      <c r="L444" s="636">
        <f>TRUNC(SUM(L445:L446),2)</f>
        <v>3.43</v>
      </c>
      <c r="M444" s="636">
        <f>TRUNC(SUM(M445:M446),2)</f>
        <v>39.869999999999997</v>
      </c>
      <c r="N444" s="755" t="s">
        <v>5268</v>
      </c>
      <c r="O444" s="637"/>
    </row>
    <row r="445" spans="2:15">
      <c r="B445" s="122">
        <f t="shared" ref="B445:B446" si="227">B444</f>
        <v>1</v>
      </c>
      <c r="C445" s="611" t="str">
        <f>IF(D445&lt;&gt;"","C",IF(E445&lt;&gt;"","I",""))</f>
        <v>C</v>
      </c>
      <c r="D445" s="666">
        <v>88316</v>
      </c>
      <c r="E445" s="661"/>
      <c r="F445" s="612"/>
      <c r="G445" s="613" t="str">
        <f>IF($E445="",IFERROR(VLOOKUP($D445,SERVIÇOS!$C:$H,2,0),IFERROR(VLOOKUP($D445,$F:$M,2,0),"")),IFERROR(VLOOKUP($E445,INSUMOS!$B:$E,2,0),IFERROR(VLOOKUP($E445,COTAÇÕES!$C:$L,2,0),"")))</f>
        <v>SERVENTE COM ENCARGOS COMPLEMENTARES</v>
      </c>
      <c r="H445" s="593" t="str">
        <f>IF($E445="",IFERROR(VLOOKUP($D445,SERVIÇOS!$C:$H,3,0),IFERROR(VLOOKUP($D445,$F:$M,3,0),"")),IFERROR(VLOOKUP($E445,INSUMOS!$B:$E,3,0),IFERROR(VLOOKUP($E445,COTAÇÕES!$C:$L,5,0),"")))</f>
        <v>H</v>
      </c>
      <c r="I445" s="638">
        <v>0.2</v>
      </c>
      <c r="J445" s="670">
        <f>IF($E445="",IFERROR(VLOOKUP($D445,SERVIÇOS!$C:$H,6,0),IFERROR(VLOOKUP($D445,$F:$M,8,0),"")),IFERROR(VLOOKUP($E445,INSUMOS!$B:$E,4,0),IFERROR(VLOOKUP($E445,COTAÇÕES!$C:$L,10,0),"")))</f>
        <v>23.71</v>
      </c>
      <c r="K445" s="615">
        <f>TRUNC(IF($E445="",IFERROR(VLOOKUP($D445,SERVIÇOS!$C:$H,4,0),IFERROR(VLOOKUP($D445,$F:$M,6,0),)),IFERROR(VLOOKUP($E445,INSUMOS!$B:$E,4,0),IFERROR(VLOOKUP($E445,COTAÇÕES!$C:$L,10,0),)))*$I445,2)</f>
        <v>1.3</v>
      </c>
      <c r="L445" s="616">
        <f>TRUNC(IF($E445="",IFERROR(VLOOKUP($D445,SERVIÇOS!$C:$H,5,0),IFERROR(VLOOKUP($D445,$F:$M,7,0),)),0)*$I445,2)</f>
        <v>3.43</v>
      </c>
      <c r="M445" s="617">
        <f>K445+L445</f>
        <v>4.7300000000000004</v>
      </c>
      <c r="N445" s="753" t="str">
        <f>IF($D445&lt;&gt;"","SERVIÇO SINAPI",IF($E445&lt;&gt;"","INSUMO SINAPI",""))</f>
        <v>SERVIÇO SINAPI</v>
      </c>
      <c r="O445" s="606"/>
    </row>
    <row r="446" spans="2:15" ht="39.75" customHeight="1">
      <c r="B446" s="122">
        <f t="shared" si="227"/>
        <v>1</v>
      </c>
      <c r="C446" s="611" t="str">
        <f>IF(D446&lt;&gt;"","C",IF(E446&lt;&gt;"","I",""))</f>
        <v>I</v>
      </c>
      <c r="D446" s="666"/>
      <c r="E446" s="661" t="s">
        <v>9037</v>
      </c>
      <c r="F446" s="612"/>
      <c r="G446" s="894" t="str">
        <f>IF($E446="",IFERROR(VLOOKUP($D446,SERVIÇOS!$C:$H,2,0),IFERROR(VLOOKUP($D446,$F:$M,2,0),"")),IFERROR(VLOOKUP($E446,INSUMOS!$B:$E,2,0),IFERROR(VLOOKUP($E446,COTAÇÕES!$C:$L,2,0),"")))</f>
        <v>PLACA DE SINALIZAÇÃO  TIPO M2, COM INDICAÇÃO DOS SISTEMAS DE PROTEÇÃO CONTRA INCÊNDIO EXISTENTES NA EDIFICAÇÃO (SIMBOLOS, CORES E PICTOGRAMAS CONFORME NBR 13434), DIMENSÃO APROXIMADA 78X107,5CM</v>
      </c>
      <c r="H446" s="593" t="str">
        <f>IF($E446="",IFERROR(VLOOKUP($D446,SERVIÇOS!$C:$H,3,0),IFERROR(VLOOKUP($D446,$F:$M,3,0),"")),IFERROR(VLOOKUP($E446,INSUMOS!$B:$E,3,0),IFERROR(VLOOKUP($E446,COTAÇÕES!$C:$L,5,0),"")))</f>
        <v xml:space="preserve">UN </v>
      </c>
      <c r="I446" s="638">
        <v>1</v>
      </c>
      <c r="J446" s="670">
        <f>IF($E446="",IFERROR(VLOOKUP($D446,SERVIÇOS!$C:$H,6,0),IFERROR(VLOOKUP($D446,$F:$M,8,0),"")),IFERROR(VLOOKUP($E446,INSUMOS!$B:$E,4,0),IFERROR(VLOOKUP($E446,COTAÇÕES!$C:$L,10,0),"")))</f>
        <v>35.14</v>
      </c>
      <c r="K446" s="615">
        <f>TRUNC(IF($E446="",IFERROR(VLOOKUP($D446,SERVIÇOS!$C:$H,4,0),IFERROR(VLOOKUP($D446,$F:$M,6,0),)),IFERROR(VLOOKUP($E446,INSUMOS!$B:$E,4,0),IFERROR(VLOOKUP($E446,COTAÇÕES!$C:$L,10,0),)))*$I446,2)</f>
        <v>35.14</v>
      </c>
      <c r="L446" s="616">
        <f>TRUNC(IF($E446="",IFERROR(VLOOKUP($D446,SERVIÇOS!$C:$H,5,0),IFERROR(VLOOKUP($D446,$F:$M,7,0),)),0)*$I446,2)</f>
        <v>0</v>
      </c>
      <c r="M446" s="617">
        <f>K446+L446</f>
        <v>35.14</v>
      </c>
      <c r="N446" s="753" t="s">
        <v>6845</v>
      </c>
      <c r="O446" s="606"/>
    </row>
    <row r="447" spans="2:15" ht="25.5">
      <c r="B447" s="769">
        <f>SUMIF(ORC!$G$11:$G$2470,CPU!$F447,ORC!$J$11:$J$2470)</f>
        <v>13</v>
      </c>
      <c r="C447" s="458" t="s">
        <v>2239</v>
      </c>
      <c r="D447" s="458"/>
      <c r="E447" s="458"/>
      <c r="F447" s="458" t="s">
        <v>2949</v>
      </c>
      <c r="G447" s="634" t="s">
        <v>6886</v>
      </c>
      <c r="H447" s="458" t="s">
        <v>646</v>
      </c>
      <c r="I447" s="635"/>
      <c r="J447" s="636"/>
      <c r="K447" s="636">
        <f>TRUNC(SUM(K448:K451),2)</f>
        <v>170.71</v>
      </c>
      <c r="L447" s="636">
        <f>TRUNC(SUM(L448:L451),2)</f>
        <v>18.989999999999998</v>
      </c>
      <c r="M447" s="636">
        <f>TRUNC(SUM(M448:M451),2)</f>
        <v>189.7</v>
      </c>
      <c r="N447" s="755" t="s">
        <v>6885</v>
      </c>
      <c r="O447" s="637"/>
    </row>
    <row r="448" spans="2:15">
      <c r="B448" s="122">
        <f t="shared" ref="B448:B451" si="228">B447</f>
        <v>13</v>
      </c>
      <c r="C448" s="611" t="str">
        <f>IF(D448&lt;&gt;"","C",IF(E448&lt;&gt;"","I",""))</f>
        <v>C</v>
      </c>
      <c r="D448" s="666">
        <v>88309</v>
      </c>
      <c r="E448" s="661"/>
      <c r="F448" s="612"/>
      <c r="G448" s="613" t="str">
        <f>IF($E448="",IFERROR(VLOOKUP($D448,SERVIÇOS!$C:$H,2,0),IFERROR(VLOOKUP($D448,$F:$M,2,0),"")),IFERROR(VLOOKUP($E448,INSUMOS!$B:$E,2,0),IFERROR(VLOOKUP($E448,COTAÇÕES!$C:$L,2,0),"")))</f>
        <v>PEDREIRO COM ENCARGOS COMPLEMENTARES</v>
      </c>
      <c r="H448" s="593" t="str">
        <f>IF($E448="",IFERROR(VLOOKUP($D448,SERVIÇOS!$C:$H,3,0),IFERROR(VLOOKUP($D448,$F:$M,3,0),"")),IFERROR(VLOOKUP($E448,INSUMOS!$B:$E,3,0),IFERROR(VLOOKUP($E448,COTAÇÕES!$C:$L,5,0),"")))</f>
        <v>H</v>
      </c>
      <c r="I448" s="638">
        <v>0.45739999999999997</v>
      </c>
      <c r="J448" s="670">
        <f>IF($E448="",IFERROR(VLOOKUP($D448,SERVIÇOS!$C:$H,6,0),IFERROR(VLOOKUP($D448,$F:$M,8,0),"")),IFERROR(VLOOKUP($E448,INSUMOS!$B:$E,4,0),IFERROR(VLOOKUP($E448,COTAÇÕES!$C:$L,10,0),"")))</f>
        <v>30.99</v>
      </c>
      <c r="K448" s="615">
        <f>TRUNC(IF($E448="",IFERROR(VLOOKUP($D448,SERVIÇOS!$C:$H,4,0),IFERROR(VLOOKUP($D448,$F:$M,6,0),)),IFERROR(VLOOKUP($E448,INSUMOS!$B:$E,4,0),IFERROR(VLOOKUP($E448,COTAÇÕES!$C:$L,10,0),)))*$I448,2)</f>
        <v>3.03</v>
      </c>
      <c r="L448" s="616">
        <f>TRUNC(IF($E448="",IFERROR(VLOOKUP($D448,SERVIÇOS!$C:$H,5,0),IFERROR(VLOOKUP($D448,$F:$M,7,0),)),0)*$I448,2)</f>
        <v>11.13</v>
      </c>
      <c r="M448" s="617">
        <f>K448+L448</f>
        <v>14.16</v>
      </c>
      <c r="N448" s="753" t="str">
        <f>IF($D448&lt;&gt;"","SERVIÇO SINAPI",IF($E448&lt;&gt;"","INSUMO SINAPI",""))</f>
        <v>SERVIÇO SINAPI</v>
      </c>
      <c r="O448" s="606"/>
    </row>
    <row r="449" spans="2:17">
      <c r="B449" s="122">
        <f t="shared" si="228"/>
        <v>13</v>
      </c>
      <c r="C449" s="611" t="str">
        <f>IF(D449&lt;&gt;"","C",IF(E449&lt;&gt;"","I",""))</f>
        <v>C</v>
      </c>
      <c r="D449" s="666">
        <v>88316</v>
      </c>
      <c r="E449" s="661"/>
      <c r="F449" s="612"/>
      <c r="G449" s="613" t="str">
        <f>IF($E449="",IFERROR(VLOOKUP($D449,SERVIÇOS!$C:$H,2,0),IFERROR(VLOOKUP($D449,$F:$M,2,0),"")),IFERROR(VLOOKUP($E449,INSUMOS!$B:$E,2,0),IFERROR(VLOOKUP($E449,COTAÇÕES!$C:$L,2,0),"")))</f>
        <v>SERVENTE COM ENCARGOS COMPLEMENTARES</v>
      </c>
      <c r="H449" s="593" t="str">
        <f>IF($E449="",IFERROR(VLOOKUP($D449,SERVIÇOS!$C:$H,3,0),IFERROR(VLOOKUP($D449,$F:$M,3,0),"")),IFERROR(VLOOKUP($E449,INSUMOS!$B:$E,3,0),IFERROR(VLOOKUP($E449,COTAÇÕES!$C:$L,5,0),"")))</f>
        <v>H</v>
      </c>
      <c r="I449" s="638">
        <v>0.45739999999999997</v>
      </c>
      <c r="J449" s="670">
        <f>IF($E449="",IFERROR(VLOOKUP($D449,SERVIÇOS!$C:$H,6,0),IFERROR(VLOOKUP($D449,$F:$M,8,0),"")),IFERROR(VLOOKUP($E449,INSUMOS!$B:$E,4,0),IFERROR(VLOOKUP($E449,COTAÇÕES!$C:$L,10,0),"")))</f>
        <v>23.71</v>
      </c>
      <c r="K449" s="615">
        <f>TRUNC(IF($E449="",IFERROR(VLOOKUP($D449,SERVIÇOS!$C:$H,4,0),IFERROR(VLOOKUP($D449,$F:$M,6,0),)),IFERROR(VLOOKUP($E449,INSUMOS!$B:$E,4,0),IFERROR(VLOOKUP($E449,COTAÇÕES!$C:$L,10,0),)))*$I449,2)</f>
        <v>2.98</v>
      </c>
      <c r="L449" s="616">
        <f>TRUNC(IF($E449="",IFERROR(VLOOKUP($D449,SERVIÇOS!$C:$H,5,0),IFERROR(VLOOKUP($D449,$F:$M,7,0),)),0)*$I449,2)</f>
        <v>7.86</v>
      </c>
      <c r="M449" s="617">
        <f>K449+L449</f>
        <v>10.84</v>
      </c>
      <c r="N449" s="753" t="str">
        <f>IF($D449&lt;&gt;"","SERVIÇO SINAPI",IF($E449&lt;&gt;"","INSUMO SINAPI",""))</f>
        <v>SERVIÇO SINAPI</v>
      </c>
      <c r="O449" s="606"/>
    </row>
    <row r="450" spans="2:17" ht="25.5">
      <c r="B450" s="122">
        <f t="shared" si="228"/>
        <v>13</v>
      </c>
      <c r="C450" s="611" t="str">
        <f>IF(D450&lt;&gt;"","C",IF(E450&lt;&gt;"","I",""))</f>
        <v>I</v>
      </c>
      <c r="D450" s="666"/>
      <c r="E450" s="661">
        <v>7583</v>
      </c>
      <c r="F450" s="612"/>
      <c r="G450" s="613" t="str">
        <f>IF($E450="",IFERROR(VLOOKUP($D450,SERVIÇOS!$C:$H,2,0),IFERROR(VLOOKUP($D450,$F:$M,2,0),"")),IFERROR(VLOOKUP($E450,INSUMOS!$B:$E,2,0),IFERROR(VLOOKUP($E450,COTAÇÕES!$C:$L,2,0),"")))</f>
        <v xml:space="preserve">BUCHA DE NYLON SEM ABA S8, COM PARAFUSO DE 4,80 X 50 MM EM ACO ZINCADO COM ROSCA SOBERBA, CABECA CHATA E FENDA PHILLIPS                                                                                                                                                                                                                                                                                                                                                                                   </v>
      </c>
      <c r="H450" s="593" t="str">
        <f>IF($E450="",IFERROR(VLOOKUP($D450,SERVIÇOS!$C:$H,3,0),IFERROR(VLOOKUP($D450,$F:$M,3,0),"")),IFERROR(VLOOKUP($E450,INSUMOS!$B:$E,3,0),IFERROR(VLOOKUP($E450,COTAÇÕES!$C:$L,5,0),"")))</f>
        <v xml:space="preserve">UN    </v>
      </c>
      <c r="I450" s="638">
        <v>2</v>
      </c>
      <c r="J450" s="670">
        <f>IF($E450="",IFERROR(VLOOKUP($D450,SERVIÇOS!$C:$H,6,0),IFERROR(VLOOKUP($D450,$F:$M,8,0),"")),IFERROR(VLOOKUP($E450,INSUMOS!$B:$E,4,0),IFERROR(VLOOKUP($E450,COTAÇÕES!$C:$L,10,0),"")))</f>
        <v>0.5</v>
      </c>
      <c r="K450" s="615">
        <f>TRUNC(IF($E450="",IFERROR(VLOOKUP($D450,SERVIÇOS!$C:$H,4,0),IFERROR(VLOOKUP($D450,$F:$M,6,0),)),IFERROR(VLOOKUP($E450,INSUMOS!$B:$E,4,0),IFERROR(VLOOKUP($E450,COTAÇÕES!$C:$L,10,0),)))*$I450,2)</f>
        <v>1</v>
      </c>
      <c r="L450" s="616">
        <f>TRUNC(IF($E450="",IFERROR(VLOOKUP($D450,SERVIÇOS!$C:$H,5,0),IFERROR(VLOOKUP($D450,$F:$M,7,0),)),0)*$I450,2)</f>
        <v>0</v>
      </c>
      <c r="M450" s="617">
        <f>K450+L450</f>
        <v>1</v>
      </c>
      <c r="N450" s="753" t="str">
        <f>IF($D450&lt;&gt;"","SERVIÇO SINAPI",IF($E450&lt;&gt;"","INSUMO SINAPI",""))</f>
        <v>INSUMO SINAPI</v>
      </c>
      <c r="O450" s="606"/>
    </row>
    <row r="451" spans="2:17" ht="25.5">
      <c r="B451" s="122">
        <f t="shared" si="228"/>
        <v>13</v>
      </c>
      <c r="C451" s="611" t="str">
        <f>IF(D451&lt;&gt;"","C",IF(E451&lt;&gt;"","I",""))</f>
        <v>I</v>
      </c>
      <c r="D451" s="666"/>
      <c r="E451" s="661" t="s">
        <v>9050</v>
      </c>
      <c r="F451" s="612"/>
      <c r="G451" s="613" t="str">
        <f>IF($E451="",IFERROR(VLOOKUP($D451,SERVIÇOS!$C:$H,2,0),IFERROR(VLOOKUP($D451,$F:$M,2,0),"")),IFERROR(VLOOKUP($E451,INSUMOS!$B:$E,2,0),IFERROR(VLOOKUP($E451,COTAÇÕES!$C:$L,2,0),"")))</f>
        <v xml:space="preserve">EXTINTOR MANUAL DE PÓ QUÍMICO CLASSES ABC, CAPACIDADE DE 4 KG, REF. 1-A NBR 9443 E 10-B NBR 9444 COM CARGA </v>
      </c>
      <c r="H451" s="593" t="str">
        <f>IF($E451="",IFERROR(VLOOKUP($D451,SERVIÇOS!$C:$H,3,0),IFERROR(VLOOKUP($D451,$F:$M,3,0),"")),IFERROR(VLOOKUP($E451,INSUMOS!$B:$E,3,0),IFERROR(VLOOKUP($E451,COTAÇÕES!$C:$L,5,0),"")))</f>
        <v>UN</v>
      </c>
      <c r="I451" s="641">
        <v>1</v>
      </c>
      <c r="J451" s="670">
        <f>IF($E451="",IFERROR(VLOOKUP($D451,SERVIÇOS!$C:$H,6,0),IFERROR(VLOOKUP($D451,$F:$M,8,0),"")),IFERROR(VLOOKUP($E451,INSUMOS!$B:$E,4,0),IFERROR(VLOOKUP($E451,COTAÇÕES!$C:$L,10,0),"")))</f>
        <v>163.70666666666668</v>
      </c>
      <c r="K451" s="615">
        <f>TRUNC(IF($E451="",IFERROR(VLOOKUP($D451,SERVIÇOS!$C:$H,4,0),IFERROR(VLOOKUP($D451,$F:$M,6,0),)),IFERROR(VLOOKUP($E451,INSUMOS!$B:$E,4,0),IFERROR(VLOOKUP($E451,COTAÇÕES!$C:$L,10,0),)))*$I451,2)</f>
        <v>163.69999999999999</v>
      </c>
      <c r="L451" s="616">
        <f>TRUNC(IF($E451="",IFERROR(VLOOKUP($D451,SERVIÇOS!$C:$H,5,0),IFERROR(VLOOKUP($D451,$F:$M,7,0),)),0)*$I451,2)</f>
        <v>0</v>
      </c>
      <c r="M451" s="617">
        <f>K451+L451</f>
        <v>163.69999999999999</v>
      </c>
      <c r="N451" s="753" t="s">
        <v>6845</v>
      </c>
      <c r="O451" s="606"/>
    </row>
    <row r="452" spans="2:17" ht="25.5">
      <c r="B452" s="769">
        <f>SUMIF(ORC!$G$11:$G$2470,CPU!$F452,ORC!$J$11:$J$2470)</f>
        <v>2</v>
      </c>
      <c r="C452" s="458" t="s">
        <v>2239</v>
      </c>
      <c r="D452" s="458"/>
      <c r="E452" s="458"/>
      <c r="F452" s="458" t="s">
        <v>6883</v>
      </c>
      <c r="G452" s="634" t="s">
        <v>6884</v>
      </c>
      <c r="H452" s="515" t="s">
        <v>646</v>
      </c>
      <c r="I452" s="635"/>
      <c r="J452" s="636"/>
      <c r="K452" s="636">
        <f>TRUNC(SUM(K453:K467),2)</f>
        <v>446.05</v>
      </c>
      <c r="L452" s="636">
        <f>TRUNC(SUM(L453:L467),2)</f>
        <v>363.88</v>
      </c>
      <c r="M452" s="636">
        <f>TRUNC(SUM(M453:M467),2)</f>
        <v>809.93</v>
      </c>
      <c r="N452" s="755" t="s">
        <v>7545</v>
      </c>
      <c r="O452" s="606"/>
    </row>
    <row r="453" spans="2:17" ht="38.25">
      <c r="B453" s="122">
        <f t="shared" ref="B453:B467" si="229">B452</f>
        <v>2</v>
      </c>
      <c r="C453" s="611" t="str">
        <f>IF(D453&lt;&gt;"","C",IF(E453&lt;&gt;"","I",""))</f>
        <v>C</v>
      </c>
      <c r="D453" s="666">
        <v>5678</v>
      </c>
      <c r="E453" s="661"/>
      <c r="F453" s="612"/>
      <c r="G453" s="613" t="str">
        <f>IF($E453="",IFERROR(VLOOKUP($D453,SERVIÇOS!$C:$H,2,0),IFERROR(VLOOKUP($D453,$F:$M,2,0),"")),IFERROR(VLOOKUP($E453,INSUMOS!$B:$E,2,0),IFERROR(VLOOKUP($E453,COTAÇÕES!$C:$L,2,0),"")))</f>
        <v>RETROESCAVADEIRA SOBRE RODAS COM CARREGADEIRA, TRAÇÃO 4X4, POTÊNCIA LÍQ. 88 HP, CAÇAMBA CARREG. CAP. MÍN. 1 M3, CAÇAMBA RETRO CAP. 0,26 M3, PESO OPERACIONAL MÍN. 6.674 KG, PROFUNDIDADE ESCAVAÇÃO MÁX. 4,37 M - CHP DIURNO. AF_06/2014</v>
      </c>
      <c r="H453" s="593" t="str">
        <f>IF($E453="",IFERROR(VLOOKUP($D453,SERVIÇOS!$C:$H,3,0),IFERROR(VLOOKUP($D453,$F:$M,3,0),"")),IFERROR(VLOOKUP($E453,INSUMOS!$B:$E,3,0),IFERROR(VLOOKUP($E453,COTAÇÕES!$C:$L,5,0),"")))</f>
        <v>CHP</v>
      </c>
      <c r="I453" s="638">
        <v>1.3599999999999999E-2</v>
      </c>
      <c r="J453" s="670">
        <f>IF($E453="",IFERROR(VLOOKUP($D453,SERVIÇOS!$C:$H,6,0),IFERROR(VLOOKUP($D453,$F:$M,8,0),"")),IFERROR(VLOOKUP($E453,INSUMOS!$B:$E,4,0),IFERROR(VLOOKUP($E453,COTAÇÕES!$C:$L,10,0),"")))</f>
        <v>159.29</v>
      </c>
      <c r="K453" s="615">
        <f>TRUNC(IF($E453="",IFERROR(VLOOKUP($D453,SERVIÇOS!$C:$H,4,0),IFERROR(VLOOKUP($D453,$F:$M,6,0),)),IFERROR(VLOOKUP($E453,INSUMOS!$B:$E,4,0),IFERROR(VLOOKUP($E453,COTAÇÕES!$C:$L,10,0),)))*$I453,2)</f>
        <v>1.83</v>
      </c>
      <c r="L453" s="616">
        <f>TRUNC(IF($E453="",IFERROR(VLOOKUP($D453,SERVIÇOS!$C:$H,5,0),IFERROR(VLOOKUP($D453,$F:$M,7,0),)),0)*$I453,2)</f>
        <v>0.33</v>
      </c>
      <c r="M453" s="617">
        <f t="shared" ref="M453:M467" si="230">K453+L453</f>
        <v>2.16</v>
      </c>
      <c r="N453" s="753" t="str">
        <f t="shared" ref="N453:N471" si="231">IF($D453&lt;&gt;"","SERVIÇO SINAPI",IF($E453&lt;&gt;"","INSUMO SINAPI",""))</f>
        <v>SERVIÇO SINAPI</v>
      </c>
      <c r="O453" s="606"/>
    </row>
    <row r="454" spans="2:17" ht="38.25">
      <c r="B454" s="122">
        <f t="shared" si="229"/>
        <v>2</v>
      </c>
      <c r="C454" s="611" t="str">
        <f t="shared" ref="C454:C467" si="232">IF(D454&lt;&gt;"","C",IF(E454&lt;&gt;"","I",""))</f>
        <v>C</v>
      </c>
      <c r="D454" s="666">
        <v>5679</v>
      </c>
      <c r="E454" s="661"/>
      <c r="F454" s="612"/>
      <c r="G454" s="613" t="str">
        <f>IF($E454="",IFERROR(VLOOKUP($D454,SERVIÇOS!$C:$H,2,0),IFERROR(VLOOKUP($D454,$F:$M,2,0),"")),IFERROR(VLOOKUP($E454,INSUMOS!$B:$E,2,0),IFERROR(VLOOKUP($E454,COTAÇÕES!$C:$L,2,0),"")))</f>
        <v>RETROESCAVADEIRA SOBRE RODAS COM CARREGADEIRA, TRAÇÃO 4X4, POTÊNCIA LÍQ. 88 HP, CAÇAMBA CARREG. CAP. MÍN. 1 M3, CAÇAMBA RETRO CAP. 0,26 M3, PESO OPERACIONAL MÍN. 6.674 KG, PROFUNDIDADE ESCAVAÇÃO MÁX. 4,37 M - CHI DIURNO. AF_06/2014</v>
      </c>
      <c r="H454" s="593" t="str">
        <f>IF($E454="",IFERROR(VLOOKUP($D454,SERVIÇOS!$C:$H,3,0),IFERROR(VLOOKUP($D454,$F:$M,3,0),"")),IFERROR(VLOOKUP($E454,INSUMOS!$B:$E,3,0),IFERROR(VLOOKUP($E454,COTAÇÕES!$C:$L,5,0),"")))</f>
        <v>CHI</v>
      </c>
      <c r="I454" s="638">
        <v>2.76E-2</v>
      </c>
      <c r="J454" s="670">
        <f>IF($E454="",IFERROR(VLOOKUP($D454,SERVIÇOS!$C:$H,6,0),IFERROR(VLOOKUP($D454,$F:$M,8,0),"")),IFERROR(VLOOKUP($E454,INSUMOS!$B:$E,4,0),IFERROR(VLOOKUP($E454,COTAÇÕES!$C:$L,10,0),"")))</f>
        <v>61.97</v>
      </c>
      <c r="K454" s="615">
        <f>TRUNC(IF($E454="",IFERROR(VLOOKUP($D454,SERVIÇOS!$C:$H,4,0),IFERROR(VLOOKUP($D454,$F:$M,6,0),)),IFERROR(VLOOKUP($E454,INSUMOS!$B:$E,4,0),IFERROR(VLOOKUP($E454,COTAÇÕES!$C:$L,10,0),)))*$I454,2)</f>
        <v>1.03</v>
      </c>
      <c r="L454" s="616">
        <f>TRUNC(IF($E454="",IFERROR(VLOOKUP($D454,SERVIÇOS!$C:$H,5,0),IFERROR(VLOOKUP($D454,$F:$M,7,0),)),0)*$I454,2)</f>
        <v>0.67</v>
      </c>
      <c r="M454" s="617">
        <f t="shared" si="230"/>
        <v>1.7000000000000002</v>
      </c>
      <c r="N454" s="753" t="str">
        <f t="shared" si="231"/>
        <v>SERVIÇO SINAPI</v>
      </c>
      <c r="O454" s="606"/>
    </row>
    <row r="455" spans="2:17" ht="25.5">
      <c r="B455" s="122">
        <f t="shared" si="229"/>
        <v>2</v>
      </c>
      <c r="C455" s="611" t="str">
        <f t="shared" si="232"/>
        <v>C</v>
      </c>
      <c r="D455" s="666">
        <v>87316</v>
      </c>
      <c r="E455" s="661"/>
      <c r="F455" s="612"/>
      <c r="G455" s="613" t="str">
        <f>IF($E455="",IFERROR(VLOOKUP($D455,SERVIÇOS!$C:$H,2,0),IFERROR(VLOOKUP($D455,$F:$M,2,0),"")),IFERROR(VLOOKUP($E455,INSUMOS!$B:$E,2,0),IFERROR(VLOOKUP($E455,COTAÇÕES!$C:$L,2,0),"")))</f>
        <v>ARGAMASSA TRAÇO 1:4 (EM VOLUME DE CIMENTO E AREIA GROSSA ÚMIDA) PARA CHAPISCO CONVENCIONAL, PREPARO MECÂNICO COM BETONEIRA 400 L. AF_08/2019</v>
      </c>
      <c r="H455" s="593" t="str">
        <f>IF($E455="",IFERROR(VLOOKUP($D455,SERVIÇOS!$C:$H,3,0),IFERROR(VLOOKUP($D455,$F:$M,3,0),"")),IFERROR(VLOOKUP($E455,INSUMOS!$B:$E,3,0),IFERROR(VLOOKUP($E455,COTAÇÕES!$C:$L,5,0),"")))</f>
        <v>M3</v>
      </c>
      <c r="I455" s="638">
        <v>1.9599999999999999E-2</v>
      </c>
      <c r="J455" s="670">
        <f>IF($E455="",IFERROR(VLOOKUP($D455,SERVIÇOS!$C:$H,6,0),IFERROR(VLOOKUP($D455,$F:$M,8,0),"")),IFERROR(VLOOKUP($E455,INSUMOS!$B:$E,4,0),IFERROR(VLOOKUP($E455,COTAÇÕES!$C:$L,10,0),"")))</f>
        <v>424.93</v>
      </c>
      <c r="K455" s="615">
        <f>TRUNC(IF($E455="",IFERROR(VLOOKUP($D455,SERVIÇOS!$C:$H,4,0),IFERROR(VLOOKUP($D455,$F:$M,6,0),)),IFERROR(VLOOKUP($E455,INSUMOS!$B:$E,4,0),IFERROR(VLOOKUP($E455,COTAÇÕES!$C:$L,10,0),)))*$I455,2)</f>
        <v>6.73</v>
      </c>
      <c r="L455" s="616">
        <f>TRUNC(IF($E455="",IFERROR(VLOOKUP($D455,SERVIÇOS!$C:$H,5,0),IFERROR(VLOOKUP($D455,$F:$M,7,0),)),0)*$I455,2)</f>
        <v>1.59</v>
      </c>
      <c r="M455" s="617">
        <f t="shared" si="230"/>
        <v>8.32</v>
      </c>
      <c r="N455" s="753" t="str">
        <f t="shared" si="231"/>
        <v>SERVIÇO SINAPI</v>
      </c>
      <c r="O455" s="606"/>
    </row>
    <row r="456" spans="2:17">
      <c r="B456" s="122">
        <f t="shared" si="229"/>
        <v>2</v>
      </c>
      <c r="C456" s="611" t="str">
        <f t="shared" si="232"/>
        <v>C</v>
      </c>
      <c r="D456" s="666">
        <v>88309</v>
      </c>
      <c r="E456" s="661"/>
      <c r="F456" s="612"/>
      <c r="G456" s="613" t="str">
        <f>IF($E456="",IFERROR(VLOOKUP($D456,SERVIÇOS!$C:$H,2,0),IFERROR(VLOOKUP($D456,$F:$M,2,0),"")),IFERROR(VLOOKUP($E456,INSUMOS!$B:$E,2,0),IFERROR(VLOOKUP($E456,COTAÇÕES!$C:$L,2,0),"")))</f>
        <v>PEDREIRO COM ENCARGOS COMPLEMENTARES</v>
      </c>
      <c r="H456" s="593" t="str">
        <f>IF($E456="",IFERROR(VLOOKUP($D456,SERVIÇOS!$C:$H,3,0),IFERROR(VLOOKUP($D456,$F:$M,3,0),"")),IFERROR(VLOOKUP($E456,INSUMOS!$B:$E,3,0),IFERROR(VLOOKUP($E456,COTAÇÕES!$C:$L,5,0),"")))</f>
        <v>H</v>
      </c>
      <c r="I456" s="638">
        <v>6.8139000000000003</v>
      </c>
      <c r="J456" s="670">
        <f>IF($E456="",IFERROR(VLOOKUP($D456,SERVIÇOS!$C:$H,6,0),IFERROR(VLOOKUP($D456,$F:$M,8,0),"")),IFERROR(VLOOKUP($E456,INSUMOS!$B:$E,4,0),IFERROR(VLOOKUP($E456,COTAÇÕES!$C:$L,10,0),"")))</f>
        <v>30.99</v>
      </c>
      <c r="K456" s="615">
        <f>TRUNC(IF($E456="",IFERROR(VLOOKUP($D456,SERVIÇOS!$C:$H,4,0),IFERROR(VLOOKUP($D456,$F:$M,6,0),)),IFERROR(VLOOKUP($E456,INSUMOS!$B:$E,4,0),IFERROR(VLOOKUP($E456,COTAÇÕES!$C:$L,10,0),)))*$I456,2)</f>
        <v>45.24</v>
      </c>
      <c r="L456" s="616">
        <f>TRUNC(IF($E456="",IFERROR(VLOOKUP($D456,SERVIÇOS!$C:$H,5,0),IFERROR(VLOOKUP($D456,$F:$M,7,0),)),0)*$I456,2)</f>
        <v>165.91</v>
      </c>
      <c r="M456" s="617">
        <f t="shared" si="230"/>
        <v>211.15</v>
      </c>
      <c r="N456" s="753" t="str">
        <f t="shared" si="231"/>
        <v>SERVIÇO SINAPI</v>
      </c>
      <c r="O456" s="606"/>
    </row>
    <row r="457" spans="2:17">
      <c r="B457" s="122">
        <f t="shared" si="229"/>
        <v>2</v>
      </c>
      <c r="C457" s="611" t="str">
        <f t="shared" si="232"/>
        <v>C</v>
      </c>
      <c r="D457" s="666">
        <v>88316</v>
      </c>
      <c r="E457" s="661"/>
      <c r="F457" s="612"/>
      <c r="G457" s="613" t="str">
        <f>IF($E457="",IFERROR(VLOOKUP($D457,SERVIÇOS!$C:$H,2,0),IFERROR(VLOOKUP($D457,$F:$M,2,0),"")),IFERROR(VLOOKUP($E457,INSUMOS!$B:$E,2,0),IFERROR(VLOOKUP($E457,COTAÇÕES!$C:$L,2,0),"")))</f>
        <v>SERVENTE COM ENCARGOS COMPLEMENTARES</v>
      </c>
      <c r="H457" s="593" t="str">
        <f>IF($E457="",IFERROR(VLOOKUP($D457,SERVIÇOS!$C:$H,3,0),IFERROR(VLOOKUP($D457,$F:$M,3,0),"")),IFERROR(VLOOKUP($E457,INSUMOS!$B:$E,3,0),IFERROR(VLOOKUP($E457,COTAÇÕES!$C:$L,5,0),"")))</f>
        <v>H</v>
      </c>
      <c r="I457" s="638">
        <v>5.3537999999999997</v>
      </c>
      <c r="J457" s="670">
        <f>IF($E457="",IFERROR(VLOOKUP($D457,SERVIÇOS!$C:$H,6,0),IFERROR(VLOOKUP($D457,$F:$M,8,0),"")),IFERROR(VLOOKUP($E457,INSUMOS!$B:$E,4,0),IFERROR(VLOOKUP($E457,COTAÇÕES!$C:$L,10,0),"")))</f>
        <v>23.71</v>
      </c>
      <c r="K457" s="615">
        <f>TRUNC(IF($E457="",IFERROR(VLOOKUP($D457,SERVIÇOS!$C:$H,4,0),IFERROR(VLOOKUP($D457,$F:$M,6,0),)),IFERROR(VLOOKUP($E457,INSUMOS!$B:$E,4,0),IFERROR(VLOOKUP($E457,COTAÇÕES!$C:$L,10,0),)))*$I457,2)</f>
        <v>34.9</v>
      </c>
      <c r="L457" s="616">
        <f>TRUNC(IF($E457="",IFERROR(VLOOKUP($D457,SERVIÇOS!$C:$H,5,0),IFERROR(VLOOKUP($D457,$F:$M,7,0),)),0)*$I457,2)</f>
        <v>92.03</v>
      </c>
      <c r="M457" s="617">
        <f t="shared" si="230"/>
        <v>126.93</v>
      </c>
      <c r="N457" s="753" t="str">
        <f t="shared" si="231"/>
        <v>SERVIÇO SINAPI</v>
      </c>
      <c r="O457" s="606"/>
    </row>
    <row r="458" spans="2:17" ht="25.5">
      <c r="B458" s="122">
        <f t="shared" si="229"/>
        <v>2</v>
      </c>
      <c r="C458" s="611" t="str">
        <f t="shared" si="232"/>
        <v>C</v>
      </c>
      <c r="D458" s="661">
        <v>94970</v>
      </c>
      <c r="E458" s="661"/>
      <c r="F458" s="628"/>
      <c r="G458" s="613" t="str">
        <f>IF($E458="",IFERROR(VLOOKUP($D458,SERVIÇOS!$C:$H,2,0),IFERROR(VLOOKUP($D458,$F:$M,2,0),"")),IFERROR(VLOOKUP($E458,INSUMOS!$B:$E,2,0),IFERROR(VLOOKUP($E458,COTAÇÕES!$C:$L,2,0),"")))</f>
        <v>CONCRETO FCK = 20MPA, TRAÇO 1:2,7:3 (EM MASSA SECA DE CIMENTO/ AREIA MÉDIA/ BRITA 1) - PREPARO MECÂNICO COM BETONEIRA 600 L. AF_05/2021</v>
      </c>
      <c r="H458" s="593" t="str">
        <f>IF($E458="",IFERROR(VLOOKUP($D458,SERVIÇOS!$C:$H,3,0),IFERROR(VLOOKUP($D458,$F:$M,3,0),"")),IFERROR(VLOOKUP($E458,INSUMOS!$B:$E,3,0),IFERROR(VLOOKUP($E458,COTAÇÕES!$C:$L,5,0),"")))</f>
        <v>M3</v>
      </c>
      <c r="I458" s="638">
        <v>0.1163</v>
      </c>
      <c r="J458" s="670">
        <f>IF($E458="",IFERROR(VLOOKUP($D458,SERVIÇOS!$C:$H,6,0),IFERROR(VLOOKUP($D458,$F:$M,8,0),"")),IFERROR(VLOOKUP($E458,INSUMOS!$B:$E,4,0),IFERROR(VLOOKUP($E458,COTAÇÕES!$C:$L,10,0),"")))</f>
        <v>394.52</v>
      </c>
      <c r="K458" s="615">
        <f>TRUNC(IF($E458="",IFERROR(VLOOKUP($D458,SERVIÇOS!$C:$H,4,0),IFERROR(VLOOKUP($D458,$F:$M,6,0),)),IFERROR(VLOOKUP($E458,INSUMOS!$B:$E,4,0),IFERROR(VLOOKUP($E458,COTAÇÕES!$C:$L,10,0),)))*$I458,2)</f>
        <v>39.22</v>
      </c>
      <c r="L458" s="616">
        <f>TRUNC(IF($E458="",IFERROR(VLOOKUP($D458,SERVIÇOS!$C:$H,5,0),IFERROR(VLOOKUP($D458,$F:$M,7,0),)),0)*$I458,2)</f>
        <v>6.66</v>
      </c>
      <c r="M458" s="617">
        <f t="shared" si="230"/>
        <v>45.879999999999995</v>
      </c>
      <c r="N458" s="753" t="str">
        <f t="shared" si="231"/>
        <v>SERVIÇO SINAPI</v>
      </c>
      <c r="O458" s="643"/>
    </row>
    <row r="459" spans="2:17" ht="25.5">
      <c r="B459" s="122">
        <f t="shared" si="229"/>
        <v>2</v>
      </c>
      <c r="C459" s="611" t="str">
        <f t="shared" si="232"/>
        <v>C</v>
      </c>
      <c r="D459" s="666">
        <v>97735</v>
      </c>
      <c r="E459" s="661"/>
      <c r="F459" s="612"/>
      <c r="G459" s="613" t="str">
        <f>IF($E459="",IFERROR(VLOOKUP($D459,SERVIÇOS!$C:$H,2,0),IFERROR(VLOOKUP($D459,$F:$M,2,0),"")),IFERROR(VLOOKUP($E459,INSUMOS!$B:$E,2,0),IFERROR(VLOOKUP($E459,COTAÇÕES!$C:$L,2,0),"")))</f>
        <v>PEÇA RETANGULAR PRÉ-MOLDADA, VOLUME DE CONCRETO DE 30 A 100 LITROS, TAXA DE AÇO APROXIMADA DE 30KG/M³. AF_01/2018</v>
      </c>
      <c r="H459" s="593" t="str">
        <f>IF($E459="",IFERROR(VLOOKUP($D459,SERVIÇOS!$C:$H,3,0),IFERROR(VLOOKUP($D459,$F:$M,3,0),"")),IFERROR(VLOOKUP($E459,INSUMOS!$B:$E,3,0),IFERROR(VLOOKUP($E459,COTAÇÕES!$C:$L,5,0),"")))</f>
        <v>M3</v>
      </c>
      <c r="I459" s="638">
        <v>7.0000000000000007E-2</v>
      </c>
      <c r="J459" s="670">
        <f>IF($E459="",IFERROR(VLOOKUP($D459,SERVIÇOS!$C:$H,6,0),IFERROR(VLOOKUP($D459,$F:$M,8,0),"")),IFERROR(VLOOKUP($E459,INSUMOS!$B:$E,4,0),IFERROR(VLOOKUP($E459,COTAÇÕES!$C:$L,10,0),"")))</f>
        <v>2522.91</v>
      </c>
      <c r="K459" s="615">
        <f>TRUNC(IF($E459="",IFERROR(VLOOKUP($D459,SERVIÇOS!$C:$H,4,0),IFERROR(VLOOKUP($D459,$F:$M,6,0),)),IFERROR(VLOOKUP($E459,INSUMOS!$B:$E,4,0),IFERROR(VLOOKUP($E459,COTAÇÕES!$C:$L,10,0),)))*$I459,2)</f>
        <v>86.38</v>
      </c>
      <c r="L459" s="616">
        <f>TRUNC(IF($E459="",IFERROR(VLOOKUP($D459,SERVIÇOS!$C:$H,5,0),IFERROR(VLOOKUP($D459,$F:$M,7,0),)),0)*$I459,2)</f>
        <v>90.22</v>
      </c>
      <c r="M459" s="617">
        <f t="shared" si="230"/>
        <v>176.6</v>
      </c>
      <c r="N459" s="753" t="str">
        <f t="shared" si="231"/>
        <v>SERVIÇO SINAPI</v>
      </c>
      <c r="O459" s="606"/>
    </row>
    <row r="460" spans="2:17" ht="25.5">
      <c r="B460" s="122">
        <f t="shared" si="229"/>
        <v>2</v>
      </c>
      <c r="C460" s="611" t="str">
        <f t="shared" si="232"/>
        <v>C</v>
      </c>
      <c r="D460" s="666">
        <v>101616</v>
      </c>
      <c r="E460" s="662"/>
      <c r="F460" s="612"/>
      <c r="G460" s="613" t="str">
        <f>IF($E460="",IFERROR(VLOOKUP($D460,SERVIÇOS!$C:$H,2,0),IFERROR(VLOOKUP($D460,$F:$M,2,0),"")),IFERROR(VLOOKUP($E460,INSUMOS!$B:$E,2,0),IFERROR(VLOOKUP($E460,COTAÇÕES!$C:$L,2,0),"")))</f>
        <v>PREPARO DE FUNDO DE VALA COM LARGURA MENOR QUE 1,5 M (ACERTO DO SOLO NATURAL). AF_08/2020</v>
      </c>
      <c r="H460" s="593" t="str">
        <f>IF($E460="",IFERROR(VLOOKUP($D460,SERVIÇOS!$C:$H,3,0),IFERROR(VLOOKUP($D460,$F:$M,3,0),"")),IFERROR(VLOOKUP($E460,INSUMOS!$B:$E,3,0),IFERROR(VLOOKUP($E460,COTAÇÕES!$C:$L,5,0),"")))</f>
        <v>M2</v>
      </c>
      <c r="I460" s="638">
        <v>1.21</v>
      </c>
      <c r="J460" s="670">
        <f>IF($E460="",IFERROR(VLOOKUP($D460,SERVIÇOS!$C:$H,6,0),IFERROR(VLOOKUP($D460,$F:$M,8,0),"")),IFERROR(VLOOKUP($E460,INSUMOS!$B:$E,4,0),IFERROR(VLOOKUP($E460,COTAÇÕES!$C:$L,10,0),"")))</f>
        <v>7.03</v>
      </c>
      <c r="K460" s="615">
        <f>TRUNC(IF($E460="",IFERROR(VLOOKUP($D460,SERVIÇOS!$C:$H,4,0),IFERROR(VLOOKUP($D460,$F:$M,6,0),)),IFERROR(VLOOKUP($E460,INSUMOS!$B:$E,4,0),IFERROR(VLOOKUP($E460,COTAÇÕES!$C:$L,10,0),)))*$I460,2)</f>
        <v>2.0299999999999998</v>
      </c>
      <c r="L460" s="616">
        <f>TRUNC(IF($E460="",IFERROR(VLOOKUP($D460,SERVIÇOS!$C:$H,5,0),IFERROR(VLOOKUP($D460,$F:$M,7,0),)),0)*$I460,2)</f>
        <v>6.47</v>
      </c>
      <c r="M460" s="617">
        <f t="shared" si="230"/>
        <v>8.5</v>
      </c>
      <c r="N460" s="753" t="str">
        <f t="shared" si="231"/>
        <v>SERVIÇO SINAPI</v>
      </c>
      <c r="O460" s="606"/>
      <c r="Q460" s="122">
        <f>0.4*0.4</f>
        <v>0.16000000000000003</v>
      </c>
    </row>
    <row r="461" spans="2:17">
      <c r="B461" s="122">
        <f t="shared" si="229"/>
        <v>2</v>
      </c>
      <c r="C461" s="611" t="str">
        <f t="shared" si="232"/>
        <v>I</v>
      </c>
      <c r="D461" s="666"/>
      <c r="E461" s="662">
        <v>2692</v>
      </c>
      <c r="F461" s="612"/>
      <c r="G461" s="613" t="str">
        <f>IF($E461="",IFERROR(VLOOKUP($D461,SERVIÇOS!$C:$H,2,0),IFERROR(VLOOKUP($D461,$F:$M,2,0),"")),IFERROR(VLOOKUP($E461,INSUMOS!$B:$E,2,0),IFERROR(VLOOKUP($E461,COTAÇÕES!$C:$L,2,0),"")))</f>
        <v xml:space="preserve">DESMOLDANTE PROTETOR PARA FORMAS DE MADEIRA, DE BASE OLEOSA EMULSIONADA EM AGUA                                                                                                                                                                                                                                                                                                                                                                                                                           </v>
      </c>
      <c r="H461" s="593" t="str">
        <f>IF($E461="",IFERROR(VLOOKUP($D461,SERVIÇOS!$C:$H,3,0),IFERROR(VLOOKUP($D461,$F:$M,3,0),"")),IFERROR(VLOOKUP($E461,INSUMOS!$B:$E,3,0),IFERROR(VLOOKUP($E461,COTAÇÕES!$C:$L,5,0),"")))</f>
        <v xml:space="preserve">L     </v>
      </c>
      <c r="I461" s="638">
        <v>6.7999999999999996E-3</v>
      </c>
      <c r="J461" s="670">
        <f>IF($E461="",IFERROR(VLOOKUP($D461,SERVIÇOS!$C:$H,6,0),IFERROR(VLOOKUP($D461,$F:$M,8,0),"")),IFERROR(VLOOKUP($E461,INSUMOS!$B:$E,4,0),IFERROR(VLOOKUP($E461,COTAÇÕES!$C:$L,10,0),"")))</f>
        <v>6.56</v>
      </c>
      <c r="K461" s="615">
        <f>TRUNC(IF($E461="",IFERROR(VLOOKUP($D461,SERVIÇOS!$C:$H,4,0),IFERROR(VLOOKUP($D461,$F:$M,6,0),)),IFERROR(VLOOKUP($E461,INSUMOS!$B:$E,4,0),IFERROR(VLOOKUP($E461,COTAÇÕES!$C:$L,10,0),)))*$I461,2)</f>
        <v>0.04</v>
      </c>
      <c r="L461" s="616">
        <f>TRUNC(IF($E461="",IFERROR(VLOOKUP($D461,SERVIÇOS!$C:$H,5,0),IFERROR(VLOOKUP($D461,$F:$M,7,0),)),0)*$I461,2)</f>
        <v>0</v>
      </c>
      <c r="M461" s="617">
        <f t="shared" si="230"/>
        <v>0.04</v>
      </c>
      <c r="N461" s="753" t="str">
        <f t="shared" si="231"/>
        <v>INSUMO SINAPI</v>
      </c>
      <c r="O461" s="606"/>
      <c r="Q461" s="122">
        <f>0.4*0.4</f>
        <v>0.16000000000000003</v>
      </c>
    </row>
    <row r="462" spans="2:17">
      <c r="B462" s="122">
        <f t="shared" si="229"/>
        <v>2</v>
      </c>
      <c r="C462" s="611" t="str">
        <f t="shared" si="232"/>
        <v>I</v>
      </c>
      <c r="D462" s="666"/>
      <c r="E462" s="662">
        <v>4491</v>
      </c>
      <c r="F462" s="612"/>
      <c r="G462" s="613" t="str">
        <f>IF($E462="",IFERROR(VLOOKUP($D462,SERVIÇOS!$C:$H,2,0),IFERROR(VLOOKUP($D462,$F:$M,2,0),"")),IFERROR(VLOOKUP($E462,INSUMOS!$B:$E,2,0),IFERROR(VLOOKUP($E462,COTAÇÕES!$C:$L,2,0),"")))</f>
        <v xml:space="preserve">PONTALETE *7,5 X 7,5* CM EM PINUS, MISTA OU EQUIVALENTE DA REGIAO - BRUTA                                                                                                                                                                                                                                                                                                                                                                                                                                 </v>
      </c>
      <c r="H462" s="593" t="str">
        <f>IF($E462="",IFERROR(VLOOKUP($D462,SERVIÇOS!$C:$H,3,0),IFERROR(VLOOKUP($D462,$F:$M,3,0),"")),IFERROR(VLOOKUP($E462,INSUMOS!$B:$E,3,0),IFERROR(VLOOKUP($E462,COTAÇÕES!$C:$L,5,0),"")))</f>
        <v xml:space="preserve">M     </v>
      </c>
      <c r="I462" s="638">
        <v>0.14799999999999999</v>
      </c>
      <c r="J462" s="670">
        <f>IF($E462="",IFERROR(VLOOKUP($D462,SERVIÇOS!$C:$H,6,0),IFERROR(VLOOKUP($D462,$F:$M,8,0),"")),IFERROR(VLOOKUP($E462,INSUMOS!$B:$E,4,0),IFERROR(VLOOKUP($E462,COTAÇÕES!$C:$L,10,0),"")))</f>
        <v>6.97</v>
      </c>
      <c r="K462" s="615">
        <f>TRUNC(IF($E462="",IFERROR(VLOOKUP($D462,SERVIÇOS!$C:$H,4,0),IFERROR(VLOOKUP($D462,$F:$M,6,0),)),IFERROR(VLOOKUP($E462,INSUMOS!$B:$E,4,0),IFERROR(VLOOKUP($E462,COTAÇÕES!$C:$L,10,0),)))*$I462,2)</f>
        <v>1.03</v>
      </c>
      <c r="L462" s="616">
        <f>TRUNC(IF($E462="",IFERROR(VLOOKUP($D462,SERVIÇOS!$C:$H,5,0),IFERROR(VLOOKUP($D462,$F:$M,7,0),)),0)*$I462,2)</f>
        <v>0</v>
      </c>
      <c r="M462" s="617">
        <f t="shared" si="230"/>
        <v>1.03</v>
      </c>
      <c r="N462" s="753" t="str">
        <f t="shared" si="231"/>
        <v>INSUMO SINAPI</v>
      </c>
      <c r="O462" s="606"/>
      <c r="Q462" s="122">
        <f>0.4*0.4</f>
        <v>0.16000000000000003</v>
      </c>
    </row>
    <row r="463" spans="2:17">
      <c r="B463" s="122">
        <f t="shared" si="229"/>
        <v>2</v>
      </c>
      <c r="C463" s="611" t="str">
        <f t="shared" si="232"/>
        <v>I</v>
      </c>
      <c r="D463" s="666"/>
      <c r="E463" s="662">
        <v>4517</v>
      </c>
      <c r="F463" s="612"/>
      <c r="G463" s="613" t="str">
        <f>IF($E463="",IFERROR(VLOOKUP($D463,SERVIÇOS!$C:$H,2,0),IFERROR(VLOOKUP($D463,$F:$M,2,0),"")),IFERROR(VLOOKUP($E463,INSUMOS!$B:$E,2,0),IFERROR(VLOOKUP($E463,COTAÇÕES!$C:$L,2,0),"")))</f>
        <v xml:space="preserve">SARRAFO *2,5 X 7,5* CM EM PINUS, MISTA OU EQUIVALENTE DA REGIAO - BRUTA                                                                                                                                                                                                                                                                                                                                                                                                                                   </v>
      </c>
      <c r="H463" s="593" t="str">
        <f>IF($E463="",IFERROR(VLOOKUP($D463,SERVIÇOS!$C:$H,3,0),IFERROR(VLOOKUP($D463,$F:$M,3,0),"")),IFERROR(VLOOKUP($E463,INSUMOS!$B:$E,3,0),IFERROR(VLOOKUP($E463,COTAÇÕES!$C:$L,5,0),"")))</f>
        <v xml:space="preserve">M     </v>
      </c>
      <c r="I463" s="638">
        <v>0.17599999999999999</v>
      </c>
      <c r="J463" s="670">
        <f>IF($E463="",IFERROR(VLOOKUP($D463,SERVIÇOS!$C:$H,6,0),IFERROR(VLOOKUP($D463,$F:$M,8,0),"")),IFERROR(VLOOKUP($E463,INSUMOS!$B:$E,4,0),IFERROR(VLOOKUP($E463,COTAÇÕES!$C:$L,10,0),"")))</f>
        <v>2.44</v>
      </c>
      <c r="K463" s="615">
        <f>TRUNC(IF($E463="",IFERROR(VLOOKUP($D463,SERVIÇOS!$C:$H,4,0),IFERROR(VLOOKUP($D463,$F:$M,6,0),)),IFERROR(VLOOKUP($E463,INSUMOS!$B:$E,4,0),IFERROR(VLOOKUP($E463,COTAÇÕES!$C:$L,10,0),)))*$I463,2)</f>
        <v>0.42</v>
      </c>
      <c r="L463" s="616">
        <f>TRUNC(IF($E463="",IFERROR(VLOOKUP($D463,SERVIÇOS!$C:$H,5,0),IFERROR(VLOOKUP($D463,$F:$M,7,0),)),0)*$I463,2)</f>
        <v>0</v>
      </c>
      <c r="M463" s="617">
        <f>K463+L463</f>
        <v>0.42</v>
      </c>
      <c r="N463" s="753" t="str">
        <f t="shared" si="231"/>
        <v>INSUMO SINAPI</v>
      </c>
      <c r="O463" s="606"/>
    </row>
    <row r="464" spans="2:17">
      <c r="B464" s="122">
        <f t="shared" si="229"/>
        <v>2</v>
      </c>
      <c r="C464" s="611" t="str">
        <f t="shared" si="232"/>
        <v>I</v>
      </c>
      <c r="D464" s="666"/>
      <c r="E464" s="662">
        <v>5069</v>
      </c>
      <c r="F464" s="612"/>
      <c r="G464" s="613" t="str">
        <f>IF($E464="",IFERROR(VLOOKUP($D464,SERVIÇOS!$C:$H,2,0),IFERROR(VLOOKUP($D464,$F:$M,2,0),"")),IFERROR(VLOOKUP($E464,INSUMOS!$B:$E,2,0),IFERROR(VLOOKUP($E464,COTAÇÕES!$C:$L,2,0),"")))</f>
        <v xml:space="preserve">PREGO DE ACO POLIDO COM CABECA 17 X 27 (2 1/2 X 11)                                                                                                                                                                                                                                                                                                                                                                                                                                                       </v>
      </c>
      <c r="H464" s="593" t="str">
        <f>IF($E464="",IFERROR(VLOOKUP($D464,SERVIÇOS!$C:$H,3,0),IFERROR(VLOOKUP($D464,$F:$M,3,0),"")),IFERROR(VLOOKUP($E464,INSUMOS!$B:$E,3,0),IFERROR(VLOOKUP($E464,COTAÇÕES!$C:$L,5,0),"")))</f>
        <v xml:space="preserve">KG    </v>
      </c>
      <c r="I464" s="638">
        <v>1.5599999999999999E-2</v>
      </c>
      <c r="J464" s="670">
        <f>IF($E464="",IFERROR(VLOOKUP($D464,SERVIÇOS!$C:$H,6,0),IFERROR(VLOOKUP($D464,$F:$M,8,0),"")),IFERROR(VLOOKUP($E464,INSUMOS!$B:$E,4,0),IFERROR(VLOOKUP($E464,COTAÇÕES!$C:$L,10,0),"")))</f>
        <v>21.43</v>
      </c>
      <c r="K464" s="615">
        <f>TRUNC(IF($E464="",IFERROR(VLOOKUP($D464,SERVIÇOS!$C:$H,4,0),IFERROR(VLOOKUP($D464,$F:$M,6,0),)),IFERROR(VLOOKUP($E464,INSUMOS!$B:$E,4,0),IFERROR(VLOOKUP($E464,COTAÇÕES!$C:$L,10,0),)))*$I464,2)</f>
        <v>0.33</v>
      </c>
      <c r="L464" s="616">
        <f>TRUNC(IF($E464="",IFERROR(VLOOKUP($D464,SERVIÇOS!$C:$H,5,0),IFERROR(VLOOKUP($D464,$F:$M,7,0),)),0)*$I464,2)</f>
        <v>0</v>
      </c>
      <c r="M464" s="617">
        <f>K464+L464</f>
        <v>0.33</v>
      </c>
      <c r="N464" s="753" t="str">
        <f t="shared" si="231"/>
        <v>INSUMO SINAPI</v>
      </c>
      <c r="O464" s="606"/>
    </row>
    <row r="465" spans="2:17" ht="25.5">
      <c r="B465" s="122">
        <f t="shared" si="229"/>
        <v>2</v>
      </c>
      <c r="C465" s="611" t="str">
        <f t="shared" si="232"/>
        <v>I</v>
      </c>
      <c r="D465" s="666"/>
      <c r="E465" s="662">
        <v>6193</v>
      </c>
      <c r="F465" s="612"/>
      <c r="G465" s="613" t="str">
        <f>IF($E465="",IFERROR(VLOOKUP($D465,SERVIÇOS!$C:$H,2,0),IFERROR(VLOOKUP($D465,$F:$M,2,0),"")),IFERROR(VLOOKUP($E465,INSUMOS!$B:$E,2,0),IFERROR(VLOOKUP($E465,COTAÇÕES!$C:$L,2,0),"")))</f>
        <v xml:space="preserve">TABUA  NAO  APARELHADA  *2,5 X 20* CM, EM MACARANDUBA, ANGELIM OU EQUIVALENTE DA REGIAO - BRUTA                                                                                                                                                                                                                                                                                                                                                                                                           </v>
      </c>
      <c r="H465" s="593" t="str">
        <f>IF($E465="",IFERROR(VLOOKUP($D465,SERVIÇOS!$C:$H,3,0),IFERROR(VLOOKUP($D465,$F:$M,3,0),"")),IFERROR(VLOOKUP($E465,INSUMOS!$B:$E,3,0),IFERROR(VLOOKUP($E465,COTAÇÕES!$C:$L,5,0),"")))</f>
        <v xml:space="preserve">M     </v>
      </c>
      <c r="I465" s="638">
        <v>0.55200000000000005</v>
      </c>
      <c r="J465" s="670">
        <f>IF($E465="",IFERROR(VLOOKUP($D465,SERVIÇOS!$C:$H,6,0),IFERROR(VLOOKUP($D465,$F:$M,8,0),"")),IFERROR(VLOOKUP($E465,INSUMOS!$B:$E,4,0),IFERROR(VLOOKUP($E465,COTAÇÕES!$C:$L,10,0),"")))</f>
        <v>24.44</v>
      </c>
      <c r="K465" s="615">
        <f>TRUNC(IF($E465="",IFERROR(VLOOKUP($D465,SERVIÇOS!$C:$H,4,0),IFERROR(VLOOKUP($D465,$F:$M,6,0),)),IFERROR(VLOOKUP($E465,INSUMOS!$B:$E,4,0),IFERROR(VLOOKUP($E465,COTAÇÕES!$C:$L,10,0),)))*$I465,2)</f>
        <v>13.49</v>
      </c>
      <c r="L465" s="616">
        <f>TRUNC(IF($E465="",IFERROR(VLOOKUP($D465,SERVIÇOS!$C:$H,5,0),IFERROR(VLOOKUP($D465,$F:$M,7,0),)),0)*$I465,2)</f>
        <v>0</v>
      </c>
      <c r="M465" s="617">
        <f>K465+L465</f>
        <v>13.49</v>
      </c>
      <c r="N465" s="753" t="str">
        <f t="shared" si="231"/>
        <v>INSUMO SINAPI</v>
      </c>
      <c r="O465" s="606"/>
    </row>
    <row r="466" spans="2:17">
      <c r="B466" s="122">
        <f t="shared" si="229"/>
        <v>2</v>
      </c>
      <c r="C466" s="611" t="str">
        <f>IF(D466&lt;&gt;"","C",IF(E466&lt;&gt;"","I",""))</f>
        <v>I</v>
      </c>
      <c r="D466" s="666"/>
      <c r="E466" s="662">
        <v>7258</v>
      </c>
      <c r="F466" s="612"/>
      <c r="G466" s="613" t="str">
        <f>IF($E466="",IFERROR(VLOOKUP($D466,SERVIÇOS!$C:$H,2,0),IFERROR(VLOOKUP($D466,$F:$M,2,0),"")),IFERROR(VLOOKUP($E466,INSUMOS!$B:$E,2,0),IFERROR(VLOOKUP($E466,COTAÇÕES!$C:$L,2,0),"")))</f>
        <v xml:space="preserve">TIJOLO CERAMICO MACICO COMUM *5 X 10 X 20* CM (L X A X C)                                                                                                                                                                                                                                                                                                                                                                                                                                                 </v>
      </c>
      <c r="H466" s="593" t="str">
        <f>IF($E466="",IFERROR(VLOOKUP($D466,SERVIÇOS!$C:$H,3,0),IFERROR(VLOOKUP($D466,$F:$M,3,0),"")),IFERROR(VLOOKUP($E466,INSUMOS!$B:$E,3,0),IFERROR(VLOOKUP($E466,COTAÇÕES!$C:$L,5,0),"")))</f>
        <v xml:space="preserve">UN    </v>
      </c>
      <c r="I466" s="638">
        <v>168.21899999999999</v>
      </c>
      <c r="J466" s="670">
        <f>IF($E466="",IFERROR(VLOOKUP($D466,SERVIÇOS!$C:$H,6,0),IFERROR(VLOOKUP($D466,$F:$M,8,0),"")),IFERROR(VLOOKUP($E466,INSUMOS!$B:$E,4,0),IFERROR(VLOOKUP($E466,COTAÇÕES!$C:$L,10,0),"")))</f>
        <v>0.68</v>
      </c>
      <c r="K466" s="615">
        <f>TRUNC(IF($E466="",IFERROR(VLOOKUP($D466,SERVIÇOS!$C:$H,4,0),IFERROR(VLOOKUP($D466,$F:$M,6,0),)),IFERROR(VLOOKUP($E466,INSUMOS!$B:$E,4,0),IFERROR(VLOOKUP($E466,COTAÇÕES!$C:$L,10,0),)))*$I466,2)</f>
        <v>114.38</v>
      </c>
      <c r="L466" s="616">
        <f>TRUNC(IF($E466="",IFERROR(VLOOKUP($D466,SERVIÇOS!$C:$H,5,0),IFERROR(VLOOKUP($D466,$F:$M,7,0),)),0)*$I466,2)</f>
        <v>0</v>
      </c>
      <c r="M466" s="617">
        <f>K466+L466</f>
        <v>114.38</v>
      </c>
      <c r="N466" s="753" t="str">
        <f t="shared" si="231"/>
        <v>INSUMO SINAPI</v>
      </c>
      <c r="O466" s="606"/>
    </row>
    <row r="467" spans="2:17">
      <c r="B467" s="122">
        <f t="shared" si="229"/>
        <v>2</v>
      </c>
      <c r="C467" s="611" t="str">
        <f t="shared" si="232"/>
        <v>I</v>
      </c>
      <c r="D467" s="666"/>
      <c r="E467" s="662">
        <v>11234</v>
      </c>
      <c r="F467" s="612"/>
      <c r="G467" s="613" t="str">
        <f>IF($E467="",IFERROR(VLOOKUP($D467,SERVIÇOS!$C:$H,2,0),IFERROR(VLOOKUP($D467,$F:$M,2,0),"")),IFERROR(VLOOKUP($E467,INSUMOS!$B:$E,2,0),IFERROR(VLOOKUP($E467,COTAÇÕES!$C:$L,2,0),"")))</f>
        <v xml:space="preserve">RALO FOFO COM REQUADRO, QUADRADO 200 X 200 MM                                                                                                                                                                                                                                                                                                                                                                                                                                                             </v>
      </c>
      <c r="H467" s="593" t="str">
        <f>IF($E467="",IFERROR(VLOOKUP($D467,SERVIÇOS!$C:$H,3,0),IFERROR(VLOOKUP($D467,$F:$M,3,0),"")),IFERROR(VLOOKUP($E467,INSUMOS!$B:$E,3,0),IFERROR(VLOOKUP($E467,COTAÇÕES!$C:$L,5,0),"")))</f>
        <v xml:space="preserve">UN    </v>
      </c>
      <c r="I467" s="638">
        <v>1</v>
      </c>
      <c r="J467" s="670">
        <f>IF($E467="",IFERROR(VLOOKUP($D467,SERVIÇOS!$C:$H,6,0),IFERROR(VLOOKUP($D467,$F:$M,8,0),"")),IFERROR(VLOOKUP($E467,INSUMOS!$B:$E,4,0),IFERROR(VLOOKUP($E467,COTAÇÕES!$C:$L,10,0),"")))</f>
        <v>99</v>
      </c>
      <c r="K467" s="615">
        <f>TRUNC(IF($E467="",IFERROR(VLOOKUP($D467,SERVIÇOS!$C:$H,4,0),IFERROR(VLOOKUP($D467,$F:$M,6,0),)),IFERROR(VLOOKUP($E467,INSUMOS!$B:$E,4,0),IFERROR(VLOOKUP($E467,COTAÇÕES!$C:$L,10,0),)))*$I467,2)</f>
        <v>99</v>
      </c>
      <c r="L467" s="616">
        <f>TRUNC(IF($E467="",IFERROR(VLOOKUP($D467,SERVIÇOS!$C:$H,5,0),IFERROR(VLOOKUP($D467,$F:$M,7,0),)),0)*$I467,2)</f>
        <v>0</v>
      </c>
      <c r="M467" s="617">
        <f t="shared" si="230"/>
        <v>99</v>
      </c>
      <c r="N467" s="753" t="str">
        <f t="shared" si="231"/>
        <v>INSUMO SINAPI</v>
      </c>
      <c r="O467" s="606"/>
      <c r="Q467" s="122">
        <f>0.4*0.4</f>
        <v>0.16000000000000003</v>
      </c>
    </row>
    <row r="468" spans="2:17" ht="38.25">
      <c r="B468" s="769">
        <f>SUMIF(ORC!$G$11:$G$2470,CPU!$F468,ORC!$J$11:$J$2470)</f>
        <v>1</v>
      </c>
      <c r="C468" s="458" t="s">
        <v>2239</v>
      </c>
      <c r="D468" s="458"/>
      <c r="E468" s="458"/>
      <c r="F468" s="458" t="s">
        <v>6888</v>
      </c>
      <c r="G468" s="634" t="s">
        <v>8457</v>
      </c>
      <c r="H468" s="515" t="s">
        <v>646</v>
      </c>
      <c r="I468" s="635"/>
      <c r="J468" s="636"/>
      <c r="K468" s="636">
        <f>TRUNC(SUM(K469:K471),2)</f>
        <v>244.27</v>
      </c>
      <c r="L468" s="636">
        <f>TRUNC(SUM(L469:L471),2)</f>
        <v>5.83</v>
      </c>
      <c r="M468" s="636">
        <f>TRUNC(SUM(M469:M471),2)</f>
        <v>250.1</v>
      </c>
      <c r="N468" s="755" t="s">
        <v>8414</v>
      </c>
      <c r="O468" s="606"/>
    </row>
    <row r="469" spans="2:17" ht="25.5">
      <c r="B469" s="122">
        <f t="shared" ref="B469:B471" si="233">B468</f>
        <v>1</v>
      </c>
      <c r="C469" s="611" t="str">
        <f>IF(D469&lt;&gt;"","C",IF(E469&lt;&gt;"","I",""))</f>
        <v>I</v>
      </c>
      <c r="D469" s="666"/>
      <c r="E469" s="661" t="s">
        <v>9051</v>
      </c>
      <c r="F469" s="612"/>
      <c r="G469" s="613" t="str">
        <f>IF($E469="",IFERROR(VLOOKUP($D469,SERVIÇOS!$C:$H,2,0),IFERROR(VLOOKUP($D469,$F:$M,2,0),"")),IFERROR(VLOOKUP($E469,INSUMOS!$B:$E,2,0),IFERROR(VLOOKUP($E469,COTAÇÕES!$C:$L,2,0),"")))</f>
        <v xml:space="preserve">Bloco autônomo de iluminação de emergência LED, autonomia de 3 horas, equipado com 2 faróis, fluxo luminoso máximo de 2.200 lúmens;  Bloco de 2200 lumens da Segurimax ou equivalente </v>
      </c>
      <c r="H469" s="593" t="str">
        <f>IF($E469="",IFERROR(VLOOKUP($D469,SERVIÇOS!$C:$H,3,0),IFERROR(VLOOKUP($D469,$F:$M,3,0),"")),IFERROR(VLOOKUP($E469,INSUMOS!$B:$E,3,0),IFERROR(VLOOKUP($E469,COTAÇÕES!$C:$L,5,0),"")))</f>
        <v>UN</v>
      </c>
      <c r="I469" s="638">
        <v>1</v>
      </c>
      <c r="J469" s="670">
        <f>IF($E469="",IFERROR(VLOOKUP($D469,SERVIÇOS!$C:$H,6,0),IFERROR(VLOOKUP($D469,$F:$M,8,0),"")),IFERROR(VLOOKUP($E469,INSUMOS!$B:$E,4,0),IFERROR(VLOOKUP($E469,COTAÇÕES!$C:$L,10,0),"")))</f>
        <v>242.59</v>
      </c>
      <c r="K469" s="615">
        <f>TRUNC(IF($E469="",IFERROR(VLOOKUP($D469,SERVIÇOS!$C:$H,4,0),IFERROR(VLOOKUP($D469,$F:$M,6,0),)),IFERROR(VLOOKUP($E469,INSUMOS!$B:$E,4,0),IFERROR(VLOOKUP($E469,COTAÇÕES!$C:$L,10,0),)))*$I469,2)</f>
        <v>242.59</v>
      </c>
      <c r="L469" s="616">
        <f>TRUNC(IF($E469="",IFERROR(VLOOKUP($D469,SERVIÇOS!$C:$H,5,0),IFERROR(VLOOKUP($D469,$F:$M,7,0),)),0)*$I469,2)</f>
        <v>0</v>
      </c>
      <c r="M469" s="617">
        <f>K469+L469</f>
        <v>242.59</v>
      </c>
      <c r="N469" s="753" t="s">
        <v>6845</v>
      </c>
      <c r="O469" s="606"/>
    </row>
    <row r="470" spans="2:17">
      <c r="B470" s="122">
        <f t="shared" si="233"/>
        <v>1</v>
      </c>
      <c r="C470" s="611" t="str">
        <f>IF(D470&lt;&gt;"","C",IF(E470&lt;&gt;"","I",""))</f>
        <v>C</v>
      </c>
      <c r="D470" s="660">
        <v>88264</v>
      </c>
      <c r="E470" s="661"/>
      <c r="F470" s="612"/>
      <c r="G470" s="613" t="str">
        <f>IF($E470="",IFERROR(VLOOKUP($D470,SERVIÇOS!$C:$H,2,0),IFERROR(VLOOKUP($D470,$F:$M,2,0),"")),IFERROR(VLOOKUP($E470,INSUMOS!$B:$E,2,0),IFERROR(VLOOKUP($E470,COTAÇÕES!$C:$L,2,0),"")))</f>
        <v>ELETRICISTA COM ENCARGOS COMPLEMENTARES</v>
      </c>
      <c r="H470" s="593" t="str">
        <f>IF($E470="",IFERROR(VLOOKUP($D470,SERVIÇOS!$C:$H,3,0),IFERROR(VLOOKUP($D470,$F:$M,3,0),"")),IFERROR(VLOOKUP($E470,INSUMOS!$B:$E,3,0),IFERROR(VLOOKUP($E470,COTAÇÕES!$C:$L,5,0),"")))</f>
        <v>H</v>
      </c>
      <c r="I470" s="638">
        <v>0.17949999999999999</v>
      </c>
      <c r="J470" s="670">
        <f>IF($E470="",IFERROR(VLOOKUP($D470,SERVIÇOS!$C:$H,6,0),IFERROR(VLOOKUP($D470,$F:$M,8,0),"")),IFERROR(VLOOKUP($E470,INSUMOS!$B:$E,4,0),IFERROR(VLOOKUP($E470,COTAÇÕES!$C:$L,10,0),"")))</f>
        <v>31.32</v>
      </c>
      <c r="K470" s="615">
        <f>TRUNC(IF($E470="",IFERROR(VLOOKUP($D470,SERVIÇOS!$C:$H,4,0),IFERROR(VLOOKUP($D470,$F:$M,6,0),)),IFERROR(VLOOKUP($E470,INSUMOS!$B:$E,4,0),IFERROR(VLOOKUP($E470,COTAÇÕES!$C:$L,10,0),)))*$I470,2)</f>
        <v>1.19</v>
      </c>
      <c r="L470" s="616">
        <f>TRUNC(IF($E470="",IFERROR(VLOOKUP($D470,SERVIÇOS!$C:$H,5,0),IFERROR(VLOOKUP($D470,$F:$M,7,0),)),0)*$I470,2)</f>
        <v>4.42</v>
      </c>
      <c r="M470" s="617">
        <f>K470+L470</f>
        <v>5.6099999999999994</v>
      </c>
      <c r="N470" s="753" t="str">
        <f t="shared" si="231"/>
        <v>SERVIÇO SINAPI</v>
      </c>
      <c r="O470" s="606"/>
    </row>
    <row r="471" spans="2:17">
      <c r="B471" s="122">
        <f t="shared" si="233"/>
        <v>1</v>
      </c>
      <c r="C471" s="611" t="str">
        <f>IF(D471&lt;&gt;"","C",IF(E471&lt;&gt;"","I",""))</f>
        <v>C</v>
      </c>
      <c r="D471" s="660">
        <v>88247</v>
      </c>
      <c r="E471" s="661"/>
      <c r="F471" s="612"/>
      <c r="G471" s="613" t="str">
        <f>IF($E471="",IFERROR(VLOOKUP($D471,SERVIÇOS!$C:$H,2,0),IFERROR(VLOOKUP($D471,$F:$M,2,0),"")),IFERROR(VLOOKUP($E471,INSUMOS!$B:$E,2,0),IFERROR(VLOOKUP($E471,COTAÇÕES!$C:$L,2,0),"")))</f>
        <v>AUXILIAR DE ELETRICISTA COM ENCARGOS COMPLEMENTARES</v>
      </c>
      <c r="H471" s="593" t="str">
        <f>IF($E471="",IFERROR(VLOOKUP($D471,SERVIÇOS!$C:$H,3,0),IFERROR(VLOOKUP($D471,$F:$M,3,0),"")),IFERROR(VLOOKUP($E471,INSUMOS!$B:$E,3,0),IFERROR(VLOOKUP($E471,COTAÇÕES!$C:$L,5,0),"")))</f>
        <v>H</v>
      </c>
      <c r="I471" s="638">
        <v>7.4800000000000005E-2</v>
      </c>
      <c r="J471" s="670">
        <f>IF($E471="",IFERROR(VLOOKUP($D471,SERVIÇOS!$C:$H,6,0),IFERROR(VLOOKUP($D471,$F:$M,8,0),"")),IFERROR(VLOOKUP($E471,INSUMOS!$B:$E,4,0),IFERROR(VLOOKUP($E471,COTAÇÕES!$C:$L,10,0),"")))</f>
        <v>25.53</v>
      </c>
      <c r="K471" s="615">
        <f>TRUNC(IF($E471="",IFERROR(VLOOKUP($D471,SERVIÇOS!$C:$H,4,0),IFERROR(VLOOKUP($D471,$F:$M,6,0),)),IFERROR(VLOOKUP($E471,INSUMOS!$B:$E,4,0),IFERROR(VLOOKUP($E471,COTAÇÕES!$C:$L,10,0),)))*$I471,2)</f>
        <v>0.49</v>
      </c>
      <c r="L471" s="616">
        <f>TRUNC(IF($E471="",IFERROR(VLOOKUP($D471,SERVIÇOS!$C:$H,5,0),IFERROR(VLOOKUP($D471,$F:$M,7,0),)),0)*$I471,2)</f>
        <v>1.41</v>
      </c>
      <c r="M471" s="617">
        <f>K471+L471</f>
        <v>1.9</v>
      </c>
      <c r="N471" s="753" t="str">
        <f t="shared" si="231"/>
        <v>SERVIÇO SINAPI</v>
      </c>
      <c r="O471" s="606"/>
    </row>
    <row r="472" spans="2:17" ht="25.5">
      <c r="B472" s="769">
        <f>SUMIF(ORC!$G$11:$G$2470,CPU!$F472,ORC!$J$11:$J$2470)</f>
        <v>11</v>
      </c>
      <c r="C472" s="458" t="s">
        <v>2239</v>
      </c>
      <c r="D472" s="458"/>
      <c r="E472" s="458"/>
      <c r="F472" s="458" t="s">
        <v>8438</v>
      </c>
      <c r="G472" s="634" t="s">
        <v>8448</v>
      </c>
      <c r="H472" s="515" t="s">
        <v>646</v>
      </c>
      <c r="I472" s="635"/>
      <c r="J472" s="636"/>
      <c r="K472" s="636">
        <f>TRUNC(SUM(K473:K476),2)</f>
        <v>92.75</v>
      </c>
      <c r="L472" s="636">
        <f>TRUNC(SUM(L473:L476),2)</f>
        <v>5.16</v>
      </c>
      <c r="M472" s="636">
        <f>TRUNC(SUM(M473:M476),2)</f>
        <v>97.91</v>
      </c>
      <c r="N472" s="755" t="s">
        <v>8439</v>
      </c>
      <c r="O472" s="606"/>
    </row>
    <row r="473" spans="2:17">
      <c r="B473" s="122">
        <f t="shared" ref="B473:B476" si="234">B472</f>
        <v>11</v>
      </c>
      <c r="C473" s="611" t="str">
        <f>IF(D473&lt;&gt;"","C",IF(E473&lt;&gt;"","I",""))</f>
        <v>I</v>
      </c>
      <c r="D473" s="666"/>
      <c r="E473" s="661">
        <v>3146</v>
      </c>
      <c r="F473" s="612"/>
      <c r="G473" s="613" t="str">
        <f>IF($E473="",IFERROR(VLOOKUP($D473,SERVIÇOS!$C:$H,2,0),IFERROR(VLOOKUP($D473,$F:$M,2,0),"")),IFERROR(VLOOKUP($E473,INSUMOS!$B:$E,2,0),IFERROR(VLOOKUP($E473,COTAÇÕES!$C:$L,2,0),"")))</f>
        <v xml:space="preserve">FITA VEDA ROSCA EM ROLOS DE 18 MM X 10 M (L X C)                                                                                                                                                                                                                                                                                                                                                                                                                                                          </v>
      </c>
      <c r="H473" s="593" t="str">
        <f>IF($E473="",IFERROR(VLOOKUP($D473,SERVIÇOS!$C:$H,3,0),IFERROR(VLOOKUP($D473,$F:$M,3,0),"")),IFERROR(VLOOKUP($E473,INSUMOS!$B:$E,3,0),IFERROR(VLOOKUP($E473,COTAÇÕES!$C:$L,5,0),"")))</f>
        <v xml:space="preserve">UN    </v>
      </c>
      <c r="I473" s="638">
        <v>4.8000000000000001E-2</v>
      </c>
      <c r="J473" s="670">
        <f>IF($E473="",IFERROR(VLOOKUP($D473,SERVIÇOS!$C:$H,6,0),IFERROR(VLOOKUP($D473,$F:$M,8,0),"")),IFERROR(VLOOKUP($E473,INSUMOS!$B:$E,4,0),IFERROR(VLOOKUP($E473,COTAÇÕES!$C:$L,10,0),"")))</f>
        <v>4.55</v>
      </c>
      <c r="K473" s="615">
        <f>TRUNC(IF($E473="",IFERROR(VLOOKUP($D473,SERVIÇOS!$C:$H,4,0),IFERROR(VLOOKUP($D473,$F:$M,6,0),)),IFERROR(VLOOKUP($E473,INSUMOS!$B:$E,4,0),IFERROR(VLOOKUP($E473,COTAÇÕES!$C:$L,10,0),)))*$I473,2)</f>
        <v>0.21</v>
      </c>
      <c r="L473" s="616">
        <f>TRUNC(IF($E473="",IFERROR(VLOOKUP($D473,SERVIÇOS!$C:$H,5,0),IFERROR(VLOOKUP($D473,$F:$M,7,0),)),0)*$I473,2)</f>
        <v>0</v>
      </c>
      <c r="M473" s="617">
        <f>K473+L473</f>
        <v>0.21</v>
      </c>
      <c r="N473" s="753" t="str">
        <f>IF($D473&lt;&gt;"","SERVIÇO SINAPI",IF($E473&lt;&gt;"","INSUMO SINAPI",""))</f>
        <v>INSUMO SINAPI</v>
      </c>
      <c r="O473" s="606"/>
    </row>
    <row r="474" spans="2:17">
      <c r="B474" s="122">
        <f t="shared" si="234"/>
        <v>11</v>
      </c>
      <c r="C474" s="611" t="str">
        <f>IF(D474&lt;&gt;"","C",IF(E474&lt;&gt;"","I",""))</f>
        <v>I</v>
      </c>
      <c r="D474" s="666"/>
      <c r="E474" s="661">
        <v>38643</v>
      </c>
      <c r="F474" s="612"/>
      <c r="G474" s="613" t="str">
        <f>IF($E474="",IFERROR(VLOOKUP($D474,SERVIÇOS!$C:$H,2,0),IFERROR(VLOOKUP($D474,$F:$M,2,0),"")),IFERROR(VLOOKUP($E474,INSUMOS!$B:$E,2,0),IFERROR(VLOOKUP($E474,COTAÇÕES!$C:$L,2,0),"")))</f>
        <v xml:space="preserve">VALVULA EM METAL CROMADO PARA LAVATORIO, 1 " SEM LADRAO                                                                                                                                                                                                                                                                                                                                                                                                                                                   </v>
      </c>
      <c r="H474" s="593" t="str">
        <f>IF($E474="",IFERROR(VLOOKUP($D474,SERVIÇOS!$C:$H,3,0),IFERROR(VLOOKUP($D474,$F:$M,3,0),"")),IFERROR(VLOOKUP($E474,INSUMOS!$B:$E,3,0),IFERROR(VLOOKUP($E474,COTAÇÕES!$C:$L,5,0),"")))</f>
        <v xml:space="preserve">UN    </v>
      </c>
      <c r="I474" s="638">
        <v>1</v>
      </c>
      <c r="J474" s="670">
        <f>IF($E474="",IFERROR(VLOOKUP($D474,SERVIÇOS!$C:$H,6,0),IFERROR(VLOOKUP($D474,$F:$M,8,0),"")),IFERROR(VLOOKUP($E474,INSUMOS!$B:$E,4,0),IFERROR(VLOOKUP($E474,COTAÇÕES!$C:$L,10,0),"")))</f>
        <v>91.14</v>
      </c>
      <c r="K474" s="615">
        <f>TRUNC(IF($E474="",IFERROR(VLOOKUP($D474,SERVIÇOS!$C:$H,4,0),IFERROR(VLOOKUP($D474,$F:$M,6,0),)),IFERROR(VLOOKUP($E474,INSUMOS!$B:$E,4,0),IFERROR(VLOOKUP($E474,COTAÇÕES!$C:$L,10,0),)))*$I474,2)</f>
        <v>91.14</v>
      </c>
      <c r="L474" s="616">
        <f>TRUNC(IF($E474="",IFERROR(VLOOKUP($D474,SERVIÇOS!$C:$H,5,0),IFERROR(VLOOKUP($D474,$F:$M,7,0),)),0)*$I474,2)</f>
        <v>0</v>
      </c>
      <c r="M474" s="617">
        <f>K474+L474</f>
        <v>91.14</v>
      </c>
      <c r="N474" s="753" t="str">
        <f>IF($D474&lt;&gt;"","SERVIÇO SINAPI",IF($E474&lt;&gt;"","INSUMO SINAPI",""))</f>
        <v>INSUMO SINAPI</v>
      </c>
      <c r="O474" s="606"/>
    </row>
    <row r="475" spans="2:17">
      <c r="B475" s="122">
        <f t="shared" si="234"/>
        <v>11</v>
      </c>
      <c r="C475" s="611" t="str">
        <f>IF(D475&lt;&gt;"","C",IF(E475&lt;&gt;"","I",""))</f>
        <v>C</v>
      </c>
      <c r="D475" s="666">
        <v>88267</v>
      </c>
      <c r="E475" s="661"/>
      <c r="F475" s="612"/>
      <c r="G475" s="613" t="str">
        <f>IF($E475="",IFERROR(VLOOKUP($D475,SERVIÇOS!$C:$H,2,0),IFERROR(VLOOKUP($D475,$F:$M,2,0),"")),IFERROR(VLOOKUP($E475,INSUMOS!$B:$E,2,0),IFERROR(VLOOKUP($E475,COTAÇÕES!$C:$L,2,0),"")))</f>
        <v>ENCANADOR OU BOMBEIRO HIDRÁULICO COM ENCARGOS COMPLEMENTARES</v>
      </c>
      <c r="H475" s="593" t="str">
        <f>IF($E475="",IFERROR(VLOOKUP($D475,SERVIÇOS!$C:$H,3,0),IFERROR(VLOOKUP($D475,$F:$M,3,0),"")),IFERROR(VLOOKUP($E475,INSUMOS!$B:$E,3,0),IFERROR(VLOOKUP($E475,COTAÇÕES!$C:$L,5,0),"")))</f>
        <v>H</v>
      </c>
      <c r="I475" s="638">
        <v>0.17399999999999999</v>
      </c>
      <c r="J475" s="670">
        <f>IF($E475="",IFERROR(VLOOKUP($D475,SERVIÇOS!$C:$H,6,0),IFERROR(VLOOKUP($D475,$F:$M,8,0),"")),IFERROR(VLOOKUP($E475,INSUMOS!$B:$E,4,0),IFERROR(VLOOKUP($E475,COTAÇÕES!$C:$L,10,0),"")))</f>
        <v>30.35</v>
      </c>
      <c r="K475" s="615">
        <f>TRUNC(IF($E475="",IFERROR(VLOOKUP($D475,SERVIÇOS!$C:$H,4,0),IFERROR(VLOOKUP($D475,$F:$M,6,0),)),IFERROR(VLOOKUP($E475,INSUMOS!$B:$E,4,0),IFERROR(VLOOKUP($E475,COTAÇÕES!$C:$L,10,0),)))*$I475,2)</f>
        <v>1.05</v>
      </c>
      <c r="L475" s="616">
        <f>TRUNC(IF($E475="",IFERROR(VLOOKUP($D475,SERVIÇOS!$C:$H,5,0),IFERROR(VLOOKUP($D475,$F:$M,7,0),)),0)*$I475,2)</f>
        <v>4.22</v>
      </c>
      <c r="M475" s="617">
        <f>K475+L475</f>
        <v>5.27</v>
      </c>
      <c r="N475" s="753" t="str">
        <f>IF($D475&lt;&gt;"","SERVIÇO SINAPI",IF($E475&lt;&gt;"","INSUMO SINAPI",""))</f>
        <v>SERVIÇO SINAPI</v>
      </c>
      <c r="O475" s="606"/>
    </row>
    <row r="476" spans="2:17">
      <c r="B476" s="122">
        <f t="shared" si="234"/>
        <v>11</v>
      </c>
      <c r="C476" s="611" t="str">
        <f>IF(D476&lt;&gt;"","C",IF(E476&lt;&gt;"","I",""))</f>
        <v>C</v>
      </c>
      <c r="D476" s="666">
        <v>88316</v>
      </c>
      <c r="E476" s="662"/>
      <c r="F476" s="612"/>
      <c r="G476" s="613" t="str">
        <f>IF($E476="",IFERROR(VLOOKUP($D476,SERVIÇOS!$C:$H,2,0),IFERROR(VLOOKUP($D476,$F:$M,2,0),"")),IFERROR(VLOOKUP($E476,INSUMOS!$B:$E,2,0),IFERROR(VLOOKUP($E476,COTAÇÕES!$C:$L,2,0),"")))</f>
        <v>SERVENTE COM ENCARGOS COMPLEMENTARES</v>
      </c>
      <c r="H476" s="593" t="str">
        <f>IF($E476="",IFERROR(VLOOKUP($D476,SERVIÇOS!$C:$H,3,0),IFERROR(VLOOKUP($D476,$F:$M,3,0),"")),IFERROR(VLOOKUP($E476,INSUMOS!$B:$E,3,0),IFERROR(VLOOKUP($E476,COTAÇÕES!$C:$L,5,0),"")))</f>
        <v>H</v>
      </c>
      <c r="I476" s="638">
        <v>5.4800000000000001E-2</v>
      </c>
      <c r="J476" s="670">
        <f>IF($E476="",IFERROR(VLOOKUP($D476,SERVIÇOS!$C:$H,6,0),IFERROR(VLOOKUP($D476,$F:$M,8,0),"")),IFERROR(VLOOKUP($E476,INSUMOS!$B:$E,4,0),IFERROR(VLOOKUP($E476,COTAÇÕES!$C:$L,10,0),"")))</f>
        <v>23.71</v>
      </c>
      <c r="K476" s="615">
        <f>TRUNC(IF($E476="",IFERROR(VLOOKUP($D476,SERVIÇOS!$C:$H,4,0),IFERROR(VLOOKUP($D476,$F:$M,6,0),)),IFERROR(VLOOKUP($E476,INSUMOS!$B:$E,4,0),IFERROR(VLOOKUP($E476,COTAÇÕES!$C:$L,10,0),)))*$I476,2)</f>
        <v>0.35</v>
      </c>
      <c r="L476" s="616">
        <f>TRUNC(IF($E476="",IFERROR(VLOOKUP($D476,SERVIÇOS!$C:$H,5,0),IFERROR(VLOOKUP($D476,$F:$M,7,0),)),0)*$I476,2)</f>
        <v>0.94</v>
      </c>
      <c r="M476" s="617">
        <f>K476+L476</f>
        <v>1.29</v>
      </c>
      <c r="N476" s="753" t="str">
        <f>IF($D476&lt;&gt;"","SERVIÇO SINAPI",IF($E476&lt;&gt;"","INSUMO SINAPI",""))</f>
        <v>SERVIÇO SINAPI</v>
      </c>
      <c r="O476" s="606"/>
    </row>
    <row r="477" spans="2:17" ht="25.5">
      <c r="B477" s="769">
        <f>SUMIF(ORC!$G$11:$G$2470,CPU!$F477,ORC!$J$11:$J$2470)</f>
        <v>1</v>
      </c>
      <c r="C477" s="458" t="s">
        <v>2239</v>
      </c>
      <c r="D477" s="458"/>
      <c r="E477" s="458"/>
      <c r="F477" s="458" t="s">
        <v>8445</v>
      </c>
      <c r="G477" s="634" t="s">
        <v>8447</v>
      </c>
      <c r="H477" s="515" t="s">
        <v>646</v>
      </c>
      <c r="I477" s="635"/>
      <c r="J477" s="636"/>
      <c r="K477" s="636">
        <f>TRUNC(SUM(K478:K483),2)</f>
        <v>342.95</v>
      </c>
      <c r="L477" s="636">
        <f>TRUNC(SUM(L478:L483),2)</f>
        <v>4.7300000000000004</v>
      </c>
      <c r="M477" s="636">
        <f>TRUNC(SUM(M478:M483),2)</f>
        <v>347.68</v>
      </c>
      <c r="N477" s="755" t="s">
        <v>8446</v>
      </c>
      <c r="O477" s="606"/>
    </row>
    <row r="478" spans="2:17" ht="38.25">
      <c r="B478" s="122">
        <f t="shared" ref="B478:B483" si="235">B477</f>
        <v>1</v>
      </c>
      <c r="C478" s="611" t="str">
        <f t="shared" ref="C478:C483" si="236">IF(D478&lt;&gt;"","C",IF(E478&lt;&gt;"","I",""))</f>
        <v>C</v>
      </c>
      <c r="D478" s="666">
        <v>5678</v>
      </c>
      <c r="E478" s="661"/>
      <c r="F478" s="612"/>
      <c r="G478" s="613" t="str">
        <f>IF($E478="",IFERROR(VLOOKUP($D478,SERVIÇOS!$C:$H,2,0),IFERROR(VLOOKUP($D478,$F:$M,2,0),"")),IFERROR(VLOOKUP($E478,INSUMOS!$B:$E,2,0),IFERROR(VLOOKUP($E478,COTAÇÕES!$C:$L,2,0),"")))</f>
        <v>RETROESCAVADEIRA SOBRE RODAS COM CARREGADEIRA, TRAÇÃO 4X4, POTÊNCIA LÍQ. 88 HP, CAÇAMBA CARREG. CAP. MÍN. 1 M3, CAÇAMBA RETRO CAP. 0,26 M3, PESO OPERACIONAL MÍN. 6.674 KG, PROFUNDIDADE ESCAVAÇÃO MÁX. 4,37 M - CHP DIURNO. AF_06/2014</v>
      </c>
      <c r="H478" s="593" t="str">
        <f>IF($E478="",IFERROR(VLOOKUP($D478,SERVIÇOS!$C:$H,3,0),IFERROR(VLOOKUP($D478,$F:$M,3,0),"")),IFERROR(VLOOKUP($E478,INSUMOS!$B:$E,3,0),IFERROR(VLOOKUP($E478,COTAÇÕES!$C:$L,5,0),"")))</f>
        <v>CHP</v>
      </c>
      <c r="I478" s="638">
        <v>1.55E-2</v>
      </c>
      <c r="J478" s="670">
        <f>IF($E478="",IFERROR(VLOOKUP($D478,SERVIÇOS!$C:$H,6,0),IFERROR(VLOOKUP($D478,$F:$M,8,0),"")),IFERROR(VLOOKUP($E478,INSUMOS!$B:$E,4,0),IFERROR(VLOOKUP($E478,COTAÇÕES!$C:$L,10,0),"")))</f>
        <v>159.29</v>
      </c>
      <c r="K478" s="615">
        <f>TRUNC(IF($E478="",IFERROR(VLOOKUP($D478,SERVIÇOS!$C:$H,4,0),IFERROR(VLOOKUP($D478,$F:$M,6,0),)),IFERROR(VLOOKUP($E478,INSUMOS!$B:$E,4,0),IFERROR(VLOOKUP($E478,COTAÇÕES!$C:$L,10,0),)))*$I478,2)</f>
        <v>2.08</v>
      </c>
      <c r="L478" s="616">
        <f>TRUNC(IF($E478="",IFERROR(VLOOKUP($D478,SERVIÇOS!$C:$H,5,0),IFERROR(VLOOKUP($D478,$F:$M,7,0),)),0)*$I478,2)</f>
        <v>0.38</v>
      </c>
      <c r="M478" s="617">
        <f t="shared" ref="M478:M483" si="237">K478+L478</f>
        <v>2.46</v>
      </c>
      <c r="N478" s="753" t="str">
        <f t="shared" ref="N478:N485" si="238">IF($D478&lt;&gt;"","SERVIÇO SINAPI",IF($E478&lt;&gt;"","INSUMO SINAPI",""))</f>
        <v>SERVIÇO SINAPI</v>
      </c>
      <c r="O478" s="606"/>
    </row>
    <row r="479" spans="2:17" ht="38.25">
      <c r="B479" s="122">
        <f t="shared" si="235"/>
        <v>1</v>
      </c>
      <c r="C479" s="611" t="str">
        <f t="shared" si="236"/>
        <v>C</v>
      </c>
      <c r="D479" s="666">
        <v>5679</v>
      </c>
      <c r="E479" s="661"/>
      <c r="F479" s="612"/>
      <c r="G479" s="613" t="str">
        <f>IF($E479="",IFERROR(VLOOKUP($D479,SERVIÇOS!$C:$H,2,0),IFERROR(VLOOKUP($D479,$F:$M,2,0),"")),IFERROR(VLOOKUP($E479,INSUMOS!$B:$E,2,0),IFERROR(VLOOKUP($E479,COTAÇÕES!$C:$L,2,0),"")))</f>
        <v>RETROESCAVADEIRA SOBRE RODAS COM CARREGADEIRA, TRAÇÃO 4X4, POTÊNCIA LÍQ. 88 HP, CAÇAMBA CARREG. CAP. MÍN. 1 M3, CAÇAMBA RETRO CAP. 0,26 M3, PESO OPERACIONAL MÍN. 6.674 KG, PROFUNDIDADE ESCAVAÇÃO MÁX. 4,37 M - CHI DIURNO. AF_06/2014</v>
      </c>
      <c r="H479" s="593" t="str">
        <f>IF($E479="",IFERROR(VLOOKUP($D479,SERVIÇOS!$C:$H,3,0),IFERROR(VLOOKUP($D479,$F:$M,3,0),"")),IFERROR(VLOOKUP($E479,INSUMOS!$B:$E,3,0),IFERROR(VLOOKUP($E479,COTAÇÕES!$C:$L,5,0),"")))</f>
        <v>CHI</v>
      </c>
      <c r="I479" s="638">
        <v>3.15E-2</v>
      </c>
      <c r="J479" s="670">
        <f>IF($E479="",IFERROR(VLOOKUP($D479,SERVIÇOS!$C:$H,6,0),IFERROR(VLOOKUP($D479,$F:$M,8,0),"")),IFERROR(VLOOKUP($E479,INSUMOS!$B:$E,4,0),IFERROR(VLOOKUP($E479,COTAÇÕES!$C:$L,10,0),"")))</f>
        <v>61.97</v>
      </c>
      <c r="K479" s="615">
        <f>TRUNC(IF($E479="",IFERROR(VLOOKUP($D479,SERVIÇOS!$C:$H,4,0),IFERROR(VLOOKUP($D479,$F:$M,6,0),)),IFERROR(VLOOKUP($E479,INSUMOS!$B:$E,4,0),IFERROR(VLOOKUP($E479,COTAÇÕES!$C:$L,10,0),)))*$I479,2)</f>
        <v>1.17</v>
      </c>
      <c r="L479" s="616">
        <f>TRUNC(IF($E479="",IFERROR(VLOOKUP($D479,SERVIÇOS!$C:$H,5,0),IFERROR(VLOOKUP($D479,$F:$M,7,0),)),0)*$I479,2)</f>
        <v>0.77</v>
      </c>
      <c r="M479" s="617">
        <f t="shared" si="237"/>
        <v>1.94</v>
      </c>
      <c r="N479" s="753" t="str">
        <f t="shared" si="238"/>
        <v>SERVIÇO SINAPI</v>
      </c>
      <c r="O479" s="606"/>
    </row>
    <row r="480" spans="2:17">
      <c r="B480" s="122">
        <f t="shared" si="235"/>
        <v>1</v>
      </c>
      <c r="C480" s="611" t="str">
        <f t="shared" si="236"/>
        <v>C</v>
      </c>
      <c r="D480" s="666">
        <v>88309</v>
      </c>
      <c r="E480" s="661"/>
      <c r="F480" s="612"/>
      <c r="G480" s="613" t="str">
        <f>IF($E480="",IFERROR(VLOOKUP($D480,SERVIÇOS!$C:$H,2,0),IFERROR(VLOOKUP($D480,$F:$M,2,0),"")),IFERROR(VLOOKUP($E480,INSUMOS!$B:$E,2,0),IFERROR(VLOOKUP($E480,COTAÇÕES!$C:$L,2,0),"")))</f>
        <v>PEDREIRO COM ENCARGOS COMPLEMENTARES</v>
      </c>
      <c r="H480" s="593" t="str">
        <f>IF($E480="",IFERROR(VLOOKUP($D480,SERVIÇOS!$C:$H,3,0),IFERROR(VLOOKUP($D480,$F:$M,3,0),"")),IFERROR(VLOOKUP($E480,INSUMOS!$B:$E,3,0),IFERROR(VLOOKUP($E480,COTAÇÕES!$C:$L,5,0),"")))</f>
        <v>H</v>
      </c>
      <c r="I480" s="638">
        <v>4.1500000000000002E-2</v>
      </c>
      <c r="J480" s="670">
        <f>IF($E480="",IFERROR(VLOOKUP($D480,SERVIÇOS!$C:$H,6,0),IFERROR(VLOOKUP($D480,$F:$M,8,0),"")),IFERROR(VLOOKUP($E480,INSUMOS!$B:$E,4,0),IFERROR(VLOOKUP($E480,COTAÇÕES!$C:$L,10,0),"")))</f>
        <v>30.99</v>
      </c>
      <c r="K480" s="615">
        <f>TRUNC(IF($E480="",IFERROR(VLOOKUP($D480,SERVIÇOS!$C:$H,4,0),IFERROR(VLOOKUP($D480,$F:$M,6,0),)),IFERROR(VLOOKUP($E480,INSUMOS!$B:$E,4,0),IFERROR(VLOOKUP($E480,COTAÇÕES!$C:$L,10,0),)))*$I480,2)</f>
        <v>0.27</v>
      </c>
      <c r="L480" s="616">
        <f>TRUNC(IF($E480="",IFERROR(VLOOKUP($D480,SERVIÇOS!$C:$H,5,0),IFERROR(VLOOKUP($D480,$F:$M,7,0),)),0)*$I480,2)</f>
        <v>1.01</v>
      </c>
      <c r="M480" s="617">
        <f t="shared" si="237"/>
        <v>1.28</v>
      </c>
      <c r="N480" s="753" t="str">
        <f t="shared" si="238"/>
        <v>SERVIÇO SINAPI</v>
      </c>
      <c r="O480" s="606"/>
    </row>
    <row r="481" spans="1:15">
      <c r="B481" s="122">
        <f t="shared" si="235"/>
        <v>1</v>
      </c>
      <c r="C481" s="611" t="str">
        <f t="shared" si="236"/>
        <v>C</v>
      </c>
      <c r="D481" s="666">
        <v>88316</v>
      </c>
      <c r="E481" s="662"/>
      <c r="F481" s="612"/>
      <c r="G481" s="613" t="str">
        <f>IF($E481="",IFERROR(VLOOKUP($D481,SERVIÇOS!$C:$H,2,0),IFERROR(VLOOKUP($D481,$F:$M,2,0),"")),IFERROR(VLOOKUP($E481,INSUMOS!$B:$E,2,0),IFERROR(VLOOKUP($E481,COTAÇÕES!$C:$L,2,0),"")))</f>
        <v>SERVENTE COM ENCARGOS COMPLEMENTARES</v>
      </c>
      <c r="H481" s="593" t="str">
        <f>IF($E481="",IFERROR(VLOOKUP($D481,SERVIÇOS!$C:$H,3,0),IFERROR(VLOOKUP($D481,$F:$M,3,0),"")),IFERROR(VLOOKUP($E481,INSUMOS!$B:$E,3,0),IFERROR(VLOOKUP($E481,COTAÇÕES!$C:$L,5,0),"")))</f>
        <v>H</v>
      </c>
      <c r="I481" s="638">
        <v>3.2599999999999997E-2</v>
      </c>
      <c r="J481" s="670">
        <f>IF($E481="",IFERROR(VLOOKUP($D481,SERVIÇOS!$C:$H,6,0),IFERROR(VLOOKUP($D481,$F:$M,8,0),"")),IFERROR(VLOOKUP($E481,INSUMOS!$B:$E,4,0),IFERROR(VLOOKUP($E481,COTAÇÕES!$C:$L,10,0),"")))</f>
        <v>23.71</v>
      </c>
      <c r="K481" s="615">
        <f>TRUNC(IF($E481="",IFERROR(VLOOKUP($D481,SERVIÇOS!$C:$H,4,0),IFERROR(VLOOKUP($D481,$F:$M,6,0),)),IFERROR(VLOOKUP($E481,INSUMOS!$B:$E,4,0),IFERROR(VLOOKUP($E481,COTAÇÕES!$C:$L,10,0),)))*$I481,2)</f>
        <v>0.21</v>
      </c>
      <c r="L481" s="616">
        <f>TRUNC(IF($E481="",IFERROR(VLOOKUP($D481,SERVIÇOS!$C:$H,5,0),IFERROR(VLOOKUP($D481,$F:$M,7,0),)),0)*$I481,2)</f>
        <v>0.56000000000000005</v>
      </c>
      <c r="M481" s="617">
        <f t="shared" si="237"/>
        <v>0.77</v>
      </c>
      <c r="N481" s="753" t="str">
        <f t="shared" si="238"/>
        <v>SERVIÇO SINAPI</v>
      </c>
      <c r="O481" s="606"/>
    </row>
    <row r="482" spans="1:15" ht="25.5">
      <c r="B482" s="122">
        <f t="shared" si="235"/>
        <v>1</v>
      </c>
      <c r="C482" s="611" t="str">
        <f t="shared" si="236"/>
        <v>C</v>
      </c>
      <c r="D482" s="666">
        <v>101618</v>
      </c>
      <c r="E482" s="661"/>
      <c r="F482" s="612"/>
      <c r="G482" s="613" t="str">
        <f>IF($E482="",IFERROR(VLOOKUP($D482,SERVIÇOS!$C:$H,2,0),IFERROR(VLOOKUP($D482,$F:$M,2,0),"")),IFERROR(VLOOKUP($E482,INSUMOS!$B:$E,2,0),IFERROR(VLOOKUP($E482,COTAÇÕES!$C:$L,2,0),"")))</f>
        <v>PREPARO DE FUNDO DE VALA COM LARGURA MENOR QUE 1,5 M, COM CAMADA DE AREIA, LANÇAMENTO MANUAL. AF_08/2020</v>
      </c>
      <c r="H482" s="593" t="str">
        <f>IF($E482="",IFERROR(VLOOKUP($D482,SERVIÇOS!$C:$H,3,0),IFERROR(VLOOKUP($D482,$F:$M,3,0),"")),IFERROR(VLOOKUP($E482,INSUMOS!$B:$E,3,0),IFERROR(VLOOKUP($E482,COTAÇÕES!$C:$L,5,0),"")))</f>
        <v>M3</v>
      </c>
      <c r="I482" s="638">
        <v>1.9199999999999998E-2</v>
      </c>
      <c r="J482" s="670">
        <f>IF($E482="",IFERROR(VLOOKUP($D482,SERVIÇOS!$C:$H,6,0),IFERROR(VLOOKUP($D482,$F:$M,8,0),"")),IFERROR(VLOOKUP($E482,INSUMOS!$B:$E,4,0),IFERROR(VLOOKUP($E482,COTAÇÕES!$C:$L,10,0),"")))</f>
        <v>229.11</v>
      </c>
      <c r="K482" s="615">
        <f>TRUNC(IF($E482="",IFERROR(VLOOKUP($D482,SERVIÇOS!$C:$H,4,0),IFERROR(VLOOKUP($D482,$F:$M,6,0),)),IFERROR(VLOOKUP($E482,INSUMOS!$B:$E,4,0),IFERROR(VLOOKUP($E482,COTAÇÕES!$C:$L,10,0),)))*$I482,2)</f>
        <v>2.38</v>
      </c>
      <c r="L482" s="616">
        <f>TRUNC(IF($E482="",IFERROR(VLOOKUP($D482,SERVIÇOS!$C:$H,5,0),IFERROR(VLOOKUP($D482,$F:$M,7,0),)),0)*$I482,2)</f>
        <v>2.0099999999999998</v>
      </c>
      <c r="M482" s="617">
        <f t="shared" si="237"/>
        <v>4.3899999999999997</v>
      </c>
      <c r="N482" s="753" t="str">
        <f t="shared" si="238"/>
        <v>SERVIÇO SINAPI</v>
      </c>
      <c r="O482" s="606"/>
    </row>
    <row r="483" spans="1:15" ht="25.5">
      <c r="B483" s="122">
        <f t="shared" si="235"/>
        <v>1</v>
      </c>
      <c r="C483" s="611" t="str">
        <f t="shared" si="236"/>
        <v>I</v>
      </c>
      <c r="D483" s="666"/>
      <c r="E483" s="662">
        <v>35277</v>
      </c>
      <c r="F483" s="612"/>
      <c r="G483" s="613" t="str">
        <f>IF($E483="",IFERROR(VLOOKUP($D483,SERVIÇOS!$C:$H,2,0),IFERROR(VLOOKUP($D483,$F:$M,2,0),"")),IFERROR(VLOOKUP($E483,INSUMOS!$B:$E,2,0),IFERROR(VLOOKUP($E483,COTAÇÕES!$C:$L,2,0),"")))</f>
        <v xml:space="preserve">CAIXA DE GORDURA EM PVC, DIAMETRO MINIMO 300 MM, DIAMETRO DE SAIDA 100 MM, CAPACIDADE  APROXIMADA 18 LITROS, COM TAMPA E CESTO                                                                                                                                                                                                                                                                                                                                                                            </v>
      </c>
      <c r="H483" s="593" t="str">
        <f>IF($E483="",IFERROR(VLOOKUP($D483,SERVIÇOS!$C:$H,3,0),IFERROR(VLOOKUP($D483,$F:$M,3,0),"")),IFERROR(VLOOKUP($E483,INSUMOS!$B:$E,3,0),IFERROR(VLOOKUP($E483,COTAÇÕES!$C:$L,5,0),"")))</f>
        <v xml:space="preserve">UN    </v>
      </c>
      <c r="I483" s="638">
        <v>1</v>
      </c>
      <c r="J483" s="670">
        <f>IF($E483="",IFERROR(VLOOKUP($D483,SERVIÇOS!$C:$H,6,0),IFERROR(VLOOKUP($D483,$F:$M,8,0),"")),IFERROR(VLOOKUP($E483,INSUMOS!$B:$E,4,0),IFERROR(VLOOKUP($E483,COTAÇÕES!$C:$L,10,0),"")))</f>
        <v>336.84</v>
      </c>
      <c r="K483" s="615">
        <f>TRUNC(IF($E483="",IFERROR(VLOOKUP($D483,SERVIÇOS!$C:$H,4,0),IFERROR(VLOOKUP($D483,$F:$M,6,0),)),IFERROR(VLOOKUP($E483,INSUMOS!$B:$E,4,0),IFERROR(VLOOKUP($E483,COTAÇÕES!$C:$L,10,0),)))*$I483,2)</f>
        <v>336.84</v>
      </c>
      <c r="L483" s="616">
        <f>TRUNC(IF($E483="",IFERROR(VLOOKUP($D483,SERVIÇOS!$C:$H,5,0),IFERROR(VLOOKUP($D483,$F:$M,7,0),)),0)*$I483,2)</f>
        <v>0</v>
      </c>
      <c r="M483" s="617">
        <f t="shared" si="237"/>
        <v>336.84</v>
      </c>
      <c r="N483" s="753" t="str">
        <f t="shared" si="238"/>
        <v>INSUMO SINAPI</v>
      </c>
      <c r="O483" s="606"/>
    </row>
    <row r="484" spans="1:15">
      <c r="B484" s="769">
        <f>SUMIF(ORC!$G$11:$G$2470,CPU!$F484,ORC!$J$11:$J$2470)</f>
        <v>6</v>
      </c>
      <c r="C484" s="458" t="s">
        <v>2239</v>
      </c>
      <c r="D484" s="458"/>
      <c r="E484" s="458"/>
      <c r="F484" s="458" t="s">
        <v>8883</v>
      </c>
      <c r="G484" s="634" t="s">
        <v>8444</v>
      </c>
      <c r="H484" s="515" t="s">
        <v>646</v>
      </c>
      <c r="I484" s="635"/>
      <c r="J484" s="636"/>
      <c r="K484" s="636">
        <f>TRUNC(SUM(K485:K485),2)</f>
        <v>12.25</v>
      </c>
      <c r="L484" s="636">
        <f>TRUNC(SUM(L485:L485),2)</f>
        <v>4.92</v>
      </c>
      <c r="M484" s="636">
        <f>TRUNC(SUM(M485:M485),2)</f>
        <v>17.170000000000002</v>
      </c>
      <c r="N484" s="755" t="s">
        <v>8884</v>
      </c>
      <c r="O484" s="606"/>
    </row>
    <row r="485" spans="1:15">
      <c r="B485" s="122">
        <f>B484</f>
        <v>6</v>
      </c>
      <c r="C485" s="611" t="str">
        <f t="shared" ref="C485" si="239">IF(D485&lt;&gt;"","C",IF(E485&lt;&gt;"","I",""))</f>
        <v>C</v>
      </c>
      <c r="D485" s="666">
        <v>102665</v>
      </c>
      <c r="E485" s="661"/>
      <c r="F485" s="612"/>
      <c r="G485" s="613" t="str">
        <f>IF($E485="",IFERROR(VLOOKUP($D485,SERVIÇOS!$C:$H,2,0),IFERROR(VLOOKUP($D485,$F:$M,2,0),"")),IFERROR(VLOOKUP($E485,INSUMOS!$B:$E,2,0),IFERROR(VLOOKUP($E485,COTAÇÕES!$C:$L,2,0),"")))</f>
        <v>DRENO SUBSUPERFICIAL (SEÇÃO 0,40 X 0,40 M), CEGO, ENCHIMENTO DE BRITA. AF_07/2021</v>
      </c>
      <c r="H485" s="593" t="str">
        <f>IF($E485="",IFERROR(VLOOKUP($D485,SERVIÇOS!$C:$H,3,0),IFERROR(VLOOKUP($D485,$F:$M,3,0),"")),IFERROR(VLOOKUP($E485,INSUMOS!$B:$E,3,0),IFERROR(VLOOKUP($E485,COTAÇÕES!$C:$L,5,0),"")))</f>
        <v>M</v>
      </c>
      <c r="I485" s="638">
        <v>1</v>
      </c>
      <c r="J485" s="670">
        <f>IF($E485="",IFERROR(VLOOKUP($D485,SERVIÇOS!$C:$H,6,0),IFERROR(VLOOKUP($D485,$F:$M,8,0),"")),IFERROR(VLOOKUP($E485,INSUMOS!$B:$E,4,0),IFERROR(VLOOKUP($E485,COTAÇÕES!$C:$L,10,0),"")))</f>
        <v>17.170000000000002</v>
      </c>
      <c r="K485" s="615">
        <f>TRUNC(IF($E485="",IFERROR(VLOOKUP($D485,SERVIÇOS!$C:$H,4,0),IFERROR(VLOOKUP($D485,$F:$M,6,0),)),IFERROR(VLOOKUP($E485,INSUMOS!$B:$E,4,0),IFERROR(VLOOKUP($E485,COTAÇÕES!$C:$L,10,0),)))*$I485,2)</f>
        <v>12.25</v>
      </c>
      <c r="L485" s="616">
        <f>TRUNC(IF($E485="",IFERROR(VLOOKUP($D485,SERVIÇOS!$C:$H,5,0),IFERROR(VLOOKUP($D485,$F:$M,7,0),)),0)*$I485,2)</f>
        <v>4.92</v>
      </c>
      <c r="M485" s="617">
        <f t="shared" ref="M485" si="240">K485+L485</f>
        <v>17.170000000000002</v>
      </c>
      <c r="N485" s="753" t="str">
        <f t="shared" si="238"/>
        <v>SERVIÇO SINAPI</v>
      </c>
      <c r="O485" s="606"/>
    </row>
    <row r="486" spans="1:15" s="893" customFormat="1">
      <c r="A486" s="893" t="s">
        <v>7480</v>
      </c>
      <c r="C486" s="607"/>
      <c r="D486" s="607"/>
      <c r="E486" s="607"/>
      <c r="F486" s="607"/>
      <c r="G486" s="609" t="s">
        <v>8479</v>
      </c>
      <c r="H486" s="607"/>
      <c r="I486" s="607"/>
      <c r="J486" s="607"/>
      <c r="K486" s="607"/>
      <c r="L486" s="607"/>
      <c r="M486" s="607"/>
      <c r="N486" s="756"/>
      <c r="O486" s="607"/>
    </row>
    <row r="487" spans="1:15" ht="38.25">
      <c r="B487" s="769">
        <f>SUMIF(ORC!$G$11:$G$2470,CPU!$F487,ORC!$J$11:$J$2470)</f>
        <v>135</v>
      </c>
      <c r="C487" s="515" t="s">
        <v>2239</v>
      </c>
      <c r="D487" s="515"/>
      <c r="E487" s="515"/>
      <c r="F487" s="515" t="s">
        <v>8488</v>
      </c>
      <c r="G487" s="516" t="s">
        <v>8480</v>
      </c>
      <c r="H487" s="515" t="s">
        <v>648</v>
      </c>
      <c r="I487" s="595"/>
      <c r="J487" s="596"/>
      <c r="K487" s="597">
        <f>SUM(K488:K491)</f>
        <v>28.360000000000003</v>
      </c>
      <c r="L487" s="597">
        <f>SUM(L488:L491)</f>
        <v>2.52</v>
      </c>
      <c r="M487" s="597">
        <f>SUM(K487:L487)</f>
        <v>30.880000000000003</v>
      </c>
      <c r="N487" s="598" t="s">
        <v>8483</v>
      </c>
      <c r="O487" s="599"/>
    </row>
    <row r="488" spans="1:15" ht="25.5">
      <c r="B488" s="122">
        <f t="shared" ref="B488:B491" si="241">B487</f>
        <v>135</v>
      </c>
      <c r="C488" s="611" t="str">
        <f>IF(D488&lt;&gt;"","C",IF(E488&lt;&gt;"","I",""))</f>
        <v>I</v>
      </c>
      <c r="D488" s="660"/>
      <c r="E488" s="662">
        <v>39662</v>
      </c>
      <c r="F488" s="612"/>
      <c r="G488" s="613" t="str">
        <f>IF($E488="",IFERROR(VLOOKUP($D488,SERVIÇOS!$C:$H,2,0),IFERROR(VLOOKUP($D488,$F:$M,2,0),"")),IFERROR(VLOOKUP($E488,INSUMOS!$B:$E,2,0),IFERROR(VLOOKUP($E488,COTAÇÕES!$C:$L,2,0),"")))</f>
        <v xml:space="preserve">TUBO DE COBRE FLEXIVEL, D = 1/4 ", E = 0,79 MM, PARA AR-CONDICIONADO/ INSTALACOES GAS RESIDENCIAIS E COMERCIAIS                                                                                                                                                                                                                                                                                                                                                                                           </v>
      </c>
      <c r="H488" s="593" t="str">
        <f>IF($E488="",IFERROR(VLOOKUP($D488,SERVIÇOS!$C:$H,3,0),IFERROR(VLOOKUP($D488,$F:$M,3,0),"")),IFERROR(VLOOKUP($E488,INSUMOS!$B:$E,3,0),IFERROR(VLOOKUP($E488,COTAÇÕES!$C:$L,5,0),"")))</f>
        <v xml:space="preserve">M     </v>
      </c>
      <c r="I488" s="644">
        <v>1.0210999999999999</v>
      </c>
      <c r="J488" s="670">
        <f>IF($E488="",IFERROR(VLOOKUP($D488,SERVIÇOS!$C:$H,6,0),IFERROR(VLOOKUP($D488,$F:$M,8,0),"")),IFERROR(VLOOKUP($E488,INSUMOS!$B:$E,4,0),IFERROR(VLOOKUP($E488,COTAÇÕES!$C:$L,10,0),"")))</f>
        <v>20.77</v>
      </c>
      <c r="K488" s="615">
        <f>TRUNC(IF($E488="",IFERROR(VLOOKUP($D488,SERVIÇOS!$C:$H,4,0),IFERROR(VLOOKUP($D488,$F:$M,6,0),)),IFERROR(VLOOKUP($E488,INSUMOS!$B:$E,4,0),IFERROR(VLOOKUP($E488,COTAÇÕES!$C:$L,10,0),)))*$I488,2)</f>
        <v>21.2</v>
      </c>
      <c r="L488" s="616">
        <f>TRUNC(IF($E488="",IFERROR(VLOOKUP($D488,SERVIÇOS!$C:$H,5,0),IFERROR(VLOOKUP($D488,$F:$M,7,0),)),0)*$I488,2)</f>
        <v>0</v>
      </c>
      <c r="M488" s="617">
        <f>K488+L488</f>
        <v>21.2</v>
      </c>
      <c r="N488" s="753" t="str">
        <f>IF($D488&lt;&gt;"","SERVIÇO SINAPI",IF($E488&lt;&gt;"","INSUMO SINAPI",""))</f>
        <v>INSUMO SINAPI</v>
      </c>
      <c r="O488" s="640"/>
    </row>
    <row r="489" spans="1:15" ht="38.25">
      <c r="B489" s="122">
        <f t="shared" si="241"/>
        <v>135</v>
      </c>
      <c r="C489" s="611" t="str">
        <f>IF(D489&lt;&gt;"","C",IF(E489&lt;&gt;"","I",""))</f>
        <v>I</v>
      </c>
      <c r="D489" s="660"/>
      <c r="E489" s="661">
        <v>39738</v>
      </c>
      <c r="F489" s="612"/>
      <c r="G489" s="613" t="str">
        <f>IF($E489="",IFERROR(VLOOKUP($D489,SERVIÇOS!$C:$H,2,0),IFERROR(VLOOKUP($D489,$F:$M,2,0),"")),IFERROR(VLOOKUP($E489,INSUMOS!$B:$E,2,0),IFERROR(VLOOKUP($E489,COTAÇÕES!$C:$L,2,0),"")))</f>
        <v xml:space="preserve">TUBO DE BORRACHA ELASTOMERICA FLEXIVEL, PRETA, PARA ISOLAMENTO TERMICO DE TUBULACAO, DN 1/4" (6 MM), E= 9 MM, COEFICIENTE DE CONDUTIVIDADE TERMICA 0,036W/mK, VAPOR DE AGUA MAIOR OU IGUAL A 10.000                                                                                                                                                                                                                                                                                                       </v>
      </c>
      <c r="H489" s="593" t="str">
        <f>IF($E489="",IFERROR(VLOOKUP($D489,SERVIÇOS!$C:$H,3,0),IFERROR(VLOOKUP($D489,$F:$M,3,0),"")),IFERROR(VLOOKUP($E489,INSUMOS!$B:$E,3,0),IFERROR(VLOOKUP($E489,COTAÇÕES!$C:$L,5,0),"")))</f>
        <v xml:space="preserve">M     </v>
      </c>
      <c r="I489" s="644">
        <v>1.0210999999999999</v>
      </c>
      <c r="J489" s="670">
        <f>IF($E489="",IFERROR(VLOOKUP($D489,SERVIÇOS!$C:$H,6,0),IFERROR(VLOOKUP($D489,$F:$M,8,0),"")),IFERROR(VLOOKUP($E489,INSUMOS!$B:$E,4,0),IFERROR(VLOOKUP($E489,COTAÇÕES!$C:$L,10,0),"")))</f>
        <v>6.33</v>
      </c>
      <c r="K489" s="615">
        <f>TRUNC(IF($E489="",IFERROR(VLOOKUP($D489,SERVIÇOS!$C:$H,4,0),IFERROR(VLOOKUP($D489,$F:$M,6,0),)),IFERROR(VLOOKUP($E489,INSUMOS!$B:$E,4,0),IFERROR(VLOOKUP($E489,COTAÇÕES!$C:$L,10,0),)))*$I489,2)</f>
        <v>6.46</v>
      </c>
      <c r="L489" s="616">
        <f>TRUNC(IF($E489="",IFERROR(VLOOKUP($D489,SERVIÇOS!$C:$H,5,0),IFERROR(VLOOKUP($D489,$F:$M,7,0),)),0)*$I489,2)</f>
        <v>0</v>
      </c>
      <c r="M489" s="617">
        <f>K489+L489</f>
        <v>6.46</v>
      </c>
      <c r="N489" s="753" t="str">
        <f>IF($D489&lt;&gt;"","SERVIÇO SINAPI",IF($E489&lt;&gt;"","INSUMO SINAPI",""))</f>
        <v>INSUMO SINAPI</v>
      </c>
      <c r="O489" s="632"/>
    </row>
    <row r="490" spans="1:15">
      <c r="B490" s="122">
        <f t="shared" si="241"/>
        <v>135</v>
      </c>
      <c r="C490" s="611" t="str">
        <f>IF(D490&lt;&gt;"","C",IF(E490&lt;&gt;"","I",""))</f>
        <v>C</v>
      </c>
      <c r="D490" s="660">
        <v>88248</v>
      </c>
      <c r="E490" s="661"/>
      <c r="F490" s="612"/>
      <c r="G490" s="613" t="str">
        <f>IF($E490="",IFERROR(VLOOKUP($D490,SERVIÇOS!$C:$H,2,0),IFERROR(VLOOKUP($D490,$F:$M,2,0),"")),IFERROR(VLOOKUP($E490,INSUMOS!$B:$E,2,0),IFERROR(VLOOKUP($E490,COTAÇÕES!$C:$L,2,0),"")))</f>
        <v>AUXILIAR DE ENCANADOR OU BOMBEIRO HIDRÁULICO COM ENCARGOS COMPLEMENTARES</v>
      </c>
      <c r="H490" s="593" t="str">
        <f>IF($E490="",IFERROR(VLOOKUP($D490,SERVIÇOS!$C:$H,3,0),IFERROR(VLOOKUP($D490,$F:$M,3,0),"")),IFERROR(VLOOKUP($E490,INSUMOS!$B:$E,3,0),IFERROR(VLOOKUP($E490,COTAÇÕES!$C:$L,5,0),"")))</f>
        <v>H</v>
      </c>
      <c r="I490" s="644">
        <v>5.8999999999999997E-2</v>
      </c>
      <c r="J490" s="670">
        <f>IF($E490="",IFERROR(VLOOKUP($D490,SERVIÇOS!$C:$H,6,0),IFERROR(VLOOKUP($D490,$F:$M,8,0),"")),IFERROR(VLOOKUP($E490,INSUMOS!$B:$E,4,0),IFERROR(VLOOKUP($E490,COTAÇÕES!$C:$L,10,0),"")))</f>
        <v>24.65</v>
      </c>
      <c r="K490" s="615">
        <f>TRUNC(IF($E490="",IFERROR(VLOOKUP($D490,SERVIÇOS!$C:$H,4,0),IFERROR(VLOOKUP($D490,$F:$M,6,0),)),IFERROR(VLOOKUP($E490,INSUMOS!$B:$E,4,0),IFERROR(VLOOKUP($E490,COTAÇÕES!$C:$L,10,0),)))*$I490,2)</f>
        <v>0.35</v>
      </c>
      <c r="L490" s="616">
        <f>TRUNC(IF($E490="",IFERROR(VLOOKUP($D490,SERVIÇOS!$C:$H,5,0),IFERROR(VLOOKUP($D490,$F:$M,7,0),)),0)*$I490,2)</f>
        <v>1.0900000000000001</v>
      </c>
      <c r="M490" s="617">
        <f>K490+L490</f>
        <v>1.44</v>
      </c>
      <c r="N490" s="753" t="str">
        <f>IF($D490&lt;&gt;"","SERVIÇO SINAPI",IF($E490&lt;&gt;"","INSUMO SINAPI",""))</f>
        <v>SERVIÇO SINAPI</v>
      </c>
      <c r="O490" s="632"/>
    </row>
    <row r="491" spans="1:15">
      <c r="B491" s="122">
        <f t="shared" si="241"/>
        <v>135</v>
      </c>
      <c r="C491" s="611" t="str">
        <f>IF(D491&lt;&gt;"","C",IF(E491&lt;&gt;"","I",""))</f>
        <v>C</v>
      </c>
      <c r="D491" s="660">
        <v>88267</v>
      </c>
      <c r="E491" s="661"/>
      <c r="F491" s="612"/>
      <c r="G491" s="613" t="str">
        <f>IF($E491="",IFERROR(VLOOKUP($D491,SERVIÇOS!$C:$H,2,0),IFERROR(VLOOKUP($D491,$F:$M,2,0),"")),IFERROR(VLOOKUP($E491,INSUMOS!$B:$E,2,0),IFERROR(VLOOKUP($E491,COTAÇÕES!$C:$L,2,0),"")))</f>
        <v>ENCANADOR OU BOMBEIRO HIDRÁULICO COM ENCARGOS COMPLEMENTARES</v>
      </c>
      <c r="H491" s="593" t="str">
        <f>IF($E491="",IFERROR(VLOOKUP($D491,SERVIÇOS!$C:$H,3,0),IFERROR(VLOOKUP($D491,$F:$M,3,0),"")),IFERROR(VLOOKUP($E491,INSUMOS!$B:$E,3,0),IFERROR(VLOOKUP($E491,COTAÇÕES!$C:$L,5,0),"")))</f>
        <v>H</v>
      </c>
      <c r="I491" s="644">
        <v>5.8999999999999997E-2</v>
      </c>
      <c r="J491" s="670">
        <f>IF($E491="",IFERROR(VLOOKUP($D491,SERVIÇOS!$C:$H,6,0),IFERROR(VLOOKUP($D491,$F:$M,8,0),"")),IFERROR(VLOOKUP($E491,INSUMOS!$B:$E,4,0),IFERROR(VLOOKUP($E491,COTAÇÕES!$C:$L,10,0),"")))</f>
        <v>30.35</v>
      </c>
      <c r="K491" s="615">
        <f>TRUNC(IF($E491="",IFERROR(VLOOKUP($D491,SERVIÇOS!$C:$H,4,0),IFERROR(VLOOKUP($D491,$F:$M,6,0),)),IFERROR(VLOOKUP($E491,INSUMOS!$B:$E,4,0),IFERROR(VLOOKUP($E491,COTAÇÕES!$C:$L,10,0),)))*$I491,2)</f>
        <v>0.35</v>
      </c>
      <c r="L491" s="616">
        <f>TRUNC(IF($E491="",IFERROR(VLOOKUP($D491,SERVIÇOS!$C:$H,5,0),IFERROR(VLOOKUP($D491,$F:$M,7,0),)),0)*$I491,2)</f>
        <v>1.43</v>
      </c>
      <c r="M491" s="617">
        <f>K491+L491</f>
        <v>1.7799999999999998</v>
      </c>
      <c r="N491" s="753" t="str">
        <f>IF($D491&lt;&gt;"","SERVIÇO SINAPI",IF($E491&lt;&gt;"","INSUMO SINAPI",""))</f>
        <v>SERVIÇO SINAPI</v>
      </c>
      <c r="O491" s="632"/>
    </row>
    <row r="492" spans="1:15" ht="38.25">
      <c r="B492" s="769">
        <f>SUMIF(ORC!$G$11:$G$2470,CPU!$F492,ORC!$J$11:$J$2470)</f>
        <v>242</v>
      </c>
      <c r="C492" s="515" t="s">
        <v>2239</v>
      </c>
      <c r="D492" s="515"/>
      <c r="E492" s="515"/>
      <c r="F492" s="515" t="s">
        <v>8489</v>
      </c>
      <c r="G492" s="516" t="s">
        <v>8481</v>
      </c>
      <c r="H492" s="515" t="s">
        <v>648</v>
      </c>
      <c r="I492" s="595"/>
      <c r="J492" s="596"/>
      <c r="K492" s="597">
        <f>SUM(K493:K496)</f>
        <v>49.660000000000004</v>
      </c>
      <c r="L492" s="597">
        <f>SUM(L493:L496)</f>
        <v>2.77</v>
      </c>
      <c r="M492" s="597">
        <f>SUM(K492:L492)</f>
        <v>52.430000000000007</v>
      </c>
      <c r="N492" s="598" t="s">
        <v>8482</v>
      </c>
      <c r="O492" s="599"/>
    </row>
    <row r="493" spans="1:15" ht="25.5">
      <c r="B493" s="122">
        <f t="shared" ref="B493:B496" si="242">B492</f>
        <v>242</v>
      </c>
      <c r="C493" s="611" t="str">
        <f>IF(D493&lt;&gt;"","C",IF(E493&lt;&gt;"","I",""))</f>
        <v>I</v>
      </c>
      <c r="D493" s="660"/>
      <c r="E493" s="662">
        <v>39664</v>
      </c>
      <c r="F493" s="612"/>
      <c r="G493" s="613" t="str">
        <f>IF($E493="",IFERROR(VLOOKUP($D493,SERVIÇOS!$C:$H,2,0),IFERROR(VLOOKUP($D493,$F:$M,2,0),"")),IFERROR(VLOOKUP($E493,INSUMOS!$B:$E,2,0),IFERROR(VLOOKUP($E493,COTAÇÕES!$C:$L,2,0),"")))</f>
        <v xml:space="preserve">TUBO DE COBRE FLEXIVEL, D = 3/8 ", E = 0,79 MM, PARA AR-CONDICIONADO/ INSTALACOES GAS RESIDENCIAIS E COMERCIAIS                                                                                                                                                                                                                                                                                                                                                                                           </v>
      </c>
      <c r="H493" s="593" t="str">
        <f>IF($E493="",IFERROR(VLOOKUP($D493,SERVIÇOS!$C:$H,3,0),IFERROR(VLOOKUP($D493,$F:$M,3,0),"")),IFERROR(VLOOKUP($E493,INSUMOS!$B:$E,3,0),IFERROR(VLOOKUP($E493,COTAÇÕES!$C:$L,5,0),"")))</f>
        <v xml:space="preserve">M     </v>
      </c>
      <c r="I493" s="644">
        <v>1.0210999999999999</v>
      </c>
      <c r="J493" s="670">
        <f>IF($E493="",IFERROR(VLOOKUP($D493,SERVIÇOS!$C:$H,6,0),IFERROR(VLOOKUP($D493,$F:$M,8,0),"")),IFERROR(VLOOKUP($E493,INSUMOS!$B:$E,4,0),IFERROR(VLOOKUP($E493,COTAÇÕES!$C:$L,10,0),"")))</f>
        <v>31.96</v>
      </c>
      <c r="K493" s="615">
        <f>TRUNC(IF($E493="",IFERROR(VLOOKUP($D493,SERVIÇOS!$C:$H,4,0),IFERROR(VLOOKUP($D493,$F:$M,6,0),)),IFERROR(VLOOKUP($E493,INSUMOS!$B:$E,4,0),IFERROR(VLOOKUP($E493,COTAÇÕES!$C:$L,10,0),)))*$I493,2)</f>
        <v>32.630000000000003</v>
      </c>
      <c r="L493" s="616">
        <f>TRUNC(IF($E493="",IFERROR(VLOOKUP($D493,SERVIÇOS!$C:$H,5,0),IFERROR(VLOOKUP($D493,$F:$M,7,0),)),0)*$I493,2)</f>
        <v>0</v>
      </c>
      <c r="M493" s="617">
        <f>K493+L493</f>
        <v>32.630000000000003</v>
      </c>
      <c r="N493" s="753" t="str">
        <f>IF($D493&lt;&gt;"","SERVIÇO SINAPI",IF($E493&lt;&gt;"","INSUMO SINAPI",""))</f>
        <v>INSUMO SINAPI</v>
      </c>
      <c r="O493" s="640"/>
    </row>
    <row r="494" spans="1:15" ht="38.25">
      <c r="B494" s="122">
        <f t="shared" si="242"/>
        <v>242</v>
      </c>
      <c r="C494" s="611" t="str">
        <f>IF(D494&lt;&gt;"","C",IF(E494&lt;&gt;"","I",""))</f>
        <v>I</v>
      </c>
      <c r="D494" s="660"/>
      <c r="E494" s="661">
        <v>39741</v>
      </c>
      <c r="F494" s="612"/>
      <c r="G494" s="613" t="str">
        <f>IF($E494="",IFERROR(VLOOKUP($D494,SERVIÇOS!$C:$H,2,0),IFERROR(VLOOKUP($D494,$F:$M,2,0),"")),IFERROR(VLOOKUP($E494,INSUMOS!$B:$E,2,0),IFERROR(VLOOKUP($E494,COTAÇÕES!$C:$L,2,0),"")))</f>
        <v xml:space="preserve">TUBO DE BORRACHA ELASTOMERICA FLEXIVEL, PRETA, PARA ISOLAMENTO TERMICO DE TUBULACAO, DN 3/8" (10 MM), E= 19 MM, COEFICIENTE DE CONDUTIVIDADE TERMICA 0,036W/mK, VAPOR DE AGUA MAIOR OU IGUAL A 10.000                                                                                                                                                                                                                                                                                                     </v>
      </c>
      <c r="H494" s="593" t="str">
        <f>IF($E494="",IFERROR(VLOOKUP($D494,SERVIÇOS!$C:$H,3,0),IFERROR(VLOOKUP($D494,$F:$M,3,0),"")),IFERROR(VLOOKUP($E494,INSUMOS!$B:$E,3,0),IFERROR(VLOOKUP($E494,COTAÇÕES!$C:$L,5,0),"")))</f>
        <v xml:space="preserve">M     </v>
      </c>
      <c r="I494" s="644">
        <v>1.0210999999999999</v>
      </c>
      <c r="J494" s="670">
        <f>IF($E494="",IFERROR(VLOOKUP($D494,SERVIÇOS!$C:$H,6,0),IFERROR(VLOOKUP($D494,$F:$M,8,0),"")),IFERROR(VLOOKUP($E494,INSUMOS!$B:$E,4,0),IFERROR(VLOOKUP($E494,COTAÇÕES!$C:$L,10,0),"")))</f>
        <v>15.92</v>
      </c>
      <c r="K494" s="615">
        <f>TRUNC(IF($E494="",IFERROR(VLOOKUP($D494,SERVIÇOS!$C:$H,4,0),IFERROR(VLOOKUP($D494,$F:$M,6,0),)),IFERROR(VLOOKUP($E494,INSUMOS!$B:$E,4,0),IFERROR(VLOOKUP($E494,COTAÇÕES!$C:$L,10,0),)))*$I494,2)</f>
        <v>16.25</v>
      </c>
      <c r="L494" s="616">
        <f>TRUNC(IF($E494="",IFERROR(VLOOKUP($D494,SERVIÇOS!$C:$H,5,0),IFERROR(VLOOKUP($D494,$F:$M,7,0),)),0)*$I494,2)</f>
        <v>0</v>
      </c>
      <c r="M494" s="617">
        <f>K494+L494</f>
        <v>16.25</v>
      </c>
      <c r="N494" s="753" t="str">
        <f>IF($D494&lt;&gt;"","SERVIÇO SINAPI",IF($E494&lt;&gt;"","INSUMO SINAPI",""))</f>
        <v>INSUMO SINAPI</v>
      </c>
      <c r="O494" s="632"/>
    </row>
    <row r="495" spans="1:15">
      <c r="B495" s="122">
        <f t="shared" si="242"/>
        <v>242</v>
      </c>
      <c r="C495" s="611" t="str">
        <f>IF(D495&lt;&gt;"","C",IF(E495&lt;&gt;"","I",""))</f>
        <v>C</v>
      </c>
      <c r="D495" s="660">
        <v>88248</v>
      </c>
      <c r="E495" s="661"/>
      <c r="F495" s="612"/>
      <c r="G495" s="613" t="str">
        <f>IF($E495="",IFERROR(VLOOKUP($D495,SERVIÇOS!$C:$H,2,0),IFERROR(VLOOKUP($D495,$F:$M,2,0),"")),IFERROR(VLOOKUP($E495,INSUMOS!$B:$E,2,0),IFERROR(VLOOKUP($E495,COTAÇÕES!$C:$L,2,0),"")))</f>
        <v>AUXILIAR DE ENCANADOR OU BOMBEIRO HIDRÁULICO COM ENCARGOS COMPLEMENTARES</v>
      </c>
      <c r="H495" s="593" t="str">
        <f>IF($E495="",IFERROR(VLOOKUP($D495,SERVIÇOS!$C:$H,3,0),IFERROR(VLOOKUP($D495,$F:$M,3,0),"")),IFERROR(VLOOKUP($E495,INSUMOS!$B:$E,3,0),IFERROR(VLOOKUP($E495,COTAÇÕES!$C:$L,5,0),"")))</f>
        <v>H</v>
      </c>
      <c r="I495" s="644">
        <v>6.5000000000000002E-2</v>
      </c>
      <c r="J495" s="670">
        <f>IF($E495="",IFERROR(VLOOKUP($D495,SERVIÇOS!$C:$H,6,0),IFERROR(VLOOKUP($D495,$F:$M,8,0),"")),IFERROR(VLOOKUP($E495,INSUMOS!$B:$E,4,0),IFERROR(VLOOKUP($E495,COTAÇÕES!$C:$L,10,0),"")))</f>
        <v>24.65</v>
      </c>
      <c r="K495" s="615">
        <f>TRUNC(IF($E495="",IFERROR(VLOOKUP($D495,SERVIÇOS!$C:$H,4,0),IFERROR(VLOOKUP($D495,$F:$M,6,0),)),IFERROR(VLOOKUP($E495,INSUMOS!$B:$E,4,0),IFERROR(VLOOKUP($E495,COTAÇÕES!$C:$L,10,0),)))*$I495,2)</f>
        <v>0.39</v>
      </c>
      <c r="L495" s="616">
        <f>TRUNC(IF($E495="",IFERROR(VLOOKUP($D495,SERVIÇOS!$C:$H,5,0),IFERROR(VLOOKUP($D495,$F:$M,7,0),)),0)*$I495,2)</f>
        <v>1.2</v>
      </c>
      <c r="M495" s="617">
        <f>K495+L495</f>
        <v>1.5899999999999999</v>
      </c>
      <c r="N495" s="753" t="str">
        <f>IF($D495&lt;&gt;"","SERVIÇO SINAPI",IF($E495&lt;&gt;"","INSUMO SINAPI",""))</f>
        <v>SERVIÇO SINAPI</v>
      </c>
      <c r="O495" s="632"/>
    </row>
    <row r="496" spans="1:15">
      <c r="B496" s="122">
        <f t="shared" si="242"/>
        <v>242</v>
      </c>
      <c r="C496" s="611" t="str">
        <f>IF(D496&lt;&gt;"","C",IF(E496&lt;&gt;"","I",""))</f>
        <v>C</v>
      </c>
      <c r="D496" s="660">
        <v>88267</v>
      </c>
      <c r="E496" s="661"/>
      <c r="F496" s="612"/>
      <c r="G496" s="613" t="str">
        <f>IF($E496="",IFERROR(VLOOKUP($D496,SERVIÇOS!$C:$H,2,0),IFERROR(VLOOKUP($D496,$F:$M,2,0),"")),IFERROR(VLOOKUP($E496,INSUMOS!$B:$E,2,0),IFERROR(VLOOKUP($E496,COTAÇÕES!$C:$L,2,0),"")))</f>
        <v>ENCANADOR OU BOMBEIRO HIDRÁULICO COM ENCARGOS COMPLEMENTARES</v>
      </c>
      <c r="H496" s="593" t="str">
        <f>IF($E496="",IFERROR(VLOOKUP($D496,SERVIÇOS!$C:$H,3,0),IFERROR(VLOOKUP($D496,$F:$M,3,0),"")),IFERROR(VLOOKUP($E496,INSUMOS!$B:$E,3,0),IFERROR(VLOOKUP($E496,COTAÇÕES!$C:$L,5,0),"")))</f>
        <v>H</v>
      </c>
      <c r="I496" s="644">
        <v>6.5000000000000002E-2</v>
      </c>
      <c r="J496" s="670">
        <f>IF($E496="",IFERROR(VLOOKUP($D496,SERVIÇOS!$C:$H,6,0),IFERROR(VLOOKUP($D496,$F:$M,8,0),"")),IFERROR(VLOOKUP($E496,INSUMOS!$B:$E,4,0),IFERROR(VLOOKUP($E496,COTAÇÕES!$C:$L,10,0),"")))</f>
        <v>30.35</v>
      </c>
      <c r="K496" s="615">
        <f>TRUNC(IF($E496="",IFERROR(VLOOKUP($D496,SERVIÇOS!$C:$H,4,0),IFERROR(VLOOKUP($D496,$F:$M,6,0),)),IFERROR(VLOOKUP($E496,INSUMOS!$B:$E,4,0),IFERROR(VLOOKUP($E496,COTAÇÕES!$C:$L,10,0),)))*$I496,2)</f>
        <v>0.39</v>
      </c>
      <c r="L496" s="616">
        <f>TRUNC(IF($E496="",IFERROR(VLOOKUP($D496,SERVIÇOS!$C:$H,5,0),IFERROR(VLOOKUP($D496,$F:$M,7,0),)),0)*$I496,2)</f>
        <v>1.57</v>
      </c>
      <c r="M496" s="617">
        <f>K496+L496</f>
        <v>1.96</v>
      </c>
      <c r="N496" s="753" t="str">
        <f>IF($D496&lt;&gt;"","SERVIÇO SINAPI",IF($E496&lt;&gt;"","INSUMO SINAPI",""))</f>
        <v>SERVIÇO SINAPI</v>
      </c>
      <c r="O496" s="632"/>
    </row>
    <row r="497" spans="2:15" ht="38.25">
      <c r="B497" s="769">
        <f>SUMIF(ORC!$G$11:$G$2470,CPU!$F497,ORC!$J$11:$J$2470)</f>
        <v>19</v>
      </c>
      <c r="C497" s="515" t="s">
        <v>2239</v>
      </c>
      <c r="D497" s="515"/>
      <c r="E497" s="515"/>
      <c r="F497" s="515" t="s">
        <v>8490</v>
      </c>
      <c r="G497" s="516" t="s">
        <v>8484</v>
      </c>
      <c r="H497" s="515" t="s">
        <v>648</v>
      </c>
      <c r="I497" s="595"/>
      <c r="J497" s="596"/>
      <c r="K497" s="597">
        <f>SUM(K498:K501)</f>
        <v>77.16</v>
      </c>
      <c r="L497" s="597">
        <f>SUM(L498:L501)</f>
        <v>2.73</v>
      </c>
      <c r="M497" s="597">
        <f>SUM(K497:L497)</f>
        <v>79.89</v>
      </c>
      <c r="N497" s="598" t="s">
        <v>8485</v>
      </c>
      <c r="O497" s="599"/>
    </row>
    <row r="498" spans="2:15" ht="25.5">
      <c r="B498" s="122">
        <f t="shared" ref="B498:B501" si="243">B497</f>
        <v>19</v>
      </c>
      <c r="C498" s="611" t="str">
        <f>IF(D498&lt;&gt;"","C",IF(E498&lt;&gt;"","I",""))</f>
        <v>I</v>
      </c>
      <c r="D498" s="660"/>
      <c r="E498" s="662">
        <v>39665</v>
      </c>
      <c r="F498" s="612"/>
      <c r="G498" s="613" t="str">
        <f>IF($E498="",IFERROR(VLOOKUP($D498,SERVIÇOS!$C:$H,2,0),IFERROR(VLOOKUP($D498,$F:$M,2,0),"")),IFERROR(VLOOKUP($E498,INSUMOS!$B:$E,2,0),IFERROR(VLOOKUP($E498,COTAÇÕES!$C:$L,2,0),"")))</f>
        <v xml:space="preserve">TUBO DE COBRE FLEXIVEL, D = 5/8 ", E = 0,79 MM, PARA AR-CONDICIONADO/ INSTALACOES GAS RESIDENCIAIS E COMERCIAIS                                                                                                                                                                                                                                                                                                                                                                                           </v>
      </c>
      <c r="H498" s="593" t="str">
        <f>IF($E498="",IFERROR(VLOOKUP($D498,SERVIÇOS!$C:$H,3,0),IFERROR(VLOOKUP($D498,$F:$M,3,0),"")),IFERROR(VLOOKUP($E498,INSUMOS!$B:$E,3,0),IFERROR(VLOOKUP($E498,COTAÇÕES!$C:$L,5,0),"")))</f>
        <v xml:space="preserve">M     </v>
      </c>
      <c r="I498" s="644">
        <v>1.0210999999999999</v>
      </c>
      <c r="J498" s="670">
        <f>IF($E498="",IFERROR(VLOOKUP($D498,SERVIÇOS!$C:$H,6,0),IFERROR(VLOOKUP($D498,$F:$M,8,0),"")),IFERROR(VLOOKUP($E498,INSUMOS!$B:$E,4,0),IFERROR(VLOOKUP($E498,COTAÇÕES!$C:$L,10,0),"")))</f>
        <v>53.92</v>
      </c>
      <c r="K498" s="615">
        <f>TRUNC(IF($E498="",IFERROR(VLOOKUP($D498,SERVIÇOS!$C:$H,4,0),IFERROR(VLOOKUP($D498,$F:$M,6,0),)),IFERROR(VLOOKUP($E498,INSUMOS!$B:$E,4,0),IFERROR(VLOOKUP($E498,COTAÇÕES!$C:$L,10,0),)))*$I498,2)</f>
        <v>55.05</v>
      </c>
      <c r="L498" s="616">
        <f>TRUNC(IF($E498="",IFERROR(VLOOKUP($D498,SERVIÇOS!$C:$H,5,0),IFERROR(VLOOKUP($D498,$F:$M,7,0),)),0)*$I498,2)</f>
        <v>0</v>
      </c>
      <c r="M498" s="617">
        <f>K498+L498</f>
        <v>55.05</v>
      </c>
      <c r="N498" s="753" t="str">
        <f>IF($D498&lt;&gt;"","SERVIÇO SINAPI",IF($E498&lt;&gt;"","INSUMO SINAPI",""))</f>
        <v>INSUMO SINAPI</v>
      </c>
      <c r="O498" s="640"/>
    </row>
    <row r="499" spans="2:15" ht="38.25">
      <c r="B499" s="122">
        <f t="shared" si="243"/>
        <v>19</v>
      </c>
      <c r="C499" s="611" t="str">
        <f>IF(D499&lt;&gt;"","C",IF(E499&lt;&gt;"","I",""))</f>
        <v>I</v>
      </c>
      <c r="D499" s="660"/>
      <c r="E499" s="661">
        <v>39853</v>
      </c>
      <c r="F499" s="612"/>
      <c r="G499" s="613" t="str">
        <f>IF($E499="",IFERROR(VLOOKUP($D499,SERVIÇOS!$C:$H,2,0),IFERROR(VLOOKUP($D499,$F:$M,2,0),"")),IFERROR(VLOOKUP($E499,INSUMOS!$B:$E,2,0),IFERROR(VLOOKUP($E499,COTAÇÕES!$C:$L,2,0),"")))</f>
        <v xml:space="preserve">TUBO DE BORRACHA ELASTOMERICA FLEXIVEL, PRETA, PARA ISOLAMENTO TERMICO DE TUBULACAO, DN 5/8" (15 MM), E= 19 MM, COEFICIENTE DE CONDUTIVIDADE TERMICA 0,036W/MK, VAPOR DE AGUA MAIOR OU IGUAL A 10.000                                                                                                                                                                                                                                                                                                     </v>
      </c>
      <c r="H499" s="593" t="str">
        <f>IF($E499="",IFERROR(VLOOKUP($D499,SERVIÇOS!$C:$H,3,0),IFERROR(VLOOKUP($D499,$F:$M,3,0),"")),IFERROR(VLOOKUP($E499,INSUMOS!$B:$E,3,0),IFERROR(VLOOKUP($E499,COTAÇÕES!$C:$L,5,0),"")))</f>
        <v xml:space="preserve">M     </v>
      </c>
      <c r="I499" s="644">
        <v>1.0210999999999999</v>
      </c>
      <c r="J499" s="670">
        <f>IF($E499="",IFERROR(VLOOKUP($D499,SERVIÇOS!$C:$H,6,0),IFERROR(VLOOKUP($D499,$F:$M,8,0),"")),IFERROR(VLOOKUP($E499,INSUMOS!$B:$E,4,0),IFERROR(VLOOKUP($E499,COTAÇÕES!$C:$L,10,0),"")))</f>
        <v>20.91</v>
      </c>
      <c r="K499" s="615">
        <f>TRUNC(IF($E499="",IFERROR(VLOOKUP($D499,SERVIÇOS!$C:$H,4,0),IFERROR(VLOOKUP($D499,$F:$M,6,0),)),IFERROR(VLOOKUP($E499,INSUMOS!$B:$E,4,0),IFERROR(VLOOKUP($E499,COTAÇÕES!$C:$L,10,0),)))*$I499,2)</f>
        <v>21.35</v>
      </c>
      <c r="L499" s="616">
        <f>TRUNC(IF($E499="",IFERROR(VLOOKUP($D499,SERVIÇOS!$C:$H,5,0),IFERROR(VLOOKUP($D499,$F:$M,7,0),)),0)*$I499,2)</f>
        <v>0</v>
      </c>
      <c r="M499" s="617">
        <f>K499+L499</f>
        <v>21.35</v>
      </c>
      <c r="N499" s="753" t="str">
        <f>IF($D499&lt;&gt;"","SERVIÇO SINAPI",IF($E499&lt;&gt;"","INSUMO SINAPI",""))</f>
        <v>INSUMO SINAPI</v>
      </c>
      <c r="O499" s="632"/>
    </row>
    <row r="500" spans="2:15">
      <c r="B500" s="122">
        <f t="shared" si="243"/>
        <v>19</v>
      </c>
      <c r="C500" s="611" t="str">
        <f>IF(D500&lt;&gt;"","C",IF(E500&lt;&gt;"","I",""))</f>
        <v>C</v>
      </c>
      <c r="D500" s="660">
        <v>88248</v>
      </c>
      <c r="E500" s="661"/>
      <c r="F500" s="612"/>
      <c r="G500" s="613" t="str">
        <f>IF($E500="",IFERROR(VLOOKUP($D500,SERVIÇOS!$C:$H,2,0),IFERROR(VLOOKUP($D500,$F:$M,2,0),"")),IFERROR(VLOOKUP($E500,INSUMOS!$B:$E,2,0),IFERROR(VLOOKUP($E500,COTAÇÕES!$C:$L,2,0),"")))</f>
        <v>AUXILIAR DE ENCANADOR OU BOMBEIRO HIDRÁULICO COM ENCARGOS COMPLEMENTARES</v>
      </c>
      <c r="H500" s="593" t="str">
        <f>IF($E500="",IFERROR(VLOOKUP($D500,SERVIÇOS!$C:$H,3,0),IFERROR(VLOOKUP($D500,$F:$M,3,0),"")),IFERROR(VLOOKUP($E500,INSUMOS!$B:$E,3,0),IFERROR(VLOOKUP($E500,COTAÇÕES!$C:$L,5,0),"")))</f>
        <v>H</v>
      </c>
      <c r="I500" s="644">
        <v>6.4000000000000001E-2</v>
      </c>
      <c r="J500" s="670">
        <f>IF($E500="",IFERROR(VLOOKUP($D500,SERVIÇOS!$C:$H,6,0),IFERROR(VLOOKUP($D500,$F:$M,8,0),"")),IFERROR(VLOOKUP($E500,INSUMOS!$B:$E,4,0),IFERROR(VLOOKUP($E500,COTAÇÕES!$C:$L,10,0),"")))</f>
        <v>24.65</v>
      </c>
      <c r="K500" s="615">
        <f>TRUNC(IF($E500="",IFERROR(VLOOKUP($D500,SERVIÇOS!$C:$H,4,0),IFERROR(VLOOKUP($D500,$F:$M,6,0),)),IFERROR(VLOOKUP($E500,INSUMOS!$B:$E,4,0),IFERROR(VLOOKUP($E500,COTAÇÕES!$C:$L,10,0),)))*$I500,2)</f>
        <v>0.38</v>
      </c>
      <c r="L500" s="616">
        <f>TRUNC(IF($E500="",IFERROR(VLOOKUP($D500,SERVIÇOS!$C:$H,5,0),IFERROR(VLOOKUP($D500,$F:$M,7,0),)),0)*$I500,2)</f>
        <v>1.18</v>
      </c>
      <c r="M500" s="617">
        <f>K500+L500</f>
        <v>1.56</v>
      </c>
      <c r="N500" s="753" t="str">
        <f>IF($D500&lt;&gt;"","SERVIÇO SINAPI",IF($E500&lt;&gt;"","INSUMO SINAPI",""))</f>
        <v>SERVIÇO SINAPI</v>
      </c>
      <c r="O500" s="632"/>
    </row>
    <row r="501" spans="2:15">
      <c r="B501" s="122">
        <f t="shared" si="243"/>
        <v>19</v>
      </c>
      <c r="C501" s="611" t="str">
        <f>IF(D501&lt;&gt;"","C",IF(E501&lt;&gt;"","I",""))</f>
        <v>C</v>
      </c>
      <c r="D501" s="660">
        <v>88267</v>
      </c>
      <c r="E501" s="661"/>
      <c r="F501" s="612"/>
      <c r="G501" s="613" t="str">
        <f>IF($E501="",IFERROR(VLOOKUP($D501,SERVIÇOS!$C:$H,2,0),IFERROR(VLOOKUP($D501,$F:$M,2,0),"")),IFERROR(VLOOKUP($E501,INSUMOS!$B:$E,2,0),IFERROR(VLOOKUP($E501,COTAÇÕES!$C:$L,2,0),"")))</f>
        <v>ENCANADOR OU BOMBEIRO HIDRÁULICO COM ENCARGOS COMPLEMENTARES</v>
      </c>
      <c r="H501" s="593" t="str">
        <f>IF($E501="",IFERROR(VLOOKUP($D501,SERVIÇOS!$C:$H,3,0),IFERROR(VLOOKUP($D501,$F:$M,3,0),"")),IFERROR(VLOOKUP($E501,INSUMOS!$B:$E,3,0),IFERROR(VLOOKUP($E501,COTAÇÕES!$C:$L,5,0),"")))</f>
        <v>H</v>
      </c>
      <c r="I501" s="644">
        <v>6.4000000000000001E-2</v>
      </c>
      <c r="J501" s="670">
        <f>IF($E501="",IFERROR(VLOOKUP($D501,SERVIÇOS!$C:$H,6,0),IFERROR(VLOOKUP($D501,$F:$M,8,0),"")),IFERROR(VLOOKUP($E501,INSUMOS!$B:$E,4,0),IFERROR(VLOOKUP($E501,COTAÇÕES!$C:$L,10,0),"")))</f>
        <v>30.35</v>
      </c>
      <c r="K501" s="615">
        <f>TRUNC(IF($E501="",IFERROR(VLOOKUP($D501,SERVIÇOS!$C:$H,4,0),IFERROR(VLOOKUP($D501,$F:$M,6,0),)),IFERROR(VLOOKUP($E501,INSUMOS!$B:$E,4,0),IFERROR(VLOOKUP($E501,COTAÇÕES!$C:$L,10,0),)))*$I501,2)</f>
        <v>0.38</v>
      </c>
      <c r="L501" s="616">
        <f>TRUNC(IF($E501="",IFERROR(VLOOKUP($D501,SERVIÇOS!$C:$H,5,0),IFERROR(VLOOKUP($D501,$F:$M,7,0),)),0)*$I501,2)</f>
        <v>1.55</v>
      </c>
      <c r="M501" s="617">
        <f>K501+L501</f>
        <v>1.9300000000000002</v>
      </c>
      <c r="N501" s="753" t="str">
        <f>IF($D501&lt;&gt;"","SERVIÇO SINAPI",IF($E501&lt;&gt;"","INSUMO SINAPI",""))</f>
        <v>SERVIÇO SINAPI</v>
      </c>
      <c r="O501" s="632"/>
    </row>
    <row r="502" spans="2:15" ht="38.25">
      <c r="B502" s="769">
        <f>SUMIF(ORC!$G$11:$G$2470,CPU!$F502,ORC!$J$11:$J$2470)</f>
        <v>124</v>
      </c>
      <c r="C502" s="515" t="s">
        <v>2239</v>
      </c>
      <c r="D502" s="515"/>
      <c r="E502" s="515"/>
      <c r="F502" s="515" t="s">
        <v>8491</v>
      </c>
      <c r="G502" s="516" t="s">
        <v>8486</v>
      </c>
      <c r="H502" s="515" t="s">
        <v>648</v>
      </c>
      <c r="I502" s="595"/>
      <c r="J502" s="596"/>
      <c r="K502" s="597">
        <f>SUM(K503:K506)</f>
        <v>155.54999999999998</v>
      </c>
      <c r="L502" s="597">
        <f>SUM(L503:L506)</f>
        <v>2.73</v>
      </c>
      <c r="M502" s="597">
        <f>SUM(K502:L502)</f>
        <v>158.27999999999997</v>
      </c>
      <c r="N502" s="598" t="s">
        <v>8485</v>
      </c>
      <c r="O502" s="599"/>
    </row>
    <row r="503" spans="2:15" ht="25.5">
      <c r="B503" s="122">
        <f t="shared" ref="B503:B506" si="244">B502</f>
        <v>124</v>
      </c>
      <c r="C503" s="611" t="str">
        <f>IF(D503&lt;&gt;"","C",IF(E503&lt;&gt;"","I",""))</f>
        <v>I</v>
      </c>
      <c r="D503" s="660"/>
      <c r="E503" s="662">
        <v>39666</v>
      </c>
      <c r="F503" s="612"/>
      <c r="G503" s="613" t="str">
        <f>IF($E503="",IFERROR(VLOOKUP($D503,SERVIÇOS!$C:$H,2,0),IFERROR(VLOOKUP($D503,$F:$M,2,0),"")),IFERROR(VLOOKUP($E503,INSUMOS!$B:$E,2,0),IFERROR(VLOOKUP($E503,COTAÇÕES!$C:$L,2,0),"")))</f>
        <v xml:space="preserve">TUBO DE COBRE FLEXIVEL, D = 3/4 ", E = 0,79 MM, PARA AR-CONDICIONADO/ INSTALACOES GAS RESIDENCIAIS E COMERCIAIS                                                                                                                                                                                                                                                                                                                                                                                           </v>
      </c>
      <c r="H503" s="593" t="str">
        <f>IF($E503="",IFERROR(VLOOKUP($D503,SERVIÇOS!$C:$H,3,0),IFERROR(VLOOKUP($D503,$F:$M,3,0),"")),IFERROR(VLOOKUP($E503,INSUMOS!$B:$E,3,0),IFERROR(VLOOKUP($E503,COTAÇÕES!$C:$L,5,0),"")))</f>
        <v xml:space="preserve">M     </v>
      </c>
      <c r="I503" s="644">
        <v>1.0210999999999999</v>
      </c>
      <c r="J503" s="670">
        <f>IF($E503="",IFERROR(VLOOKUP($D503,SERVIÇOS!$C:$H,6,0),IFERROR(VLOOKUP($D503,$F:$M,8,0),"")),IFERROR(VLOOKUP($E503,INSUMOS!$B:$E,4,0),IFERROR(VLOOKUP($E503,COTAÇÕES!$C:$L,10,0),"")))</f>
        <v>65.209999999999994</v>
      </c>
      <c r="K503" s="615">
        <f>TRUNC(IF($E503="",IFERROR(VLOOKUP($D503,SERVIÇOS!$C:$H,4,0),IFERROR(VLOOKUP($D503,$F:$M,6,0),)),IFERROR(VLOOKUP($E503,INSUMOS!$B:$E,4,0),IFERROR(VLOOKUP($E503,COTAÇÕES!$C:$L,10,0),)))*$I503,2)</f>
        <v>66.58</v>
      </c>
      <c r="L503" s="616">
        <f>TRUNC(IF($E503="",IFERROR(VLOOKUP($D503,SERVIÇOS!$C:$H,5,0),IFERROR(VLOOKUP($D503,$F:$M,7,0),)),0)*$I503,2)</f>
        <v>0</v>
      </c>
      <c r="M503" s="617">
        <f>K503+L503</f>
        <v>66.58</v>
      </c>
      <c r="N503" s="753" t="str">
        <f>IF($D503&lt;&gt;"","SERVIÇO SINAPI",IF($E503&lt;&gt;"","INSUMO SINAPI",""))</f>
        <v>INSUMO SINAPI</v>
      </c>
      <c r="O503" s="640"/>
    </row>
    <row r="504" spans="2:15" ht="38.25">
      <c r="B504" s="122">
        <f t="shared" si="244"/>
        <v>124</v>
      </c>
      <c r="C504" s="611" t="str">
        <f>IF(D504&lt;&gt;"","C",IF(E504&lt;&gt;"","I",""))</f>
        <v>I</v>
      </c>
      <c r="D504" s="660"/>
      <c r="E504" s="661">
        <v>39740</v>
      </c>
      <c r="F504" s="612"/>
      <c r="G504" s="613" t="str">
        <f>IF($E504="",IFERROR(VLOOKUP($D504,SERVIÇOS!$C:$H,2,0),IFERROR(VLOOKUP($D504,$F:$M,2,0),"")),IFERROR(VLOOKUP($E504,INSUMOS!$B:$E,2,0),IFERROR(VLOOKUP($E504,COTAÇÕES!$C:$L,2,0),"")))</f>
        <v xml:space="preserve">TUBO DE BORRACHA ELASTOMERICA FLEXIVEL, PRETA, PARA ISOLAMENTO TERMICO DE TUBULACAO, DN 3/4" (18 MM), E= 32 MM, COEFICIENTE DE CONDUTIVIDADE TERMICA 0,036W/mK, VAPOR DE AGUA MAIOR OU IGUAL A 10.000                                                                                                                                                                                                                                                                                                     </v>
      </c>
      <c r="H504" s="593" t="str">
        <f>IF($E504="",IFERROR(VLOOKUP($D504,SERVIÇOS!$C:$H,3,0),IFERROR(VLOOKUP($D504,$F:$M,3,0),"")),IFERROR(VLOOKUP($E504,INSUMOS!$B:$E,3,0),IFERROR(VLOOKUP($E504,COTAÇÕES!$C:$L,5,0),"")))</f>
        <v xml:space="preserve">M     </v>
      </c>
      <c r="I504" s="644">
        <v>1.0210999999999999</v>
      </c>
      <c r="J504" s="670">
        <f>IF($E504="",IFERROR(VLOOKUP($D504,SERVIÇOS!$C:$H,6,0),IFERROR(VLOOKUP($D504,$F:$M,8,0),"")),IFERROR(VLOOKUP($E504,INSUMOS!$B:$E,4,0),IFERROR(VLOOKUP($E504,COTAÇÕES!$C:$L,10,0),"")))</f>
        <v>86.39</v>
      </c>
      <c r="K504" s="615">
        <f>TRUNC(IF($E504="",IFERROR(VLOOKUP($D504,SERVIÇOS!$C:$H,4,0),IFERROR(VLOOKUP($D504,$F:$M,6,0),)),IFERROR(VLOOKUP($E504,INSUMOS!$B:$E,4,0),IFERROR(VLOOKUP($E504,COTAÇÕES!$C:$L,10,0),)))*$I504,2)</f>
        <v>88.21</v>
      </c>
      <c r="L504" s="616">
        <f>TRUNC(IF($E504="",IFERROR(VLOOKUP($D504,SERVIÇOS!$C:$H,5,0),IFERROR(VLOOKUP($D504,$F:$M,7,0),)),0)*$I504,2)</f>
        <v>0</v>
      </c>
      <c r="M504" s="617">
        <f>K504+L504</f>
        <v>88.21</v>
      </c>
      <c r="N504" s="753" t="str">
        <f>IF($D504&lt;&gt;"","SERVIÇO SINAPI",IF($E504&lt;&gt;"","INSUMO SINAPI",""))</f>
        <v>INSUMO SINAPI</v>
      </c>
      <c r="O504" s="632"/>
    </row>
    <row r="505" spans="2:15">
      <c r="B505" s="122">
        <f t="shared" si="244"/>
        <v>124</v>
      </c>
      <c r="C505" s="611" t="str">
        <f>IF(D505&lt;&gt;"","C",IF(E505&lt;&gt;"","I",""))</f>
        <v>C</v>
      </c>
      <c r="D505" s="660">
        <v>88248</v>
      </c>
      <c r="E505" s="661"/>
      <c r="F505" s="612"/>
      <c r="G505" s="613" t="str">
        <f>IF($E505="",IFERROR(VLOOKUP($D505,SERVIÇOS!$C:$H,2,0),IFERROR(VLOOKUP($D505,$F:$M,2,0),"")),IFERROR(VLOOKUP($E505,INSUMOS!$B:$E,2,0),IFERROR(VLOOKUP($E505,COTAÇÕES!$C:$L,2,0),"")))</f>
        <v>AUXILIAR DE ENCANADOR OU BOMBEIRO HIDRÁULICO COM ENCARGOS COMPLEMENTARES</v>
      </c>
      <c r="H505" s="593" t="str">
        <f>IF($E505="",IFERROR(VLOOKUP($D505,SERVIÇOS!$C:$H,3,0),IFERROR(VLOOKUP($D505,$F:$M,3,0),"")),IFERROR(VLOOKUP($E505,INSUMOS!$B:$E,3,0),IFERROR(VLOOKUP($E505,COTAÇÕES!$C:$L,5,0),"")))</f>
        <v>H</v>
      </c>
      <c r="I505" s="644">
        <v>6.4000000000000001E-2</v>
      </c>
      <c r="J505" s="670">
        <f>IF($E505="",IFERROR(VLOOKUP($D505,SERVIÇOS!$C:$H,6,0),IFERROR(VLOOKUP($D505,$F:$M,8,0),"")),IFERROR(VLOOKUP($E505,INSUMOS!$B:$E,4,0),IFERROR(VLOOKUP($E505,COTAÇÕES!$C:$L,10,0),"")))</f>
        <v>24.65</v>
      </c>
      <c r="K505" s="615">
        <f>TRUNC(IF($E505="",IFERROR(VLOOKUP($D505,SERVIÇOS!$C:$H,4,0),IFERROR(VLOOKUP($D505,$F:$M,6,0),)),IFERROR(VLOOKUP($E505,INSUMOS!$B:$E,4,0),IFERROR(VLOOKUP($E505,COTAÇÕES!$C:$L,10,0),)))*$I505,2)</f>
        <v>0.38</v>
      </c>
      <c r="L505" s="616">
        <f>TRUNC(IF($E505="",IFERROR(VLOOKUP($D505,SERVIÇOS!$C:$H,5,0),IFERROR(VLOOKUP($D505,$F:$M,7,0),)),0)*$I505,2)</f>
        <v>1.18</v>
      </c>
      <c r="M505" s="617">
        <f>K505+L505</f>
        <v>1.56</v>
      </c>
      <c r="N505" s="753" t="str">
        <f>IF($D505&lt;&gt;"","SERVIÇO SINAPI",IF($E505&lt;&gt;"","INSUMO SINAPI",""))</f>
        <v>SERVIÇO SINAPI</v>
      </c>
      <c r="O505" s="632"/>
    </row>
    <row r="506" spans="2:15">
      <c r="B506" s="122">
        <f t="shared" si="244"/>
        <v>124</v>
      </c>
      <c r="C506" s="611" t="str">
        <f>IF(D506&lt;&gt;"","C",IF(E506&lt;&gt;"","I",""))</f>
        <v>C</v>
      </c>
      <c r="D506" s="660">
        <v>88267</v>
      </c>
      <c r="E506" s="661"/>
      <c r="F506" s="612"/>
      <c r="G506" s="613" t="str">
        <f>IF($E506="",IFERROR(VLOOKUP($D506,SERVIÇOS!$C:$H,2,0),IFERROR(VLOOKUP($D506,$F:$M,2,0),"")),IFERROR(VLOOKUP($E506,INSUMOS!$B:$E,2,0),IFERROR(VLOOKUP($E506,COTAÇÕES!$C:$L,2,0),"")))</f>
        <v>ENCANADOR OU BOMBEIRO HIDRÁULICO COM ENCARGOS COMPLEMENTARES</v>
      </c>
      <c r="H506" s="593" t="str">
        <f>IF($E506="",IFERROR(VLOOKUP($D506,SERVIÇOS!$C:$H,3,0),IFERROR(VLOOKUP($D506,$F:$M,3,0),"")),IFERROR(VLOOKUP($E506,INSUMOS!$B:$E,3,0),IFERROR(VLOOKUP($E506,COTAÇÕES!$C:$L,5,0),"")))</f>
        <v>H</v>
      </c>
      <c r="I506" s="644">
        <v>6.4000000000000001E-2</v>
      </c>
      <c r="J506" s="670">
        <f>IF($E506="",IFERROR(VLOOKUP($D506,SERVIÇOS!$C:$H,6,0),IFERROR(VLOOKUP($D506,$F:$M,8,0),"")),IFERROR(VLOOKUP($E506,INSUMOS!$B:$E,4,0),IFERROR(VLOOKUP($E506,COTAÇÕES!$C:$L,10,0),"")))</f>
        <v>30.35</v>
      </c>
      <c r="K506" s="615">
        <f>TRUNC(IF($E506="",IFERROR(VLOOKUP($D506,SERVIÇOS!$C:$H,4,0),IFERROR(VLOOKUP($D506,$F:$M,6,0),)),IFERROR(VLOOKUP($E506,INSUMOS!$B:$E,4,0),IFERROR(VLOOKUP($E506,COTAÇÕES!$C:$L,10,0),)))*$I506,2)</f>
        <v>0.38</v>
      </c>
      <c r="L506" s="616">
        <f>TRUNC(IF($E506="",IFERROR(VLOOKUP($D506,SERVIÇOS!$C:$H,5,0),IFERROR(VLOOKUP($D506,$F:$M,7,0),)),0)*$I506,2)</f>
        <v>1.55</v>
      </c>
      <c r="M506" s="617">
        <f>K506+L506</f>
        <v>1.9300000000000002</v>
      </c>
      <c r="N506" s="753" t="str">
        <f>IF($D506&lt;&gt;"","SERVIÇO SINAPI",IF($E506&lt;&gt;"","INSUMO SINAPI",""))</f>
        <v>SERVIÇO SINAPI</v>
      </c>
      <c r="O506" s="632"/>
    </row>
    <row r="507" spans="2:15">
      <c r="B507" s="769">
        <f>SUMIF(ORC!$G$11:$G$2470,CPU!$F507,ORC!$J$11:$J$2470)</f>
        <v>12</v>
      </c>
      <c r="C507" s="515" t="s">
        <v>2239</v>
      </c>
      <c r="D507" s="515"/>
      <c r="E507" s="515"/>
      <c r="F507" s="515" t="s">
        <v>8492</v>
      </c>
      <c r="G507" s="516" t="s">
        <v>8495</v>
      </c>
      <c r="H507" s="515" t="s">
        <v>646</v>
      </c>
      <c r="I507" s="595"/>
      <c r="J507" s="596"/>
      <c r="K507" s="597">
        <f>SUM(K508:K510)</f>
        <v>29.86</v>
      </c>
      <c r="L507" s="597">
        <f>SUM(L508:L510)</f>
        <v>12.45</v>
      </c>
      <c r="M507" s="597">
        <f>SUM(K507:L507)</f>
        <v>42.31</v>
      </c>
      <c r="N507" s="598" t="s">
        <v>8496</v>
      </c>
      <c r="O507" s="599"/>
    </row>
    <row r="508" spans="2:15" ht="25.5">
      <c r="B508" s="122">
        <f t="shared" ref="B508:B510" si="245">B507</f>
        <v>12</v>
      </c>
      <c r="C508" s="611" t="str">
        <f>IF(D508&lt;&gt;"","C",IF(E508&lt;&gt;"","I",""))</f>
        <v>I</v>
      </c>
      <c r="D508" s="660"/>
      <c r="E508" s="662" t="s">
        <v>9052</v>
      </c>
      <c r="F508" s="612"/>
      <c r="G508" s="613" t="str">
        <f>IF($E508="",IFERROR(VLOOKUP($D508,SERVIÇOS!$C:$H,2,0),IFERROR(VLOOKUP($D508,$F:$M,2,0),"")),IFERROR(VLOOKUP($E508,INSUMOS!$B:$E,2,0),IFERROR(VLOOKUP($E508,COTAÇÕES!$C:$L,2,0),"")))</f>
        <v xml:space="preserve">CAIXA DE PASSAGEM PARA CONDICIONAMENTO DE AR TIPO SPLIT DE 39 X 22 X 6 CM, COM SAÍDA DE DRENO ÚNICO NA VERTICAL, SEM TAMPA, REF. CPP-00-5U, POLOAR OU EQUIVALENTE	</v>
      </c>
      <c r="H508" s="593" t="str">
        <f>IF($E508="",IFERROR(VLOOKUP($D508,SERVIÇOS!$C:$H,3,0),IFERROR(VLOOKUP($D508,$F:$M,3,0),"")),IFERROR(VLOOKUP($E508,INSUMOS!$B:$E,3,0),IFERROR(VLOOKUP($E508,COTAÇÕES!$C:$L,5,0),"")))</f>
        <v xml:space="preserve">UN </v>
      </c>
      <c r="I508" s="644">
        <v>1</v>
      </c>
      <c r="J508" s="670">
        <f>IF($E508="",IFERROR(VLOOKUP($D508,SERVIÇOS!$C:$H,6,0),IFERROR(VLOOKUP($D508,$F:$M,8,0),"")),IFERROR(VLOOKUP($E508,INSUMOS!$B:$E,4,0),IFERROR(VLOOKUP($E508,COTAÇÕES!$C:$L,10,0),"")))</f>
        <v>25.926666666666666</v>
      </c>
      <c r="K508" s="615">
        <f>TRUNC(IF($E508="",IFERROR(VLOOKUP($D508,SERVIÇOS!$C:$H,4,0),IFERROR(VLOOKUP($D508,$F:$M,6,0),)),IFERROR(VLOOKUP($E508,INSUMOS!$B:$E,4,0),IFERROR(VLOOKUP($E508,COTAÇÕES!$C:$L,10,0),)))*$I508,2)</f>
        <v>25.92</v>
      </c>
      <c r="L508" s="616">
        <f>TRUNC(IF($E508="",IFERROR(VLOOKUP($D508,SERVIÇOS!$C:$H,5,0),IFERROR(VLOOKUP($D508,$F:$M,7,0),)),0)*$I508,2)</f>
        <v>0</v>
      </c>
      <c r="M508" s="617">
        <f>K508+L508</f>
        <v>25.92</v>
      </c>
      <c r="N508" s="753" t="s">
        <v>6845</v>
      </c>
      <c r="O508" s="640"/>
    </row>
    <row r="509" spans="2:15">
      <c r="B509" s="122">
        <f t="shared" si="245"/>
        <v>12</v>
      </c>
      <c r="C509" s="611" t="str">
        <f>IF(D509&lt;&gt;"","C",IF(E509&lt;&gt;"","I",""))</f>
        <v>C</v>
      </c>
      <c r="D509" s="660">
        <v>88309</v>
      </c>
      <c r="E509" s="661"/>
      <c r="F509" s="612"/>
      <c r="G509" s="613" t="str">
        <f>IF($E509="",IFERROR(VLOOKUP($D509,SERVIÇOS!$C:$H,2,0),IFERROR(VLOOKUP($D509,$F:$M,2,0),"")),IFERROR(VLOOKUP($E509,INSUMOS!$B:$E,2,0),IFERROR(VLOOKUP($E509,COTAÇÕES!$C:$L,2,0),"")))</f>
        <v>PEDREIRO COM ENCARGOS COMPLEMENTARES</v>
      </c>
      <c r="H509" s="593" t="str">
        <f>IF($E509="",IFERROR(VLOOKUP($D509,SERVIÇOS!$C:$H,3,0),IFERROR(VLOOKUP($D509,$F:$M,3,0),"")),IFERROR(VLOOKUP($E509,INSUMOS!$B:$E,3,0),IFERROR(VLOOKUP($E509,COTAÇÕES!$C:$L,5,0),"")))</f>
        <v>H</v>
      </c>
      <c r="I509" s="644">
        <v>0.3</v>
      </c>
      <c r="J509" s="670">
        <f>IF($E509="",IFERROR(VLOOKUP($D509,SERVIÇOS!$C:$H,6,0),IFERROR(VLOOKUP($D509,$F:$M,8,0),"")),IFERROR(VLOOKUP($E509,INSUMOS!$B:$E,4,0),IFERROR(VLOOKUP($E509,COTAÇÕES!$C:$L,10,0),"")))</f>
        <v>30.99</v>
      </c>
      <c r="K509" s="615">
        <f>TRUNC(IF($E509="",IFERROR(VLOOKUP($D509,SERVIÇOS!$C:$H,4,0),IFERROR(VLOOKUP($D509,$F:$M,6,0),)),IFERROR(VLOOKUP($E509,INSUMOS!$B:$E,4,0),IFERROR(VLOOKUP($E509,COTAÇÕES!$C:$L,10,0),)))*$I509,2)</f>
        <v>1.99</v>
      </c>
      <c r="L509" s="616">
        <f>TRUNC(IF($E509="",IFERROR(VLOOKUP($D509,SERVIÇOS!$C:$H,5,0),IFERROR(VLOOKUP($D509,$F:$M,7,0),)),0)*$I509,2)</f>
        <v>7.3</v>
      </c>
      <c r="M509" s="617">
        <f>K509+L509</f>
        <v>9.2899999999999991</v>
      </c>
      <c r="N509" s="753" t="str">
        <f>IF($D509&lt;&gt;"","SERVIÇO SINAPI",IF($E509&lt;&gt;"","INSUMO SINAPI",""))</f>
        <v>SERVIÇO SINAPI</v>
      </c>
      <c r="O509" s="632"/>
    </row>
    <row r="510" spans="2:15">
      <c r="B510" s="122">
        <f t="shared" si="245"/>
        <v>12</v>
      </c>
      <c r="C510" s="611" t="str">
        <f>IF(D510&lt;&gt;"","C",IF(E510&lt;&gt;"","I",""))</f>
        <v>C</v>
      </c>
      <c r="D510" s="660">
        <v>88316</v>
      </c>
      <c r="E510" s="661"/>
      <c r="F510" s="612"/>
      <c r="G510" s="613" t="str">
        <f>IF($E510="",IFERROR(VLOOKUP($D510,SERVIÇOS!$C:$H,2,0),IFERROR(VLOOKUP($D510,$F:$M,2,0),"")),IFERROR(VLOOKUP($E510,INSUMOS!$B:$E,2,0),IFERROR(VLOOKUP($E510,COTAÇÕES!$C:$L,2,0),"")))</f>
        <v>SERVENTE COM ENCARGOS COMPLEMENTARES</v>
      </c>
      <c r="H510" s="593" t="str">
        <f>IF($E510="",IFERROR(VLOOKUP($D510,SERVIÇOS!$C:$H,3,0),IFERROR(VLOOKUP($D510,$F:$M,3,0),"")),IFERROR(VLOOKUP($E510,INSUMOS!$B:$E,3,0),IFERROR(VLOOKUP($E510,COTAÇÕES!$C:$L,5,0),"")))</f>
        <v>H</v>
      </c>
      <c r="I510" s="644">
        <v>0.3</v>
      </c>
      <c r="J510" s="670">
        <f>IF($E510="",IFERROR(VLOOKUP($D510,SERVIÇOS!$C:$H,6,0),IFERROR(VLOOKUP($D510,$F:$M,8,0),"")),IFERROR(VLOOKUP($E510,INSUMOS!$B:$E,4,0),IFERROR(VLOOKUP($E510,COTAÇÕES!$C:$L,10,0),"")))</f>
        <v>23.71</v>
      </c>
      <c r="K510" s="615">
        <f>TRUNC(IF($E510="",IFERROR(VLOOKUP($D510,SERVIÇOS!$C:$H,4,0),IFERROR(VLOOKUP($D510,$F:$M,6,0),)),IFERROR(VLOOKUP($E510,INSUMOS!$B:$E,4,0),IFERROR(VLOOKUP($E510,COTAÇÕES!$C:$L,10,0),)))*$I510,2)</f>
        <v>1.95</v>
      </c>
      <c r="L510" s="616">
        <f>TRUNC(IF($E510="",IFERROR(VLOOKUP($D510,SERVIÇOS!$C:$H,5,0),IFERROR(VLOOKUP($D510,$F:$M,7,0),)),0)*$I510,2)</f>
        <v>5.15</v>
      </c>
      <c r="M510" s="617">
        <f>K510+L510</f>
        <v>7.1000000000000005</v>
      </c>
      <c r="N510" s="753" t="str">
        <f>IF($D510&lt;&gt;"","SERVIÇO SINAPI",IF($E510&lt;&gt;"","INSUMO SINAPI",""))</f>
        <v>SERVIÇO SINAPI</v>
      </c>
      <c r="O510" s="632"/>
    </row>
    <row r="511" spans="2:15">
      <c r="B511" s="769">
        <f>SUMIF(ORC!$G$11:$G$2470,CPU!$F511,ORC!$J$11:$J$2470)</f>
        <v>2</v>
      </c>
      <c r="C511" s="515" t="s">
        <v>2239</v>
      </c>
      <c r="D511" s="515"/>
      <c r="E511" s="515"/>
      <c r="F511" s="515" t="s">
        <v>8497</v>
      </c>
      <c r="G511" s="516" t="s">
        <v>8498</v>
      </c>
      <c r="H511" s="515" t="s">
        <v>646</v>
      </c>
      <c r="I511" s="595"/>
      <c r="J511" s="596"/>
      <c r="K511" s="597">
        <f>SUM(K512:K514)</f>
        <v>29.86</v>
      </c>
      <c r="L511" s="597">
        <f>SUM(L512:L514)</f>
        <v>12.45</v>
      </c>
      <c r="M511" s="597">
        <f>SUM(K511:L511)</f>
        <v>42.31</v>
      </c>
      <c r="N511" s="598" t="s">
        <v>8496</v>
      </c>
      <c r="O511" s="599"/>
    </row>
    <row r="512" spans="2:15" ht="25.5">
      <c r="B512" s="122">
        <f t="shared" ref="B512:B514" si="246">B511</f>
        <v>2</v>
      </c>
      <c r="C512" s="611" t="str">
        <f>IF(D512&lt;&gt;"","C",IF(E512&lt;&gt;"","I",""))</f>
        <v>I</v>
      </c>
      <c r="D512" s="660"/>
      <c r="E512" s="662" t="s">
        <v>9052</v>
      </c>
      <c r="F512" s="612"/>
      <c r="G512" s="613" t="str">
        <f>IF($E512="",IFERROR(VLOOKUP($D512,SERVIÇOS!$C:$H,2,0),IFERROR(VLOOKUP($D512,$F:$M,2,0),"")),IFERROR(VLOOKUP($E512,INSUMOS!$B:$E,2,0),IFERROR(VLOOKUP($E512,COTAÇÕES!$C:$L,2,0),"")))</f>
        <v xml:space="preserve">CAIXA DE PASSAGEM PARA CONDICIONAMENTO DE AR TIPO SPLIT DE 39 X 22 X 6 CM, COM SAÍDA DE DRENO ÚNICO NA VERTICAL, SEM TAMPA, REF. CPP-00-5U, POLOAR OU EQUIVALENTE	</v>
      </c>
      <c r="H512" s="593" t="str">
        <f>IF($E512="",IFERROR(VLOOKUP($D512,SERVIÇOS!$C:$H,3,0),IFERROR(VLOOKUP($D512,$F:$M,3,0),"")),IFERROR(VLOOKUP($E512,INSUMOS!$B:$E,3,0),IFERROR(VLOOKUP($E512,COTAÇÕES!$C:$L,5,0),"")))</f>
        <v xml:space="preserve">UN </v>
      </c>
      <c r="I512" s="644">
        <v>1</v>
      </c>
      <c r="J512" s="670">
        <f>IF($E512="",IFERROR(VLOOKUP($D512,SERVIÇOS!$C:$H,6,0),IFERROR(VLOOKUP($D512,$F:$M,8,0),"")),IFERROR(VLOOKUP($E512,INSUMOS!$B:$E,4,0),IFERROR(VLOOKUP($E512,COTAÇÕES!$C:$L,10,0),"")))</f>
        <v>25.926666666666666</v>
      </c>
      <c r="K512" s="615">
        <f>TRUNC(IF($E512="",IFERROR(VLOOKUP($D512,SERVIÇOS!$C:$H,4,0),IFERROR(VLOOKUP($D512,$F:$M,6,0),)),IFERROR(VLOOKUP($E512,INSUMOS!$B:$E,4,0),IFERROR(VLOOKUP($E512,COTAÇÕES!$C:$L,10,0),)))*$I512,2)</f>
        <v>25.92</v>
      </c>
      <c r="L512" s="616">
        <f>TRUNC(IF($E512="",IFERROR(VLOOKUP($D512,SERVIÇOS!$C:$H,5,0),IFERROR(VLOOKUP($D512,$F:$M,7,0),)),0)*$I512,2)</f>
        <v>0</v>
      </c>
      <c r="M512" s="617">
        <f>K512+L512</f>
        <v>25.92</v>
      </c>
      <c r="N512" s="753" t="s">
        <v>6845</v>
      </c>
      <c r="O512" s="640"/>
    </row>
    <row r="513" spans="2:17">
      <c r="B513" s="122">
        <f t="shared" si="246"/>
        <v>2</v>
      </c>
      <c r="C513" s="611" t="str">
        <f>IF(D513&lt;&gt;"","C",IF(E513&lt;&gt;"","I",""))</f>
        <v>C</v>
      </c>
      <c r="D513" s="660">
        <v>88309</v>
      </c>
      <c r="E513" s="661"/>
      <c r="F513" s="612"/>
      <c r="G513" s="613" t="str">
        <f>IF($E513="",IFERROR(VLOOKUP($D513,SERVIÇOS!$C:$H,2,0),IFERROR(VLOOKUP($D513,$F:$M,2,0),"")),IFERROR(VLOOKUP($E513,INSUMOS!$B:$E,2,0),IFERROR(VLOOKUP($E513,COTAÇÕES!$C:$L,2,0),"")))</f>
        <v>PEDREIRO COM ENCARGOS COMPLEMENTARES</v>
      </c>
      <c r="H513" s="593" t="str">
        <f>IF($E513="",IFERROR(VLOOKUP($D513,SERVIÇOS!$C:$H,3,0),IFERROR(VLOOKUP($D513,$F:$M,3,0),"")),IFERROR(VLOOKUP($E513,INSUMOS!$B:$E,3,0),IFERROR(VLOOKUP($E513,COTAÇÕES!$C:$L,5,0),"")))</f>
        <v>H</v>
      </c>
      <c r="I513" s="644">
        <v>0.3</v>
      </c>
      <c r="J513" s="670">
        <f>IF($E513="",IFERROR(VLOOKUP($D513,SERVIÇOS!$C:$H,6,0),IFERROR(VLOOKUP($D513,$F:$M,8,0),"")),IFERROR(VLOOKUP($E513,INSUMOS!$B:$E,4,0),IFERROR(VLOOKUP($E513,COTAÇÕES!$C:$L,10,0),"")))</f>
        <v>30.99</v>
      </c>
      <c r="K513" s="615">
        <f>TRUNC(IF($E513="",IFERROR(VLOOKUP($D513,SERVIÇOS!$C:$H,4,0),IFERROR(VLOOKUP($D513,$F:$M,6,0),)),IFERROR(VLOOKUP($E513,INSUMOS!$B:$E,4,0),IFERROR(VLOOKUP($E513,COTAÇÕES!$C:$L,10,0),)))*$I513,2)</f>
        <v>1.99</v>
      </c>
      <c r="L513" s="616">
        <f>TRUNC(IF($E513="",IFERROR(VLOOKUP($D513,SERVIÇOS!$C:$H,5,0),IFERROR(VLOOKUP($D513,$F:$M,7,0),)),0)*$I513,2)</f>
        <v>7.3</v>
      </c>
      <c r="M513" s="617">
        <f>K513+L513</f>
        <v>9.2899999999999991</v>
      </c>
      <c r="N513" s="753" t="str">
        <f>IF($D513&lt;&gt;"","SERVIÇO SINAPI",IF($E513&lt;&gt;"","INSUMO SINAPI",""))</f>
        <v>SERVIÇO SINAPI</v>
      </c>
      <c r="O513" s="632"/>
    </row>
    <row r="514" spans="2:17">
      <c r="B514" s="122">
        <f t="shared" si="246"/>
        <v>2</v>
      </c>
      <c r="C514" s="611" t="str">
        <f>IF(D514&lt;&gt;"","C",IF(E514&lt;&gt;"","I",""))</f>
        <v>C</v>
      </c>
      <c r="D514" s="660">
        <v>88316</v>
      </c>
      <c r="E514" s="661"/>
      <c r="F514" s="612"/>
      <c r="G514" s="613" t="str">
        <f>IF($E514="",IFERROR(VLOOKUP($D514,SERVIÇOS!$C:$H,2,0),IFERROR(VLOOKUP($D514,$F:$M,2,0),"")),IFERROR(VLOOKUP($E514,INSUMOS!$B:$E,2,0),IFERROR(VLOOKUP($E514,COTAÇÕES!$C:$L,2,0),"")))</f>
        <v>SERVENTE COM ENCARGOS COMPLEMENTARES</v>
      </c>
      <c r="H514" s="593" t="str">
        <f>IF($E514="",IFERROR(VLOOKUP($D514,SERVIÇOS!$C:$H,3,0),IFERROR(VLOOKUP($D514,$F:$M,3,0),"")),IFERROR(VLOOKUP($E514,INSUMOS!$B:$E,3,0),IFERROR(VLOOKUP($E514,COTAÇÕES!$C:$L,5,0),"")))</f>
        <v>H</v>
      </c>
      <c r="I514" s="644">
        <v>0.3</v>
      </c>
      <c r="J514" s="670">
        <f>IF($E514="",IFERROR(VLOOKUP($D514,SERVIÇOS!$C:$H,6,0),IFERROR(VLOOKUP($D514,$F:$M,8,0),"")),IFERROR(VLOOKUP($E514,INSUMOS!$B:$E,4,0),IFERROR(VLOOKUP($E514,COTAÇÕES!$C:$L,10,0),"")))</f>
        <v>23.71</v>
      </c>
      <c r="K514" s="615">
        <f>TRUNC(IF($E514="",IFERROR(VLOOKUP($D514,SERVIÇOS!$C:$H,4,0),IFERROR(VLOOKUP($D514,$F:$M,6,0),)),IFERROR(VLOOKUP($E514,INSUMOS!$B:$E,4,0),IFERROR(VLOOKUP($E514,COTAÇÕES!$C:$L,10,0),)))*$I514,2)</f>
        <v>1.95</v>
      </c>
      <c r="L514" s="616">
        <f>TRUNC(IF($E514="",IFERROR(VLOOKUP($D514,SERVIÇOS!$C:$H,5,0),IFERROR(VLOOKUP($D514,$F:$M,7,0),)),0)*$I514,2)</f>
        <v>5.15</v>
      </c>
      <c r="M514" s="617">
        <f>K514+L514</f>
        <v>7.1000000000000005</v>
      </c>
      <c r="N514" s="753" t="str">
        <f>IF($D514&lt;&gt;"","SERVIÇO SINAPI",IF($E514&lt;&gt;"","INSUMO SINAPI",""))</f>
        <v>SERVIÇO SINAPI</v>
      </c>
      <c r="O514" s="632"/>
    </row>
    <row r="515" spans="2:17" ht="25.5">
      <c r="B515" s="769">
        <f>SUMIF(ORC!$G$11:$G$2470,CPU!$F515,ORC!$J$11:$J$2470)</f>
        <v>11</v>
      </c>
      <c r="C515" s="515" t="s">
        <v>2239</v>
      </c>
      <c r="D515" s="515"/>
      <c r="E515" s="515"/>
      <c r="F515" s="515" t="s">
        <v>8499</v>
      </c>
      <c r="G515" s="516" t="s">
        <v>8506</v>
      </c>
      <c r="H515" s="515" t="s">
        <v>646</v>
      </c>
      <c r="I515" s="595"/>
      <c r="J515" s="596"/>
      <c r="K515" s="597">
        <f>SUM(K516:K518)</f>
        <v>350.82000000000005</v>
      </c>
      <c r="L515" s="597">
        <f>SUM(L516:L518)</f>
        <v>88.92</v>
      </c>
      <c r="M515" s="597">
        <f>SUM(K515:L515)</f>
        <v>439.74000000000007</v>
      </c>
      <c r="N515" s="598" t="s">
        <v>8504</v>
      </c>
      <c r="O515" s="599"/>
      <c r="Q515" s="122" t="str">
        <f>UPPER(G515)</f>
        <v>VENTILADOR COMPACTO AXIAL PARA INSTALAÇÃO EM FORRO - VAZÃO 93M3/H - 220V - 20W - 60HZ. REFERÊNCIA: SICFLUX SPLITVENT OU OUTRO EQUIVALENTE TÉCNICO - FORNECIMENTO E INSTALAÇÃO.</v>
      </c>
    </row>
    <row r="516" spans="2:17" ht="25.5">
      <c r="B516" s="122">
        <f t="shared" ref="B516:B518" si="247">B515</f>
        <v>11</v>
      </c>
      <c r="C516" s="611" t="str">
        <f>IF(D516&lt;&gt;"","C",IF(E516&lt;&gt;"","I",""))</f>
        <v>I</v>
      </c>
      <c r="D516" s="660"/>
      <c r="E516" s="662" t="s">
        <v>9053</v>
      </c>
      <c r="F516" s="612"/>
      <c r="G516" s="613" t="str">
        <f>IF($E516="",IFERROR(VLOOKUP($D516,SERVIÇOS!$C:$H,2,0),IFERROR(VLOOKUP($D516,$F:$M,2,0),"")),IFERROR(VLOOKUP($E516,INSUMOS!$B:$E,2,0),IFERROR(VLOOKUP($E516,COTAÇÕES!$C:$L,2,0),"")))</f>
        <v>VENTILADOR COMPACTO AXIAL INSTALADO EM FORRO - VAZÃO 93M3/H -220V-W-60HZ, REF. SPLITVENT SICFLUX OU EQUIVALENTE TÉCNICO</v>
      </c>
      <c r="H516" s="593" t="str">
        <f>IF($E516="",IFERROR(VLOOKUP($D516,SERVIÇOS!$C:$H,3,0),IFERROR(VLOOKUP($D516,$F:$M,3,0),"")),IFERROR(VLOOKUP($E516,INSUMOS!$B:$E,3,0),IFERROR(VLOOKUP($E516,COTAÇÕES!$C:$L,5,0),"")))</f>
        <v xml:space="preserve">UN </v>
      </c>
      <c r="I516" s="644">
        <v>1</v>
      </c>
      <c r="J516" s="670">
        <f>IF($E516="",IFERROR(VLOOKUP($D516,SERVIÇOS!$C:$H,6,0),IFERROR(VLOOKUP($D516,$F:$M,8,0),"")),IFERROR(VLOOKUP($E516,INSUMOS!$B:$E,4,0),IFERROR(VLOOKUP($E516,COTAÇÕES!$C:$L,10,0),"")))</f>
        <v>323.25</v>
      </c>
      <c r="K516" s="615">
        <f>TRUNC(IF($E516="",IFERROR(VLOOKUP($D516,SERVIÇOS!$C:$H,4,0),IFERROR(VLOOKUP($D516,$F:$M,6,0),)),IFERROR(VLOOKUP($E516,INSUMOS!$B:$E,4,0),IFERROR(VLOOKUP($E516,COTAÇÕES!$C:$L,10,0),)))*$I516,2)</f>
        <v>323.25</v>
      </c>
      <c r="L516" s="616">
        <f>TRUNC(IF($E516="",IFERROR(VLOOKUP($D516,SERVIÇOS!$C:$H,5,0),IFERROR(VLOOKUP($D516,$F:$M,7,0),)),0)*$I516,2)</f>
        <v>0</v>
      </c>
      <c r="M516" s="617">
        <f>K516+L516</f>
        <v>323.25</v>
      </c>
      <c r="N516" s="753" t="s">
        <v>6845</v>
      </c>
      <c r="O516" s="640"/>
    </row>
    <row r="517" spans="2:17">
      <c r="B517" s="122">
        <f t="shared" si="247"/>
        <v>11</v>
      </c>
      <c r="C517" s="611" t="str">
        <f>IF(D517&lt;&gt;"","C",IF(E517&lt;&gt;"","I",""))</f>
        <v>C</v>
      </c>
      <c r="D517" s="660">
        <v>88264</v>
      </c>
      <c r="E517" s="661"/>
      <c r="F517" s="612"/>
      <c r="G517" s="613" t="str">
        <f>IF($E517="",IFERROR(VLOOKUP($D517,SERVIÇOS!$C:$H,2,0),IFERROR(VLOOKUP($D517,$F:$M,2,0),"")),IFERROR(VLOOKUP($E517,INSUMOS!$B:$E,2,0),IFERROR(VLOOKUP($E517,COTAÇÕES!$C:$L,2,0),"")))</f>
        <v>ELETRICISTA COM ENCARGOS COMPLEMENTARES</v>
      </c>
      <c r="H517" s="593" t="str">
        <f>IF($E517="",IFERROR(VLOOKUP($D517,SERVIÇOS!$C:$H,3,0),IFERROR(VLOOKUP($D517,$F:$M,3,0),"")),IFERROR(VLOOKUP($E517,INSUMOS!$B:$E,3,0),IFERROR(VLOOKUP($E517,COTAÇÕES!$C:$L,5,0),"")))</f>
        <v>H</v>
      </c>
      <c r="I517" s="644">
        <v>1.8640000000000001</v>
      </c>
      <c r="J517" s="670">
        <f>IF($E517="",IFERROR(VLOOKUP($D517,SERVIÇOS!$C:$H,6,0),IFERROR(VLOOKUP($D517,$F:$M,8,0),"")),IFERROR(VLOOKUP($E517,INSUMOS!$B:$E,4,0),IFERROR(VLOOKUP($E517,COTAÇÕES!$C:$L,10,0),"")))</f>
        <v>31.32</v>
      </c>
      <c r="K517" s="615">
        <f>TRUNC(IF($E517="",IFERROR(VLOOKUP($D517,SERVIÇOS!$C:$H,4,0),IFERROR(VLOOKUP($D517,$F:$M,6,0),)),IFERROR(VLOOKUP($E517,INSUMOS!$B:$E,4,0),IFERROR(VLOOKUP($E517,COTAÇÕES!$C:$L,10,0),)))*$I517,2)</f>
        <v>12.41</v>
      </c>
      <c r="L517" s="616">
        <f>TRUNC(IF($E517="",IFERROR(VLOOKUP($D517,SERVIÇOS!$C:$H,5,0),IFERROR(VLOOKUP($D517,$F:$M,7,0),)),0)*$I517,2)</f>
        <v>45.96</v>
      </c>
      <c r="M517" s="617">
        <f>K517+L517</f>
        <v>58.370000000000005</v>
      </c>
      <c r="N517" s="753" t="str">
        <f>IF($D517&lt;&gt;"","SERVIÇO SINAPI",IF($E517&lt;&gt;"","INSUMO SINAPI",""))</f>
        <v>SERVIÇO SINAPI</v>
      </c>
      <c r="O517" s="632"/>
    </row>
    <row r="518" spans="2:17">
      <c r="B518" s="122">
        <f t="shared" si="247"/>
        <v>11</v>
      </c>
      <c r="C518" s="611" t="str">
        <f>IF(D518&lt;&gt;"","C",IF(E518&lt;&gt;"","I",""))</f>
        <v>C</v>
      </c>
      <c r="D518" s="660">
        <v>88247</v>
      </c>
      <c r="E518" s="661"/>
      <c r="F518" s="612"/>
      <c r="G518" s="613" t="str">
        <f>IF($E518="",IFERROR(VLOOKUP($D518,SERVIÇOS!$C:$H,2,0),IFERROR(VLOOKUP($D518,$F:$M,2,0),"")),IFERROR(VLOOKUP($E518,INSUMOS!$B:$E,2,0),IFERROR(VLOOKUP($E518,COTAÇÕES!$C:$L,2,0),"")))</f>
        <v>AUXILIAR DE ELETRICISTA COM ENCARGOS COMPLEMENTARES</v>
      </c>
      <c r="H518" s="593" t="str">
        <f>IF($E518="",IFERROR(VLOOKUP($D518,SERVIÇOS!$C:$H,3,0),IFERROR(VLOOKUP($D518,$F:$M,3,0),"")),IFERROR(VLOOKUP($E518,INSUMOS!$B:$E,3,0),IFERROR(VLOOKUP($E518,COTAÇÕES!$C:$L,5,0),"")))</f>
        <v>H</v>
      </c>
      <c r="I518" s="644">
        <v>2.2770000000000001</v>
      </c>
      <c r="J518" s="670">
        <f>IF($E518="",IFERROR(VLOOKUP($D518,SERVIÇOS!$C:$H,6,0),IFERROR(VLOOKUP($D518,$F:$M,8,0),"")),IFERROR(VLOOKUP($E518,INSUMOS!$B:$E,4,0),IFERROR(VLOOKUP($E518,COTAÇÕES!$C:$L,10,0),"")))</f>
        <v>25.53</v>
      </c>
      <c r="K518" s="615">
        <f>TRUNC(IF($E518="",IFERROR(VLOOKUP($D518,SERVIÇOS!$C:$H,4,0),IFERROR(VLOOKUP($D518,$F:$M,6,0),)),IFERROR(VLOOKUP($E518,INSUMOS!$B:$E,4,0),IFERROR(VLOOKUP($E518,COTAÇÕES!$C:$L,10,0),)))*$I518,2)</f>
        <v>15.16</v>
      </c>
      <c r="L518" s="616">
        <f>TRUNC(IF($E518="",IFERROR(VLOOKUP($D518,SERVIÇOS!$C:$H,5,0),IFERROR(VLOOKUP($D518,$F:$M,7,0),)),0)*$I518,2)</f>
        <v>42.96</v>
      </c>
      <c r="M518" s="617">
        <f>K518+L518</f>
        <v>58.120000000000005</v>
      </c>
      <c r="N518" s="753" t="str">
        <f>IF($D518&lt;&gt;"","SERVIÇO SINAPI",IF($E518&lt;&gt;"","INSUMO SINAPI",""))</f>
        <v>SERVIÇO SINAPI</v>
      </c>
      <c r="O518" s="632"/>
    </row>
    <row r="519" spans="2:17" ht="38.25">
      <c r="B519" s="769">
        <f>SUMIF(ORC!$G$11:$G$2470,CPU!$F519,ORC!$J$11:$J$2470)</f>
        <v>5</v>
      </c>
      <c r="C519" s="515" t="s">
        <v>2239</v>
      </c>
      <c r="D519" s="515"/>
      <c r="E519" s="515"/>
      <c r="F519" s="515" t="s">
        <v>8505</v>
      </c>
      <c r="G519" s="516" t="s">
        <v>8510</v>
      </c>
      <c r="H519" s="515" t="s">
        <v>646</v>
      </c>
      <c r="I519" s="595"/>
      <c r="J519" s="596"/>
      <c r="K519" s="597">
        <f>SUM(K520:K522)</f>
        <v>941.19999999999993</v>
      </c>
      <c r="L519" s="597">
        <f>SUM(L520:L522)</f>
        <v>88.92</v>
      </c>
      <c r="M519" s="597">
        <f>SUM(K519:L519)</f>
        <v>1030.1199999999999</v>
      </c>
      <c r="N519" s="598" t="s">
        <v>8504</v>
      </c>
      <c r="O519" s="599"/>
      <c r="Q519" s="122" t="str">
        <f>UPPER(G519)</f>
        <v>EXAUSTOR AXIAL EM LINHA, ULTRACOMPACTO COM 02 VELOCIDADES, 60HZ, MONOFÁSICO, 127V, VAZÃO MÍNIMA 830 M³/H, REFERÊNCIA. SICFLUX LINHA MAXX 200 OU EQUIVALENTE TÉCNICO - FORNECIMENTO E INSTALAÇÃO.</v>
      </c>
    </row>
    <row r="520" spans="2:17" ht="25.5">
      <c r="B520" s="122">
        <f t="shared" ref="B520:B522" si="248">B519</f>
        <v>5</v>
      </c>
      <c r="C520" s="611" t="str">
        <f>IF(D520&lt;&gt;"","C",IF(E520&lt;&gt;"","I",""))</f>
        <v>I</v>
      </c>
      <c r="D520" s="660"/>
      <c r="E520" s="662" t="s">
        <v>9054</v>
      </c>
      <c r="F520" s="612"/>
      <c r="G520" s="613" t="str">
        <f>IF($E520="",IFERROR(VLOOKUP($D520,SERVIÇOS!$C:$H,2,0),IFERROR(VLOOKUP($D520,$F:$M,2,0),"")),IFERROR(VLOOKUP($E520,INSUMOS!$B:$E,2,0),IFERROR(VLOOKUP($E520,COTAÇÕES!$C:$L,2,0),"")))</f>
        <v>EXAUSTOR AXIAL EM LINHA, ULTRACOMPACTO COM 02 VELOCIDADES, 60HZ, MONOFÁSICO, 127V, VAZÃO MÍNIMA 830 M³/H, REFERÊNCIA. SICFLUX LINHA MAXX 200 OU EQUIVALENTE TÉCNICO</v>
      </c>
      <c r="H520" s="593" t="str">
        <f>IF($E520="",IFERROR(VLOOKUP($D520,SERVIÇOS!$C:$H,3,0),IFERROR(VLOOKUP($D520,$F:$M,3,0),"")),IFERROR(VLOOKUP($E520,INSUMOS!$B:$E,3,0),IFERROR(VLOOKUP($E520,COTAÇÕES!$C:$L,5,0),"")))</f>
        <v xml:space="preserve">UN </v>
      </c>
      <c r="I520" s="644">
        <v>1</v>
      </c>
      <c r="J520" s="670">
        <f>IF($E520="",IFERROR(VLOOKUP($D520,SERVIÇOS!$C:$H,6,0),IFERROR(VLOOKUP($D520,$F:$M,8,0),"")),IFERROR(VLOOKUP($E520,INSUMOS!$B:$E,4,0),IFERROR(VLOOKUP($E520,COTAÇÕES!$C:$L,10,0),"")))</f>
        <v>913.63333333333333</v>
      </c>
      <c r="K520" s="615">
        <f>TRUNC(IF($E520="",IFERROR(VLOOKUP($D520,SERVIÇOS!$C:$H,4,0),IFERROR(VLOOKUP($D520,$F:$M,6,0),)),IFERROR(VLOOKUP($E520,INSUMOS!$B:$E,4,0),IFERROR(VLOOKUP($E520,COTAÇÕES!$C:$L,10,0),)))*$I520,2)</f>
        <v>913.63</v>
      </c>
      <c r="L520" s="616">
        <f>TRUNC(IF($E520="",IFERROR(VLOOKUP($D520,SERVIÇOS!$C:$H,5,0),IFERROR(VLOOKUP($D520,$F:$M,7,0),)),0)*$I520,2)</f>
        <v>0</v>
      </c>
      <c r="M520" s="617">
        <f>K520+L520</f>
        <v>913.63</v>
      </c>
      <c r="N520" s="753" t="s">
        <v>6845</v>
      </c>
      <c r="O520" s="640"/>
    </row>
    <row r="521" spans="2:17">
      <c r="B521" s="122">
        <f t="shared" si="248"/>
        <v>5</v>
      </c>
      <c r="C521" s="611" t="str">
        <f>IF(D521&lt;&gt;"","C",IF(E521&lt;&gt;"","I",""))</f>
        <v>C</v>
      </c>
      <c r="D521" s="660">
        <v>88264</v>
      </c>
      <c r="E521" s="661"/>
      <c r="F521" s="612"/>
      <c r="G521" s="613" t="str">
        <f>IF($E521="",IFERROR(VLOOKUP($D521,SERVIÇOS!$C:$H,2,0),IFERROR(VLOOKUP($D521,$F:$M,2,0),"")),IFERROR(VLOOKUP($E521,INSUMOS!$B:$E,2,0),IFERROR(VLOOKUP($E521,COTAÇÕES!$C:$L,2,0),"")))</f>
        <v>ELETRICISTA COM ENCARGOS COMPLEMENTARES</v>
      </c>
      <c r="H521" s="593" t="str">
        <f>IF($E521="",IFERROR(VLOOKUP($D521,SERVIÇOS!$C:$H,3,0),IFERROR(VLOOKUP($D521,$F:$M,3,0),"")),IFERROR(VLOOKUP($E521,INSUMOS!$B:$E,3,0),IFERROR(VLOOKUP($E521,COTAÇÕES!$C:$L,5,0),"")))</f>
        <v>H</v>
      </c>
      <c r="I521" s="644">
        <v>1.8640000000000001</v>
      </c>
      <c r="J521" s="670">
        <f>IF($E521="",IFERROR(VLOOKUP($D521,SERVIÇOS!$C:$H,6,0),IFERROR(VLOOKUP($D521,$F:$M,8,0),"")),IFERROR(VLOOKUP($E521,INSUMOS!$B:$E,4,0),IFERROR(VLOOKUP($E521,COTAÇÕES!$C:$L,10,0),"")))</f>
        <v>31.32</v>
      </c>
      <c r="K521" s="615">
        <f>TRUNC(IF($E521="",IFERROR(VLOOKUP($D521,SERVIÇOS!$C:$H,4,0),IFERROR(VLOOKUP($D521,$F:$M,6,0),)),IFERROR(VLOOKUP($E521,INSUMOS!$B:$E,4,0),IFERROR(VLOOKUP($E521,COTAÇÕES!$C:$L,10,0),)))*$I521,2)</f>
        <v>12.41</v>
      </c>
      <c r="L521" s="616">
        <f>TRUNC(IF($E521="",IFERROR(VLOOKUP($D521,SERVIÇOS!$C:$H,5,0),IFERROR(VLOOKUP($D521,$F:$M,7,0),)),0)*$I521,2)</f>
        <v>45.96</v>
      </c>
      <c r="M521" s="617">
        <f>K521+L521</f>
        <v>58.370000000000005</v>
      </c>
      <c r="N521" s="753" t="str">
        <f>IF($D521&lt;&gt;"","SERVIÇO SINAPI",IF($E521&lt;&gt;"","INSUMO SINAPI",""))</f>
        <v>SERVIÇO SINAPI</v>
      </c>
      <c r="O521" s="632"/>
    </row>
    <row r="522" spans="2:17">
      <c r="B522" s="122">
        <f t="shared" si="248"/>
        <v>5</v>
      </c>
      <c r="C522" s="611" t="str">
        <f>IF(D522&lt;&gt;"","C",IF(E522&lt;&gt;"","I",""))</f>
        <v>C</v>
      </c>
      <c r="D522" s="660">
        <v>88247</v>
      </c>
      <c r="E522" s="661"/>
      <c r="F522" s="612"/>
      <c r="G522" s="613" t="str">
        <f>IF($E522="",IFERROR(VLOOKUP($D522,SERVIÇOS!$C:$H,2,0),IFERROR(VLOOKUP($D522,$F:$M,2,0),"")),IFERROR(VLOOKUP($E522,INSUMOS!$B:$E,2,0),IFERROR(VLOOKUP($E522,COTAÇÕES!$C:$L,2,0),"")))</f>
        <v>AUXILIAR DE ELETRICISTA COM ENCARGOS COMPLEMENTARES</v>
      </c>
      <c r="H522" s="593" t="str">
        <f>IF($E522="",IFERROR(VLOOKUP($D522,SERVIÇOS!$C:$H,3,0),IFERROR(VLOOKUP($D522,$F:$M,3,0),"")),IFERROR(VLOOKUP($E522,INSUMOS!$B:$E,3,0),IFERROR(VLOOKUP($E522,COTAÇÕES!$C:$L,5,0),"")))</f>
        <v>H</v>
      </c>
      <c r="I522" s="644">
        <v>2.2770000000000001</v>
      </c>
      <c r="J522" s="670">
        <f>IF($E522="",IFERROR(VLOOKUP($D522,SERVIÇOS!$C:$H,6,0),IFERROR(VLOOKUP($D522,$F:$M,8,0),"")),IFERROR(VLOOKUP($E522,INSUMOS!$B:$E,4,0),IFERROR(VLOOKUP($E522,COTAÇÕES!$C:$L,10,0),"")))</f>
        <v>25.53</v>
      </c>
      <c r="K522" s="615">
        <f>TRUNC(IF($E522="",IFERROR(VLOOKUP($D522,SERVIÇOS!$C:$H,4,0),IFERROR(VLOOKUP($D522,$F:$M,6,0),)),IFERROR(VLOOKUP($E522,INSUMOS!$B:$E,4,0),IFERROR(VLOOKUP($E522,COTAÇÕES!$C:$L,10,0),)))*$I522,2)</f>
        <v>15.16</v>
      </c>
      <c r="L522" s="616">
        <f>TRUNC(IF($E522="",IFERROR(VLOOKUP($D522,SERVIÇOS!$C:$H,5,0),IFERROR(VLOOKUP($D522,$F:$M,7,0),)),0)*$I522,2)</f>
        <v>42.96</v>
      </c>
      <c r="M522" s="617">
        <f>K522+L522</f>
        <v>58.120000000000005</v>
      </c>
      <c r="N522" s="753" t="str">
        <f>IF($D522&lt;&gt;"","SERVIÇO SINAPI",IF($E522&lt;&gt;"","INSUMO SINAPI",""))</f>
        <v>SERVIÇO SINAPI</v>
      </c>
      <c r="O522" s="632"/>
    </row>
    <row r="523" spans="2:17" ht="38.25">
      <c r="B523" s="769">
        <f>SUMIF(ORC!$G$11:$G$2470,CPU!$F523,ORC!$J$11:$J$2470)</f>
        <v>1</v>
      </c>
      <c r="C523" s="515" t="s">
        <v>2239</v>
      </c>
      <c r="D523" s="515"/>
      <c r="E523" s="515"/>
      <c r="F523" s="515" t="s">
        <v>8511</v>
      </c>
      <c r="G523" s="516" t="s">
        <v>8516</v>
      </c>
      <c r="H523" s="515" t="s">
        <v>646</v>
      </c>
      <c r="I523" s="595"/>
      <c r="J523" s="596"/>
      <c r="K523" s="597">
        <f>SUM(K524:K526)</f>
        <v>243.67</v>
      </c>
      <c r="L523" s="597">
        <f>SUM(L524:L526)</f>
        <v>88.92</v>
      </c>
      <c r="M523" s="597">
        <f>SUM(K523:L523)</f>
        <v>332.59</v>
      </c>
      <c r="N523" s="598" t="s">
        <v>8504</v>
      </c>
      <c r="O523" s="599"/>
      <c r="Q523" s="122" t="str">
        <f>UPPER(G523)</f>
        <v>UNIDADE DE VENTILAÇÃO EXAUSTORA COMPACTA AXIAL, 60HZ, MONOFÁSICO, 127V, VAZÃO MÁXIMA 183 M³/H. REFERÊNCIA SICFLUX LINHA SONORA 18 OU EQUIVALENTE TÉCNICO - FORNECIMENTO E INSTALAÇÃO.</v>
      </c>
    </row>
    <row r="524" spans="2:17">
      <c r="B524" s="122">
        <f t="shared" ref="B524:B526" si="249">B523</f>
        <v>1</v>
      </c>
      <c r="C524" s="611" t="str">
        <f>IF(D524&lt;&gt;"","C",IF(E524&lt;&gt;"","I",""))</f>
        <v>I</v>
      </c>
      <c r="D524" s="660"/>
      <c r="E524" s="662" t="s">
        <v>9055</v>
      </c>
      <c r="F524" s="612"/>
      <c r="G524" s="613" t="str">
        <f>IF($E524="",IFERROR(VLOOKUP($D524,SERVIÇOS!$C:$H,2,0),IFERROR(VLOOKUP($D524,$F:$M,2,0),"")),IFERROR(VLOOKUP($E524,INSUMOS!$B:$E,2,0),IFERROR(VLOOKUP($E524,COTAÇÕES!$C:$L,2,0),"")))</f>
        <v xml:space="preserve">EXAUSTOR DE BANHEIRO 125MM, REFERÊNCIA SICFLUX LINHA SONORA 18 OU EQUIVALENTE TÉCNICO </v>
      </c>
      <c r="H524" s="593" t="str">
        <f>IF($E524="",IFERROR(VLOOKUP($D524,SERVIÇOS!$C:$H,3,0),IFERROR(VLOOKUP($D524,$F:$M,3,0),"")),IFERROR(VLOOKUP($E524,INSUMOS!$B:$E,3,0),IFERROR(VLOOKUP($E524,COTAÇÕES!$C:$L,5,0),"")))</f>
        <v xml:space="preserve">UN </v>
      </c>
      <c r="I524" s="644">
        <v>1</v>
      </c>
      <c r="J524" s="670">
        <f>IF($E524="",IFERROR(VLOOKUP($D524,SERVIÇOS!$C:$H,6,0),IFERROR(VLOOKUP($D524,$F:$M,8,0),"")),IFERROR(VLOOKUP($E524,INSUMOS!$B:$E,4,0),IFERROR(VLOOKUP($E524,COTAÇÕES!$C:$L,10,0),"")))</f>
        <v>216.10666666666668</v>
      </c>
      <c r="K524" s="615">
        <f>TRUNC(IF($E524="",IFERROR(VLOOKUP($D524,SERVIÇOS!$C:$H,4,0),IFERROR(VLOOKUP($D524,$F:$M,6,0),)),IFERROR(VLOOKUP($E524,INSUMOS!$B:$E,4,0),IFERROR(VLOOKUP($E524,COTAÇÕES!$C:$L,10,0),)))*$I524,2)</f>
        <v>216.1</v>
      </c>
      <c r="L524" s="616">
        <f>TRUNC(IF($E524="",IFERROR(VLOOKUP($D524,SERVIÇOS!$C:$H,5,0),IFERROR(VLOOKUP($D524,$F:$M,7,0),)),0)*$I524,2)</f>
        <v>0</v>
      </c>
      <c r="M524" s="617">
        <f>K524+L524</f>
        <v>216.1</v>
      </c>
      <c r="N524" s="753" t="s">
        <v>6845</v>
      </c>
      <c r="O524" s="640"/>
    </row>
    <row r="525" spans="2:17">
      <c r="B525" s="122">
        <f t="shared" si="249"/>
        <v>1</v>
      </c>
      <c r="C525" s="611" t="str">
        <f>IF(D525&lt;&gt;"","C",IF(E525&lt;&gt;"","I",""))</f>
        <v>C</v>
      </c>
      <c r="D525" s="660">
        <v>88264</v>
      </c>
      <c r="E525" s="661"/>
      <c r="F525" s="612"/>
      <c r="G525" s="613" t="str">
        <f>IF($E525="",IFERROR(VLOOKUP($D525,SERVIÇOS!$C:$H,2,0),IFERROR(VLOOKUP($D525,$F:$M,2,0),"")),IFERROR(VLOOKUP($E525,INSUMOS!$B:$E,2,0),IFERROR(VLOOKUP($E525,COTAÇÕES!$C:$L,2,0),"")))</f>
        <v>ELETRICISTA COM ENCARGOS COMPLEMENTARES</v>
      </c>
      <c r="H525" s="593" t="str">
        <f>IF($E525="",IFERROR(VLOOKUP($D525,SERVIÇOS!$C:$H,3,0),IFERROR(VLOOKUP($D525,$F:$M,3,0),"")),IFERROR(VLOOKUP($E525,INSUMOS!$B:$E,3,0),IFERROR(VLOOKUP($E525,COTAÇÕES!$C:$L,5,0),"")))</f>
        <v>H</v>
      </c>
      <c r="I525" s="644">
        <v>1.8640000000000001</v>
      </c>
      <c r="J525" s="670">
        <f>IF($E525="",IFERROR(VLOOKUP($D525,SERVIÇOS!$C:$H,6,0),IFERROR(VLOOKUP($D525,$F:$M,8,0),"")),IFERROR(VLOOKUP($E525,INSUMOS!$B:$E,4,0),IFERROR(VLOOKUP($E525,COTAÇÕES!$C:$L,10,0),"")))</f>
        <v>31.32</v>
      </c>
      <c r="K525" s="615">
        <f>TRUNC(IF($E525="",IFERROR(VLOOKUP($D525,SERVIÇOS!$C:$H,4,0),IFERROR(VLOOKUP($D525,$F:$M,6,0),)),IFERROR(VLOOKUP($E525,INSUMOS!$B:$E,4,0),IFERROR(VLOOKUP($E525,COTAÇÕES!$C:$L,10,0),)))*$I525,2)</f>
        <v>12.41</v>
      </c>
      <c r="L525" s="616">
        <f>TRUNC(IF($E525="",IFERROR(VLOOKUP($D525,SERVIÇOS!$C:$H,5,0),IFERROR(VLOOKUP($D525,$F:$M,7,0),)),0)*$I525,2)</f>
        <v>45.96</v>
      </c>
      <c r="M525" s="617">
        <f>K525+L525</f>
        <v>58.370000000000005</v>
      </c>
      <c r="N525" s="753" t="str">
        <f>IF($D525&lt;&gt;"","SERVIÇO SINAPI",IF($E525&lt;&gt;"","INSUMO SINAPI",""))</f>
        <v>SERVIÇO SINAPI</v>
      </c>
      <c r="O525" s="632"/>
    </row>
    <row r="526" spans="2:17">
      <c r="B526" s="122">
        <f t="shared" si="249"/>
        <v>1</v>
      </c>
      <c r="C526" s="611" t="str">
        <f>IF(D526&lt;&gt;"","C",IF(E526&lt;&gt;"","I",""))</f>
        <v>C</v>
      </c>
      <c r="D526" s="660">
        <v>88247</v>
      </c>
      <c r="E526" s="661"/>
      <c r="F526" s="612"/>
      <c r="G526" s="613" t="str">
        <f>IF($E526="",IFERROR(VLOOKUP($D526,SERVIÇOS!$C:$H,2,0),IFERROR(VLOOKUP($D526,$F:$M,2,0),"")),IFERROR(VLOOKUP($E526,INSUMOS!$B:$E,2,0),IFERROR(VLOOKUP($E526,COTAÇÕES!$C:$L,2,0),"")))</f>
        <v>AUXILIAR DE ELETRICISTA COM ENCARGOS COMPLEMENTARES</v>
      </c>
      <c r="H526" s="593" t="str">
        <f>IF($E526="",IFERROR(VLOOKUP($D526,SERVIÇOS!$C:$H,3,0),IFERROR(VLOOKUP($D526,$F:$M,3,0),"")),IFERROR(VLOOKUP($E526,INSUMOS!$B:$E,3,0),IFERROR(VLOOKUP($E526,COTAÇÕES!$C:$L,5,0),"")))</f>
        <v>H</v>
      </c>
      <c r="I526" s="644">
        <v>2.2770000000000001</v>
      </c>
      <c r="J526" s="670">
        <f>IF($E526="",IFERROR(VLOOKUP($D526,SERVIÇOS!$C:$H,6,0),IFERROR(VLOOKUP($D526,$F:$M,8,0),"")),IFERROR(VLOOKUP($E526,INSUMOS!$B:$E,4,0),IFERROR(VLOOKUP($E526,COTAÇÕES!$C:$L,10,0),"")))</f>
        <v>25.53</v>
      </c>
      <c r="K526" s="615">
        <f>TRUNC(IF($E526="",IFERROR(VLOOKUP($D526,SERVIÇOS!$C:$H,4,0),IFERROR(VLOOKUP($D526,$F:$M,6,0),)),IFERROR(VLOOKUP($E526,INSUMOS!$B:$E,4,0),IFERROR(VLOOKUP($E526,COTAÇÕES!$C:$L,10,0),)))*$I526,2)</f>
        <v>15.16</v>
      </c>
      <c r="L526" s="616">
        <f>TRUNC(IF($E526="",IFERROR(VLOOKUP($D526,SERVIÇOS!$C:$H,5,0),IFERROR(VLOOKUP($D526,$F:$M,7,0),)),0)*$I526,2)</f>
        <v>42.96</v>
      </c>
      <c r="M526" s="617">
        <f>K526+L526</f>
        <v>58.120000000000005</v>
      </c>
      <c r="N526" s="753" t="str">
        <f>IF($D526&lt;&gt;"","SERVIÇO SINAPI",IF($E526&lt;&gt;"","INSUMO SINAPI",""))</f>
        <v>SERVIÇO SINAPI</v>
      </c>
      <c r="O526" s="632"/>
    </row>
    <row r="527" spans="2:17" ht="25.5">
      <c r="B527" s="769">
        <f>SUMIF(ORC!$G$11:$G$2470,CPU!$F527,ORC!$J$11:$J$2470)</f>
        <v>11</v>
      </c>
      <c r="C527" s="515" t="s">
        <v>2239</v>
      </c>
      <c r="D527" s="515"/>
      <c r="E527" s="515"/>
      <c r="F527" s="515" t="s">
        <v>8512</v>
      </c>
      <c r="G527" s="516" t="s">
        <v>8517</v>
      </c>
      <c r="H527" s="515" t="s">
        <v>646</v>
      </c>
      <c r="I527" s="595"/>
      <c r="J527" s="596"/>
      <c r="K527" s="597">
        <f>SUM(K528:K530)</f>
        <v>475.14000000000004</v>
      </c>
      <c r="L527" s="597">
        <f>SUM(L528:L530)</f>
        <v>102.27</v>
      </c>
      <c r="M527" s="597">
        <f>SUM(K527:L527)</f>
        <v>577.41000000000008</v>
      </c>
      <c r="N527" s="598" t="s">
        <v>8513</v>
      </c>
      <c r="O527" s="599"/>
      <c r="Q527" s="122" t="str">
        <f>UPPER(G527)</f>
        <v>CAIXA DE FILTRO PARA TOMADA DE AR EXTERNO DE 100M EM PLÁSTICO, INCLUSO FILTRO CLASSE G4, REF. FILBOX RED 100 OU EQUIVALENTE TÉCNICO</v>
      </c>
    </row>
    <row r="528" spans="2:17" ht="25.5">
      <c r="B528" s="122">
        <f t="shared" ref="B528:B530" si="250">B527</f>
        <v>11</v>
      </c>
      <c r="C528" s="611" t="str">
        <f>IF(D528&lt;&gt;"","C",IF(E528&lt;&gt;"","I",""))</f>
        <v>I</v>
      </c>
      <c r="D528" s="660"/>
      <c r="E528" s="662" t="s">
        <v>9056</v>
      </c>
      <c r="F528" s="612"/>
      <c r="G528" s="613" t="str">
        <f>IF($E528="",IFERROR(VLOOKUP($D528,SERVIÇOS!$C:$H,2,0),IFERROR(VLOOKUP($D528,$F:$M,2,0),"")),IFERROR(VLOOKUP($E528,INSUMOS!$B:$E,2,0),IFERROR(VLOOKUP($E528,COTAÇÕES!$C:$L,2,0),"")))</f>
        <v>CAIXA DE FILTRO PARA TOMADA DE AR EXTERNO DE 100MM EM PLÁSTICO, INCLUSO FILTRO CLASSE G4 E M5, REF. FILBOX RED 100 OU EQUIVALENTE TÉCNICO</v>
      </c>
      <c r="H528" s="593" t="str">
        <f>IF($E528="",IFERROR(VLOOKUP($D528,SERVIÇOS!$C:$H,3,0),IFERROR(VLOOKUP($D528,$F:$M,3,0),"")),IFERROR(VLOOKUP($E528,INSUMOS!$B:$E,3,0),IFERROR(VLOOKUP($E528,COTAÇÕES!$C:$L,5,0),"")))</f>
        <v xml:space="preserve">UN </v>
      </c>
      <c r="I528" s="644">
        <v>1</v>
      </c>
      <c r="J528" s="670">
        <f>IF($E528="",IFERROR(VLOOKUP($D528,SERVIÇOS!$C:$H,6,0),IFERROR(VLOOKUP($D528,$F:$M,8,0),"")),IFERROR(VLOOKUP($E528,INSUMOS!$B:$E,4,0),IFERROR(VLOOKUP($E528,COTAÇÕES!$C:$L,10,0),"")))</f>
        <v>445.62999999999994</v>
      </c>
      <c r="K528" s="615">
        <f>TRUNC(IF($E528="",IFERROR(VLOOKUP($D528,SERVIÇOS!$C:$H,4,0),IFERROR(VLOOKUP($D528,$F:$M,6,0),)),IFERROR(VLOOKUP($E528,INSUMOS!$B:$E,4,0),IFERROR(VLOOKUP($E528,COTAÇÕES!$C:$L,10,0),)))*$I528,2)</f>
        <v>445.63</v>
      </c>
      <c r="L528" s="616">
        <f>TRUNC(IF($E528="",IFERROR(VLOOKUP($D528,SERVIÇOS!$C:$H,5,0),IFERROR(VLOOKUP($D528,$F:$M,7,0),)),0)*$I528,2)</f>
        <v>0</v>
      </c>
      <c r="M528" s="617">
        <f>K528+L528</f>
        <v>445.63</v>
      </c>
      <c r="N528" s="753" t="s">
        <v>6845</v>
      </c>
      <c r="O528" s="640"/>
    </row>
    <row r="529" spans="2:17">
      <c r="B529" s="122">
        <f t="shared" si="250"/>
        <v>11</v>
      </c>
      <c r="C529" s="611" t="str">
        <f>IF(D529&lt;&gt;"","C",IF(E529&lt;&gt;"","I",""))</f>
        <v>C</v>
      </c>
      <c r="D529" s="660">
        <v>88243</v>
      </c>
      <c r="E529" s="661"/>
      <c r="F529" s="612"/>
      <c r="G529" s="613" t="str">
        <f>IF($E529="",IFERROR(VLOOKUP($D529,SERVIÇOS!$C:$H,2,0),IFERROR(VLOOKUP($D529,$F:$M,2,0),"")),IFERROR(VLOOKUP($E529,INSUMOS!$B:$E,2,0),IFERROR(VLOOKUP($E529,COTAÇÕES!$C:$L,2,0),"")))</f>
        <v>AJUDANTE ESPECIALIZADO COM ENCARGOS COMPLEMENTARES</v>
      </c>
      <c r="H529" s="593" t="str">
        <f>IF($E529="",IFERROR(VLOOKUP($D529,SERVIÇOS!$C:$H,3,0),IFERROR(VLOOKUP($D529,$F:$M,3,0),"")),IFERROR(VLOOKUP($E529,INSUMOS!$B:$E,3,0),IFERROR(VLOOKUP($E529,COTAÇÕES!$C:$L,5,0),"")))</f>
        <v>H</v>
      </c>
      <c r="I529" s="644">
        <v>2.2400000000000002</v>
      </c>
      <c r="J529" s="670">
        <f>IF($E529="",IFERROR(VLOOKUP($D529,SERVIÇOS!$C:$H,6,0),IFERROR(VLOOKUP($D529,$F:$M,8,0),"")),IFERROR(VLOOKUP($E529,INSUMOS!$B:$E,4,0),IFERROR(VLOOKUP($E529,COTAÇÕES!$C:$L,10,0),"")))</f>
        <v>25.01</v>
      </c>
      <c r="K529" s="615">
        <f>TRUNC(IF($E529="",IFERROR(VLOOKUP($D529,SERVIÇOS!$C:$H,4,0),IFERROR(VLOOKUP($D529,$F:$M,6,0),)),IFERROR(VLOOKUP($E529,INSUMOS!$B:$E,4,0),IFERROR(VLOOKUP($E529,COTAÇÕES!$C:$L,10,0),)))*$I529,2)</f>
        <v>14.6</v>
      </c>
      <c r="L529" s="616">
        <f>TRUNC(IF($E529="",IFERROR(VLOOKUP($D529,SERVIÇOS!$C:$H,5,0),IFERROR(VLOOKUP($D529,$F:$M,7,0),)),0)*$I529,2)</f>
        <v>41.41</v>
      </c>
      <c r="M529" s="617">
        <f>K529+L529</f>
        <v>56.01</v>
      </c>
      <c r="N529" s="753" t="str">
        <f>IF($D529&lt;&gt;"","SERVIÇO SINAPI",IF($E529&lt;&gt;"","INSUMO SINAPI",""))</f>
        <v>SERVIÇO SINAPI</v>
      </c>
      <c r="O529" s="632"/>
    </row>
    <row r="530" spans="2:17">
      <c r="B530" s="122">
        <f t="shared" si="250"/>
        <v>11</v>
      </c>
      <c r="C530" s="611" t="str">
        <f>IF(D530&lt;&gt;"","C",IF(E530&lt;&gt;"","I",""))</f>
        <v>C</v>
      </c>
      <c r="D530" s="660">
        <v>100308</v>
      </c>
      <c r="E530" s="661"/>
      <c r="F530" s="612"/>
      <c r="G530" s="613" t="str">
        <f>IF($E530="",IFERROR(VLOOKUP($D530,SERVIÇOS!$C:$H,2,0),IFERROR(VLOOKUP($D530,$F:$M,2,0),"")),IFERROR(VLOOKUP($E530,INSUMOS!$B:$E,2,0),IFERROR(VLOOKUP($E530,COTAÇÕES!$C:$L,2,0),"")))</f>
        <v>MECÂNICO DE REFRIGERAÇÃO COM ENCARGOS COMPLEMENTARES</v>
      </c>
      <c r="H530" s="593" t="str">
        <f>IF($E530="",IFERROR(VLOOKUP($D530,SERVIÇOS!$C:$H,3,0),IFERROR(VLOOKUP($D530,$F:$M,3,0),"")),IFERROR(VLOOKUP($E530,INSUMOS!$B:$E,3,0),IFERROR(VLOOKUP($E530,COTAÇÕES!$C:$L,5,0),"")))</f>
        <v>H</v>
      </c>
      <c r="I530" s="644">
        <v>2.2400000000000002</v>
      </c>
      <c r="J530" s="670">
        <f>IF($E530="",IFERROR(VLOOKUP($D530,SERVIÇOS!$C:$H,6,0),IFERROR(VLOOKUP($D530,$F:$M,8,0),"")),IFERROR(VLOOKUP($E530,INSUMOS!$B:$E,4,0),IFERROR(VLOOKUP($E530,COTAÇÕES!$C:$L,10,0),"")))</f>
        <v>33.83</v>
      </c>
      <c r="K530" s="615">
        <f>TRUNC(IF($E530="",IFERROR(VLOOKUP($D530,SERVIÇOS!$C:$H,4,0),IFERROR(VLOOKUP($D530,$F:$M,6,0),)),IFERROR(VLOOKUP($E530,INSUMOS!$B:$E,4,0),IFERROR(VLOOKUP($E530,COTAÇÕES!$C:$L,10,0),)))*$I530,2)</f>
        <v>14.91</v>
      </c>
      <c r="L530" s="616">
        <f>TRUNC(IF($E530="",IFERROR(VLOOKUP($D530,SERVIÇOS!$C:$H,5,0),IFERROR(VLOOKUP($D530,$F:$M,7,0),)),0)*$I530,2)</f>
        <v>60.86</v>
      </c>
      <c r="M530" s="617">
        <f>K530+L530</f>
        <v>75.77</v>
      </c>
      <c r="N530" s="753" t="str">
        <f>IF($D530&lt;&gt;"","SERVIÇO SINAPI",IF($E530&lt;&gt;"","INSUMO SINAPI",""))</f>
        <v>SERVIÇO SINAPI</v>
      </c>
      <c r="O530" s="632"/>
    </row>
    <row r="531" spans="2:17" ht="25.5">
      <c r="B531" s="769">
        <f>SUMIF(ORC!$G$11:$G$2470,CPU!$F531,ORC!$J$11:$J$2470)</f>
        <v>5</v>
      </c>
      <c r="C531" s="515" t="s">
        <v>2239</v>
      </c>
      <c r="D531" s="515"/>
      <c r="E531" s="515"/>
      <c r="F531" s="515" t="s">
        <v>8524</v>
      </c>
      <c r="G531" s="516" t="s">
        <v>8518</v>
      </c>
      <c r="H531" s="515" t="s">
        <v>646</v>
      </c>
      <c r="I531" s="595"/>
      <c r="J531" s="596"/>
      <c r="K531" s="597">
        <f>SUM(K532:K534)</f>
        <v>815.66</v>
      </c>
      <c r="L531" s="597">
        <f>SUM(L532:L534)</f>
        <v>102.27</v>
      </c>
      <c r="M531" s="597">
        <f>SUM(K531:L531)</f>
        <v>917.93</v>
      </c>
      <c r="N531" s="598" t="s">
        <v>8513</v>
      </c>
      <c r="O531" s="599"/>
      <c r="Q531" s="122" t="str">
        <f>UPPER(G531)</f>
        <v>CAIXA DE FILTRO PARA TOMADA DE AR EXTERNO DE 150M EM PLÁSTICO, INCLUSO FILTRO CLASSE G4, REF. FILBOX RED 200 OU EQUIVALENTE TÉCNICO</v>
      </c>
    </row>
    <row r="532" spans="2:17" ht="25.5">
      <c r="B532" s="122">
        <f t="shared" ref="B532:B534" si="251">B531</f>
        <v>5</v>
      </c>
      <c r="C532" s="611" t="str">
        <f>IF(D532&lt;&gt;"","C",IF(E532&lt;&gt;"","I",""))</f>
        <v>I</v>
      </c>
      <c r="D532" s="660"/>
      <c r="E532" s="662" t="s">
        <v>9057</v>
      </c>
      <c r="F532" s="612"/>
      <c r="G532" s="613" t="str">
        <f>IF($E532="",IFERROR(VLOOKUP($D532,SERVIÇOS!$C:$H,2,0),IFERROR(VLOOKUP($D532,$F:$M,2,0),"")),IFERROR(VLOOKUP($E532,INSUMOS!$B:$E,2,0),IFERROR(VLOOKUP($E532,COTAÇÕES!$C:$L,2,0),"")))</f>
        <v>CAIXA DE FILTRO PARA TOMADA DE AR EXTERNO EM PLÁSTICO, INCLUSO FILTRO CLASSE G4 E M5, REF. FILBOX RED 200 OU EQUIVALENTE TÉCNICO</v>
      </c>
      <c r="H532" s="593" t="str">
        <f>IF($E532="",IFERROR(VLOOKUP($D532,SERVIÇOS!$C:$H,3,0),IFERROR(VLOOKUP($D532,$F:$M,3,0),"")),IFERROR(VLOOKUP($E532,INSUMOS!$B:$E,3,0),IFERROR(VLOOKUP($E532,COTAÇÕES!$C:$L,5,0),"")))</f>
        <v xml:space="preserve">UN </v>
      </c>
      <c r="I532" s="644">
        <v>1</v>
      </c>
      <c r="J532" s="670">
        <f>IF($E532="",IFERROR(VLOOKUP($D532,SERVIÇOS!$C:$H,6,0),IFERROR(VLOOKUP($D532,$F:$M,8,0),"")),IFERROR(VLOOKUP($E532,INSUMOS!$B:$E,4,0),IFERROR(VLOOKUP($E532,COTAÇÕES!$C:$L,10,0),"")))</f>
        <v>786.15</v>
      </c>
      <c r="K532" s="615">
        <f>TRUNC(IF($E532="",IFERROR(VLOOKUP($D532,SERVIÇOS!$C:$H,4,0),IFERROR(VLOOKUP($D532,$F:$M,6,0),)),IFERROR(VLOOKUP($E532,INSUMOS!$B:$E,4,0),IFERROR(VLOOKUP($E532,COTAÇÕES!$C:$L,10,0),)))*$I532,2)</f>
        <v>786.15</v>
      </c>
      <c r="L532" s="616">
        <f>TRUNC(IF($E532="",IFERROR(VLOOKUP($D532,SERVIÇOS!$C:$H,5,0),IFERROR(VLOOKUP($D532,$F:$M,7,0),)),0)*$I532,2)</f>
        <v>0</v>
      </c>
      <c r="M532" s="617">
        <f>K532+L532</f>
        <v>786.15</v>
      </c>
      <c r="N532" s="753" t="s">
        <v>6845</v>
      </c>
      <c r="O532" s="640"/>
    </row>
    <row r="533" spans="2:17">
      <c r="B533" s="122">
        <f t="shared" si="251"/>
        <v>5</v>
      </c>
      <c r="C533" s="611" t="str">
        <f>IF(D533&lt;&gt;"","C",IF(E533&lt;&gt;"","I",""))</f>
        <v>C</v>
      </c>
      <c r="D533" s="660">
        <v>88243</v>
      </c>
      <c r="E533" s="661"/>
      <c r="F533" s="612"/>
      <c r="G533" s="613" t="str">
        <f>IF($E533="",IFERROR(VLOOKUP($D533,SERVIÇOS!$C:$H,2,0),IFERROR(VLOOKUP($D533,$F:$M,2,0),"")),IFERROR(VLOOKUP($E533,INSUMOS!$B:$E,2,0),IFERROR(VLOOKUP($E533,COTAÇÕES!$C:$L,2,0),"")))</f>
        <v>AJUDANTE ESPECIALIZADO COM ENCARGOS COMPLEMENTARES</v>
      </c>
      <c r="H533" s="593" t="str">
        <f>IF($E533="",IFERROR(VLOOKUP($D533,SERVIÇOS!$C:$H,3,0),IFERROR(VLOOKUP($D533,$F:$M,3,0),"")),IFERROR(VLOOKUP($E533,INSUMOS!$B:$E,3,0),IFERROR(VLOOKUP($E533,COTAÇÕES!$C:$L,5,0),"")))</f>
        <v>H</v>
      </c>
      <c r="I533" s="644">
        <v>2.2400000000000002</v>
      </c>
      <c r="J533" s="670">
        <f>IF($E533="",IFERROR(VLOOKUP($D533,SERVIÇOS!$C:$H,6,0),IFERROR(VLOOKUP($D533,$F:$M,8,0),"")),IFERROR(VLOOKUP($E533,INSUMOS!$B:$E,4,0),IFERROR(VLOOKUP($E533,COTAÇÕES!$C:$L,10,0),"")))</f>
        <v>25.01</v>
      </c>
      <c r="K533" s="615">
        <f>TRUNC(IF($E533="",IFERROR(VLOOKUP($D533,SERVIÇOS!$C:$H,4,0),IFERROR(VLOOKUP($D533,$F:$M,6,0),)),IFERROR(VLOOKUP($E533,INSUMOS!$B:$E,4,0),IFERROR(VLOOKUP($E533,COTAÇÕES!$C:$L,10,0),)))*$I533,2)</f>
        <v>14.6</v>
      </c>
      <c r="L533" s="616">
        <f>TRUNC(IF($E533="",IFERROR(VLOOKUP($D533,SERVIÇOS!$C:$H,5,0),IFERROR(VLOOKUP($D533,$F:$M,7,0),)),0)*$I533,2)</f>
        <v>41.41</v>
      </c>
      <c r="M533" s="617">
        <f>K533+L533</f>
        <v>56.01</v>
      </c>
      <c r="N533" s="753" t="str">
        <f>IF($D533&lt;&gt;"","SERVIÇO SINAPI",IF($E533&lt;&gt;"","INSUMO SINAPI",""))</f>
        <v>SERVIÇO SINAPI</v>
      </c>
      <c r="O533" s="632"/>
    </row>
    <row r="534" spans="2:17">
      <c r="B534" s="122">
        <f t="shared" si="251"/>
        <v>5</v>
      </c>
      <c r="C534" s="611" t="str">
        <f>IF(D534&lt;&gt;"","C",IF(E534&lt;&gt;"","I",""))</f>
        <v>C</v>
      </c>
      <c r="D534" s="660">
        <v>100308</v>
      </c>
      <c r="E534" s="661"/>
      <c r="F534" s="612"/>
      <c r="G534" s="613" t="str">
        <f>IF($E534="",IFERROR(VLOOKUP($D534,SERVIÇOS!$C:$H,2,0),IFERROR(VLOOKUP($D534,$F:$M,2,0),"")),IFERROR(VLOOKUP($E534,INSUMOS!$B:$E,2,0),IFERROR(VLOOKUP($E534,COTAÇÕES!$C:$L,2,0),"")))</f>
        <v>MECÂNICO DE REFRIGERAÇÃO COM ENCARGOS COMPLEMENTARES</v>
      </c>
      <c r="H534" s="593" t="str">
        <f>IF($E534="",IFERROR(VLOOKUP($D534,SERVIÇOS!$C:$H,3,0),IFERROR(VLOOKUP($D534,$F:$M,3,0),"")),IFERROR(VLOOKUP($E534,INSUMOS!$B:$E,3,0),IFERROR(VLOOKUP($E534,COTAÇÕES!$C:$L,5,0),"")))</f>
        <v>H</v>
      </c>
      <c r="I534" s="644">
        <v>2.2400000000000002</v>
      </c>
      <c r="J534" s="670">
        <f>IF($E534="",IFERROR(VLOOKUP($D534,SERVIÇOS!$C:$H,6,0),IFERROR(VLOOKUP($D534,$F:$M,8,0),"")),IFERROR(VLOOKUP($E534,INSUMOS!$B:$E,4,0),IFERROR(VLOOKUP($E534,COTAÇÕES!$C:$L,10,0),"")))</f>
        <v>33.83</v>
      </c>
      <c r="K534" s="615">
        <f>TRUNC(IF($E534="",IFERROR(VLOOKUP($D534,SERVIÇOS!$C:$H,4,0),IFERROR(VLOOKUP($D534,$F:$M,6,0),)),IFERROR(VLOOKUP($E534,INSUMOS!$B:$E,4,0),IFERROR(VLOOKUP($E534,COTAÇÕES!$C:$L,10,0),)))*$I534,2)</f>
        <v>14.91</v>
      </c>
      <c r="L534" s="616">
        <f>TRUNC(IF($E534="",IFERROR(VLOOKUP($D534,SERVIÇOS!$C:$H,5,0),IFERROR(VLOOKUP($D534,$F:$M,7,0),)),0)*$I534,2)</f>
        <v>60.86</v>
      </c>
      <c r="M534" s="617">
        <f>K534+L534</f>
        <v>75.77</v>
      </c>
      <c r="N534" s="753" t="str">
        <f>IF($D534&lt;&gt;"","SERVIÇO SINAPI",IF($E534&lt;&gt;"","INSUMO SINAPI",""))</f>
        <v>SERVIÇO SINAPI</v>
      </c>
      <c r="O534" s="632"/>
    </row>
    <row r="535" spans="2:17" ht="25.5">
      <c r="B535" s="769">
        <f>SUMIF(ORC!$G$11:$G$2470,CPU!$F535,ORC!$J$11:$J$2470)</f>
        <v>1</v>
      </c>
      <c r="C535" s="515" t="s">
        <v>2239</v>
      </c>
      <c r="D535" s="515"/>
      <c r="E535" s="515"/>
      <c r="F535" s="515" t="s">
        <v>8525</v>
      </c>
      <c r="G535" s="516" t="s">
        <v>8527</v>
      </c>
      <c r="H535" s="515" t="s">
        <v>646</v>
      </c>
      <c r="I535" s="595"/>
      <c r="J535" s="596"/>
      <c r="K535" s="597">
        <f>SUM(K536:K537)</f>
        <v>19.399999999999999</v>
      </c>
      <c r="L535" s="597">
        <f>SUM(L536:L537)</f>
        <v>5.43</v>
      </c>
      <c r="M535" s="597">
        <f>SUM(K535:L535)</f>
        <v>24.83</v>
      </c>
      <c r="N535" s="598" t="s">
        <v>8526</v>
      </c>
      <c r="O535" s="599"/>
      <c r="Q535" s="122" t="str">
        <f>UPPER(G535)</f>
        <v>GRELHA PLÁSTICA REDONDA FIXA COM COLARINHO Ø100MM (Ø4"). REF.: SICFLUX GRADE S100 OU EQUIVALENTE TÉCNICO</v>
      </c>
    </row>
    <row r="536" spans="2:17">
      <c r="B536" s="122">
        <f t="shared" ref="B536:B537" si="252">B535</f>
        <v>1</v>
      </c>
      <c r="C536" s="611" t="str">
        <f>IF(D536&lt;&gt;"","C",IF(E536&lt;&gt;"","I",""))</f>
        <v>I</v>
      </c>
      <c r="D536" s="660"/>
      <c r="E536" s="662" t="s">
        <v>9058</v>
      </c>
      <c r="F536" s="612"/>
      <c r="G536" s="613" t="str">
        <f>IF($E536="",IFERROR(VLOOKUP($D536,SERVIÇOS!$C:$H,2,0),IFERROR(VLOOKUP($D536,$F:$M,2,0),"")),IFERROR(VLOOKUP($E536,INSUMOS!$B:$E,2,0),IFERROR(VLOOKUP($E536,COTAÇÕES!$C:$L,2,0),"")))</f>
        <v>GRELHA PLÁSTICA REDONDA FIXA COM COLARINHO Ø100MM (Ø4"). REF.: SICFLUX GRADE S100</v>
      </c>
      <c r="H536" s="593" t="str">
        <f>IF($E536="",IFERROR(VLOOKUP($D536,SERVIÇOS!$C:$H,3,0),IFERROR(VLOOKUP($D536,$F:$M,3,0),"")),IFERROR(VLOOKUP($E536,INSUMOS!$B:$E,3,0),IFERROR(VLOOKUP($E536,COTAÇÕES!$C:$L,5,0),"")))</f>
        <v xml:space="preserve">UN </v>
      </c>
      <c r="I536" s="644">
        <v>1</v>
      </c>
      <c r="J536" s="670">
        <f>IF($E536="",IFERROR(VLOOKUP($D536,SERVIÇOS!$C:$H,6,0),IFERROR(VLOOKUP($D536,$F:$M,8,0),"")),IFERROR(VLOOKUP($E536,INSUMOS!$B:$E,4,0),IFERROR(VLOOKUP($E536,COTAÇÕES!$C:$L,10,0),"")))</f>
        <v>18.07</v>
      </c>
      <c r="K536" s="615">
        <f>TRUNC(IF($E536="",IFERROR(VLOOKUP($D536,SERVIÇOS!$C:$H,4,0),IFERROR(VLOOKUP($D536,$F:$M,6,0),)),IFERROR(VLOOKUP($E536,INSUMOS!$B:$E,4,0),IFERROR(VLOOKUP($E536,COTAÇÕES!$C:$L,10,0),)))*$I536,2)</f>
        <v>18.07</v>
      </c>
      <c r="L536" s="616">
        <f>TRUNC(IF($E536="",IFERROR(VLOOKUP($D536,SERVIÇOS!$C:$H,5,0),IFERROR(VLOOKUP($D536,$F:$M,7,0),)),0)*$I536,2)</f>
        <v>0</v>
      </c>
      <c r="M536" s="617">
        <f>K536+L536</f>
        <v>18.07</v>
      </c>
      <c r="N536" s="753" t="s">
        <v>6845</v>
      </c>
      <c r="O536" s="640"/>
    </row>
    <row r="537" spans="2:17">
      <c r="B537" s="122">
        <f t="shared" si="252"/>
        <v>1</v>
      </c>
      <c r="C537" s="611" t="str">
        <f>IF(D537&lt;&gt;"","C",IF(E537&lt;&gt;"","I",""))</f>
        <v>C</v>
      </c>
      <c r="D537" s="660">
        <v>100308</v>
      </c>
      <c r="E537" s="661"/>
      <c r="F537" s="612"/>
      <c r="G537" s="613" t="str">
        <f>IF($E537="",IFERROR(VLOOKUP($D537,SERVIÇOS!$C:$H,2,0),IFERROR(VLOOKUP($D537,$F:$M,2,0),"")),IFERROR(VLOOKUP($E537,INSUMOS!$B:$E,2,0),IFERROR(VLOOKUP($E537,COTAÇÕES!$C:$L,2,0),"")))</f>
        <v>MECÂNICO DE REFRIGERAÇÃO COM ENCARGOS COMPLEMENTARES</v>
      </c>
      <c r="H537" s="593" t="str">
        <f>IF($E537="",IFERROR(VLOOKUP($D537,SERVIÇOS!$C:$H,3,0),IFERROR(VLOOKUP($D537,$F:$M,3,0),"")),IFERROR(VLOOKUP($E537,INSUMOS!$B:$E,3,0),IFERROR(VLOOKUP($E537,COTAÇÕES!$C:$L,5,0),"")))</f>
        <v>H</v>
      </c>
      <c r="I537" s="644">
        <v>0.2</v>
      </c>
      <c r="J537" s="670">
        <f>IF($E537="",IFERROR(VLOOKUP($D537,SERVIÇOS!$C:$H,6,0),IFERROR(VLOOKUP($D537,$F:$M,8,0),"")),IFERROR(VLOOKUP($E537,INSUMOS!$B:$E,4,0),IFERROR(VLOOKUP($E537,COTAÇÕES!$C:$L,10,0),"")))</f>
        <v>33.83</v>
      </c>
      <c r="K537" s="615">
        <f>TRUNC(IF($E537="",IFERROR(VLOOKUP($D537,SERVIÇOS!$C:$H,4,0),IFERROR(VLOOKUP($D537,$F:$M,6,0),)),IFERROR(VLOOKUP($E537,INSUMOS!$B:$E,4,0),IFERROR(VLOOKUP($E537,COTAÇÕES!$C:$L,10,0),)))*$I537,2)</f>
        <v>1.33</v>
      </c>
      <c r="L537" s="616">
        <f>TRUNC(IF($E537="",IFERROR(VLOOKUP($D537,SERVIÇOS!$C:$H,5,0),IFERROR(VLOOKUP($D537,$F:$M,7,0),)),0)*$I537,2)</f>
        <v>5.43</v>
      </c>
      <c r="M537" s="617">
        <f>K537+L537</f>
        <v>6.76</v>
      </c>
      <c r="N537" s="753" t="str">
        <f>IF($D537&lt;&gt;"","SERVIÇO SINAPI",IF($E537&lt;&gt;"","INSUMO SINAPI",""))</f>
        <v>SERVIÇO SINAPI</v>
      </c>
      <c r="O537" s="632"/>
    </row>
    <row r="538" spans="2:17" ht="25.5">
      <c r="B538" s="769">
        <f>SUMIF(ORC!$G$11:$G$2470,CPU!$F538,ORC!$J$11:$J$2470)</f>
        <v>5</v>
      </c>
      <c r="C538" s="515" t="s">
        <v>2239</v>
      </c>
      <c r="D538" s="515"/>
      <c r="E538" s="515"/>
      <c r="F538" s="515" t="s">
        <v>8530</v>
      </c>
      <c r="G538" s="516" t="s">
        <v>8531</v>
      </c>
      <c r="H538" s="515" t="s">
        <v>646</v>
      </c>
      <c r="I538" s="595"/>
      <c r="J538" s="596"/>
      <c r="K538" s="597">
        <f>SUM(K539:K540)</f>
        <v>53.93</v>
      </c>
      <c r="L538" s="597">
        <f>SUM(L539:L540)</f>
        <v>5.43</v>
      </c>
      <c r="M538" s="597">
        <f>SUM(K538:L538)</f>
        <v>59.36</v>
      </c>
      <c r="N538" s="598" t="s">
        <v>8526</v>
      </c>
      <c r="O538" s="599"/>
      <c r="Q538" s="122" t="str">
        <f>UPPER(G538)</f>
        <v>GRELHA PLÁSTICA REDONDA FIXA COM COLARINHO Ø200MM (Ø6"). REF.: SICFLUX GRADE S200 OU EQUIVALENTE TÉCNICO</v>
      </c>
    </row>
    <row r="539" spans="2:17">
      <c r="B539" s="122">
        <f t="shared" ref="B539:B540" si="253">B538</f>
        <v>5</v>
      </c>
      <c r="C539" s="611" t="str">
        <f>IF(D539&lt;&gt;"","C",IF(E539&lt;&gt;"","I",""))</f>
        <v>I</v>
      </c>
      <c r="D539" s="660"/>
      <c r="E539" s="662" t="s">
        <v>9059</v>
      </c>
      <c r="F539" s="612"/>
      <c r="G539" s="613" t="str">
        <f>IF($E539="",IFERROR(VLOOKUP($D539,SERVIÇOS!$C:$H,2,0),IFERROR(VLOOKUP($D539,$F:$M,2,0),"")),IFERROR(VLOOKUP($E539,INSUMOS!$B:$E,2,0),IFERROR(VLOOKUP($E539,COTAÇÕES!$C:$L,2,0),"")))</f>
        <v>GRELHA PLÁSTICA REDONDA FIXA COM COLARINHO Ø200MM (Ø6"). REF.: SICFLUX GRADE S200</v>
      </c>
      <c r="H539" s="593" t="str">
        <f>IF($E539="",IFERROR(VLOOKUP($D539,SERVIÇOS!$C:$H,3,0),IFERROR(VLOOKUP($D539,$F:$M,3,0),"")),IFERROR(VLOOKUP($E539,INSUMOS!$B:$E,3,0),IFERROR(VLOOKUP($E539,COTAÇÕES!$C:$L,5,0),"")))</f>
        <v xml:space="preserve">UN </v>
      </c>
      <c r="I539" s="644">
        <v>1</v>
      </c>
      <c r="J539" s="670">
        <f>IF($E539="",IFERROR(VLOOKUP($D539,SERVIÇOS!$C:$H,6,0),IFERROR(VLOOKUP($D539,$F:$M,8,0),"")),IFERROR(VLOOKUP($E539,INSUMOS!$B:$E,4,0),IFERROR(VLOOKUP($E539,COTAÇÕES!$C:$L,10,0),"")))</f>
        <v>52.6</v>
      </c>
      <c r="K539" s="615">
        <f>TRUNC(IF($E539="",IFERROR(VLOOKUP($D539,SERVIÇOS!$C:$H,4,0),IFERROR(VLOOKUP($D539,$F:$M,6,0),)),IFERROR(VLOOKUP($E539,INSUMOS!$B:$E,4,0),IFERROR(VLOOKUP($E539,COTAÇÕES!$C:$L,10,0),)))*$I539,2)</f>
        <v>52.6</v>
      </c>
      <c r="L539" s="616">
        <f>TRUNC(IF($E539="",IFERROR(VLOOKUP($D539,SERVIÇOS!$C:$H,5,0),IFERROR(VLOOKUP($D539,$F:$M,7,0),)),0)*$I539,2)</f>
        <v>0</v>
      </c>
      <c r="M539" s="617">
        <f>K539+L539</f>
        <v>52.6</v>
      </c>
      <c r="N539" s="753" t="s">
        <v>6845</v>
      </c>
      <c r="O539" s="640"/>
    </row>
    <row r="540" spans="2:17">
      <c r="B540" s="122">
        <f t="shared" si="253"/>
        <v>5</v>
      </c>
      <c r="C540" s="611" t="str">
        <f>IF(D540&lt;&gt;"","C",IF(E540&lt;&gt;"","I",""))</f>
        <v>C</v>
      </c>
      <c r="D540" s="660">
        <v>100308</v>
      </c>
      <c r="E540" s="661"/>
      <c r="F540" s="612"/>
      <c r="G540" s="613" t="str">
        <f>IF($E540="",IFERROR(VLOOKUP($D540,SERVIÇOS!$C:$H,2,0),IFERROR(VLOOKUP($D540,$F:$M,2,0),"")),IFERROR(VLOOKUP($E540,INSUMOS!$B:$E,2,0),IFERROR(VLOOKUP($E540,COTAÇÕES!$C:$L,2,0),"")))</f>
        <v>MECÂNICO DE REFRIGERAÇÃO COM ENCARGOS COMPLEMENTARES</v>
      </c>
      <c r="H540" s="593" t="str">
        <f>IF($E540="",IFERROR(VLOOKUP($D540,SERVIÇOS!$C:$H,3,0),IFERROR(VLOOKUP($D540,$F:$M,3,0),"")),IFERROR(VLOOKUP($E540,INSUMOS!$B:$E,3,0),IFERROR(VLOOKUP($E540,COTAÇÕES!$C:$L,5,0),"")))</f>
        <v>H</v>
      </c>
      <c r="I540" s="644">
        <v>0.2</v>
      </c>
      <c r="J540" s="670">
        <f>IF($E540="",IFERROR(VLOOKUP($D540,SERVIÇOS!$C:$H,6,0),IFERROR(VLOOKUP($D540,$F:$M,8,0),"")),IFERROR(VLOOKUP($E540,INSUMOS!$B:$E,4,0),IFERROR(VLOOKUP($E540,COTAÇÕES!$C:$L,10,0),"")))</f>
        <v>33.83</v>
      </c>
      <c r="K540" s="615">
        <f>TRUNC(IF($E540="",IFERROR(VLOOKUP($D540,SERVIÇOS!$C:$H,4,0),IFERROR(VLOOKUP($D540,$F:$M,6,0),)),IFERROR(VLOOKUP($E540,INSUMOS!$B:$E,4,0),IFERROR(VLOOKUP($E540,COTAÇÕES!$C:$L,10,0),)))*$I540,2)</f>
        <v>1.33</v>
      </c>
      <c r="L540" s="616">
        <f>TRUNC(IF($E540="",IFERROR(VLOOKUP($D540,SERVIÇOS!$C:$H,5,0),IFERROR(VLOOKUP($D540,$F:$M,7,0),)),0)*$I540,2)</f>
        <v>5.43</v>
      </c>
      <c r="M540" s="617">
        <f>K540+L540</f>
        <v>6.76</v>
      </c>
      <c r="N540" s="753" t="str">
        <f>IF($D540&lt;&gt;"","SERVIÇO SINAPI",IF($E540&lt;&gt;"","INSUMO SINAPI",""))</f>
        <v>SERVIÇO SINAPI</v>
      </c>
      <c r="O540" s="632"/>
    </row>
    <row r="541" spans="2:17" ht="25.5">
      <c r="B541" s="769">
        <f>SUMIF(ORC!$G$11:$G$2470,CPU!$F541,ORC!$J$11:$J$2470)</f>
        <v>5</v>
      </c>
      <c r="C541" s="515" t="s">
        <v>2239</v>
      </c>
      <c r="D541" s="515"/>
      <c r="E541" s="515"/>
      <c r="F541" s="515" t="s">
        <v>8536</v>
      </c>
      <c r="G541" s="516" t="s">
        <v>8539</v>
      </c>
      <c r="H541" s="515" t="s">
        <v>646</v>
      </c>
      <c r="I541" s="595"/>
      <c r="J541" s="596"/>
      <c r="K541" s="597">
        <f>SUM(K542:K544)</f>
        <v>164.91</v>
      </c>
      <c r="L541" s="597">
        <f>SUM(L542:L544)</f>
        <v>53.370000000000005</v>
      </c>
      <c r="M541" s="597">
        <f>SUM(K541:L541)</f>
        <v>218.28</v>
      </c>
      <c r="N541" s="598" t="s">
        <v>8537</v>
      </c>
      <c r="O541" s="599"/>
      <c r="Q541" s="122" t="str">
        <f>UPPER(G541)</f>
        <v>REGULADOR DE VAZÃO DE AR  Ø200MM (Ø8"). REF.: SICFLUX RVA 200 OU EQUIVALENTE TÉCNICO - FORNECIMENTO E INSTALAÇÃO</v>
      </c>
    </row>
    <row r="542" spans="2:17">
      <c r="B542" s="122">
        <f t="shared" ref="B542:B544" si="254">B541</f>
        <v>5</v>
      </c>
      <c r="C542" s="611" t="str">
        <f>IF(D542&lt;&gt;"","C",IF(E542&lt;&gt;"","I",""))</f>
        <v>I</v>
      </c>
      <c r="D542" s="660"/>
      <c r="E542" s="662" t="s">
        <v>9060</v>
      </c>
      <c r="F542" s="612"/>
      <c r="G542" s="613" t="str">
        <f>IF($E542="",IFERROR(VLOOKUP($D542,SERVIÇOS!$C:$H,2,0),IFERROR(VLOOKUP($D542,$F:$M,2,0),"")),IFERROR(VLOOKUP($E542,INSUMOS!$B:$E,2,0),IFERROR(VLOOKUP($E542,COTAÇÕES!$C:$L,2,0),"")))</f>
        <v>REGULADOR DE VAZÃO DE AR  Ø200MM (Ø8"). REF.: SICFLUX RVA 200 OU EQUIVALENTE TÉCNICO</v>
      </c>
      <c r="H542" s="593" t="str">
        <f>IF($E542="",IFERROR(VLOOKUP($D542,SERVIÇOS!$C:$H,3,0),IFERROR(VLOOKUP($D542,$F:$M,3,0),"")),IFERROR(VLOOKUP($E542,INSUMOS!$B:$E,3,0),IFERROR(VLOOKUP($E542,COTAÇÕES!$C:$L,5,0),"")))</f>
        <v xml:space="preserve">UN </v>
      </c>
      <c r="I542" s="644">
        <v>1</v>
      </c>
      <c r="J542" s="670">
        <f>IF($E542="",IFERROR(VLOOKUP($D542,SERVIÇOS!$C:$H,6,0),IFERROR(VLOOKUP($D542,$F:$M,8,0),"")),IFERROR(VLOOKUP($E542,INSUMOS!$B:$E,4,0),IFERROR(VLOOKUP($E542,COTAÇÕES!$C:$L,10,0),"")))</f>
        <v>149.51666666666665</v>
      </c>
      <c r="K542" s="615">
        <f>TRUNC(IF($E542="",IFERROR(VLOOKUP($D542,SERVIÇOS!$C:$H,4,0),IFERROR(VLOOKUP($D542,$F:$M,6,0),)),IFERROR(VLOOKUP($E542,INSUMOS!$B:$E,4,0),IFERROR(VLOOKUP($E542,COTAÇÕES!$C:$L,10,0),)))*$I542,2)</f>
        <v>149.51</v>
      </c>
      <c r="L542" s="616">
        <f>TRUNC(IF($E542="",IFERROR(VLOOKUP($D542,SERVIÇOS!$C:$H,5,0),IFERROR(VLOOKUP($D542,$F:$M,7,0),)),0)*$I542,2)</f>
        <v>0</v>
      </c>
      <c r="M542" s="617">
        <f>K542+L542</f>
        <v>149.51</v>
      </c>
      <c r="N542" s="753" t="s">
        <v>6845</v>
      </c>
      <c r="O542" s="640"/>
    </row>
    <row r="543" spans="2:17">
      <c r="B543" s="122">
        <f t="shared" si="254"/>
        <v>5</v>
      </c>
      <c r="C543" s="611" t="str">
        <f>IF(D543&lt;&gt;"","C",IF(E543&lt;&gt;"","I",""))</f>
        <v>C</v>
      </c>
      <c r="D543" s="660">
        <v>88243</v>
      </c>
      <c r="E543" s="661"/>
      <c r="F543" s="612"/>
      <c r="G543" s="613" t="str">
        <f>IF($E543="",IFERROR(VLOOKUP($D543,SERVIÇOS!$C:$H,2,0),IFERROR(VLOOKUP($D543,$F:$M,2,0),"")),IFERROR(VLOOKUP($E543,INSUMOS!$B:$E,2,0),IFERROR(VLOOKUP($E543,COTAÇÕES!$C:$L,2,0),"")))</f>
        <v>AJUDANTE ESPECIALIZADO COM ENCARGOS COMPLEMENTARES</v>
      </c>
      <c r="H543" s="593" t="str">
        <f>IF($E543="",IFERROR(VLOOKUP($D543,SERVIÇOS!$C:$H,3,0),IFERROR(VLOOKUP($D543,$F:$M,3,0),"")),IFERROR(VLOOKUP($E543,INSUMOS!$B:$E,3,0),IFERROR(VLOOKUP($E543,COTAÇÕES!$C:$L,5,0),"")))</f>
        <v>H</v>
      </c>
      <c r="I543" s="644">
        <v>1.169</v>
      </c>
      <c r="J543" s="670">
        <f>IF($E543="",IFERROR(VLOOKUP($D543,SERVIÇOS!$C:$H,6,0),IFERROR(VLOOKUP($D543,$F:$M,8,0),"")),IFERROR(VLOOKUP($E543,INSUMOS!$B:$E,4,0),IFERROR(VLOOKUP($E543,COTAÇÕES!$C:$L,10,0),"")))</f>
        <v>25.01</v>
      </c>
      <c r="K543" s="615">
        <f>TRUNC(IF($E543="",IFERROR(VLOOKUP($D543,SERVIÇOS!$C:$H,4,0),IFERROR(VLOOKUP($D543,$F:$M,6,0),)),IFERROR(VLOOKUP($E543,INSUMOS!$B:$E,4,0),IFERROR(VLOOKUP($E543,COTAÇÕES!$C:$L,10,0),)))*$I543,2)</f>
        <v>7.62</v>
      </c>
      <c r="L543" s="616">
        <f>TRUNC(IF($E543="",IFERROR(VLOOKUP($D543,SERVIÇOS!$C:$H,5,0),IFERROR(VLOOKUP($D543,$F:$M,7,0),)),0)*$I543,2)</f>
        <v>21.61</v>
      </c>
      <c r="M543" s="617">
        <f>K543+L543</f>
        <v>29.23</v>
      </c>
      <c r="N543" s="753" t="str">
        <f>IF($D543&lt;&gt;"","SERVIÇO SINAPI",IF($E543&lt;&gt;"","INSUMO SINAPI",""))</f>
        <v>SERVIÇO SINAPI</v>
      </c>
      <c r="O543" s="632"/>
    </row>
    <row r="544" spans="2:17">
      <c r="B544" s="122">
        <f t="shared" si="254"/>
        <v>5</v>
      </c>
      <c r="C544" s="611" t="str">
        <f>IF(D544&lt;&gt;"","C",IF(E544&lt;&gt;"","I",""))</f>
        <v>C</v>
      </c>
      <c r="D544" s="660">
        <v>100308</v>
      </c>
      <c r="E544" s="661"/>
      <c r="F544" s="612"/>
      <c r="G544" s="613" t="str">
        <f>IF($E544="",IFERROR(VLOOKUP($D544,SERVIÇOS!$C:$H,2,0),IFERROR(VLOOKUP($D544,$F:$M,2,0),"")),IFERROR(VLOOKUP($E544,INSUMOS!$B:$E,2,0),IFERROR(VLOOKUP($E544,COTAÇÕES!$C:$L,2,0),"")))</f>
        <v>MECÂNICO DE REFRIGERAÇÃO COM ENCARGOS COMPLEMENTARES</v>
      </c>
      <c r="H544" s="593" t="str">
        <f>IF($E544="",IFERROR(VLOOKUP($D544,SERVIÇOS!$C:$H,3,0),IFERROR(VLOOKUP($D544,$F:$M,3,0),"")),IFERROR(VLOOKUP($E544,INSUMOS!$B:$E,3,0),IFERROR(VLOOKUP($E544,COTAÇÕES!$C:$L,5,0),"")))</f>
        <v>H</v>
      </c>
      <c r="I544" s="644">
        <v>1.169</v>
      </c>
      <c r="J544" s="670">
        <f>IF($E544="",IFERROR(VLOOKUP($D544,SERVIÇOS!$C:$H,6,0),IFERROR(VLOOKUP($D544,$F:$M,8,0),"")),IFERROR(VLOOKUP($E544,INSUMOS!$B:$E,4,0),IFERROR(VLOOKUP($E544,COTAÇÕES!$C:$L,10,0),"")))</f>
        <v>33.83</v>
      </c>
      <c r="K544" s="615">
        <f>TRUNC(IF($E544="",IFERROR(VLOOKUP($D544,SERVIÇOS!$C:$H,4,0),IFERROR(VLOOKUP($D544,$F:$M,6,0),)),IFERROR(VLOOKUP($E544,INSUMOS!$B:$E,4,0),IFERROR(VLOOKUP($E544,COTAÇÕES!$C:$L,10,0),)))*$I544,2)</f>
        <v>7.78</v>
      </c>
      <c r="L544" s="616">
        <f>TRUNC(IF($E544="",IFERROR(VLOOKUP($D544,SERVIÇOS!$C:$H,5,0),IFERROR(VLOOKUP($D544,$F:$M,7,0),)),0)*$I544,2)</f>
        <v>31.76</v>
      </c>
      <c r="M544" s="617">
        <f>K544+L544</f>
        <v>39.54</v>
      </c>
      <c r="N544" s="753" t="str">
        <f>IF($D544&lt;&gt;"","SERVIÇO SINAPI",IF($E544&lt;&gt;"","INSUMO SINAPI",""))</f>
        <v>SERVIÇO SINAPI</v>
      </c>
      <c r="O544" s="632"/>
    </row>
    <row r="545" spans="1:17" ht="25.5">
      <c r="B545" s="769">
        <f>SUMIF(ORC!$G$11:$G$2470,CPU!$F545,ORC!$J$11:$J$2470)</f>
        <v>2</v>
      </c>
      <c r="C545" s="515" t="s">
        <v>2239</v>
      </c>
      <c r="D545" s="515"/>
      <c r="E545" s="515"/>
      <c r="F545" s="515" t="s">
        <v>8541</v>
      </c>
      <c r="G545" s="516" t="s">
        <v>8542</v>
      </c>
      <c r="H545" s="515" t="s">
        <v>648</v>
      </c>
      <c r="I545" s="595"/>
      <c r="J545" s="596"/>
      <c r="K545" s="597">
        <f>SUM(K546:K548)</f>
        <v>10.91</v>
      </c>
      <c r="L545" s="597">
        <f>SUM(L546:L548)</f>
        <v>17.8</v>
      </c>
      <c r="M545" s="597">
        <f>SUM(K545:L545)</f>
        <v>28.71</v>
      </c>
      <c r="N545" s="598" t="s">
        <v>8544</v>
      </c>
      <c r="O545" s="599"/>
      <c r="Q545" s="122" t="str">
        <f>UPPER(G545)</f>
        <v>DUTO FLEXÍVEL EM ALUMÍNIO LAMINADO COM ESTRUTURA DE ARAME EM AÇO TRATADO Ø100MM (Ø4"). REF.: SICFLUX FLEX 100 AP OU EQUIVALENTE TÉCNICO</v>
      </c>
    </row>
    <row r="546" spans="1:17" ht="25.5">
      <c r="B546" s="122">
        <f t="shared" ref="B546:B548" si="255">B545</f>
        <v>2</v>
      </c>
      <c r="C546" s="611" t="str">
        <f>IF(D546&lt;&gt;"","C",IF(E546&lt;&gt;"","I",""))</f>
        <v>I</v>
      </c>
      <c r="D546" s="660"/>
      <c r="E546" s="662" t="s">
        <v>9061</v>
      </c>
      <c r="F546" s="612"/>
      <c r="G546" s="613" t="str">
        <f>IF($E546="",IFERROR(VLOOKUP($D546,SERVIÇOS!$C:$H,2,0),IFERROR(VLOOKUP($D546,$F:$M,2,0),"")),IFERROR(VLOOKUP($E546,INSUMOS!$B:$E,2,0),IFERROR(VLOOKUP($E546,COTAÇÕES!$C:$L,2,0),"")))</f>
        <v>DUTO FLEXÍVEL EM ALUMÍNIO LAMINADO COM ESTRUTURA DE ARAME EM AÇO TRATADO Ø100MM (Ø4"). REF.: SICFLUX FLEX 100 AP</v>
      </c>
      <c r="H546" s="593" t="str">
        <f>IF($E546="",IFERROR(VLOOKUP($D546,SERVIÇOS!$C:$H,3,0),IFERROR(VLOOKUP($D546,$F:$M,3,0),"")),IFERROR(VLOOKUP($E546,INSUMOS!$B:$E,3,0),IFERROR(VLOOKUP($E546,COTAÇÕES!$C:$L,5,0),"")))</f>
        <v>M</v>
      </c>
      <c r="I546" s="644">
        <v>1.05</v>
      </c>
      <c r="J546" s="670">
        <f>IF($E546="",IFERROR(VLOOKUP($D546,SERVIÇOS!$C:$H,6,0),IFERROR(VLOOKUP($D546,$F:$M,8,0),"")),IFERROR(VLOOKUP($E546,INSUMOS!$B:$E,4,0),IFERROR(VLOOKUP($E546,COTAÇÕES!$C:$L,10,0),"")))</f>
        <v>5.5133333333333328</v>
      </c>
      <c r="K546" s="615">
        <f>TRUNC(IF($E546="",IFERROR(VLOOKUP($D546,SERVIÇOS!$C:$H,4,0),IFERROR(VLOOKUP($D546,$F:$M,6,0),)),IFERROR(VLOOKUP($E546,INSUMOS!$B:$E,4,0),IFERROR(VLOOKUP($E546,COTAÇÕES!$C:$L,10,0),)))*$I546,2)</f>
        <v>5.78</v>
      </c>
      <c r="L546" s="616">
        <f>TRUNC(IF($E546="",IFERROR(VLOOKUP($D546,SERVIÇOS!$C:$H,5,0),IFERROR(VLOOKUP($D546,$F:$M,7,0),)),0)*$I546,2)</f>
        <v>0</v>
      </c>
      <c r="M546" s="617">
        <f>K546+L546</f>
        <v>5.78</v>
      </c>
      <c r="N546" s="753" t="s">
        <v>6845</v>
      </c>
      <c r="O546" s="640"/>
    </row>
    <row r="547" spans="1:17">
      <c r="B547" s="122">
        <f t="shared" si="255"/>
        <v>2</v>
      </c>
      <c r="C547" s="611" t="str">
        <f>IF(D547&lt;&gt;"","C",IF(E547&lt;&gt;"","I",""))</f>
        <v>C</v>
      </c>
      <c r="D547" s="660">
        <v>88243</v>
      </c>
      <c r="E547" s="661"/>
      <c r="F547" s="612"/>
      <c r="G547" s="613" t="str">
        <f>IF($E547="",IFERROR(VLOOKUP($D547,SERVIÇOS!$C:$H,2,0),IFERROR(VLOOKUP($D547,$F:$M,2,0),"")),IFERROR(VLOOKUP($E547,INSUMOS!$B:$E,2,0),IFERROR(VLOOKUP($E547,COTAÇÕES!$C:$L,2,0),"")))</f>
        <v>AJUDANTE ESPECIALIZADO COM ENCARGOS COMPLEMENTARES</v>
      </c>
      <c r="H547" s="593" t="str">
        <f>IF($E547="",IFERROR(VLOOKUP($D547,SERVIÇOS!$C:$H,3,0),IFERROR(VLOOKUP($D547,$F:$M,3,0),"")),IFERROR(VLOOKUP($E547,INSUMOS!$B:$E,3,0),IFERROR(VLOOKUP($E547,COTAÇÕES!$C:$L,5,0),"")))</f>
        <v>H</v>
      </c>
      <c r="I547" s="644">
        <v>0.39</v>
      </c>
      <c r="J547" s="670">
        <f>IF($E547="",IFERROR(VLOOKUP($D547,SERVIÇOS!$C:$H,6,0),IFERROR(VLOOKUP($D547,$F:$M,8,0),"")),IFERROR(VLOOKUP($E547,INSUMOS!$B:$E,4,0),IFERROR(VLOOKUP($E547,COTAÇÕES!$C:$L,10,0),"")))</f>
        <v>25.01</v>
      </c>
      <c r="K547" s="615">
        <f>TRUNC(IF($E547="",IFERROR(VLOOKUP($D547,SERVIÇOS!$C:$H,4,0),IFERROR(VLOOKUP($D547,$F:$M,6,0),)),IFERROR(VLOOKUP($E547,INSUMOS!$B:$E,4,0),IFERROR(VLOOKUP($E547,COTAÇÕES!$C:$L,10,0),)))*$I547,2)</f>
        <v>2.54</v>
      </c>
      <c r="L547" s="616">
        <f>TRUNC(IF($E547="",IFERROR(VLOOKUP($D547,SERVIÇOS!$C:$H,5,0),IFERROR(VLOOKUP($D547,$F:$M,7,0),)),0)*$I547,2)</f>
        <v>7.21</v>
      </c>
      <c r="M547" s="617">
        <f>K547+L547</f>
        <v>9.75</v>
      </c>
      <c r="N547" s="753" t="str">
        <f>IF($D547&lt;&gt;"","SERVIÇO SINAPI",IF($E547&lt;&gt;"","INSUMO SINAPI",""))</f>
        <v>SERVIÇO SINAPI</v>
      </c>
      <c r="O547" s="632"/>
    </row>
    <row r="548" spans="1:17">
      <c r="B548" s="122">
        <f t="shared" si="255"/>
        <v>2</v>
      </c>
      <c r="C548" s="611" t="str">
        <f>IF(D548&lt;&gt;"","C",IF(E548&lt;&gt;"","I",""))</f>
        <v>C</v>
      </c>
      <c r="D548" s="660">
        <v>100308</v>
      </c>
      <c r="E548" s="661"/>
      <c r="F548" s="612"/>
      <c r="G548" s="613" t="str">
        <f>IF($E548="",IFERROR(VLOOKUP($D548,SERVIÇOS!$C:$H,2,0),IFERROR(VLOOKUP($D548,$F:$M,2,0),"")),IFERROR(VLOOKUP($E548,INSUMOS!$B:$E,2,0),IFERROR(VLOOKUP($E548,COTAÇÕES!$C:$L,2,0),"")))</f>
        <v>MECÂNICO DE REFRIGERAÇÃO COM ENCARGOS COMPLEMENTARES</v>
      </c>
      <c r="H548" s="593" t="str">
        <f>IF($E548="",IFERROR(VLOOKUP($D548,SERVIÇOS!$C:$H,3,0),IFERROR(VLOOKUP($D548,$F:$M,3,0),"")),IFERROR(VLOOKUP($E548,INSUMOS!$B:$E,3,0),IFERROR(VLOOKUP($E548,COTAÇÕES!$C:$L,5,0),"")))</f>
        <v>H</v>
      </c>
      <c r="I548" s="644">
        <v>0.39</v>
      </c>
      <c r="J548" s="670">
        <f>IF($E548="",IFERROR(VLOOKUP($D548,SERVIÇOS!$C:$H,6,0),IFERROR(VLOOKUP($D548,$F:$M,8,0),"")),IFERROR(VLOOKUP($E548,INSUMOS!$B:$E,4,0),IFERROR(VLOOKUP($E548,COTAÇÕES!$C:$L,10,0),"")))</f>
        <v>33.83</v>
      </c>
      <c r="K548" s="615">
        <f>TRUNC(IF($E548="",IFERROR(VLOOKUP($D548,SERVIÇOS!$C:$H,4,0),IFERROR(VLOOKUP($D548,$F:$M,6,0),)),IFERROR(VLOOKUP($E548,INSUMOS!$B:$E,4,0),IFERROR(VLOOKUP($E548,COTAÇÕES!$C:$L,10,0),)))*$I548,2)</f>
        <v>2.59</v>
      </c>
      <c r="L548" s="616">
        <f>TRUNC(IF($E548="",IFERROR(VLOOKUP($D548,SERVIÇOS!$C:$H,5,0),IFERROR(VLOOKUP($D548,$F:$M,7,0),)),0)*$I548,2)</f>
        <v>10.59</v>
      </c>
      <c r="M548" s="617">
        <f>K548+L548</f>
        <v>13.18</v>
      </c>
      <c r="N548" s="753" t="str">
        <f>IF($D548&lt;&gt;"","SERVIÇO SINAPI",IF($E548&lt;&gt;"","INSUMO SINAPI",""))</f>
        <v>SERVIÇO SINAPI</v>
      </c>
      <c r="O548" s="632"/>
    </row>
    <row r="549" spans="1:17" ht="25.5">
      <c r="B549" s="769">
        <f>SUMIF(ORC!$G$11:$G$2470,CPU!$F549,ORC!$J$11:$J$2470)</f>
        <v>14</v>
      </c>
      <c r="C549" s="515" t="s">
        <v>2239</v>
      </c>
      <c r="D549" s="515"/>
      <c r="E549" s="515"/>
      <c r="F549" s="515" t="s">
        <v>8546</v>
      </c>
      <c r="G549" s="516" t="s">
        <v>8542</v>
      </c>
      <c r="H549" s="515" t="s">
        <v>648</v>
      </c>
      <c r="I549" s="595"/>
      <c r="J549" s="596"/>
      <c r="K549" s="597">
        <f>SUM(K550:K552)</f>
        <v>26.31</v>
      </c>
      <c r="L549" s="597">
        <f>SUM(L550:L552)</f>
        <v>17.8</v>
      </c>
      <c r="M549" s="597">
        <f>SUM(K549:L549)</f>
        <v>44.11</v>
      </c>
      <c r="N549" s="598" t="s">
        <v>8544</v>
      </c>
      <c r="O549" s="599"/>
      <c r="Q549" s="122" t="str">
        <f>UPPER(G549)</f>
        <v>DUTO FLEXÍVEL EM ALUMÍNIO LAMINADO COM ESTRUTURA DE ARAME EM AÇO TRATADO Ø100MM (Ø4"). REF.: SICFLUX FLEX 100 AP OU EQUIVALENTE TÉCNICO</v>
      </c>
    </row>
    <row r="550" spans="1:17" ht="25.5">
      <c r="B550" s="122">
        <f t="shared" ref="B550:B552" si="256">B549</f>
        <v>14</v>
      </c>
      <c r="C550" s="611" t="str">
        <f>IF(D550&lt;&gt;"","C",IF(E550&lt;&gt;"","I",""))</f>
        <v>I</v>
      </c>
      <c r="D550" s="660"/>
      <c r="E550" s="662" t="s">
        <v>9062</v>
      </c>
      <c r="F550" s="612"/>
      <c r="G550" s="613" t="str">
        <f>IF($E550="",IFERROR(VLOOKUP($D550,SERVIÇOS!$C:$H,2,0),IFERROR(VLOOKUP($D550,$F:$M,2,0),"")),IFERROR(VLOOKUP($E550,INSUMOS!$B:$E,2,0),IFERROR(VLOOKUP($E550,COTAÇÕES!$C:$L,2,0),"")))</f>
        <v>DUTO FLEXÍVEL EM ALUMÍNIO LAMINADO COM ESTRUTURA DE ARAME EM AÇO TRATADO Ø200MM (Ø8"). REF.: SICFLUX FLEX 200 AP</v>
      </c>
      <c r="H550" s="593" t="str">
        <f>IF($E550="",IFERROR(VLOOKUP($D550,SERVIÇOS!$C:$H,3,0),IFERROR(VLOOKUP($D550,$F:$M,3,0),"")),IFERROR(VLOOKUP($E550,INSUMOS!$B:$E,3,0),IFERROR(VLOOKUP($E550,COTAÇÕES!$C:$L,5,0),"")))</f>
        <v>M</v>
      </c>
      <c r="I550" s="644">
        <v>1.05</v>
      </c>
      <c r="J550" s="670">
        <f>IF($E550="",IFERROR(VLOOKUP($D550,SERVIÇOS!$C:$H,6,0),IFERROR(VLOOKUP($D550,$F:$M,8,0),"")),IFERROR(VLOOKUP($E550,INSUMOS!$B:$E,4,0),IFERROR(VLOOKUP($E550,COTAÇÕES!$C:$L,10,0),"")))</f>
        <v>20.18</v>
      </c>
      <c r="K550" s="615">
        <f>TRUNC(IF($E550="",IFERROR(VLOOKUP($D550,SERVIÇOS!$C:$H,4,0),IFERROR(VLOOKUP($D550,$F:$M,6,0),)),IFERROR(VLOOKUP($E550,INSUMOS!$B:$E,4,0),IFERROR(VLOOKUP($E550,COTAÇÕES!$C:$L,10,0),)))*$I550,2)</f>
        <v>21.18</v>
      </c>
      <c r="L550" s="616">
        <f>TRUNC(IF($E550="",IFERROR(VLOOKUP($D550,SERVIÇOS!$C:$H,5,0),IFERROR(VLOOKUP($D550,$F:$M,7,0),)),0)*$I550,2)</f>
        <v>0</v>
      </c>
      <c r="M550" s="617">
        <f>K550+L550</f>
        <v>21.18</v>
      </c>
      <c r="N550" s="753" t="s">
        <v>6845</v>
      </c>
      <c r="O550" s="640"/>
    </row>
    <row r="551" spans="1:17">
      <c r="B551" s="122">
        <f t="shared" si="256"/>
        <v>14</v>
      </c>
      <c r="C551" s="611" t="str">
        <f>IF(D551&lt;&gt;"","C",IF(E551&lt;&gt;"","I",""))</f>
        <v>C</v>
      </c>
      <c r="D551" s="660">
        <v>88243</v>
      </c>
      <c r="E551" s="661"/>
      <c r="F551" s="612"/>
      <c r="G551" s="613" t="str">
        <f>IF($E551="",IFERROR(VLOOKUP($D551,SERVIÇOS!$C:$H,2,0),IFERROR(VLOOKUP($D551,$F:$M,2,0),"")),IFERROR(VLOOKUP($E551,INSUMOS!$B:$E,2,0),IFERROR(VLOOKUP($E551,COTAÇÕES!$C:$L,2,0),"")))</f>
        <v>AJUDANTE ESPECIALIZADO COM ENCARGOS COMPLEMENTARES</v>
      </c>
      <c r="H551" s="593" t="str">
        <f>IF($E551="",IFERROR(VLOOKUP($D551,SERVIÇOS!$C:$H,3,0),IFERROR(VLOOKUP($D551,$F:$M,3,0),"")),IFERROR(VLOOKUP($E551,INSUMOS!$B:$E,3,0),IFERROR(VLOOKUP($E551,COTAÇÕES!$C:$L,5,0),"")))</f>
        <v>H</v>
      </c>
      <c r="I551" s="644">
        <v>0.39</v>
      </c>
      <c r="J551" s="670">
        <f>IF($E551="",IFERROR(VLOOKUP($D551,SERVIÇOS!$C:$H,6,0),IFERROR(VLOOKUP($D551,$F:$M,8,0),"")),IFERROR(VLOOKUP($E551,INSUMOS!$B:$E,4,0),IFERROR(VLOOKUP($E551,COTAÇÕES!$C:$L,10,0),"")))</f>
        <v>25.01</v>
      </c>
      <c r="K551" s="615">
        <f>TRUNC(IF($E551="",IFERROR(VLOOKUP($D551,SERVIÇOS!$C:$H,4,0),IFERROR(VLOOKUP($D551,$F:$M,6,0),)),IFERROR(VLOOKUP($E551,INSUMOS!$B:$E,4,0),IFERROR(VLOOKUP($E551,COTAÇÕES!$C:$L,10,0),)))*$I551,2)</f>
        <v>2.54</v>
      </c>
      <c r="L551" s="616">
        <f>TRUNC(IF($E551="",IFERROR(VLOOKUP($D551,SERVIÇOS!$C:$H,5,0),IFERROR(VLOOKUP($D551,$F:$M,7,0),)),0)*$I551,2)</f>
        <v>7.21</v>
      </c>
      <c r="M551" s="617">
        <f>K551+L551</f>
        <v>9.75</v>
      </c>
      <c r="N551" s="753" t="str">
        <f>IF($D551&lt;&gt;"","SERVIÇO SINAPI",IF($E551&lt;&gt;"","INSUMO SINAPI",""))</f>
        <v>SERVIÇO SINAPI</v>
      </c>
      <c r="O551" s="632"/>
    </row>
    <row r="552" spans="1:17">
      <c r="B552" s="122">
        <f t="shared" si="256"/>
        <v>14</v>
      </c>
      <c r="C552" s="611" t="str">
        <f>IF(D552&lt;&gt;"","C",IF(E552&lt;&gt;"","I",""))</f>
        <v>C</v>
      </c>
      <c r="D552" s="660">
        <v>100308</v>
      </c>
      <c r="E552" s="661"/>
      <c r="F552" s="612"/>
      <c r="G552" s="613" t="str">
        <f>IF($E552="",IFERROR(VLOOKUP($D552,SERVIÇOS!$C:$H,2,0),IFERROR(VLOOKUP($D552,$F:$M,2,0),"")),IFERROR(VLOOKUP($E552,INSUMOS!$B:$E,2,0),IFERROR(VLOOKUP($E552,COTAÇÕES!$C:$L,2,0),"")))</f>
        <v>MECÂNICO DE REFRIGERAÇÃO COM ENCARGOS COMPLEMENTARES</v>
      </c>
      <c r="H552" s="593" t="str">
        <f>IF($E552="",IFERROR(VLOOKUP($D552,SERVIÇOS!$C:$H,3,0),IFERROR(VLOOKUP($D552,$F:$M,3,0),"")),IFERROR(VLOOKUP($E552,INSUMOS!$B:$E,3,0),IFERROR(VLOOKUP($E552,COTAÇÕES!$C:$L,5,0),"")))</f>
        <v>H</v>
      </c>
      <c r="I552" s="644">
        <v>0.39</v>
      </c>
      <c r="J552" s="670">
        <f>IF($E552="",IFERROR(VLOOKUP($D552,SERVIÇOS!$C:$H,6,0),IFERROR(VLOOKUP($D552,$F:$M,8,0),"")),IFERROR(VLOOKUP($E552,INSUMOS!$B:$E,4,0),IFERROR(VLOOKUP($E552,COTAÇÕES!$C:$L,10,0),"")))</f>
        <v>33.83</v>
      </c>
      <c r="K552" s="615">
        <f>TRUNC(IF($E552="",IFERROR(VLOOKUP($D552,SERVIÇOS!$C:$H,4,0),IFERROR(VLOOKUP($D552,$F:$M,6,0),)),IFERROR(VLOOKUP($E552,INSUMOS!$B:$E,4,0),IFERROR(VLOOKUP($E552,COTAÇÕES!$C:$L,10,0),)))*$I552,2)</f>
        <v>2.59</v>
      </c>
      <c r="L552" s="616">
        <f>TRUNC(IF($E552="",IFERROR(VLOOKUP($D552,SERVIÇOS!$C:$H,5,0),IFERROR(VLOOKUP($D552,$F:$M,7,0),)),0)*$I552,2)</f>
        <v>10.59</v>
      </c>
      <c r="M552" s="617">
        <f>K552+L552</f>
        <v>13.18</v>
      </c>
      <c r="N552" s="753" t="str">
        <f>IF($D552&lt;&gt;"","SERVIÇO SINAPI",IF($E552&lt;&gt;"","INSUMO SINAPI",""))</f>
        <v>SERVIÇO SINAPI</v>
      </c>
      <c r="O552" s="632"/>
    </row>
    <row r="553" spans="1:17" s="893" customFormat="1">
      <c r="A553" s="893" t="s">
        <v>7480</v>
      </c>
      <c r="C553" s="607"/>
      <c r="D553" s="607"/>
      <c r="E553" s="607"/>
      <c r="F553" s="607"/>
      <c r="G553" s="609" t="s">
        <v>5269</v>
      </c>
      <c r="H553" s="607"/>
      <c r="I553" s="607"/>
      <c r="J553" s="607"/>
      <c r="K553" s="607"/>
      <c r="L553" s="607"/>
      <c r="M553" s="607"/>
      <c r="N553" s="756"/>
      <c r="O553" s="607"/>
    </row>
    <row r="554" spans="1:17" ht="25.5" hidden="1">
      <c r="B554" s="769">
        <f>SUMIF(ORC!$G$11:$G$2470,CPU!$F554,ORC!$J$11:$J$2470)</f>
        <v>0</v>
      </c>
      <c r="C554" s="515" t="s">
        <v>2239</v>
      </c>
      <c r="D554" s="515"/>
      <c r="E554" s="515"/>
      <c r="F554" s="515" t="s">
        <v>8904</v>
      </c>
      <c r="G554" s="516" t="s">
        <v>8905</v>
      </c>
      <c r="H554" s="515" t="s">
        <v>646</v>
      </c>
      <c r="I554" s="595"/>
      <c r="J554" s="596"/>
      <c r="K554" s="597">
        <f>SUM(K555:K557)</f>
        <v>375.51</v>
      </c>
      <c r="L554" s="597">
        <f>SUM(L555:L557)</f>
        <v>15.43</v>
      </c>
      <c r="M554" s="597">
        <f>SUM(K554:L554)</f>
        <v>390.94</v>
      </c>
      <c r="N554" s="598" t="s">
        <v>8906</v>
      </c>
      <c r="O554" s="953" t="s">
        <v>8907</v>
      </c>
    </row>
    <row r="555" spans="1:17" ht="25.5" hidden="1">
      <c r="B555" s="122">
        <f t="shared" ref="B555:B559" si="257">B554</f>
        <v>0</v>
      </c>
      <c r="C555" s="611" t="str">
        <f>IF(D555&lt;&gt;"","C",IF(E555&lt;&gt;"","I",""))</f>
        <v>I</v>
      </c>
      <c r="D555" s="660"/>
      <c r="E555" s="660">
        <v>1062</v>
      </c>
      <c r="F555" s="612"/>
      <c r="G555" s="613" t="str">
        <f>IF($E555="",IFERROR(VLOOKUP($D555,SERVIÇOS!$C:$H,2,0),IFERROR(VLOOKUP($D555,$F:$M,2,0),"")),IFERROR(VLOOKUP($E555,INSUMOS!$B:$E,2,0),IFERROR(VLOOKUP($E555,COTAÇÕES!$C:$L,2,0),"")))</f>
        <v xml:space="preserve">CAIXA INTERNA/EXTERNA DE MEDICAO PARA 1 MEDIDOR TRIFASICO, COM VISOR, EM CHAPA DE ACO 18 USG (PADRAO DA CONCESSIONARIA LOCAL)                                                                                                                                                                                                                                                                                                                                                                             </v>
      </c>
      <c r="H555" s="593" t="str">
        <f>IF($E555="",IFERROR(VLOOKUP($D555,SERVIÇOS!$C:$H,3,0),IFERROR(VLOOKUP($D555,$F:$M,3,0),"")),IFERROR(VLOOKUP($E555,INSUMOS!$B:$E,3,0),IFERROR(VLOOKUP($E555,COTAÇÕES!$C:$L,5,0),"")))</f>
        <v xml:space="preserve">UN    </v>
      </c>
      <c r="I555" s="644">
        <v>1</v>
      </c>
      <c r="J555" s="670">
        <f>IF($E555="",IFERROR(VLOOKUP($D555,SERVIÇOS!$C:$H,6,0),IFERROR(VLOOKUP($D555,$F:$M,8,0),"")),IFERROR(VLOOKUP($E555,INSUMOS!$B:$E,4,0),IFERROR(VLOOKUP($E555,COTAÇÕES!$C:$L,10,0),"")))</f>
        <v>342.18</v>
      </c>
      <c r="K555" s="615">
        <f>TRUNC(IF($E555="",IFERROR(VLOOKUP($D555,SERVIÇOS!$C:$H,4,0),IFERROR(VLOOKUP($D555,$F:$M,6,0),)),IFERROR(VLOOKUP($E555,INSUMOS!$B:$E,4,0),IFERROR(VLOOKUP($E555,COTAÇÕES!$C:$L,10,0),)))*$I555,2)</f>
        <v>342.18</v>
      </c>
      <c r="L555" s="616">
        <f>TRUNC(IF($E555="",IFERROR(VLOOKUP($D555,SERVIÇOS!$C:$H,5,0),IFERROR(VLOOKUP($D555,$F:$M,7,0),)),0)*$I555,2)</f>
        <v>0</v>
      </c>
      <c r="M555" s="617">
        <f>K555+L555</f>
        <v>342.18</v>
      </c>
      <c r="N555" s="753" t="s">
        <v>9063</v>
      </c>
      <c r="O555" s="640"/>
    </row>
    <row r="556" spans="1:17" hidden="1">
      <c r="B556" s="122">
        <f t="shared" si="257"/>
        <v>0</v>
      </c>
      <c r="C556" s="611" t="str">
        <f>IF(D556&lt;&gt;"","C",IF(E556&lt;&gt;"","I",""))</f>
        <v>I</v>
      </c>
      <c r="D556" s="660"/>
      <c r="E556" s="661" t="s">
        <v>9064</v>
      </c>
      <c r="F556" s="612"/>
      <c r="G556" s="613" t="str">
        <f>IF($E556="",IFERROR(VLOOKUP($D556,SERVIÇOS!$C:$H,2,0),IFERROR(VLOOKUP($D556,$F:$M,2,0),"")),IFERROR(VLOOKUP($E556,INSUMOS!$B:$E,2,0),IFERROR(VLOOKUP($E556,COTAÇÕES!$C:$L,2,0),"")))</f>
        <v>TRILHO GALVANIZADO P/MONTAGEM DE QUADROS DISTRIBUIÇÃO, BARRA 2M</v>
      </c>
      <c r="H556" s="593" t="s">
        <v>2666</v>
      </c>
      <c r="I556" s="644">
        <v>1</v>
      </c>
      <c r="J556" s="670">
        <v>30</v>
      </c>
      <c r="K556" s="615">
        <f>ROUND(J556*I556,2)</f>
        <v>30</v>
      </c>
      <c r="L556" s="616">
        <f>TRUNC(IF($E556="",IFERROR(VLOOKUP($D556,SERVIÇOS!$C:$H,5,0),IFERROR(VLOOKUP($D556,$F:$M,7,0),)),0)*$I556,2)</f>
        <v>0</v>
      </c>
      <c r="M556" s="617">
        <f>K556+L556</f>
        <v>30</v>
      </c>
      <c r="N556" s="753" t="s">
        <v>6845</v>
      </c>
      <c r="O556" s="640" t="s">
        <v>7651</v>
      </c>
    </row>
    <row r="557" spans="1:17" hidden="1">
      <c r="B557" s="122">
        <f t="shared" si="257"/>
        <v>0</v>
      </c>
      <c r="C557" s="611" t="str">
        <f>IF(D557&lt;&gt;"","C",IF(E557&lt;&gt;"","I",""))</f>
        <v>C</v>
      </c>
      <c r="D557" s="660">
        <v>88266</v>
      </c>
      <c r="E557" s="661"/>
      <c r="F557" s="612"/>
      <c r="G557" s="613" t="str">
        <f>IF($E557="",IFERROR(VLOOKUP($D557,SERVIÇOS!$C:$H,2,0),IFERROR(VLOOKUP($D557,$F:$M,2,0),"")),IFERROR(VLOOKUP($E557,INSUMOS!$B:$E,2,0),IFERROR(VLOOKUP($E557,COTAÇÕES!$C:$L,2,0),"")))</f>
        <v>ELETROTÉCNICO COM ENCARGOS COMPLEMENTARES</v>
      </c>
      <c r="H557" s="593" t="str">
        <f>IF($E557="",IFERROR(VLOOKUP($D557,SERVIÇOS!$C:$H,3,0),IFERROR(VLOOKUP($D557,$F:$M,3,0),"")),IFERROR(VLOOKUP($E557,INSUMOS!$B:$E,3,0),IFERROR(VLOOKUP($E557,COTAÇÕES!$C:$L,5,0),"")))</f>
        <v>H</v>
      </c>
      <c r="I557" s="644">
        <v>0.5</v>
      </c>
      <c r="J557" s="670">
        <f>IF($E557="",IFERROR(VLOOKUP($D557,SERVIÇOS!$C:$H,6,0),IFERROR(VLOOKUP($D557,$F:$M,8,0),"")),IFERROR(VLOOKUP($E557,INSUMOS!$B:$E,4,0),IFERROR(VLOOKUP($E557,COTAÇÕES!$C:$L,10,0),"")))</f>
        <v>37.520000000000003</v>
      </c>
      <c r="K557" s="615">
        <f>TRUNC(IF($E557="",IFERROR(VLOOKUP($D557,SERVIÇOS!$C:$H,4,0),IFERROR(VLOOKUP($D557,$F:$M,6,0),)),IFERROR(VLOOKUP($E557,INSUMOS!$B:$E,4,0),IFERROR(VLOOKUP($E557,COTAÇÕES!$C:$L,10,0),)))*$I557,2)</f>
        <v>3.33</v>
      </c>
      <c r="L557" s="616">
        <f>TRUNC(IF($E557="",IFERROR(VLOOKUP($D557,SERVIÇOS!$C:$H,5,0),IFERROR(VLOOKUP($D557,$F:$M,7,0),)),0)*$I557,2)</f>
        <v>15.43</v>
      </c>
      <c r="M557" s="617">
        <f>K557+L557</f>
        <v>18.759999999999998</v>
      </c>
      <c r="N557" s="753" t="str">
        <f>IF($D557&lt;&gt;"","SERVIÇO SINAPI",IF($E557&lt;&gt;"","INSUMO SINAPI",""))</f>
        <v>SERVIÇO SINAPI</v>
      </c>
      <c r="O557" s="632"/>
    </row>
    <row r="558" spans="1:17" hidden="1">
      <c r="B558" s="122">
        <f t="shared" si="257"/>
        <v>0</v>
      </c>
      <c r="C558" s="611" t="str">
        <f>IF(D558&lt;&gt;"","C",IF(E558&lt;&gt;"","I",""))</f>
        <v>C</v>
      </c>
      <c r="D558" s="660">
        <v>88264</v>
      </c>
      <c r="E558" s="661"/>
      <c r="F558" s="612"/>
      <c r="G558" s="613" t="str">
        <f>IF($E558="",IFERROR(VLOOKUP($D558,SERVIÇOS!$C:$H,2,0),IFERROR(VLOOKUP($D558,$F:$M,2,0),"")),IFERROR(VLOOKUP($E558,INSUMOS!$B:$E,2,0),IFERROR(VLOOKUP($E558,COTAÇÕES!$C:$L,2,0),"")))</f>
        <v>ELETRICISTA COM ENCARGOS COMPLEMENTARES</v>
      </c>
      <c r="H558" s="593" t="str">
        <f>IF($E558="",IFERROR(VLOOKUP($D558,SERVIÇOS!$C:$H,3,0),IFERROR(VLOOKUP($D558,$F:$M,3,0),"")),IFERROR(VLOOKUP($E558,INSUMOS!$B:$E,3,0),IFERROR(VLOOKUP($E558,COTAÇÕES!$C:$L,5,0),"")))</f>
        <v>H</v>
      </c>
      <c r="I558" s="644">
        <v>2.5</v>
      </c>
      <c r="J558" s="670">
        <f>IF($E558="",IFERROR(VLOOKUP($D558,SERVIÇOS!$C:$H,6,0),IFERROR(VLOOKUP($D558,$F:$M,8,0),"")),IFERROR(VLOOKUP($E558,INSUMOS!$B:$E,4,0),IFERROR(VLOOKUP($E558,COTAÇÕES!$C:$L,10,0),"")))</f>
        <v>31.32</v>
      </c>
      <c r="K558" s="615">
        <f>TRUNC(IF($E558="",IFERROR(VLOOKUP($D558,SERVIÇOS!$C:$H,4,0),IFERROR(VLOOKUP($D558,$F:$M,6,0),)),IFERROR(VLOOKUP($E558,INSUMOS!$B:$E,4,0),IFERROR(VLOOKUP($E558,COTAÇÕES!$C:$L,10,0),)))*$I558,2)</f>
        <v>16.649999999999999</v>
      </c>
      <c r="L558" s="616">
        <f>TRUNC(IF($E558="",IFERROR(VLOOKUP($D558,SERVIÇOS!$C:$H,5,0),IFERROR(VLOOKUP($D558,$F:$M,7,0),)),0)*$I558,2)</f>
        <v>61.65</v>
      </c>
      <c r="M558" s="617">
        <f>K558+L558</f>
        <v>78.3</v>
      </c>
      <c r="N558" s="753" t="str">
        <f>IF($D558&lt;&gt;"","SERVIÇO SINAPI",IF($E558&lt;&gt;"","INSUMO SINAPI",""))</f>
        <v>SERVIÇO SINAPI</v>
      </c>
      <c r="O558" s="632"/>
    </row>
    <row r="559" spans="1:17" hidden="1">
      <c r="B559" s="122">
        <f t="shared" si="257"/>
        <v>0</v>
      </c>
      <c r="C559" s="611" t="str">
        <f>IF(D559&lt;&gt;"","C",IF(E559&lt;&gt;"","I",""))</f>
        <v>C</v>
      </c>
      <c r="D559" s="660">
        <v>88247</v>
      </c>
      <c r="E559" s="661"/>
      <c r="F559" s="612"/>
      <c r="G559" s="613" t="str">
        <f>IF($E559="",IFERROR(VLOOKUP($D559,SERVIÇOS!$C:$H,2,0),IFERROR(VLOOKUP($D559,$F:$M,2,0),"")),IFERROR(VLOOKUP($E559,INSUMOS!$B:$E,2,0),IFERROR(VLOOKUP($E559,COTAÇÕES!$C:$L,2,0),"")))</f>
        <v>AUXILIAR DE ELETRICISTA COM ENCARGOS COMPLEMENTARES</v>
      </c>
      <c r="H559" s="593" t="str">
        <f>IF($E559="",IFERROR(VLOOKUP($D559,SERVIÇOS!$C:$H,3,0),IFERROR(VLOOKUP($D559,$F:$M,3,0),"")),IFERROR(VLOOKUP($E559,INSUMOS!$B:$E,3,0),IFERROR(VLOOKUP($E559,COTAÇÕES!$C:$L,5,0),"")))</f>
        <v>H</v>
      </c>
      <c r="I559" s="644">
        <v>5</v>
      </c>
      <c r="J559" s="670">
        <f>IF($E559="",IFERROR(VLOOKUP($D559,SERVIÇOS!$C:$H,6,0),IFERROR(VLOOKUP($D559,$F:$M,8,0),"")),IFERROR(VLOOKUP($E559,INSUMOS!$B:$E,4,0),IFERROR(VLOOKUP($E559,COTAÇÕES!$C:$L,10,0),"")))</f>
        <v>25.53</v>
      </c>
      <c r="K559" s="615">
        <f>TRUNC(IF($E559="",IFERROR(VLOOKUP($D559,SERVIÇOS!$C:$H,4,0),IFERROR(VLOOKUP($D559,$F:$M,6,0),)),IFERROR(VLOOKUP($E559,INSUMOS!$B:$E,4,0),IFERROR(VLOOKUP($E559,COTAÇÕES!$C:$L,10,0),)))*$I559,2)</f>
        <v>33.299999999999997</v>
      </c>
      <c r="L559" s="616">
        <f>TRUNC(IF($E559="",IFERROR(VLOOKUP($D559,SERVIÇOS!$C:$H,5,0),IFERROR(VLOOKUP($D559,$F:$M,7,0),)),0)*$I559,2)</f>
        <v>94.35</v>
      </c>
      <c r="M559" s="617">
        <f>K559+L559</f>
        <v>127.64999999999999</v>
      </c>
      <c r="N559" s="753" t="str">
        <f>IF($D559&lt;&gt;"","SERVIÇO SINAPI",IF($E559&lt;&gt;"","INSUMO SINAPI",""))</f>
        <v>SERVIÇO SINAPI</v>
      </c>
      <c r="O559" s="632"/>
    </row>
    <row r="560" spans="1:17" hidden="1">
      <c r="B560" s="769">
        <f>SUMIF(ORC!$G$11:$G$2470,CPU!$F560,ORC!$J$11:$J$2470)</f>
        <v>0</v>
      </c>
      <c r="C560" s="515" t="s">
        <v>2239</v>
      </c>
      <c r="D560" s="515"/>
      <c r="E560" s="515"/>
      <c r="F560" s="515" t="s">
        <v>8908</v>
      </c>
      <c r="G560" s="516" t="s">
        <v>8912</v>
      </c>
      <c r="H560" s="515" t="s">
        <v>646</v>
      </c>
      <c r="I560" s="595"/>
      <c r="J560" s="596"/>
      <c r="K560" s="597">
        <f>SUM(K561:K562)</f>
        <v>2256.17</v>
      </c>
      <c r="L560" s="597">
        <f>SUM(L561:L562)</f>
        <v>150.22999999999999</v>
      </c>
      <c r="M560" s="597">
        <f>SUM(K560:L560)</f>
        <v>2406.4</v>
      </c>
      <c r="N560" s="598"/>
      <c r="O560" s="953"/>
    </row>
    <row r="561" spans="2:15" ht="38.25" hidden="1">
      <c r="B561" s="122">
        <f t="shared" ref="B561:B562" si="258">B560</f>
        <v>0</v>
      </c>
      <c r="C561" s="611" t="str">
        <f>IF(D561&lt;&gt;"","C",IF(E561&lt;&gt;"","I",""))</f>
        <v>C</v>
      </c>
      <c r="D561" s="660">
        <v>100600</v>
      </c>
      <c r="E561" s="660"/>
      <c r="F561" s="612"/>
      <c r="G561" s="613" t="str">
        <f>IF($E561="",IFERROR(VLOOKUP($D561,SERVIÇOS!$C:$H,2,0),IFERROR(VLOOKUP($D561,$F:$M,2,0),"")),IFERROR(VLOOKUP($E561,INSUMOS!$B:$E,2,0),IFERROR(VLOOKUP($E561,COTAÇÕES!$C:$L,2,0),"")))</f>
        <v>ASSENTAMENTO DE POSTE DE CONCRETO COM COMPRIMENTO NOMINAL DE 9 M, CARGA NOMINAL DE 300 DAN, ENGASTAMENTO BASE CONCRETADA COM 1 M DE CONCRETO E 0,5 M DE SOLO (NÃO INCLUI FORNECIMENTO). AF_11/2019</v>
      </c>
      <c r="H561" s="593" t="str">
        <f>IF($E561="",IFERROR(VLOOKUP($D561,SERVIÇOS!$C:$H,3,0),IFERROR(VLOOKUP($D561,$F:$M,3,0),"")),IFERROR(VLOOKUP($E561,INSUMOS!$B:$E,3,0),IFERROR(VLOOKUP($E561,COTAÇÕES!$C:$L,5,0),"")))</f>
        <v>UN</v>
      </c>
      <c r="I561" s="644">
        <v>1</v>
      </c>
      <c r="J561" s="670">
        <f>IF($E561="",IFERROR(VLOOKUP($D561,SERVIÇOS!$C:$H,6,0),IFERROR(VLOOKUP($D561,$F:$M,8,0),"")),IFERROR(VLOOKUP($E561,INSUMOS!$B:$E,4,0),IFERROR(VLOOKUP($E561,COTAÇÕES!$C:$L,10,0),"")))</f>
        <v>620.54999999999995</v>
      </c>
      <c r="K561" s="615">
        <f>TRUNC(IF($E561="",IFERROR(VLOOKUP($D561,SERVIÇOS!$C:$H,4,0),IFERROR(VLOOKUP($D561,$F:$M,6,0),)),IFERROR(VLOOKUP($E561,INSUMOS!$B:$E,4,0),IFERROR(VLOOKUP($E561,COTAÇÕES!$C:$L,10,0),)))*$I561,2)</f>
        <v>470.32</v>
      </c>
      <c r="L561" s="616">
        <f>TRUNC(IF($E561="",IFERROR(VLOOKUP($D561,SERVIÇOS!$C:$H,5,0),IFERROR(VLOOKUP($D561,$F:$M,7,0),)),0)*$I561,2)</f>
        <v>150.22999999999999</v>
      </c>
      <c r="M561" s="617">
        <f>K561+L561</f>
        <v>620.54999999999995</v>
      </c>
      <c r="N561" s="753" t="str">
        <f t="shared" ref="N561:N624" si="259">IF($D561&lt;&gt;"","SERVIÇO SINAPI",IF($E561&lt;&gt;"","INSUMO SINAPI",""))</f>
        <v>SERVIÇO SINAPI</v>
      </c>
      <c r="O561" s="640"/>
    </row>
    <row r="562" spans="2:15" ht="25.5" hidden="1">
      <c r="B562" s="122">
        <f t="shared" si="258"/>
        <v>0</v>
      </c>
      <c r="C562" s="611" t="str">
        <f>IF(D562&lt;&gt;"","C",IF(E562&lt;&gt;"","I",""))</f>
        <v>I</v>
      </c>
      <c r="D562" s="660"/>
      <c r="E562" s="660">
        <v>5045</v>
      </c>
      <c r="F562" s="612"/>
      <c r="G562" s="613" t="str">
        <f>IF($E562="",IFERROR(VLOOKUP($D562,SERVIÇOS!$C:$H,2,0),IFERROR(VLOOKUP($D562,$F:$M,2,0),"")),IFERROR(VLOOKUP($E562,INSUMOS!$B:$E,2,0),IFERROR(VLOOKUP($E562,COTAÇÕES!$C:$L,2,0),"")))</f>
        <v xml:space="preserve">POSTE DE CONCRETO ARMADO DE SECAO CIRCULAR, EXTENSAO DE 11,00 M, RESISTENCIA DE 200 A 300 DAN, TIPO C-14                                                                                                                                                                                                                                                                                                                                                                                                  </v>
      </c>
      <c r="H562" s="593" t="str">
        <f>IF($E562="",IFERROR(VLOOKUP($D562,SERVIÇOS!$C:$H,3,0),IFERROR(VLOOKUP($D562,$F:$M,3,0),"")),IFERROR(VLOOKUP($E562,INSUMOS!$B:$E,3,0),IFERROR(VLOOKUP($E562,COTAÇÕES!$C:$L,5,0),"")))</f>
        <v xml:space="preserve">UN    </v>
      </c>
      <c r="I562" s="644">
        <v>1</v>
      </c>
      <c r="J562" s="670">
        <f>IF($E562="",IFERROR(VLOOKUP($D562,SERVIÇOS!$C:$H,6,0),IFERROR(VLOOKUP($D562,$F:$M,8,0),"")),IFERROR(VLOOKUP($E562,INSUMOS!$B:$E,4,0),IFERROR(VLOOKUP($E562,COTAÇÕES!$C:$L,10,0),"")))</f>
        <v>1785.85</v>
      </c>
      <c r="K562" s="615">
        <f>TRUNC(IF($E562="",IFERROR(VLOOKUP($D562,SERVIÇOS!$C:$H,4,0),IFERROR(VLOOKUP($D562,$F:$M,6,0),)),IFERROR(VLOOKUP($E562,INSUMOS!$B:$E,4,0),IFERROR(VLOOKUP($E562,COTAÇÕES!$C:$L,10,0),)))*$I562,2)</f>
        <v>1785.85</v>
      </c>
      <c r="L562" s="616">
        <f>TRUNC(IF($E562="",IFERROR(VLOOKUP($D562,SERVIÇOS!$C:$H,5,0),IFERROR(VLOOKUP($D562,$F:$M,7,0),)),0)*$I562,2)</f>
        <v>0</v>
      </c>
      <c r="M562" s="617">
        <f>K562+L562</f>
        <v>1785.85</v>
      </c>
      <c r="N562" s="753" t="str">
        <f t="shared" si="259"/>
        <v>INSUMO SINAPI</v>
      </c>
      <c r="O562" s="640"/>
    </row>
    <row r="563" spans="2:15" hidden="1">
      <c r="B563" s="769">
        <f>SUMIF(ORC!$G$11:$G$2470,CPU!$F563,ORC!$J$11:$J$2470)</f>
        <v>0</v>
      </c>
      <c r="C563" s="515" t="s">
        <v>2239</v>
      </c>
      <c r="D563" s="515"/>
      <c r="E563" s="515"/>
      <c r="F563" s="515" t="s">
        <v>8910</v>
      </c>
      <c r="G563" s="516" t="s">
        <v>8913</v>
      </c>
      <c r="H563" s="515" t="s">
        <v>646</v>
      </c>
      <c r="I563" s="595"/>
      <c r="J563" s="596"/>
      <c r="K563" s="597">
        <f>SUM(K564:K565)</f>
        <v>32.39</v>
      </c>
      <c r="L563" s="597">
        <f>SUM(L564:L565)</f>
        <v>6.65</v>
      </c>
      <c r="M563" s="597">
        <f>SUM(K563:L563)</f>
        <v>39.04</v>
      </c>
      <c r="N563" s="598" t="s">
        <v>8914</v>
      </c>
      <c r="O563" s="953" t="s">
        <v>6840</v>
      </c>
    </row>
    <row r="564" spans="2:15" ht="25.5" hidden="1">
      <c r="B564" s="122">
        <f t="shared" ref="B564:B565" si="260">B563</f>
        <v>0</v>
      </c>
      <c r="C564" s="611" t="str">
        <f>IF(D564&lt;&gt;"","C",IF(E564&lt;&gt;"","I",""))</f>
        <v>I</v>
      </c>
      <c r="D564" s="660"/>
      <c r="E564" s="660">
        <v>1101</v>
      </c>
      <c r="F564" s="612"/>
      <c r="G564" s="613" t="str">
        <f>IF($E564="",IFERROR(VLOOKUP($D564,SERVIÇOS!$C:$H,2,0),IFERROR(VLOOKUP($D564,$F:$M,2,0),"")),IFERROR(VLOOKUP($E564,INSUMOS!$B:$E,2,0),IFERROR(VLOOKUP($E564,COTAÇÕES!$C:$L,2,0),"")))</f>
        <v xml:space="preserve">CABECOTE PARA ENTRADA DE LINHA DE ALIMENTACAO PARA ELETRODUTO, EM LIGA DE ALUMINIO COM ACABAMENTO ANTI CORROSIVO, COM FIXACAO POR ENCAIXE LISO DE 360 GRAUS, DE 2 1/2"                                                                                                                                                                                                                                                                                                                                    </v>
      </c>
      <c r="H564" s="593" t="str">
        <f>IF($E564="",IFERROR(VLOOKUP($D564,SERVIÇOS!$C:$H,3,0),IFERROR(VLOOKUP($D564,$F:$M,3,0),"")),IFERROR(VLOOKUP($E564,INSUMOS!$B:$E,3,0),IFERROR(VLOOKUP($E564,COTAÇÕES!$C:$L,5,0),"")))</f>
        <v xml:space="preserve">UN    </v>
      </c>
      <c r="I564" s="644">
        <v>1</v>
      </c>
      <c r="J564" s="670">
        <f>IF($E564="",IFERROR(VLOOKUP($D564,SERVIÇOS!$C:$H,6,0),IFERROR(VLOOKUP($D564,$F:$M,8,0),"")),IFERROR(VLOOKUP($E564,INSUMOS!$B:$E,4,0),IFERROR(VLOOKUP($E564,COTAÇÕES!$C:$L,10,0),"")))</f>
        <v>30.6</v>
      </c>
      <c r="K564" s="615">
        <f>TRUNC(IF($E564="",IFERROR(VLOOKUP($D564,SERVIÇOS!$C:$H,4,0),IFERROR(VLOOKUP($D564,$F:$M,6,0),)),IFERROR(VLOOKUP($E564,INSUMOS!$B:$E,4,0),IFERROR(VLOOKUP($E564,COTAÇÕES!$C:$L,10,0),)))*$I564,2)</f>
        <v>30.6</v>
      </c>
      <c r="L564" s="616">
        <f>TRUNC(IF($E564="",IFERROR(VLOOKUP($D564,SERVIÇOS!$C:$H,5,0),IFERROR(VLOOKUP($D564,$F:$M,7,0),)),0)*$I564,2)</f>
        <v>0</v>
      </c>
      <c r="M564" s="617">
        <f>K564+L564</f>
        <v>30.6</v>
      </c>
      <c r="N564" s="753" t="str">
        <f t="shared" si="259"/>
        <v>INSUMO SINAPI</v>
      </c>
      <c r="O564" s="640"/>
    </row>
    <row r="565" spans="2:15" hidden="1">
      <c r="B565" s="122">
        <f t="shared" si="260"/>
        <v>0</v>
      </c>
      <c r="C565" s="611" t="str">
        <f>IF(D565&lt;&gt;"","C",IF(E565&lt;&gt;"","I",""))</f>
        <v>C</v>
      </c>
      <c r="D565" s="660">
        <v>88264</v>
      </c>
      <c r="E565" s="660"/>
      <c r="F565" s="612"/>
      <c r="G565" s="613" t="str">
        <f>IF($E565="",IFERROR(VLOOKUP($D565,SERVIÇOS!$C:$H,2,0),IFERROR(VLOOKUP($D565,$F:$M,2,0),"")),IFERROR(VLOOKUP($E565,INSUMOS!$B:$E,2,0),IFERROR(VLOOKUP($E565,COTAÇÕES!$C:$L,2,0),"")))</f>
        <v>ELETRICISTA COM ENCARGOS COMPLEMENTARES</v>
      </c>
      <c r="H565" s="593" t="str">
        <f>IF($E565="",IFERROR(VLOOKUP($D565,SERVIÇOS!$C:$H,3,0),IFERROR(VLOOKUP($D565,$F:$M,3,0),"")),IFERROR(VLOOKUP($E565,INSUMOS!$B:$E,3,0),IFERROR(VLOOKUP($E565,COTAÇÕES!$C:$L,5,0),"")))</f>
        <v>H</v>
      </c>
      <c r="I565" s="644">
        <v>0.27</v>
      </c>
      <c r="J565" s="670">
        <f>IF($E565="",IFERROR(VLOOKUP($D565,SERVIÇOS!$C:$H,6,0),IFERROR(VLOOKUP($D565,$F:$M,8,0),"")),IFERROR(VLOOKUP($E565,INSUMOS!$B:$E,4,0),IFERROR(VLOOKUP($E565,COTAÇÕES!$C:$L,10,0),"")))</f>
        <v>31.32</v>
      </c>
      <c r="K565" s="615">
        <f>TRUNC(IF($E565="",IFERROR(VLOOKUP($D565,SERVIÇOS!$C:$H,4,0),IFERROR(VLOOKUP($D565,$F:$M,6,0),)),IFERROR(VLOOKUP($E565,INSUMOS!$B:$E,4,0),IFERROR(VLOOKUP($E565,COTAÇÕES!$C:$L,10,0),)))*$I565,2)</f>
        <v>1.79</v>
      </c>
      <c r="L565" s="616">
        <f>TRUNC(IF($E565="",IFERROR(VLOOKUP($D565,SERVIÇOS!$C:$H,5,0),IFERROR(VLOOKUP($D565,$F:$M,7,0),)),0)*$I565,2)</f>
        <v>6.65</v>
      </c>
      <c r="M565" s="617">
        <f>K565+L565</f>
        <v>8.4400000000000013</v>
      </c>
      <c r="N565" s="753" t="str">
        <f t="shared" si="259"/>
        <v>SERVIÇO SINAPI</v>
      </c>
      <c r="O565" s="640"/>
    </row>
    <row r="566" spans="2:15" hidden="1">
      <c r="B566" s="769">
        <f>SUMIF(ORC!$G$11:$G$2470,CPU!$F566,ORC!$J$11:$J$2470)</f>
        <v>0</v>
      </c>
      <c r="C566" s="515" t="s">
        <v>2239</v>
      </c>
      <c r="D566" s="515"/>
      <c r="E566" s="515"/>
      <c r="F566" s="515" t="s">
        <v>8915</v>
      </c>
      <c r="G566" s="516" t="s">
        <v>8917</v>
      </c>
      <c r="H566" s="515" t="s">
        <v>646</v>
      </c>
      <c r="I566" s="595"/>
      <c r="J566" s="596"/>
      <c r="K566" s="597">
        <f>SUM(K567:K570)</f>
        <v>10.18</v>
      </c>
      <c r="L566" s="597">
        <f>SUM(L567:L570)</f>
        <v>2.5</v>
      </c>
      <c r="M566" s="597">
        <f>SUM(K566:L566)</f>
        <v>12.68</v>
      </c>
      <c r="N566" s="598" t="s">
        <v>8916</v>
      </c>
      <c r="O566" s="953" t="s">
        <v>6840</v>
      </c>
    </row>
    <row r="567" spans="2:15" hidden="1">
      <c r="B567" s="122">
        <f t="shared" ref="B567:B570" si="261">B566</f>
        <v>0</v>
      </c>
      <c r="C567" s="611" t="str">
        <f>IF(D567&lt;&gt;"","C",IF(E567&lt;&gt;"","I",""))</f>
        <v>C</v>
      </c>
      <c r="D567" s="660">
        <v>88264</v>
      </c>
      <c r="E567" s="660"/>
      <c r="F567" s="612"/>
      <c r="G567" s="613" t="str">
        <f>IF($E567="",IFERROR(VLOOKUP($D567,SERVIÇOS!$C:$H,2,0),IFERROR(VLOOKUP($D567,$F:$M,2,0),"")),IFERROR(VLOOKUP($E567,INSUMOS!$B:$E,2,0),IFERROR(VLOOKUP($E567,COTAÇÕES!$C:$L,2,0),"")))</f>
        <v>ELETRICISTA COM ENCARGOS COMPLEMENTARES</v>
      </c>
      <c r="H567" s="593" t="str">
        <f>IF($E567="",IFERROR(VLOOKUP($D567,SERVIÇOS!$C:$H,3,0),IFERROR(VLOOKUP($D567,$F:$M,3,0),"")),IFERROR(VLOOKUP($E567,INSUMOS!$B:$E,3,0),IFERROR(VLOOKUP($E567,COTAÇÕES!$C:$L,5,0),"")))</f>
        <v>H</v>
      </c>
      <c r="I567" s="644">
        <v>0.06</v>
      </c>
      <c r="J567" s="670">
        <f>IF($E567="",IFERROR(VLOOKUP($D567,SERVIÇOS!$C:$H,6,0),IFERROR(VLOOKUP($D567,$F:$M,8,0),"")),IFERROR(VLOOKUP($E567,INSUMOS!$B:$E,4,0),IFERROR(VLOOKUP($E567,COTAÇÕES!$C:$L,10,0),"")))</f>
        <v>31.32</v>
      </c>
      <c r="K567" s="615">
        <f>TRUNC(IF($E567="",IFERROR(VLOOKUP($D567,SERVIÇOS!$C:$H,4,0),IFERROR(VLOOKUP($D567,$F:$M,6,0),)),IFERROR(VLOOKUP($E567,INSUMOS!$B:$E,4,0),IFERROR(VLOOKUP($E567,COTAÇÕES!$C:$L,10,0),)))*$I567,2)</f>
        <v>0.39</v>
      </c>
      <c r="L567" s="616">
        <f>TRUNC(IF($E567="",IFERROR(VLOOKUP($D567,SERVIÇOS!$C:$H,5,0),IFERROR(VLOOKUP($D567,$F:$M,7,0),)),0)*$I567,2)</f>
        <v>1.47</v>
      </c>
      <c r="M567" s="617">
        <f>K567+L567</f>
        <v>1.8599999999999999</v>
      </c>
      <c r="N567" s="753" t="str">
        <f t="shared" si="259"/>
        <v>SERVIÇO SINAPI</v>
      </c>
      <c r="O567" s="640"/>
    </row>
    <row r="568" spans="2:15" hidden="1">
      <c r="B568" s="122">
        <f t="shared" si="261"/>
        <v>0</v>
      </c>
      <c r="C568" s="611" t="str">
        <f t="shared" ref="C568:C570" si="262">IF(D568&lt;&gt;"","C",IF(E568&lt;&gt;"","I",""))</f>
        <v>C</v>
      </c>
      <c r="D568" s="660">
        <v>88316</v>
      </c>
      <c r="E568" s="660"/>
      <c r="F568" s="612"/>
      <c r="G568" s="613" t="str">
        <f>IF($E568="",IFERROR(VLOOKUP($D568,SERVIÇOS!$C:$H,2,0),IFERROR(VLOOKUP($D568,$F:$M,2,0),"")),IFERROR(VLOOKUP($E568,INSUMOS!$B:$E,2,0),IFERROR(VLOOKUP($E568,COTAÇÕES!$C:$L,2,0),"")))</f>
        <v>SERVENTE COM ENCARGOS COMPLEMENTARES</v>
      </c>
      <c r="H568" s="593" t="str">
        <f>IF($E568="",IFERROR(VLOOKUP($D568,SERVIÇOS!$C:$H,3,0),IFERROR(VLOOKUP($D568,$F:$M,3,0),"")),IFERROR(VLOOKUP($E568,INSUMOS!$B:$E,3,0),IFERROR(VLOOKUP($E568,COTAÇÕES!$C:$L,5,0),"")))</f>
        <v>H</v>
      </c>
      <c r="I568" s="644">
        <v>0.06</v>
      </c>
      <c r="J568" s="670">
        <f>IF($E568="",IFERROR(VLOOKUP($D568,SERVIÇOS!$C:$H,6,0),IFERROR(VLOOKUP($D568,$F:$M,8,0),"")),IFERROR(VLOOKUP($E568,INSUMOS!$B:$E,4,0),IFERROR(VLOOKUP($E568,COTAÇÕES!$C:$L,10,0),"")))</f>
        <v>23.71</v>
      </c>
      <c r="K568" s="615">
        <f>TRUNC(IF($E568="",IFERROR(VLOOKUP($D568,SERVIÇOS!$C:$H,4,0),IFERROR(VLOOKUP($D568,$F:$M,6,0),)),IFERROR(VLOOKUP($E568,INSUMOS!$B:$E,4,0),IFERROR(VLOOKUP($E568,COTAÇÕES!$C:$L,10,0),)))*$I568,2)</f>
        <v>0.39</v>
      </c>
      <c r="L568" s="616">
        <f>TRUNC(IF($E568="",IFERROR(VLOOKUP($D568,SERVIÇOS!$C:$H,5,0),IFERROR(VLOOKUP($D568,$F:$M,7,0),)),0)*$I568,2)</f>
        <v>1.03</v>
      </c>
      <c r="M568" s="617">
        <f t="shared" ref="M568:M570" si="263">K568+L568</f>
        <v>1.42</v>
      </c>
      <c r="N568" s="753" t="str">
        <f t="shared" si="259"/>
        <v>SERVIÇO SINAPI</v>
      </c>
      <c r="O568" s="640"/>
    </row>
    <row r="569" spans="2:15" hidden="1">
      <c r="B569" s="122">
        <f t="shared" si="261"/>
        <v>0</v>
      </c>
      <c r="C569" s="611" t="str">
        <f t="shared" si="262"/>
        <v>I</v>
      </c>
      <c r="D569" s="660"/>
      <c r="E569" s="660">
        <v>39214</v>
      </c>
      <c r="F569" s="612"/>
      <c r="G569" s="613" t="str">
        <f>IF($E569="",IFERROR(VLOOKUP($D569,SERVIÇOS!$C:$H,2,0),IFERROR(VLOOKUP($D569,$F:$M,2,0),"")),IFERROR(VLOOKUP($E569,INSUMOS!$B:$E,2,0),IFERROR(VLOOKUP($E569,COTAÇÕES!$C:$L,2,0),"")))</f>
        <v xml:space="preserve">ARRUELA EM ALUMINIO, COM ROSCA, DE 2 1/2", PARA ELETRODUTO                                                                                                                                                                                                                                                                                                                                                                                                                                                </v>
      </c>
      <c r="H569" s="593" t="str">
        <f>IF($E569="",IFERROR(VLOOKUP($D569,SERVIÇOS!$C:$H,3,0),IFERROR(VLOOKUP($D569,$F:$M,3,0),"")),IFERROR(VLOOKUP($E569,INSUMOS!$B:$E,3,0),IFERROR(VLOOKUP($E569,COTAÇÕES!$C:$L,5,0),"")))</f>
        <v xml:space="preserve">UN    </v>
      </c>
      <c r="I569" s="644">
        <v>1</v>
      </c>
      <c r="J569" s="670">
        <f>IF($E569="",IFERROR(VLOOKUP($D569,SERVIÇOS!$C:$H,6,0),IFERROR(VLOOKUP($D569,$F:$M,8,0),"")),IFERROR(VLOOKUP($E569,INSUMOS!$B:$E,4,0),IFERROR(VLOOKUP($E569,COTAÇÕES!$C:$L,10,0),"")))</f>
        <v>3.52</v>
      </c>
      <c r="K569" s="615">
        <f>TRUNC(IF($E569="",IFERROR(VLOOKUP($D569,SERVIÇOS!$C:$H,4,0),IFERROR(VLOOKUP($D569,$F:$M,6,0),)),IFERROR(VLOOKUP($E569,INSUMOS!$B:$E,4,0),IFERROR(VLOOKUP($E569,COTAÇÕES!$C:$L,10,0),)))*$I569,2)</f>
        <v>3.52</v>
      </c>
      <c r="L569" s="616">
        <f>TRUNC(IF($E569="",IFERROR(VLOOKUP($D569,SERVIÇOS!$C:$H,5,0),IFERROR(VLOOKUP($D569,$F:$M,7,0),)),0)*$I569,2)</f>
        <v>0</v>
      </c>
      <c r="M569" s="617">
        <f t="shared" si="263"/>
        <v>3.52</v>
      </c>
      <c r="N569" s="753" t="str">
        <f t="shared" si="259"/>
        <v>INSUMO SINAPI</v>
      </c>
      <c r="O569" s="640"/>
    </row>
    <row r="570" spans="2:15" hidden="1">
      <c r="B570" s="122">
        <f t="shared" si="261"/>
        <v>0</v>
      </c>
      <c r="C570" s="611" t="str">
        <f t="shared" si="262"/>
        <v>I</v>
      </c>
      <c r="D570" s="660"/>
      <c r="E570" s="660">
        <v>39180</v>
      </c>
      <c r="F570" s="612"/>
      <c r="G570" s="613" t="str">
        <f>IF($E570="",IFERROR(VLOOKUP($D570,SERVIÇOS!$C:$H,2,0),IFERROR(VLOOKUP($D570,$F:$M,2,0),"")),IFERROR(VLOOKUP($E570,INSUMOS!$B:$E,2,0),IFERROR(VLOOKUP($E570,COTAÇÕES!$C:$L,2,0),"")))</f>
        <v xml:space="preserve">BUCHA EM ALUMINIO, COM ROSCA, DE 2 1/2", PARA ELETRODUTO                                                                                                                                                                                                                                                                                                                                                                                                                                                  </v>
      </c>
      <c r="H570" s="593" t="str">
        <f>IF($E570="",IFERROR(VLOOKUP($D570,SERVIÇOS!$C:$H,3,0),IFERROR(VLOOKUP($D570,$F:$M,3,0),"")),IFERROR(VLOOKUP($E570,INSUMOS!$B:$E,3,0),IFERROR(VLOOKUP($E570,COTAÇÕES!$C:$L,5,0),"")))</f>
        <v xml:space="preserve">UN    </v>
      </c>
      <c r="I570" s="644">
        <v>1</v>
      </c>
      <c r="J570" s="670">
        <f>IF($E570="",IFERROR(VLOOKUP($D570,SERVIÇOS!$C:$H,6,0),IFERROR(VLOOKUP($D570,$F:$M,8,0),"")),IFERROR(VLOOKUP($E570,INSUMOS!$B:$E,4,0),IFERROR(VLOOKUP($E570,COTAÇÕES!$C:$L,10,0),"")))</f>
        <v>5.88</v>
      </c>
      <c r="K570" s="615">
        <f>TRUNC(IF($E570="",IFERROR(VLOOKUP($D570,SERVIÇOS!$C:$H,4,0),IFERROR(VLOOKUP($D570,$F:$M,6,0),)),IFERROR(VLOOKUP($E570,INSUMOS!$B:$E,4,0),IFERROR(VLOOKUP($E570,COTAÇÕES!$C:$L,10,0),)))*$I570,2)</f>
        <v>5.88</v>
      </c>
      <c r="L570" s="616">
        <f>TRUNC(IF($E570="",IFERROR(VLOOKUP($D570,SERVIÇOS!$C:$H,5,0),IFERROR(VLOOKUP($D570,$F:$M,7,0),)),0)*$I570,2)</f>
        <v>0</v>
      </c>
      <c r="M570" s="617">
        <f t="shared" si="263"/>
        <v>5.88</v>
      </c>
      <c r="N570" s="753" t="str">
        <f t="shared" si="259"/>
        <v>INSUMO SINAPI</v>
      </c>
      <c r="O570" s="640"/>
    </row>
    <row r="571" spans="2:15" hidden="1">
      <c r="B571" s="769">
        <f>SUMIF(ORC!$G$11:$G$2470,CPU!$F571,ORC!$J$11:$J$2470)</f>
        <v>0</v>
      </c>
      <c r="C571" s="515" t="s">
        <v>2239</v>
      </c>
      <c r="D571" s="515"/>
      <c r="E571" s="515"/>
      <c r="F571" s="515" t="s">
        <v>8909</v>
      </c>
      <c r="G571" s="516" t="s">
        <v>8918</v>
      </c>
      <c r="H571" s="515" t="s">
        <v>648</v>
      </c>
      <c r="I571" s="595"/>
      <c r="J571" s="596"/>
      <c r="K571" s="597">
        <f>SUM(K572:K572)</f>
        <v>3.56</v>
      </c>
      <c r="L571" s="597">
        <f>SUM(L572:L572)</f>
        <v>0</v>
      </c>
      <c r="M571" s="597">
        <f>SUM(K571:L571)</f>
        <v>3.56</v>
      </c>
      <c r="N571" s="598" t="s">
        <v>8919</v>
      </c>
      <c r="O571" s="953"/>
    </row>
    <row r="572" spans="2:15" hidden="1">
      <c r="B572" s="122">
        <f>B571</f>
        <v>0</v>
      </c>
      <c r="C572" s="611" t="str">
        <f>IF(D572&lt;&gt;"","C",IF(E572&lt;&gt;"","I",""))</f>
        <v>I</v>
      </c>
      <c r="D572" s="660"/>
      <c r="E572" s="660">
        <v>406</v>
      </c>
      <c r="F572" s="612"/>
      <c r="G572" s="613" t="str">
        <f>IF($E572="",IFERROR(VLOOKUP($D572,SERVIÇOS!$C:$H,2,0),IFERROR(VLOOKUP($D572,$F:$M,2,0),"")),IFERROR(VLOOKUP($E572,INSUMOS!$B:$E,2,0),IFERROR(VLOOKUP($E572,COTAÇÕES!$C:$L,2,0),"")))</f>
        <v xml:space="preserve">FITA ACO INOX PARA CINTAR POSTE, L = 19 MM, E = 0,5 MM (ROLO DE 30M)                                                                                                                                                                                                                                                                                                                                                                                                                                      </v>
      </c>
      <c r="H572" s="593" t="str">
        <f>IF($E572="",IFERROR(VLOOKUP($D572,SERVIÇOS!$C:$H,3,0),IFERROR(VLOOKUP($D572,$F:$M,3,0),"")),IFERROR(VLOOKUP($E572,INSUMOS!$B:$E,3,0),IFERROR(VLOOKUP($E572,COTAÇÕES!$C:$L,5,0),"")))</f>
        <v xml:space="preserve">UN    </v>
      </c>
      <c r="I572" s="644">
        <v>3.3329999999999999E-2</v>
      </c>
      <c r="J572" s="670">
        <f>IF($E572="",IFERROR(VLOOKUP($D572,SERVIÇOS!$C:$H,6,0),IFERROR(VLOOKUP($D572,$F:$M,8,0),"")),IFERROR(VLOOKUP($E572,INSUMOS!$B:$E,4,0),IFERROR(VLOOKUP($E572,COTAÇÕES!$C:$L,10,0),"")))</f>
        <v>106.84</v>
      </c>
      <c r="K572" s="615">
        <f>TRUNC(IF($E572="",IFERROR(VLOOKUP($D572,SERVIÇOS!$C:$H,4,0),IFERROR(VLOOKUP($D572,$F:$M,6,0),)),IFERROR(VLOOKUP($E572,INSUMOS!$B:$E,4,0),IFERROR(VLOOKUP($E572,COTAÇÕES!$C:$L,10,0),)))*$I572,2)</f>
        <v>3.56</v>
      </c>
      <c r="L572" s="616">
        <f>TRUNC(IF($E572="",IFERROR(VLOOKUP($D572,SERVIÇOS!$C:$H,5,0),IFERROR(VLOOKUP($D572,$F:$M,7,0),)),0)*$I572,2)</f>
        <v>0</v>
      </c>
      <c r="M572" s="617">
        <f>K572+L572</f>
        <v>3.56</v>
      </c>
      <c r="N572" s="753" t="str">
        <f t="shared" si="259"/>
        <v>INSUMO SINAPI</v>
      </c>
      <c r="O572" s="640"/>
    </row>
    <row r="573" spans="2:15" hidden="1">
      <c r="B573" s="769">
        <f>SUMIF(ORC!$G$11:$G$2470,CPU!$F573,ORC!$J$11:$J$2470)</f>
        <v>0</v>
      </c>
      <c r="C573" s="515" t="s">
        <v>2239</v>
      </c>
      <c r="D573" s="515"/>
      <c r="E573" s="515"/>
      <c r="F573" s="515" t="s">
        <v>8920</v>
      </c>
      <c r="G573" s="516" t="s">
        <v>8921</v>
      </c>
      <c r="H573" s="515" t="s">
        <v>646</v>
      </c>
      <c r="I573" s="595"/>
      <c r="J573" s="596"/>
      <c r="K573" s="597">
        <f>SUM(K574:K575)</f>
        <v>19.619999999999997</v>
      </c>
      <c r="L573" s="597">
        <f>SUM(L574:L575)</f>
        <v>0.49</v>
      </c>
      <c r="M573" s="597">
        <f>SUM(K573:L573)</f>
        <v>20.109999999999996</v>
      </c>
      <c r="N573" s="598" t="s">
        <v>2954</v>
      </c>
      <c r="O573" s="953"/>
    </row>
    <row r="574" spans="2:15" ht="25.5" hidden="1">
      <c r="B574" s="122">
        <f t="shared" ref="B574:B575" si="264">B573</f>
        <v>0</v>
      </c>
      <c r="C574" s="611" t="str">
        <f>IF(D574&lt;&gt;"","C",IF(E574&lt;&gt;"","I",""))</f>
        <v>I</v>
      </c>
      <c r="D574" s="660"/>
      <c r="E574" s="660">
        <v>420</v>
      </c>
      <c r="F574" s="612"/>
      <c r="G574" s="613" t="str">
        <f>IF($E574="",IFERROR(VLOOKUP($D574,SERVIÇOS!$C:$H,2,0),IFERROR(VLOOKUP($D574,$F:$M,2,0),"")),IFERROR(VLOOKUP($E574,INSUMOS!$B:$E,2,0),IFERROR(VLOOKUP($E574,COTAÇÕES!$C:$L,2,0),"")))</f>
        <v xml:space="preserve">CINTA CIRCULAR EM ACO GALVANIZADO DE 150 MM DE DIAMETRO PARA FIXACAO DE CAIXA MEDICAO, INCLUI PARAFUSOS E PORCAS                                                                                                                                                                                                                                                                                                                                                                                          </v>
      </c>
      <c r="H574" s="593" t="str">
        <f>IF($E574="",IFERROR(VLOOKUP($D574,SERVIÇOS!$C:$H,3,0),IFERROR(VLOOKUP($D574,$F:$M,3,0),"")),IFERROR(VLOOKUP($E574,INSUMOS!$B:$E,3,0),IFERROR(VLOOKUP($E574,COTAÇÕES!$C:$L,5,0),"")))</f>
        <v xml:space="preserve">UN    </v>
      </c>
      <c r="I574" s="644">
        <v>1</v>
      </c>
      <c r="J574" s="670">
        <f>IF($E574="",IFERROR(VLOOKUP($D574,SERVIÇOS!$C:$H,6,0),IFERROR(VLOOKUP($D574,$F:$M,8,0),"")),IFERROR(VLOOKUP($E574,INSUMOS!$B:$E,4,0),IFERROR(VLOOKUP($E574,COTAÇÕES!$C:$L,10,0),"")))</f>
        <v>19.489999999999998</v>
      </c>
      <c r="K574" s="615">
        <f>TRUNC(IF($E574="",IFERROR(VLOOKUP($D574,SERVIÇOS!$C:$H,4,0),IFERROR(VLOOKUP($D574,$F:$M,6,0),)),IFERROR(VLOOKUP($E574,INSUMOS!$B:$E,4,0),IFERROR(VLOOKUP($E574,COTAÇÕES!$C:$L,10,0),)))*$I574,2)</f>
        <v>19.489999999999998</v>
      </c>
      <c r="L574" s="616">
        <f>TRUNC(IF($E574="",IFERROR(VLOOKUP($D574,SERVIÇOS!$C:$H,5,0),IFERROR(VLOOKUP($D574,$F:$M,7,0),)),0)*$I574,2)</f>
        <v>0</v>
      </c>
      <c r="M574" s="617">
        <f>K574+L574</f>
        <v>19.489999999999998</v>
      </c>
      <c r="N574" s="753" t="str">
        <f t="shared" si="259"/>
        <v>INSUMO SINAPI</v>
      </c>
      <c r="O574" s="640"/>
    </row>
    <row r="575" spans="2:15" hidden="1">
      <c r="B575" s="122">
        <f t="shared" si="264"/>
        <v>0</v>
      </c>
      <c r="C575" s="611" t="str">
        <f>IF(D575&lt;&gt;"","C",IF(E575&lt;&gt;"","I",""))</f>
        <v>C</v>
      </c>
      <c r="D575" s="660">
        <v>88264</v>
      </c>
      <c r="E575" s="660"/>
      <c r="F575" s="612"/>
      <c r="G575" s="613" t="str">
        <f>IF($E575="",IFERROR(VLOOKUP($D575,SERVIÇOS!$C:$H,2,0),IFERROR(VLOOKUP($D575,$F:$M,2,0),"")),IFERROR(VLOOKUP($E575,INSUMOS!$B:$E,2,0),IFERROR(VLOOKUP($E575,COTAÇÕES!$C:$L,2,0),"")))</f>
        <v>ELETRICISTA COM ENCARGOS COMPLEMENTARES</v>
      </c>
      <c r="H575" s="593" t="str">
        <f>IF($E575="",IFERROR(VLOOKUP($D575,SERVIÇOS!$C:$H,3,0),IFERROR(VLOOKUP($D575,$F:$M,3,0),"")),IFERROR(VLOOKUP($E575,INSUMOS!$B:$E,3,0),IFERROR(VLOOKUP($E575,COTAÇÕES!$C:$L,5,0),"")))</f>
        <v>H</v>
      </c>
      <c r="I575" s="644">
        <v>0.02</v>
      </c>
      <c r="J575" s="670">
        <f>IF($E575="",IFERROR(VLOOKUP($D575,SERVIÇOS!$C:$H,6,0),IFERROR(VLOOKUP($D575,$F:$M,8,0),"")),IFERROR(VLOOKUP($E575,INSUMOS!$B:$E,4,0),IFERROR(VLOOKUP($E575,COTAÇÕES!$C:$L,10,0),"")))</f>
        <v>31.32</v>
      </c>
      <c r="K575" s="615">
        <f>TRUNC(IF($E575="",IFERROR(VLOOKUP($D575,SERVIÇOS!$C:$H,4,0),IFERROR(VLOOKUP($D575,$F:$M,6,0),)),IFERROR(VLOOKUP($E575,INSUMOS!$B:$E,4,0),IFERROR(VLOOKUP($E575,COTAÇÕES!$C:$L,10,0),)))*$I575,2)</f>
        <v>0.13</v>
      </c>
      <c r="L575" s="616">
        <f>TRUNC(IF($E575="",IFERROR(VLOOKUP($D575,SERVIÇOS!$C:$H,5,0),IFERROR(VLOOKUP($D575,$F:$M,7,0),)),0)*$I575,2)</f>
        <v>0.49</v>
      </c>
      <c r="M575" s="617">
        <f>K575+L575</f>
        <v>0.62</v>
      </c>
      <c r="N575" s="753" t="str">
        <f t="shared" si="259"/>
        <v>SERVIÇO SINAPI</v>
      </c>
      <c r="O575" s="640"/>
    </row>
    <row r="576" spans="2:15" hidden="1">
      <c r="B576" s="769">
        <f>SUMIF(ORC!$G$11:$G$2470,CPU!$F576,ORC!$J$11:$J$2470)</f>
        <v>0</v>
      </c>
      <c r="C576" s="515" t="s">
        <v>2239</v>
      </c>
      <c r="D576" s="515"/>
      <c r="E576" s="515"/>
      <c r="F576" s="515" t="s">
        <v>8911</v>
      </c>
      <c r="G576" s="516" t="s">
        <v>8922</v>
      </c>
      <c r="H576" s="515" t="s">
        <v>646</v>
      </c>
      <c r="I576" s="595"/>
      <c r="J576" s="596"/>
      <c r="K576" s="597">
        <f>SUM(K577:K579)</f>
        <v>92.31</v>
      </c>
      <c r="L576" s="597">
        <f>SUM(L577:L579)</f>
        <v>11.01</v>
      </c>
      <c r="M576" s="597">
        <f>SUM(K576:L576)</f>
        <v>103.32000000000001</v>
      </c>
      <c r="N576" s="598" t="s">
        <v>7488</v>
      </c>
      <c r="O576" s="953"/>
    </row>
    <row r="577" spans="2:15" hidden="1">
      <c r="B577" s="122">
        <f t="shared" ref="B577:B579" si="265">B576</f>
        <v>0</v>
      </c>
      <c r="C577" s="611" t="str">
        <f>IF(D577&lt;&gt;"","C",IF(E577&lt;&gt;"","I",""))</f>
        <v>C</v>
      </c>
      <c r="D577" s="660">
        <v>88264</v>
      </c>
      <c r="E577" s="660"/>
      <c r="F577" s="612"/>
      <c r="G577" s="613" t="str">
        <f>IF($E577="",IFERROR(VLOOKUP($D577,SERVIÇOS!$C:$H,2,0),IFERROR(VLOOKUP($D577,$F:$M,2,0),"")),IFERROR(VLOOKUP($E577,INSUMOS!$B:$E,2,0),IFERROR(VLOOKUP($E577,COTAÇÕES!$C:$L,2,0),"")))</f>
        <v>ELETRICISTA COM ENCARGOS COMPLEMENTARES</v>
      </c>
      <c r="H577" s="593" t="str">
        <f>IF($E577="",IFERROR(VLOOKUP($D577,SERVIÇOS!$C:$H,3,0),IFERROR(VLOOKUP($D577,$F:$M,3,0),"")),IFERROR(VLOOKUP($E577,INSUMOS!$B:$E,3,0),IFERROR(VLOOKUP($E577,COTAÇÕES!$C:$L,5,0),"")))</f>
        <v>H</v>
      </c>
      <c r="I577" s="644">
        <v>0.25309999999999999</v>
      </c>
      <c r="J577" s="670">
        <f>IF($E577="",IFERROR(VLOOKUP($D577,SERVIÇOS!$C:$H,6,0),IFERROR(VLOOKUP($D577,$F:$M,8,0),"")),IFERROR(VLOOKUP($E577,INSUMOS!$B:$E,4,0),IFERROR(VLOOKUP($E577,COTAÇÕES!$C:$L,10,0),"")))</f>
        <v>31.32</v>
      </c>
      <c r="K577" s="615">
        <f>TRUNC(IF($E577="",IFERROR(VLOOKUP($D577,SERVIÇOS!$C:$H,4,0),IFERROR(VLOOKUP($D577,$F:$M,6,0),)),IFERROR(VLOOKUP($E577,INSUMOS!$B:$E,4,0),IFERROR(VLOOKUP($E577,COTAÇÕES!$C:$L,10,0),)))*$I577,2)</f>
        <v>1.68</v>
      </c>
      <c r="L577" s="616">
        <f>TRUNC(IF($E577="",IFERROR(VLOOKUP($D577,SERVIÇOS!$C:$H,5,0),IFERROR(VLOOKUP($D577,$F:$M,7,0),)),0)*$I577,2)</f>
        <v>6.24</v>
      </c>
      <c r="M577" s="617">
        <f>K577+L577</f>
        <v>7.92</v>
      </c>
      <c r="N577" s="753" t="str">
        <f t="shared" si="259"/>
        <v>SERVIÇO SINAPI</v>
      </c>
      <c r="O577" s="640"/>
    </row>
    <row r="578" spans="2:15" hidden="1">
      <c r="B578" s="122">
        <f t="shared" si="265"/>
        <v>0</v>
      </c>
      <c r="C578" s="611" t="str">
        <f t="shared" ref="C578:C579" si="266">IF(D578&lt;&gt;"","C",IF(E578&lt;&gt;"","I",""))</f>
        <v>C</v>
      </c>
      <c r="D578" s="660">
        <v>88247</v>
      </c>
      <c r="E578" s="660"/>
      <c r="F578" s="612"/>
      <c r="G578" s="613" t="str">
        <f>IF($E578="",IFERROR(VLOOKUP($D578,SERVIÇOS!$C:$H,2,0),IFERROR(VLOOKUP($D578,$F:$M,2,0),"")),IFERROR(VLOOKUP($E578,INSUMOS!$B:$E,2,0),IFERROR(VLOOKUP($E578,COTAÇÕES!$C:$L,2,0),"")))</f>
        <v>AUXILIAR DE ELETRICISTA COM ENCARGOS COMPLEMENTARES</v>
      </c>
      <c r="H578" s="593" t="str">
        <f>IF($E578="",IFERROR(VLOOKUP($D578,SERVIÇOS!$C:$H,3,0),IFERROR(VLOOKUP($D578,$F:$M,3,0),"")),IFERROR(VLOOKUP($E578,INSUMOS!$B:$E,3,0),IFERROR(VLOOKUP($E578,COTAÇÕES!$C:$L,5,0),"")))</f>
        <v>H</v>
      </c>
      <c r="I578" s="644">
        <v>0.25309999999999999</v>
      </c>
      <c r="J578" s="670">
        <f>IF($E578="",IFERROR(VLOOKUP($D578,SERVIÇOS!$C:$H,6,0),IFERROR(VLOOKUP($D578,$F:$M,8,0),"")),IFERROR(VLOOKUP($E578,INSUMOS!$B:$E,4,0),IFERROR(VLOOKUP($E578,COTAÇÕES!$C:$L,10,0),"")))</f>
        <v>25.53</v>
      </c>
      <c r="K578" s="615">
        <f>TRUNC(IF($E578="",IFERROR(VLOOKUP($D578,SERVIÇOS!$C:$H,4,0),IFERROR(VLOOKUP($D578,$F:$M,6,0),)),IFERROR(VLOOKUP($E578,INSUMOS!$B:$E,4,0),IFERROR(VLOOKUP($E578,COTAÇÕES!$C:$L,10,0),)))*$I578,2)</f>
        <v>1.68</v>
      </c>
      <c r="L578" s="616">
        <f>TRUNC(IF($E578="",IFERROR(VLOOKUP($D578,SERVIÇOS!$C:$H,5,0),IFERROR(VLOOKUP($D578,$F:$M,7,0),)),0)*$I578,2)</f>
        <v>4.7699999999999996</v>
      </c>
      <c r="M578" s="617">
        <f t="shared" ref="M578:M579" si="267">K578+L578</f>
        <v>6.4499999999999993</v>
      </c>
      <c r="N578" s="753" t="str">
        <f t="shared" si="259"/>
        <v>SERVIÇO SINAPI</v>
      </c>
      <c r="O578" s="640"/>
    </row>
    <row r="579" spans="2:15" ht="25.5" hidden="1">
      <c r="B579" s="122">
        <f t="shared" si="265"/>
        <v>0</v>
      </c>
      <c r="C579" s="611" t="str">
        <f t="shared" si="266"/>
        <v>I</v>
      </c>
      <c r="D579" s="660"/>
      <c r="E579" s="660">
        <v>3380</v>
      </c>
      <c r="F579" s="612"/>
      <c r="G579" s="613" t="str">
        <f>IF($E579="",IFERROR(VLOOKUP($D579,SERVIÇOS!$C:$H,2,0),IFERROR(VLOOKUP($D579,$F:$M,2,0),"")),IFERROR(VLOOKUP($E579,INSUMOS!$B:$E,2,0),IFERROR(VLOOKUP($E579,COTAÇÕES!$C:$L,2,0),"")))</f>
        <v xml:space="preserve">HASTE DE ATERRAMENTO EM ACO COM 3,00 M DE COMPRIMENTO E DN = 5/8", REVESTIDA COM BAIXA CAMADA DE COBRE, COM CONECTOR TIPO GRAMPO                                                                                                                                                                                                                                                                                                                                                                          </v>
      </c>
      <c r="H579" s="593" t="str">
        <f>IF($E579="",IFERROR(VLOOKUP($D579,SERVIÇOS!$C:$H,3,0),IFERROR(VLOOKUP($D579,$F:$M,3,0),"")),IFERROR(VLOOKUP($E579,INSUMOS!$B:$E,3,0),IFERROR(VLOOKUP($E579,COTAÇÕES!$C:$L,5,0),"")))</f>
        <v xml:space="preserve">UN    </v>
      </c>
      <c r="I579" s="644">
        <v>1</v>
      </c>
      <c r="J579" s="670">
        <f>IF($E579="",IFERROR(VLOOKUP($D579,SERVIÇOS!$C:$H,6,0),IFERROR(VLOOKUP($D579,$F:$M,8,0),"")),IFERROR(VLOOKUP($E579,INSUMOS!$B:$E,4,0),IFERROR(VLOOKUP($E579,COTAÇÕES!$C:$L,10,0),"")))</f>
        <v>88.95</v>
      </c>
      <c r="K579" s="615">
        <f>TRUNC(IF($E579="",IFERROR(VLOOKUP($D579,SERVIÇOS!$C:$H,4,0),IFERROR(VLOOKUP($D579,$F:$M,6,0),)),IFERROR(VLOOKUP($E579,INSUMOS!$B:$E,4,0),IFERROR(VLOOKUP($E579,COTAÇÕES!$C:$L,10,0),)))*$I579,2)</f>
        <v>88.95</v>
      </c>
      <c r="L579" s="616">
        <f>TRUNC(IF($E579="",IFERROR(VLOOKUP($D579,SERVIÇOS!$C:$H,5,0),IFERROR(VLOOKUP($D579,$F:$M,7,0),)),0)*$I579,2)</f>
        <v>0</v>
      </c>
      <c r="M579" s="617">
        <f t="shared" si="267"/>
        <v>88.95</v>
      </c>
      <c r="N579" s="753" t="str">
        <f t="shared" si="259"/>
        <v>INSUMO SINAPI</v>
      </c>
      <c r="O579" s="640"/>
    </row>
    <row r="580" spans="2:15" hidden="1">
      <c r="B580" s="769">
        <f>SUMIF(ORC!$G$11:$G$2470,CPU!$F580,ORC!$J$11:$J$2470)</f>
        <v>0</v>
      </c>
      <c r="C580" s="515" t="s">
        <v>2239</v>
      </c>
      <c r="D580" s="515"/>
      <c r="E580" s="515"/>
      <c r="F580" s="515" t="s">
        <v>8923</v>
      </c>
      <c r="G580" s="516" t="s">
        <v>8924</v>
      </c>
      <c r="H580" s="515" t="s">
        <v>646</v>
      </c>
      <c r="I580" s="595"/>
      <c r="J580" s="596"/>
      <c r="K580" s="597">
        <f>SUM(K581:K583)</f>
        <v>20.329999999999998</v>
      </c>
      <c r="L580" s="597">
        <f>SUM(L581:L583)</f>
        <v>17.399999999999999</v>
      </c>
      <c r="M580" s="597">
        <f>SUM(K580:L580)</f>
        <v>37.729999999999997</v>
      </c>
      <c r="N580" s="598" t="s">
        <v>8925</v>
      </c>
      <c r="O580" s="953" t="s">
        <v>8907</v>
      </c>
    </row>
    <row r="581" spans="2:15" hidden="1">
      <c r="B581" s="122">
        <f t="shared" ref="B581:B583" si="268">B580</f>
        <v>0</v>
      </c>
      <c r="C581" s="611" t="str">
        <f>IF(D581&lt;&gt;"","C",IF(E581&lt;&gt;"","I",""))</f>
        <v>C</v>
      </c>
      <c r="D581" s="660">
        <v>88264</v>
      </c>
      <c r="E581" s="660"/>
      <c r="F581" s="612"/>
      <c r="G581" s="613" t="str">
        <f>IF($E581="",IFERROR(VLOOKUP($D581,SERVIÇOS!$C:$H,2,0),IFERROR(VLOOKUP($D581,$F:$M,2,0),"")),IFERROR(VLOOKUP($E581,INSUMOS!$B:$E,2,0),IFERROR(VLOOKUP($E581,COTAÇÕES!$C:$L,2,0),"")))</f>
        <v>ELETRICISTA COM ENCARGOS COMPLEMENTARES</v>
      </c>
      <c r="H581" s="593" t="str">
        <f>IF($E581="",IFERROR(VLOOKUP($D581,SERVIÇOS!$C:$H,3,0),IFERROR(VLOOKUP($D581,$F:$M,3,0),"")),IFERROR(VLOOKUP($E581,INSUMOS!$B:$E,3,0),IFERROR(VLOOKUP($E581,COTAÇÕES!$C:$L,5,0),"")))</f>
        <v>H</v>
      </c>
      <c r="I581" s="644">
        <v>0.4</v>
      </c>
      <c r="J581" s="670">
        <f>IF($E581="",IFERROR(VLOOKUP($D581,SERVIÇOS!$C:$H,6,0),IFERROR(VLOOKUP($D581,$F:$M,8,0),"")),IFERROR(VLOOKUP($E581,INSUMOS!$B:$E,4,0),IFERROR(VLOOKUP($E581,COTAÇÕES!$C:$L,10,0),"")))</f>
        <v>31.32</v>
      </c>
      <c r="K581" s="615">
        <f>TRUNC(IF($E581="",IFERROR(VLOOKUP($D581,SERVIÇOS!$C:$H,4,0),IFERROR(VLOOKUP($D581,$F:$M,6,0),)),IFERROR(VLOOKUP($E581,INSUMOS!$B:$E,4,0),IFERROR(VLOOKUP($E581,COTAÇÕES!$C:$L,10,0),)))*$I581,2)</f>
        <v>2.66</v>
      </c>
      <c r="L581" s="616">
        <f>TRUNC(IF($E581="",IFERROR(VLOOKUP($D581,SERVIÇOS!$C:$H,5,0),IFERROR(VLOOKUP($D581,$F:$M,7,0),)),0)*$I581,2)</f>
        <v>9.86</v>
      </c>
      <c r="M581" s="617">
        <f>K581+L581</f>
        <v>12.52</v>
      </c>
      <c r="N581" s="753" t="str">
        <f t="shared" si="259"/>
        <v>SERVIÇO SINAPI</v>
      </c>
      <c r="O581" s="640"/>
    </row>
    <row r="582" spans="2:15" hidden="1">
      <c r="B582" s="122">
        <f t="shared" si="268"/>
        <v>0</v>
      </c>
      <c r="C582" s="611" t="str">
        <f t="shared" ref="C582:C583" si="269">IF(D582&lt;&gt;"","C",IF(E582&lt;&gt;"","I",""))</f>
        <v>C</v>
      </c>
      <c r="D582" s="660">
        <v>88247</v>
      </c>
      <c r="E582" s="660"/>
      <c r="F582" s="612"/>
      <c r="G582" s="613" t="str">
        <f>IF($E582="",IFERROR(VLOOKUP($D582,SERVIÇOS!$C:$H,2,0),IFERROR(VLOOKUP($D582,$F:$M,2,0),"")),IFERROR(VLOOKUP($E582,INSUMOS!$B:$E,2,0),IFERROR(VLOOKUP($E582,COTAÇÕES!$C:$L,2,0),"")))</f>
        <v>AUXILIAR DE ELETRICISTA COM ENCARGOS COMPLEMENTARES</v>
      </c>
      <c r="H582" s="593" t="str">
        <f>IF($E582="",IFERROR(VLOOKUP($D582,SERVIÇOS!$C:$H,3,0),IFERROR(VLOOKUP($D582,$F:$M,3,0),"")),IFERROR(VLOOKUP($E582,INSUMOS!$B:$E,3,0),IFERROR(VLOOKUP($E582,COTAÇÕES!$C:$L,5,0),"")))</f>
        <v>H</v>
      </c>
      <c r="I582" s="644">
        <v>0.4</v>
      </c>
      <c r="J582" s="670">
        <f>IF($E582="",IFERROR(VLOOKUP($D582,SERVIÇOS!$C:$H,6,0),IFERROR(VLOOKUP($D582,$F:$M,8,0),"")),IFERROR(VLOOKUP($E582,INSUMOS!$B:$E,4,0),IFERROR(VLOOKUP($E582,COTAÇÕES!$C:$L,10,0),"")))</f>
        <v>25.53</v>
      </c>
      <c r="K582" s="615">
        <f>TRUNC(IF($E582="",IFERROR(VLOOKUP($D582,SERVIÇOS!$C:$H,4,0),IFERROR(VLOOKUP($D582,$F:$M,6,0),)),IFERROR(VLOOKUP($E582,INSUMOS!$B:$E,4,0),IFERROR(VLOOKUP($E582,COTAÇÕES!$C:$L,10,0),)))*$I582,2)</f>
        <v>2.66</v>
      </c>
      <c r="L582" s="616">
        <f>TRUNC(IF($E582="",IFERROR(VLOOKUP($D582,SERVIÇOS!$C:$H,5,0),IFERROR(VLOOKUP($D582,$F:$M,7,0),)),0)*$I582,2)</f>
        <v>7.54</v>
      </c>
      <c r="M582" s="617">
        <f t="shared" ref="M582:M583" si="270">K582+L582</f>
        <v>10.199999999999999</v>
      </c>
      <c r="N582" s="753" t="str">
        <f t="shared" si="259"/>
        <v>SERVIÇO SINAPI</v>
      </c>
      <c r="O582" s="640"/>
    </row>
    <row r="583" spans="2:15" hidden="1">
      <c r="B583" s="122">
        <f t="shared" si="268"/>
        <v>0</v>
      </c>
      <c r="C583" s="611" t="str">
        <f t="shared" si="269"/>
        <v>I</v>
      </c>
      <c r="D583" s="660"/>
      <c r="E583" s="660">
        <v>1590</v>
      </c>
      <c r="F583" s="612"/>
      <c r="G583" s="613" t="str">
        <f>IF($E583="",IFERROR(VLOOKUP($D583,SERVIÇOS!$C:$H,2,0),IFERROR(VLOOKUP($D583,$F:$M,2,0),"")),IFERROR(VLOOKUP($E583,INSUMOS!$B:$E,2,0),IFERROR(VLOOKUP($E583,COTAÇÕES!$C:$L,2,0),"")))</f>
        <v xml:space="preserve">TERMINAL METALICO A PRESSAO PARA 1 CABO DE 95 MM2, COM 1 FURO DE FIXACAO                                                                                                                                                                                                                                                                                                                                                                                                                                  </v>
      </c>
      <c r="H583" s="593" t="str">
        <f>IF($E583="",IFERROR(VLOOKUP($D583,SERVIÇOS!$C:$H,3,0),IFERROR(VLOOKUP($D583,$F:$M,3,0),"")),IFERROR(VLOOKUP($E583,INSUMOS!$B:$E,3,0),IFERROR(VLOOKUP($E583,COTAÇÕES!$C:$L,5,0),"")))</f>
        <v xml:space="preserve">UN    </v>
      </c>
      <c r="I583" s="644">
        <v>1</v>
      </c>
      <c r="J583" s="670">
        <f>IF($E583="",IFERROR(VLOOKUP($D583,SERVIÇOS!$C:$H,6,0),IFERROR(VLOOKUP($D583,$F:$M,8,0),"")),IFERROR(VLOOKUP($E583,INSUMOS!$B:$E,4,0),IFERROR(VLOOKUP($E583,COTAÇÕES!$C:$L,10,0),"")))</f>
        <v>15.01</v>
      </c>
      <c r="K583" s="615">
        <f>TRUNC(IF($E583="",IFERROR(VLOOKUP($D583,SERVIÇOS!$C:$H,4,0),IFERROR(VLOOKUP($D583,$F:$M,6,0),)),IFERROR(VLOOKUP($E583,INSUMOS!$B:$E,4,0),IFERROR(VLOOKUP($E583,COTAÇÕES!$C:$L,10,0),)))*$I583,2)</f>
        <v>15.01</v>
      </c>
      <c r="L583" s="616">
        <f>TRUNC(IF($E583="",IFERROR(VLOOKUP($D583,SERVIÇOS!$C:$H,5,0),IFERROR(VLOOKUP($D583,$F:$M,7,0),)),0)*$I583,2)</f>
        <v>0</v>
      </c>
      <c r="M583" s="617">
        <f t="shared" si="270"/>
        <v>15.01</v>
      </c>
      <c r="N583" s="753" t="str">
        <f t="shared" si="259"/>
        <v>INSUMO SINAPI</v>
      </c>
      <c r="O583" s="640"/>
    </row>
    <row r="584" spans="2:15" hidden="1">
      <c r="B584" s="769">
        <f>SUMIF(ORC!$G$11:$G$2470,CPU!$F584,ORC!$J$11:$J$2470)</f>
        <v>0</v>
      </c>
      <c r="C584" s="515" t="s">
        <v>2239</v>
      </c>
      <c r="D584" s="515"/>
      <c r="E584" s="515"/>
      <c r="F584" s="515" t="s">
        <v>8926</v>
      </c>
      <c r="G584" s="516" t="s">
        <v>8927</v>
      </c>
      <c r="H584" s="515" t="s">
        <v>646</v>
      </c>
      <c r="I584" s="595"/>
      <c r="J584" s="596"/>
      <c r="K584" s="597">
        <f>SUM(K585:K588)</f>
        <v>2.3499999999999996</v>
      </c>
      <c r="L584" s="597">
        <f>SUM(L585:L588)</f>
        <v>0.42</v>
      </c>
      <c r="M584" s="597">
        <f>SUM(K584:L584)</f>
        <v>2.7699999999999996</v>
      </c>
      <c r="N584" s="598" t="s">
        <v>8928</v>
      </c>
      <c r="O584" s="953" t="s">
        <v>8929</v>
      </c>
    </row>
    <row r="585" spans="2:15" hidden="1">
      <c r="B585" s="122">
        <f t="shared" ref="B585:B588" si="271">B584</f>
        <v>0</v>
      </c>
      <c r="C585" s="611" t="str">
        <f>IF(D585&lt;&gt;"","C",IF(E585&lt;&gt;"","I",""))</f>
        <v>C</v>
      </c>
      <c r="D585" s="660">
        <v>88247</v>
      </c>
      <c r="E585" s="660"/>
      <c r="F585" s="612"/>
      <c r="G585" s="613" t="str">
        <f>IF($E585="",IFERROR(VLOOKUP($D585,SERVIÇOS!$C:$H,2,0),IFERROR(VLOOKUP($D585,$F:$M,2,0),"")),IFERROR(VLOOKUP($E585,INSUMOS!$B:$E,2,0),IFERROR(VLOOKUP($E585,COTAÇÕES!$C:$L,2,0),"")))</f>
        <v>AUXILIAR DE ELETRICISTA COM ENCARGOS COMPLEMENTARES</v>
      </c>
      <c r="H585" s="593" t="str">
        <f>IF($E585="",IFERROR(VLOOKUP($D585,SERVIÇOS!$C:$H,3,0),IFERROR(VLOOKUP($D585,$F:$M,3,0),"")),IFERROR(VLOOKUP($E585,INSUMOS!$B:$E,3,0),IFERROR(VLOOKUP($E585,COTAÇÕES!$C:$L,5,0),"")))</f>
        <v>H</v>
      </c>
      <c r="I585" s="644">
        <v>0.01</v>
      </c>
      <c r="J585" s="670">
        <f>IF($E585="",IFERROR(VLOOKUP($D585,SERVIÇOS!$C:$H,6,0),IFERROR(VLOOKUP($D585,$F:$M,8,0),"")),IFERROR(VLOOKUP($E585,INSUMOS!$B:$E,4,0),IFERROR(VLOOKUP($E585,COTAÇÕES!$C:$L,10,0),"")))</f>
        <v>25.53</v>
      </c>
      <c r="K585" s="615">
        <f>TRUNC(IF($E585="",IFERROR(VLOOKUP($D585,SERVIÇOS!$C:$H,4,0),IFERROR(VLOOKUP($D585,$F:$M,6,0),)),IFERROR(VLOOKUP($E585,INSUMOS!$B:$E,4,0),IFERROR(VLOOKUP($E585,COTAÇÕES!$C:$L,10,0),)))*$I585,2)</f>
        <v>0.06</v>
      </c>
      <c r="L585" s="616">
        <f>TRUNC(IF($E585="",IFERROR(VLOOKUP($D585,SERVIÇOS!$C:$H,5,0),IFERROR(VLOOKUP($D585,$F:$M,7,0),)),0)*$I585,2)</f>
        <v>0.18</v>
      </c>
      <c r="M585" s="617">
        <f>K585+L585</f>
        <v>0.24</v>
      </c>
      <c r="N585" s="753" t="str">
        <f t="shared" si="259"/>
        <v>SERVIÇO SINAPI</v>
      </c>
      <c r="O585" s="640"/>
    </row>
    <row r="586" spans="2:15" hidden="1">
      <c r="B586" s="122">
        <f t="shared" si="271"/>
        <v>0</v>
      </c>
      <c r="C586" s="611" t="str">
        <f t="shared" ref="C586:C587" si="272">IF(D586&lt;&gt;"","C",IF(E586&lt;&gt;"","I",""))</f>
        <v>C</v>
      </c>
      <c r="D586" s="660">
        <v>88264</v>
      </c>
      <c r="E586" s="660"/>
      <c r="F586" s="612"/>
      <c r="G586" s="613" t="str">
        <f>IF($E586="",IFERROR(VLOOKUP($D586,SERVIÇOS!$C:$H,2,0),IFERROR(VLOOKUP($D586,$F:$M,2,0),"")),IFERROR(VLOOKUP($E586,INSUMOS!$B:$E,2,0),IFERROR(VLOOKUP($E586,COTAÇÕES!$C:$L,2,0),"")))</f>
        <v>ELETRICISTA COM ENCARGOS COMPLEMENTARES</v>
      </c>
      <c r="H586" s="593" t="str">
        <f>IF($E586="",IFERROR(VLOOKUP($D586,SERVIÇOS!$C:$H,3,0),IFERROR(VLOOKUP($D586,$F:$M,3,0),"")),IFERROR(VLOOKUP($E586,INSUMOS!$B:$E,3,0),IFERROR(VLOOKUP($E586,COTAÇÕES!$C:$L,5,0),"")))</f>
        <v>H</v>
      </c>
      <c r="I586" s="644">
        <v>0.01</v>
      </c>
      <c r="J586" s="670">
        <f>IF($E586="",IFERROR(VLOOKUP($D586,SERVIÇOS!$C:$H,6,0),IFERROR(VLOOKUP($D586,$F:$M,8,0),"")),IFERROR(VLOOKUP($E586,INSUMOS!$B:$E,4,0),IFERROR(VLOOKUP($E586,COTAÇÕES!$C:$L,10,0),"")))</f>
        <v>31.32</v>
      </c>
      <c r="K586" s="615">
        <f>TRUNC(IF($E586="",IFERROR(VLOOKUP($D586,SERVIÇOS!$C:$H,4,0),IFERROR(VLOOKUP($D586,$F:$M,6,0),)),IFERROR(VLOOKUP($E586,INSUMOS!$B:$E,4,0),IFERROR(VLOOKUP($E586,COTAÇÕES!$C:$L,10,0),)))*$I586,2)</f>
        <v>0.06</v>
      </c>
      <c r="L586" s="616">
        <f>TRUNC(IF($E586="",IFERROR(VLOOKUP($D586,SERVIÇOS!$C:$H,5,0),IFERROR(VLOOKUP($D586,$F:$M,7,0),)),0)*$I586,2)</f>
        <v>0.24</v>
      </c>
      <c r="M586" s="617">
        <f t="shared" ref="M586:M587" si="273">K586+L586</f>
        <v>0.3</v>
      </c>
      <c r="N586" s="753" t="str">
        <f t="shared" si="259"/>
        <v>SERVIÇO SINAPI</v>
      </c>
      <c r="O586" s="640"/>
    </row>
    <row r="587" spans="2:15" hidden="1">
      <c r="B587" s="122">
        <f t="shared" si="271"/>
        <v>0</v>
      </c>
      <c r="C587" s="611" t="str">
        <f t="shared" si="272"/>
        <v>I</v>
      </c>
      <c r="D587" s="660"/>
      <c r="E587" s="660">
        <v>39176</v>
      </c>
      <c r="F587" s="612"/>
      <c r="G587" s="613" t="str">
        <f>IF($E587="",IFERROR(VLOOKUP($D587,SERVIÇOS!$C:$H,2,0),IFERROR(VLOOKUP($D587,$F:$M,2,0),"")),IFERROR(VLOOKUP($E587,INSUMOS!$B:$E,2,0),IFERROR(VLOOKUP($E587,COTAÇÕES!$C:$L,2,0),"")))</f>
        <v xml:space="preserve">BUCHA EM ALUMINIO, COM ROSCA, DE 1", PARA ELETRODUTO                                                                                                                                                                                                                                                                                                                                                                                                                                                      </v>
      </c>
      <c r="H587" s="593" t="str">
        <f>IF($E587="",IFERROR(VLOOKUP($D587,SERVIÇOS!$C:$H,3,0),IFERROR(VLOOKUP($D587,$F:$M,3,0),"")),IFERROR(VLOOKUP($E587,INSUMOS!$B:$E,3,0),IFERROR(VLOOKUP($E587,COTAÇÕES!$C:$L,5,0),"")))</f>
        <v xml:space="preserve">UN    </v>
      </c>
      <c r="I587" s="644">
        <v>1</v>
      </c>
      <c r="J587" s="670">
        <f>IF($E587="",IFERROR(VLOOKUP($D587,SERVIÇOS!$C:$H,6,0),IFERROR(VLOOKUP($D587,$F:$M,8,0),"")),IFERROR(VLOOKUP($E587,INSUMOS!$B:$E,4,0),IFERROR(VLOOKUP($E587,COTAÇÕES!$C:$L,10,0),"")))</f>
        <v>1.28</v>
      </c>
      <c r="K587" s="615">
        <f>TRUNC(IF($E587="",IFERROR(VLOOKUP($D587,SERVIÇOS!$C:$H,4,0),IFERROR(VLOOKUP($D587,$F:$M,6,0),)),IFERROR(VLOOKUP($E587,INSUMOS!$B:$E,4,0),IFERROR(VLOOKUP($E587,COTAÇÕES!$C:$L,10,0),)))*$I587,2)</f>
        <v>1.28</v>
      </c>
      <c r="L587" s="616">
        <f>TRUNC(IF($E587="",IFERROR(VLOOKUP($D587,SERVIÇOS!$C:$H,5,0),IFERROR(VLOOKUP($D587,$F:$M,7,0),)),0)*$I587,2)</f>
        <v>0</v>
      </c>
      <c r="M587" s="617">
        <f t="shared" si="273"/>
        <v>1.28</v>
      </c>
      <c r="N587" s="753" t="str">
        <f t="shared" si="259"/>
        <v>INSUMO SINAPI</v>
      </c>
      <c r="O587" s="640"/>
    </row>
    <row r="588" spans="2:15" hidden="1">
      <c r="B588" s="122">
        <f t="shared" si="271"/>
        <v>0</v>
      </c>
      <c r="C588" s="611" t="str">
        <f t="shared" ref="C588" si="274">IF(D588&lt;&gt;"","C",IF(E588&lt;&gt;"","I",""))</f>
        <v>I</v>
      </c>
      <c r="D588" s="660"/>
      <c r="E588" s="660">
        <v>39210</v>
      </c>
      <c r="F588" s="612"/>
      <c r="G588" s="613" t="str">
        <f>IF($E588="",IFERROR(VLOOKUP($D588,SERVIÇOS!$C:$H,2,0),IFERROR(VLOOKUP($D588,$F:$M,2,0),"")),IFERROR(VLOOKUP($E588,INSUMOS!$B:$E,2,0),IFERROR(VLOOKUP($E588,COTAÇÕES!$C:$L,2,0),"")))</f>
        <v xml:space="preserve">ARRUELA EM ALUMINIO, COM ROSCA, DE 1", PARA ELETRODUTO                                                                                                                                                                                                                                                                                                                                                                                                                                                    </v>
      </c>
      <c r="H588" s="593" t="str">
        <f>IF($E588="",IFERROR(VLOOKUP($D588,SERVIÇOS!$C:$H,3,0),IFERROR(VLOOKUP($D588,$F:$M,3,0),"")),IFERROR(VLOOKUP($E588,INSUMOS!$B:$E,3,0),IFERROR(VLOOKUP($E588,COTAÇÕES!$C:$L,5,0),"")))</f>
        <v xml:space="preserve">UN    </v>
      </c>
      <c r="I588" s="644">
        <v>1</v>
      </c>
      <c r="J588" s="670">
        <f>IF($E588="",IFERROR(VLOOKUP($D588,SERVIÇOS!$C:$H,6,0),IFERROR(VLOOKUP($D588,$F:$M,8,0),"")),IFERROR(VLOOKUP($E588,INSUMOS!$B:$E,4,0),IFERROR(VLOOKUP($E588,COTAÇÕES!$C:$L,10,0),"")))</f>
        <v>0.95</v>
      </c>
      <c r="K588" s="615">
        <f>TRUNC(IF($E588="",IFERROR(VLOOKUP($D588,SERVIÇOS!$C:$H,4,0),IFERROR(VLOOKUP($D588,$F:$M,6,0),)),IFERROR(VLOOKUP($E588,INSUMOS!$B:$E,4,0),IFERROR(VLOOKUP($E588,COTAÇÕES!$C:$L,10,0),)))*$I588,2)</f>
        <v>0.95</v>
      </c>
      <c r="L588" s="616">
        <f>TRUNC(IF($E588="",IFERROR(VLOOKUP($D588,SERVIÇOS!$C:$H,5,0),IFERROR(VLOOKUP($D588,$F:$M,7,0),)),0)*$I588,2)</f>
        <v>0</v>
      </c>
      <c r="M588" s="617">
        <f t="shared" ref="M588" si="275">K588+L588</f>
        <v>0.95</v>
      </c>
      <c r="N588" s="753" t="str">
        <f t="shared" si="259"/>
        <v>INSUMO SINAPI</v>
      </c>
      <c r="O588" s="640"/>
    </row>
    <row r="589" spans="2:15" ht="25.5">
      <c r="B589" s="769">
        <f>SUMIF(ORC!$G$11:$G$2470,CPU!$F589,ORC!$J$11:$J$2470)</f>
        <v>114</v>
      </c>
      <c r="C589" s="515" t="s">
        <v>2239</v>
      </c>
      <c r="D589" s="515"/>
      <c r="E589" s="515"/>
      <c r="F589" s="515" t="s">
        <v>8931</v>
      </c>
      <c r="G589" s="516" t="s">
        <v>8933</v>
      </c>
      <c r="H589" s="515" t="s">
        <v>648</v>
      </c>
      <c r="I589" s="595"/>
      <c r="J589" s="596"/>
      <c r="K589" s="597">
        <f>SUM(K590:K594)</f>
        <v>35.440000000000005</v>
      </c>
      <c r="L589" s="597">
        <f>SUM(L590:L594)</f>
        <v>5.84</v>
      </c>
      <c r="M589" s="597">
        <f>SUM(K589:L589)</f>
        <v>41.28</v>
      </c>
      <c r="N589" s="598" t="s">
        <v>8932</v>
      </c>
      <c r="O589" s="953" t="s">
        <v>6862</v>
      </c>
    </row>
    <row r="590" spans="2:15">
      <c r="B590" s="122">
        <f t="shared" ref="B590:B594" si="276">B589</f>
        <v>114</v>
      </c>
      <c r="C590" s="611" t="str">
        <f>IF(D590&lt;&gt;"","C",IF(E590&lt;&gt;"","I",""))</f>
        <v>C</v>
      </c>
      <c r="D590" s="660">
        <v>88264</v>
      </c>
      <c r="E590" s="660"/>
      <c r="F590" s="612"/>
      <c r="G590" s="613" t="str">
        <f>IF($E590="",IFERROR(VLOOKUP($D590,SERVIÇOS!$C:$H,2,0),IFERROR(VLOOKUP($D590,$F:$M,2,0),"")),IFERROR(VLOOKUP($E590,INSUMOS!$B:$E,2,0),IFERROR(VLOOKUP($E590,COTAÇÕES!$C:$L,2,0),"")))</f>
        <v>ELETRICISTA COM ENCARGOS COMPLEMENTARES</v>
      </c>
      <c r="H590" s="593" t="str">
        <f>IF($E590="",IFERROR(VLOOKUP($D590,SERVIÇOS!$C:$H,3,0),IFERROR(VLOOKUP($D590,$F:$M,3,0),"")),IFERROR(VLOOKUP($E590,INSUMOS!$B:$E,3,0),IFERROR(VLOOKUP($E590,COTAÇÕES!$C:$L,5,0),"")))</f>
        <v>H</v>
      </c>
      <c r="I590" s="644">
        <v>9.0999999999999998E-2</v>
      </c>
      <c r="J590" s="670">
        <f>IF($E590="",IFERROR(VLOOKUP($D590,SERVIÇOS!$C:$H,6,0),IFERROR(VLOOKUP($D590,$F:$M,8,0),"")),IFERROR(VLOOKUP($E590,INSUMOS!$B:$E,4,0),IFERROR(VLOOKUP($E590,COTAÇÕES!$C:$L,10,0),"")))</f>
        <v>31.32</v>
      </c>
      <c r="K590" s="615">
        <f>TRUNC(IF($E590="",IFERROR(VLOOKUP($D590,SERVIÇOS!$C:$H,4,0),IFERROR(VLOOKUP($D590,$F:$M,6,0),)),IFERROR(VLOOKUP($E590,INSUMOS!$B:$E,4,0),IFERROR(VLOOKUP($E590,COTAÇÕES!$C:$L,10,0),)))*$I590,2)</f>
        <v>0.6</v>
      </c>
      <c r="L590" s="616">
        <f>TRUNC(IF($E590="",IFERROR(VLOOKUP($D590,SERVIÇOS!$C:$H,5,0),IFERROR(VLOOKUP($D590,$F:$M,7,0),)),0)*$I590,2)</f>
        <v>2.2400000000000002</v>
      </c>
      <c r="M590" s="617">
        <f>K590+L590</f>
        <v>2.8400000000000003</v>
      </c>
      <c r="N590" s="753" t="str">
        <f t="shared" si="259"/>
        <v>SERVIÇO SINAPI</v>
      </c>
      <c r="O590" s="640"/>
    </row>
    <row r="591" spans="2:15">
      <c r="B591" s="122">
        <f t="shared" si="276"/>
        <v>114</v>
      </c>
      <c r="C591" s="611" t="str">
        <f t="shared" ref="C591:C594" si="277">IF(D591&lt;&gt;"","C",IF(E591&lt;&gt;"","I",""))</f>
        <v>C</v>
      </c>
      <c r="D591" s="660">
        <v>88247</v>
      </c>
      <c r="E591" s="660"/>
      <c r="F591" s="612"/>
      <c r="G591" s="613" t="str">
        <f>IF($E591="",IFERROR(VLOOKUP($D591,SERVIÇOS!$C:$H,2,0),IFERROR(VLOOKUP($D591,$F:$M,2,0),"")),IFERROR(VLOOKUP($E591,INSUMOS!$B:$E,2,0),IFERROR(VLOOKUP($E591,COTAÇÕES!$C:$L,2,0),"")))</f>
        <v>AUXILIAR DE ELETRICISTA COM ENCARGOS COMPLEMENTARES</v>
      </c>
      <c r="H591" s="593" t="str">
        <f>IF($E591="",IFERROR(VLOOKUP($D591,SERVIÇOS!$C:$H,3,0),IFERROR(VLOOKUP($D591,$F:$M,3,0),"")),IFERROR(VLOOKUP($E591,INSUMOS!$B:$E,3,0),IFERROR(VLOOKUP($E591,COTAÇÕES!$C:$L,5,0),"")))</f>
        <v>H</v>
      </c>
      <c r="I591" s="644">
        <v>9.0999999999999998E-2</v>
      </c>
      <c r="J591" s="670">
        <f>IF($E591="",IFERROR(VLOOKUP($D591,SERVIÇOS!$C:$H,6,0),IFERROR(VLOOKUP($D591,$F:$M,8,0),"")),IFERROR(VLOOKUP($E591,INSUMOS!$B:$E,4,0),IFERROR(VLOOKUP($E591,COTAÇÕES!$C:$L,10,0),"")))</f>
        <v>25.53</v>
      </c>
      <c r="K591" s="615">
        <f>TRUNC(IF($E591="",IFERROR(VLOOKUP($D591,SERVIÇOS!$C:$H,4,0),IFERROR(VLOOKUP($D591,$F:$M,6,0),)),IFERROR(VLOOKUP($E591,INSUMOS!$B:$E,4,0),IFERROR(VLOOKUP($E591,COTAÇÕES!$C:$L,10,0),)))*$I591,2)</f>
        <v>0.6</v>
      </c>
      <c r="L591" s="616">
        <f>TRUNC(IF($E591="",IFERROR(VLOOKUP($D591,SERVIÇOS!$C:$H,5,0),IFERROR(VLOOKUP($D591,$F:$M,7,0),)),0)*$I591,2)</f>
        <v>1.71</v>
      </c>
      <c r="M591" s="617">
        <f t="shared" ref="M591:M594" si="278">K591+L591</f>
        <v>2.31</v>
      </c>
      <c r="N591" s="753" t="str">
        <f t="shared" si="259"/>
        <v>SERVIÇO SINAPI</v>
      </c>
      <c r="O591" s="640"/>
    </row>
    <row r="592" spans="2:15">
      <c r="B592" s="122">
        <f t="shared" si="276"/>
        <v>114</v>
      </c>
      <c r="C592" s="611" t="str">
        <f t="shared" si="277"/>
        <v>I</v>
      </c>
      <c r="D592" s="660"/>
      <c r="E592" s="660" t="s">
        <v>8943</v>
      </c>
      <c r="F592" s="612"/>
      <c r="G592" s="613" t="str">
        <f>IF($E592="",IFERROR(VLOOKUP($D592,SERVIÇOS!$C:$H,2,0),IFERROR(VLOOKUP($D592,$F:$M,2,0),"")),IFERROR(VLOOKUP($E592,INSUMOS!$B:$E,2,0),IFERROR(VLOOKUP($E592,COTAÇÕES!$C:$L,2,0),"")))</f>
        <v>ELETROCALHA METÁLICA PERFURADA 100 X 50 X 3000 MM (REF. MOPA OU SIMILAR)</v>
      </c>
      <c r="H592" s="593" t="s">
        <v>648</v>
      </c>
      <c r="I592" s="644">
        <v>0.98199999999999998</v>
      </c>
      <c r="J592" s="670">
        <v>22.3</v>
      </c>
      <c r="K592" s="615">
        <f>TRUNC(IF($E592="",IFERROR(VLOOKUP($D592,SERVIÇOS!$C:$H,4,0),IFERROR(VLOOKUP($D592,$F:$M,6,0),)),IFERROR(VLOOKUP($E592,INSUMOS!$B:$E,4,0),IFERROR(VLOOKUP($E592,COTAÇÕES!$C:$L,10,0),)))*$I592,2)</f>
        <v>30.67</v>
      </c>
      <c r="L592" s="616">
        <f>TRUNC(IF($E592="",IFERROR(VLOOKUP($D592,SERVIÇOS!$C:$H,5,0),IFERROR(VLOOKUP($D592,$F:$M,7,0),)),0)*$I592,2)</f>
        <v>0</v>
      </c>
      <c r="M592" s="617">
        <f t="shared" si="278"/>
        <v>30.67</v>
      </c>
      <c r="N592" s="753" t="s">
        <v>6845</v>
      </c>
      <c r="O592" s="640"/>
    </row>
    <row r="593" spans="2:15" ht="25.5">
      <c r="B593" s="122">
        <f t="shared" si="276"/>
        <v>114</v>
      </c>
      <c r="C593" s="611" t="str">
        <f t="shared" ref="C593" si="279">IF(D593&lt;&gt;"","C",IF(E593&lt;&gt;"","I",""))</f>
        <v>I</v>
      </c>
      <c r="D593" s="660"/>
      <c r="E593" s="660" t="s">
        <v>8945</v>
      </c>
      <c r="F593" s="612"/>
      <c r="G593" s="613" t="str">
        <f>IF($E593="",IFERROR(VLOOKUP($D593,SERVIÇOS!$C:$H,2,0),IFERROR(VLOOKUP($D593,$F:$M,2,0),"")),IFERROR(VLOOKUP($E593,INSUMOS!$B:$E,2,0),IFERROR(VLOOKUP($E593,COTAÇÕES!$C:$L,2,0),"")))</f>
        <v>EMENDA INTERNA 150 X 50 MM COM BASE LISA PARA ELETROCALHA METÁLICA (REF. VL 3.01-21-150/50 GE VALEMAM OU SIMILAR)</v>
      </c>
      <c r="H593" s="593" t="s">
        <v>2666</v>
      </c>
      <c r="I593" s="644">
        <v>0.33300000000000002</v>
      </c>
      <c r="J593" s="670">
        <v>8.6999999999999993</v>
      </c>
      <c r="K593" s="615">
        <f>TRUNC(IF($E593="",IFERROR(VLOOKUP($D593,SERVIÇOS!$C:$H,4,0),IFERROR(VLOOKUP($D593,$F:$M,6,0),)),IFERROR(VLOOKUP($E593,INSUMOS!$B:$E,4,0),IFERROR(VLOOKUP($E593,COTAÇÕES!$C:$L,10,0),)))*$I593,2)</f>
        <v>1.97</v>
      </c>
      <c r="L593" s="616">
        <f>TRUNC(IF($E593="",IFERROR(VLOOKUP($D593,SERVIÇOS!$C:$H,5,0),IFERROR(VLOOKUP($D593,$F:$M,7,0),)),0)*$I593,2)</f>
        <v>0</v>
      </c>
      <c r="M593" s="617">
        <f t="shared" ref="M593" si="280">K593+L593</f>
        <v>1.97</v>
      </c>
      <c r="N593" s="753" t="s">
        <v>6845</v>
      </c>
      <c r="O593" s="640"/>
    </row>
    <row r="594" spans="2:15" ht="38.25">
      <c r="B594" s="122">
        <f t="shared" si="276"/>
        <v>114</v>
      </c>
      <c r="C594" s="611" t="str">
        <f t="shared" si="277"/>
        <v>C</v>
      </c>
      <c r="D594" s="660">
        <v>91170</v>
      </c>
      <c r="E594" s="660"/>
      <c r="F594" s="612"/>
      <c r="G594" s="613" t="str">
        <f>IF($E594="",IFERROR(VLOOKUP($D594,SERVIÇOS!$C:$H,2,0),IFERROR(VLOOKUP($D594,$F:$M,2,0),"")),IFERROR(VLOOKUP($E594,INSUMOS!$B:$E,2,0),IFERROR(VLOOKUP($E594,COTAÇÕES!$C:$L,2,0),"")))</f>
        <v>FIXAÇÃO DE TUBOS HORIZONTAIS DE PVC, CPVC OU COBRE DIÂMETROS MENORES OU IGUAIS A 40 MM OU ELETROCALHAS ATÉ 150MM DE LARGURA, COM ABRAÇADEIRA METÁLICA RÍGIDA TIPO D 1/2, FIXADA EM PERFILADO EM LAJE. AF_05/2015</v>
      </c>
      <c r="H594" s="593" t="str">
        <f>IF($E594="",IFERROR(VLOOKUP($D594,SERVIÇOS!$C:$H,3,0),IFERROR(VLOOKUP($D594,$F:$M,3,0),"")),IFERROR(VLOOKUP($E594,INSUMOS!$B:$E,3,0),IFERROR(VLOOKUP($E594,COTAÇÕES!$C:$L,5,0),"")))</f>
        <v>M</v>
      </c>
      <c r="I594" s="644">
        <v>1</v>
      </c>
      <c r="J594" s="670">
        <f>IF($E594="",IFERROR(VLOOKUP($D594,SERVIÇOS!$C:$H,6,0),IFERROR(VLOOKUP($D594,$F:$M,8,0),"")),IFERROR(VLOOKUP($E594,INSUMOS!$B:$E,4,0),IFERROR(VLOOKUP($E594,COTAÇÕES!$C:$L,10,0),"")))</f>
        <v>3.49</v>
      </c>
      <c r="K594" s="615">
        <f>TRUNC(IF($E594="",IFERROR(VLOOKUP($D594,SERVIÇOS!$C:$H,4,0),IFERROR(VLOOKUP($D594,$F:$M,6,0),)),IFERROR(VLOOKUP($E594,INSUMOS!$B:$E,4,0),IFERROR(VLOOKUP($E594,COTAÇÕES!$C:$L,10,0),)))*$I594,2)</f>
        <v>1.6</v>
      </c>
      <c r="L594" s="616">
        <f>TRUNC(IF($E594="",IFERROR(VLOOKUP($D594,SERVIÇOS!$C:$H,5,0),IFERROR(VLOOKUP($D594,$F:$M,7,0),)),0)*$I594,2)</f>
        <v>1.89</v>
      </c>
      <c r="M594" s="617">
        <f t="shared" si="278"/>
        <v>3.49</v>
      </c>
      <c r="N594" s="753" t="str">
        <f t="shared" si="259"/>
        <v>SERVIÇO SINAPI</v>
      </c>
      <c r="O594" s="640"/>
    </row>
    <row r="595" spans="2:15">
      <c r="B595" s="769">
        <f>SUMIF(ORC!$G$11:$G$2470,CPU!$F595,ORC!$J$11:$J$2470)</f>
        <v>132</v>
      </c>
      <c r="C595" s="515" t="s">
        <v>2239</v>
      </c>
      <c r="D595" s="515"/>
      <c r="E595" s="515"/>
      <c r="F595" s="515" t="s">
        <v>8934</v>
      </c>
      <c r="G595" s="516" t="s">
        <v>8935</v>
      </c>
      <c r="H595" s="515" t="s">
        <v>648</v>
      </c>
      <c r="I595" s="595"/>
      <c r="J595" s="596"/>
      <c r="K595" s="597">
        <f>SUM(K596:K601)</f>
        <v>1.03</v>
      </c>
      <c r="L595" s="597">
        <f>SUM(L596:L601)</f>
        <v>0.43999999999999995</v>
      </c>
      <c r="M595" s="597">
        <f>SUM(K595:L595)</f>
        <v>1.47</v>
      </c>
      <c r="N595" s="598" t="s">
        <v>8936</v>
      </c>
      <c r="O595" s="953" t="s">
        <v>7651</v>
      </c>
    </row>
    <row r="596" spans="2:15">
      <c r="B596" s="122">
        <f t="shared" ref="B596:B601" si="281">B595</f>
        <v>132</v>
      </c>
      <c r="C596" s="611" t="str">
        <f>IF(D596&lt;&gt;"","C",IF(E596&lt;&gt;"","I",""))</f>
        <v>C</v>
      </c>
      <c r="D596" s="660">
        <v>88247</v>
      </c>
      <c r="E596" s="660"/>
      <c r="F596" s="612"/>
      <c r="G596" s="613" t="str">
        <f>IF($E596="",IFERROR(VLOOKUP($D596,SERVIÇOS!$C:$H,2,0),IFERROR(VLOOKUP($D596,$F:$M,2,0),"")),IFERROR(VLOOKUP($E596,INSUMOS!$B:$E,2,0),IFERROR(VLOOKUP($E596,COTAÇÕES!$C:$L,2,0),"")))</f>
        <v>AUXILIAR DE ELETRICISTA COM ENCARGOS COMPLEMENTARES</v>
      </c>
      <c r="H596" s="593" t="str">
        <f>IF($E596="",IFERROR(VLOOKUP($D596,SERVIÇOS!$C:$H,3,0),IFERROR(VLOOKUP($D596,$F:$M,3,0),"")),IFERROR(VLOOKUP($E596,INSUMOS!$B:$E,3,0),IFERROR(VLOOKUP($E596,COTAÇÕES!$C:$L,5,0),"")))</f>
        <v>H</v>
      </c>
      <c r="I596" s="644">
        <v>2E-3</v>
      </c>
      <c r="J596" s="670">
        <f>IF($E596="",IFERROR(VLOOKUP($D596,SERVIÇOS!$C:$H,6,0),IFERROR(VLOOKUP($D596,$F:$M,8,0),"")),IFERROR(VLOOKUP($E596,INSUMOS!$B:$E,4,0),IFERROR(VLOOKUP($E596,COTAÇÕES!$C:$L,10,0),"")))</f>
        <v>25.53</v>
      </c>
      <c r="K596" s="615">
        <f>TRUNC(IF($E596="",IFERROR(VLOOKUP($D596,SERVIÇOS!$C:$H,4,0),IFERROR(VLOOKUP($D596,$F:$M,6,0),)),IFERROR(VLOOKUP($E596,INSUMOS!$B:$E,4,0),IFERROR(VLOOKUP($E596,COTAÇÕES!$C:$L,10,0),)))*$I596,2)</f>
        <v>0.01</v>
      </c>
      <c r="L596" s="616">
        <f>TRUNC(IF($E596="",IFERROR(VLOOKUP($D596,SERVIÇOS!$C:$H,5,0),IFERROR(VLOOKUP($D596,$F:$M,7,0),)),0)*$I596,2)</f>
        <v>0.03</v>
      </c>
      <c r="M596" s="617">
        <f>K596+L596</f>
        <v>0.04</v>
      </c>
      <c r="N596" s="753" t="str">
        <f t="shared" si="259"/>
        <v>SERVIÇO SINAPI</v>
      </c>
      <c r="O596" s="640"/>
    </row>
    <row r="597" spans="2:15">
      <c r="B597" s="122">
        <f t="shared" si="281"/>
        <v>132</v>
      </c>
      <c r="C597" s="611" t="str">
        <f t="shared" ref="C597:C601" si="282">IF(D597&lt;&gt;"","C",IF(E597&lt;&gt;"","I",""))</f>
        <v>C</v>
      </c>
      <c r="D597" s="660">
        <v>88264</v>
      </c>
      <c r="E597" s="660"/>
      <c r="F597" s="612"/>
      <c r="G597" s="613" t="str">
        <f>IF($E597="",IFERROR(VLOOKUP($D597,SERVIÇOS!$C:$H,2,0),IFERROR(VLOOKUP($D597,$F:$M,2,0),"")),IFERROR(VLOOKUP($E597,INSUMOS!$B:$E,2,0),IFERROR(VLOOKUP($E597,COTAÇÕES!$C:$L,2,0),"")))</f>
        <v>ELETRICISTA COM ENCARGOS COMPLEMENTARES</v>
      </c>
      <c r="H597" s="593" t="str">
        <f>IF($E597="",IFERROR(VLOOKUP($D597,SERVIÇOS!$C:$H,3,0),IFERROR(VLOOKUP($D597,$F:$M,3,0),"")),IFERROR(VLOOKUP($E597,INSUMOS!$B:$E,3,0),IFERROR(VLOOKUP($E597,COTAÇÕES!$C:$L,5,0),"")))</f>
        <v>H</v>
      </c>
      <c r="I597" s="644">
        <v>1.7000000000000001E-2</v>
      </c>
      <c r="J597" s="670">
        <f>IF($E597="",IFERROR(VLOOKUP($D597,SERVIÇOS!$C:$H,6,0),IFERROR(VLOOKUP($D597,$F:$M,8,0),"")),IFERROR(VLOOKUP($E597,INSUMOS!$B:$E,4,0),IFERROR(VLOOKUP($E597,COTAÇÕES!$C:$L,10,0),"")))</f>
        <v>31.32</v>
      </c>
      <c r="K597" s="615">
        <f>TRUNC(IF($E597="",IFERROR(VLOOKUP($D597,SERVIÇOS!$C:$H,4,0),IFERROR(VLOOKUP($D597,$F:$M,6,0),)),IFERROR(VLOOKUP($E597,INSUMOS!$B:$E,4,0),IFERROR(VLOOKUP($E597,COTAÇÕES!$C:$L,10,0),)))*$I597,2)</f>
        <v>0.11</v>
      </c>
      <c r="L597" s="616">
        <f>TRUNC(IF($E597="",IFERROR(VLOOKUP($D597,SERVIÇOS!$C:$H,5,0),IFERROR(VLOOKUP($D597,$F:$M,7,0),)),0)*$I597,2)</f>
        <v>0.41</v>
      </c>
      <c r="M597" s="617">
        <f t="shared" ref="M597:M601" si="283">K597+L597</f>
        <v>0.52</v>
      </c>
      <c r="N597" s="753" t="str">
        <f t="shared" si="259"/>
        <v>SERVIÇO SINAPI</v>
      </c>
      <c r="O597" s="640"/>
    </row>
    <row r="598" spans="2:15" ht="11.25" customHeight="1">
      <c r="B598" s="122">
        <f t="shared" si="281"/>
        <v>132</v>
      </c>
      <c r="C598" s="611" t="str">
        <f t="shared" ref="C598:C599" si="284">IF(D598&lt;&gt;"","C",IF(E598&lt;&gt;"","I",""))</f>
        <v>I</v>
      </c>
      <c r="D598" s="660"/>
      <c r="E598" s="660">
        <v>4350</v>
      </c>
      <c r="F598" s="612"/>
      <c r="G598" s="613" t="str">
        <f>IF($E598="",IFERROR(VLOOKUP($D598,SERVIÇOS!$C:$H,2,0),IFERROR(VLOOKUP($D598,$F:$M,2,0),"")),IFERROR(VLOOKUP($E598,INSUMOS!$B:$E,2,0),IFERROR(VLOOKUP($E598,COTAÇÕES!$C:$L,2,0),"")))</f>
        <v xml:space="preserve">BUCHA DE NYLON, DIAMETRO DO FURO 8 MM, COMPRIMENTO 40 MM, COM PARAFUSO DE ROSCA SOBERBA, CABECA CHATA, FENDA SIMPLES, 4,8 X 50 MM                                                                                                                                                                                                                                                                                                                                                                         </v>
      </c>
      <c r="H598" s="593" t="str">
        <f>IF($E598="",IFERROR(VLOOKUP($D598,SERVIÇOS!$C:$H,3,0),IFERROR(VLOOKUP($D598,$F:$M,3,0),"")),IFERROR(VLOOKUP($E598,INSUMOS!$B:$E,3,0),IFERROR(VLOOKUP($E598,COTAÇÕES!$C:$L,5,0),"")))</f>
        <v xml:space="preserve">UN    </v>
      </c>
      <c r="I598" s="644">
        <v>0.25</v>
      </c>
      <c r="J598" s="670">
        <f>IF($E598="",IFERROR(VLOOKUP($D598,SERVIÇOS!$C:$H,6,0),IFERROR(VLOOKUP($D598,$F:$M,8,0),"")),IFERROR(VLOOKUP($E598,INSUMOS!$B:$E,4,0),IFERROR(VLOOKUP($E598,COTAÇÕES!$C:$L,10,0),"")))</f>
        <v>0.56000000000000005</v>
      </c>
      <c r="K598" s="615">
        <f>TRUNC(IF($E598="",IFERROR(VLOOKUP($D598,SERVIÇOS!$C:$H,4,0),IFERROR(VLOOKUP($D598,$F:$M,6,0),)),IFERROR(VLOOKUP($E598,INSUMOS!$B:$E,4,0),IFERROR(VLOOKUP($E598,COTAÇÕES!$C:$L,10,0),)))*$I598,2)</f>
        <v>0.14000000000000001</v>
      </c>
      <c r="L598" s="616">
        <f>TRUNC(IF($E598="",IFERROR(VLOOKUP($D598,SERVIÇOS!$C:$H,5,0),IFERROR(VLOOKUP($D598,$F:$M,7,0),)),0)*$I598,2)</f>
        <v>0</v>
      </c>
      <c r="M598" s="617">
        <f t="shared" ref="M598:M599" si="285">K598+L598</f>
        <v>0.14000000000000001</v>
      </c>
      <c r="N598" s="753" t="str">
        <f t="shared" si="259"/>
        <v>INSUMO SINAPI</v>
      </c>
      <c r="O598" s="640"/>
    </row>
    <row r="599" spans="2:15" ht="25.5">
      <c r="B599" s="122">
        <f t="shared" si="281"/>
        <v>132</v>
      </c>
      <c r="C599" s="611" t="str">
        <f t="shared" si="284"/>
        <v>I</v>
      </c>
      <c r="D599" s="660"/>
      <c r="E599" s="660">
        <v>11267</v>
      </c>
      <c r="F599" s="612"/>
      <c r="G599" s="613" t="str">
        <f>IF($E599="",IFERROR(VLOOKUP($D599,SERVIÇOS!$C:$H,2,0),IFERROR(VLOOKUP($D599,$F:$M,2,0),"")),IFERROR(VLOOKUP($E599,INSUMOS!$B:$E,2,0),IFERROR(VLOOKUP($E599,COTAÇÕES!$C:$L,2,0),"")))</f>
        <v xml:space="preserve">ARRUELA LISA, REDONDA, DE LATAO POLIDO, DIAMETRO NOMINAL 5/8", DIAMETRO EXTERNO = 34 MM, DIAMETRO DO FURO = 17 MM, ESPESSURA = *2,5* MM                                                                                                                                                                                                                                                                                                                                                                   </v>
      </c>
      <c r="H599" s="593" t="str">
        <f>IF($E599="",IFERROR(VLOOKUP($D599,SERVIÇOS!$C:$H,3,0),IFERROR(VLOOKUP($D599,$F:$M,3,0),"")),IFERROR(VLOOKUP($E599,INSUMOS!$B:$E,3,0),IFERROR(VLOOKUP($E599,COTAÇÕES!$C:$L,5,0),"")))</f>
        <v xml:space="preserve">UN    </v>
      </c>
      <c r="I599" s="644">
        <v>0.25</v>
      </c>
      <c r="J599" s="670">
        <f>IF($E599="",IFERROR(VLOOKUP($D599,SERVIÇOS!$C:$H,6,0),IFERROR(VLOOKUP($D599,$F:$M,8,0),"")),IFERROR(VLOOKUP($E599,INSUMOS!$B:$E,4,0),IFERROR(VLOOKUP($E599,COTAÇÕES!$C:$L,10,0),"")))</f>
        <v>1.1100000000000001</v>
      </c>
      <c r="K599" s="615">
        <f>TRUNC(IF($E599="",IFERROR(VLOOKUP($D599,SERVIÇOS!$C:$H,4,0),IFERROR(VLOOKUP($D599,$F:$M,6,0),)),IFERROR(VLOOKUP($E599,INSUMOS!$B:$E,4,0),IFERROR(VLOOKUP($E599,COTAÇÕES!$C:$L,10,0),)))*$I599,2)</f>
        <v>0.27</v>
      </c>
      <c r="L599" s="616">
        <f>TRUNC(IF($E599="",IFERROR(VLOOKUP($D599,SERVIÇOS!$C:$H,5,0),IFERROR(VLOOKUP($D599,$F:$M,7,0),)),0)*$I599,2)</f>
        <v>0</v>
      </c>
      <c r="M599" s="617">
        <f t="shared" si="285"/>
        <v>0.27</v>
      </c>
      <c r="N599" s="753" t="str">
        <f t="shared" si="259"/>
        <v>INSUMO SINAPI</v>
      </c>
      <c r="O599" s="640"/>
    </row>
    <row r="600" spans="2:15" ht="11.25" customHeight="1">
      <c r="B600" s="122">
        <f t="shared" si="281"/>
        <v>132</v>
      </c>
      <c r="C600" s="611" t="str">
        <f t="shared" si="282"/>
        <v>I</v>
      </c>
      <c r="D600" s="660"/>
      <c r="E600" s="660">
        <v>39028</v>
      </c>
      <c r="F600" s="612"/>
      <c r="G600" s="613" t="str">
        <f>IF($E600="",IFERROR(VLOOKUP($D600,SERVIÇOS!$C:$H,2,0),IFERROR(VLOOKUP($D600,$F:$M,2,0),"")),IFERROR(VLOOKUP($E600,INSUMOS!$B:$E,2,0),IFERROR(VLOOKUP($E600,COTAÇÕES!$C:$L,2,0),"")))</f>
        <v xml:space="preserve">PERFILADO PERFURADO SIMPLES 38 X 38 MM, CHAPA 22                                                                                                                                                                                                                                                                                                                                                                                                                                                          </v>
      </c>
      <c r="H600" s="593" t="str">
        <f>IF($E600="",IFERROR(VLOOKUP($D600,SERVIÇOS!$C:$H,3,0),IFERROR(VLOOKUP($D600,$F:$M,3,0),"")),IFERROR(VLOOKUP($E600,INSUMOS!$B:$E,3,0),IFERROR(VLOOKUP($E600,COTAÇÕES!$C:$L,5,0),"")))</f>
        <v xml:space="preserve">M     </v>
      </c>
      <c r="I600" s="644">
        <v>3.2000000000000001E-2</v>
      </c>
      <c r="J600" s="670">
        <f>IF($E600="",IFERROR(VLOOKUP($D600,SERVIÇOS!$C:$H,6,0),IFERROR(VLOOKUP($D600,$F:$M,8,0),"")),IFERROR(VLOOKUP($E600,INSUMOS!$B:$E,4,0),IFERROR(VLOOKUP($E600,COTAÇÕES!$C:$L,10,0),"")))</f>
        <v>13.96</v>
      </c>
      <c r="K600" s="615">
        <f>TRUNC(IF($E600="",IFERROR(VLOOKUP($D600,SERVIÇOS!$C:$H,4,0),IFERROR(VLOOKUP($D600,$F:$M,6,0),)),IFERROR(VLOOKUP($E600,INSUMOS!$B:$E,4,0),IFERROR(VLOOKUP($E600,COTAÇÕES!$C:$L,10,0),)))*$I600,2)</f>
        <v>0.44</v>
      </c>
      <c r="L600" s="616">
        <f>TRUNC(IF($E600="",IFERROR(VLOOKUP($D600,SERVIÇOS!$C:$H,5,0),IFERROR(VLOOKUP($D600,$F:$M,7,0),)),0)*$I600,2)</f>
        <v>0</v>
      </c>
      <c r="M600" s="617">
        <f t="shared" si="283"/>
        <v>0.44</v>
      </c>
      <c r="N600" s="753" t="str">
        <f t="shared" si="259"/>
        <v>INSUMO SINAPI</v>
      </c>
      <c r="O600" s="640"/>
    </row>
    <row r="601" spans="2:15">
      <c r="B601" s="122">
        <f t="shared" si="281"/>
        <v>132</v>
      </c>
      <c r="C601" s="611" t="str">
        <f t="shared" si="282"/>
        <v>I</v>
      </c>
      <c r="D601" s="660"/>
      <c r="E601" s="660">
        <v>39997</v>
      </c>
      <c r="F601" s="612"/>
      <c r="G601" s="613" t="str">
        <f>IF($E601="",IFERROR(VLOOKUP($D601,SERVIÇOS!$C:$H,2,0),IFERROR(VLOOKUP($D601,$F:$M,2,0),"")),IFERROR(VLOOKUP($E601,INSUMOS!$B:$E,2,0),IFERROR(VLOOKUP($E601,COTAÇÕES!$C:$L,2,0),"")))</f>
        <v xml:space="preserve">PORCA ZINCADA, SEXTAVADA, DIAMETRO 1/4"                                                                                                                                                                                                                                                                                                                                                                                                                                                                   </v>
      </c>
      <c r="H601" s="593" t="str">
        <f>IF($E601="",IFERROR(VLOOKUP($D601,SERVIÇOS!$C:$H,3,0),IFERROR(VLOOKUP($D601,$F:$M,3,0),"")),IFERROR(VLOOKUP($E601,INSUMOS!$B:$E,3,0),IFERROR(VLOOKUP($E601,COTAÇÕES!$C:$L,5,0),"")))</f>
        <v xml:space="preserve">UN    </v>
      </c>
      <c r="I601" s="644">
        <v>0.25</v>
      </c>
      <c r="J601" s="670">
        <f>IF($E601="",IFERROR(VLOOKUP($D601,SERVIÇOS!$C:$H,6,0),IFERROR(VLOOKUP($D601,$F:$M,8,0),"")),IFERROR(VLOOKUP($E601,INSUMOS!$B:$E,4,0),IFERROR(VLOOKUP($E601,COTAÇÕES!$C:$L,10,0),"")))</f>
        <v>0.26</v>
      </c>
      <c r="K601" s="615">
        <f>TRUNC(IF($E601="",IFERROR(VLOOKUP($D601,SERVIÇOS!$C:$H,4,0),IFERROR(VLOOKUP($D601,$F:$M,6,0),)),IFERROR(VLOOKUP($E601,INSUMOS!$B:$E,4,0),IFERROR(VLOOKUP($E601,COTAÇÕES!$C:$L,10,0),)))*$I601,2)</f>
        <v>0.06</v>
      </c>
      <c r="L601" s="616">
        <f>TRUNC(IF($E601="",IFERROR(VLOOKUP($D601,SERVIÇOS!$C:$H,5,0),IFERROR(VLOOKUP($D601,$F:$M,7,0),)),0)*$I601,2)</f>
        <v>0</v>
      </c>
      <c r="M601" s="617">
        <f t="shared" si="283"/>
        <v>0.06</v>
      </c>
      <c r="N601" s="753" t="str">
        <f t="shared" si="259"/>
        <v>INSUMO SINAPI</v>
      </c>
      <c r="O601" s="640"/>
    </row>
    <row r="602" spans="2:15">
      <c r="B602" s="769">
        <f>SUMIF(ORC!$G$11:$G$2470,CPU!$F602,ORC!$J$11:$J$2470)</f>
        <v>83</v>
      </c>
      <c r="C602" s="515" t="s">
        <v>2239</v>
      </c>
      <c r="D602" s="515"/>
      <c r="E602" s="515"/>
      <c r="F602" s="515" t="s">
        <v>8939</v>
      </c>
      <c r="G602" s="516" t="s">
        <v>8941</v>
      </c>
      <c r="H602" s="515" t="s">
        <v>646</v>
      </c>
      <c r="I602" s="595"/>
      <c r="J602" s="596"/>
      <c r="K602" s="597">
        <f>SUM(K603:K605)</f>
        <v>224.77</v>
      </c>
      <c r="L602" s="597">
        <f>SUM(L603:L605)</f>
        <v>28.22</v>
      </c>
      <c r="M602" s="597">
        <f>SUM(K602:L602)</f>
        <v>252.99</v>
      </c>
      <c r="N602" s="598" t="s">
        <v>8942</v>
      </c>
      <c r="O602" s="953" t="s">
        <v>7651</v>
      </c>
    </row>
    <row r="603" spans="2:15">
      <c r="B603" s="122">
        <f t="shared" ref="B603:B605" si="286">B602</f>
        <v>83</v>
      </c>
      <c r="C603" s="611" t="str">
        <f>IF(D603&lt;&gt;"","C",IF(E603&lt;&gt;"","I",""))</f>
        <v>C</v>
      </c>
      <c r="D603" s="660">
        <v>88247</v>
      </c>
      <c r="E603" s="660"/>
      <c r="F603" s="612"/>
      <c r="G603" s="613" t="str">
        <f>IF($E603="",IFERROR(VLOOKUP($D603,SERVIÇOS!$C:$H,2,0),IFERROR(VLOOKUP($D603,$F:$M,2,0),"")),IFERROR(VLOOKUP($E603,INSUMOS!$B:$E,2,0),IFERROR(VLOOKUP($E603,COTAÇÕES!$C:$L,2,0),"")))</f>
        <v>AUXILIAR DE ELETRICISTA COM ENCARGOS COMPLEMENTARES</v>
      </c>
      <c r="H603" s="593" t="str">
        <f>IF($E603="",IFERROR(VLOOKUP($D603,SERVIÇOS!$C:$H,3,0),IFERROR(VLOOKUP($D603,$F:$M,3,0),"")),IFERROR(VLOOKUP($E603,INSUMOS!$B:$E,3,0),IFERROR(VLOOKUP($E603,COTAÇÕES!$C:$L,5,0),"")))</f>
        <v>H</v>
      </c>
      <c r="I603" s="644">
        <f>0.3243*2</f>
        <v>0.64859999999999995</v>
      </c>
      <c r="J603" s="670">
        <f>IF($E603="",IFERROR(VLOOKUP($D603,SERVIÇOS!$C:$H,6,0),IFERROR(VLOOKUP($D603,$F:$M,8,0),"")),IFERROR(VLOOKUP($E603,INSUMOS!$B:$E,4,0),IFERROR(VLOOKUP($E603,COTAÇÕES!$C:$L,10,0),"")))</f>
        <v>25.53</v>
      </c>
      <c r="K603" s="615">
        <f>TRUNC(IF($E603="",IFERROR(VLOOKUP($D603,SERVIÇOS!$C:$H,4,0),IFERROR(VLOOKUP($D603,$F:$M,6,0),)),IFERROR(VLOOKUP($E603,INSUMOS!$B:$E,4,0),IFERROR(VLOOKUP($E603,COTAÇÕES!$C:$L,10,0),)))*$I603,2)</f>
        <v>4.3099999999999996</v>
      </c>
      <c r="L603" s="616">
        <f>TRUNC(IF($E603="",IFERROR(VLOOKUP($D603,SERVIÇOS!$C:$H,5,0),IFERROR(VLOOKUP($D603,$F:$M,7,0),)),0)*$I603,2)</f>
        <v>12.23</v>
      </c>
      <c r="M603" s="617">
        <f>K603+L603</f>
        <v>16.54</v>
      </c>
      <c r="N603" s="753" t="str">
        <f t="shared" si="259"/>
        <v>SERVIÇO SINAPI</v>
      </c>
      <c r="O603" s="640"/>
    </row>
    <row r="604" spans="2:15">
      <c r="B604" s="122">
        <f t="shared" si="286"/>
        <v>83</v>
      </c>
      <c r="C604" s="611" t="str">
        <f t="shared" ref="C604:C605" si="287">IF(D604&lt;&gt;"","C",IF(E604&lt;&gt;"","I",""))</f>
        <v>C</v>
      </c>
      <c r="D604" s="660">
        <v>88264</v>
      </c>
      <c r="E604" s="660"/>
      <c r="F604" s="612"/>
      <c r="G604" s="613" t="str">
        <f>IF($E604="",IFERROR(VLOOKUP($D604,SERVIÇOS!$C:$H,2,0),IFERROR(VLOOKUP($D604,$F:$M,2,0),"")),IFERROR(VLOOKUP($E604,INSUMOS!$B:$E,2,0),IFERROR(VLOOKUP($E604,COTAÇÕES!$C:$L,2,0),"")))</f>
        <v>ELETRICISTA COM ENCARGOS COMPLEMENTARES</v>
      </c>
      <c r="H604" s="593" t="str">
        <f>IF($E604="",IFERROR(VLOOKUP($D604,SERVIÇOS!$C:$H,3,0),IFERROR(VLOOKUP($D604,$F:$M,3,0),"")),IFERROR(VLOOKUP($E604,INSUMOS!$B:$E,3,0),IFERROR(VLOOKUP($E604,COTAÇÕES!$C:$L,5,0),"")))</f>
        <v>H</v>
      </c>
      <c r="I604" s="644">
        <f>0.3243*2</f>
        <v>0.64859999999999995</v>
      </c>
      <c r="J604" s="670">
        <f>IF($E604="",IFERROR(VLOOKUP($D604,SERVIÇOS!$C:$H,6,0),IFERROR(VLOOKUP($D604,$F:$M,8,0),"")),IFERROR(VLOOKUP($E604,INSUMOS!$B:$E,4,0),IFERROR(VLOOKUP($E604,COTAÇÕES!$C:$L,10,0),"")))</f>
        <v>31.32</v>
      </c>
      <c r="K604" s="615">
        <f>TRUNC(IF($E604="",IFERROR(VLOOKUP($D604,SERVIÇOS!$C:$H,4,0),IFERROR(VLOOKUP($D604,$F:$M,6,0),)),IFERROR(VLOOKUP($E604,INSUMOS!$B:$E,4,0),IFERROR(VLOOKUP($E604,COTAÇÕES!$C:$L,10,0),)))*$I604,2)</f>
        <v>4.3099999999999996</v>
      </c>
      <c r="L604" s="616">
        <f>TRUNC(IF($E604="",IFERROR(VLOOKUP($D604,SERVIÇOS!$C:$H,5,0),IFERROR(VLOOKUP($D604,$F:$M,7,0),)),0)*$I604,2)</f>
        <v>15.99</v>
      </c>
      <c r="M604" s="617">
        <f t="shared" ref="M604:M605" si="288">K604+L604</f>
        <v>20.3</v>
      </c>
      <c r="N604" s="753" t="str">
        <f t="shared" si="259"/>
        <v>SERVIÇO SINAPI</v>
      </c>
      <c r="O604" s="640"/>
    </row>
    <row r="605" spans="2:15" ht="11.25" customHeight="1">
      <c r="B605" s="122">
        <f t="shared" si="286"/>
        <v>83</v>
      </c>
      <c r="C605" s="611" t="str">
        <f t="shared" si="287"/>
        <v>I</v>
      </c>
      <c r="D605" s="660"/>
      <c r="E605" s="660" t="s">
        <v>9101</v>
      </c>
      <c r="F605" s="612"/>
      <c r="G605" s="613" t="str">
        <f>IF($E605="",IFERROR(VLOOKUP($D605,SERVIÇOS!$C:$H,2,0),IFERROR(VLOOKUP($D605,$F:$M,2,0),"")),IFERROR(VLOOKUP($E605,INSUMOS!$B:$E,2,0),IFERROR(VLOOKUP($E605,COTAÇÕES!$C:$L,2,0),"")))</f>
        <v>LUMINÁRIA TIPO PLAFON EMBUTIR QUADRADO 60x60 LED 50W, 4000K</v>
      </c>
      <c r="H605" s="593" t="str">
        <f>IF($E605="",IFERROR(VLOOKUP($D605,SERVIÇOS!$C:$H,3,0),IFERROR(VLOOKUP($D605,$F:$M,3,0),"")),IFERROR(VLOOKUP($E605,INSUMOS!$B:$E,3,0),IFERROR(VLOOKUP($E605,COTAÇÕES!$C:$L,5,0),"")))</f>
        <v>UN</v>
      </c>
      <c r="I605" s="644">
        <v>1</v>
      </c>
      <c r="J605" s="670">
        <f>IF($E605="",IFERROR(VLOOKUP($D605,SERVIÇOS!$C:$H,6,0),IFERROR(VLOOKUP($D605,$F:$M,8,0),"")),IFERROR(VLOOKUP($E605,INSUMOS!$B:$E,4,0),IFERROR(VLOOKUP($E605,COTAÇÕES!$C:$L,10,0),"")))</f>
        <v>216.15</v>
      </c>
      <c r="K605" s="615">
        <f>TRUNC(IF($E605="",IFERROR(VLOOKUP($D605,SERVIÇOS!$C:$H,4,0),IFERROR(VLOOKUP($D605,$F:$M,6,0),)),IFERROR(VLOOKUP($E605,INSUMOS!$B:$E,4,0),IFERROR(VLOOKUP($E605,COTAÇÕES!$C:$L,10,0),)))*$I605,2)</f>
        <v>216.15</v>
      </c>
      <c r="L605" s="616">
        <f>TRUNC(IF($E605="",IFERROR(VLOOKUP($D605,SERVIÇOS!$C:$H,5,0),IFERROR(VLOOKUP($D605,$F:$M,7,0),)),0)*$I605,2)</f>
        <v>0</v>
      </c>
      <c r="M605" s="617">
        <f t="shared" si="288"/>
        <v>216.15</v>
      </c>
      <c r="N605" s="753" t="s">
        <v>6845</v>
      </c>
      <c r="O605" s="640"/>
    </row>
    <row r="606" spans="2:15">
      <c r="B606" s="769">
        <f>SUMIF(ORC!$G$11:$G$2470,CPU!$F606,ORC!$J$11:$J$2470)</f>
        <v>4</v>
      </c>
      <c r="C606" s="515" t="s">
        <v>2239</v>
      </c>
      <c r="D606" s="515"/>
      <c r="E606" s="515"/>
      <c r="F606" s="515" t="s">
        <v>8946</v>
      </c>
      <c r="G606" s="516" t="s">
        <v>8948</v>
      </c>
      <c r="H606" s="515" t="s">
        <v>646</v>
      </c>
      <c r="I606" s="595"/>
      <c r="J606" s="596"/>
      <c r="K606" s="597">
        <f>SUM(K607:K609)</f>
        <v>209.58999999999997</v>
      </c>
      <c r="L606" s="597">
        <f>SUM(L607:L609)</f>
        <v>47.870000000000005</v>
      </c>
      <c r="M606" s="597">
        <f>SUM(K606:L606)</f>
        <v>257.45999999999998</v>
      </c>
      <c r="N606" s="598" t="s">
        <v>8949</v>
      </c>
      <c r="O606" s="953" t="s">
        <v>7579</v>
      </c>
    </row>
    <row r="607" spans="2:15">
      <c r="B607" s="122">
        <f t="shared" ref="B607:B609" si="289">B606</f>
        <v>4</v>
      </c>
      <c r="C607" s="611" t="str">
        <f>IF(D607&lt;&gt;"","C",IF(E607&lt;&gt;"","I",""))</f>
        <v>C</v>
      </c>
      <c r="D607" s="660">
        <v>88247</v>
      </c>
      <c r="E607" s="660"/>
      <c r="F607" s="612"/>
      <c r="G607" s="613" t="str">
        <f>IF($E607="",IFERROR(VLOOKUP($D607,SERVIÇOS!$C:$H,2,0),IFERROR(VLOOKUP($D607,$F:$M,2,0),"")),IFERROR(VLOOKUP($E607,INSUMOS!$B:$E,2,0),IFERROR(VLOOKUP($E607,COTAÇÕES!$C:$L,2,0),"")))</f>
        <v>AUXILIAR DE ELETRICISTA COM ENCARGOS COMPLEMENTARES</v>
      </c>
      <c r="H607" s="593" t="str">
        <f>IF($E607="",IFERROR(VLOOKUP($D607,SERVIÇOS!$C:$H,3,0),IFERROR(VLOOKUP($D607,$F:$M,3,0),"")),IFERROR(VLOOKUP($E607,INSUMOS!$B:$E,3,0),IFERROR(VLOOKUP($E607,COTAÇÕES!$C:$L,5,0),"")))</f>
        <v>H</v>
      </c>
      <c r="I607" s="644">
        <v>1.1000000000000001</v>
      </c>
      <c r="J607" s="670">
        <f>IF($E607="",IFERROR(VLOOKUP($D607,SERVIÇOS!$C:$H,6,0),IFERROR(VLOOKUP($D607,$F:$M,8,0),"")),IFERROR(VLOOKUP($E607,INSUMOS!$B:$E,4,0),IFERROR(VLOOKUP($E607,COTAÇÕES!$C:$L,10,0),"")))</f>
        <v>25.53</v>
      </c>
      <c r="K607" s="615">
        <f>TRUNC(IF($E607="",IFERROR(VLOOKUP($D607,SERVIÇOS!$C:$H,4,0),IFERROR(VLOOKUP($D607,$F:$M,6,0),)),IFERROR(VLOOKUP($E607,INSUMOS!$B:$E,4,0),IFERROR(VLOOKUP($E607,COTAÇÕES!$C:$L,10,0),)))*$I607,2)</f>
        <v>7.32</v>
      </c>
      <c r="L607" s="616">
        <f>TRUNC(IF($E607="",IFERROR(VLOOKUP($D607,SERVIÇOS!$C:$H,5,0),IFERROR(VLOOKUP($D607,$F:$M,7,0),)),0)*$I607,2)</f>
        <v>20.75</v>
      </c>
      <c r="M607" s="617">
        <f>K607+L607</f>
        <v>28.07</v>
      </c>
      <c r="N607" s="753" t="str">
        <f t="shared" si="259"/>
        <v>SERVIÇO SINAPI</v>
      </c>
      <c r="O607" s="640"/>
    </row>
    <row r="608" spans="2:15">
      <c r="B608" s="122">
        <f t="shared" si="289"/>
        <v>4</v>
      </c>
      <c r="C608" s="611" t="str">
        <f t="shared" ref="C608:C609" si="290">IF(D608&lt;&gt;"","C",IF(E608&lt;&gt;"","I",""))</f>
        <v>C</v>
      </c>
      <c r="D608" s="660">
        <v>88264</v>
      </c>
      <c r="E608" s="660"/>
      <c r="F608" s="612"/>
      <c r="G608" s="613" t="str">
        <f>IF($E608="",IFERROR(VLOOKUP($D608,SERVIÇOS!$C:$H,2,0),IFERROR(VLOOKUP($D608,$F:$M,2,0),"")),IFERROR(VLOOKUP($E608,INSUMOS!$B:$E,2,0),IFERROR(VLOOKUP($E608,COTAÇÕES!$C:$L,2,0),"")))</f>
        <v>ELETRICISTA COM ENCARGOS COMPLEMENTARES</v>
      </c>
      <c r="H608" s="593" t="str">
        <f>IF($E608="",IFERROR(VLOOKUP($D608,SERVIÇOS!$C:$H,3,0),IFERROR(VLOOKUP($D608,$F:$M,3,0),"")),IFERROR(VLOOKUP($E608,INSUMOS!$B:$E,3,0),IFERROR(VLOOKUP($E608,COTAÇÕES!$C:$L,5,0),"")))</f>
        <v>H</v>
      </c>
      <c r="I608" s="644">
        <v>1.1000000000000001</v>
      </c>
      <c r="J608" s="670">
        <f>IF($E608="",IFERROR(VLOOKUP($D608,SERVIÇOS!$C:$H,6,0),IFERROR(VLOOKUP($D608,$F:$M,8,0),"")),IFERROR(VLOOKUP($E608,INSUMOS!$B:$E,4,0),IFERROR(VLOOKUP($E608,COTAÇÕES!$C:$L,10,0),"")))</f>
        <v>31.32</v>
      </c>
      <c r="K608" s="615">
        <f>TRUNC(IF($E608="",IFERROR(VLOOKUP($D608,SERVIÇOS!$C:$H,4,0),IFERROR(VLOOKUP($D608,$F:$M,6,0),)),IFERROR(VLOOKUP($E608,INSUMOS!$B:$E,4,0),IFERROR(VLOOKUP($E608,COTAÇÕES!$C:$L,10,0),)))*$I608,2)</f>
        <v>7.32</v>
      </c>
      <c r="L608" s="616">
        <f>TRUNC(IF($E608="",IFERROR(VLOOKUP($D608,SERVIÇOS!$C:$H,5,0),IFERROR(VLOOKUP($D608,$F:$M,7,0),)),0)*$I608,2)</f>
        <v>27.12</v>
      </c>
      <c r="M608" s="617">
        <f t="shared" ref="M608:M609" si="291">K608+L608</f>
        <v>34.44</v>
      </c>
      <c r="N608" s="753" t="str">
        <f t="shared" si="259"/>
        <v>SERVIÇO SINAPI</v>
      </c>
      <c r="O608" s="640"/>
    </row>
    <row r="609" spans="2:15" ht="11.25" customHeight="1">
      <c r="B609" s="122">
        <f t="shared" si="289"/>
        <v>4</v>
      </c>
      <c r="C609" s="611" t="str">
        <f t="shared" si="290"/>
        <v>I</v>
      </c>
      <c r="D609" s="660"/>
      <c r="E609" s="660" t="s">
        <v>9103</v>
      </c>
      <c r="F609" s="612"/>
      <c r="G609" s="613" t="str">
        <f>IF($E609="",IFERROR(VLOOKUP($D609,SERVIÇOS!$C:$H,2,0),IFERROR(VLOOKUP($D609,$F:$M,2,0),"")),IFERROR(VLOOKUP($E609,INSUMOS!$B:$E,2,0),IFERROR(VLOOKUP($E609,COTAÇÕES!$C:$L,2,0),"")))</f>
        <v>LUMINÁRIA TIPO SPOT DUPLO AR111, EMBUTIR, COR BRANCO</v>
      </c>
      <c r="H609" s="593" t="str">
        <f>IF($E609="",IFERROR(VLOOKUP($D609,SERVIÇOS!$C:$H,3,0),IFERROR(VLOOKUP($D609,$F:$M,3,0),"")),IFERROR(VLOOKUP($E609,INSUMOS!$B:$E,3,0),IFERROR(VLOOKUP($E609,COTAÇÕES!$C:$L,5,0),"")))</f>
        <v>UN</v>
      </c>
      <c r="I609" s="644">
        <v>1</v>
      </c>
      <c r="J609" s="670">
        <f>IF($E609="",IFERROR(VLOOKUP($D609,SERVIÇOS!$C:$H,6,0),IFERROR(VLOOKUP($D609,$F:$M,8,0),"")),IFERROR(VLOOKUP($E609,INSUMOS!$B:$E,4,0),IFERROR(VLOOKUP($E609,COTAÇÕES!$C:$L,10,0),"")))</f>
        <v>194.95333333333335</v>
      </c>
      <c r="K609" s="615">
        <f>TRUNC(IF($E609="",IFERROR(VLOOKUP($D609,SERVIÇOS!$C:$H,4,0),IFERROR(VLOOKUP($D609,$F:$M,6,0),)),IFERROR(VLOOKUP($E609,INSUMOS!$B:$E,4,0),IFERROR(VLOOKUP($E609,COTAÇÕES!$C:$L,10,0),)))*$I609,2)</f>
        <v>194.95</v>
      </c>
      <c r="L609" s="616">
        <f>TRUNC(IF($E609="",IFERROR(VLOOKUP($D609,SERVIÇOS!$C:$H,5,0),IFERROR(VLOOKUP($D609,$F:$M,7,0),)),0)*$I609,2)</f>
        <v>0</v>
      </c>
      <c r="M609" s="617">
        <f t="shared" si="291"/>
        <v>194.95</v>
      </c>
      <c r="N609" s="753" t="s">
        <v>6845</v>
      </c>
      <c r="O609" s="640"/>
    </row>
    <row r="610" spans="2:15">
      <c r="B610" s="769">
        <f>SUMIF(ORC!$G$11:$G$2470,CPU!$F610,ORC!$J$11:$J$2470)</f>
        <v>37</v>
      </c>
      <c r="C610" s="515" t="s">
        <v>2239</v>
      </c>
      <c r="D610" s="515"/>
      <c r="E610" s="515"/>
      <c r="F610" s="515" t="s">
        <v>8951</v>
      </c>
      <c r="G610" s="516" t="s">
        <v>8953</v>
      </c>
      <c r="H610" s="515" t="s">
        <v>648</v>
      </c>
      <c r="I610" s="595"/>
      <c r="J610" s="596"/>
      <c r="K610" s="597">
        <f>SUM(K611:K615)</f>
        <v>283.12</v>
      </c>
      <c r="L610" s="597">
        <f>SUM(L611:L615)</f>
        <v>20.93</v>
      </c>
      <c r="M610" s="597">
        <f>SUM(K610:L610)</f>
        <v>304.05</v>
      </c>
      <c r="N610" s="598" t="s">
        <v>8952</v>
      </c>
      <c r="O610" s="953" t="s">
        <v>8383</v>
      </c>
    </row>
    <row r="611" spans="2:15">
      <c r="B611" s="122">
        <f t="shared" ref="B611:B615" si="292">B610</f>
        <v>37</v>
      </c>
      <c r="C611" s="611" t="str">
        <f>IF(D611&lt;&gt;"","C",IF(E611&lt;&gt;"","I",""))</f>
        <v>C</v>
      </c>
      <c r="D611" s="660">
        <v>88247</v>
      </c>
      <c r="E611" s="660"/>
      <c r="F611" s="612"/>
      <c r="G611" s="613" t="str">
        <f>IF($E611="",IFERROR(VLOOKUP($D611,SERVIÇOS!$C:$H,2,0),IFERROR(VLOOKUP($D611,$F:$M,2,0),"")),IFERROR(VLOOKUP($E611,INSUMOS!$B:$E,2,0),IFERROR(VLOOKUP($E611,COTAÇÕES!$C:$L,2,0),"")))</f>
        <v>AUXILIAR DE ELETRICISTA COM ENCARGOS COMPLEMENTARES</v>
      </c>
      <c r="H611" s="593" t="str">
        <f>IF($E611="",IFERROR(VLOOKUP($D611,SERVIÇOS!$C:$H,3,0),IFERROR(VLOOKUP($D611,$F:$M,3,0),"")),IFERROR(VLOOKUP($E611,INSUMOS!$B:$E,3,0),IFERROR(VLOOKUP($E611,COTAÇÕES!$C:$L,5,0),"")))</f>
        <v>H</v>
      </c>
      <c r="I611" s="644">
        <f>0.962/2</f>
        <v>0.48099999999999998</v>
      </c>
      <c r="J611" s="670">
        <f>IF($E611="",IFERROR(VLOOKUP($D611,SERVIÇOS!$C:$H,6,0),IFERROR(VLOOKUP($D611,$F:$M,8,0),"")),IFERROR(VLOOKUP($E611,INSUMOS!$B:$E,4,0),IFERROR(VLOOKUP($E611,COTAÇÕES!$C:$L,10,0),"")))</f>
        <v>25.53</v>
      </c>
      <c r="K611" s="615">
        <f>TRUNC(IF($E611="",IFERROR(VLOOKUP($D611,SERVIÇOS!$C:$H,4,0),IFERROR(VLOOKUP($D611,$F:$M,6,0),)),IFERROR(VLOOKUP($E611,INSUMOS!$B:$E,4,0),IFERROR(VLOOKUP($E611,COTAÇÕES!$C:$L,10,0),)))*$I611,2)</f>
        <v>3.2</v>
      </c>
      <c r="L611" s="616">
        <f>TRUNC(IF($E611="",IFERROR(VLOOKUP($D611,SERVIÇOS!$C:$H,5,0),IFERROR(VLOOKUP($D611,$F:$M,7,0),)),0)*$I611,2)</f>
        <v>9.07</v>
      </c>
      <c r="M611" s="617">
        <f>K611+L611</f>
        <v>12.27</v>
      </c>
      <c r="N611" s="753" t="str">
        <f t="shared" si="259"/>
        <v>SERVIÇO SINAPI</v>
      </c>
      <c r="O611" s="640"/>
    </row>
    <row r="612" spans="2:15">
      <c r="B612" s="122">
        <f t="shared" si="292"/>
        <v>37</v>
      </c>
      <c r="C612" s="611" t="str">
        <f t="shared" ref="C612:C613" si="293">IF(D612&lt;&gt;"","C",IF(E612&lt;&gt;"","I",""))</f>
        <v>C</v>
      </c>
      <c r="D612" s="660">
        <v>88264</v>
      </c>
      <c r="E612" s="660"/>
      <c r="F612" s="612"/>
      <c r="G612" s="613" t="str">
        <f>IF($E612="",IFERROR(VLOOKUP($D612,SERVIÇOS!$C:$H,2,0),IFERROR(VLOOKUP($D612,$F:$M,2,0),"")),IFERROR(VLOOKUP($E612,INSUMOS!$B:$E,2,0),IFERROR(VLOOKUP($E612,COTAÇÕES!$C:$L,2,0),"")))</f>
        <v>ELETRICISTA COM ENCARGOS COMPLEMENTARES</v>
      </c>
      <c r="H612" s="593" t="str">
        <f>IF($E612="",IFERROR(VLOOKUP($D612,SERVIÇOS!$C:$H,3,0),IFERROR(VLOOKUP($D612,$F:$M,3,0),"")),IFERROR(VLOOKUP($E612,INSUMOS!$B:$E,3,0),IFERROR(VLOOKUP($E612,COTAÇÕES!$C:$L,5,0),"")))</f>
        <v>H</v>
      </c>
      <c r="I612" s="644">
        <f>0.962/2</f>
        <v>0.48099999999999998</v>
      </c>
      <c r="J612" s="670">
        <f>IF($E612="",IFERROR(VLOOKUP($D612,SERVIÇOS!$C:$H,6,0),IFERROR(VLOOKUP($D612,$F:$M,8,0),"")),IFERROR(VLOOKUP($E612,INSUMOS!$B:$E,4,0),IFERROR(VLOOKUP($E612,COTAÇÕES!$C:$L,10,0),"")))</f>
        <v>31.32</v>
      </c>
      <c r="K612" s="615">
        <f>TRUNC(IF($E612="",IFERROR(VLOOKUP($D612,SERVIÇOS!$C:$H,4,0),IFERROR(VLOOKUP($D612,$F:$M,6,0),)),IFERROR(VLOOKUP($E612,INSUMOS!$B:$E,4,0),IFERROR(VLOOKUP($E612,COTAÇÕES!$C:$L,10,0),)))*$I612,2)</f>
        <v>3.2</v>
      </c>
      <c r="L612" s="616">
        <f>TRUNC(IF($E612="",IFERROR(VLOOKUP($D612,SERVIÇOS!$C:$H,5,0),IFERROR(VLOOKUP($D612,$F:$M,7,0),)),0)*$I612,2)</f>
        <v>11.86</v>
      </c>
      <c r="M612" s="617">
        <f t="shared" ref="M612:M613" si="294">K612+L612</f>
        <v>15.059999999999999</v>
      </c>
      <c r="N612" s="753" t="str">
        <f t="shared" si="259"/>
        <v>SERVIÇO SINAPI</v>
      </c>
      <c r="O612" s="640"/>
    </row>
    <row r="613" spans="2:15" ht="11.25" customHeight="1">
      <c r="B613" s="122">
        <f t="shared" si="292"/>
        <v>37</v>
      </c>
      <c r="C613" s="611" t="str">
        <f t="shared" si="293"/>
        <v>I</v>
      </c>
      <c r="D613" s="660"/>
      <c r="E613" s="660" t="s">
        <v>9104</v>
      </c>
      <c r="F613" s="612"/>
      <c r="G613" s="613" t="str">
        <f>IF($E613="",IFERROR(VLOOKUP($D613,SERVIÇOS!$C:$H,2,0),IFERROR(VLOOKUP($D613,$F:$M,2,0),"")),IFERROR(VLOOKUP($E613,INSUMOS!$B:$E,2,0),IFERROR(VLOOKUP($E613,COTAÇÕES!$C:$L,2,0),"")))</f>
        <v>PERFIL DE EMBUTIR PARA FITA LED ESPESSURA 5CM</v>
      </c>
      <c r="H613" s="593" t="str">
        <f>IF($E613="",IFERROR(VLOOKUP($D613,SERVIÇOS!$C:$H,3,0),IFERROR(VLOOKUP($D613,$F:$M,3,0),"")),IFERROR(VLOOKUP($E613,INSUMOS!$B:$E,3,0),IFERROR(VLOOKUP($E613,COTAÇÕES!$C:$L,5,0),"")))</f>
        <v>M</v>
      </c>
      <c r="I613" s="644">
        <v>1</v>
      </c>
      <c r="J613" s="670">
        <f>IF($E613="",IFERROR(VLOOKUP($D613,SERVIÇOS!$C:$H,6,0),IFERROR(VLOOKUP($D613,$F:$M,8,0),"")),IFERROR(VLOOKUP($E613,INSUMOS!$B:$E,4,0),IFERROR(VLOOKUP($E613,COTAÇÕES!$C:$L,10,0),"")))</f>
        <v>221.04</v>
      </c>
      <c r="K613" s="615">
        <f>TRUNC(IF($E613="",IFERROR(VLOOKUP($D613,SERVIÇOS!$C:$H,4,0),IFERROR(VLOOKUP($D613,$F:$M,6,0),)),IFERROR(VLOOKUP($E613,INSUMOS!$B:$E,4,0),IFERROR(VLOOKUP($E613,COTAÇÕES!$C:$L,10,0),)))*$I613,2)</f>
        <v>221.04</v>
      </c>
      <c r="L613" s="616">
        <f>TRUNC(IF($E613="",IFERROR(VLOOKUP($D613,SERVIÇOS!$C:$H,5,0),IFERROR(VLOOKUP($D613,$F:$M,7,0),)),0)*$I613,2)</f>
        <v>0</v>
      </c>
      <c r="M613" s="617">
        <f t="shared" si="294"/>
        <v>221.04</v>
      </c>
      <c r="N613" s="753" t="s">
        <v>6845</v>
      </c>
      <c r="O613" s="640"/>
    </row>
    <row r="614" spans="2:15" ht="11.25" customHeight="1">
      <c r="B614" s="122">
        <f t="shared" si="292"/>
        <v>37</v>
      </c>
      <c r="C614" s="611" t="str">
        <f t="shared" ref="C614" si="295">IF(D614&lt;&gt;"","C",IF(E614&lt;&gt;"","I",""))</f>
        <v>I</v>
      </c>
      <c r="D614" s="660"/>
      <c r="E614" s="660" t="s">
        <v>9105</v>
      </c>
      <c r="F614" s="612"/>
      <c r="G614" s="613" t="str">
        <f>IF($E614="",IFERROR(VLOOKUP($D614,SERVIÇOS!$C:$H,2,0),IFERROR(VLOOKUP($D614,$F:$M,2,0),"")),IFERROR(VLOOKUP($E614,INSUMOS!$B:$E,2,0),IFERROR(VLOOKUP($E614,COTAÇÕES!$C:$L,2,0),"")))</f>
        <v>FITA LED 12W/M 4000K</v>
      </c>
      <c r="H614" s="593" t="str">
        <f>IF($E614="",IFERROR(VLOOKUP($D614,SERVIÇOS!$C:$H,3,0),IFERROR(VLOOKUP($D614,$F:$M,3,0),"")),IFERROR(VLOOKUP($E614,INSUMOS!$B:$E,3,0),IFERROR(VLOOKUP($E614,COTAÇÕES!$C:$L,5,0),"")))</f>
        <v>M</v>
      </c>
      <c r="I614" s="644">
        <v>1</v>
      </c>
      <c r="J614" s="670">
        <f>IF($E614="",IFERROR(VLOOKUP($D614,SERVIÇOS!$C:$H,6,0),IFERROR(VLOOKUP($D614,$F:$M,8,0),"")),IFERROR(VLOOKUP($E614,INSUMOS!$B:$E,4,0),IFERROR(VLOOKUP($E614,COTAÇÕES!$C:$L,10,0),"")))</f>
        <v>55.559333333333335</v>
      </c>
      <c r="K614" s="615">
        <f>TRUNC(IF($E614="",IFERROR(VLOOKUP($D614,SERVIÇOS!$C:$H,4,0),IFERROR(VLOOKUP($D614,$F:$M,6,0),)),IFERROR(VLOOKUP($E614,INSUMOS!$B:$E,4,0),IFERROR(VLOOKUP($E614,COTAÇÕES!$C:$L,10,0),)))*$I614,2)</f>
        <v>55.55</v>
      </c>
      <c r="L614" s="616">
        <f>TRUNC(IF($E614="",IFERROR(VLOOKUP($D614,SERVIÇOS!$C:$H,5,0),IFERROR(VLOOKUP($D614,$F:$M,7,0),)),0)*$I614,2)</f>
        <v>0</v>
      </c>
      <c r="M614" s="617">
        <f t="shared" ref="M614" si="296">K614+L614</f>
        <v>55.55</v>
      </c>
      <c r="N614" s="753" t="s">
        <v>6845</v>
      </c>
      <c r="O614" s="640"/>
    </row>
    <row r="615" spans="2:15" ht="11.25" customHeight="1">
      <c r="B615" s="122">
        <f t="shared" si="292"/>
        <v>37</v>
      </c>
      <c r="C615" s="611" t="str">
        <f t="shared" ref="C615" si="297">IF(D615&lt;&gt;"","C",IF(E615&lt;&gt;"","I",""))</f>
        <v>I</v>
      </c>
      <c r="D615" s="660"/>
      <c r="E615" s="660">
        <v>20111</v>
      </c>
      <c r="F615" s="612"/>
      <c r="G615" s="613" t="str">
        <f>IF($E615="",IFERROR(VLOOKUP($D615,SERVIÇOS!$C:$H,2,0),IFERROR(VLOOKUP($D615,$F:$M,2,0),"")),IFERROR(VLOOKUP($E615,INSUMOS!$B:$E,2,0),IFERROR(VLOOKUP($E615,COTAÇÕES!$C:$L,2,0),"")))</f>
        <v xml:space="preserve">FITA ISOLANTE ADESIVA ANTICHAMA, USO ATE 750 V, EM ROLO DE 19 MM X 20 M                                                                                                                                                                                                                                                                                                                                                                                                                                   </v>
      </c>
      <c r="H615" s="593" t="str">
        <f>IF($E615="",IFERROR(VLOOKUP($D615,SERVIÇOS!$C:$H,3,0),IFERROR(VLOOKUP($D615,$F:$M,3,0),"")),IFERROR(VLOOKUP($E615,INSUMOS!$B:$E,3,0),IFERROR(VLOOKUP($E615,COTAÇÕES!$C:$L,5,0),"")))</f>
        <v xml:space="preserve">UN    </v>
      </c>
      <c r="I615" s="644">
        <f>0.3/20/2</f>
        <v>7.4999999999999997E-3</v>
      </c>
      <c r="J615" s="670">
        <f>IF($E615="",IFERROR(VLOOKUP($D615,SERVIÇOS!$C:$H,6,0),IFERROR(VLOOKUP($D615,$F:$M,8,0),"")),IFERROR(VLOOKUP($E615,INSUMOS!$B:$E,4,0),IFERROR(VLOOKUP($E615,COTAÇÕES!$C:$L,10,0),"")))</f>
        <v>18.45</v>
      </c>
      <c r="K615" s="615">
        <f>TRUNC(IF($E615="",IFERROR(VLOOKUP($D615,SERVIÇOS!$C:$H,4,0),IFERROR(VLOOKUP($D615,$F:$M,6,0),)),IFERROR(VLOOKUP($E615,INSUMOS!$B:$E,4,0),IFERROR(VLOOKUP($E615,COTAÇÕES!$C:$L,10,0),)))*$I615,2)</f>
        <v>0.13</v>
      </c>
      <c r="L615" s="616">
        <f>TRUNC(IF($E615="",IFERROR(VLOOKUP($D615,SERVIÇOS!$C:$H,5,0),IFERROR(VLOOKUP($D615,$F:$M,7,0),)),0)*$I615,2)</f>
        <v>0</v>
      </c>
      <c r="M615" s="617">
        <f t="shared" ref="M615" si="298">K615+L615</f>
        <v>0.13</v>
      </c>
      <c r="N615" s="753" t="str">
        <f t="shared" si="259"/>
        <v>INSUMO SINAPI</v>
      </c>
      <c r="O615" s="640"/>
    </row>
    <row r="616" spans="2:15">
      <c r="B616" s="769">
        <f>SUMIF(ORC!$G$11:$G$2470,CPU!$F616,ORC!$J$11:$J$2470)</f>
        <v>2</v>
      </c>
      <c r="C616" s="515" t="s">
        <v>2239</v>
      </c>
      <c r="D616" s="515"/>
      <c r="E616" s="515"/>
      <c r="F616" s="515" t="s">
        <v>8957</v>
      </c>
      <c r="G616" s="516" t="s">
        <v>8959</v>
      </c>
      <c r="H616" s="515" t="s">
        <v>646</v>
      </c>
      <c r="I616" s="595"/>
      <c r="J616" s="596"/>
      <c r="K616" s="597">
        <f>SUM(K617:K620)</f>
        <v>193.16</v>
      </c>
      <c r="L616" s="597">
        <f>SUM(L617:L620)</f>
        <v>88.15</v>
      </c>
      <c r="M616" s="597">
        <f>SUM(K616:L616)</f>
        <v>281.31</v>
      </c>
      <c r="N616" s="598" t="s">
        <v>8958</v>
      </c>
      <c r="O616" s="953" t="s">
        <v>8907</v>
      </c>
    </row>
    <row r="617" spans="2:15">
      <c r="B617" s="122">
        <f t="shared" ref="B617:B620" si="299">B616</f>
        <v>2</v>
      </c>
      <c r="C617" s="611" t="str">
        <f>IF(D617&lt;&gt;"","C",IF(E617&lt;&gt;"","I",""))</f>
        <v>C</v>
      </c>
      <c r="D617" s="660">
        <v>88266</v>
      </c>
      <c r="E617" s="660"/>
      <c r="F617" s="612"/>
      <c r="G617" s="613" t="str">
        <f>IF($E617="",IFERROR(VLOOKUP($D617,SERVIÇOS!$C:$H,2,0),IFERROR(VLOOKUP($D617,$F:$M,2,0),"")),IFERROR(VLOOKUP($E617,INSUMOS!$B:$E,2,0),IFERROR(VLOOKUP($E617,COTAÇÕES!$C:$L,2,0),"")))</f>
        <v>ELETROTÉCNICO COM ENCARGOS COMPLEMENTARES</v>
      </c>
      <c r="H617" s="593" t="str">
        <f>IF($E617="",IFERROR(VLOOKUP($D617,SERVIÇOS!$C:$H,3,0),IFERROR(VLOOKUP($D617,$F:$M,3,0),"")),IFERROR(VLOOKUP($E617,INSUMOS!$B:$E,3,0),IFERROR(VLOOKUP($E617,COTAÇÕES!$C:$L,5,0),"")))</f>
        <v>H</v>
      </c>
      <c r="I617" s="644">
        <v>0.6</v>
      </c>
      <c r="J617" s="670">
        <f>IF($E617="",IFERROR(VLOOKUP($D617,SERVIÇOS!$C:$H,6,0),IFERROR(VLOOKUP($D617,$F:$M,8,0),"")),IFERROR(VLOOKUP($E617,INSUMOS!$B:$E,4,0),IFERROR(VLOOKUP($E617,COTAÇÕES!$C:$L,10,0),"")))</f>
        <v>37.520000000000003</v>
      </c>
      <c r="K617" s="615">
        <f>TRUNC(IF($E617="",IFERROR(VLOOKUP($D617,SERVIÇOS!$C:$H,4,0),IFERROR(VLOOKUP($D617,$F:$M,6,0),)),IFERROR(VLOOKUP($E617,INSUMOS!$B:$E,4,0),IFERROR(VLOOKUP($E617,COTAÇÕES!$C:$L,10,0),)))*$I617,2)</f>
        <v>3.99</v>
      </c>
      <c r="L617" s="616">
        <f>TRUNC(IF($E617="",IFERROR(VLOOKUP($D617,SERVIÇOS!$C:$H,5,0),IFERROR(VLOOKUP($D617,$F:$M,7,0),)),0)*$I617,2)</f>
        <v>18.510000000000002</v>
      </c>
      <c r="M617" s="617">
        <f>K617+L617</f>
        <v>22.5</v>
      </c>
      <c r="N617" s="753" t="str">
        <f t="shared" si="259"/>
        <v>SERVIÇO SINAPI</v>
      </c>
      <c r="O617" s="640"/>
    </row>
    <row r="618" spans="2:15">
      <c r="B618" s="122">
        <f t="shared" si="299"/>
        <v>2</v>
      </c>
      <c r="C618" s="611" t="str">
        <f t="shared" ref="C618:C620" si="300">IF(D618&lt;&gt;"","C",IF(E618&lt;&gt;"","I",""))</f>
        <v>C</v>
      </c>
      <c r="D618" s="660">
        <v>88264</v>
      </c>
      <c r="E618" s="660"/>
      <c r="F618" s="612"/>
      <c r="G618" s="613" t="str">
        <f>IF($E618="",IFERROR(VLOOKUP($D618,SERVIÇOS!$C:$H,2,0),IFERROR(VLOOKUP($D618,$F:$M,2,0),"")),IFERROR(VLOOKUP($E618,INSUMOS!$B:$E,2,0),IFERROR(VLOOKUP($E618,COTAÇÕES!$C:$L,2,0),"")))</f>
        <v>ELETRICISTA COM ENCARGOS COMPLEMENTARES</v>
      </c>
      <c r="H618" s="593" t="str">
        <f>IF($E618="",IFERROR(VLOOKUP($D618,SERVIÇOS!$C:$H,3,0),IFERROR(VLOOKUP($D618,$F:$M,3,0),"")),IFERROR(VLOOKUP($E618,INSUMOS!$B:$E,3,0),IFERROR(VLOOKUP($E618,COTAÇÕES!$C:$L,5,0),"")))</f>
        <v>H</v>
      </c>
      <c r="I618" s="644">
        <v>1.6</v>
      </c>
      <c r="J618" s="670">
        <f>IF($E618="",IFERROR(VLOOKUP($D618,SERVIÇOS!$C:$H,6,0),IFERROR(VLOOKUP($D618,$F:$M,8,0),"")),IFERROR(VLOOKUP($E618,INSUMOS!$B:$E,4,0),IFERROR(VLOOKUP($E618,COTAÇÕES!$C:$L,10,0),"")))</f>
        <v>31.32</v>
      </c>
      <c r="K618" s="615">
        <f>TRUNC(IF($E618="",IFERROR(VLOOKUP($D618,SERVIÇOS!$C:$H,4,0),IFERROR(VLOOKUP($D618,$F:$M,6,0),)),IFERROR(VLOOKUP($E618,INSUMOS!$B:$E,4,0),IFERROR(VLOOKUP($E618,COTAÇÕES!$C:$L,10,0),)))*$I618,2)</f>
        <v>10.65</v>
      </c>
      <c r="L618" s="616">
        <f>TRUNC(IF($E618="",IFERROR(VLOOKUP($D618,SERVIÇOS!$C:$H,5,0),IFERROR(VLOOKUP($D618,$F:$M,7,0),)),0)*$I618,2)</f>
        <v>39.450000000000003</v>
      </c>
      <c r="M618" s="617">
        <f t="shared" ref="M618:M620" si="301">K618+L618</f>
        <v>50.1</v>
      </c>
      <c r="N618" s="753" t="str">
        <f t="shared" si="259"/>
        <v>SERVIÇO SINAPI</v>
      </c>
      <c r="O618" s="640"/>
    </row>
    <row r="619" spans="2:15" ht="11.25" customHeight="1">
      <c r="B619" s="122">
        <f t="shared" si="299"/>
        <v>2</v>
      </c>
      <c r="C619" s="611" t="str">
        <f t="shared" si="300"/>
        <v>C</v>
      </c>
      <c r="D619" s="660">
        <v>88247</v>
      </c>
      <c r="E619" s="660"/>
      <c r="F619" s="612"/>
      <c r="G619" s="613" t="str">
        <f>IF($E619="",IFERROR(VLOOKUP($D619,SERVIÇOS!$C:$H,2,0),IFERROR(VLOOKUP($D619,$F:$M,2,0),"")),IFERROR(VLOOKUP($E619,INSUMOS!$B:$E,2,0),IFERROR(VLOOKUP($E619,COTAÇÕES!$C:$L,2,0),"")))</f>
        <v>AUXILIAR DE ELETRICISTA COM ENCARGOS COMPLEMENTARES</v>
      </c>
      <c r="H619" s="593" t="str">
        <f>IF($E619="",IFERROR(VLOOKUP($D619,SERVIÇOS!$C:$H,3,0),IFERROR(VLOOKUP($D619,$F:$M,3,0),"")),IFERROR(VLOOKUP($E619,INSUMOS!$B:$E,3,0),IFERROR(VLOOKUP($E619,COTAÇÕES!$C:$L,5,0),"")))</f>
        <v>H</v>
      </c>
      <c r="I619" s="644">
        <v>1.6</v>
      </c>
      <c r="J619" s="670">
        <f>IF($E619="",IFERROR(VLOOKUP($D619,SERVIÇOS!$C:$H,6,0),IFERROR(VLOOKUP($D619,$F:$M,8,0),"")),IFERROR(VLOOKUP($E619,INSUMOS!$B:$E,4,0),IFERROR(VLOOKUP($E619,COTAÇÕES!$C:$L,10,0),"")))</f>
        <v>25.53</v>
      </c>
      <c r="K619" s="615">
        <f>TRUNC(IF($E619="",IFERROR(VLOOKUP($D619,SERVIÇOS!$C:$H,4,0),IFERROR(VLOOKUP($D619,$F:$M,6,0),)),IFERROR(VLOOKUP($E619,INSUMOS!$B:$E,4,0),IFERROR(VLOOKUP($E619,COTAÇÕES!$C:$L,10,0),)))*$I619,2)</f>
        <v>10.65</v>
      </c>
      <c r="L619" s="616">
        <f>TRUNC(IF($E619="",IFERROR(VLOOKUP($D619,SERVIÇOS!$C:$H,5,0),IFERROR(VLOOKUP($D619,$F:$M,7,0),)),0)*$I619,2)</f>
        <v>30.19</v>
      </c>
      <c r="M619" s="617">
        <f t="shared" si="301"/>
        <v>40.840000000000003</v>
      </c>
      <c r="N619" s="753" t="str">
        <f t="shared" si="259"/>
        <v>SERVIÇO SINAPI</v>
      </c>
      <c r="O619" s="640"/>
    </row>
    <row r="620" spans="2:15" ht="11.25" customHeight="1">
      <c r="B620" s="122">
        <f t="shared" si="299"/>
        <v>2</v>
      </c>
      <c r="C620" s="611" t="str">
        <f t="shared" si="300"/>
        <v>I</v>
      </c>
      <c r="D620" s="660"/>
      <c r="E620" s="660">
        <v>39445</v>
      </c>
      <c r="F620" s="612"/>
      <c r="G620" s="613" t="str">
        <f>IF($E620="",IFERROR(VLOOKUP($D620,SERVIÇOS!$C:$H,2,0),IFERROR(VLOOKUP($D620,$F:$M,2,0),"")),IFERROR(VLOOKUP($E620,INSUMOS!$B:$E,2,0),IFERROR(VLOOKUP($E620,COTAÇÕES!$C:$L,2,0),"")))</f>
        <v xml:space="preserve">DISPOSITIVO DR, 2 POLOS, SENSIBILIDADE DE 30 MA, CORRENTE DE 25 A, TIPO AC                                                                                                                                                                                                                                                                                                                                                                                                                                </v>
      </c>
      <c r="H620" s="593" t="str">
        <f>IF($E620="",IFERROR(VLOOKUP($D620,SERVIÇOS!$C:$H,3,0),IFERROR(VLOOKUP($D620,$F:$M,3,0),"")),IFERROR(VLOOKUP($E620,INSUMOS!$B:$E,3,0),IFERROR(VLOOKUP($E620,COTAÇÕES!$C:$L,5,0),"")))</f>
        <v xml:space="preserve">UN    </v>
      </c>
      <c r="I620" s="644">
        <v>1</v>
      </c>
      <c r="J620" s="670">
        <f>IF($E620="",IFERROR(VLOOKUP($D620,SERVIÇOS!$C:$H,6,0),IFERROR(VLOOKUP($D620,$F:$M,8,0),"")),IFERROR(VLOOKUP($E620,INSUMOS!$B:$E,4,0),IFERROR(VLOOKUP($E620,COTAÇÕES!$C:$L,10,0),"")))</f>
        <v>167.87</v>
      </c>
      <c r="K620" s="615">
        <f>TRUNC(IF($E620="",IFERROR(VLOOKUP($D620,SERVIÇOS!$C:$H,4,0),IFERROR(VLOOKUP($D620,$F:$M,6,0),)),IFERROR(VLOOKUP($E620,INSUMOS!$B:$E,4,0),IFERROR(VLOOKUP($E620,COTAÇÕES!$C:$L,10,0),)))*$I620,2)</f>
        <v>167.87</v>
      </c>
      <c r="L620" s="616">
        <f>TRUNC(IF($E620="",IFERROR(VLOOKUP($D620,SERVIÇOS!$C:$H,5,0),IFERROR(VLOOKUP($D620,$F:$M,7,0),)),0)*$I620,2)</f>
        <v>0</v>
      </c>
      <c r="M620" s="617">
        <f t="shared" si="301"/>
        <v>167.87</v>
      </c>
      <c r="N620" s="753" t="str">
        <f t="shared" si="259"/>
        <v>INSUMO SINAPI</v>
      </c>
      <c r="O620" s="640"/>
    </row>
    <row r="621" spans="2:15">
      <c r="B621" s="769">
        <f>SUMIF(ORC!$G$11:$G$2470,CPU!$F621,ORC!$J$11:$J$2470)</f>
        <v>1</v>
      </c>
      <c r="C621" s="515" t="s">
        <v>2239</v>
      </c>
      <c r="D621" s="515"/>
      <c r="E621" s="515"/>
      <c r="F621" s="515" t="s">
        <v>8960</v>
      </c>
      <c r="G621" s="516" t="s">
        <v>8959</v>
      </c>
      <c r="H621" s="515" t="s">
        <v>646</v>
      </c>
      <c r="I621" s="595"/>
      <c r="J621" s="596"/>
      <c r="K621" s="597">
        <f>SUM(K622:K625)</f>
        <v>340.84000000000003</v>
      </c>
      <c r="L621" s="597">
        <f>SUM(L622:L625)</f>
        <v>101.21000000000001</v>
      </c>
      <c r="M621" s="597">
        <f>SUM(K621:L621)</f>
        <v>442.05000000000007</v>
      </c>
      <c r="N621" s="598" t="s">
        <v>8961</v>
      </c>
      <c r="O621" s="953" t="s">
        <v>8907</v>
      </c>
    </row>
    <row r="622" spans="2:15">
      <c r="B622" s="122">
        <f t="shared" ref="B622:B625" si="302">B621</f>
        <v>1</v>
      </c>
      <c r="C622" s="611" t="str">
        <f>IF(D622&lt;&gt;"","C",IF(E622&lt;&gt;"","I",""))</f>
        <v>C</v>
      </c>
      <c r="D622" s="660">
        <v>88266</v>
      </c>
      <c r="E622" s="660"/>
      <c r="F622" s="612"/>
      <c r="G622" s="613" t="str">
        <f>IF($E622="",IFERROR(VLOOKUP($D622,SERVIÇOS!$C:$H,2,0),IFERROR(VLOOKUP($D622,$F:$M,2,0),"")),IFERROR(VLOOKUP($E622,INSUMOS!$B:$E,2,0),IFERROR(VLOOKUP($E622,COTAÇÕES!$C:$L,2,0),"")))</f>
        <v>ELETROTÉCNICO COM ENCARGOS COMPLEMENTARES</v>
      </c>
      <c r="H622" s="593" t="str">
        <f>IF($E622="",IFERROR(VLOOKUP($D622,SERVIÇOS!$C:$H,3,0),IFERROR(VLOOKUP($D622,$F:$M,3,0),"")),IFERROR(VLOOKUP($E622,INSUMOS!$B:$E,3,0),IFERROR(VLOOKUP($E622,COTAÇÕES!$C:$L,5,0),"")))</f>
        <v>H</v>
      </c>
      <c r="I622" s="644">
        <v>0.6</v>
      </c>
      <c r="J622" s="670">
        <f>IF($E622="",IFERROR(VLOOKUP($D622,SERVIÇOS!$C:$H,6,0),IFERROR(VLOOKUP($D622,$F:$M,8,0),"")),IFERROR(VLOOKUP($E622,INSUMOS!$B:$E,4,0),IFERROR(VLOOKUP($E622,COTAÇÕES!$C:$L,10,0),"")))</f>
        <v>37.520000000000003</v>
      </c>
      <c r="K622" s="615">
        <f>TRUNC(IF($E622="",IFERROR(VLOOKUP($D622,SERVIÇOS!$C:$H,4,0),IFERROR(VLOOKUP($D622,$F:$M,6,0),)),IFERROR(VLOOKUP($E622,INSUMOS!$B:$E,4,0),IFERROR(VLOOKUP($E622,COTAÇÕES!$C:$L,10,0),)))*$I622,2)</f>
        <v>3.99</v>
      </c>
      <c r="L622" s="616">
        <f>TRUNC(IF($E622="",IFERROR(VLOOKUP($D622,SERVIÇOS!$C:$H,5,0),IFERROR(VLOOKUP($D622,$F:$M,7,0),)),0)*$I622,2)</f>
        <v>18.510000000000002</v>
      </c>
      <c r="M622" s="617">
        <f>K622+L622</f>
        <v>22.5</v>
      </c>
      <c r="N622" s="753" t="str">
        <f t="shared" si="259"/>
        <v>SERVIÇO SINAPI</v>
      </c>
      <c r="O622" s="640"/>
    </row>
    <row r="623" spans="2:15">
      <c r="B623" s="122">
        <f t="shared" si="302"/>
        <v>1</v>
      </c>
      <c r="C623" s="611" t="str">
        <f t="shared" ref="C623:C625" si="303">IF(D623&lt;&gt;"","C",IF(E623&lt;&gt;"","I",""))</f>
        <v>C</v>
      </c>
      <c r="D623" s="660">
        <v>88264</v>
      </c>
      <c r="E623" s="660"/>
      <c r="F623" s="612"/>
      <c r="G623" s="613" t="str">
        <f>IF($E623="",IFERROR(VLOOKUP($D623,SERVIÇOS!$C:$H,2,0),IFERROR(VLOOKUP($D623,$F:$M,2,0),"")),IFERROR(VLOOKUP($E623,INSUMOS!$B:$E,2,0),IFERROR(VLOOKUP($E623,COTAÇÕES!$C:$L,2,0),"")))</f>
        <v>ELETRICISTA COM ENCARGOS COMPLEMENTARES</v>
      </c>
      <c r="H623" s="593" t="str">
        <f>IF($E623="",IFERROR(VLOOKUP($D623,SERVIÇOS!$C:$H,3,0),IFERROR(VLOOKUP($D623,$F:$M,3,0),"")),IFERROR(VLOOKUP($E623,INSUMOS!$B:$E,3,0),IFERROR(VLOOKUP($E623,COTAÇÕES!$C:$L,5,0),"")))</f>
        <v>H</v>
      </c>
      <c r="I623" s="644">
        <v>1.9</v>
      </c>
      <c r="J623" s="670">
        <f>IF($E623="",IFERROR(VLOOKUP($D623,SERVIÇOS!$C:$H,6,0),IFERROR(VLOOKUP($D623,$F:$M,8,0),"")),IFERROR(VLOOKUP($E623,INSUMOS!$B:$E,4,0),IFERROR(VLOOKUP($E623,COTAÇÕES!$C:$L,10,0),"")))</f>
        <v>31.32</v>
      </c>
      <c r="K623" s="615">
        <f>TRUNC(IF($E623="",IFERROR(VLOOKUP($D623,SERVIÇOS!$C:$H,4,0),IFERROR(VLOOKUP($D623,$F:$M,6,0),)),IFERROR(VLOOKUP($E623,INSUMOS!$B:$E,4,0),IFERROR(VLOOKUP($E623,COTAÇÕES!$C:$L,10,0),)))*$I623,2)</f>
        <v>12.65</v>
      </c>
      <c r="L623" s="616">
        <f>TRUNC(IF($E623="",IFERROR(VLOOKUP($D623,SERVIÇOS!$C:$H,5,0),IFERROR(VLOOKUP($D623,$F:$M,7,0),)),0)*$I623,2)</f>
        <v>46.85</v>
      </c>
      <c r="M623" s="617">
        <f t="shared" ref="M623:M625" si="304">K623+L623</f>
        <v>59.5</v>
      </c>
      <c r="N623" s="753" t="str">
        <f t="shared" si="259"/>
        <v>SERVIÇO SINAPI</v>
      </c>
      <c r="O623" s="640"/>
    </row>
    <row r="624" spans="2:15" ht="11.25" customHeight="1">
      <c r="B624" s="122">
        <f t="shared" si="302"/>
        <v>1</v>
      </c>
      <c r="C624" s="611" t="str">
        <f t="shared" si="303"/>
        <v>C</v>
      </c>
      <c r="D624" s="660">
        <v>88247</v>
      </c>
      <c r="E624" s="660"/>
      <c r="F624" s="612"/>
      <c r="G624" s="613" t="str">
        <f>IF($E624="",IFERROR(VLOOKUP($D624,SERVIÇOS!$C:$H,2,0),IFERROR(VLOOKUP($D624,$F:$M,2,0),"")),IFERROR(VLOOKUP($E624,INSUMOS!$B:$E,2,0),IFERROR(VLOOKUP($E624,COTAÇÕES!$C:$L,2,0),"")))</f>
        <v>AUXILIAR DE ELETRICISTA COM ENCARGOS COMPLEMENTARES</v>
      </c>
      <c r="H624" s="593" t="str">
        <f>IF($E624="",IFERROR(VLOOKUP($D624,SERVIÇOS!$C:$H,3,0),IFERROR(VLOOKUP($D624,$F:$M,3,0),"")),IFERROR(VLOOKUP($E624,INSUMOS!$B:$E,3,0),IFERROR(VLOOKUP($E624,COTAÇÕES!$C:$L,5,0),"")))</f>
        <v>H</v>
      </c>
      <c r="I624" s="644">
        <v>1.9</v>
      </c>
      <c r="J624" s="670">
        <f>IF($E624="",IFERROR(VLOOKUP($D624,SERVIÇOS!$C:$H,6,0),IFERROR(VLOOKUP($D624,$F:$M,8,0),"")),IFERROR(VLOOKUP($E624,INSUMOS!$B:$E,4,0),IFERROR(VLOOKUP($E624,COTAÇÕES!$C:$L,10,0),"")))</f>
        <v>25.53</v>
      </c>
      <c r="K624" s="615">
        <f>TRUNC(IF($E624="",IFERROR(VLOOKUP($D624,SERVIÇOS!$C:$H,4,0),IFERROR(VLOOKUP($D624,$F:$M,6,0),)),IFERROR(VLOOKUP($E624,INSUMOS!$B:$E,4,0),IFERROR(VLOOKUP($E624,COTAÇÕES!$C:$L,10,0),)))*$I624,2)</f>
        <v>12.65</v>
      </c>
      <c r="L624" s="616">
        <f>TRUNC(IF($E624="",IFERROR(VLOOKUP($D624,SERVIÇOS!$C:$H,5,0),IFERROR(VLOOKUP($D624,$F:$M,7,0),)),0)*$I624,2)</f>
        <v>35.85</v>
      </c>
      <c r="M624" s="617">
        <f t="shared" si="304"/>
        <v>48.5</v>
      </c>
      <c r="N624" s="753" t="str">
        <f t="shared" si="259"/>
        <v>SERVIÇO SINAPI</v>
      </c>
      <c r="O624" s="640"/>
    </row>
    <row r="625" spans="2:15" ht="11.25" customHeight="1">
      <c r="B625" s="122">
        <f t="shared" si="302"/>
        <v>1</v>
      </c>
      <c r="C625" s="611" t="str">
        <f t="shared" si="303"/>
        <v>I</v>
      </c>
      <c r="D625" s="660"/>
      <c r="E625" s="660">
        <v>39448</v>
      </c>
      <c r="F625" s="612"/>
      <c r="G625" s="613" t="str">
        <f>IF($E625="",IFERROR(VLOOKUP($D625,SERVIÇOS!$C:$H,2,0),IFERROR(VLOOKUP($D625,$F:$M,2,0),"")),IFERROR(VLOOKUP($E625,INSUMOS!$B:$E,2,0),IFERROR(VLOOKUP($E625,COTAÇÕES!$C:$L,2,0),"")))</f>
        <v xml:space="preserve">DISPOSITIVO DR, 2 POLOS, SENSIBILIDADE DE 30 MA, CORRENTE DE 80 A, TIPO AC                                                                                                                                                                                                                                                                                                                                                                                                                                </v>
      </c>
      <c r="H625" s="593" t="str">
        <f>IF($E625="",IFERROR(VLOOKUP($D625,SERVIÇOS!$C:$H,3,0),IFERROR(VLOOKUP($D625,$F:$M,3,0),"")),IFERROR(VLOOKUP($E625,INSUMOS!$B:$E,3,0),IFERROR(VLOOKUP($E625,COTAÇÕES!$C:$L,5,0),"")))</f>
        <v xml:space="preserve">UN    </v>
      </c>
      <c r="I625" s="644">
        <v>1</v>
      </c>
      <c r="J625" s="670">
        <f>IF($E625="",IFERROR(VLOOKUP($D625,SERVIÇOS!$C:$H,6,0),IFERROR(VLOOKUP($D625,$F:$M,8,0),"")),IFERROR(VLOOKUP($E625,INSUMOS!$B:$E,4,0),IFERROR(VLOOKUP($E625,COTAÇÕES!$C:$L,10,0),"")))</f>
        <v>311.55</v>
      </c>
      <c r="K625" s="615">
        <f>TRUNC(IF($E625="",IFERROR(VLOOKUP($D625,SERVIÇOS!$C:$H,4,0),IFERROR(VLOOKUP($D625,$F:$M,6,0),)),IFERROR(VLOOKUP($E625,INSUMOS!$B:$E,4,0),IFERROR(VLOOKUP($E625,COTAÇÕES!$C:$L,10,0),)))*$I625,2)</f>
        <v>311.55</v>
      </c>
      <c r="L625" s="616">
        <f>TRUNC(IF($E625="",IFERROR(VLOOKUP($D625,SERVIÇOS!$C:$H,5,0),IFERROR(VLOOKUP($D625,$F:$M,7,0),)),0)*$I625,2)</f>
        <v>0</v>
      </c>
      <c r="M625" s="617">
        <f t="shared" si="304"/>
        <v>311.55</v>
      </c>
      <c r="N625" s="753" t="str">
        <f t="shared" ref="N625" si="305">IF($D625&lt;&gt;"","SERVIÇO SINAPI",IF($E625&lt;&gt;"","INSUMO SINAPI",""))</f>
        <v>INSUMO SINAPI</v>
      </c>
      <c r="O625" s="640"/>
    </row>
    <row r="626" spans="2:15">
      <c r="B626" s="769">
        <f>SUMIF(ORC!$G$11:$G$2470,CPU!$F626,ORC!$J$11:$J$2470)</f>
        <v>7</v>
      </c>
      <c r="C626" s="515" t="s">
        <v>2239</v>
      </c>
      <c r="D626" s="515"/>
      <c r="E626" s="515"/>
      <c r="F626" s="515" t="s">
        <v>8981</v>
      </c>
      <c r="G626" s="516" t="s">
        <v>8982</v>
      </c>
      <c r="H626" s="515" t="s">
        <v>646</v>
      </c>
      <c r="I626" s="595"/>
      <c r="J626" s="596"/>
      <c r="K626" s="597">
        <f>SUM(K627:K629)</f>
        <v>13.58</v>
      </c>
      <c r="L626" s="597">
        <f>SUM(L627:L629)</f>
        <v>17.399999999999999</v>
      </c>
      <c r="M626" s="597">
        <f>SUM(K626:L626)</f>
        <v>30.979999999999997</v>
      </c>
      <c r="N626" s="598" t="s">
        <v>8925</v>
      </c>
      <c r="O626" s="953" t="s">
        <v>8907</v>
      </c>
    </row>
    <row r="627" spans="2:15">
      <c r="B627" s="122">
        <f t="shared" ref="B627:B629" si="306">B626</f>
        <v>7</v>
      </c>
      <c r="C627" s="611" t="str">
        <f>IF(D627&lt;&gt;"","C",IF(E627&lt;&gt;"","I",""))</f>
        <v>C</v>
      </c>
      <c r="D627" s="660">
        <v>88264</v>
      </c>
      <c r="E627" s="660"/>
      <c r="F627" s="612"/>
      <c r="G627" s="613" t="str">
        <f>IF($E627="",IFERROR(VLOOKUP($D627,SERVIÇOS!$C:$H,2,0),IFERROR(VLOOKUP($D627,$F:$M,2,0),"")),IFERROR(VLOOKUP($E627,INSUMOS!$B:$E,2,0),IFERROR(VLOOKUP($E627,COTAÇÕES!$C:$L,2,0),"")))</f>
        <v>ELETRICISTA COM ENCARGOS COMPLEMENTARES</v>
      </c>
      <c r="H627" s="593" t="str">
        <f>IF($E627="",IFERROR(VLOOKUP($D627,SERVIÇOS!$C:$H,3,0),IFERROR(VLOOKUP($D627,$F:$M,3,0),"")),IFERROR(VLOOKUP($E627,INSUMOS!$B:$E,3,0),IFERROR(VLOOKUP($E627,COTAÇÕES!$C:$L,5,0),"")))</f>
        <v>H</v>
      </c>
      <c r="I627" s="644">
        <v>0.4</v>
      </c>
      <c r="J627" s="670">
        <f>IF($E627="",IFERROR(VLOOKUP($D627,SERVIÇOS!$C:$H,6,0),IFERROR(VLOOKUP($D627,$F:$M,8,0),"")),IFERROR(VLOOKUP($E627,INSUMOS!$B:$E,4,0),IFERROR(VLOOKUP($E627,COTAÇÕES!$C:$L,10,0),"")))</f>
        <v>31.32</v>
      </c>
      <c r="K627" s="615">
        <f>TRUNC(IF($E627="",IFERROR(VLOOKUP($D627,SERVIÇOS!$C:$H,4,0),IFERROR(VLOOKUP($D627,$F:$M,6,0),)),IFERROR(VLOOKUP($E627,INSUMOS!$B:$E,4,0),IFERROR(VLOOKUP($E627,COTAÇÕES!$C:$L,10,0),)))*$I627,2)</f>
        <v>2.66</v>
      </c>
      <c r="L627" s="616">
        <f>TRUNC(IF($E627="",IFERROR(VLOOKUP($D627,SERVIÇOS!$C:$H,5,0),IFERROR(VLOOKUP($D627,$F:$M,7,0),)),0)*$I627,2)</f>
        <v>9.86</v>
      </c>
      <c r="M627" s="617">
        <f>K627+L627</f>
        <v>12.52</v>
      </c>
      <c r="N627" s="753" t="str">
        <f t="shared" ref="N627:N633" si="307">IF($D627&lt;&gt;"","SERVIÇO SINAPI",IF($E627&lt;&gt;"","INSUMO SINAPI",""))</f>
        <v>SERVIÇO SINAPI</v>
      </c>
      <c r="O627" s="640"/>
    </row>
    <row r="628" spans="2:15">
      <c r="B628" s="122">
        <f t="shared" si="306"/>
        <v>7</v>
      </c>
      <c r="C628" s="611" t="str">
        <f t="shared" ref="C628:C629" si="308">IF(D628&lt;&gt;"","C",IF(E628&lt;&gt;"","I",""))</f>
        <v>C</v>
      </c>
      <c r="D628" s="660">
        <v>88247</v>
      </c>
      <c r="E628" s="660"/>
      <c r="F628" s="612"/>
      <c r="G628" s="613" t="str">
        <f>IF($E628="",IFERROR(VLOOKUP($D628,SERVIÇOS!$C:$H,2,0),IFERROR(VLOOKUP($D628,$F:$M,2,0),"")),IFERROR(VLOOKUP($E628,INSUMOS!$B:$E,2,0),IFERROR(VLOOKUP($E628,COTAÇÕES!$C:$L,2,0),"")))</f>
        <v>AUXILIAR DE ELETRICISTA COM ENCARGOS COMPLEMENTARES</v>
      </c>
      <c r="H628" s="593" t="str">
        <f>IF($E628="",IFERROR(VLOOKUP($D628,SERVIÇOS!$C:$H,3,0),IFERROR(VLOOKUP($D628,$F:$M,3,0),"")),IFERROR(VLOOKUP($E628,INSUMOS!$B:$E,3,0),IFERROR(VLOOKUP($E628,COTAÇÕES!$C:$L,5,0),"")))</f>
        <v>H</v>
      </c>
      <c r="I628" s="644">
        <v>0.4</v>
      </c>
      <c r="J628" s="670">
        <f>IF($E628="",IFERROR(VLOOKUP($D628,SERVIÇOS!$C:$H,6,0),IFERROR(VLOOKUP($D628,$F:$M,8,0),"")),IFERROR(VLOOKUP($E628,INSUMOS!$B:$E,4,0),IFERROR(VLOOKUP($E628,COTAÇÕES!$C:$L,10,0),"")))</f>
        <v>25.53</v>
      </c>
      <c r="K628" s="615">
        <f>TRUNC(IF($E628="",IFERROR(VLOOKUP($D628,SERVIÇOS!$C:$H,4,0),IFERROR(VLOOKUP($D628,$F:$M,6,0),)),IFERROR(VLOOKUP($E628,INSUMOS!$B:$E,4,0),IFERROR(VLOOKUP($E628,COTAÇÕES!$C:$L,10,0),)))*$I628,2)</f>
        <v>2.66</v>
      </c>
      <c r="L628" s="616">
        <f>TRUNC(IF($E628="",IFERROR(VLOOKUP($D628,SERVIÇOS!$C:$H,5,0),IFERROR(VLOOKUP($D628,$F:$M,7,0),)),0)*$I628,2)</f>
        <v>7.54</v>
      </c>
      <c r="M628" s="617">
        <f t="shared" ref="M628:M629" si="309">K628+L628</f>
        <v>10.199999999999999</v>
      </c>
      <c r="N628" s="753" t="str">
        <f t="shared" si="307"/>
        <v>SERVIÇO SINAPI</v>
      </c>
      <c r="O628" s="640"/>
    </row>
    <row r="629" spans="2:15">
      <c r="B629" s="122">
        <f t="shared" si="306"/>
        <v>7</v>
      </c>
      <c r="C629" s="611" t="str">
        <f t="shared" si="308"/>
        <v>I</v>
      </c>
      <c r="D629" s="660"/>
      <c r="E629" s="660">
        <v>1588</v>
      </c>
      <c r="F629" s="612"/>
      <c r="G629" s="613" t="str">
        <f>IF($E629="",IFERROR(VLOOKUP($D629,SERVIÇOS!$C:$H,2,0),IFERROR(VLOOKUP($D629,$F:$M,2,0),"")),IFERROR(VLOOKUP($E629,INSUMOS!$B:$E,2,0),IFERROR(VLOOKUP($E629,COTAÇÕES!$C:$L,2,0),"")))</f>
        <v xml:space="preserve">TERMINAL METALICO A PRESSAO PARA 1 CABO DE 50 MM2, COM 1 FURO DE FIXACAO                                                                                                                                                                                                                                                                                                                                                                                                                                  </v>
      </c>
      <c r="H629" s="593" t="str">
        <f>IF($E629="",IFERROR(VLOOKUP($D629,SERVIÇOS!$C:$H,3,0),IFERROR(VLOOKUP($D629,$F:$M,3,0),"")),IFERROR(VLOOKUP($E629,INSUMOS!$B:$E,3,0),IFERROR(VLOOKUP($E629,COTAÇÕES!$C:$L,5,0),"")))</f>
        <v xml:space="preserve">UN    </v>
      </c>
      <c r="I629" s="644">
        <v>1</v>
      </c>
      <c r="J629" s="670">
        <f>IF($E629="",IFERROR(VLOOKUP($D629,SERVIÇOS!$C:$H,6,0),IFERROR(VLOOKUP($D629,$F:$M,8,0),"")),IFERROR(VLOOKUP($E629,INSUMOS!$B:$E,4,0),IFERROR(VLOOKUP($E629,COTAÇÕES!$C:$L,10,0),"")))</f>
        <v>8.26</v>
      </c>
      <c r="K629" s="615">
        <f>TRUNC(IF($E629="",IFERROR(VLOOKUP($D629,SERVIÇOS!$C:$H,4,0),IFERROR(VLOOKUP($D629,$F:$M,6,0),)),IFERROR(VLOOKUP($E629,INSUMOS!$B:$E,4,0),IFERROR(VLOOKUP($E629,COTAÇÕES!$C:$L,10,0),)))*$I629,2)</f>
        <v>8.26</v>
      </c>
      <c r="L629" s="616">
        <f>TRUNC(IF($E629="",IFERROR(VLOOKUP($D629,SERVIÇOS!$C:$H,5,0),IFERROR(VLOOKUP($D629,$F:$M,7,0),)),0)*$I629,2)</f>
        <v>0</v>
      </c>
      <c r="M629" s="617">
        <f t="shared" si="309"/>
        <v>8.26</v>
      </c>
      <c r="N629" s="753" t="str">
        <f t="shared" si="307"/>
        <v>INSUMO SINAPI</v>
      </c>
      <c r="O629" s="640"/>
    </row>
    <row r="630" spans="2:15">
      <c r="B630" s="769">
        <f>SUMIF(ORC!$G$11:$G$2470,CPU!$F630,ORC!$J$11:$J$2470)</f>
        <v>7</v>
      </c>
      <c r="C630" s="515" t="s">
        <v>2239</v>
      </c>
      <c r="D630" s="515"/>
      <c r="E630" s="515"/>
      <c r="F630" s="515" t="s">
        <v>8985</v>
      </c>
      <c r="G630" s="516" t="s">
        <v>8984</v>
      </c>
      <c r="H630" s="515" t="s">
        <v>646</v>
      </c>
      <c r="I630" s="595"/>
      <c r="J630" s="596"/>
      <c r="K630" s="597">
        <f>SUM(K631:K633)</f>
        <v>11.34</v>
      </c>
      <c r="L630" s="597">
        <f>SUM(L631:L633)</f>
        <v>17.399999999999999</v>
      </c>
      <c r="M630" s="597">
        <f>SUM(K630:L630)</f>
        <v>28.74</v>
      </c>
      <c r="N630" s="598" t="s">
        <v>8925</v>
      </c>
      <c r="O630" s="953" t="s">
        <v>8907</v>
      </c>
    </row>
    <row r="631" spans="2:15">
      <c r="B631" s="122">
        <f t="shared" ref="B631:B633" si="310">B630</f>
        <v>7</v>
      </c>
      <c r="C631" s="611" t="str">
        <f>IF(D631&lt;&gt;"","C",IF(E631&lt;&gt;"","I",""))</f>
        <v>C</v>
      </c>
      <c r="D631" s="660">
        <v>88264</v>
      </c>
      <c r="E631" s="660"/>
      <c r="F631" s="612"/>
      <c r="G631" s="613" t="str">
        <f>IF($E631="",IFERROR(VLOOKUP($D631,SERVIÇOS!$C:$H,2,0),IFERROR(VLOOKUP($D631,$F:$M,2,0),"")),IFERROR(VLOOKUP($E631,INSUMOS!$B:$E,2,0),IFERROR(VLOOKUP($E631,COTAÇÕES!$C:$L,2,0),"")))</f>
        <v>ELETRICISTA COM ENCARGOS COMPLEMENTARES</v>
      </c>
      <c r="H631" s="593" t="str">
        <f>IF($E631="",IFERROR(VLOOKUP($D631,SERVIÇOS!$C:$H,3,0),IFERROR(VLOOKUP($D631,$F:$M,3,0),"")),IFERROR(VLOOKUP($E631,INSUMOS!$B:$E,3,0),IFERROR(VLOOKUP($E631,COTAÇÕES!$C:$L,5,0),"")))</f>
        <v>H</v>
      </c>
      <c r="I631" s="644">
        <v>0.4</v>
      </c>
      <c r="J631" s="670">
        <f>IF($E631="",IFERROR(VLOOKUP($D631,SERVIÇOS!$C:$H,6,0),IFERROR(VLOOKUP($D631,$F:$M,8,0),"")),IFERROR(VLOOKUP($E631,INSUMOS!$B:$E,4,0),IFERROR(VLOOKUP($E631,COTAÇÕES!$C:$L,10,0),"")))</f>
        <v>31.32</v>
      </c>
      <c r="K631" s="615">
        <f>TRUNC(IF($E631="",IFERROR(VLOOKUP($D631,SERVIÇOS!$C:$H,4,0),IFERROR(VLOOKUP($D631,$F:$M,6,0),)),IFERROR(VLOOKUP($E631,INSUMOS!$B:$E,4,0),IFERROR(VLOOKUP($E631,COTAÇÕES!$C:$L,10,0),)))*$I631,2)</f>
        <v>2.66</v>
      </c>
      <c r="L631" s="616">
        <f>TRUNC(IF($E631="",IFERROR(VLOOKUP($D631,SERVIÇOS!$C:$H,5,0),IFERROR(VLOOKUP($D631,$F:$M,7,0),)),0)*$I631,2)</f>
        <v>9.86</v>
      </c>
      <c r="M631" s="617">
        <f>K631+L631</f>
        <v>12.52</v>
      </c>
      <c r="N631" s="753" t="str">
        <f t="shared" si="307"/>
        <v>SERVIÇO SINAPI</v>
      </c>
      <c r="O631" s="640"/>
    </row>
    <row r="632" spans="2:15">
      <c r="B632" s="122">
        <f t="shared" si="310"/>
        <v>7</v>
      </c>
      <c r="C632" s="611" t="str">
        <f t="shared" ref="C632:C633" si="311">IF(D632&lt;&gt;"","C",IF(E632&lt;&gt;"","I",""))</f>
        <v>C</v>
      </c>
      <c r="D632" s="660">
        <v>88247</v>
      </c>
      <c r="E632" s="660"/>
      <c r="F632" s="612"/>
      <c r="G632" s="613" t="str">
        <f>IF($E632="",IFERROR(VLOOKUP($D632,SERVIÇOS!$C:$H,2,0),IFERROR(VLOOKUP($D632,$F:$M,2,0),"")),IFERROR(VLOOKUP($E632,INSUMOS!$B:$E,2,0),IFERROR(VLOOKUP($E632,COTAÇÕES!$C:$L,2,0),"")))</f>
        <v>AUXILIAR DE ELETRICISTA COM ENCARGOS COMPLEMENTARES</v>
      </c>
      <c r="H632" s="593" t="str">
        <f>IF($E632="",IFERROR(VLOOKUP($D632,SERVIÇOS!$C:$H,3,0),IFERROR(VLOOKUP($D632,$F:$M,3,0),"")),IFERROR(VLOOKUP($E632,INSUMOS!$B:$E,3,0),IFERROR(VLOOKUP($E632,COTAÇÕES!$C:$L,5,0),"")))</f>
        <v>H</v>
      </c>
      <c r="I632" s="644">
        <v>0.4</v>
      </c>
      <c r="J632" s="670">
        <f>IF($E632="",IFERROR(VLOOKUP($D632,SERVIÇOS!$C:$H,6,0),IFERROR(VLOOKUP($D632,$F:$M,8,0),"")),IFERROR(VLOOKUP($E632,INSUMOS!$B:$E,4,0),IFERROR(VLOOKUP($E632,COTAÇÕES!$C:$L,10,0),"")))</f>
        <v>25.53</v>
      </c>
      <c r="K632" s="615">
        <f>TRUNC(IF($E632="",IFERROR(VLOOKUP($D632,SERVIÇOS!$C:$H,4,0),IFERROR(VLOOKUP($D632,$F:$M,6,0),)),IFERROR(VLOOKUP($E632,INSUMOS!$B:$E,4,0),IFERROR(VLOOKUP($E632,COTAÇÕES!$C:$L,10,0),)))*$I632,2)</f>
        <v>2.66</v>
      </c>
      <c r="L632" s="616">
        <f>TRUNC(IF($E632="",IFERROR(VLOOKUP($D632,SERVIÇOS!$C:$H,5,0),IFERROR(VLOOKUP($D632,$F:$M,7,0),)),0)*$I632,2)</f>
        <v>7.54</v>
      </c>
      <c r="M632" s="617">
        <f t="shared" ref="M632:M633" si="312">K632+L632</f>
        <v>10.199999999999999</v>
      </c>
      <c r="N632" s="753" t="str">
        <f t="shared" si="307"/>
        <v>SERVIÇO SINAPI</v>
      </c>
      <c r="O632" s="640"/>
    </row>
    <row r="633" spans="2:15">
      <c r="B633" s="122">
        <f t="shared" si="310"/>
        <v>7</v>
      </c>
      <c r="C633" s="611" t="str">
        <f t="shared" si="311"/>
        <v>I</v>
      </c>
      <c r="D633" s="660"/>
      <c r="E633" s="660">
        <v>1587</v>
      </c>
      <c r="F633" s="612"/>
      <c r="G633" s="613" t="str">
        <f>IF($E633="",IFERROR(VLOOKUP($D633,SERVIÇOS!$C:$H,2,0),IFERROR(VLOOKUP($D633,$F:$M,2,0),"")),IFERROR(VLOOKUP($E633,INSUMOS!$B:$E,2,0),IFERROR(VLOOKUP($E633,COTAÇÕES!$C:$L,2,0),"")))</f>
        <v xml:space="preserve">TERMINAL METALICO A PRESSAO PARA 1 CABO DE 35 MM2, COM 1 FURO DE FIXACAO                                                                                                                                                                                                                                                                                                                                                                                                                                  </v>
      </c>
      <c r="H633" s="593" t="str">
        <f>IF($E633="",IFERROR(VLOOKUP($D633,SERVIÇOS!$C:$H,3,0),IFERROR(VLOOKUP($D633,$F:$M,3,0),"")),IFERROR(VLOOKUP($E633,INSUMOS!$B:$E,3,0),IFERROR(VLOOKUP($E633,COTAÇÕES!$C:$L,5,0),"")))</f>
        <v xml:space="preserve">UN    </v>
      </c>
      <c r="I633" s="644">
        <v>1</v>
      </c>
      <c r="J633" s="670">
        <f>IF($E633="",IFERROR(VLOOKUP($D633,SERVIÇOS!$C:$H,6,0),IFERROR(VLOOKUP($D633,$F:$M,8,0),"")),IFERROR(VLOOKUP($E633,INSUMOS!$B:$E,4,0),IFERROR(VLOOKUP($E633,COTAÇÕES!$C:$L,10,0),"")))</f>
        <v>6.02</v>
      </c>
      <c r="K633" s="615">
        <f>TRUNC(IF($E633="",IFERROR(VLOOKUP($D633,SERVIÇOS!$C:$H,4,0),IFERROR(VLOOKUP($D633,$F:$M,6,0),)),IFERROR(VLOOKUP($E633,INSUMOS!$B:$E,4,0),IFERROR(VLOOKUP($E633,COTAÇÕES!$C:$L,10,0),)))*$I633,2)</f>
        <v>6.02</v>
      </c>
      <c r="L633" s="616">
        <f>TRUNC(IF($E633="",IFERROR(VLOOKUP($D633,SERVIÇOS!$C:$H,5,0),IFERROR(VLOOKUP($D633,$F:$M,7,0),)),0)*$I633,2)</f>
        <v>0</v>
      </c>
      <c r="M633" s="617">
        <f t="shared" si="312"/>
        <v>6.02</v>
      </c>
      <c r="N633" s="753" t="str">
        <f t="shared" si="307"/>
        <v>INSUMO SINAPI</v>
      </c>
      <c r="O633" s="640"/>
    </row>
    <row r="634" spans="2:15">
      <c r="B634" s="769">
        <f>SUMIF(ORC!$G$11:$G$2470,CPU!$F634,ORC!$J$11:$J$2470)</f>
        <v>6</v>
      </c>
      <c r="C634" s="515" t="s">
        <v>2239</v>
      </c>
      <c r="D634" s="515"/>
      <c r="E634" s="515"/>
      <c r="F634" s="515" t="s">
        <v>9010</v>
      </c>
      <c r="G634" s="516" t="s">
        <v>9012</v>
      </c>
      <c r="H634" s="515" t="s">
        <v>648</v>
      </c>
      <c r="I634" s="595"/>
      <c r="J634" s="596"/>
      <c r="K634" s="597">
        <f>SUM(K635:K638)</f>
        <v>248.88</v>
      </c>
      <c r="L634" s="597">
        <f>SUM(L635:L638)</f>
        <v>41.87</v>
      </c>
      <c r="M634" s="597">
        <f>SUM(K634:L634)</f>
        <v>290.75</v>
      </c>
      <c r="N634" s="598" t="s">
        <v>9011</v>
      </c>
      <c r="O634" s="953" t="s">
        <v>8383</v>
      </c>
    </row>
    <row r="635" spans="2:15">
      <c r="B635" s="122">
        <f t="shared" ref="B635:B638" si="313">B634</f>
        <v>6</v>
      </c>
      <c r="C635" s="611" t="str">
        <f>IF(D635&lt;&gt;"","C",IF(E635&lt;&gt;"","I",""))</f>
        <v>C</v>
      </c>
      <c r="D635" s="660">
        <v>88264</v>
      </c>
      <c r="E635" s="660"/>
      <c r="F635" s="612"/>
      <c r="G635" s="613" t="str">
        <f>IF($E635="",IFERROR(VLOOKUP($D635,SERVIÇOS!$C:$H,2,0),IFERROR(VLOOKUP($D635,$F:$M,2,0),"")),IFERROR(VLOOKUP($E635,INSUMOS!$B:$E,2,0),IFERROR(VLOOKUP($E635,COTAÇÕES!$C:$L,2,0),"")))</f>
        <v>ELETRICISTA COM ENCARGOS COMPLEMENTARES</v>
      </c>
      <c r="H635" s="593" t="str">
        <f>IF($E635="",IFERROR(VLOOKUP($D635,SERVIÇOS!$C:$H,3,0),IFERROR(VLOOKUP($D635,$F:$M,3,0),"")),IFERROR(VLOOKUP($E635,INSUMOS!$B:$E,3,0),IFERROR(VLOOKUP($E635,COTAÇÕES!$C:$L,5,0),"")))</f>
        <v>H</v>
      </c>
      <c r="I635" s="644">
        <v>0.96199999999999997</v>
      </c>
      <c r="J635" s="670">
        <f>IF($E635="",IFERROR(VLOOKUP($D635,SERVIÇOS!$C:$H,6,0),IFERROR(VLOOKUP($D635,$F:$M,8,0),"")),IFERROR(VLOOKUP($E635,INSUMOS!$B:$E,4,0),IFERROR(VLOOKUP($E635,COTAÇÕES!$C:$L,10,0),"")))</f>
        <v>31.32</v>
      </c>
      <c r="K635" s="615">
        <f>TRUNC(IF($E635="",IFERROR(VLOOKUP($D635,SERVIÇOS!$C:$H,4,0),IFERROR(VLOOKUP($D635,$F:$M,6,0),)),IFERROR(VLOOKUP($E635,INSUMOS!$B:$E,4,0),IFERROR(VLOOKUP($E635,COTAÇÕES!$C:$L,10,0),)))*$I635,2)</f>
        <v>6.4</v>
      </c>
      <c r="L635" s="616">
        <f>TRUNC(IF($E635="",IFERROR(VLOOKUP($D635,SERVIÇOS!$C:$H,5,0),IFERROR(VLOOKUP($D635,$F:$M,7,0),)),0)*$I635,2)</f>
        <v>23.72</v>
      </c>
      <c r="M635" s="617">
        <f>K635+L635</f>
        <v>30.119999999999997</v>
      </c>
      <c r="N635" s="753" t="str">
        <f t="shared" ref="N635:N636" si="314">IF($D635&lt;&gt;"","SERVIÇO SINAPI",IF($E635&lt;&gt;"","INSUMO SINAPI",""))</f>
        <v>SERVIÇO SINAPI</v>
      </c>
      <c r="O635" s="640"/>
    </row>
    <row r="636" spans="2:15">
      <c r="B636" s="122">
        <f t="shared" si="313"/>
        <v>6</v>
      </c>
      <c r="C636" s="611" t="str">
        <f t="shared" ref="C636:C638" si="315">IF(D636&lt;&gt;"","C",IF(E636&lt;&gt;"","I",""))</f>
        <v>C</v>
      </c>
      <c r="D636" s="660">
        <v>88247</v>
      </c>
      <c r="E636" s="660"/>
      <c r="F636" s="612"/>
      <c r="G636" s="613" t="str">
        <f>IF($E636="",IFERROR(VLOOKUP($D636,SERVIÇOS!$C:$H,2,0),IFERROR(VLOOKUP($D636,$F:$M,2,0),"")),IFERROR(VLOOKUP($E636,INSUMOS!$B:$E,2,0),IFERROR(VLOOKUP($E636,COTAÇÕES!$C:$L,2,0),"")))</f>
        <v>AUXILIAR DE ELETRICISTA COM ENCARGOS COMPLEMENTARES</v>
      </c>
      <c r="H636" s="593" t="str">
        <f>IF($E636="",IFERROR(VLOOKUP($D636,SERVIÇOS!$C:$H,3,0),IFERROR(VLOOKUP($D636,$F:$M,3,0),"")),IFERROR(VLOOKUP($E636,INSUMOS!$B:$E,3,0),IFERROR(VLOOKUP($E636,COTAÇÕES!$C:$L,5,0),"")))</f>
        <v>H</v>
      </c>
      <c r="I636" s="644">
        <v>0.96199999999999997</v>
      </c>
      <c r="J636" s="670">
        <f>IF($E636="",IFERROR(VLOOKUP($D636,SERVIÇOS!$C:$H,6,0),IFERROR(VLOOKUP($D636,$F:$M,8,0),"")),IFERROR(VLOOKUP($E636,INSUMOS!$B:$E,4,0),IFERROR(VLOOKUP($E636,COTAÇÕES!$C:$L,10,0),"")))</f>
        <v>25.53</v>
      </c>
      <c r="K636" s="615">
        <f>TRUNC(IF($E636="",IFERROR(VLOOKUP($D636,SERVIÇOS!$C:$H,4,0),IFERROR(VLOOKUP($D636,$F:$M,6,0),)),IFERROR(VLOOKUP($E636,INSUMOS!$B:$E,4,0),IFERROR(VLOOKUP($E636,COTAÇÕES!$C:$L,10,0),)))*$I636,2)</f>
        <v>6.4</v>
      </c>
      <c r="L636" s="616">
        <f>TRUNC(IF($E636="",IFERROR(VLOOKUP($D636,SERVIÇOS!$C:$H,5,0),IFERROR(VLOOKUP($D636,$F:$M,7,0),)),0)*$I636,2)</f>
        <v>18.149999999999999</v>
      </c>
      <c r="M636" s="617">
        <f t="shared" ref="M636:M638" si="316">K636+L636</f>
        <v>24.549999999999997</v>
      </c>
      <c r="N636" s="753" t="str">
        <f t="shared" si="314"/>
        <v>SERVIÇO SINAPI</v>
      </c>
      <c r="O636" s="640"/>
    </row>
    <row r="637" spans="2:15" ht="11.25" customHeight="1">
      <c r="B637" s="122">
        <f t="shared" si="313"/>
        <v>6</v>
      </c>
      <c r="C637" s="611" t="str">
        <f t="shared" ref="C637" si="317">IF(D637&lt;&gt;"","C",IF(E637&lt;&gt;"","I",""))</f>
        <v>I</v>
      </c>
      <c r="D637" s="660"/>
      <c r="E637" s="660" t="s">
        <v>8950</v>
      </c>
      <c r="F637" s="612"/>
      <c r="G637" s="613" t="str">
        <f>IF($E637="",IFERROR(VLOOKUP($D637,SERVIÇOS!$C:$H,2,0),IFERROR(VLOOKUP($D637,$F:$M,2,0),"")),IFERROR(VLOOKUP($E637,INSUMOS!$B:$E,2,0),IFERROR(VLOOKUP($E637,COTAÇÕES!$C:$L,2,0),"")))</f>
        <v xml:space="preserve">LUMINÁRIA IP65 SOLO PAR 38 D.17,5cm </v>
      </c>
      <c r="H637" s="593" t="str">
        <f>IF($E637="",IFERROR(VLOOKUP($D637,SERVIÇOS!$C:$H,3,0),IFERROR(VLOOKUP($D637,$F:$M,3,0),"")),IFERROR(VLOOKUP($E637,INSUMOS!$B:$E,3,0),IFERROR(VLOOKUP($E637,COTAÇÕES!$C:$L,5,0),"")))</f>
        <v>UN</v>
      </c>
      <c r="I637" s="644">
        <v>1</v>
      </c>
      <c r="J637" s="670">
        <f>IF($E637="",IFERROR(VLOOKUP($D637,SERVIÇOS!$C:$H,6,0),IFERROR(VLOOKUP($D637,$F:$M,8,0),"")),IFERROR(VLOOKUP($E637,INSUMOS!$B:$E,4,0),IFERROR(VLOOKUP($E637,COTAÇÕES!$C:$L,10,0),"")))</f>
        <v>163.72666666666666</v>
      </c>
      <c r="K637" s="615">
        <f>TRUNC(IF($E637="",IFERROR(VLOOKUP($D637,SERVIÇOS!$C:$H,4,0),IFERROR(VLOOKUP($D637,$F:$M,6,0),)),IFERROR(VLOOKUP($E637,INSUMOS!$B:$E,4,0),IFERROR(VLOOKUP($E637,COTAÇÕES!$C:$L,10,0),)))*$I637,2)</f>
        <v>163.72</v>
      </c>
      <c r="L637" s="616">
        <f>TRUNC(IF($E637="",IFERROR(VLOOKUP($D637,SERVIÇOS!$C:$H,5,0),IFERROR(VLOOKUP($D637,$F:$M,7,0),)),0)*$I637,2)</f>
        <v>0</v>
      </c>
      <c r="M637" s="617">
        <f t="shared" ref="M637" si="318">K637+L637</f>
        <v>163.72</v>
      </c>
      <c r="N637" s="753" t="s">
        <v>6845</v>
      </c>
      <c r="O637" s="640"/>
    </row>
    <row r="638" spans="2:15" ht="11.25" customHeight="1">
      <c r="B638" s="122">
        <f t="shared" si="313"/>
        <v>6</v>
      </c>
      <c r="C638" s="611" t="str">
        <f t="shared" si="315"/>
        <v>I</v>
      </c>
      <c r="D638" s="660"/>
      <c r="E638" s="660" t="s">
        <v>9183</v>
      </c>
      <c r="F638" s="612"/>
      <c r="G638" s="613" t="str">
        <f>IF($E638="",IFERROR(VLOOKUP($D638,SERVIÇOS!$C:$H,2,0),IFERROR(VLOOKUP($D638,$F:$M,2,0),"")),IFERROR(VLOOKUP($E638,INSUMOS!$B:$E,2,0),IFERROR(VLOOKUP($E638,COTAÇÕES!$C:$L,2,0),"")))</f>
        <v xml:space="preserve">LÂMPADA LED PAR 38 IP 65 14W E27 2700K </v>
      </c>
      <c r="H638" s="593" t="str">
        <f>IF($E638="",IFERROR(VLOOKUP($D638,SERVIÇOS!$C:$H,3,0),IFERROR(VLOOKUP($D638,$F:$M,3,0),"")),IFERROR(VLOOKUP($E638,INSUMOS!$B:$E,3,0),IFERROR(VLOOKUP($E638,COTAÇÕES!$C:$L,5,0),"")))</f>
        <v>UN</v>
      </c>
      <c r="I638" s="644">
        <v>1</v>
      </c>
      <c r="J638" s="670">
        <f>IF($E638="",IFERROR(VLOOKUP($D638,SERVIÇOS!$C:$H,6,0),IFERROR(VLOOKUP($D638,$F:$M,8,0),"")),IFERROR(VLOOKUP($E638,INSUMOS!$B:$E,4,0),IFERROR(VLOOKUP($E638,COTAÇÕES!$C:$L,10,0),"")))</f>
        <v>72.36666666666666</v>
      </c>
      <c r="K638" s="615">
        <f>TRUNC(IF($E638="",IFERROR(VLOOKUP($D638,SERVIÇOS!$C:$H,4,0),IFERROR(VLOOKUP($D638,$F:$M,6,0),)),IFERROR(VLOOKUP($E638,INSUMOS!$B:$E,4,0),IFERROR(VLOOKUP($E638,COTAÇÕES!$C:$L,10,0),)))*$I638,2)</f>
        <v>72.36</v>
      </c>
      <c r="L638" s="616">
        <f>TRUNC(IF($E638="",IFERROR(VLOOKUP($D638,SERVIÇOS!$C:$H,5,0),IFERROR(VLOOKUP($D638,$F:$M,7,0),)),0)*$I638,2)</f>
        <v>0</v>
      </c>
      <c r="M638" s="617">
        <f t="shared" si="316"/>
        <v>72.36</v>
      </c>
      <c r="N638" s="753" t="s">
        <v>6845</v>
      </c>
      <c r="O638" s="640"/>
    </row>
    <row r="639" spans="2:15">
      <c r="B639" s="769">
        <f>SUMIF(ORC!$G$11:$G$2470,CPU!$F639,ORC!$J$11:$J$2470)</f>
        <v>16</v>
      </c>
      <c r="C639" s="515" t="s">
        <v>2239</v>
      </c>
      <c r="D639" s="515"/>
      <c r="E639" s="515"/>
      <c r="F639" s="515" t="s">
        <v>9013</v>
      </c>
      <c r="G639" s="516" t="s">
        <v>9014</v>
      </c>
      <c r="H639" s="515" t="s">
        <v>646</v>
      </c>
      <c r="I639" s="595"/>
      <c r="J639" s="596"/>
      <c r="K639" s="597">
        <f>SUM(K640:K643)</f>
        <v>66.31</v>
      </c>
      <c r="L639" s="597">
        <f>SUM(L640:L643)</f>
        <v>47.870000000000005</v>
      </c>
      <c r="M639" s="597">
        <f>SUM(K639:L639)</f>
        <v>114.18</v>
      </c>
      <c r="N639" s="598" t="s">
        <v>8949</v>
      </c>
      <c r="O639" s="953" t="s">
        <v>7579</v>
      </c>
    </row>
    <row r="640" spans="2:15">
      <c r="B640" s="122">
        <f t="shared" ref="B640:B643" si="319">B639</f>
        <v>16</v>
      </c>
      <c r="C640" s="611" t="str">
        <f>IF(D640&lt;&gt;"","C",IF(E640&lt;&gt;"","I",""))</f>
        <v>C</v>
      </c>
      <c r="D640" s="660">
        <v>88247</v>
      </c>
      <c r="E640" s="660"/>
      <c r="F640" s="612"/>
      <c r="G640" s="613" t="str">
        <f>IF($E640="",IFERROR(VLOOKUP($D640,SERVIÇOS!$C:$H,2,0),IFERROR(VLOOKUP($D640,$F:$M,2,0),"")),IFERROR(VLOOKUP($E640,INSUMOS!$B:$E,2,0),IFERROR(VLOOKUP($E640,COTAÇÕES!$C:$L,2,0),"")))</f>
        <v>AUXILIAR DE ELETRICISTA COM ENCARGOS COMPLEMENTARES</v>
      </c>
      <c r="H640" s="593" t="str">
        <f>IF($E640="",IFERROR(VLOOKUP($D640,SERVIÇOS!$C:$H,3,0),IFERROR(VLOOKUP($D640,$F:$M,3,0),"")),IFERROR(VLOOKUP($E640,INSUMOS!$B:$E,3,0),IFERROR(VLOOKUP($E640,COTAÇÕES!$C:$L,5,0),"")))</f>
        <v>H</v>
      </c>
      <c r="I640" s="644">
        <v>1.1000000000000001</v>
      </c>
      <c r="J640" s="670">
        <f>IF($E640="",IFERROR(VLOOKUP($D640,SERVIÇOS!$C:$H,6,0),IFERROR(VLOOKUP($D640,$F:$M,8,0),"")),IFERROR(VLOOKUP($E640,INSUMOS!$B:$E,4,0),IFERROR(VLOOKUP($E640,COTAÇÕES!$C:$L,10,0),"")))</f>
        <v>25.53</v>
      </c>
      <c r="K640" s="615">
        <f>TRUNC(IF($E640="",IFERROR(VLOOKUP($D640,SERVIÇOS!$C:$H,4,0),IFERROR(VLOOKUP($D640,$F:$M,6,0),)),IFERROR(VLOOKUP($E640,INSUMOS!$B:$E,4,0),IFERROR(VLOOKUP($E640,COTAÇÕES!$C:$L,10,0),)))*$I640,2)</f>
        <v>7.32</v>
      </c>
      <c r="L640" s="616">
        <f>TRUNC(IF($E640="",IFERROR(VLOOKUP($D640,SERVIÇOS!$C:$H,5,0),IFERROR(VLOOKUP($D640,$F:$M,7,0),)),0)*$I640,2)</f>
        <v>20.75</v>
      </c>
      <c r="M640" s="617">
        <f>K640+L640</f>
        <v>28.07</v>
      </c>
      <c r="N640" s="753" t="str">
        <f t="shared" ref="N640:N641" si="320">IF($D640&lt;&gt;"","SERVIÇO SINAPI",IF($E640&lt;&gt;"","INSUMO SINAPI",""))</f>
        <v>SERVIÇO SINAPI</v>
      </c>
      <c r="O640" s="640"/>
    </row>
    <row r="641" spans="2:15">
      <c r="B641" s="122">
        <f t="shared" si="319"/>
        <v>16</v>
      </c>
      <c r="C641" s="611" t="str">
        <f t="shared" ref="C641:C643" si="321">IF(D641&lt;&gt;"","C",IF(E641&lt;&gt;"","I",""))</f>
        <v>C</v>
      </c>
      <c r="D641" s="660">
        <v>88264</v>
      </c>
      <c r="E641" s="660"/>
      <c r="F641" s="612"/>
      <c r="G641" s="613" t="str">
        <f>IF($E641="",IFERROR(VLOOKUP($D641,SERVIÇOS!$C:$H,2,0),IFERROR(VLOOKUP($D641,$F:$M,2,0),"")),IFERROR(VLOOKUP($E641,INSUMOS!$B:$E,2,0),IFERROR(VLOOKUP($E641,COTAÇÕES!$C:$L,2,0),"")))</f>
        <v>ELETRICISTA COM ENCARGOS COMPLEMENTARES</v>
      </c>
      <c r="H641" s="593" t="str">
        <f>IF($E641="",IFERROR(VLOOKUP($D641,SERVIÇOS!$C:$H,3,0),IFERROR(VLOOKUP($D641,$F:$M,3,0),"")),IFERROR(VLOOKUP($E641,INSUMOS!$B:$E,3,0),IFERROR(VLOOKUP($E641,COTAÇÕES!$C:$L,5,0),"")))</f>
        <v>H</v>
      </c>
      <c r="I641" s="644">
        <v>1.1000000000000001</v>
      </c>
      <c r="J641" s="670">
        <f>IF($E641="",IFERROR(VLOOKUP($D641,SERVIÇOS!$C:$H,6,0),IFERROR(VLOOKUP($D641,$F:$M,8,0),"")),IFERROR(VLOOKUP($E641,INSUMOS!$B:$E,4,0),IFERROR(VLOOKUP($E641,COTAÇÕES!$C:$L,10,0),"")))</f>
        <v>31.32</v>
      </c>
      <c r="K641" s="615">
        <f>TRUNC(IF($E641="",IFERROR(VLOOKUP($D641,SERVIÇOS!$C:$H,4,0),IFERROR(VLOOKUP($D641,$F:$M,6,0),)),IFERROR(VLOOKUP($E641,INSUMOS!$B:$E,4,0),IFERROR(VLOOKUP($E641,COTAÇÕES!$C:$L,10,0),)))*$I641,2)</f>
        <v>7.32</v>
      </c>
      <c r="L641" s="616">
        <f>TRUNC(IF($E641="",IFERROR(VLOOKUP($D641,SERVIÇOS!$C:$H,5,0),IFERROR(VLOOKUP($D641,$F:$M,7,0),)),0)*$I641,2)</f>
        <v>27.12</v>
      </c>
      <c r="M641" s="617">
        <f t="shared" ref="M641:M643" si="322">K641+L641</f>
        <v>34.44</v>
      </c>
      <c r="N641" s="753" t="str">
        <f t="shared" si="320"/>
        <v>SERVIÇO SINAPI</v>
      </c>
      <c r="O641" s="640"/>
    </row>
    <row r="642" spans="2:15" ht="11.25" customHeight="1">
      <c r="B642" s="122">
        <f t="shared" si="319"/>
        <v>16</v>
      </c>
      <c r="C642" s="611" t="str">
        <f t="shared" ref="C642" si="323">IF(D642&lt;&gt;"","C",IF(E642&lt;&gt;"","I",""))</f>
        <v>I</v>
      </c>
      <c r="D642" s="660"/>
      <c r="E642" s="660" t="s">
        <v>8954</v>
      </c>
      <c r="F642" s="612"/>
      <c r="G642" s="613" t="str">
        <f>IF($E642="",IFERROR(VLOOKUP($D642,SERVIÇOS!$C:$H,2,0),IFERROR(VLOOKUP($D642,$F:$M,2,0),"")),IFERROR(VLOOKUP($E642,INSUMOS!$B:$E,2,0),IFERROR(VLOOKUP($E642,COTAÇÕES!$C:$L,2,0),"")))</f>
        <v>LUMINÁRIA SPOT DE EMBUTIR QUADRADO RECUADO ABS 1XPAR 20 BRANCA</v>
      </c>
      <c r="H642" s="593" t="str">
        <f>IF($E642="",IFERROR(VLOOKUP($D642,SERVIÇOS!$C:$H,3,0),IFERROR(VLOOKUP($D642,$F:$M,3,0),"")),IFERROR(VLOOKUP($E642,INSUMOS!$B:$E,3,0),IFERROR(VLOOKUP($E642,COTAÇÕES!$C:$L,5,0),"")))</f>
        <v>UN</v>
      </c>
      <c r="I642" s="644">
        <v>1</v>
      </c>
      <c r="J642" s="670">
        <f>IF($E642="",IFERROR(VLOOKUP($D642,SERVIÇOS!$C:$H,6,0),IFERROR(VLOOKUP($D642,$F:$M,8,0),"")),IFERROR(VLOOKUP($E642,INSUMOS!$B:$E,4,0),IFERROR(VLOOKUP($E642,COTAÇÕES!$C:$L,10,0),"")))</f>
        <v>26.413333333333338</v>
      </c>
      <c r="K642" s="615">
        <f>TRUNC(IF($E642="",IFERROR(VLOOKUP($D642,SERVIÇOS!$C:$H,4,0),IFERROR(VLOOKUP($D642,$F:$M,6,0),)),IFERROR(VLOOKUP($E642,INSUMOS!$B:$E,4,0),IFERROR(VLOOKUP($E642,COTAÇÕES!$C:$L,10,0),)))*$I642,2)</f>
        <v>26.41</v>
      </c>
      <c r="L642" s="616">
        <f>TRUNC(IF($E642="",IFERROR(VLOOKUP($D642,SERVIÇOS!$C:$H,5,0),IFERROR(VLOOKUP($D642,$F:$M,7,0),)),0)*$I642,2)</f>
        <v>0</v>
      </c>
      <c r="M642" s="617">
        <f t="shared" ref="M642" si="324">K642+L642</f>
        <v>26.41</v>
      </c>
      <c r="N642" s="753" t="s">
        <v>6845</v>
      </c>
      <c r="O642" s="640"/>
    </row>
    <row r="643" spans="2:15" ht="11.25" customHeight="1">
      <c r="B643" s="122">
        <f t="shared" si="319"/>
        <v>16</v>
      </c>
      <c r="C643" s="611" t="str">
        <f t="shared" si="321"/>
        <v>I</v>
      </c>
      <c r="D643" s="660"/>
      <c r="E643" s="660" t="s">
        <v>9194</v>
      </c>
      <c r="F643" s="612"/>
      <c r="G643" s="613" t="str">
        <f>IF($E643="",IFERROR(VLOOKUP($D643,SERVIÇOS!$C:$H,2,0),IFERROR(VLOOKUP($D643,$F:$M,2,0),"")),IFERROR(VLOOKUP($E643,INSUMOS!$B:$E,2,0),IFERROR(VLOOKUP($E643,COTAÇÕES!$C:$L,2,0),"")))</f>
        <v>LAMPADA LED PAR 20, 5,5W 2700K E27</v>
      </c>
      <c r="H643" s="593" t="str">
        <f>IF($E643="",IFERROR(VLOOKUP($D643,SERVIÇOS!$C:$H,3,0),IFERROR(VLOOKUP($D643,$F:$M,3,0),"")),IFERROR(VLOOKUP($E643,INSUMOS!$B:$E,3,0),IFERROR(VLOOKUP($E643,COTAÇÕES!$C:$L,5,0),"")))</f>
        <v>UN</v>
      </c>
      <c r="I643" s="644">
        <v>1</v>
      </c>
      <c r="J643" s="670">
        <f>IF($E643="",IFERROR(VLOOKUP($D643,SERVIÇOS!$C:$H,6,0),IFERROR(VLOOKUP($D643,$F:$M,8,0),"")),IFERROR(VLOOKUP($E643,INSUMOS!$B:$E,4,0),IFERROR(VLOOKUP($E643,COTAÇÕES!$C:$L,10,0),"")))</f>
        <v>25.263333333333332</v>
      </c>
      <c r="K643" s="615">
        <f>TRUNC(IF($E643="",IFERROR(VLOOKUP($D643,SERVIÇOS!$C:$H,4,0),IFERROR(VLOOKUP($D643,$F:$M,6,0),)),IFERROR(VLOOKUP($E643,INSUMOS!$B:$E,4,0),IFERROR(VLOOKUP($E643,COTAÇÕES!$C:$L,10,0),)))*$I643,2)</f>
        <v>25.26</v>
      </c>
      <c r="L643" s="616">
        <f>TRUNC(IF($E643="",IFERROR(VLOOKUP($D643,SERVIÇOS!$C:$H,5,0),IFERROR(VLOOKUP($D643,$F:$M,7,0),)),0)*$I643,2)</f>
        <v>0</v>
      </c>
      <c r="M643" s="617">
        <f t="shared" si="322"/>
        <v>25.26</v>
      </c>
      <c r="N643" s="753" t="s">
        <v>6845</v>
      </c>
      <c r="O643" s="640"/>
    </row>
    <row r="644" spans="2:15" ht="25.5">
      <c r="B644" s="769">
        <f>SUMIF(ORC!$G$11:$G$2470,CPU!$F644,ORC!$J$11:$J$2470)</f>
        <v>2</v>
      </c>
      <c r="C644" s="515" t="s">
        <v>2239</v>
      </c>
      <c r="D644" s="515"/>
      <c r="E644" s="515"/>
      <c r="F644" s="515" t="s">
        <v>6807</v>
      </c>
      <c r="G644" s="516" t="s">
        <v>6983</v>
      </c>
      <c r="H644" s="515" t="s">
        <v>646</v>
      </c>
      <c r="I644" s="595"/>
      <c r="J644" s="596"/>
      <c r="K644" s="597">
        <f>SUM(K645:K647)</f>
        <v>327.77</v>
      </c>
      <c r="L644" s="597">
        <f>SUM(L645:L647)</f>
        <v>21.759999999999998</v>
      </c>
      <c r="M644" s="597">
        <f>SUM(K644:L644)</f>
        <v>349.53</v>
      </c>
      <c r="N644" s="598" t="s">
        <v>6982</v>
      </c>
      <c r="O644" s="599"/>
    </row>
    <row r="645" spans="2:15" ht="25.5">
      <c r="B645" s="122">
        <f t="shared" ref="B645:B647" si="325">B644</f>
        <v>2</v>
      </c>
      <c r="C645" s="611" t="str">
        <f>IF(D645&lt;&gt;"","C",IF(E645&lt;&gt;"","I",""))</f>
        <v>I</v>
      </c>
      <c r="D645" s="660"/>
      <c r="E645" s="940" t="s">
        <v>8955</v>
      </c>
      <c r="F645" s="612"/>
      <c r="G645" s="613" t="str">
        <f>IF($E645="",IFERROR(VLOOKUP($D645,SERVIÇOS!$C:$H,2,0),IFERROR(VLOOKUP($D645,$F:$M,2,0),"")),IFERROR(VLOOKUP($E645,INSUMOS!$B:$E,2,0),IFERROR(VLOOKUP($E645,COTAÇÕES!$C:$L,2,0),"")))</f>
        <v>SISTEMA DE ALARME PARA SANITÁRIOS PNE, COM SINALIZADOR AUDIOVISUAL TIPO STROBE LIGHT INTERMITENTE, ALCANCE 50M, COM PLACAS DE SINALIZAÇÃO</v>
      </c>
      <c r="H645" s="593" t="str">
        <f>IF($E645="",IFERROR(VLOOKUP($D645,SERVIÇOS!$C:$H,3,0),IFERROR(VLOOKUP($D645,$F:$M,3,0),"")),IFERROR(VLOOKUP($E645,INSUMOS!$B:$E,3,0),IFERROR(VLOOKUP($E645,COTAÇÕES!$C:$L,5,0),"")))</f>
        <v>UN</v>
      </c>
      <c r="I645" s="644">
        <v>1</v>
      </c>
      <c r="J645" s="670">
        <f>IF($E645="",IFERROR(VLOOKUP($D645,SERVIÇOS!$C:$H,6,0),IFERROR(VLOOKUP($D645,$F:$M,8,0),"")),IFERROR(VLOOKUP($E645,INSUMOS!$B:$E,4,0),IFERROR(VLOOKUP($E645,COTAÇÕES!$C:$L,10,0),"")))</f>
        <v>321.11666666666667</v>
      </c>
      <c r="K645" s="615">
        <f>TRUNC(IF($E645="",IFERROR(VLOOKUP($D645,SERVIÇOS!$C:$H,4,0),IFERROR(VLOOKUP($D645,$F:$M,6,0),)),IFERROR(VLOOKUP($E645,INSUMOS!$B:$E,4,0),IFERROR(VLOOKUP($E645,COTAÇÕES!$C:$L,10,0),)))*$I645,2)</f>
        <v>321.11</v>
      </c>
      <c r="L645" s="616">
        <f>TRUNC(IF($E645="",IFERROR(VLOOKUP($D645,SERVIÇOS!$C:$H,5,0),IFERROR(VLOOKUP($D645,$F:$M,7,0),)),0)*$I645,2)</f>
        <v>0</v>
      </c>
      <c r="M645" s="617">
        <f>K645+L645</f>
        <v>321.11</v>
      </c>
      <c r="N645" s="753" t="s">
        <v>6845</v>
      </c>
      <c r="O645" s="640"/>
    </row>
    <row r="646" spans="2:15">
      <c r="B646" s="122">
        <f t="shared" si="325"/>
        <v>2</v>
      </c>
      <c r="C646" s="611" t="str">
        <f>IF(D646&lt;&gt;"","C",IF(E646&lt;&gt;"","I",""))</f>
        <v>C</v>
      </c>
      <c r="D646" s="660">
        <v>88264</v>
      </c>
      <c r="E646" s="661"/>
      <c r="F646" s="612"/>
      <c r="G646" s="613" t="str">
        <f>IF($E646="",IFERROR(VLOOKUP($D646,SERVIÇOS!$C:$H,2,0),IFERROR(VLOOKUP($D646,$F:$M,2,0),"")),IFERROR(VLOOKUP($E646,INSUMOS!$B:$E,2,0),IFERROR(VLOOKUP($E646,COTAÇÕES!$C:$L,2,0),"")))</f>
        <v>ELETRICISTA COM ENCARGOS COMPLEMENTARES</v>
      </c>
      <c r="H646" s="593" t="str">
        <f>IF($E646="",IFERROR(VLOOKUP($D646,SERVIÇOS!$C:$H,3,0),IFERROR(VLOOKUP($D646,$F:$M,3,0),"")),IFERROR(VLOOKUP($E646,INSUMOS!$B:$E,3,0),IFERROR(VLOOKUP($E646,COTAÇÕES!$C:$L,5,0),"")))</f>
        <v>H</v>
      </c>
      <c r="I646" s="644">
        <v>0.5</v>
      </c>
      <c r="J646" s="670">
        <f>IF($E646="",IFERROR(VLOOKUP($D646,SERVIÇOS!$C:$H,6,0),IFERROR(VLOOKUP($D646,$F:$M,8,0),"")),IFERROR(VLOOKUP($E646,INSUMOS!$B:$E,4,0),IFERROR(VLOOKUP($E646,COTAÇÕES!$C:$L,10,0),"")))</f>
        <v>31.32</v>
      </c>
      <c r="K646" s="615">
        <f>TRUNC(IF($E646="",IFERROR(VLOOKUP($D646,SERVIÇOS!$C:$H,4,0),IFERROR(VLOOKUP($D646,$F:$M,6,0),)),IFERROR(VLOOKUP($E646,INSUMOS!$B:$E,4,0),IFERROR(VLOOKUP($E646,COTAÇÕES!$C:$L,10,0),)))*$I646,2)</f>
        <v>3.33</v>
      </c>
      <c r="L646" s="616">
        <f>TRUNC(IF($E646="",IFERROR(VLOOKUP($D646,SERVIÇOS!$C:$H,5,0),IFERROR(VLOOKUP($D646,$F:$M,7,0),)),0)*$I646,2)</f>
        <v>12.33</v>
      </c>
      <c r="M646" s="617">
        <f>K646+L646</f>
        <v>15.66</v>
      </c>
      <c r="N646" s="753" t="str">
        <f>IF($D646&lt;&gt;"","SERVIÇO SINAPI",IF($E646&lt;&gt;"","INSUMO SINAPI",""))</f>
        <v>SERVIÇO SINAPI</v>
      </c>
      <c r="O646" s="632"/>
    </row>
    <row r="647" spans="2:15">
      <c r="B647" s="122">
        <f t="shared" si="325"/>
        <v>2</v>
      </c>
      <c r="C647" s="611" t="str">
        <f>IF(D647&lt;&gt;"","C",IF(E647&lt;&gt;"","I",""))</f>
        <v>C</v>
      </c>
      <c r="D647" s="660">
        <v>88247</v>
      </c>
      <c r="E647" s="661"/>
      <c r="F647" s="612"/>
      <c r="G647" s="613" t="str">
        <f>IF($E647="",IFERROR(VLOOKUP($D647,SERVIÇOS!$C:$H,2,0),IFERROR(VLOOKUP($D647,$F:$M,2,0),"")),IFERROR(VLOOKUP($E647,INSUMOS!$B:$E,2,0),IFERROR(VLOOKUP($E647,COTAÇÕES!$C:$L,2,0),"")))</f>
        <v>AUXILIAR DE ELETRICISTA COM ENCARGOS COMPLEMENTARES</v>
      </c>
      <c r="H647" s="593" t="str">
        <f>IF($E647="",IFERROR(VLOOKUP($D647,SERVIÇOS!$C:$H,3,0),IFERROR(VLOOKUP($D647,$F:$M,3,0),"")),IFERROR(VLOOKUP($E647,INSUMOS!$B:$E,3,0),IFERROR(VLOOKUP($E647,COTAÇÕES!$C:$L,5,0),"")))</f>
        <v>H</v>
      </c>
      <c r="I647" s="644">
        <v>0.5</v>
      </c>
      <c r="J647" s="670">
        <f>IF($E647="",IFERROR(VLOOKUP($D647,SERVIÇOS!$C:$H,6,0),IFERROR(VLOOKUP($D647,$F:$M,8,0),"")),IFERROR(VLOOKUP($E647,INSUMOS!$B:$E,4,0),IFERROR(VLOOKUP($E647,COTAÇÕES!$C:$L,10,0),"")))</f>
        <v>25.53</v>
      </c>
      <c r="K647" s="615">
        <f>TRUNC(IF($E647="",IFERROR(VLOOKUP($D647,SERVIÇOS!$C:$H,4,0),IFERROR(VLOOKUP($D647,$F:$M,6,0),)),IFERROR(VLOOKUP($E647,INSUMOS!$B:$E,4,0),IFERROR(VLOOKUP($E647,COTAÇÕES!$C:$L,10,0),)))*$I647,2)</f>
        <v>3.33</v>
      </c>
      <c r="L647" s="616">
        <f>TRUNC(IF($E647="",IFERROR(VLOOKUP($D647,SERVIÇOS!$C:$H,5,0),IFERROR(VLOOKUP($D647,$F:$M,7,0),)),0)*$I647,2)</f>
        <v>9.43</v>
      </c>
      <c r="M647" s="617">
        <f>K647+L647</f>
        <v>12.76</v>
      </c>
      <c r="N647" s="753" t="str">
        <f>IF($D647&lt;&gt;"","SERVIÇO SINAPI",IF($E647&lt;&gt;"","INSUMO SINAPI",""))</f>
        <v>SERVIÇO SINAPI</v>
      </c>
      <c r="O647" s="632"/>
    </row>
    <row r="648" spans="2:15" ht="216.75" hidden="1">
      <c r="B648" s="769">
        <f>SUMIF(ORC!$G$11:$G$2470,CPU!$F648,ORC!$J$11:$J$2470)</f>
        <v>0</v>
      </c>
      <c r="C648" s="515" t="s">
        <v>2239</v>
      </c>
      <c r="D648" s="515"/>
      <c r="E648" s="515"/>
      <c r="F648" s="515" t="s">
        <v>2950</v>
      </c>
      <c r="G648" s="516" t="s">
        <v>7664</v>
      </c>
      <c r="H648" s="515" t="s">
        <v>646</v>
      </c>
      <c r="I648" s="595"/>
      <c r="J648" s="596"/>
      <c r="K648" s="597">
        <f>SUM(K649:K651)</f>
        <v>724.86</v>
      </c>
      <c r="L648" s="597">
        <f>SUM(L649:L651)</f>
        <v>46.47</v>
      </c>
      <c r="M648" s="597">
        <f>SUM(K648:L648)</f>
        <v>771.33</v>
      </c>
      <c r="N648" s="598" t="s">
        <v>8400</v>
      </c>
      <c r="O648" s="941"/>
    </row>
    <row r="649" spans="2:15" ht="216.75" hidden="1">
      <c r="B649" s="122">
        <f t="shared" ref="B649:B651" si="326">B648</f>
        <v>0</v>
      </c>
      <c r="C649" s="611" t="str">
        <f>IF(D649&lt;&gt;"","C",IF(E649&lt;&gt;"","I",""))</f>
        <v>I</v>
      </c>
      <c r="D649" s="660"/>
      <c r="E649" s="661" t="s">
        <v>9067</v>
      </c>
      <c r="F649" s="612"/>
      <c r="G649" s="613" t="str">
        <f>IF($E649="",IFERROR(VLOOKUP($D649,SERVIÇOS!$C:$H,2,0),IFERROR(VLOOKUP($D649,$F:$M,2,0),"")),IFERROR(VLOOKUP($E649,INSUMOS!$B:$E,2,0),IFERROR(VLOOKUP($E649,COTAÇÕES!$C:$L,2,0),"")))</f>
        <v>CÂMERA IP FULL HD, ANALÍTICO DE CERCA/LINHA VIRTUAL EMBARCADO, RESOLUÇÃO 2 MEGAPIXELS, ALIMENTAÇÃO POE (IEEE 802.3AF), IP67, SENSOR DE IMAGEM 1/2.8" 2 MEGAPIXELS, OBTURADOR ELETRÔNICO 1/3S ~1/100.000S, ILUMINAÇÃO MÍNIMA 0,06 LUX/F1.4 (COLORIDO, 1/3S, 30IRE), 0,05 LUX / F1.4 (COLORIDO, 1/30S, 30IRE), 0 LUX / F1.4 (IR LIGADO), RELAÇÃO SINAL-RUÍDO&gt;50DB, CONTROLE DE GANHO E BALANÇO AUTOMÁTICO/MANULA, REDUÇÃO DE RUÍDO 3D, MÁSCARA DE PRIVACIDADE 4, COMPENSAÇÃO DE LUZ DE FUNDO BLC, HLC E WDR (120DB), PERFIL NOITE &amp; DIA E MODO DE VÍDEOS AUTOMÁTICOS (ICR)/COLORIDO/PRETO &amp; BRANCO, ATÉ 4 REGIÕES DE DETECÇÃO DE VÍDEO. LENTE COM DISTÂNCIA LOCAL 2.7 A 13.5MM, ZOOM ÓPTICO 5X, CONTROLE DE FOCO AUTOMÁTICO/ MANUAL, ÂNGULO DE VISÃO H:106 A 31º, V:58º A 17º, LENTE VARIFOCAL MOTORIZADA, ÍRIS ELETRÔNICA, MONTADA EM PLACA. COMPRESSÃO DE VÍDEO H.265+/H.265/H.264/MJPEG, RESOLUÇÃO DE IMAGEM/PROPORÇÃO DEE TELA 1080P (1920X1080)/ 1,3M (1280X960), 720P (1280X720) / D1 (704X480), CIF (352X240) / VGA (640X480), ANÁLISE INTELIGENTE DE VÍDEO: LINHA VIRTUAL, CERCA VISTUAL E MUDANÇA DE CENA, FORMATO DE VÍDEO NTSC. INTERFACE DE REDE RJ45 (10/100BASE-T), PROTOCOLO MÍNIMO: TCP/IP, IPV4/IPV6, HTTP, HTTPS, SSL ETC. DISTÂNCIA MÁXIMA DE INFRAVERMELHO 60M, CONSUMO MÁXIMO DE ENERGIA &lt;12,95W.OBS: EQUIPAMENTO TEM QUE SER COMPATÍVEL COM O SOFTWARE DIGIFORT E MÓDULO DIGIFORT ALARM MONITOR. REFERÊNCIA: INTELBRAS VIP 3230 B SL G2 OU EQUIVALENTE TÉCNICO</v>
      </c>
      <c r="H649" s="593" t="str">
        <f>IF($E649="",IFERROR(VLOOKUP($D649,SERVIÇOS!$C:$H,3,0),IFERROR(VLOOKUP($D649,$F:$M,3,0),"")),IFERROR(VLOOKUP($E649,INSUMOS!$B:$E,3,0),IFERROR(VLOOKUP($E649,COTAÇÕES!$C:$L,5,0),"")))</f>
        <v>UN</v>
      </c>
      <c r="I649" s="644">
        <v>1</v>
      </c>
      <c r="J649" s="670">
        <f>IF($E649="",IFERROR(VLOOKUP($D649,SERVIÇOS!$C:$H,6,0),IFERROR(VLOOKUP($D649,$F:$M,8,0),"")),IFERROR(VLOOKUP($E649,INSUMOS!$B:$E,4,0),IFERROR(VLOOKUP($E649,COTAÇÕES!$C:$L,10,0),"")))</f>
        <v>711.39333333333332</v>
      </c>
      <c r="K649" s="615">
        <f>TRUNC(IF($E649="",IFERROR(VLOOKUP($D649,SERVIÇOS!$C:$H,4,0),IFERROR(VLOOKUP($D649,$F:$M,6,0),)),IFERROR(VLOOKUP($E649,INSUMOS!$B:$E,4,0),IFERROR(VLOOKUP($E649,COTAÇÕES!$C:$L,10,0),)))*$I649,2)</f>
        <v>711.39</v>
      </c>
      <c r="L649" s="616">
        <f>TRUNC(IF($E649="",IFERROR(VLOOKUP($D649,SERVIÇOS!$C:$H,5,0),IFERROR(VLOOKUP($D649,$F:$M,7,0),)),0)*$I649,2)</f>
        <v>0</v>
      </c>
      <c r="M649" s="617">
        <f>K649+L649</f>
        <v>711.39</v>
      </c>
      <c r="N649" s="753" t="s">
        <v>6845</v>
      </c>
      <c r="O649" s="942"/>
    </row>
    <row r="650" spans="2:15" hidden="1">
      <c r="B650" s="122">
        <f t="shared" si="326"/>
        <v>0</v>
      </c>
      <c r="C650" s="611" t="str">
        <f>IF(D650&lt;&gt;"","C",IF(E650&lt;&gt;"","I",""))</f>
        <v>C</v>
      </c>
      <c r="D650" s="660">
        <v>88264</v>
      </c>
      <c r="E650" s="661"/>
      <c r="F650" s="612"/>
      <c r="G650" s="613" t="str">
        <f>IF($E650="",IFERROR(VLOOKUP($D650,SERVIÇOS!$C:$H,2,0),IFERROR(VLOOKUP($D650,$F:$M,2,0),"")),IFERROR(VLOOKUP($E650,INSUMOS!$B:$E,2,0),IFERROR(VLOOKUP($E650,COTAÇÕES!$C:$L,2,0),"")))</f>
        <v>ELETRICISTA COM ENCARGOS COMPLEMENTARES</v>
      </c>
      <c r="H650" s="593" t="str">
        <f>IF($E650="",IFERROR(VLOOKUP($D650,SERVIÇOS!$C:$H,3,0),IFERROR(VLOOKUP($D650,$F:$M,3,0),"")),IFERROR(VLOOKUP($E650,INSUMOS!$B:$E,3,0),IFERROR(VLOOKUP($E650,COTAÇÕES!$C:$L,5,0),"")))</f>
        <v>H</v>
      </c>
      <c r="I650" s="644">
        <v>1.4293</v>
      </c>
      <c r="J650" s="670">
        <f>IF($E650="",IFERROR(VLOOKUP($D650,SERVIÇOS!$C:$H,6,0),IFERROR(VLOOKUP($D650,$F:$M,8,0),"")),IFERROR(VLOOKUP($E650,INSUMOS!$B:$E,4,0),IFERROR(VLOOKUP($E650,COTAÇÕES!$C:$L,10,0),"")))</f>
        <v>31.32</v>
      </c>
      <c r="K650" s="615">
        <f>TRUNC(IF($E650="",IFERROR(VLOOKUP($D650,SERVIÇOS!$C:$H,4,0),IFERROR(VLOOKUP($D650,$F:$M,6,0),)),IFERROR(VLOOKUP($E650,INSUMOS!$B:$E,4,0),IFERROR(VLOOKUP($E650,COTAÇÕES!$C:$L,10,0),)))*$I650,2)</f>
        <v>9.51</v>
      </c>
      <c r="L650" s="616">
        <f>TRUNC(IF($E650="",IFERROR(VLOOKUP($D650,SERVIÇOS!$C:$H,5,0),IFERROR(VLOOKUP($D650,$F:$M,7,0),)),0)*$I650,2)</f>
        <v>35.24</v>
      </c>
      <c r="M650" s="617">
        <f>K650+L650</f>
        <v>44.75</v>
      </c>
      <c r="N650" s="753" t="str">
        <f>IF($D650&lt;&gt;"","SERVIÇO SINAPI",IF($E650&lt;&gt;"","INSUMO SINAPI",""))</f>
        <v>SERVIÇO SINAPI</v>
      </c>
      <c r="O650" s="943"/>
    </row>
    <row r="651" spans="2:15" hidden="1">
      <c r="B651" s="122">
        <f t="shared" si="326"/>
        <v>0</v>
      </c>
      <c r="C651" s="611" t="str">
        <f>IF(D651&lt;&gt;"","C",IF(E651&lt;&gt;"","I",""))</f>
        <v>C</v>
      </c>
      <c r="D651" s="660">
        <v>88247</v>
      </c>
      <c r="E651" s="661"/>
      <c r="F651" s="612"/>
      <c r="G651" s="613" t="str">
        <f>IF($E651="",IFERROR(VLOOKUP($D651,SERVIÇOS!$C:$H,2,0),IFERROR(VLOOKUP($D651,$F:$M,2,0),"")),IFERROR(VLOOKUP($E651,INSUMOS!$B:$E,2,0),IFERROR(VLOOKUP($E651,COTAÇÕES!$C:$L,2,0),"")))</f>
        <v>AUXILIAR DE ELETRICISTA COM ENCARGOS COMPLEMENTARES</v>
      </c>
      <c r="H651" s="593" t="str">
        <f>IF($E651="",IFERROR(VLOOKUP($D651,SERVIÇOS!$C:$H,3,0),IFERROR(VLOOKUP($D651,$F:$M,3,0),"")),IFERROR(VLOOKUP($E651,INSUMOS!$B:$E,3,0),IFERROR(VLOOKUP($E651,COTAÇÕES!$C:$L,5,0),"")))</f>
        <v>H</v>
      </c>
      <c r="I651" s="644">
        <v>0.59550000000000003</v>
      </c>
      <c r="J651" s="670">
        <f>IF($E651="",IFERROR(VLOOKUP($D651,SERVIÇOS!$C:$H,6,0),IFERROR(VLOOKUP($D651,$F:$M,8,0),"")),IFERROR(VLOOKUP($E651,INSUMOS!$B:$E,4,0),IFERROR(VLOOKUP($E651,COTAÇÕES!$C:$L,10,0),"")))</f>
        <v>25.53</v>
      </c>
      <c r="K651" s="615">
        <f>TRUNC(IF($E651="",IFERROR(VLOOKUP($D651,SERVIÇOS!$C:$H,4,0),IFERROR(VLOOKUP($D651,$F:$M,6,0),)),IFERROR(VLOOKUP($E651,INSUMOS!$B:$E,4,0),IFERROR(VLOOKUP($E651,COTAÇÕES!$C:$L,10,0),)))*$I651,2)</f>
        <v>3.96</v>
      </c>
      <c r="L651" s="616">
        <f>TRUNC(IF($E651="",IFERROR(VLOOKUP($D651,SERVIÇOS!$C:$H,5,0),IFERROR(VLOOKUP($D651,$F:$M,7,0),)),0)*$I651,2)</f>
        <v>11.23</v>
      </c>
      <c r="M651" s="617">
        <f>K651+L651</f>
        <v>15.190000000000001</v>
      </c>
      <c r="N651" s="753" t="str">
        <f>IF($D651&lt;&gt;"","SERVIÇO SINAPI",IF($E651&lt;&gt;"","INSUMO SINAPI",""))</f>
        <v>SERVIÇO SINAPI</v>
      </c>
      <c r="O651" s="943"/>
    </row>
    <row r="652" spans="2:15" ht="63.75">
      <c r="B652" s="769">
        <f>SUMIF(ORC!$G$11:$G$2470,CPU!$F652,ORC!$J$11:$J$2470)</f>
        <v>3</v>
      </c>
      <c r="C652" s="515" t="s">
        <v>2239</v>
      </c>
      <c r="D652" s="515"/>
      <c r="E652" s="515"/>
      <c r="F652" s="515" t="s">
        <v>6814</v>
      </c>
      <c r="G652" s="516" t="s">
        <v>7523</v>
      </c>
      <c r="H652" s="515" t="s">
        <v>646</v>
      </c>
      <c r="I652" s="595"/>
      <c r="J652" s="596"/>
      <c r="K652" s="597">
        <f>SUM(K653:K654)</f>
        <v>4621.12</v>
      </c>
      <c r="L652" s="597">
        <f>SUM(L653:L654)</f>
        <v>30.86</v>
      </c>
      <c r="M652" s="597">
        <f>SUM(K652:L652)</f>
        <v>4651.9799999999996</v>
      </c>
      <c r="N652" s="598" t="s">
        <v>6820</v>
      </c>
      <c r="O652" s="941"/>
    </row>
    <row r="653" spans="2:15">
      <c r="B653" s="122">
        <f t="shared" ref="B653:B654" si="327">B652</f>
        <v>3</v>
      </c>
      <c r="C653" s="611" t="str">
        <f>IF(D653&lt;&gt;"","C",IF(E653&lt;&gt;"","I",""))</f>
        <v>I</v>
      </c>
      <c r="D653" s="660"/>
      <c r="E653" s="661" t="s">
        <v>9068</v>
      </c>
      <c r="F653" s="612"/>
      <c r="G653" s="613" t="str">
        <f>IF($E653="",IFERROR(VLOOKUP($D653,SERVIÇOS!$C:$H,2,0),IFERROR(VLOOKUP($D653,$F:$M,2,0),"")),IFERROR(VLOOKUP($E653,INSUMOS!$B:$E,2,0),IFERROR(VLOOKUP($E653,COTAÇÕES!$C:$L,2,0),"")))</f>
        <v xml:space="preserve">Switch gerenciavel intelbras inet 4760009 sg2404 poe 24 pt </v>
      </c>
      <c r="H653" s="593" t="str">
        <f>IF($E653="",IFERROR(VLOOKUP($D653,SERVIÇOS!$C:$H,3,0),IFERROR(VLOOKUP($D653,$F:$M,3,0),"")),IFERROR(VLOOKUP($E653,INSUMOS!$B:$E,3,0),IFERROR(VLOOKUP($E653,COTAÇÕES!$C:$L,5,0),"")))</f>
        <v>UN</v>
      </c>
      <c r="I653" s="614">
        <v>1</v>
      </c>
      <c r="J653" s="670">
        <f>IF($E653="",IFERROR(VLOOKUP($D653,SERVIÇOS!$C:$H,6,0),IFERROR(VLOOKUP($D653,$F:$M,8,0),"")),IFERROR(VLOOKUP($E653,INSUMOS!$B:$E,4,0),IFERROR(VLOOKUP($E653,COTAÇÕES!$C:$L,10,0),"")))</f>
        <v>4614.4666666666662</v>
      </c>
      <c r="K653" s="615">
        <f>TRUNC(IF($E653="",IFERROR(VLOOKUP($D653,SERVIÇOS!$C:$H,4,0),IFERROR(VLOOKUP($D653,$F:$M,6,0),)),IFERROR(VLOOKUP($E653,INSUMOS!$B:$E,4,0),IFERROR(VLOOKUP($E653,COTAÇÕES!$C:$L,10,0),)))*$I653,2)</f>
        <v>4614.46</v>
      </c>
      <c r="L653" s="616">
        <f>TRUNC(IF($E653="",IFERROR(VLOOKUP($D653,SERVIÇOS!$C:$H,5,0),IFERROR(VLOOKUP($D653,$F:$M,7,0),)),0)*$I653,2)</f>
        <v>0</v>
      </c>
      <c r="M653" s="617">
        <f>K653+L653</f>
        <v>4614.46</v>
      </c>
      <c r="N653" s="753" t="s">
        <v>6845</v>
      </c>
      <c r="O653" s="942"/>
    </row>
    <row r="654" spans="2:15">
      <c r="B654" s="122">
        <f t="shared" si="327"/>
        <v>3</v>
      </c>
      <c r="C654" s="611" t="str">
        <f>IF(D654&lt;&gt;"","C",IF(E654&lt;&gt;"","I",""))</f>
        <v>C</v>
      </c>
      <c r="D654" s="660">
        <v>88266</v>
      </c>
      <c r="E654" s="661"/>
      <c r="F654" s="612"/>
      <c r="G654" s="613" t="str">
        <f>IF($E654="",IFERROR(VLOOKUP($D654,SERVIÇOS!$C:$H,2,0),IFERROR(VLOOKUP($D654,$F:$M,2,0),"")),IFERROR(VLOOKUP($E654,INSUMOS!$B:$E,2,0),IFERROR(VLOOKUP($E654,COTAÇÕES!$C:$L,2,0),"")))</f>
        <v>ELETROTÉCNICO COM ENCARGOS COMPLEMENTARES</v>
      </c>
      <c r="H654" s="593" t="str">
        <f>IF($E654="",IFERROR(VLOOKUP($D654,SERVIÇOS!$C:$H,3,0),IFERROR(VLOOKUP($D654,$F:$M,3,0),"")),IFERROR(VLOOKUP($E654,INSUMOS!$B:$E,3,0),IFERROR(VLOOKUP($E654,COTAÇÕES!$C:$L,5,0),"")))</f>
        <v>H</v>
      </c>
      <c r="I654" s="614">
        <v>1</v>
      </c>
      <c r="J654" s="670">
        <f>IF($E654="",IFERROR(VLOOKUP($D654,SERVIÇOS!$C:$H,6,0),IFERROR(VLOOKUP($D654,$F:$M,8,0),"")),IFERROR(VLOOKUP($E654,INSUMOS!$B:$E,4,0),IFERROR(VLOOKUP($E654,COTAÇÕES!$C:$L,10,0),"")))</f>
        <v>37.520000000000003</v>
      </c>
      <c r="K654" s="615">
        <f>TRUNC(IF($E654="",IFERROR(VLOOKUP($D654,SERVIÇOS!$C:$H,4,0),IFERROR(VLOOKUP($D654,$F:$M,6,0),)),IFERROR(VLOOKUP($E654,INSUMOS!$B:$E,4,0),IFERROR(VLOOKUP($E654,COTAÇÕES!$C:$L,10,0),)))*$I654,2)</f>
        <v>6.66</v>
      </c>
      <c r="L654" s="616">
        <f>TRUNC(IF($E654="",IFERROR(VLOOKUP($D654,SERVIÇOS!$C:$H,5,0),IFERROR(VLOOKUP($D654,$F:$M,7,0),)),0)*$I654,2)</f>
        <v>30.86</v>
      </c>
      <c r="M654" s="617">
        <f>K654+L654</f>
        <v>37.519999999999996</v>
      </c>
      <c r="N654" s="753" t="str">
        <f>IF($D654&lt;&gt;"","SERVIÇO SINAPI",IF($E654&lt;&gt;"","INSUMO SINAPI",""))</f>
        <v>SERVIÇO SINAPI</v>
      </c>
      <c r="O654" s="943"/>
    </row>
    <row r="655" spans="2:15" ht="38.25" hidden="1">
      <c r="B655" s="769">
        <f>SUMIF(ORC!$G$11:$G$2470,CPU!$F655,ORC!$J$11:$J$2470)</f>
        <v>0</v>
      </c>
      <c r="C655" s="515" t="s">
        <v>2239</v>
      </c>
      <c r="D655" s="515"/>
      <c r="E655" s="515"/>
      <c r="F655" s="515" t="s">
        <v>6815</v>
      </c>
      <c r="G655" s="516" t="s">
        <v>8399</v>
      </c>
      <c r="H655" s="515" t="s">
        <v>646</v>
      </c>
      <c r="I655" s="595"/>
      <c r="J655" s="596"/>
      <c r="K655" s="597">
        <f>SUM(K656:K657)</f>
        <v>3082.1499999999996</v>
      </c>
      <c r="L655" s="597">
        <f>SUM(L656:L657)</f>
        <v>46.29</v>
      </c>
      <c r="M655" s="597">
        <f>SUM(K655:L655)</f>
        <v>3128.4399999999996</v>
      </c>
      <c r="N655" s="598" t="s">
        <v>7546</v>
      </c>
      <c r="O655" s="944"/>
    </row>
    <row r="656" spans="2:15" hidden="1">
      <c r="B656" s="122">
        <f t="shared" ref="B656:B657" si="328">B655</f>
        <v>0</v>
      </c>
      <c r="C656" s="611" t="str">
        <f>IF(D656&lt;&gt;"","C",IF(E656&lt;&gt;"","I",""))</f>
        <v>I</v>
      </c>
      <c r="D656" s="660"/>
      <c r="E656" s="661" t="s">
        <v>9069</v>
      </c>
      <c r="F656" s="612"/>
      <c r="G656" s="613" t="str">
        <f>IF($E656="",IFERROR(VLOOKUP($D656,SERVIÇOS!$C:$H,2,0),IFERROR(VLOOKUP($D656,$F:$M,2,0),"")),IFERROR(VLOOKUP($E656,INSUMOS!$B:$E,2,0),IFERROR(VLOOKUP($E656,COTAÇÕES!$C:$L,2,0),"")))</f>
        <v>GRAVADOR DIGITAL INTELBRAS NVD 3116P 4K PARA ATÉ 16 CÂMERAS IP</v>
      </c>
      <c r="H656" s="593" t="str">
        <f>IF($E656="",IFERROR(VLOOKUP($D656,SERVIÇOS!$C:$H,3,0),IFERROR(VLOOKUP($D656,$F:$M,3,0),"")),IFERROR(VLOOKUP($E656,INSUMOS!$B:$E,3,0),IFERROR(VLOOKUP($E656,COTAÇÕES!$C:$L,5,0),"")))</f>
        <v>UN</v>
      </c>
      <c r="I656" s="644">
        <v>1</v>
      </c>
      <c r="J656" s="670">
        <f>IF($E656="",IFERROR(VLOOKUP($D656,SERVIÇOS!$C:$H,6,0),IFERROR(VLOOKUP($D656,$F:$M,8,0),"")),IFERROR(VLOOKUP($E656,INSUMOS!$B:$E,4,0),IFERROR(VLOOKUP($E656,COTAÇÕES!$C:$L,10,0),"")))</f>
        <v>3072.16</v>
      </c>
      <c r="K656" s="615">
        <f>TRUNC(IF($E656="",IFERROR(VLOOKUP($D656,SERVIÇOS!$C:$H,4,0),IFERROR(VLOOKUP($D656,$F:$M,6,0),)),IFERROR(VLOOKUP($E656,INSUMOS!$B:$E,4,0),IFERROR(VLOOKUP($E656,COTAÇÕES!$C:$L,10,0),)))*$I656,2)</f>
        <v>3072.16</v>
      </c>
      <c r="L656" s="616">
        <f>TRUNC(IF($E656="",IFERROR(VLOOKUP($D656,SERVIÇOS!$C:$H,5,0),IFERROR(VLOOKUP($D656,$F:$M,7,0),)),0)*$I656,2)</f>
        <v>0</v>
      </c>
      <c r="M656" s="617">
        <f>K656+L656</f>
        <v>3072.16</v>
      </c>
      <c r="N656" s="753" t="s">
        <v>6845</v>
      </c>
      <c r="O656" s="943"/>
    </row>
    <row r="657" spans="2:15" hidden="1">
      <c r="B657" s="122">
        <f t="shared" si="328"/>
        <v>0</v>
      </c>
      <c r="C657" s="611" t="str">
        <f>IF(D657&lt;&gt;"","C",IF(E657&lt;&gt;"","I",""))</f>
        <v>C</v>
      </c>
      <c r="D657" s="660">
        <v>88266</v>
      </c>
      <c r="E657" s="661"/>
      <c r="F657" s="612"/>
      <c r="G657" s="613" t="str">
        <f>IF($E657="",IFERROR(VLOOKUP($D657,SERVIÇOS!$C:$H,2,0),IFERROR(VLOOKUP($D657,$F:$M,2,0),"")),IFERROR(VLOOKUP($E657,INSUMOS!$B:$E,2,0),IFERROR(VLOOKUP($E657,COTAÇÕES!$C:$L,2,0),"")))</f>
        <v>ELETROTÉCNICO COM ENCARGOS COMPLEMENTARES</v>
      </c>
      <c r="H657" s="593" t="str">
        <f>IF($E657="",IFERROR(VLOOKUP($D657,SERVIÇOS!$C:$H,3,0),IFERROR(VLOOKUP($D657,$F:$M,3,0),"")),IFERROR(VLOOKUP($E657,INSUMOS!$B:$E,3,0),IFERROR(VLOOKUP($E657,COTAÇÕES!$C:$L,5,0),"")))</f>
        <v>H</v>
      </c>
      <c r="I657" s="644">
        <v>1.5</v>
      </c>
      <c r="J657" s="670">
        <f>IF($E657="",IFERROR(VLOOKUP($D657,SERVIÇOS!$C:$H,6,0),IFERROR(VLOOKUP($D657,$F:$M,8,0),"")),IFERROR(VLOOKUP($E657,INSUMOS!$B:$E,4,0),IFERROR(VLOOKUP($E657,COTAÇÕES!$C:$L,10,0),"")))</f>
        <v>37.520000000000003</v>
      </c>
      <c r="K657" s="615">
        <f>TRUNC(IF($E657="",IFERROR(VLOOKUP($D657,SERVIÇOS!$C:$H,4,0),IFERROR(VLOOKUP($D657,$F:$M,6,0),)),IFERROR(VLOOKUP($E657,INSUMOS!$B:$E,4,0),IFERROR(VLOOKUP($E657,COTAÇÕES!$C:$L,10,0),)))*$I657,2)</f>
        <v>9.99</v>
      </c>
      <c r="L657" s="616">
        <f>TRUNC(IF($E657="",IFERROR(VLOOKUP($D657,SERVIÇOS!$C:$H,5,0),IFERROR(VLOOKUP($D657,$F:$M,7,0),)),0)*$I657,2)</f>
        <v>46.29</v>
      </c>
      <c r="M657" s="617">
        <f>K657+L657</f>
        <v>56.28</v>
      </c>
      <c r="N657" s="753" t="str">
        <f>IF($D657&lt;&gt;"","SERVIÇO SINAPI",IF($E657&lt;&gt;"","INSUMO SINAPI",""))</f>
        <v>SERVIÇO SINAPI</v>
      </c>
      <c r="O657" s="943"/>
    </row>
    <row r="658" spans="2:15" ht="22.5">
      <c r="B658" s="769">
        <f>SUMIF(ORC!$G$11:$G$2470,CPU!$F658,ORC!$J$11:$J$2470)</f>
        <v>180</v>
      </c>
      <c r="C658" s="515" t="s">
        <v>2239</v>
      </c>
      <c r="D658" s="515"/>
      <c r="E658" s="515"/>
      <c r="F658" s="515" t="s">
        <v>2951</v>
      </c>
      <c r="G658" s="516" t="s">
        <v>7663</v>
      </c>
      <c r="H658" s="515" t="s">
        <v>648</v>
      </c>
      <c r="I658" s="595"/>
      <c r="J658" s="596"/>
      <c r="K658" s="597">
        <f>SUM(K659:K663)</f>
        <v>13.66</v>
      </c>
      <c r="L658" s="597">
        <f>SUM(L659:L663)</f>
        <v>13.05</v>
      </c>
      <c r="M658" s="597">
        <f>SUM(K658:L658)</f>
        <v>26.71</v>
      </c>
      <c r="N658" s="598" t="s">
        <v>8397</v>
      </c>
      <c r="O658" s="941"/>
    </row>
    <row r="659" spans="2:15">
      <c r="B659" s="122">
        <f t="shared" ref="B659:B663" si="329">B658</f>
        <v>180</v>
      </c>
      <c r="C659" s="611" t="str">
        <f>IF(D659&lt;&gt;"","C",IF(E659&lt;&gt;"","I",""))</f>
        <v>C</v>
      </c>
      <c r="D659" s="660">
        <v>88247</v>
      </c>
      <c r="E659" s="661"/>
      <c r="F659" s="612"/>
      <c r="G659" s="613" t="str">
        <f>IF($E659="",IFERROR(VLOOKUP($D659,SERVIÇOS!$C:$H,2,0),IFERROR(VLOOKUP($D659,$F:$M,2,0),"")),IFERROR(VLOOKUP($E659,INSUMOS!$B:$E,2,0),IFERROR(VLOOKUP($E659,COTAÇÕES!$C:$L,2,0),"")))</f>
        <v>AUXILIAR DE ELETRICISTA COM ENCARGOS COMPLEMENTARES</v>
      </c>
      <c r="H659" s="593" t="str">
        <f>IF($E659="",IFERROR(VLOOKUP($D659,SERVIÇOS!$C:$H,3,0),IFERROR(VLOOKUP($D659,$F:$M,3,0),"")),IFERROR(VLOOKUP($E659,INSUMOS!$B:$E,3,0),IFERROR(VLOOKUP($E659,COTAÇÕES!$C:$L,5,0),"")))</f>
        <v>H</v>
      </c>
      <c r="I659" s="644">
        <v>0.3</v>
      </c>
      <c r="J659" s="670">
        <f>IF($E659="",IFERROR(VLOOKUP($D659,SERVIÇOS!$C:$H,6,0),IFERROR(VLOOKUP($D659,$F:$M,8,0),"")),IFERROR(VLOOKUP($E659,INSUMOS!$B:$E,4,0),IFERROR(VLOOKUP($E659,COTAÇÕES!$C:$L,10,0),"")))</f>
        <v>25.53</v>
      </c>
      <c r="K659" s="615">
        <f>TRUNC(IF($E659="",IFERROR(VLOOKUP($D659,SERVIÇOS!$C:$H,4,0),IFERROR(VLOOKUP($D659,$F:$M,6,0),)),IFERROR(VLOOKUP($E659,INSUMOS!$B:$E,4,0),IFERROR(VLOOKUP($E659,COTAÇÕES!$C:$L,10,0),)))*$I659,2)</f>
        <v>1.99</v>
      </c>
      <c r="L659" s="616">
        <f>TRUNC(IF($E659="",IFERROR(VLOOKUP($D659,SERVIÇOS!$C:$H,5,0),IFERROR(VLOOKUP($D659,$F:$M,7,0),)),0)*$I659,2)</f>
        <v>5.66</v>
      </c>
      <c r="M659" s="617">
        <f>K659+L659</f>
        <v>7.65</v>
      </c>
      <c r="N659" s="753" t="str">
        <f>IF($D659&lt;&gt;"","SERVIÇO SINAPI",IF($E659&lt;&gt;"","INSUMO SINAPI",""))</f>
        <v>SERVIÇO SINAPI</v>
      </c>
      <c r="O659" s="943"/>
    </row>
    <row r="660" spans="2:15">
      <c r="B660" s="122">
        <f t="shared" si="329"/>
        <v>180</v>
      </c>
      <c r="C660" s="611" t="str">
        <f>IF(D660&lt;&gt;"","C",IF(E660&lt;&gt;"","I",""))</f>
        <v>C</v>
      </c>
      <c r="D660" s="660">
        <v>88264</v>
      </c>
      <c r="E660" s="661"/>
      <c r="F660" s="612"/>
      <c r="G660" s="613" t="str">
        <f>IF($E660="",IFERROR(VLOOKUP($D660,SERVIÇOS!$C:$H,2,0),IFERROR(VLOOKUP($D660,$F:$M,2,0),"")),IFERROR(VLOOKUP($E660,INSUMOS!$B:$E,2,0),IFERROR(VLOOKUP($E660,COTAÇÕES!$C:$L,2,0),"")))</f>
        <v>ELETRICISTA COM ENCARGOS COMPLEMENTARES</v>
      </c>
      <c r="H660" s="593" t="str">
        <f>IF($E660="",IFERROR(VLOOKUP($D660,SERVIÇOS!$C:$H,3,0),IFERROR(VLOOKUP($D660,$F:$M,3,0),"")),IFERROR(VLOOKUP($E660,INSUMOS!$B:$E,3,0),IFERROR(VLOOKUP($E660,COTAÇÕES!$C:$L,5,0),"")))</f>
        <v>H</v>
      </c>
      <c r="I660" s="644">
        <v>0.3</v>
      </c>
      <c r="J660" s="670">
        <f>IF($E660="",IFERROR(VLOOKUP($D660,SERVIÇOS!$C:$H,6,0),IFERROR(VLOOKUP($D660,$F:$M,8,0),"")),IFERROR(VLOOKUP($E660,INSUMOS!$B:$E,4,0),IFERROR(VLOOKUP($E660,COTAÇÕES!$C:$L,10,0),"")))</f>
        <v>31.32</v>
      </c>
      <c r="K660" s="615">
        <f>TRUNC(IF($E660="",IFERROR(VLOOKUP($D660,SERVIÇOS!$C:$H,4,0),IFERROR(VLOOKUP($D660,$F:$M,6,0),)),IFERROR(VLOOKUP($E660,INSUMOS!$B:$E,4,0),IFERROR(VLOOKUP($E660,COTAÇÕES!$C:$L,10,0),)))*$I660,2)</f>
        <v>1.99</v>
      </c>
      <c r="L660" s="616">
        <f>TRUNC(IF($E660="",IFERROR(VLOOKUP($D660,SERVIÇOS!$C:$H,5,0),IFERROR(VLOOKUP($D660,$F:$M,7,0),)),0)*$I660,2)</f>
        <v>7.39</v>
      </c>
      <c r="M660" s="617">
        <f>K660+L660</f>
        <v>9.379999999999999</v>
      </c>
      <c r="N660" s="753" t="str">
        <f>IF($D660&lt;&gt;"","SERVIÇO SINAPI",IF($E660&lt;&gt;"","INSUMO SINAPI",""))</f>
        <v>SERVIÇO SINAPI</v>
      </c>
      <c r="O660" s="943"/>
    </row>
    <row r="661" spans="2:15">
      <c r="B661" s="122">
        <f t="shared" si="329"/>
        <v>180</v>
      </c>
      <c r="C661" s="611" t="str">
        <f>IF(D661&lt;&gt;"","C",IF(E661&lt;&gt;"","I",""))</f>
        <v>I</v>
      </c>
      <c r="D661" s="660"/>
      <c r="E661" s="892" t="s">
        <v>8967</v>
      </c>
      <c r="F661" s="612"/>
      <c r="G661" s="613" t="str">
        <f>IF($E661="",IFERROR(VLOOKUP($D661,SERVIÇOS!$C:$H,2,0),IFERROR(VLOOKUP($D661,$F:$M,2,0),"")),IFERROR(VLOOKUP($E661,INSUMOS!$B:$E,2,0),IFERROR(VLOOKUP($E661,COTAÇÕES!$C:$L,2,0),"")))</f>
        <v>BARRA CHATA DE ALUMÍNIO 1/8 X 7/8" 6 METROS</v>
      </c>
      <c r="H661" s="593" t="str">
        <f>IF($E661="",IFERROR(VLOOKUP($D661,SERVIÇOS!$C:$H,3,0),IFERROR(VLOOKUP($D661,$F:$M,3,0),"")),IFERROR(VLOOKUP($E661,INSUMOS!$B:$E,3,0),IFERROR(VLOOKUP($E661,COTAÇÕES!$C:$L,5,0),"")))</f>
        <v>M</v>
      </c>
      <c r="I661" s="644">
        <v>1</v>
      </c>
      <c r="J661" s="670">
        <f>IF($E661="",IFERROR(VLOOKUP($D661,SERVIÇOS!$C:$H,6,0),IFERROR(VLOOKUP($D661,$F:$M,8,0),"")),IFERROR(VLOOKUP($E661,INSUMOS!$B:$E,4,0),IFERROR(VLOOKUP($E661,COTAÇÕES!$C:$L,10,0),"")))</f>
        <v>9.2283333333333335</v>
      </c>
      <c r="K661" s="615">
        <f>TRUNC(IF($E661="",IFERROR(VLOOKUP($D661,SERVIÇOS!$C:$H,4,0),IFERROR(VLOOKUP($D661,$F:$M,6,0),)),IFERROR(VLOOKUP($E661,INSUMOS!$B:$E,4,0),IFERROR(VLOOKUP($E661,COTAÇÕES!$C:$L,10,0),)))*$I661,2)</f>
        <v>9.2200000000000006</v>
      </c>
      <c r="L661" s="616">
        <f>TRUNC(IF($E661="",IFERROR(VLOOKUP($D661,SERVIÇOS!$C:$H,5,0),IFERROR(VLOOKUP($D661,$F:$M,7,0),)),0)*$I661,2)</f>
        <v>0</v>
      </c>
      <c r="M661" s="617">
        <f>K661+L661</f>
        <v>9.2200000000000006</v>
      </c>
      <c r="N661" s="753" t="s">
        <v>6845</v>
      </c>
      <c r="O661" s="942"/>
    </row>
    <row r="662" spans="2:15" ht="25.5">
      <c r="B662" s="122">
        <f t="shared" si="329"/>
        <v>180</v>
      </c>
      <c r="C662" s="611" t="str">
        <f>IF(D662&lt;&gt;"","C",IF(E662&lt;&gt;"","I",""))</f>
        <v>I</v>
      </c>
      <c r="D662" s="660"/>
      <c r="E662" s="892">
        <v>4377</v>
      </c>
      <c r="F662" s="612"/>
      <c r="G662" s="613" t="str">
        <f>IF($E662="",IFERROR(VLOOKUP($D662,SERVIÇOS!$C:$H,2,0),IFERROR(VLOOKUP($D662,$F:$M,2,0),"")),IFERROR(VLOOKUP($E662,INSUMOS!$B:$E,2,0),IFERROR(VLOOKUP($E662,COTAÇÕES!$C:$L,2,0),"")))</f>
        <v xml:space="preserve">PARAFUSO DE ACO ZINCADO COM ROSCA SOBERBA, CABECA CHATA E FENDA SIMPLES, DIAMETRO 4,2 MM, COMPRIMENTO * 32 * MM                                                                                                                                                                                                                                                                                                                                                                                           </v>
      </c>
      <c r="H662" s="593" t="str">
        <f>IF($E662="",IFERROR(VLOOKUP($D662,SERVIÇOS!$C:$H,3,0),IFERROR(VLOOKUP($D662,$F:$M,3,0),"")),IFERROR(VLOOKUP($E662,INSUMOS!$B:$E,3,0),IFERROR(VLOOKUP($E662,COTAÇÕES!$C:$L,5,0),"")))</f>
        <v xml:space="preserve">UN    </v>
      </c>
      <c r="I662" s="644">
        <v>1.67</v>
      </c>
      <c r="J662" s="670">
        <f>IF($E662="",IFERROR(VLOOKUP($D662,SERVIÇOS!$C:$H,6,0),IFERROR(VLOOKUP($D662,$F:$M,8,0),"")),IFERROR(VLOOKUP($E662,INSUMOS!$B:$E,4,0),IFERROR(VLOOKUP($E662,COTAÇÕES!$C:$L,10,0),"")))</f>
        <v>0.16</v>
      </c>
      <c r="K662" s="615">
        <f>TRUNC(IF($E662="",IFERROR(VLOOKUP($D662,SERVIÇOS!$C:$H,4,0),IFERROR(VLOOKUP($D662,$F:$M,6,0),)),IFERROR(VLOOKUP($E662,INSUMOS!$B:$E,4,0),IFERROR(VLOOKUP($E662,COTAÇÕES!$C:$L,10,0),)))*$I662,2)</f>
        <v>0.26</v>
      </c>
      <c r="L662" s="616">
        <f>TRUNC(IF($E662="",IFERROR(VLOOKUP($D662,SERVIÇOS!$C:$H,5,0),IFERROR(VLOOKUP($D662,$F:$M,7,0),)),0)*$I662,2)</f>
        <v>0</v>
      </c>
      <c r="M662" s="617">
        <f>K662+L662</f>
        <v>0.26</v>
      </c>
      <c r="N662" s="753" t="str">
        <f>IF($D662&lt;&gt;"","SERVIÇO SINAPI",IF($E662&lt;&gt;"","INSUMO SINAPI",""))</f>
        <v>INSUMO SINAPI</v>
      </c>
      <c r="O662" s="942"/>
    </row>
    <row r="663" spans="2:15">
      <c r="B663" s="122">
        <f t="shared" si="329"/>
        <v>180</v>
      </c>
      <c r="C663" s="611" t="str">
        <f>IF(D663&lt;&gt;"","C",IF(E663&lt;&gt;"","I",""))</f>
        <v>I</v>
      </c>
      <c r="D663" s="660"/>
      <c r="E663" s="892">
        <v>4375</v>
      </c>
      <c r="F663" s="612"/>
      <c r="G663" s="613" t="str">
        <f>IF($E663="",IFERROR(VLOOKUP($D663,SERVIÇOS!$C:$H,2,0),IFERROR(VLOOKUP($D663,$F:$M,2,0),"")),IFERROR(VLOOKUP($E663,INSUMOS!$B:$E,2,0),IFERROR(VLOOKUP($E663,COTAÇÕES!$C:$L,2,0),"")))</f>
        <v xml:space="preserve">BUCHA DE NYLON SEM ABA S6                                                                                                                                                                                                                                                                                                                                                                                                                                                                                 </v>
      </c>
      <c r="H663" s="593" t="str">
        <f>IF($E663="",IFERROR(VLOOKUP($D663,SERVIÇOS!$C:$H,3,0),IFERROR(VLOOKUP($D663,$F:$M,3,0),"")),IFERROR(VLOOKUP($E663,INSUMOS!$B:$E,3,0),IFERROR(VLOOKUP($E663,COTAÇÕES!$C:$L,5,0),"")))</f>
        <v xml:space="preserve">UN    </v>
      </c>
      <c r="I663" s="644">
        <v>1.67</v>
      </c>
      <c r="J663" s="670">
        <f>IF($E663="",IFERROR(VLOOKUP($D663,SERVIÇOS!$C:$H,6,0),IFERROR(VLOOKUP($D663,$F:$M,8,0),"")),IFERROR(VLOOKUP($E663,INSUMOS!$B:$E,4,0),IFERROR(VLOOKUP($E663,COTAÇÕES!$C:$L,10,0),"")))</f>
        <v>0.12</v>
      </c>
      <c r="K663" s="615">
        <f>TRUNC(IF($E663="",IFERROR(VLOOKUP($D663,SERVIÇOS!$C:$H,4,0),IFERROR(VLOOKUP($D663,$F:$M,6,0),)),IFERROR(VLOOKUP($E663,INSUMOS!$B:$E,4,0),IFERROR(VLOOKUP($E663,COTAÇÕES!$C:$L,10,0),)))*$I663,2)</f>
        <v>0.2</v>
      </c>
      <c r="L663" s="616">
        <f>TRUNC(IF($E663="",IFERROR(VLOOKUP($D663,SERVIÇOS!$C:$H,5,0),IFERROR(VLOOKUP($D663,$F:$M,7,0),)),0)*$I663,2)</f>
        <v>0</v>
      </c>
      <c r="M663" s="617">
        <f>K663+L663</f>
        <v>0.2</v>
      </c>
      <c r="N663" s="753" t="str">
        <f>IF($D663&lt;&gt;"","SERVIÇO SINAPI",IF($E663&lt;&gt;"","INSUMO SINAPI",""))</f>
        <v>INSUMO SINAPI</v>
      </c>
      <c r="O663" s="942"/>
    </row>
    <row r="664" spans="2:15">
      <c r="B664" s="769">
        <f>SUMIF(ORC!$G$11:$G$2470,CPU!$F664,ORC!$J$11:$J$2470)</f>
        <v>1</v>
      </c>
      <c r="C664" s="515" t="s">
        <v>2239</v>
      </c>
      <c r="D664" s="515"/>
      <c r="E664" s="515"/>
      <c r="F664" s="515" t="s">
        <v>2952</v>
      </c>
      <c r="G664" s="516" t="s">
        <v>6988</v>
      </c>
      <c r="H664" s="515" t="s">
        <v>646</v>
      </c>
      <c r="I664" s="595"/>
      <c r="J664" s="596"/>
      <c r="K664" s="597">
        <f>SUM(K665:K668)</f>
        <v>558.45000000000005</v>
      </c>
      <c r="L664" s="597">
        <f>SUM(L665:L668)</f>
        <v>44.69</v>
      </c>
      <c r="M664" s="597">
        <f>SUM(K664:L664)</f>
        <v>603.1400000000001</v>
      </c>
      <c r="N664" s="598" t="s">
        <v>6805</v>
      </c>
      <c r="O664" s="941"/>
    </row>
    <row r="665" spans="2:15">
      <c r="B665" s="122">
        <f t="shared" ref="B665:B668" si="330">B664</f>
        <v>1</v>
      </c>
      <c r="C665" s="611" t="str">
        <f>IF(D665&lt;&gt;"","C",IF(E665&lt;&gt;"","I",""))</f>
        <v>C</v>
      </c>
      <c r="D665" s="660">
        <v>88264</v>
      </c>
      <c r="E665" s="661"/>
      <c r="F665" s="612"/>
      <c r="G665" s="613" t="str">
        <f>IF($E665="",IFERROR(VLOOKUP($D665,SERVIÇOS!$C:$H,2,0),IFERROR(VLOOKUP($D665,$F:$M,2,0),"")),IFERROR(VLOOKUP($E665,INSUMOS!$B:$E,2,0),IFERROR(VLOOKUP($E665,COTAÇÕES!$C:$L,2,0),"")))</f>
        <v>ELETRICISTA COM ENCARGOS COMPLEMENTARES</v>
      </c>
      <c r="H665" s="593" t="str">
        <f>IF($E665="",IFERROR(VLOOKUP($D665,SERVIÇOS!$C:$H,3,0),IFERROR(VLOOKUP($D665,$F:$M,3,0),"")),IFERROR(VLOOKUP($E665,INSUMOS!$B:$E,3,0),IFERROR(VLOOKUP($E665,COTAÇÕES!$C:$L,5,0),"")))</f>
        <v>H</v>
      </c>
      <c r="I665" s="644">
        <v>0.96499999999999997</v>
      </c>
      <c r="J665" s="670">
        <f>IF($E665="",IFERROR(VLOOKUP($D665,SERVIÇOS!$C:$H,6,0),IFERROR(VLOOKUP($D665,$F:$M,8,0),"")),IFERROR(VLOOKUP($E665,INSUMOS!$B:$E,4,0),IFERROR(VLOOKUP($E665,COTAÇÕES!$C:$L,10,0),"")))</f>
        <v>31.32</v>
      </c>
      <c r="K665" s="615">
        <f>TRUNC(IF($E665="",IFERROR(VLOOKUP($D665,SERVIÇOS!$C:$H,4,0),IFERROR(VLOOKUP($D665,$F:$M,6,0),)),IFERROR(VLOOKUP($E665,INSUMOS!$B:$E,4,0),IFERROR(VLOOKUP($E665,COTAÇÕES!$C:$L,10,0),)))*$I665,2)</f>
        <v>6.42</v>
      </c>
      <c r="L665" s="616">
        <f>TRUNC(IF($E665="",IFERROR(VLOOKUP($D665,SERVIÇOS!$C:$H,5,0),IFERROR(VLOOKUP($D665,$F:$M,7,0),)),0)*$I665,2)</f>
        <v>23.79</v>
      </c>
      <c r="M665" s="617">
        <f>K665+L665</f>
        <v>30.21</v>
      </c>
      <c r="N665" s="753" t="str">
        <f>IF($D665&lt;&gt;"","SERVIÇO SINAPI",IF($E665&lt;&gt;"","INSUMO SINAPI",""))</f>
        <v>SERVIÇO SINAPI</v>
      </c>
      <c r="O665" s="943"/>
    </row>
    <row r="666" spans="2:15">
      <c r="B666" s="122">
        <f t="shared" si="330"/>
        <v>1</v>
      </c>
      <c r="C666" s="611" t="str">
        <f>IF(D666&lt;&gt;"","C",IF(E666&lt;&gt;"","I",""))</f>
        <v>C</v>
      </c>
      <c r="D666" s="660">
        <v>88247</v>
      </c>
      <c r="E666" s="661"/>
      <c r="F666" s="612"/>
      <c r="G666" s="613" t="str">
        <f>IF($E666="",IFERROR(VLOOKUP($D666,SERVIÇOS!$C:$H,2,0),IFERROR(VLOOKUP($D666,$F:$M,2,0),"")),IFERROR(VLOOKUP($E666,INSUMOS!$B:$E,2,0),IFERROR(VLOOKUP($E666,COTAÇÕES!$C:$L,2,0),"")))</f>
        <v>AUXILIAR DE ELETRICISTA COM ENCARGOS COMPLEMENTARES</v>
      </c>
      <c r="H666" s="593" t="str">
        <f>IF($E666="",IFERROR(VLOOKUP($D666,SERVIÇOS!$C:$H,3,0),IFERROR(VLOOKUP($D666,$F:$M,3,0),"")),IFERROR(VLOOKUP($E666,INSUMOS!$B:$E,3,0),IFERROR(VLOOKUP($E666,COTAÇÕES!$C:$L,5,0),"")))</f>
        <v>H</v>
      </c>
      <c r="I666" s="644">
        <v>0.96499999999999997</v>
      </c>
      <c r="J666" s="670">
        <f>IF($E666="",IFERROR(VLOOKUP($D666,SERVIÇOS!$C:$H,6,0),IFERROR(VLOOKUP($D666,$F:$M,8,0),"")),IFERROR(VLOOKUP($E666,INSUMOS!$B:$E,4,0),IFERROR(VLOOKUP($E666,COTAÇÕES!$C:$L,10,0),"")))</f>
        <v>25.53</v>
      </c>
      <c r="K666" s="615">
        <f>TRUNC(IF($E666="",IFERROR(VLOOKUP($D666,SERVIÇOS!$C:$H,4,0),IFERROR(VLOOKUP($D666,$F:$M,6,0),)),IFERROR(VLOOKUP($E666,INSUMOS!$B:$E,4,0),IFERROR(VLOOKUP($E666,COTAÇÕES!$C:$L,10,0),)))*$I666,2)</f>
        <v>6.42</v>
      </c>
      <c r="L666" s="616">
        <f>TRUNC(IF($E666="",IFERROR(VLOOKUP($D666,SERVIÇOS!$C:$H,5,0),IFERROR(VLOOKUP($D666,$F:$M,7,0),)),0)*$I666,2)</f>
        <v>18.2</v>
      </c>
      <c r="M666" s="617">
        <f>K666+L666</f>
        <v>24.619999999999997</v>
      </c>
      <c r="N666" s="753" t="str">
        <f>IF($D666&lt;&gt;"","SERVIÇO SINAPI",IF($E666&lt;&gt;"","INSUMO SINAPI",""))</f>
        <v>SERVIÇO SINAPI</v>
      </c>
      <c r="O666" s="943"/>
    </row>
    <row r="667" spans="2:15" ht="25.5">
      <c r="B667" s="122">
        <f t="shared" si="330"/>
        <v>1</v>
      </c>
      <c r="C667" s="611" t="str">
        <f>IF(D667&lt;&gt;"","C",IF(E667&lt;&gt;"","I",""))</f>
        <v>C</v>
      </c>
      <c r="D667" s="660">
        <v>87367</v>
      </c>
      <c r="E667" s="661"/>
      <c r="F667" s="612"/>
      <c r="G667" s="613" t="str">
        <f>IF($E667="",IFERROR(VLOOKUP($D667,SERVIÇOS!$C:$H,2,0),IFERROR(VLOOKUP($D667,$F:$M,2,0),"")),IFERROR(VLOOKUP($E667,INSUMOS!$B:$E,2,0),IFERROR(VLOOKUP($E667,COTAÇÕES!$C:$L,2,0),"")))</f>
        <v>ARGAMASSA TRAÇO 1:1:6 (EM VOLUME DE CIMENTO, CAL E AREIA MÉDIA ÚMIDA) PARA EMBOÇO/MASSA ÚNICA/ASSENTAMENTO DE ALVENARIA DE VEDAÇÃO, PREPARO MANUAL. AF_08/2019</v>
      </c>
      <c r="H667" s="593" t="str">
        <f>IF($E667="",IFERROR(VLOOKUP($D667,SERVIÇOS!$C:$H,3,0),IFERROR(VLOOKUP($D667,$F:$M,3,0),"")),IFERROR(VLOOKUP($E667,INSUMOS!$B:$E,3,0),IFERROR(VLOOKUP($E667,COTAÇÕES!$C:$L,5,0),"")))</f>
        <v>M3</v>
      </c>
      <c r="I667" s="644">
        <v>1.4E-2</v>
      </c>
      <c r="J667" s="670">
        <f>IF($E667="",IFERROR(VLOOKUP($D667,SERVIÇOS!$C:$H,6,0),IFERROR(VLOOKUP($D667,$F:$M,8,0),"")),IFERROR(VLOOKUP($E667,INSUMOS!$B:$E,4,0),IFERROR(VLOOKUP($E667,COTAÇÕES!$C:$L,10,0),"")))</f>
        <v>613.25</v>
      </c>
      <c r="K667" s="615">
        <f>TRUNC(IF($E667="",IFERROR(VLOOKUP($D667,SERVIÇOS!$C:$H,4,0),IFERROR(VLOOKUP($D667,$F:$M,6,0),)),IFERROR(VLOOKUP($E667,INSUMOS!$B:$E,4,0),IFERROR(VLOOKUP($E667,COTAÇÕES!$C:$L,10,0),)))*$I667,2)</f>
        <v>5.88</v>
      </c>
      <c r="L667" s="616">
        <f>TRUNC(IF($E667="",IFERROR(VLOOKUP($D667,SERVIÇOS!$C:$H,5,0),IFERROR(VLOOKUP($D667,$F:$M,7,0),)),0)*$I667,2)</f>
        <v>2.7</v>
      </c>
      <c r="M667" s="617">
        <f>K667+L667</f>
        <v>8.58</v>
      </c>
      <c r="N667" s="753" t="str">
        <f>IF($D667&lt;&gt;"","SERVIÇO SINAPI",IF($E667&lt;&gt;"","INSUMO SINAPI",""))</f>
        <v>SERVIÇO SINAPI</v>
      </c>
      <c r="O667" s="943"/>
    </row>
    <row r="668" spans="2:15">
      <c r="B668" s="122">
        <f t="shared" si="330"/>
        <v>1</v>
      </c>
      <c r="C668" s="611" t="str">
        <f>IF(D668&lt;&gt;"","C",IF(E668&lt;&gt;"","I",""))</f>
        <v>I</v>
      </c>
      <c r="D668" s="660"/>
      <c r="E668" s="661" t="s">
        <v>9070</v>
      </c>
      <c r="F668" s="612"/>
      <c r="G668" s="613" t="str">
        <f>IF($E668="",IFERROR(VLOOKUP($D668,SERVIÇOS!$C:$H,2,0),IFERROR(VLOOKUP($D668,$F:$M,2,0),"")),IFERROR(VLOOKUP($E668,INSUMOS!$B:$E,2,0),IFERROR(VLOOKUP($E668,COTAÇÕES!$C:$L,2,0),"")))</f>
        <v>CAIXA DE EQUIPOTENCIALIDADE - 40X40X15CM</v>
      </c>
      <c r="H668" s="593" t="str">
        <f>IF($E668="",IFERROR(VLOOKUP($D668,SERVIÇOS!$C:$H,3,0),IFERROR(VLOOKUP($D668,$F:$M,3,0),"")),IFERROR(VLOOKUP($E668,INSUMOS!$B:$E,3,0),IFERROR(VLOOKUP($E668,COTAÇÕES!$C:$L,5,0),"")))</f>
        <v>UN</v>
      </c>
      <c r="I668" s="644">
        <v>1</v>
      </c>
      <c r="J668" s="670">
        <f>IF($E668="",IFERROR(VLOOKUP($D668,SERVIÇOS!$C:$H,6,0),IFERROR(VLOOKUP($D668,$F:$M,8,0),"")),IFERROR(VLOOKUP($E668,INSUMOS!$B:$E,4,0),IFERROR(VLOOKUP($E668,COTAÇÕES!$C:$L,10,0),"")))</f>
        <v>539.73</v>
      </c>
      <c r="K668" s="615">
        <f>TRUNC(IF($E668="",IFERROR(VLOOKUP($D668,SERVIÇOS!$C:$H,4,0),IFERROR(VLOOKUP($D668,$F:$M,6,0),)),IFERROR(VLOOKUP($E668,INSUMOS!$B:$E,4,0),IFERROR(VLOOKUP($E668,COTAÇÕES!$C:$L,10,0),)))*$I668,2)</f>
        <v>539.73</v>
      </c>
      <c r="L668" s="616">
        <f>TRUNC(IF($E668="",IFERROR(VLOOKUP($D668,SERVIÇOS!$C:$H,5,0),IFERROR(VLOOKUP($D668,$F:$M,7,0),)),0)*$I668,2)</f>
        <v>0</v>
      </c>
      <c r="M668" s="617">
        <f>K668+L668</f>
        <v>539.73</v>
      </c>
      <c r="N668" s="753" t="s">
        <v>6845</v>
      </c>
      <c r="O668" s="640"/>
    </row>
    <row r="669" spans="2:15" ht="25.5">
      <c r="B669" s="769">
        <f>SUMIF(ORC!$G$11:$G$2470,CPU!$F669,ORC!$J$11:$J$2470)</f>
        <v>5</v>
      </c>
      <c r="C669" s="515" t="s">
        <v>2239</v>
      </c>
      <c r="D669" s="515"/>
      <c r="E669" s="515"/>
      <c r="F669" s="515" t="s">
        <v>6809</v>
      </c>
      <c r="G669" s="516" t="s">
        <v>8384</v>
      </c>
      <c r="H669" s="515" t="s">
        <v>646</v>
      </c>
      <c r="I669" s="595"/>
      <c r="J669" s="596"/>
      <c r="K669" s="597">
        <f>SUM(K670:K674)</f>
        <v>207.08</v>
      </c>
      <c r="L669" s="597">
        <f>SUM(L670:L674)</f>
        <v>61.440000000000005</v>
      </c>
      <c r="M669" s="597">
        <f>SUM(K669:L669)</f>
        <v>268.52000000000004</v>
      </c>
      <c r="N669" s="598" t="s">
        <v>7547</v>
      </c>
      <c r="O669" s="599"/>
    </row>
    <row r="670" spans="2:15">
      <c r="B670" s="122">
        <f t="shared" ref="B670:B674" si="331">B669</f>
        <v>5</v>
      </c>
      <c r="C670" s="611" t="str">
        <f>IF(D670&lt;&gt;"","C",IF(E670&lt;&gt;"","I",""))</f>
        <v>I</v>
      </c>
      <c r="D670" s="660"/>
      <c r="E670" s="661" t="s">
        <v>9074</v>
      </c>
      <c r="F670" s="612"/>
      <c r="G670" s="894" t="str">
        <f>IF($E670="",IFERROR(VLOOKUP($D670,SERVIÇOS!$C:$H,2,0),IFERROR(VLOOKUP($D670,$F:$M,2,0),"")),IFERROR(VLOOKUP($E670,INSUMOS!$B:$E,2,0),IFERROR(VLOOKUP($E670,COTAÇÕES!$C:$L,2,0),"")))</f>
        <v>CAIXA DE CONCRETO ARMADO PRE MOLDADO, SEM FUNDO, QUADRADA, DIMENSÕES: 50X50X50CM</v>
      </c>
      <c r="H670" s="593" t="str">
        <f>IF($E670="",IFERROR(VLOOKUP($D670,SERVIÇOS!$C:$H,3,0),IFERROR(VLOOKUP($D670,$F:$M,3,0),"")),IFERROR(VLOOKUP($E670,INSUMOS!$B:$E,3,0),IFERROR(VLOOKUP($E670,COTAÇÕES!$C:$L,5,0),"")))</f>
        <v>UN</v>
      </c>
      <c r="I670" s="614">
        <v>1</v>
      </c>
      <c r="J670" s="670">
        <f>IF($E670="",IFERROR(VLOOKUP($D670,SERVIÇOS!$C:$H,6,0),IFERROR(VLOOKUP($D670,$F:$M,8,0),"")),IFERROR(VLOOKUP($E670,INSUMOS!$B:$E,4,0),IFERROR(VLOOKUP($E670,COTAÇÕES!$C:$L,10,0),"")))</f>
        <v>158.09</v>
      </c>
      <c r="K670" s="615">
        <f>TRUNC(IF($E670="",IFERROR(VLOOKUP($D670,SERVIÇOS!$C:$H,4,0),IFERROR(VLOOKUP($D670,$F:$M,6,0),)),IFERROR(VLOOKUP($E670,INSUMOS!$B:$E,4,0),IFERROR(VLOOKUP($E670,COTAÇÕES!$C:$L,10,0),)))*$I670,2)</f>
        <v>158.09</v>
      </c>
      <c r="L670" s="616">
        <f>TRUNC(IF($E670="",IFERROR(VLOOKUP($D670,SERVIÇOS!$C:$H,5,0),IFERROR(VLOOKUP($D670,$F:$M,7,0),)),0)*$I670,2)</f>
        <v>0</v>
      </c>
      <c r="M670" s="617">
        <f>K670+L670</f>
        <v>158.09</v>
      </c>
      <c r="N670" s="753" t="s">
        <v>6845</v>
      </c>
      <c r="O670" s="632"/>
    </row>
    <row r="671" spans="2:15">
      <c r="B671" s="122">
        <f t="shared" si="331"/>
        <v>5</v>
      </c>
      <c r="C671" s="611" t="str">
        <f>IF(D671&lt;&gt;"","C",IF(E671&lt;&gt;"","I",""))</f>
        <v>C</v>
      </c>
      <c r="D671" s="945">
        <v>88309</v>
      </c>
      <c r="E671" s="661"/>
      <c r="F671" s="612"/>
      <c r="G671" s="613" t="str">
        <f>IF($E671="",IFERROR(VLOOKUP($D671,SERVIÇOS!$C:$H,2,0),IFERROR(VLOOKUP($D671,$F:$M,2,0),"")),IFERROR(VLOOKUP($E671,INSUMOS!$B:$E,2,0),IFERROR(VLOOKUP($E671,COTAÇÕES!$C:$L,2,0),"")))</f>
        <v>PEDREIRO COM ENCARGOS COMPLEMENTARES</v>
      </c>
      <c r="H671" s="593" t="str">
        <f>IF($E671="",IFERROR(VLOOKUP($D671,SERVIÇOS!$C:$H,3,0),IFERROR(VLOOKUP($D671,$F:$M,3,0),"")),IFERROR(VLOOKUP($E671,INSUMOS!$B:$E,3,0),IFERROR(VLOOKUP($E671,COTAÇÕES!$C:$L,5,0),"")))</f>
        <v>H</v>
      </c>
      <c r="I671" s="614">
        <f>0.0304*(0.5*0.5*0.5)/(0.4*0.4*0.4)</f>
        <v>5.9374999999999983E-2</v>
      </c>
      <c r="J671" s="670">
        <f>IF($E671="",IFERROR(VLOOKUP($D671,SERVIÇOS!$C:$H,6,0),IFERROR(VLOOKUP($D671,$F:$M,8,0),"")),IFERROR(VLOOKUP($E671,INSUMOS!$B:$E,4,0),IFERROR(VLOOKUP($E671,COTAÇÕES!$C:$L,10,0),"")))</f>
        <v>30.99</v>
      </c>
      <c r="K671" s="615">
        <f>TRUNC(IF($E671="",IFERROR(VLOOKUP($D671,SERVIÇOS!$C:$H,4,0),IFERROR(VLOOKUP($D671,$F:$M,6,0),)),IFERROR(VLOOKUP($E671,INSUMOS!$B:$E,4,0),IFERROR(VLOOKUP($E671,COTAÇÕES!$C:$L,10,0),)))*$I671,2)</f>
        <v>0.39</v>
      </c>
      <c r="L671" s="616">
        <f>TRUNC(IF($E671="",IFERROR(VLOOKUP($D671,SERVIÇOS!$C:$H,5,0),IFERROR(VLOOKUP($D671,$F:$M,7,0),)),0)*$I671,2)</f>
        <v>1.44</v>
      </c>
      <c r="M671" s="617">
        <f>K671+L671</f>
        <v>1.83</v>
      </c>
      <c r="N671" s="753" t="str">
        <f>IF($D671&lt;&gt;"","SERVIÇO SINAPI",IF($E671&lt;&gt;"","INSUMO SINAPI",""))</f>
        <v>SERVIÇO SINAPI</v>
      </c>
      <c r="O671" s="632"/>
    </row>
    <row r="672" spans="2:15">
      <c r="B672" s="122">
        <f t="shared" si="331"/>
        <v>5</v>
      </c>
      <c r="C672" s="611" t="str">
        <f>IF(D672&lt;&gt;"","C",IF(E672&lt;&gt;"","I",""))</f>
        <v>C</v>
      </c>
      <c r="D672" s="945">
        <v>88316</v>
      </c>
      <c r="E672" s="661"/>
      <c r="F672" s="612"/>
      <c r="G672" s="613" t="str">
        <f>IF($E672="",IFERROR(VLOOKUP($D672,SERVIÇOS!$C:$H,2,0),IFERROR(VLOOKUP($D672,$F:$M,2,0),"")),IFERROR(VLOOKUP($E672,INSUMOS!$B:$E,2,0),IFERROR(VLOOKUP($E672,COTAÇÕES!$C:$L,2,0),"")))</f>
        <v>SERVENTE COM ENCARGOS COMPLEMENTARES</v>
      </c>
      <c r="H672" s="593" t="str">
        <f>IF($E672="",IFERROR(VLOOKUP($D672,SERVIÇOS!$C:$H,3,0),IFERROR(VLOOKUP($D672,$F:$M,3,0),"")),IFERROR(VLOOKUP($E672,INSUMOS!$B:$E,3,0),IFERROR(VLOOKUP($E672,COTAÇÕES!$C:$L,5,0),"")))</f>
        <v>H</v>
      </c>
      <c r="I672" s="614">
        <f>0.0239*(0.5*0.5*0.5)/(0.4*0.4*0.4)</f>
        <v>4.667968749999999E-2</v>
      </c>
      <c r="J672" s="670">
        <f>IF($E672="",IFERROR(VLOOKUP($D672,SERVIÇOS!$C:$H,6,0),IFERROR(VLOOKUP($D672,$F:$M,8,0),"")),IFERROR(VLOOKUP($E672,INSUMOS!$B:$E,4,0),IFERROR(VLOOKUP($E672,COTAÇÕES!$C:$L,10,0),"")))</f>
        <v>23.71</v>
      </c>
      <c r="K672" s="615">
        <f>TRUNC(IF($E672="",IFERROR(VLOOKUP($D672,SERVIÇOS!$C:$H,4,0),IFERROR(VLOOKUP($D672,$F:$M,6,0),)),IFERROR(VLOOKUP($E672,INSUMOS!$B:$E,4,0),IFERROR(VLOOKUP($E672,COTAÇÕES!$C:$L,10,0),)))*$I672,2)</f>
        <v>0.3</v>
      </c>
      <c r="L672" s="616">
        <f>TRUNC(IF($E672="",IFERROR(VLOOKUP($D672,SERVIÇOS!$C:$H,5,0),IFERROR(VLOOKUP($D672,$F:$M,7,0),)),0)*$I672,2)</f>
        <v>0.8</v>
      </c>
      <c r="M672" s="617">
        <f>K672+L672</f>
        <v>1.1000000000000001</v>
      </c>
      <c r="N672" s="753" t="str">
        <f>IF($D672&lt;&gt;"","SERVIÇO SINAPI",IF($E672&lt;&gt;"","INSUMO SINAPI",""))</f>
        <v>SERVIÇO SINAPI</v>
      </c>
      <c r="O672" s="632"/>
    </row>
    <row r="673" spans="2:15" ht="25.5">
      <c r="B673" s="122">
        <f t="shared" si="331"/>
        <v>5</v>
      </c>
      <c r="C673" s="611" t="str">
        <f>IF(D673&lt;&gt;"","C",IF(E673&lt;&gt;"","I",""))</f>
        <v>C</v>
      </c>
      <c r="D673" s="660">
        <v>97734</v>
      </c>
      <c r="E673" s="661"/>
      <c r="F673" s="628"/>
      <c r="G673" s="613" t="str">
        <f>IF($E673="",IFERROR(VLOOKUP($D673,SERVIÇOS!$C:$H,2,0),IFERROR(VLOOKUP($D673,$F:$M,2,0),"")),IFERROR(VLOOKUP($E673,INSUMOS!$B:$E,2,0),IFERROR(VLOOKUP($E673,COTAÇÕES!$C:$L,2,0),"")))</f>
        <v>PEÇA RETANGULAR PRÉ-MOLDADA, VOLUME DE CONCRETO DE 10 A 30 LITROS, TAXA DE AÇO APROXIMADA DE 30KG/M³. AF_01/2018</v>
      </c>
      <c r="H673" s="593" t="str">
        <f>IF($E673="",IFERROR(VLOOKUP($D673,SERVIÇOS!$C:$H,3,0),IFERROR(VLOOKUP($D673,$F:$M,3,0),"")),IFERROR(VLOOKUP($E673,INSUMOS!$B:$E,3,0),IFERROR(VLOOKUP($E673,COTAÇÕES!$C:$L,5,0),"")))</f>
        <v>M3</v>
      </c>
      <c r="I673" s="614">
        <f>0.0148*(0.5*0.5*0.5)/(0.4*0.4*0.4)</f>
        <v>2.8906249999999994E-2</v>
      </c>
      <c r="J673" s="670">
        <f>IF($E673="",IFERROR(VLOOKUP($D673,SERVIÇOS!$C:$H,6,0),IFERROR(VLOOKUP($D673,$F:$M,8,0),"")),IFERROR(VLOOKUP($E673,INSUMOS!$B:$E,4,0),IFERROR(VLOOKUP($E673,COTAÇÕES!$C:$L,10,0),"")))</f>
        <v>3093.18</v>
      </c>
      <c r="K673" s="615">
        <f>TRUNC(IF($E673="",IFERROR(VLOOKUP($D673,SERVIÇOS!$C:$H,4,0),IFERROR(VLOOKUP($D673,$F:$M,6,0),)),IFERROR(VLOOKUP($E673,INSUMOS!$B:$E,4,0),IFERROR(VLOOKUP($E673,COTAÇÕES!$C:$L,10,0),)))*$I673,2)</f>
        <v>39.83</v>
      </c>
      <c r="L673" s="616">
        <f>TRUNC(IF($E673="",IFERROR(VLOOKUP($D673,SERVIÇOS!$C:$H,5,0),IFERROR(VLOOKUP($D673,$F:$M,7,0),)),0)*$I673,2)</f>
        <v>49.57</v>
      </c>
      <c r="M673" s="617">
        <f>K673+L673</f>
        <v>89.4</v>
      </c>
      <c r="N673" s="753" t="str">
        <f>IF($D673&lt;&gt;"","SERVIÇO SINAPI",IF($E673&lt;&gt;"","INSUMO SINAPI",""))</f>
        <v>SERVIÇO SINAPI</v>
      </c>
      <c r="O673" s="645"/>
    </row>
    <row r="674" spans="2:15" ht="25.5">
      <c r="B674" s="122">
        <f t="shared" si="331"/>
        <v>5</v>
      </c>
      <c r="C674" s="611" t="str">
        <f>IF(D674&lt;&gt;"","C",IF(E674&lt;&gt;"","I",""))</f>
        <v>C</v>
      </c>
      <c r="D674" s="660">
        <v>101619</v>
      </c>
      <c r="E674" s="661"/>
      <c r="F674" s="628"/>
      <c r="G674" s="613" t="str">
        <f>IF($E674="",IFERROR(VLOOKUP($D674,SERVIÇOS!$C:$H,2,0),IFERROR(VLOOKUP($D674,$F:$M,2,0),"")),IFERROR(VLOOKUP($E674,INSUMOS!$B:$E,2,0),IFERROR(VLOOKUP($E674,COTAÇÕES!$C:$L,2,0),"")))</f>
        <v>PREPARO DE FUNDO DE VALA COM LARGURA MENOR QUE 1,5 M, COM CAMADA DE BRITA, LANÇAMENTO MANUAL. AF_08/2020</v>
      </c>
      <c r="H674" s="593" t="str">
        <f>IF($E674="",IFERROR(VLOOKUP($D674,SERVIÇOS!$C:$H,3,0),IFERROR(VLOOKUP($D674,$F:$M,3,0),"")),IFERROR(VLOOKUP($E674,INSUMOS!$B:$E,3,0),IFERROR(VLOOKUP($E674,COTAÇÕES!$C:$L,5,0),"")))</f>
        <v>M3</v>
      </c>
      <c r="I674" s="614">
        <f>0.5*0.5*0.3</f>
        <v>7.4999999999999997E-2</v>
      </c>
      <c r="J674" s="670">
        <f>IF($E674="",IFERROR(VLOOKUP($D674,SERVIÇOS!$C:$H,6,0),IFERROR(VLOOKUP($D674,$F:$M,8,0),"")),IFERROR(VLOOKUP($E674,INSUMOS!$B:$E,4,0),IFERROR(VLOOKUP($E674,COTAÇÕES!$C:$L,10,0),"")))</f>
        <v>241.45</v>
      </c>
      <c r="K674" s="615">
        <f>TRUNC(IF($E674="",IFERROR(VLOOKUP($D674,SERVIÇOS!$C:$H,4,0),IFERROR(VLOOKUP($D674,$F:$M,6,0),)),IFERROR(VLOOKUP($E674,INSUMOS!$B:$E,4,0),IFERROR(VLOOKUP($E674,COTAÇÕES!$C:$L,10,0),)))*$I674,2)</f>
        <v>8.4700000000000006</v>
      </c>
      <c r="L674" s="616">
        <f>TRUNC(IF($E674="",IFERROR(VLOOKUP($D674,SERVIÇOS!$C:$H,5,0),IFERROR(VLOOKUP($D674,$F:$M,7,0),)),0)*$I674,2)</f>
        <v>9.6300000000000008</v>
      </c>
      <c r="M674" s="617">
        <f>K674+L674</f>
        <v>18.100000000000001</v>
      </c>
      <c r="N674" s="753" t="str">
        <f>IF($D674&lt;&gt;"","SERVIÇO SINAPI",IF($E674&lt;&gt;"","INSUMO SINAPI",""))</f>
        <v>SERVIÇO SINAPI</v>
      </c>
      <c r="O674" s="645"/>
    </row>
    <row r="675" spans="2:15">
      <c r="B675" s="769">
        <f>SUMIF(ORC!$G$11:$G$2470,CPU!$F675,ORC!$J$11:$J$2470)</f>
        <v>15</v>
      </c>
      <c r="C675" s="515" t="s">
        <v>2239</v>
      </c>
      <c r="D675" s="515"/>
      <c r="E675" s="515"/>
      <c r="F675" s="515" t="s">
        <v>8947</v>
      </c>
      <c r="G675" s="516" t="s">
        <v>8944</v>
      </c>
      <c r="H675" s="515" t="s">
        <v>646</v>
      </c>
      <c r="I675" s="595"/>
      <c r="J675" s="596"/>
      <c r="K675" s="597">
        <f>SUM(K676:K678)</f>
        <v>71.009999999999991</v>
      </c>
      <c r="L675" s="597">
        <f>SUM(L676:L678)</f>
        <v>14.100000000000001</v>
      </c>
      <c r="M675" s="597">
        <f>SUM(K675:L675)</f>
        <v>85.109999999999985</v>
      </c>
      <c r="N675" s="598" t="s">
        <v>8942</v>
      </c>
      <c r="O675" s="953" t="s">
        <v>7651</v>
      </c>
    </row>
    <row r="676" spans="2:15">
      <c r="B676" s="122">
        <f t="shared" ref="B676:B678" si="332">B675</f>
        <v>15</v>
      </c>
      <c r="C676" s="611" t="str">
        <f>IF(D676&lt;&gt;"","C",IF(E676&lt;&gt;"","I",""))</f>
        <v>C</v>
      </c>
      <c r="D676" s="660">
        <v>88247</v>
      </c>
      <c r="E676" s="660"/>
      <c r="F676" s="612"/>
      <c r="G676" s="613" t="str">
        <f>IF($E676="",IFERROR(VLOOKUP($D676,SERVIÇOS!$C:$H,2,0),IFERROR(VLOOKUP($D676,$F:$M,2,0),"")),IFERROR(VLOOKUP($E676,INSUMOS!$B:$E,2,0),IFERROR(VLOOKUP($E676,COTAÇÕES!$C:$L,2,0),"")))</f>
        <v>AUXILIAR DE ELETRICISTA COM ENCARGOS COMPLEMENTARES</v>
      </c>
      <c r="H676" s="593" t="str">
        <f>IF($E676="",IFERROR(VLOOKUP($D676,SERVIÇOS!$C:$H,3,0),IFERROR(VLOOKUP($D676,$F:$M,3,0),"")),IFERROR(VLOOKUP($E676,INSUMOS!$B:$E,3,0),IFERROR(VLOOKUP($E676,COTAÇÕES!$C:$L,5,0),"")))</f>
        <v>H</v>
      </c>
      <c r="I676" s="644">
        <v>0.32429999999999998</v>
      </c>
      <c r="J676" s="670">
        <f>IF($E676="",IFERROR(VLOOKUP($D676,SERVIÇOS!$C:$H,6,0),IFERROR(VLOOKUP($D676,$F:$M,8,0),"")),IFERROR(VLOOKUP($E676,INSUMOS!$B:$E,4,0),IFERROR(VLOOKUP($E676,COTAÇÕES!$C:$L,10,0),"")))</f>
        <v>25.53</v>
      </c>
      <c r="K676" s="615">
        <f>TRUNC(IF($E676="",IFERROR(VLOOKUP($D676,SERVIÇOS!$C:$H,4,0),IFERROR(VLOOKUP($D676,$F:$M,6,0),)),IFERROR(VLOOKUP($E676,INSUMOS!$B:$E,4,0),IFERROR(VLOOKUP($E676,COTAÇÕES!$C:$L,10,0),)))*$I676,2)</f>
        <v>2.15</v>
      </c>
      <c r="L676" s="616">
        <f>TRUNC(IF($E676="",IFERROR(VLOOKUP($D676,SERVIÇOS!$C:$H,5,0),IFERROR(VLOOKUP($D676,$F:$M,7,0),)),0)*$I676,2)</f>
        <v>6.11</v>
      </c>
      <c r="M676" s="617">
        <f>K676+L676</f>
        <v>8.26</v>
      </c>
      <c r="N676" s="753" t="str">
        <f>IF($D676&lt;&gt;"","SERVIÇO SINAPI",IF($E676&lt;&gt;"","INSUMO SINAPI",""))</f>
        <v>SERVIÇO SINAPI</v>
      </c>
      <c r="O676" s="640"/>
    </row>
    <row r="677" spans="2:15">
      <c r="B677" s="122">
        <f t="shared" si="332"/>
        <v>15</v>
      </c>
      <c r="C677" s="611" t="str">
        <f t="shared" ref="C677:C678" si="333">IF(D677&lt;&gt;"","C",IF(E677&lt;&gt;"","I",""))</f>
        <v>C</v>
      </c>
      <c r="D677" s="660">
        <v>88264</v>
      </c>
      <c r="E677" s="660"/>
      <c r="F677" s="612"/>
      <c r="G677" s="613" t="str">
        <f>IF($E677="",IFERROR(VLOOKUP($D677,SERVIÇOS!$C:$H,2,0),IFERROR(VLOOKUP($D677,$F:$M,2,0),"")),IFERROR(VLOOKUP($E677,INSUMOS!$B:$E,2,0),IFERROR(VLOOKUP($E677,COTAÇÕES!$C:$L,2,0),"")))</f>
        <v>ELETRICISTA COM ENCARGOS COMPLEMENTARES</v>
      </c>
      <c r="H677" s="593" t="str">
        <f>IF($E677="",IFERROR(VLOOKUP($D677,SERVIÇOS!$C:$H,3,0),IFERROR(VLOOKUP($D677,$F:$M,3,0),"")),IFERROR(VLOOKUP($E677,INSUMOS!$B:$E,3,0),IFERROR(VLOOKUP($E677,COTAÇÕES!$C:$L,5,0),"")))</f>
        <v>H</v>
      </c>
      <c r="I677" s="644">
        <v>0.32429999999999998</v>
      </c>
      <c r="J677" s="670">
        <f>IF($E677="",IFERROR(VLOOKUP($D677,SERVIÇOS!$C:$H,6,0),IFERROR(VLOOKUP($D677,$F:$M,8,0),"")),IFERROR(VLOOKUP($E677,INSUMOS!$B:$E,4,0),IFERROR(VLOOKUP($E677,COTAÇÕES!$C:$L,10,0),"")))</f>
        <v>31.32</v>
      </c>
      <c r="K677" s="615">
        <f>TRUNC(IF($E677="",IFERROR(VLOOKUP($D677,SERVIÇOS!$C:$H,4,0),IFERROR(VLOOKUP($D677,$F:$M,6,0),)),IFERROR(VLOOKUP($E677,INSUMOS!$B:$E,4,0),IFERROR(VLOOKUP($E677,COTAÇÕES!$C:$L,10,0),)))*$I677,2)</f>
        <v>2.15</v>
      </c>
      <c r="L677" s="616">
        <f>TRUNC(IF($E677="",IFERROR(VLOOKUP($D677,SERVIÇOS!$C:$H,5,0),IFERROR(VLOOKUP($D677,$F:$M,7,0),)),0)*$I677,2)</f>
        <v>7.99</v>
      </c>
      <c r="M677" s="617">
        <f t="shared" ref="M677:M678" si="334">K677+L677</f>
        <v>10.14</v>
      </c>
      <c r="N677" s="753" t="str">
        <f>IF($D677&lt;&gt;"","SERVIÇO SINAPI",IF($E677&lt;&gt;"","INSUMO SINAPI",""))</f>
        <v>SERVIÇO SINAPI</v>
      </c>
      <c r="O677" s="640"/>
    </row>
    <row r="678" spans="2:15" ht="11.25" customHeight="1">
      <c r="B678" s="122">
        <f t="shared" si="332"/>
        <v>15</v>
      </c>
      <c r="C678" s="611" t="str">
        <f t="shared" si="333"/>
        <v>I</v>
      </c>
      <c r="D678" s="660"/>
      <c r="E678" s="660" t="s">
        <v>9102</v>
      </c>
      <c r="F678" s="612"/>
      <c r="G678" s="894" t="str">
        <f>IF($E678="",IFERROR(VLOOKUP($D678,SERVIÇOS!$C:$H,2,0),IFERROR(VLOOKUP($D678,$F:$M,2,0),"")),IFERROR(VLOOKUP($E678,INSUMOS!$B:$E,2,0),IFERROR(VLOOKUP($E678,COTAÇÕES!$C:$L,2,0),"")))</f>
        <v>LUMINÁRIA TIPO PLAFON EMBUTIR QUADRADO 30x30 LED 25W, 4000K</v>
      </c>
      <c r="H678" s="593" t="str">
        <f>IF($E678="",IFERROR(VLOOKUP($D678,SERVIÇOS!$C:$H,3,0),IFERROR(VLOOKUP($D678,$F:$M,3,0),"")),IFERROR(VLOOKUP($E678,INSUMOS!$B:$E,3,0),IFERROR(VLOOKUP($E678,COTAÇÕES!$C:$L,5,0),"")))</f>
        <v>UN</v>
      </c>
      <c r="I678" s="644">
        <v>1</v>
      </c>
      <c r="J678" s="670">
        <f>IF($E678="",IFERROR(VLOOKUP($D678,SERVIÇOS!$C:$H,6,0),IFERROR(VLOOKUP($D678,$F:$M,8,0),"")),IFERROR(VLOOKUP($E678,INSUMOS!$B:$E,4,0),IFERROR(VLOOKUP($E678,COTAÇÕES!$C:$L,10,0),"")))</f>
        <v>66.716666666666669</v>
      </c>
      <c r="K678" s="615">
        <f>TRUNC(IF($E678="",IFERROR(VLOOKUP($D678,SERVIÇOS!$C:$H,4,0),IFERROR(VLOOKUP($D678,$F:$M,6,0),)),IFERROR(VLOOKUP($E678,INSUMOS!$B:$E,4,0),IFERROR(VLOOKUP($E678,COTAÇÕES!$C:$L,10,0),)))*$I678,2)</f>
        <v>66.709999999999994</v>
      </c>
      <c r="L678" s="616">
        <f>TRUNC(IF($E678="",IFERROR(VLOOKUP($D678,SERVIÇOS!$C:$H,5,0),IFERROR(VLOOKUP($D678,$F:$M,7,0),)),0)*$I678,2)</f>
        <v>0</v>
      </c>
      <c r="M678" s="617">
        <f t="shared" si="334"/>
        <v>66.709999999999994</v>
      </c>
      <c r="N678" s="753" t="s">
        <v>6845</v>
      </c>
      <c r="O678" s="640"/>
    </row>
    <row r="679" spans="2:15" ht="25.5">
      <c r="B679" s="769">
        <f>SUMIF(ORC!$G$11:$G$2470,CPU!$F679,ORC!$J$11:$J$2470)</f>
        <v>1</v>
      </c>
      <c r="C679" s="515" t="s">
        <v>2239</v>
      </c>
      <c r="D679" s="515"/>
      <c r="E679" s="515"/>
      <c r="F679" s="515" t="s">
        <v>8962</v>
      </c>
      <c r="G679" s="516" t="s">
        <v>8963</v>
      </c>
      <c r="H679" s="515" t="s">
        <v>646</v>
      </c>
      <c r="I679" s="595"/>
      <c r="J679" s="596"/>
      <c r="K679" s="597">
        <f>SUM(K680:K682)</f>
        <v>2096.56</v>
      </c>
      <c r="L679" s="597">
        <f>SUM(L680:L682)</f>
        <v>348.24</v>
      </c>
      <c r="M679" s="597">
        <f>SUM(K679:L679)</f>
        <v>2444.8000000000002</v>
      </c>
      <c r="N679" s="946"/>
      <c r="O679" s="622"/>
    </row>
    <row r="680" spans="2:15">
      <c r="B680" s="122">
        <f t="shared" ref="B680:B682" si="335">B679</f>
        <v>1</v>
      </c>
      <c r="C680" s="611" t="str">
        <f>IF(D680&lt;&gt;"","C",IF(E680&lt;&gt;"","I",""))</f>
        <v>C</v>
      </c>
      <c r="D680" s="660">
        <v>88264</v>
      </c>
      <c r="E680" s="947"/>
      <c r="F680" s="948"/>
      <c r="G680" s="613" t="str">
        <f>IF($E680="",IFERROR(VLOOKUP($D680,SERVIÇOS!$C:$H,2,0),IFERROR(VLOOKUP($D680,$F:$M,2,0),"")),IFERROR(VLOOKUP($E680,INSUMOS!$B:$E,2,0),IFERROR(VLOOKUP($E680,COTAÇÕES!$C:$L,2,0),"")))</f>
        <v>ELETRICISTA COM ENCARGOS COMPLEMENTARES</v>
      </c>
      <c r="H680" s="593" t="str">
        <f>IF($E680="",IFERROR(VLOOKUP($D680,SERVIÇOS!$C:$H,3,0),IFERROR(VLOOKUP($D680,$F:$M,3,0),"")),IFERROR(VLOOKUP($E680,INSUMOS!$B:$E,3,0),IFERROR(VLOOKUP($E680,COTAÇÕES!$C:$L,5,0),"")))</f>
        <v>H</v>
      </c>
      <c r="I680" s="614">
        <v>8</v>
      </c>
      <c r="J680" s="670">
        <f>IF($E680="",IFERROR(VLOOKUP($D680,SERVIÇOS!$C:$H,6,0),IFERROR(VLOOKUP($D680,$F:$M,8,0),"")),IFERROR(VLOOKUP($E680,INSUMOS!$B:$E,4,0),IFERROR(VLOOKUP($E680,COTAÇÕES!$C:$L,10,0),"")))</f>
        <v>31.32</v>
      </c>
      <c r="K680" s="615">
        <f>TRUNC(IF($E680="",IFERROR(VLOOKUP($D680,SERVIÇOS!$C:$H,4,0),IFERROR(VLOOKUP($D680,$F:$M,6,0),)),IFERROR(VLOOKUP($E680,INSUMOS!$B:$E,4,0),IFERROR(VLOOKUP($E680,COTAÇÕES!$C:$L,10,0),)))*$I680,2)</f>
        <v>53.28</v>
      </c>
      <c r="L680" s="616">
        <f>TRUNC(IF($E680="",IFERROR(VLOOKUP($D680,SERVIÇOS!$C:$H,5,0),IFERROR(VLOOKUP($D680,$F:$M,7,0),)),0)*$I680,2)</f>
        <v>197.28</v>
      </c>
      <c r="M680" s="617">
        <f>K680+L680</f>
        <v>250.56</v>
      </c>
      <c r="N680" s="753" t="str">
        <f>IF($D680&lt;&gt;"","SERVIÇO SINAPI",IF($E680&lt;&gt;"","INSUMO SINAPI",""))</f>
        <v>SERVIÇO SINAPI</v>
      </c>
      <c r="O680" s="942"/>
    </row>
    <row r="681" spans="2:15">
      <c r="B681" s="122">
        <f t="shared" si="335"/>
        <v>1</v>
      </c>
      <c r="C681" s="611" t="str">
        <f>IF(D681&lt;&gt;"","C",IF(E681&lt;&gt;"","I",""))</f>
        <v>C</v>
      </c>
      <c r="D681" s="665">
        <v>88247</v>
      </c>
      <c r="E681" s="664"/>
      <c r="F681" s="626"/>
      <c r="G681" s="613" t="str">
        <f>IF($E681="",IFERROR(VLOOKUP($D681,SERVIÇOS!$C:$H,2,0),IFERROR(VLOOKUP($D681,$F:$M,2,0),"")),IFERROR(VLOOKUP($E681,INSUMOS!$B:$E,2,0),IFERROR(VLOOKUP($E681,COTAÇÕES!$C:$L,2,0),"")))</f>
        <v>AUXILIAR DE ELETRICISTA COM ENCARGOS COMPLEMENTARES</v>
      </c>
      <c r="H681" s="593" t="str">
        <f>IF($E681="",IFERROR(VLOOKUP($D681,SERVIÇOS!$C:$H,3,0),IFERROR(VLOOKUP($D681,$F:$M,3,0),"")),IFERROR(VLOOKUP($E681,INSUMOS!$B:$E,3,0),IFERROR(VLOOKUP($E681,COTAÇÕES!$C:$L,5,0),"")))</f>
        <v>H</v>
      </c>
      <c r="I681" s="614">
        <v>8</v>
      </c>
      <c r="J681" s="670">
        <f>IF($E681="",IFERROR(VLOOKUP($D681,SERVIÇOS!$C:$H,6,0),IFERROR(VLOOKUP($D681,$F:$M,8,0),"")),IFERROR(VLOOKUP($E681,INSUMOS!$B:$E,4,0),IFERROR(VLOOKUP($E681,COTAÇÕES!$C:$L,10,0),"")))</f>
        <v>25.53</v>
      </c>
      <c r="K681" s="615">
        <f>TRUNC(IF($E681="",IFERROR(VLOOKUP($D681,SERVIÇOS!$C:$H,4,0),IFERROR(VLOOKUP($D681,$F:$M,6,0),)),IFERROR(VLOOKUP($E681,INSUMOS!$B:$E,4,0),IFERROR(VLOOKUP($E681,COTAÇÕES!$C:$L,10,0),)))*$I681,2)</f>
        <v>53.28</v>
      </c>
      <c r="L681" s="616">
        <f>TRUNC(IF($E681="",IFERROR(VLOOKUP($D681,SERVIÇOS!$C:$H,5,0),IFERROR(VLOOKUP($D681,$F:$M,7,0),)),0)*$I681,2)</f>
        <v>150.96</v>
      </c>
      <c r="M681" s="617">
        <f>K681+L681</f>
        <v>204.24</v>
      </c>
      <c r="N681" s="753" t="str">
        <f>IF($D681&lt;&gt;"","SERVIÇO SINAPI",IF($E681&lt;&gt;"","INSUMO SINAPI",""))</f>
        <v>SERVIÇO SINAPI</v>
      </c>
      <c r="O681" s="943"/>
    </row>
    <row r="682" spans="2:15" ht="24.75" customHeight="1">
      <c r="B682" s="122">
        <f t="shared" si="335"/>
        <v>1</v>
      </c>
      <c r="C682" s="611" t="str">
        <f>IF(D682&lt;&gt;"","C",IF(E682&lt;&gt;"","I",""))</f>
        <v>I</v>
      </c>
      <c r="D682" s="665"/>
      <c r="E682" s="664" t="s">
        <v>9135</v>
      </c>
      <c r="F682" s="626"/>
      <c r="G682" s="894" t="str">
        <f>IF($E682="",IFERROR(VLOOKUP($D682,SERVIÇOS!$C:$H,2,0),IFERROR(VLOOKUP($D682,$F:$M,2,0),"")),IFERROR(VLOOKUP($E682,INSUMOS!$B:$E,2,0),IFERROR(VLOOKUP($E682,COTAÇÕES!$C:$L,2,0),"")))</f>
        <v xml:space="preserve">QUADRO DE DISTRIBUIÇÃO COMPLETO COM BARRAMENTO PARA 200A E 85 ESPAÇOS PARA 85 DISJUNTORES DIN </v>
      </c>
      <c r="H682" s="593" t="str">
        <f>IF($E682="",IFERROR(VLOOKUP($D682,SERVIÇOS!$C:$H,3,0),IFERROR(VLOOKUP($D682,$F:$M,3,0),"")),IFERROR(VLOOKUP($E682,INSUMOS!$B:$E,3,0),IFERROR(VLOOKUP($E682,COTAÇÕES!$C:$L,5,0),"")))</f>
        <v xml:space="preserve">UN </v>
      </c>
      <c r="I682" s="614">
        <v>1</v>
      </c>
      <c r="J682" s="670">
        <f>IF($E682="",IFERROR(VLOOKUP($D682,SERVIÇOS!$C:$H,6,0),IFERROR(VLOOKUP($D682,$F:$M,8,0),"")),IFERROR(VLOOKUP($E682,INSUMOS!$B:$E,4,0),IFERROR(VLOOKUP($E682,COTAÇÕES!$C:$L,10,0),"")))</f>
        <v>1990</v>
      </c>
      <c r="K682" s="615">
        <f>TRUNC(IF($E682="",IFERROR(VLOOKUP($D682,SERVIÇOS!$C:$H,4,0),IFERROR(VLOOKUP($D682,$F:$M,6,0),)),IFERROR(VLOOKUP($E682,INSUMOS!$B:$E,4,0),IFERROR(VLOOKUP($E682,COTAÇÕES!$C:$L,10,0),)))*$I682,2)</f>
        <v>1990</v>
      </c>
      <c r="L682" s="616">
        <f>TRUNC(IF($E682="",IFERROR(VLOOKUP($D682,SERVIÇOS!$C:$H,5,0),IFERROR(VLOOKUP($D682,$F:$M,7,0),)),0)*$I682,2)</f>
        <v>0</v>
      </c>
      <c r="M682" s="617">
        <f>K682+L682</f>
        <v>1990</v>
      </c>
      <c r="N682" s="753" t="s">
        <v>6845</v>
      </c>
      <c r="O682" s="943"/>
    </row>
    <row r="683" spans="2:15" ht="25.5">
      <c r="B683" s="769">
        <f>SUMIF(ORC!$G$11:$G$2470,CPU!$F683,ORC!$J$11:$J$2470)</f>
        <v>1</v>
      </c>
      <c r="C683" s="515" t="s">
        <v>2239</v>
      </c>
      <c r="D683" s="515"/>
      <c r="E683" s="515"/>
      <c r="F683" s="515" t="s">
        <v>8965</v>
      </c>
      <c r="G683" s="516" t="s">
        <v>8966</v>
      </c>
      <c r="H683" s="515" t="s">
        <v>646</v>
      </c>
      <c r="I683" s="595"/>
      <c r="J683" s="596"/>
      <c r="K683" s="597">
        <f>SUM(K684:K686)</f>
        <v>1066.56</v>
      </c>
      <c r="L683" s="597">
        <f>SUM(L684:L686)</f>
        <v>348.24</v>
      </c>
      <c r="M683" s="597">
        <f>SUM(K683:L683)</f>
        <v>1414.8</v>
      </c>
      <c r="N683" s="946"/>
      <c r="O683" s="622"/>
    </row>
    <row r="684" spans="2:15">
      <c r="B684" s="122">
        <f t="shared" ref="B684:B686" si="336">B683</f>
        <v>1</v>
      </c>
      <c r="C684" s="611" t="str">
        <f>IF(D684&lt;&gt;"","C",IF(E684&lt;&gt;"","I",""))</f>
        <v>C</v>
      </c>
      <c r="D684" s="660">
        <v>88264</v>
      </c>
      <c r="E684" s="947"/>
      <c r="F684" s="948"/>
      <c r="G684" s="613" t="str">
        <f>IF($E684="",IFERROR(VLOOKUP($D684,SERVIÇOS!$C:$H,2,0),IFERROR(VLOOKUP($D684,$F:$M,2,0),"")),IFERROR(VLOOKUP($E684,INSUMOS!$B:$E,2,0),IFERROR(VLOOKUP($E684,COTAÇÕES!$C:$L,2,0),"")))</f>
        <v>ELETRICISTA COM ENCARGOS COMPLEMENTARES</v>
      </c>
      <c r="H684" s="593" t="str">
        <f>IF($E684="",IFERROR(VLOOKUP($D684,SERVIÇOS!$C:$H,3,0),IFERROR(VLOOKUP($D684,$F:$M,3,0),"")),IFERROR(VLOOKUP($E684,INSUMOS!$B:$E,3,0),IFERROR(VLOOKUP($E684,COTAÇÕES!$C:$L,5,0),"")))</f>
        <v>H</v>
      </c>
      <c r="I684" s="614">
        <v>8</v>
      </c>
      <c r="J684" s="670">
        <f>IF($E684="",IFERROR(VLOOKUP($D684,SERVIÇOS!$C:$H,6,0),IFERROR(VLOOKUP($D684,$F:$M,8,0),"")),IFERROR(VLOOKUP($E684,INSUMOS!$B:$E,4,0),IFERROR(VLOOKUP($E684,COTAÇÕES!$C:$L,10,0),"")))</f>
        <v>31.32</v>
      </c>
      <c r="K684" s="615">
        <f>TRUNC(IF($E684="",IFERROR(VLOOKUP($D684,SERVIÇOS!$C:$H,4,0),IFERROR(VLOOKUP($D684,$F:$M,6,0),)),IFERROR(VLOOKUP($E684,INSUMOS!$B:$E,4,0),IFERROR(VLOOKUP($E684,COTAÇÕES!$C:$L,10,0),)))*$I684,2)</f>
        <v>53.28</v>
      </c>
      <c r="L684" s="616">
        <f>TRUNC(IF($E684="",IFERROR(VLOOKUP($D684,SERVIÇOS!$C:$H,5,0),IFERROR(VLOOKUP($D684,$F:$M,7,0),)),0)*$I684,2)</f>
        <v>197.28</v>
      </c>
      <c r="M684" s="617">
        <f>K684+L684</f>
        <v>250.56</v>
      </c>
      <c r="N684" s="753" t="str">
        <f>IF($D684&lt;&gt;"","SERVIÇO SINAPI",IF($E684&lt;&gt;"","INSUMO SINAPI",""))</f>
        <v>SERVIÇO SINAPI</v>
      </c>
      <c r="O684" s="942"/>
    </row>
    <row r="685" spans="2:15">
      <c r="B685" s="122">
        <f t="shared" si="336"/>
        <v>1</v>
      </c>
      <c r="C685" s="611" t="str">
        <f>IF(D685&lt;&gt;"","C",IF(E685&lt;&gt;"","I",""))</f>
        <v>C</v>
      </c>
      <c r="D685" s="665">
        <v>88247</v>
      </c>
      <c r="E685" s="664"/>
      <c r="F685" s="626"/>
      <c r="G685" s="613" t="str">
        <f>IF($E685="",IFERROR(VLOOKUP($D685,SERVIÇOS!$C:$H,2,0),IFERROR(VLOOKUP($D685,$F:$M,2,0),"")),IFERROR(VLOOKUP($E685,INSUMOS!$B:$E,2,0),IFERROR(VLOOKUP($E685,COTAÇÕES!$C:$L,2,0),"")))</f>
        <v>AUXILIAR DE ELETRICISTA COM ENCARGOS COMPLEMENTARES</v>
      </c>
      <c r="H685" s="593" t="str">
        <f>IF($E685="",IFERROR(VLOOKUP($D685,SERVIÇOS!$C:$H,3,0),IFERROR(VLOOKUP($D685,$F:$M,3,0),"")),IFERROR(VLOOKUP($E685,INSUMOS!$B:$E,3,0),IFERROR(VLOOKUP($E685,COTAÇÕES!$C:$L,5,0),"")))</f>
        <v>H</v>
      </c>
      <c r="I685" s="614">
        <v>8</v>
      </c>
      <c r="J685" s="670">
        <f>IF($E685="",IFERROR(VLOOKUP($D685,SERVIÇOS!$C:$H,6,0),IFERROR(VLOOKUP($D685,$F:$M,8,0),"")),IFERROR(VLOOKUP($E685,INSUMOS!$B:$E,4,0),IFERROR(VLOOKUP($E685,COTAÇÕES!$C:$L,10,0),"")))</f>
        <v>25.53</v>
      </c>
      <c r="K685" s="615">
        <f>TRUNC(IF($E685="",IFERROR(VLOOKUP($D685,SERVIÇOS!$C:$H,4,0),IFERROR(VLOOKUP($D685,$F:$M,6,0),)),IFERROR(VLOOKUP($E685,INSUMOS!$B:$E,4,0),IFERROR(VLOOKUP($E685,COTAÇÕES!$C:$L,10,0),)))*$I685,2)</f>
        <v>53.28</v>
      </c>
      <c r="L685" s="616">
        <f>TRUNC(IF($E685="",IFERROR(VLOOKUP($D685,SERVIÇOS!$C:$H,5,0),IFERROR(VLOOKUP($D685,$F:$M,7,0),)),0)*$I685,2)</f>
        <v>150.96</v>
      </c>
      <c r="M685" s="617">
        <f>K685+L685</f>
        <v>204.24</v>
      </c>
      <c r="N685" s="753" t="str">
        <f>IF($D685&lt;&gt;"","SERVIÇO SINAPI",IF($E685&lt;&gt;"","INSUMO SINAPI",""))</f>
        <v>SERVIÇO SINAPI</v>
      </c>
      <c r="O685" s="943"/>
    </row>
    <row r="686" spans="2:15" ht="21.75" customHeight="1">
      <c r="B686" s="122">
        <f t="shared" si="336"/>
        <v>1</v>
      </c>
      <c r="C686" s="611" t="str">
        <f>IF(D686&lt;&gt;"","C",IF(E686&lt;&gt;"","I",""))</f>
        <v>I</v>
      </c>
      <c r="D686" s="665"/>
      <c r="E686" s="664" t="s">
        <v>9136</v>
      </c>
      <c r="F686" s="626"/>
      <c r="G686" s="613" t="str">
        <f>IF($E686="",IFERROR(VLOOKUP($D686,SERVIÇOS!$C:$H,2,0),IFERROR(VLOOKUP($D686,$F:$M,2,0),"")),IFERROR(VLOOKUP($E686,INSUMOS!$B:$E,2,0),IFERROR(VLOOKUP($E686,COTAÇÕES!$C:$L,2,0),"")))</f>
        <v>QUADRO DE DISTRIBUIÇÃO COMPLETO COM BARAMENTO PARA 80A E 85 ESPAÇOS PARA 48 DISJUNTORES DIN</v>
      </c>
      <c r="H686" s="593" t="str">
        <f>IF($E686="",IFERROR(VLOOKUP($D686,SERVIÇOS!$C:$H,3,0),IFERROR(VLOOKUP($D686,$F:$M,3,0),"")),IFERROR(VLOOKUP($E686,INSUMOS!$B:$E,3,0),IFERROR(VLOOKUP($E686,COTAÇÕES!$C:$L,5,0),"")))</f>
        <v xml:space="preserve">UN </v>
      </c>
      <c r="I686" s="614">
        <v>1</v>
      </c>
      <c r="J686" s="670">
        <f>IF($E686="",IFERROR(VLOOKUP($D686,SERVIÇOS!$C:$H,6,0),IFERROR(VLOOKUP($D686,$F:$M,8,0),"")),IFERROR(VLOOKUP($E686,INSUMOS!$B:$E,4,0),IFERROR(VLOOKUP($E686,COTAÇÕES!$C:$L,10,0),"")))</f>
        <v>960</v>
      </c>
      <c r="K686" s="615">
        <f>TRUNC(IF($E686="",IFERROR(VLOOKUP($D686,SERVIÇOS!$C:$H,4,0),IFERROR(VLOOKUP($D686,$F:$M,6,0),)),IFERROR(VLOOKUP($E686,INSUMOS!$B:$E,4,0),IFERROR(VLOOKUP($E686,COTAÇÕES!$C:$L,10,0),)))*$I686,2)</f>
        <v>960</v>
      </c>
      <c r="L686" s="616">
        <f>TRUNC(IF($E686="",IFERROR(VLOOKUP($D686,SERVIÇOS!$C:$H,5,0),IFERROR(VLOOKUP($D686,$F:$M,7,0),)),0)*$I686,2)</f>
        <v>0</v>
      </c>
      <c r="M686" s="617">
        <f>K686+L686</f>
        <v>960</v>
      </c>
      <c r="N686" s="753" t="str">
        <f>IF($D686&lt;&gt;"","SERVIÇO SINAPI",IF($E686&lt;&gt;"","INSUMO SINAPI",""))</f>
        <v>INSUMO SINAPI</v>
      </c>
      <c r="O686" s="943"/>
    </row>
    <row r="687" spans="2:15" hidden="1">
      <c r="B687" s="769">
        <f>SUMIF(ORC!$G$11:$G$2470,CPU!$F687,ORC!$J$11:$J$2470)</f>
        <v>0</v>
      </c>
      <c r="C687" s="515" t="s">
        <v>2239</v>
      </c>
      <c r="D687" s="515"/>
      <c r="E687" s="515"/>
      <c r="F687" s="515" t="s">
        <v>6794</v>
      </c>
      <c r="G687" s="516" t="s">
        <v>8938</v>
      </c>
      <c r="H687" s="515" t="s">
        <v>646</v>
      </c>
      <c r="I687" s="595"/>
      <c r="J687" s="596"/>
      <c r="K687" s="597">
        <f>SUM(K688:K691)</f>
        <v>54.54</v>
      </c>
      <c r="L687" s="597">
        <f>SUM(L688:L691)</f>
        <v>17.48</v>
      </c>
      <c r="M687" s="597">
        <f>SUM(K687:L687)</f>
        <v>72.02</v>
      </c>
      <c r="N687" s="598" t="s">
        <v>8937</v>
      </c>
      <c r="O687" s="941"/>
    </row>
    <row r="688" spans="2:15" hidden="1">
      <c r="B688" s="122">
        <f t="shared" ref="B688:B691" si="337">B687</f>
        <v>0</v>
      </c>
      <c r="C688" s="611" t="str">
        <f>IF(D688&lt;&gt;"","C",IF(E688&lt;&gt;"","I",""))</f>
        <v>C</v>
      </c>
      <c r="D688" s="660">
        <v>88264</v>
      </c>
      <c r="E688" s="661"/>
      <c r="F688" s="612"/>
      <c r="G688" s="613" t="str">
        <f>IF($E688="",IFERROR(VLOOKUP($D688,SERVIÇOS!$C:$H,2,0),IFERROR(VLOOKUP($D688,$F:$M,2,0),"")),IFERROR(VLOOKUP($E688,INSUMOS!$B:$E,2,0),IFERROR(VLOOKUP($E688,COTAÇÕES!$C:$L,2,0),"")))</f>
        <v>ELETRICISTA COM ENCARGOS COMPLEMENTARES</v>
      </c>
      <c r="H688" s="593" t="str">
        <f>IF($E688="",IFERROR(VLOOKUP($D688,SERVIÇOS!$C:$H,3,0),IFERROR(VLOOKUP($D688,$F:$M,3,0),"")),IFERROR(VLOOKUP($E688,INSUMOS!$B:$E,3,0),IFERROR(VLOOKUP($E688,COTAÇÕES!$C:$L,5,0),"")))</f>
        <v>H</v>
      </c>
      <c r="I688" s="644">
        <v>0.5</v>
      </c>
      <c r="J688" s="670">
        <f>IF($E688="",IFERROR(VLOOKUP($D688,SERVIÇOS!$C:$H,6,0),IFERROR(VLOOKUP($D688,$F:$M,8,0),"")),IFERROR(VLOOKUP($E688,INSUMOS!$B:$E,4,0),IFERROR(VLOOKUP($E688,COTAÇÕES!$C:$L,10,0),"")))</f>
        <v>31.32</v>
      </c>
      <c r="K688" s="615">
        <f>TRUNC(IF($E688="",IFERROR(VLOOKUP($D688,SERVIÇOS!$C:$H,4,0),IFERROR(VLOOKUP($D688,$F:$M,6,0),)),IFERROR(VLOOKUP($E688,INSUMOS!$B:$E,4,0),IFERROR(VLOOKUP($E688,COTAÇÕES!$C:$L,10,0),)))*$I688,2)</f>
        <v>3.33</v>
      </c>
      <c r="L688" s="616">
        <f>TRUNC(IF($E688="",IFERROR(VLOOKUP($D688,SERVIÇOS!$C:$H,5,0),IFERROR(VLOOKUP($D688,$F:$M,7,0),)),0)*$I688,2)</f>
        <v>12.33</v>
      </c>
      <c r="M688" s="617">
        <f>K688+L688</f>
        <v>15.66</v>
      </c>
      <c r="N688" s="753" t="str">
        <f>IF($D688&lt;&gt;"","SERVIÇO SINAPI",IF($E688&lt;&gt;"","INSUMO SINAPI",""))</f>
        <v>SERVIÇO SINAPI</v>
      </c>
      <c r="O688" s="943"/>
    </row>
    <row r="689" spans="2:15" hidden="1">
      <c r="B689" s="122">
        <f t="shared" si="337"/>
        <v>0</v>
      </c>
      <c r="C689" s="611" t="str">
        <f>IF(D689&lt;&gt;"","C",IF(E689&lt;&gt;"","I",""))</f>
        <v>C</v>
      </c>
      <c r="D689" s="660">
        <v>88316</v>
      </c>
      <c r="E689" s="661"/>
      <c r="F689" s="612"/>
      <c r="G689" s="613" t="str">
        <f>IF($E689="",IFERROR(VLOOKUP($D689,SERVIÇOS!$C:$H,2,0),IFERROR(VLOOKUP($D689,$F:$M,2,0),"")),IFERROR(VLOOKUP($E689,INSUMOS!$B:$E,2,0),IFERROR(VLOOKUP($E689,COTAÇÕES!$C:$L,2,0),"")))</f>
        <v>SERVENTE COM ENCARGOS COMPLEMENTARES</v>
      </c>
      <c r="H689" s="593" t="str">
        <f>IF($E689="",IFERROR(VLOOKUP($D689,SERVIÇOS!$C:$H,3,0),IFERROR(VLOOKUP($D689,$F:$M,3,0),"")),IFERROR(VLOOKUP($E689,INSUMOS!$B:$E,3,0),IFERROR(VLOOKUP($E689,COTAÇÕES!$C:$L,5,0),"")))</f>
        <v>H</v>
      </c>
      <c r="I689" s="644">
        <v>0.3</v>
      </c>
      <c r="J689" s="670">
        <f>IF($E689="",IFERROR(VLOOKUP($D689,SERVIÇOS!$C:$H,6,0),IFERROR(VLOOKUP($D689,$F:$M,8,0),"")),IFERROR(VLOOKUP($E689,INSUMOS!$B:$E,4,0),IFERROR(VLOOKUP($E689,COTAÇÕES!$C:$L,10,0),"")))</f>
        <v>23.71</v>
      </c>
      <c r="K689" s="615">
        <f>TRUNC(IF($E689="",IFERROR(VLOOKUP($D689,SERVIÇOS!$C:$H,4,0),IFERROR(VLOOKUP($D689,$F:$M,6,0),)),IFERROR(VLOOKUP($E689,INSUMOS!$B:$E,4,0),IFERROR(VLOOKUP($E689,COTAÇÕES!$C:$L,10,0),)))*$I689,2)</f>
        <v>1.95</v>
      </c>
      <c r="L689" s="616">
        <f>TRUNC(IF($E689="",IFERROR(VLOOKUP($D689,SERVIÇOS!$C:$H,5,0),IFERROR(VLOOKUP($D689,$F:$M,7,0),)),0)*$I689,2)</f>
        <v>5.15</v>
      </c>
      <c r="M689" s="617">
        <f>K689+L689</f>
        <v>7.1000000000000005</v>
      </c>
      <c r="N689" s="753" t="str">
        <f>IF($D689&lt;&gt;"","SERVIÇO SINAPI",IF($E689&lt;&gt;"","INSUMO SINAPI",""))</f>
        <v>SERVIÇO SINAPI</v>
      </c>
      <c r="O689" s="943"/>
    </row>
    <row r="690" spans="2:15" ht="25.5" hidden="1">
      <c r="B690" s="122">
        <f t="shared" si="337"/>
        <v>0</v>
      </c>
      <c r="C690" s="611" t="str">
        <f>IF(D690&lt;&gt;"","C",IF(E690&lt;&gt;"","I",""))</f>
        <v>I</v>
      </c>
      <c r="D690" s="660"/>
      <c r="E690" s="661">
        <v>7568</v>
      </c>
      <c r="F690" s="612"/>
      <c r="G690" s="613" t="str">
        <f>IF($E690="",IFERROR(VLOOKUP($D690,SERVIÇOS!$C:$H,2,0),IFERROR(VLOOKUP($D690,$F:$M,2,0),"")),IFERROR(VLOOKUP($E690,INSUMOS!$B:$E,2,0),IFERROR(VLOOKUP($E690,COTAÇÕES!$C:$L,2,0),"")))</f>
        <v xml:space="preserve">BUCHA DE NYLON SEM ABA S10, COM PARAFUSO DE 6,10 X 65 MM EM ACO ZINCADO COM ROSCA SOBERBA, CABECA CHATA E FENDA PHILLIPS                                                                                                                                                                                                                                                                                                                                                                                  </v>
      </c>
      <c r="H690" s="593" t="str">
        <f>IF($E690="",IFERROR(VLOOKUP($D690,SERVIÇOS!$C:$H,3,0),IFERROR(VLOOKUP($D690,$F:$M,3,0),"")),IFERROR(VLOOKUP($E690,INSUMOS!$B:$E,3,0),IFERROR(VLOOKUP($E690,COTAÇÕES!$C:$L,5,0),"")))</f>
        <v xml:space="preserve">UN    </v>
      </c>
      <c r="I690" s="644">
        <v>1</v>
      </c>
      <c r="J690" s="670">
        <f>IF($E690="",IFERROR(VLOOKUP($D690,SERVIÇOS!$C:$H,6,0),IFERROR(VLOOKUP($D690,$F:$M,8,0),"")),IFERROR(VLOOKUP($E690,INSUMOS!$B:$E,4,0),IFERROR(VLOOKUP($E690,COTAÇÕES!$C:$L,10,0),"")))</f>
        <v>0.73</v>
      </c>
      <c r="K690" s="615">
        <f>TRUNC(IF($E690="",IFERROR(VLOOKUP($D690,SERVIÇOS!$C:$H,4,0),IFERROR(VLOOKUP($D690,$F:$M,6,0),)),IFERROR(VLOOKUP($E690,INSUMOS!$B:$E,4,0),IFERROR(VLOOKUP($E690,COTAÇÕES!$C:$L,10,0),)))*$I690,2)</f>
        <v>0.73</v>
      </c>
      <c r="L690" s="616">
        <f>TRUNC(IF($E690="",IFERROR(VLOOKUP($D690,SERVIÇOS!$C:$H,5,0),IFERROR(VLOOKUP($D690,$F:$M,7,0),)),0)*$I690,2)</f>
        <v>0</v>
      </c>
      <c r="M690" s="617">
        <f>K690+L690</f>
        <v>0.73</v>
      </c>
      <c r="N690" s="753" t="str">
        <f>IF($D690&lt;&gt;"","SERVIÇO SINAPI",IF($E690&lt;&gt;"","INSUMO SINAPI",""))</f>
        <v>INSUMO SINAPI</v>
      </c>
      <c r="O690" s="943"/>
    </row>
    <row r="691" spans="2:15" hidden="1">
      <c r="B691" s="122">
        <f t="shared" si="337"/>
        <v>0</v>
      </c>
      <c r="C691" s="611" t="str">
        <f>IF(D691&lt;&gt;"","C",IF(E691&lt;&gt;"","I",""))</f>
        <v>I</v>
      </c>
      <c r="D691" s="660"/>
      <c r="E691" s="661" t="s">
        <v>9075</v>
      </c>
      <c r="F691" s="612"/>
      <c r="G691" s="613" t="str">
        <f>IF($E691="",IFERROR(VLOOKUP($D691,SERVIÇOS!$C:$H,2,0),IFERROR(VLOOKUP($D691,$F:$M,2,0),"")),IFERROR(VLOOKUP($E691,INSUMOS!$B:$E,2,0),IFERROR(VLOOKUP($E691,COTAÇÕES!$C:$L,2,0),"")))</f>
        <v>REFLETOR LED, 10W DE POTÊNCIA, IP65, TEMPERATURA 4000K</v>
      </c>
      <c r="H691" s="593" t="str">
        <f>IF($E691="",IFERROR(VLOOKUP($D691,SERVIÇOS!$C:$H,3,0),IFERROR(VLOOKUP($D691,$F:$M,3,0),"")),IFERROR(VLOOKUP($E691,INSUMOS!$B:$E,3,0),IFERROR(VLOOKUP($E691,COTAÇÕES!$C:$L,5,0),"")))</f>
        <v>UN</v>
      </c>
      <c r="I691" s="644">
        <v>1</v>
      </c>
      <c r="J691" s="670">
        <f>IF($E691="",IFERROR(VLOOKUP($D691,SERVIÇOS!$C:$H,6,0),IFERROR(VLOOKUP($D691,$F:$M,8,0),"")),IFERROR(VLOOKUP($E691,INSUMOS!$B:$E,4,0),IFERROR(VLOOKUP($E691,COTAÇÕES!$C:$L,10,0),"")))</f>
        <v>48.533333333333331</v>
      </c>
      <c r="K691" s="615">
        <f>TRUNC(IF($E691="",IFERROR(VLOOKUP($D691,SERVIÇOS!$C:$H,4,0),IFERROR(VLOOKUP($D691,$F:$M,6,0),)),IFERROR(VLOOKUP($E691,INSUMOS!$B:$E,4,0),IFERROR(VLOOKUP($E691,COTAÇÕES!$C:$L,10,0),)))*$I691,2)</f>
        <v>48.53</v>
      </c>
      <c r="L691" s="616">
        <f>TRUNC(IF($E691="",IFERROR(VLOOKUP($D691,SERVIÇOS!$C:$H,5,0),IFERROR(VLOOKUP($D691,$F:$M,7,0),)),0)*$I691,2)</f>
        <v>0</v>
      </c>
      <c r="M691" s="617">
        <f>K691+L691</f>
        <v>48.53</v>
      </c>
      <c r="N691" s="753" t="s">
        <v>6845</v>
      </c>
      <c r="O691" s="640"/>
    </row>
    <row r="692" spans="2:15">
      <c r="B692" s="769">
        <f>SUMIF(ORC!$G$11:$G$2470,CPU!$F692,ORC!$J$11:$J$2470)</f>
        <v>14</v>
      </c>
      <c r="C692" s="515" t="s">
        <v>2239</v>
      </c>
      <c r="D692" s="515"/>
      <c r="E692" s="515"/>
      <c r="F692" s="515" t="s">
        <v>6798</v>
      </c>
      <c r="G692" s="516" t="s">
        <v>6987</v>
      </c>
      <c r="H692" s="515" t="s">
        <v>646</v>
      </c>
      <c r="I692" s="595"/>
      <c r="J692" s="596"/>
      <c r="K692" s="597">
        <f>SUM(K693:K695)</f>
        <v>33.43</v>
      </c>
      <c r="L692" s="597">
        <f>SUM(L693:L695)</f>
        <v>4.17</v>
      </c>
      <c r="M692" s="597">
        <f>SUM(K692:L692)</f>
        <v>37.6</v>
      </c>
      <c r="N692" s="598" t="s">
        <v>6801</v>
      </c>
      <c r="O692" s="941"/>
    </row>
    <row r="693" spans="2:15">
      <c r="B693" s="122">
        <f t="shared" ref="B693:B695" si="338">B692</f>
        <v>14</v>
      </c>
      <c r="C693" s="611" t="str">
        <f>IF(D693&lt;&gt;"","C",IF(E693&lt;&gt;"","I",""))</f>
        <v>C</v>
      </c>
      <c r="D693" s="660">
        <v>88264</v>
      </c>
      <c r="E693" s="661"/>
      <c r="F693" s="612"/>
      <c r="G693" s="613" t="str">
        <f>IF($E693="",IFERROR(VLOOKUP($D693,SERVIÇOS!$C:$H,2,0),IFERROR(VLOOKUP($D693,$F:$M,2,0),"")),IFERROR(VLOOKUP($E693,INSUMOS!$B:$E,2,0),IFERROR(VLOOKUP($E693,COTAÇÕES!$C:$L,2,0),"")))</f>
        <v>ELETRICISTA COM ENCARGOS COMPLEMENTARES</v>
      </c>
      <c r="H693" s="593" t="str">
        <f>IF($E693="",IFERROR(VLOOKUP($D693,SERVIÇOS!$C:$H,3,0),IFERROR(VLOOKUP($D693,$F:$M,3,0),"")),IFERROR(VLOOKUP($E693,INSUMOS!$B:$E,3,0),IFERROR(VLOOKUP($E693,COTAÇÕES!$C:$L,5,0),"")))</f>
        <v>H</v>
      </c>
      <c r="I693" s="644">
        <v>0.1</v>
      </c>
      <c r="J693" s="670">
        <f>IF($E693="",IFERROR(VLOOKUP($D693,SERVIÇOS!$C:$H,6,0),IFERROR(VLOOKUP($D693,$F:$M,8,0),"")),IFERROR(VLOOKUP($E693,INSUMOS!$B:$E,4,0),IFERROR(VLOOKUP($E693,COTAÇÕES!$C:$L,10,0),"")))</f>
        <v>31.32</v>
      </c>
      <c r="K693" s="615">
        <f>TRUNC(IF($E693="",IFERROR(VLOOKUP($D693,SERVIÇOS!$C:$H,4,0),IFERROR(VLOOKUP($D693,$F:$M,6,0),)),IFERROR(VLOOKUP($E693,INSUMOS!$B:$E,4,0),IFERROR(VLOOKUP($E693,COTAÇÕES!$C:$L,10,0),)))*$I693,2)</f>
        <v>0.66</v>
      </c>
      <c r="L693" s="616">
        <f>TRUNC(IF($E693="",IFERROR(VLOOKUP($D693,SERVIÇOS!$C:$H,5,0),IFERROR(VLOOKUP($D693,$F:$M,7,0),)),0)*$I693,2)</f>
        <v>2.46</v>
      </c>
      <c r="M693" s="617">
        <f>K693+L693</f>
        <v>3.12</v>
      </c>
      <c r="N693" s="753" t="str">
        <f>IF($D693&lt;&gt;"","SERVIÇO SINAPI",IF($E693&lt;&gt;"","INSUMO SINAPI",""))</f>
        <v>SERVIÇO SINAPI</v>
      </c>
      <c r="O693" s="943"/>
    </row>
    <row r="694" spans="2:15">
      <c r="B694" s="122">
        <f t="shared" si="338"/>
        <v>14</v>
      </c>
      <c r="C694" s="611" t="str">
        <f>IF(D694&lt;&gt;"","C",IF(E694&lt;&gt;"","I",""))</f>
        <v>C</v>
      </c>
      <c r="D694" s="660">
        <v>88316</v>
      </c>
      <c r="E694" s="661"/>
      <c r="F694" s="612"/>
      <c r="G694" s="613" t="str">
        <f>IF($E694="",IFERROR(VLOOKUP($D694,SERVIÇOS!$C:$H,2,0),IFERROR(VLOOKUP($D694,$F:$M,2,0),"")),IFERROR(VLOOKUP($E694,INSUMOS!$B:$E,2,0),IFERROR(VLOOKUP($E694,COTAÇÕES!$C:$L,2,0),"")))</f>
        <v>SERVENTE COM ENCARGOS COMPLEMENTARES</v>
      </c>
      <c r="H694" s="593" t="str">
        <f>IF($E694="",IFERROR(VLOOKUP($D694,SERVIÇOS!$C:$H,3,0),IFERROR(VLOOKUP($D694,$F:$M,3,0),"")),IFERROR(VLOOKUP($E694,INSUMOS!$B:$E,3,0),IFERROR(VLOOKUP($E694,COTAÇÕES!$C:$L,5,0),"")))</f>
        <v>H</v>
      </c>
      <c r="I694" s="644">
        <v>0.1</v>
      </c>
      <c r="J694" s="670">
        <f>IF($E694="",IFERROR(VLOOKUP($D694,SERVIÇOS!$C:$H,6,0),IFERROR(VLOOKUP($D694,$F:$M,8,0),"")),IFERROR(VLOOKUP($E694,INSUMOS!$B:$E,4,0),IFERROR(VLOOKUP($E694,COTAÇÕES!$C:$L,10,0),"")))</f>
        <v>23.71</v>
      </c>
      <c r="K694" s="615">
        <f>TRUNC(IF($E694="",IFERROR(VLOOKUP($D694,SERVIÇOS!$C:$H,4,0),IFERROR(VLOOKUP($D694,$F:$M,6,0),)),IFERROR(VLOOKUP($E694,INSUMOS!$B:$E,4,0),IFERROR(VLOOKUP($E694,COTAÇÕES!$C:$L,10,0),)))*$I694,2)</f>
        <v>0.65</v>
      </c>
      <c r="L694" s="616">
        <f>TRUNC(IF($E694="",IFERROR(VLOOKUP($D694,SERVIÇOS!$C:$H,5,0),IFERROR(VLOOKUP($D694,$F:$M,7,0),)),0)*$I694,2)</f>
        <v>1.71</v>
      </c>
      <c r="M694" s="617">
        <f>K694+L694</f>
        <v>2.36</v>
      </c>
      <c r="N694" s="753" t="str">
        <f>IF($D694&lt;&gt;"","SERVIÇO SINAPI",IF($E694&lt;&gt;"","INSUMO SINAPI",""))</f>
        <v>SERVIÇO SINAPI</v>
      </c>
      <c r="O694" s="943"/>
    </row>
    <row r="695" spans="2:15">
      <c r="B695" s="122">
        <f t="shared" si="338"/>
        <v>14</v>
      </c>
      <c r="C695" s="611" t="str">
        <f>IF(D695&lt;&gt;"","C",IF(E695&lt;&gt;"","I",""))</f>
        <v>I</v>
      </c>
      <c r="D695" s="660"/>
      <c r="E695" s="661" t="s">
        <v>8980</v>
      </c>
      <c r="F695" s="612"/>
      <c r="G695" s="613" t="str">
        <f>IF($E695="",IFERROR(VLOOKUP($D695,SERVIÇOS!$C:$H,2,0),IFERROR(VLOOKUP($D695,$F:$M,2,0),"")),IFERROR(VLOOKUP($E695,INSUMOS!$B:$E,2,0),IFERROR(VLOOKUP($E695,COTAÇÕES!$C:$L,2,0),"")))</f>
        <v>TERMINAL CABO HASTE 50MM2</v>
      </c>
      <c r="H695" s="593" t="str">
        <f>IF($E695="",IFERROR(VLOOKUP($D695,SERVIÇOS!$C:$H,3,0),IFERROR(VLOOKUP($D695,$F:$M,3,0),"")),IFERROR(VLOOKUP($E695,INSUMOS!$B:$E,3,0),IFERROR(VLOOKUP($E695,COTAÇÕES!$C:$L,5,0),"")))</f>
        <v>UN</v>
      </c>
      <c r="I695" s="644">
        <v>1</v>
      </c>
      <c r="J695" s="670">
        <f>IF($E695="",IFERROR(VLOOKUP($D695,SERVIÇOS!$C:$H,6,0),IFERROR(VLOOKUP($D695,$F:$M,8,0),"")),IFERROR(VLOOKUP($E695,INSUMOS!$B:$E,4,0),IFERROR(VLOOKUP($E695,COTAÇÕES!$C:$L,10,0),"")))</f>
        <v>32.123333333333335</v>
      </c>
      <c r="K695" s="615">
        <f>TRUNC(IF($E695="",IFERROR(VLOOKUP($D695,SERVIÇOS!$C:$H,4,0),IFERROR(VLOOKUP($D695,$F:$M,6,0),)),IFERROR(VLOOKUP($E695,INSUMOS!$B:$E,4,0),IFERROR(VLOOKUP($E695,COTAÇÕES!$C:$L,10,0),)))*$I695,2)</f>
        <v>32.119999999999997</v>
      </c>
      <c r="L695" s="616">
        <f>TRUNC(IF($E695="",IFERROR(VLOOKUP($D695,SERVIÇOS!$C:$H,5,0),IFERROR(VLOOKUP($D695,$F:$M,7,0),)),0)*$I695,2)</f>
        <v>0</v>
      </c>
      <c r="M695" s="617">
        <f>K695+L695</f>
        <v>32.119999999999997</v>
      </c>
      <c r="N695" s="753" t="s">
        <v>6845</v>
      </c>
      <c r="O695" s="640"/>
    </row>
    <row r="696" spans="2:15">
      <c r="B696" s="769">
        <f>SUMIF(ORC!$G$11:$G$2470,CPU!$F696,ORC!$J$11:$J$2470)</f>
        <v>12</v>
      </c>
      <c r="C696" s="515" t="s">
        <v>2239</v>
      </c>
      <c r="D696" s="515"/>
      <c r="E696" s="515"/>
      <c r="F696" s="515" t="s">
        <v>6799</v>
      </c>
      <c r="G696" s="516" t="s">
        <v>8396</v>
      </c>
      <c r="H696" s="515" t="s">
        <v>646</v>
      </c>
      <c r="I696" s="595"/>
      <c r="J696" s="596"/>
      <c r="K696" s="597">
        <f>SUM(K697:K699)</f>
        <v>18.889999999999997</v>
      </c>
      <c r="L696" s="597">
        <f>SUM(L697:L699)</f>
        <v>4.17</v>
      </c>
      <c r="M696" s="597">
        <f>SUM(K696:L696)</f>
        <v>23.059999999999995</v>
      </c>
      <c r="N696" s="598" t="s">
        <v>6801</v>
      </c>
      <c r="O696" s="941"/>
    </row>
    <row r="697" spans="2:15">
      <c r="B697" s="122">
        <f t="shared" ref="B697:B699" si="339">B696</f>
        <v>12</v>
      </c>
      <c r="C697" s="611" t="str">
        <f>IF(D697&lt;&gt;"","C",IF(E697&lt;&gt;"","I",""))</f>
        <v>C</v>
      </c>
      <c r="D697" s="660">
        <v>88264</v>
      </c>
      <c r="E697" s="661"/>
      <c r="F697" s="612"/>
      <c r="G697" s="613" t="str">
        <f>IF($E697="",IFERROR(VLOOKUP($D697,SERVIÇOS!$C:$H,2,0),IFERROR(VLOOKUP($D697,$F:$M,2,0),"")),IFERROR(VLOOKUP($E697,INSUMOS!$B:$E,2,0),IFERROR(VLOOKUP($E697,COTAÇÕES!$C:$L,2,0),"")))</f>
        <v>ELETRICISTA COM ENCARGOS COMPLEMENTARES</v>
      </c>
      <c r="H697" s="593" t="str">
        <f>IF($E697="",IFERROR(VLOOKUP($D697,SERVIÇOS!$C:$H,3,0),IFERROR(VLOOKUP($D697,$F:$M,3,0),"")),IFERROR(VLOOKUP($E697,INSUMOS!$B:$E,3,0),IFERROR(VLOOKUP($E697,COTAÇÕES!$C:$L,5,0),"")))</f>
        <v>H</v>
      </c>
      <c r="I697" s="644">
        <v>0.1</v>
      </c>
      <c r="J697" s="670">
        <f>IF($E697="",IFERROR(VLOOKUP($D697,SERVIÇOS!$C:$H,6,0),IFERROR(VLOOKUP($D697,$F:$M,8,0),"")),IFERROR(VLOOKUP($E697,INSUMOS!$B:$E,4,0),IFERROR(VLOOKUP($E697,COTAÇÕES!$C:$L,10,0),"")))</f>
        <v>31.32</v>
      </c>
      <c r="K697" s="615">
        <f>TRUNC(IF($E697="",IFERROR(VLOOKUP($D697,SERVIÇOS!$C:$H,4,0),IFERROR(VLOOKUP($D697,$F:$M,6,0),)),IFERROR(VLOOKUP($E697,INSUMOS!$B:$E,4,0),IFERROR(VLOOKUP($E697,COTAÇÕES!$C:$L,10,0),)))*$I697,2)</f>
        <v>0.66</v>
      </c>
      <c r="L697" s="616">
        <f>TRUNC(IF($E697="",IFERROR(VLOOKUP($D697,SERVIÇOS!$C:$H,5,0),IFERROR(VLOOKUP($D697,$F:$M,7,0),)),0)*$I697,2)</f>
        <v>2.46</v>
      </c>
      <c r="M697" s="617">
        <f>K697+L697</f>
        <v>3.12</v>
      </c>
      <c r="N697" s="753" t="str">
        <f>IF($D697&lt;&gt;"","SERVIÇO SINAPI",IF($E697&lt;&gt;"","INSUMO SINAPI",""))</f>
        <v>SERVIÇO SINAPI</v>
      </c>
      <c r="O697" s="943"/>
    </row>
    <row r="698" spans="2:15">
      <c r="B698" s="122">
        <f t="shared" si="339"/>
        <v>12</v>
      </c>
      <c r="C698" s="611" t="str">
        <f>IF(D698&lt;&gt;"","C",IF(E698&lt;&gt;"","I",""))</f>
        <v>C</v>
      </c>
      <c r="D698" s="660">
        <v>88316</v>
      </c>
      <c r="E698" s="661"/>
      <c r="F698" s="612"/>
      <c r="G698" s="613" t="str">
        <f>IF($E698="",IFERROR(VLOOKUP($D698,SERVIÇOS!$C:$H,2,0),IFERROR(VLOOKUP($D698,$F:$M,2,0),"")),IFERROR(VLOOKUP($E698,INSUMOS!$B:$E,2,0),IFERROR(VLOOKUP($E698,COTAÇÕES!$C:$L,2,0),"")))</f>
        <v>SERVENTE COM ENCARGOS COMPLEMENTARES</v>
      </c>
      <c r="H698" s="593" t="str">
        <f>IF($E698="",IFERROR(VLOOKUP($D698,SERVIÇOS!$C:$H,3,0),IFERROR(VLOOKUP($D698,$F:$M,3,0),"")),IFERROR(VLOOKUP($E698,INSUMOS!$B:$E,3,0),IFERROR(VLOOKUP($E698,COTAÇÕES!$C:$L,5,0),"")))</f>
        <v>H</v>
      </c>
      <c r="I698" s="644">
        <v>0.1</v>
      </c>
      <c r="J698" s="670">
        <f>IF($E698="",IFERROR(VLOOKUP($D698,SERVIÇOS!$C:$H,6,0),IFERROR(VLOOKUP($D698,$F:$M,8,0),"")),IFERROR(VLOOKUP($E698,INSUMOS!$B:$E,4,0),IFERROR(VLOOKUP($E698,COTAÇÕES!$C:$L,10,0),"")))</f>
        <v>23.71</v>
      </c>
      <c r="K698" s="615">
        <f>TRUNC(IF($E698="",IFERROR(VLOOKUP($D698,SERVIÇOS!$C:$H,4,0),IFERROR(VLOOKUP($D698,$F:$M,6,0),)),IFERROR(VLOOKUP($E698,INSUMOS!$B:$E,4,0),IFERROR(VLOOKUP($E698,COTAÇÕES!$C:$L,10,0),)))*$I698,2)</f>
        <v>0.65</v>
      </c>
      <c r="L698" s="616">
        <f>TRUNC(IF($E698="",IFERROR(VLOOKUP($D698,SERVIÇOS!$C:$H,5,0),IFERROR(VLOOKUP($D698,$F:$M,7,0),)),0)*$I698,2)</f>
        <v>1.71</v>
      </c>
      <c r="M698" s="617">
        <f>K698+L698</f>
        <v>2.36</v>
      </c>
      <c r="N698" s="753" t="str">
        <f>IF($D698&lt;&gt;"","SERVIÇO SINAPI",IF($E698&lt;&gt;"","INSUMO SINAPI",""))</f>
        <v>SERVIÇO SINAPI</v>
      </c>
      <c r="O698" s="943"/>
    </row>
    <row r="699" spans="2:15">
      <c r="B699" s="122">
        <f t="shared" si="339"/>
        <v>12</v>
      </c>
      <c r="C699" s="611" t="str">
        <f>IF(D699&lt;&gt;"","C",IF(E699&lt;&gt;"","I",""))</f>
        <v>I</v>
      </c>
      <c r="D699" s="660"/>
      <c r="E699" s="661" t="s">
        <v>9071</v>
      </c>
      <c r="F699" s="612"/>
      <c r="G699" s="613" t="str">
        <f>IF($E699="",IFERROR(VLOOKUP($D699,SERVIÇOS!$C:$H,2,0),IFERROR(VLOOKUP($D699,$F:$M,2,0),"")),IFERROR(VLOOKUP($E699,INSUMOS!$B:$E,2,0),IFERROR(VLOOKUP($E699,COTAÇÕES!$C:$L,2,0),"")))</f>
        <v>KIT SOLDA EXOTÉRMICA 115</v>
      </c>
      <c r="H699" s="593" t="str">
        <f>IF($E699="",IFERROR(VLOOKUP($D699,SERVIÇOS!$C:$H,3,0),IFERROR(VLOOKUP($D699,$F:$M,3,0),"")),IFERROR(VLOOKUP($E699,INSUMOS!$B:$E,3,0),IFERROR(VLOOKUP($E699,COTAÇÕES!$C:$L,5,0),"")))</f>
        <v>UN</v>
      </c>
      <c r="I699" s="644">
        <v>1</v>
      </c>
      <c r="J699" s="670">
        <f>IF($E699="",IFERROR(VLOOKUP($D699,SERVIÇOS!$C:$H,6,0),IFERROR(VLOOKUP($D699,$F:$M,8,0),"")),IFERROR(VLOOKUP($E699,INSUMOS!$B:$E,4,0),IFERROR(VLOOKUP($E699,COTAÇÕES!$C:$L,10,0),"")))</f>
        <v>17.582500000000003</v>
      </c>
      <c r="K699" s="615">
        <f>TRUNC(IF($E699="",IFERROR(VLOOKUP($D699,SERVIÇOS!$C:$H,4,0),IFERROR(VLOOKUP($D699,$F:$M,6,0),)),IFERROR(VLOOKUP($E699,INSUMOS!$B:$E,4,0),IFERROR(VLOOKUP($E699,COTAÇÕES!$C:$L,10,0),)))*$I699,2)</f>
        <v>17.579999999999998</v>
      </c>
      <c r="L699" s="616">
        <f>TRUNC(IF($E699="",IFERROR(VLOOKUP($D699,SERVIÇOS!$C:$H,5,0),IFERROR(VLOOKUP($D699,$F:$M,7,0),)),0)*$I699,2)</f>
        <v>0</v>
      </c>
      <c r="M699" s="617">
        <f>K699+L699</f>
        <v>17.579999999999998</v>
      </c>
      <c r="N699" s="753" t="s">
        <v>6845</v>
      </c>
      <c r="O699" s="942"/>
    </row>
    <row r="700" spans="2:15" ht="22.5">
      <c r="B700" s="769">
        <f>SUMIF(ORC!$G$11:$G$2470,CPU!$F700,ORC!$J$11:$J$2470)</f>
        <v>19</v>
      </c>
      <c r="C700" s="515" t="s">
        <v>2239</v>
      </c>
      <c r="D700" s="515"/>
      <c r="E700" s="515"/>
      <c r="F700" s="515" t="s">
        <v>6800</v>
      </c>
      <c r="G700" s="516" t="s">
        <v>8983</v>
      </c>
      <c r="H700" s="515" t="s">
        <v>646</v>
      </c>
      <c r="I700" s="595"/>
      <c r="J700" s="596"/>
      <c r="K700" s="597">
        <f>SUM(K701:K705)</f>
        <v>28.98</v>
      </c>
      <c r="L700" s="597">
        <f>SUM(L701:L705)</f>
        <v>45.7</v>
      </c>
      <c r="M700" s="597">
        <f>SUM(K700:L700)</f>
        <v>74.680000000000007</v>
      </c>
      <c r="N700" s="598" t="s">
        <v>7548</v>
      </c>
      <c r="O700" s="941"/>
    </row>
    <row r="701" spans="2:15">
      <c r="B701" s="122">
        <f t="shared" ref="B701:B705" si="340">B700</f>
        <v>19</v>
      </c>
      <c r="C701" s="611" t="str">
        <f>IF(D701&lt;&gt;"","C",IF(E701&lt;&gt;"","I",""))</f>
        <v>C</v>
      </c>
      <c r="D701" s="660">
        <v>88247</v>
      </c>
      <c r="E701" s="661"/>
      <c r="F701" s="612"/>
      <c r="G701" s="613" t="str">
        <f>IF($E701="",IFERROR(VLOOKUP($D701,SERVIÇOS!$C:$H,2,0),IFERROR(VLOOKUP($D701,$F:$M,2,0),"")),IFERROR(VLOOKUP($E701,INSUMOS!$B:$E,2,0),IFERROR(VLOOKUP($E701,COTAÇÕES!$C:$L,2,0),"")))</f>
        <v>AUXILIAR DE ELETRICISTA COM ENCARGOS COMPLEMENTARES</v>
      </c>
      <c r="H701" s="593" t="str">
        <f>IF($E701="",IFERROR(VLOOKUP($D701,SERVIÇOS!$C:$H,3,0),IFERROR(VLOOKUP($D701,$F:$M,3,0),"")),IFERROR(VLOOKUP($E701,INSUMOS!$B:$E,3,0),IFERROR(VLOOKUP($E701,COTAÇÕES!$C:$L,5,0),"")))</f>
        <v>H</v>
      </c>
      <c r="I701" s="644">
        <v>1.05</v>
      </c>
      <c r="J701" s="670">
        <f>IF($E701="",IFERROR(VLOOKUP($D701,SERVIÇOS!$C:$H,6,0),IFERROR(VLOOKUP($D701,$F:$M,8,0),"")),IFERROR(VLOOKUP($E701,INSUMOS!$B:$E,4,0),IFERROR(VLOOKUP($E701,COTAÇÕES!$C:$L,10,0),"")))</f>
        <v>25.53</v>
      </c>
      <c r="K701" s="615">
        <f>TRUNC(IF($E701="",IFERROR(VLOOKUP($D701,SERVIÇOS!$C:$H,4,0),IFERROR(VLOOKUP($D701,$F:$M,6,0),)),IFERROR(VLOOKUP($E701,INSUMOS!$B:$E,4,0),IFERROR(VLOOKUP($E701,COTAÇÕES!$C:$L,10,0),)))*$I701,2)</f>
        <v>6.99</v>
      </c>
      <c r="L701" s="616">
        <f>TRUNC(IF($E701="",IFERROR(VLOOKUP($D701,SERVIÇOS!$C:$H,5,0),IFERROR(VLOOKUP($D701,$F:$M,7,0),)),0)*$I701,2)</f>
        <v>19.809999999999999</v>
      </c>
      <c r="M701" s="617">
        <f>K701+L701</f>
        <v>26.799999999999997</v>
      </c>
      <c r="N701" s="753" t="str">
        <f>IF($D701&lt;&gt;"","SERVIÇO SINAPI",IF($E701&lt;&gt;"","INSUMO SINAPI",""))</f>
        <v>SERVIÇO SINAPI</v>
      </c>
      <c r="O701" s="943"/>
    </row>
    <row r="702" spans="2:15">
      <c r="B702" s="122">
        <f t="shared" si="340"/>
        <v>19</v>
      </c>
      <c r="C702" s="611" t="str">
        <f>IF(D702&lt;&gt;"","C",IF(E702&lt;&gt;"","I",""))</f>
        <v>C</v>
      </c>
      <c r="D702" s="660">
        <v>88264</v>
      </c>
      <c r="E702" s="661"/>
      <c r="F702" s="612"/>
      <c r="G702" s="613" t="str">
        <f>IF($E702="",IFERROR(VLOOKUP($D702,SERVIÇOS!$C:$H,2,0),IFERROR(VLOOKUP($D702,$F:$M,2,0),"")),IFERROR(VLOOKUP($E702,INSUMOS!$B:$E,2,0),IFERROR(VLOOKUP($E702,COTAÇÕES!$C:$L,2,0),"")))</f>
        <v>ELETRICISTA COM ENCARGOS COMPLEMENTARES</v>
      </c>
      <c r="H702" s="593" t="str">
        <f>IF($E702="",IFERROR(VLOOKUP($D702,SERVIÇOS!$C:$H,3,0),IFERROR(VLOOKUP($D702,$F:$M,3,0),"")),IFERROR(VLOOKUP($E702,INSUMOS!$B:$E,3,0),IFERROR(VLOOKUP($E702,COTAÇÕES!$C:$L,5,0),"")))</f>
        <v>H</v>
      </c>
      <c r="I702" s="644">
        <v>1.05</v>
      </c>
      <c r="J702" s="670">
        <f>IF($E702="",IFERROR(VLOOKUP($D702,SERVIÇOS!$C:$H,6,0),IFERROR(VLOOKUP($D702,$F:$M,8,0),"")),IFERROR(VLOOKUP($E702,INSUMOS!$B:$E,4,0),IFERROR(VLOOKUP($E702,COTAÇÕES!$C:$L,10,0),"")))</f>
        <v>31.32</v>
      </c>
      <c r="K702" s="615">
        <f>TRUNC(IF($E702="",IFERROR(VLOOKUP($D702,SERVIÇOS!$C:$H,4,0),IFERROR(VLOOKUP($D702,$F:$M,6,0),)),IFERROR(VLOOKUP($E702,INSUMOS!$B:$E,4,0),IFERROR(VLOOKUP($E702,COTAÇÕES!$C:$L,10,0),)))*$I702,2)</f>
        <v>6.99</v>
      </c>
      <c r="L702" s="616">
        <f>TRUNC(IF($E702="",IFERROR(VLOOKUP($D702,SERVIÇOS!$C:$H,5,0),IFERROR(VLOOKUP($D702,$F:$M,7,0),)),0)*$I702,2)</f>
        <v>25.89</v>
      </c>
      <c r="M702" s="617">
        <f>K702+L702</f>
        <v>32.880000000000003</v>
      </c>
      <c r="N702" s="753" t="str">
        <f>IF($D702&lt;&gt;"","SERVIÇO SINAPI",IF($E702&lt;&gt;"","INSUMO SINAPI",""))</f>
        <v>SERVIÇO SINAPI</v>
      </c>
      <c r="O702" s="943"/>
    </row>
    <row r="703" spans="2:15" ht="25.5">
      <c r="B703" s="122">
        <f t="shared" si="340"/>
        <v>19</v>
      </c>
      <c r="C703" s="611" t="str">
        <f>IF(D703&lt;&gt;"","C",IF(E703&lt;&gt;"","I",""))</f>
        <v>I</v>
      </c>
      <c r="D703" s="660"/>
      <c r="E703" s="661">
        <v>4377</v>
      </c>
      <c r="F703" s="612"/>
      <c r="G703" s="613" t="str">
        <f>IF($E703="",IFERROR(VLOOKUP($D703,SERVIÇOS!$C:$H,2,0),IFERROR(VLOOKUP($D703,$F:$M,2,0),"")),IFERROR(VLOOKUP($E703,INSUMOS!$B:$E,2,0),IFERROR(VLOOKUP($E703,COTAÇÕES!$C:$L,2,0),"")))</f>
        <v xml:space="preserve">PARAFUSO DE ACO ZINCADO COM ROSCA SOBERBA, CABECA CHATA E FENDA SIMPLES, DIAMETRO 4,2 MM, COMPRIMENTO * 32 * MM                                                                                                                                                                                                                                                                                                                                                                                           </v>
      </c>
      <c r="H703" s="593" t="str">
        <f>IF($E703="",IFERROR(VLOOKUP($D703,SERVIÇOS!$C:$H,3,0),IFERROR(VLOOKUP($D703,$F:$M,3,0),"")),IFERROR(VLOOKUP($E703,INSUMOS!$B:$E,3,0),IFERROR(VLOOKUP($E703,COTAÇÕES!$C:$L,5,0),"")))</f>
        <v xml:space="preserve">UN    </v>
      </c>
      <c r="I703" s="644">
        <v>2</v>
      </c>
      <c r="J703" s="670">
        <f>IF($E703="",IFERROR(VLOOKUP($D703,SERVIÇOS!$C:$H,6,0),IFERROR(VLOOKUP($D703,$F:$M,8,0),"")),IFERROR(VLOOKUP($E703,INSUMOS!$B:$E,4,0),IFERROR(VLOOKUP($E703,COTAÇÕES!$C:$L,10,0),"")))</f>
        <v>0.16</v>
      </c>
      <c r="K703" s="615">
        <f>TRUNC(IF($E703="",IFERROR(VLOOKUP($D703,SERVIÇOS!$C:$H,4,0),IFERROR(VLOOKUP($D703,$F:$M,6,0),)),IFERROR(VLOOKUP($E703,INSUMOS!$B:$E,4,0),IFERROR(VLOOKUP($E703,COTAÇÕES!$C:$L,10,0),)))*$I703,2)</f>
        <v>0.32</v>
      </c>
      <c r="L703" s="616">
        <f>TRUNC(IF($E703="",IFERROR(VLOOKUP($D703,SERVIÇOS!$C:$H,5,0),IFERROR(VLOOKUP($D703,$F:$M,7,0),)),0)*$I703,2)</f>
        <v>0</v>
      </c>
      <c r="M703" s="617">
        <f>K703+L703</f>
        <v>0.32</v>
      </c>
      <c r="N703" s="753" t="str">
        <f>IF($D703&lt;&gt;"","SERVIÇO SINAPI",IF($E703&lt;&gt;"","INSUMO SINAPI",""))</f>
        <v>INSUMO SINAPI</v>
      </c>
      <c r="O703" s="943"/>
    </row>
    <row r="704" spans="2:15">
      <c r="B704" s="122">
        <f t="shared" si="340"/>
        <v>19</v>
      </c>
      <c r="C704" s="611" t="str">
        <f>IF(D704&lt;&gt;"","C",IF(E704&lt;&gt;"","I",""))</f>
        <v>I</v>
      </c>
      <c r="D704" s="660"/>
      <c r="E704" s="892" t="s">
        <v>9073</v>
      </c>
      <c r="F704" s="612"/>
      <c r="G704" s="613" t="str">
        <f>IF($E704="",IFERROR(VLOOKUP($D704,SERVIÇOS!$C:$H,2,0),IFERROR(VLOOKUP($D704,$F:$M,2,0),"")),IFERROR(VLOOKUP($E704,INSUMOS!$B:$E,2,0),IFERROR(VLOOKUP($E704,COTAÇÕES!$C:$L,2,0),"")))</f>
        <v>TERMINAL AÉREO BASE PLANA GALVANIZADO A QUENTE 35CM</v>
      </c>
      <c r="H704" s="593" t="str">
        <f>IF($E704="",IFERROR(VLOOKUP($D704,SERVIÇOS!$C:$H,3,0),IFERROR(VLOOKUP($D704,$F:$M,3,0),"")),IFERROR(VLOOKUP($E704,INSUMOS!$B:$E,3,0),IFERROR(VLOOKUP($E704,COTAÇÕES!$C:$L,5,0),"")))</f>
        <v>UN</v>
      </c>
      <c r="I704" s="644">
        <v>1</v>
      </c>
      <c r="J704" s="670">
        <f>IF($E704="",IFERROR(VLOOKUP($D704,SERVIÇOS!$C:$H,6,0),IFERROR(VLOOKUP($D704,$F:$M,8,0),"")),IFERROR(VLOOKUP($E704,INSUMOS!$B:$E,4,0),IFERROR(VLOOKUP($E704,COTAÇÕES!$C:$L,10,0),"")))</f>
        <v>10.882499999999999</v>
      </c>
      <c r="K704" s="615">
        <f>TRUNC(IF($E704="",IFERROR(VLOOKUP($D704,SERVIÇOS!$C:$H,4,0),IFERROR(VLOOKUP($D704,$F:$M,6,0),)),IFERROR(VLOOKUP($E704,INSUMOS!$B:$E,4,0),IFERROR(VLOOKUP($E704,COTAÇÕES!$C:$L,10,0),)))*$I704,2)</f>
        <v>10.88</v>
      </c>
      <c r="L704" s="616">
        <f>TRUNC(IF($E704="",IFERROR(VLOOKUP($D704,SERVIÇOS!$C:$H,5,0),IFERROR(VLOOKUP($D704,$F:$M,7,0),)),0)*$I704,2)</f>
        <v>0</v>
      </c>
      <c r="M704" s="617">
        <f>K704+L704</f>
        <v>10.88</v>
      </c>
      <c r="N704" s="753" t="s">
        <v>6845</v>
      </c>
      <c r="O704" s="640"/>
    </row>
    <row r="705" spans="2:15">
      <c r="B705" s="122">
        <f t="shared" si="340"/>
        <v>19</v>
      </c>
      <c r="C705" s="611" t="str">
        <f>IF(D705&lt;&gt;"","C",IF(E705&lt;&gt;"","I",""))</f>
        <v>I</v>
      </c>
      <c r="D705" s="660"/>
      <c r="E705" s="892" t="s">
        <v>9072</v>
      </c>
      <c r="F705" s="612"/>
      <c r="G705" s="613" t="str">
        <f>IF($E705="",IFERROR(VLOOKUP($D705,SERVIÇOS!$C:$H,2,0),IFERROR(VLOOKUP($D705,$F:$M,2,0),"")),IFERROR(VLOOKUP($E705,INSUMOS!$B:$E,2,0),IFERROR(VLOOKUP($E705,COTAÇÕES!$C:$L,2,0),"")))</f>
        <v>PARAFUSO CABEÇA CHATA 1/4 X 7/8"</v>
      </c>
      <c r="H705" s="593" t="str">
        <f>IF($E705="",IFERROR(VLOOKUP($D705,SERVIÇOS!$C:$H,3,0),IFERROR(VLOOKUP($D705,$F:$M,3,0),"")),IFERROR(VLOOKUP($E705,INSUMOS!$B:$E,3,0),IFERROR(VLOOKUP($E705,COTAÇÕES!$C:$L,5,0),"")))</f>
        <v>UN</v>
      </c>
      <c r="I705" s="644">
        <f>275/85</f>
        <v>3.2352941176470589</v>
      </c>
      <c r="J705" s="670">
        <f>IF($E705="",IFERROR(VLOOKUP($D705,SERVIÇOS!$C:$H,6,0),IFERROR(VLOOKUP($D705,$F:$M,8,0),"")),IFERROR(VLOOKUP($E705,INSUMOS!$B:$E,4,0),IFERROR(VLOOKUP($E705,COTAÇÕES!$C:$L,10,0),"")))</f>
        <v>1.1766666666666665</v>
      </c>
      <c r="K705" s="615">
        <f>TRUNC(IF($E705="",IFERROR(VLOOKUP($D705,SERVIÇOS!$C:$H,4,0),IFERROR(VLOOKUP($D705,$F:$M,6,0),)),IFERROR(VLOOKUP($E705,INSUMOS!$B:$E,4,0),IFERROR(VLOOKUP($E705,COTAÇÕES!$C:$L,10,0),)))*$I705,2)</f>
        <v>3.8</v>
      </c>
      <c r="L705" s="616">
        <f>TRUNC(IF($E705="",IFERROR(VLOOKUP($D705,SERVIÇOS!$C:$H,5,0),IFERROR(VLOOKUP($D705,$F:$M,7,0),)),0)*$I705,2)</f>
        <v>0</v>
      </c>
      <c r="M705" s="617">
        <f>K705+L705</f>
        <v>3.8</v>
      </c>
      <c r="N705" s="753" t="s">
        <v>6845</v>
      </c>
      <c r="O705" s="640"/>
    </row>
    <row r="706" spans="2:15" ht="25.5">
      <c r="B706" s="769">
        <f>SUMIF(ORC!$G$11:$G$2470,CPU!$F706,ORC!$J$11:$J$2470)</f>
        <v>6</v>
      </c>
      <c r="C706" s="515" t="s">
        <v>2239</v>
      </c>
      <c r="D706" s="515"/>
      <c r="E706" s="515"/>
      <c r="F706" s="515" t="s">
        <v>6808</v>
      </c>
      <c r="G706" s="516" t="s">
        <v>8392</v>
      </c>
      <c r="H706" s="515" t="s">
        <v>646</v>
      </c>
      <c r="I706" s="595"/>
      <c r="J706" s="596"/>
      <c r="K706" s="597">
        <f>SUM(K707:K709)</f>
        <v>84.07</v>
      </c>
      <c r="L706" s="597">
        <f>SUM(L707:L709)</f>
        <v>7.91</v>
      </c>
      <c r="M706" s="597">
        <f>SUM(K706:L706)</f>
        <v>91.97999999999999</v>
      </c>
      <c r="N706" s="598" t="s">
        <v>7549</v>
      </c>
      <c r="O706" s="949" t="s">
        <v>6840</v>
      </c>
    </row>
    <row r="707" spans="2:15">
      <c r="B707" s="122">
        <f t="shared" ref="B707:B709" si="341">B706</f>
        <v>6</v>
      </c>
      <c r="C707" s="611" t="str">
        <f>IF(D707&lt;&gt;"","C",IF(E707&lt;&gt;"","I",""))</f>
        <v>C</v>
      </c>
      <c r="D707" s="660">
        <v>88316</v>
      </c>
      <c r="E707" s="661"/>
      <c r="F707" s="612"/>
      <c r="G707" s="613" t="str">
        <f>IF($E707="",IFERROR(VLOOKUP($D707,SERVIÇOS!$C:$H,2,0),IFERROR(VLOOKUP($D707,$F:$M,2,0),"")),IFERROR(VLOOKUP($E707,INSUMOS!$B:$E,2,0),IFERROR(VLOOKUP($E707,COTAÇÕES!$C:$L,2,0),"")))</f>
        <v>SERVENTE COM ENCARGOS COMPLEMENTARES</v>
      </c>
      <c r="H707" s="593" t="str">
        <f>IF($E707="",IFERROR(VLOOKUP($D707,SERVIÇOS!$C:$H,3,0),IFERROR(VLOOKUP($D707,$F:$M,3,0),"")),IFERROR(VLOOKUP($E707,INSUMOS!$B:$E,3,0),IFERROR(VLOOKUP($E707,COTAÇÕES!$C:$L,5,0),"")))</f>
        <v>H</v>
      </c>
      <c r="I707" s="614">
        <v>0.18920000000000001</v>
      </c>
      <c r="J707" s="670">
        <f>IF($E707="",IFERROR(VLOOKUP($D707,SERVIÇOS!$C:$H,6,0),IFERROR(VLOOKUP($D707,$F:$M,8,0),"")),IFERROR(VLOOKUP($E707,INSUMOS!$B:$E,4,0),IFERROR(VLOOKUP($E707,COTAÇÕES!$C:$L,10,0),"")))</f>
        <v>23.71</v>
      </c>
      <c r="K707" s="615">
        <f>TRUNC(IF($E707="",IFERROR(VLOOKUP($D707,SERVIÇOS!$C:$H,4,0),IFERROR(VLOOKUP($D707,$F:$M,6,0),)),IFERROR(VLOOKUP($E707,INSUMOS!$B:$E,4,0),IFERROR(VLOOKUP($E707,COTAÇÕES!$C:$L,10,0),)))*$I707,2)</f>
        <v>1.23</v>
      </c>
      <c r="L707" s="616">
        <f>TRUNC(IF($E707="",IFERROR(VLOOKUP($D707,SERVIÇOS!$C:$H,5,0),IFERROR(VLOOKUP($D707,$F:$M,7,0),)),0)*$I707,2)</f>
        <v>3.25</v>
      </c>
      <c r="M707" s="617">
        <f>K707+L707</f>
        <v>4.4800000000000004</v>
      </c>
      <c r="N707" s="753" t="str">
        <f>IF($D707&lt;&gt;"","SERVIÇO SINAPI",IF($E707&lt;&gt;"","INSUMO SINAPI",""))</f>
        <v>SERVIÇO SINAPI</v>
      </c>
      <c r="O707" s="943"/>
    </row>
    <row r="708" spans="2:15">
      <c r="B708" s="122">
        <f t="shared" si="341"/>
        <v>6</v>
      </c>
      <c r="C708" s="611" t="str">
        <f>IF(D708&lt;&gt;"","C",IF(E708&lt;&gt;"","I",""))</f>
        <v>C</v>
      </c>
      <c r="D708" s="660">
        <v>88264</v>
      </c>
      <c r="E708" s="661"/>
      <c r="F708" s="612"/>
      <c r="G708" s="613" t="str">
        <f>IF($E708="",IFERROR(VLOOKUP($D708,SERVIÇOS!$C:$H,2,0),IFERROR(VLOOKUP($D708,$F:$M,2,0),"")),IFERROR(VLOOKUP($E708,INSUMOS!$B:$E,2,0),IFERROR(VLOOKUP($E708,COTAÇÕES!$C:$L,2,0),"")))</f>
        <v>ELETRICISTA COM ENCARGOS COMPLEMENTARES</v>
      </c>
      <c r="H708" s="593" t="str">
        <f>IF($E708="",IFERROR(VLOOKUP($D708,SERVIÇOS!$C:$H,3,0),IFERROR(VLOOKUP($D708,$F:$M,3,0),"")),IFERROR(VLOOKUP($E708,INSUMOS!$B:$E,3,0),IFERROR(VLOOKUP($E708,COTAÇÕES!$C:$L,5,0),"")))</f>
        <v>H</v>
      </c>
      <c r="I708" s="614">
        <v>0.18920000000000001</v>
      </c>
      <c r="J708" s="670">
        <f>IF($E708="",IFERROR(VLOOKUP($D708,SERVIÇOS!$C:$H,6,0),IFERROR(VLOOKUP($D708,$F:$M,8,0),"")),IFERROR(VLOOKUP($E708,INSUMOS!$B:$E,4,0),IFERROR(VLOOKUP($E708,COTAÇÕES!$C:$L,10,0),"")))</f>
        <v>31.32</v>
      </c>
      <c r="K708" s="615">
        <f>TRUNC(IF($E708="",IFERROR(VLOOKUP($D708,SERVIÇOS!$C:$H,4,0),IFERROR(VLOOKUP($D708,$F:$M,6,0),)),IFERROR(VLOOKUP($E708,INSUMOS!$B:$E,4,0),IFERROR(VLOOKUP($E708,COTAÇÕES!$C:$L,10,0),)))*$I708,2)</f>
        <v>1.26</v>
      </c>
      <c r="L708" s="616">
        <f>TRUNC(IF($E708="",IFERROR(VLOOKUP($D708,SERVIÇOS!$C:$H,5,0),IFERROR(VLOOKUP($D708,$F:$M,7,0),)),0)*$I708,2)</f>
        <v>4.66</v>
      </c>
      <c r="M708" s="617">
        <f>K708+L708</f>
        <v>5.92</v>
      </c>
      <c r="N708" s="753" t="str">
        <f>IF($D708&lt;&gt;"","SERVIÇO SINAPI",IF($E708&lt;&gt;"","INSUMO SINAPI",""))</f>
        <v>SERVIÇO SINAPI</v>
      </c>
      <c r="O708" s="943"/>
    </row>
    <row r="709" spans="2:15" ht="25.5">
      <c r="B709" s="122">
        <f t="shared" si="341"/>
        <v>6</v>
      </c>
      <c r="C709" s="611" t="str">
        <f>IF(D709&lt;&gt;"","C",IF(E709&lt;&gt;"","I",""))</f>
        <v>I</v>
      </c>
      <c r="D709" s="660"/>
      <c r="E709" s="661">
        <v>39465</v>
      </c>
      <c r="F709" s="612"/>
      <c r="G709" s="613" t="str">
        <f>IF($E709="",IFERROR(VLOOKUP($D709,SERVIÇOS!$C:$H,2,0),IFERROR(VLOOKUP($D709,$F:$M,2,0),"")),IFERROR(VLOOKUP($E709,INSUMOS!$B:$E,2,0),IFERROR(VLOOKUP($E709,COTAÇÕES!$C:$L,2,0),"")))</f>
        <v xml:space="preserve">DISPOSITIVO DPS CLASSE II, 1 POLO, TENSAO MAXIMA DE 175 V, CORRENTE MAXIMA DE *20* KA (TIPO AC)                                                                                                                                                                                                                                                                                                                                                                                                           </v>
      </c>
      <c r="H709" s="593" t="str">
        <f>IF($E709="",IFERROR(VLOOKUP($D709,SERVIÇOS!$C:$H,3,0),IFERROR(VLOOKUP($D709,$F:$M,3,0),"")),IFERROR(VLOOKUP($E709,INSUMOS!$B:$E,3,0),IFERROR(VLOOKUP($E709,COTAÇÕES!$C:$L,5,0),"")))</f>
        <v xml:space="preserve">UN    </v>
      </c>
      <c r="I709" s="614">
        <v>1</v>
      </c>
      <c r="J709" s="670">
        <f>IF($E709="",IFERROR(VLOOKUP($D709,SERVIÇOS!$C:$H,6,0),IFERROR(VLOOKUP($D709,$F:$M,8,0),"")),IFERROR(VLOOKUP($E709,INSUMOS!$B:$E,4,0),IFERROR(VLOOKUP($E709,COTAÇÕES!$C:$L,10,0),"")))</f>
        <v>81.58</v>
      </c>
      <c r="K709" s="615">
        <f>TRUNC(IF($E709="",IFERROR(VLOOKUP($D709,SERVIÇOS!$C:$H,4,0),IFERROR(VLOOKUP($D709,$F:$M,6,0),)),IFERROR(VLOOKUP($E709,INSUMOS!$B:$E,4,0),IFERROR(VLOOKUP($E709,COTAÇÕES!$C:$L,10,0),)))*$I709,2)</f>
        <v>81.58</v>
      </c>
      <c r="L709" s="616">
        <f>TRUNC(IF($E709="",IFERROR(VLOOKUP($D709,SERVIÇOS!$C:$H,5,0),IFERROR(VLOOKUP($D709,$F:$M,7,0),)),0)*$I709,2)</f>
        <v>0</v>
      </c>
      <c r="M709" s="617">
        <f>K709+L709</f>
        <v>81.58</v>
      </c>
      <c r="N709" s="753" t="str">
        <f>IF($D709&lt;&gt;"","SERVIÇO SINAPI",IF($E709&lt;&gt;"","INSUMO SINAPI",""))</f>
        <v>INSUMO SINAPI</v>
      </c>
      <c r="O709" s="943"/>
    </row>
    <row r="710" spans="2:15">
      <c r="B710" s="769">
        <f>SUMIF(ORC!$G$11:$G$2470,CPU!$F710,ORC!$J$11:$J$2470)</f>
        <v>791</v>
      </c>
      <c r="C710" s="515" t="s">
        <v>2239</v>
      </c>
      <c r="D710" s="515"/>
      <c r="E710" s="515"/>
      <c r="F710" s="515" t="s">
        <v>6810</v>
      </c>
      <c r="G710" s="516" t="s">
        <v>6958</v>
      </c>
      <c r="H710" s="515" t="s">
        <v>648</v>
      </c>
      <c r="I710" s="595"/>
      <c r="J710" s="596"/>
      <c r="K710" s="597">
        <f>SUM(K711:K713)</f>
        <v>4.4399999999999995</v>
      </c>
      <c r="L710" s="597">
        <f>SUM(L711:L713)</f>
        <v>5.21</v>
      </c>
      <c r="M710" s="597">
        <f>SUM(K710:L710)</f>
        <v>9.6499999999999986</v>
      </c>
      <c r="N710" s="598" t="s">
        <v>6821</v>
      </c>
      <c r="O710" s="949" t="s">
        <v>6846</v>
      </c>
    </row>
    <row r="711" spans="2:15">
      <c r="B711" s="122">
        <f t="shared" ref="B711:B713" si="342">B710</f>
        <v>791</v>
      </c>
      <c r="C711" s="611" t="str">
        <f>IF(D711&lt;&gt;"","C",IF(E711&lt;&gt;"","I",""))</f>
        <v>I</v>
      </c>
      <c r="D711" s="660"/>
      <c r="E711" s="662">
        <v>2689</v>
      </c>
      <c r="F711" s="630"/>
      <c r="G711" s="613" t="str">
        <f>IF($E711="",IFERROR(VLOOKUP($D711,SERVIÇOS!$C:$H,2,0),IFERROR(VLOOKUP($D711,$F:$M,2,0),"")),IFERROR(VLOOKUP($E711,INSUMOS!$B:$E,2,0),IFERROR(VLOOKUP($E711,COTAÇÕES!$C:$L,2,0),"")))</f>
        <v xml:space="preserve">ELETRODUTO PVC FLEXIVEL CORRUGADO, COR AMARELA, DE 20 MM                                                                                                                                                                                                                                                                                                                                                                                                                                                  </v>
      </c>
      <c r="H711" s="593" t="str">
        <f>IF($E711="",IFERROR(VLOOKUP($D711,SERVIÇOS!$C:$H,3,0),IFERROR(VLOOKUP($D711,$F:$M,3,0),"")),IFERROR(VLOOKUP($E711,INSUMOS!$B:$E,3,0),IFERROR(VLOOKUP($E711,COTAÇÕES!$C:$L,5,0),"")))</f>
        <v xml:space="preserve">M     </v>
      </c>
      <c r="I711" s="614">
        <v>1</v>
      </c>
      <c r="J711" s="670">
        <f>IF($E711="",IFERROR(VLOOKUP($D711,SERVIÇOS!$C:$H,6,0),IFERROR(VLOOKUP($D711,$F:$M,8,0),"")),IFERROR(VLOOKUP($E711,INSUMOS!$B:$E,4,0),IFERROR(VLOOKUP($E711,COTAÇÕES!$C:$L,10,0),"")))</f>
        <v>2.86</v>
      </c>
      <c r="K711" s="615">
        <f>TRUNC(IF($E711="",IFERROR(VLOOKUP($D711,SERVIÇOS!$C:$H,4,0),IFERROR(VLOOKUP($D711,$F:$M,6,0),)),IFERROR(VLOOKUP($E711,INSUMOS!$B:$E,4,0),IFERROR(VLOOKUP($E711,COTAÇÕES!$C:$L,10,0),)))*$I711,2)</f>
        <v>2.86</v>
      </c>
      <c r="L711" s="616">
        <f>TRUNC(IF($E711="",IFERROR(VLOOKUP($D711,SERVIÇOS!$C:$H,5,0),IFERROR(VLOOKUP($D711,$F:$M,7,0),)),0)*$I711,2)</f>
        <v>0</v>
      </c>
      <c r="M711" s="617">
        <f>K711+L711</f>
        <v>2.86</v>
      </c>
      <c r="N711" s="753" t="str">
        <f>IF($D711&lt;&gt;"","SERVIÇO SINAPI",IF($E711&lt;&gt;"","INSUMO SINAPI",""))</f>
        <v>INSUMO SINAPI</v>
      </c>
      <c r="O711" s="943"/>
    </row>
    <row r="712" spans="2:15">
      <c r="B712" s="122">
        <f t="shared" si="342"/>
        <v>791</v>
      </c>
      <c r="C712" s="611" t="str">
        <f>IF(D712&lt;&gt;"","C",IF(E712&lt;&gt;"","I",""))</f>
        <v>C</v>
      </c>
      <c r="D712" s="660">
        <v>88247</v>
      </c>
      <c r="E712" s="661"/>
      <c r="F712" s="612"/>
      <c r="G712" s="613" t="str">
        <f>IF($E712="",IFERROR(VLOOKUP($D712,SERVIÇOS!$C:$H,2,0),IFERROR(VLOOKUP($D712,$F:$M,2,0),"")),IFERROR(VLOOKUP($E712,INSUMOS!$B:$E,2,0),IFERROR(VLOOKUP($E712,COTAÇÕES!$C:$L,2,0),"")))</f>
        <v>AUXILIAR DE ELETRICISTA COM ENCARGOS COMPLEMENTARES</v>
      </c>
      <c r="H712" s="593" t="str">
        <f>IF($E712="",IFERROR(VLOOKUP($D712,SERVIÇOS!$C:$H,3,0),IFERROR(VLOOKUP($D712,$F:$M,3,0),"")),IFERROR(VLOOKUP($E712,INSUMOS!$B:$E,3,0),IFERROR(VLOOKUP($E712,COTAÇÕES!$C:$L,5,0),"")))</f>
        <v>H</v>
      </c>
      <c r="I712" s="614">
        <v>0.12</v>
      </c>
      <c r="J712" s="670">
        <f>IF($E712="",IFERROR(VLOOKUP($D712,SERVIÇOS!$C:$H,6,0),IFERROR(VLOOKUP($D712,$F:$M,8,0),"")),IFERROR(VLOOKUP($E712,INSUMOS!$B:$E,4,0),IFERROR(VLOOKUP($E712,COTAÇÕES!$C:$L,10,0),"")))</f>
        <v>25.53</v>
      </c>
      <c r="K712" s="615">
        <f>TRUNC(IF($E712="",IFERROR(VLOOKUP($D712,SERVIÇOS!$C:$H,4,0),IFERROR(VLOOKUP($D712,$F:$M,6,0),)),IFERROR(VLOOKUP($E712,INSUMOS!$B:$E,4,0),IFERROR(VLOOKUP($E712,COTAÇÕES!$C:$L,10,0),)))*$I712,2)</f>
        <v>0.79</v>
      </c>
      <c r="L712" s="616">
        <f>TRUNC(IF($E712="",IFERROR(VLOOKUP($D712,SERVIÇOS!$C:$H,5,0),IFERROR(VLOOKUP($D712,$F:$M,7,0),)),0)*$I712,2)</f>
        <v>2.2599999999999998</v>
      </c>
      <c r="M712" s="617">
        <f>K712+L712</f>
        <v>3.05</v>
      </c>
      <c r="N712" s="753" t="str">
        <f>IF($D712&lt;&gt;"","SERVIÇO SINAPI",IF($E712&lt;&gt;"","INSUMO SINAPI",""))</f>
        <v>SERVIÇO SINAPI</v>
      </c>
      <c r="O712" s="943"/>
    </row>
    <row r="713" spans="2:15">
      <c r="B713" s="122">
        <f t="shared" si="342"/>
        <v>791</v>
      </c>
      <c r="C713" s="611" t="str">
        <f>IF(D713&lt;&gt;"","C",IF(E713&lt;&gt;"","I",""))</f>
        <v>C</v>
      </c>
      <c r="D713" s="660">
        <v>88264</v>
      </c>
      <c r="E713" s="661"/>
      <c r="F713" s="612"/>
      <c r="G713" s="613" t="str">
        <f>IF($E713="",IFERROR(VLOOKUP($D713,SERVIÇOS!$C:$H,2,0),IFERROR(VLOOKUP($D713,$F:$M,2,0),"")),IFERROR(VLOOKUP($E713,INSUMOS!$B:$E,2,0),IFERROR(VLOOKUP($E713,COTAÇÕES!$C:$L,2,0),"")))</f>
        <v>ELETRICISTA COM ENCARGOS COMPLEMENTARES</v>
      </c>
      <c r="H713" s="593" t="str">
        <f>IF($E713="",IFERROR(VLOOKUP($D713,SERVIÇOS!$C:$H,3,0),IFERROR(VLOOKUP($D713,$F:$M,3,0),"")),IFERROR(VLOOKUP($E713,INSUMOS!$B:$E,3,0),IFERROR(VLOOKUP($E713,COTAÇÕES!$C:$L,5,0),"")))</f>
        <v>H</v>
      </c>
      <c r="I713" s="614">
        <v>0.12</v>
      </c>
      <c r="J713" s="670">
        <f>IF($E713="",IFERROR(VLOOKUP($D713,SERVIÇOS!$C:$H,6,0),IFERROR(VLOOKUP($D713,$F:$M,8,0),"")),IFERROR(VLOOKUP($E713,INSUMOS!$B:$E,4,0),IFERROR(VLOOKUP($E713,COTAÇÕES!$C:$L,10,0),"")))</f>
        <v>31.32</v>
      </c>
      <c r="K713" s="615">
        <f>TRUNC(IF($E713="",IFERROR(VLOOKUP($D713,SERVIÇOS!$C:$H,4,0),IFERROR(VLOOKUP($D713,$F:$M,6,0),)),IFERROR(VLOOKUP($E713,INSUMOS!$B:$E,4,0),IFERROR(VLOOKUP($E713,COTAÇÕES!$C:$L,10,0),)))*$I713,2)</f>
        <v>0.79</v>
      </c>
      <c r="L713" s="616">
        <f>TRUNC(IF($E713="",IFERROR(VLOOKUP($D713,SERVIÇOS!$C:$H,5,0),IFERROR(VLOOKUP($D713,$F:$M,7,0),)),0)*$I713,2)</f>
        <v>2.95</v>
      </c>
      <c r="M713" s="617">
        <f>K713+L713</f>
        <v>3.74</v>
      </c>
      <c r="N713" s="753" t="str">
        <f>IF($D713&lt;&gt;"","SERVIÇO SINAPI",IF($E713&lt;&gt;"","INSUMO SINAPI",""))</f>
        <v>SERVIÇO SINAPI</v>
      </c>
      <c r="O713" s="943"/>
    </row>
    <row r="714" spans="2:15">
      <c r="B714" s="769">
        <f>SUMIF(ORC!$G$11:$G$2470,CPU!$F714,ORC!$J$11:$J$2470)</f>
        <v>64</v>
      </c>
      <c r="C714" s="515" t="s">
        <v>2239</v>
      </c>
      <c r="D714" s="515"/>
      <c r="E714" s="515"/>
      <c r="F714" s="515" t="s">
        <v>6811</v>
      </c>
      <c r="G714" s="516" t="s">
        <v>6956</v>
      </c>
      <c r="H714" s="515" t="s">
        <v>648</v>
      </c>
      <c r="I714" s="595"/>
      <c r="J714" s="596"/>
      <c r="K714" s="597">
        <f>SUM(K715:K717)</f>
        <v>5.08</v>
      </c>
      <c r="L714" s="597">
        <f>SUM(L715:L717)</f>
        <v>6.52</v>
      </c>
      <c r="M714" s="597">
        <f>SUM(K714:L714)</f>
        <v>11.6</v>
      </c>
      <c r="N714" s="598" t="s">
        <v>6822</v>
      </c>
      <c r="O714" s="949" t="s">
        <v>6846</v>
      </c>
    </row>
    <row r="715" spans="2:15">
      <c r="B715" s="122">
        <f t="shared" ref="B715:B717" si="343">B714</f>
        <v>64</v>
      </c>
      <c r="C715" s="611" t="str">
        <f>IF(D715&lt;&gt;"","C",IF(E715&lt;&gt;"","I",""))</f>
        <v>I</v>
      </c>
      <c r="D715" s="660"/>
      <c r="E715" s="662">
        <v>2688</v>
      </c>
      <c r="F715" s="630"/>
      <c r="G715" s="613" t="str">
        <f>IF($E715="",IFERROR(VLOOKUP($D715,SERVIÇOS!$C:$H,2,0),IFERROR(VLOOKUP($D715,$F:$M,2,0),"")),IFERROR(VLOOKUP($E715,INSUMOS!$B:$E,2,0),IFERROR(VLOOKUP($E715,COTAÇÕES!$C:$L,2,0),"")))</f>
        <v xml:space="preserve">ELETRODUTO PVC FLEXIVEL CORRUGADO, COR AMARELA, DE 25 MM                                                                                                                                                                                                                                                                                                                                                                                                                                                  </v>
      </c>
      <c r="H715" s="593" t="str">
        <f>IF($E715="",IFERROR(VLOOKUP($D715,SERVIÇOS!$C:$H,3,0),IFERROR(VLOOKUP($D715,$F:$M,3,0),"")),IFERROR(VLOOKUP($E715,INSUMOS!$B:$E,3,0),IFERROR(VLOOKUP($E715,COTAÇÕES!$C:$L,5,0),"")))</f>
        <v xml:space="preserve">M     </v>
      </c>
      <c r="I715" s="614">
        <v>1</v>
      </c>
      <c r="J715" s="670">
        <f>IF($E715="",IFERROR(VLOOKUP($D715,SERVIÇOS!$C:$H,6,0),IFERROR(VLOOKUP($D715,$F:$M,8,0),"")),IFERROR(VLOOKUP($E715,INSUMOS!$B:$E,4,0),IFERROR(VLOOKUP($E715,COTAÇÕES!$C:$L,10,0),"")))</f>
        <v>3.1</v>
      </c>
      <c r="K715" s="615">
        <f>TRUNC(IF($E715="",IFERROR(VLOOKUP($D715,SERVIÇOS!$C:$H,4,0),IFERROR(VLOOKUP($D715,$F:$M,6,0),)),IFERROR(VLOOKUP($E715,INSUMOS!$B:$E,4,0),IFERROR(VLOOKUP($E715,COTAÇÕES!$C:$L,10,0),)))*$I715,2)</f>
        <v>3.1</v>
      </c>
      <c r="L715" s="616">
        <f>TRUNC(IF($E715="",IFERROR(VLOOKUP($D715,SERVIÇOS!$C:$H,5,0),IFERROR(VLOOKUP($D715,$F:$M,7,0),)),0)*$I715,2)</f>
        <v>0</v>
      </c>
      <c r="M715" s="617">
        <f>K715+L715</f>
        <v>3.1</v>
      </c>
      <c r="N715" s="753" t="str">
        <f>IF($D715&lt;&gt;"","SERVIÇO SINAPI",IF($E715&lt;&gt;"","INSUMO SINAPI",""))</f>
        <v>INSUMO SINAPI</v>
      </c>
      <c r="O715" s="943"/>
    </row>
    <row r="716" spans="2:15">
      <c r="B716" s="122">
        <f t="shared" si="343"/>
        <v>64</v>
      </c>
      <c r="C716" s="611" t="str">
        <f>IF(D716&lt;&gt;"","C",IF(E716&lt;&gt;"","I",""))</f>
        <v>C</v>
      </c>
      <c r="D716" s="660">
        <v>88247</v>
      </c>
      <c r="E716" s="661"/>
      <c r="F716" s="612"/>
      <c r="G716" s="613" t="str">
        <f>IF($E716="",IFERROR(VLOOKUP($D716,SERVIÇOS!$C:$H,2,0),IFERROR(VLOOKUP($D716,$F:$M,2,0),"")),IFERROR(VLOOKUP($E716,INSUMOS!$B:$E,2,0),IFERROR(VLOOKUP($E716,COTAÇÕES!$C:$L,2,0),"")))</f>
        <v>AUXILIAR DE ELETRICISTA COM ENCARGOS COMPLEMENTARES</v>
      </c>
      <c r="H716" s="593" t="str">
        <f>IF($E716="",IFERROR(VLOOKUP($D716,SERVIÇOS!$C:$H,3,0),IFERROR(VLOOKUP($D716,$F:$M,3,0),"")),IFERROR(VLOOKUP($E716,INSUMOS!$B:$E,3,0),IFERROR(VLOOKUP($E716,COTAÇÕES!$C:$L,5,0),"")))</f>
        <v>H</v>
      </c>
      <c r="I716" s="614">
        <v>0.15</v>
      </c>
      <c r="J716" s="670">
        <f>IF($E716="",IFERROR(VLOOKUP($D716,SERVIÇOS!$C:$H,6,0),IFERROR(VLOOKUP($D716,$F:$M,8,0),"")),IFERROR(VLOOKUP($E716,INSUMOS!$B:$E,4,0),IFERROR(VLOOKUP($E716,COTAÇÕES!$C:$L,10,0),"")))</f>
        <v>25.53</v>
      </c>
      <c r="K716" s="615">
        <f>TRUNC(IF($E716="",IFERROR(VLOOKUP($D716,SERVIÇOS!$C:$H,4,0),IFERROR(VLOOKUP($D716,$F:$M,6,0),)),IFERROR(VLOOKUP($E716,INSUMOS!$B:$E,4,0),IFERROR(VLOOKUP($E716,COTAÇÕES!$C:$L,10,0),)))*$I716,2)</f>
        <v>0.99</v>
      </c>
      <c r="L716" s="616">
        <f>TRUNC(IF($E716="",IFERROR(VLOOKUP($D716,SERVIÇOS!$C:$H,5,0),IFERROR(VLOOKUP($D716,$F:$M,7,0),)),0)*$I716,2)</f>
        <v>2.83</v>
      </c>
      <c r="M716" s="617">
        <f>K716+L716</f>
        <v>3.8200000000000003</v>
      </c>
      <c r="N716" s="753" t="str">
        <f>IF($D716&lt;&gt;"","SERVIÇO SINAPI",IF($E716&lt;&gt;"","INSUMO SINAPI",""))</f>
        <v>SERVIÇO SINAPI</v>
      </c>
      <c r="O716" s="943"/>
    </row>
    <row r="717" spans="2:15">
      <c r="B717" s="122">
        <f t="shared" si="343"/>
        <v>64</v>
      </c>
      <c r="C717" s="611" t="str">
        <f>IF(D717&lt;&gt;"","C",IF(E717&lt;&gt;"","I",""))</f>
        <v>C</v>
      </c>
      <c r="D717" s="660">
        <v>88264</v>
      </c>
      <c r="E717" s="661"/>
      <c r="F717" s="612"/>
      <c r="G717" s="613" t="str">
        <f>IF($E717="",IFERROR(VLOOKUP($D717,SERVIÇOS!$C:$H,2,0),IFERROR(VLOOKUP($D717,$F:$M,2,0),"")),IFERROR(VLOOKUP($E717,INSUMOS!$B:$E,2,0),IFERROR(VLOOKUP($E717,COTAÇÕES!$C:$L,2,0),"")))</f>
        <v>ELETRICISTA COM ENCARGOS COMPLEMENTARES</v>
      </c>
      <c r="H717" s="593" t="str">
        <f>IF($E717="",IFERROR(VLOOKUP($D717,SERVIÇOS!$C:$H,3,0),IFERROR(VLOOKUP($D717,$F:$M,3,0),"")),IFERROR(VLOOKUP($E717,INSUMOS!$B:$E,3,0),IFERROR(VLOOKUP($E717,COTAÇÕES!$C:$L,5,0),"")))</f>
        <v>H</v>
      </c>
      <c r="I717" s="614">
        <v>0.15</v>
      </c>
      <c r="J717" s="670">
        <f>IF($E717="",IFERROR(VLOOKUP($D717,SERVIÇOS!$C:$H,6,0),IFERROR(VLOOKUP($D717,$F:$M,8,0),"")),IFERROR(VLOOKUP($E717,INSUMOS!$B:$E,4,0),IFERROR(VLOOKUP($E717,COTAÇÕES!$C:$L,10,0),"")))</f>
        <v>31.32</v>
      </c>
      <c r="K717" s="615">
        <f>TRUNC(IF($E717="",IFERROR(VLOOKUP($D717,SERVIÇOS!$C:$H,4,0),IFERROR(VLOOKUP($D717,$F:$M,6,0),)),IFERROR(VLOOKUP($E717,INSUMOS!$B:$E,4,0),IFERROR(VLOOKUP($E717,COTAÇÕES!$C:$L,10,0),)))*$I717,2)</f>
        <v>0.99</v>
      </c>
      <c r="L717" s="616">
        <f>TRUNC(IF($E717="",IFERROR(VLOOKUP($D717,SERVIÇOS!$C:$H,5,0),IFERROR(VLOOKUP($D717,$F:$M,7,0),)),0)*$I717,2)</f>
        <v>3.69</v>
      </c>
      <c r="M717" s="617">
        <f>K717+L717</f>
        <v>4.68</v>
      </c>
      <c r="N717" s="753" t="str">
        <f>IF($D717&lt;&gt;"","SERVIÇO SINAPI",IF($E717&lt;&gt;"","INSUMO SINAPI",""))</f>
        <v>SERVIÇO SINAPI</v>
      </c>
      <c r="O717" s="943"/>
    </row>
    <row r="718" spans="2:15">
      <c r="B718" s="769">
        <f>SUMIF(ORC!$G$11:$G$2470,CPU!$F718,ORC!$J$11:$J$2470)</f>
        <v>25</v>
      </c>
      <c r="C718" s="515" t="s">
        <v>2239</v>
      </c>
      <c r="D718" s="515"/>
      <c r="E718" s="515"/>
      <c r="F718" s="515" t="s">
        <v>6812</v>
      </c>
      <c r="G718" s="516" t="s">
        <v>6957</v>
      </c>
      <c r="H718" s="515" t="s">
        <v>648</v>
      </c>
      <c r="I718" s="595"/>
      <c r="J718" s="596"/>
      <c r="K718" s="597">
        <f>SUM(K719:K721)</f>
        <v>7.97</v>
      </c>
      <c r="L718" s="597">
        <f>SUM(L719:L721)</f>
        <v>8.6999999999999993</v>
      </c>
      <c r="M718" s="597">
        <f>SUM(K718:L718)</f>
        <v>16.669999999999998</v>
      </c>
      <c r="N718" s="598" t="s">
        <v>6823</v>
      </c>
      <c r="O718" s="949" t="s">
        <v>6846</v>
      </c>
    </row>
    <row r="719" spans="2:15">
      <c r="B719" s="122">
        <f t="shared" ref="B719:B721" si="344">B718</f>
        <v>25</v>
      </c>
      <c r="C719" s="611" t="str">
        <f>IF(D719&lt;&gt;"","C",IF(E719&lt;&gt;"","I",""))</f>
        <v>I</v>
      </c>
      <c r="D719" s="660"/>
      <c r="E719" s="662">
        <v>2690</v>
      </c>
      <c r="F719" s="630"/>
      <c r="G719" s="613" t="str">
        <f>IF($E719="",IFERROR(VLOOKUP($D719,SERVIÇOS!$C:$H,2,0),IFERROR(VLOOKUP($D719,$F:$M,2,0),"")),IFERROR(VLOOKUP($E719,INSUMOS!$B:$E,2,0),IFERROR(VLOOKUP($E719,COTAÇÕES!$C:$L,2,0),"")))</f>
        <v xml:space="preserve">ELETRODUTO PVC FLEXIVEL CORRUGADO, COR AMARELA, DE 32 MM                                                                                                                                                                                                                                                                                                                                                                                                                                                  </v>
      </c>
      <c r="H719" s="593" t="str">
        <f>IF($E719="",IFERROR(VLOOKUP($D719,SERVIÇOS!$C:$H,3,0),IFERROR(VLOOKUP($D719,$F:$M,3,0),"")),IFERROR(VLOOKUP($E719,INSUMOS!$B:$E,3,0),IFERROR(VLOOKUP($E719,COTAÇÕES!$C:$L,5,0),"")))</f>
        <v xml:space="preserve">M     </v>
      </c>
      <c r="I719" s="614">
        <v>1</v>
      </c>
      <c r="J719" s="670">
        <f>IF($E719="",IFERROR(VLOOKUP($D719,SERVIÇOS!$C:$H,6,0),IFERROR(VLOOKUP($D719,$F:$M,8,0),"")),IFERROR(VLOOKUP($E719,INSUMOS!$B:$E,4,0),IFERROR(VLOOKUP($E719,COTAÇÕES!$C:$L,10,0),"")))</f>
        <v>5.31</v>
      </c>
      <c r="K719" s="615">
        <f>TRUNC(IF($E719="",IFERROR(VLOOKUP($D719,SERVIÇOS!$C:$H,4,0),IFERROR(VLOOKUP($D719,$F:$M,6,0),)),IFERROR(VLOOKUP($E719,INSUMOS!$B:$E,4,0),IFERROR(VLOOKUP($E719,COTAÇÕES!$C:$L,10,0),)))*$I719,2)</f>
        <v>5.31</v>
      </c>
      <c r="L719" s="616">
        <f>TRUNC(IF($E719="",IFERROR(VLOOKUP($D719,SERVIÇOS!$C:$H,5,0),IFERROR(VLOOKUP($D719,$F:$M,7,0),)),0)*$I719,2)</f>
        <v>0</v>
      </c>
      <c r="M719" s="617">
        <f>K719+L719</f>
        <v>5.31</v>
      </c>
      <c r="N719" s="753" t="str">
        <f>IF($D719&lt;&gt;"","SERVIÇO SINAPI",IF($E719&lt;&gt;"","INSUMO SINAPI",""))</f>
        <v>INSUMO SINAPI</v>
      </c>
      <c r="O719" s="943"/>
    </row>
    <row r="720" spans="2:15">
      <c r="B720" s="122">
        <f t="shared" si="344"/>
        <v>25</v>
      </c>
      <c r="C720" s="611" t="str">
        <f>IF(D720&lt;&gt;"","C",IF(E720&lt;&gt;"","I",""))</f>
        <v>C</v>
      </c>
      <c r="D720" s="660">
        <v>88247</v>
      </c>
      <c r="E720" s="661"/>
      <c r="F720" s="612"/>
      <c r="G720" s="613" t="str">
        <f>IF($E720="",IFERROR(VLOOKUP($D720,SERVIÇOS!$C:$H,2,0),IFERROR(VLOOKUP($D720,$F:$M,2,0),"")),IFERROR(VLOOKUP($E720,INSUMOS!$B:$E,2,0),IFERROR(VLOOKUP($E720,COTAÇÕES!$C:$L,2,0),"")))</f>
        <v>AUXILIAR DE ELETRICISTA COM ENCARGOS COMPLEMENTARES</v>
      </c>
      <c r="H720" s="593" t="str">
        <f>IF($E720="",IFERROR(VLOOKUP($D720,SERVIÇOS!$C:$H,3,0),IFERROR(VLOOKUP($D720,$F:$M,3,0),"")),IFERROR(VLOOKUP($E720,INSUMOS!$B:$E,3,0),IFERROR(VLOOKUP($E720,COTAÇÕES!$C:$L,5,0),"")))</f>
        <v>H</v>
      </c>
      <c r="I720" s="614">
        <v>0.2</v>
      </c>
      <c r="J720" s="670">
        <f>IF($E720="",IFERROR(VLOOKUP($D720,SERVIÇOS!$C:$H,6,0),IFERROR(VLOOKUP($D720,$F:$M,8,0),"")),IFERROR(VLOOKUP($E720,INSUMOS!$B:$E,4,0),IFERROR(VLOOKUP($E720,COTAÇÕES!$C:$L,10,0),"")))</f>
        <v>25.53</v>
      </c>
      <c r="K720" s="615">
        <f>TRUNC(IF($E720="",IFERROR(VLOOKUP($D720,SERVIÇOS!$C:$H,4,0),IFERROR(VLOOKUP($D720,$F:$M,6,0),)),IFERROR(VLOOKUP($E720,INSUMOS!$B:$E,4,0),IFERROR(VLOOKUP($E720,COTAÇÕES!$C:$L,10,0),)))*$I720,2)</f>
        <v>1.33</v>
      </c>
      <c r="L720" s="616">
        <f>TRUNC(IF($E720="",IFERROR(VLOOKUP($D720,SERVIÇOS!$C:$H,5,0),IFERROR(VLOOKUP($D720,$F:$M,7,0),)),0)*$I720,2)</f>
        <v>3.77</v>
      </c>
      <c r="M720" s="617">
        <f>K720+L720</f>
        <v>5.0999999999999996</v>
      </c>
      <c r="N720" s="753" t="str">
        <f>IF($D720&lt;&gt;"","SERVIÇO SINAPI",IF($E720&lt;&gt;"","INSUMO SINAPI",""))</f>
        <v>SERVIÇO SINAPI</v>
      </c>
      <c r="O720" s="943"/>
    </row>
    <row r="721" spans="2:15">
      <c r="B721" s="122">
        <f t="shared" si="344"/>
        <v>25</v>
      </c>
      <c r="C721" s="611" t="str">
        <f>IF(D721&lt;&gt;"","C",IF(E721&lt;&gt;"","I",""))</f>
        <v>C</v>
      </c>
      <c r="D721" s="660">
        <v>88264</v>
      </c>
      <c r="E721" s="661"/>
      <c r="F721" s="612"/>
      <c r="G721" s="613" t="str">
        <f>IF($E721="",IFERROR(VLOOKUP($D721,SERVIÇOS!$C:$H,2,0),IFERROR(VLOOKUP($D721,$F:$M,2,0),"")),IFERROR(VLOOKUP($E721,INSUMOS!$B:$E,2,0),IFERROR(VLOOKUP($E721,COTAÇÕES!$C:$L,2,0),"")))</f>
        <v>ELETRICISTA COM ENCARGOS COMPLEMENTARES</v>
      </c>
      <c r="H721" s="593" t="str">
        <f>IF($E721="",IFERROR(VLOOKUP($D721,SERVIÇOS!$C:$H,3,0),IFERROR(VLOOKUP($D721,$F:$M,3,0),"")),IFERROR(VLOOKUP($E721,INSUMOS!$B:$E,3,0),IFERROR(VLOOKUP($E721,COTAÇÕES!$C:$L,5,0),"")))</f>
        <v>H</v>
      </c>
      <c r="I721" s="614">
        <v>0.2</v>
      </c>
      <c r="J721" s="670">
        <f>IF($E721="",IFERROR(VLOOKUP($D721,SERVIÇOS!$C:$H,6,0),IFERROR(VLOOKUP($D721,$F:$M,8,0),"")),IFERROR(VLOOKUP($E721,INSUMOS!$B:$E,4,0),IFERROR(VLOOKUP($E721,COTAÇÕES!$C:$L,10,0),"")))</f>
        <v>31.32</v>
      </c>
      <c r="K721" s="615">
        <f>TRUNC(IF($E721="",IFERROR(VLOOKUP($D721,SERVIÇOS!$C:$H,4,0),IFERROR(VLOOKUP($D721,$F:$M,6,0),)),IFERROR(VLOOKUP($E721,INSUMOS!$B:$E,4,0),IFERROR(VLOOKUP($E721,COTAÇÕES!$C:$L,10,0),)))*$I721,2)</f>
        <v>1.33</v>
      </c>
      <c r="L721" s="616">
        <f>TRUNC(IF($E721="",IFERROR(VLOOKUP($D721,SERVIÇOS!$C:$H,5,0),IFERROR(VLOOKUP($D721,$F:$M,7,0),)),0)*$I721,2)</f>
        <v>4.93</v>
      </c>
      <c r="M721" s="617">
        <f>K721+L721</f>
        <v>6.26</v>
      </c>
      <c r="N721" s="753" t="str">
        <f>IF($D721&lt;&gt;"","SERVIÇO SINAPI",IF($E721&lt;&gt;"","INSUMO SINAPI",""))</f>
        <v>SERVIÇO SINAPI</v>
      </c>
      <c r="O721" s="943"/>
    </row>
    <row r="722" spans="2:15" ht="38.25" hidden="1">
      <c r="B722" s="769">
        <f>SUMIF(ORC!$G$11:$G$2470,CPU!$F722,ORC!$J$11:$J$2470)</f>
        <v>0</v>
      </c>
      <c r="C722" s="515" t="s">
        <v>2239</v>
      </c>
      <c r="D722" s="515"/>
      <c r="E722" s="515"/>
      <c r="F722" s="515" t="s">
        <v>6813</v>
      </c>
      <c r="G722" s="516" t="s">
        <v>14535</v>
      </c>
      <c r="H722" s="515" t="s">
        <v>646</v>
      </c>
      <c r="I722" s="595"/>
      <c r="J722" s="596"/>
      <c r="K722" s="597">
        <f>SUM(K723:K727)</f>
        <v>1521.67</v>
      </c>
      <c r="L722" s="597">
        <f>SUM(L723:L727)</f>
        <v>96.39</v>
      </c>
      <c r="M722" s="597">
        <f>SUM(K722:L722)</f>
        <v>1618.0600000000002</v>
      </c>
      <c r="N722" s="598" t="s">
        <v>8956</v>
      </c>
      <c r="O722" s="949" t="s">
        <v>6840</v>
      </c>
    </row>
    <row r="723" spans="2:15" hidden="1">
      <c r="B723" s="122">
        <f t="shared" ref="B723:B727" si="345">B722</f>
        <v>0</v>
      </c>
      <c r="C723" s="611" t="str">
        <f>IF(D723&lt;&gt;"","C",IF(E723&lt;&gt;"","I",""))</f>
        <v>C</v>
      </c>
      <c r="D723" s="660">
        <v>88247</v>
      </c>
      <c r="E723" s="662"/>
      <c r="F723" s="630"/>
      <c r="G723" s="613" t="str">
        <f>IF($E723="",IFERROR(VLOOKUP($D723,SERVIÇOS!$C:$H,2,0),IFERROR(VLOOKUP($D723,$F:$M,2,0),"")),IFERROR(VLOOKUP($E723,INSUMOS!$B:$E,2,0),IFERROR(VLOOKUP($E723,COTAÇÕES!$C:$L,2,0),"")))</f>
        <v>AUXILIAR DE ELETRICISTA COM ENCARGOS COMPLEMENTARES</v>
      </c>
      <c r="H723" s="593" t="str">
        <f>IF($E723="",IFERROR(VLOOKUP($D723,SERVIÇOS!$C:$H,3,0),IFERROR(VLOOKUP($D723,$F:$M,3,0),"")),IFERROR(VLOOKUP($E723,INSUMOS!$B:$E,3,0),IFERROR(VLOOKUP($E723,COTAÇÕES!$C:$L,5,0),"")))</f>
        <v>H</v>
      </c>
      <c r="I723" s="614">
        <v>0.93100000000000005</v>
      </c>
      <c r="J723" s="670">
        <f>IF($E723="",IFERROR(VLOOKUP($D723,SERVIÇOS!$C:$H,6,0),IFERROR(VLOOKUP($D723,$F:$M,8,0),"")),IFERROR(VLOOKUP($E723,INSUMOS!$B:$E,4,0),IFERROR(VLOOKUP($E723,COTAÇÕES!$C:$L,10,0),"")))</f>
        <v>25.53</v>
      </c>
      <c r="K723" s="615">
        <f>TRUNC(IF($E723="",IFERROR(VLOOKUP($D723,SERVIÇOS!$C:$H,4,0),IFERROR(VLOOKUP($D723,$F:$M,6,0),)),IFERROR(VLOOKUP($E723,INSUMOS!$B:$E,4,0),IFERROR(VLOOKUP($E723,COTAÇÕES!$C:$L,10,0),)))*$I723,2)</f>
        <v>6.2</v>
      </c>
      <c r="L723" s="616">
        <f>TRUNC(IF($E723="",IFERROR(VLOOKUP($D723,SERVIÇOS!$C:$H,5,0),IFERROR(VLOOKUP($D723,$F:$M,7,0),)),0)*$I723,2)</f>
        <v>17.559999999999999</v>
      </c>
      <c r="M723" s="617">
        <f>K723+L723</f>
        <v>23.759999999999998</v>
      </c>
      <c r="N723" s="753" t="str">
        <f>IF($D723&lt;&gt;"","SERVIÇO SINAPI",IF($E723&lt;&gt;"","INSUMO SINAPI",""))</f>
        <v>SERVIÇO SINAPI</v>
      </c>
      <c r="O723" s="943"/>
    </row>
    <row r="724" spans="2:15" hidden="1">
      <c r="B724" s="122">
        <f t="shared" si="345"/>
        <v>0</v>
      </c>
      <c r="C724" s="611" t="str">
        <f>IF(D724&lt;&gt;"","C",IF(E724&lt;&gt;"","I",""))</f>
        <v>C</v>
      </c>
      <c r="D724" s="660">
        <v>88264</v>
      </c>
      <c r="E724" s="661"/>
      <c r="F724" s="612"/>
      <c r="G724" s="613" t="str">
        <f>IF($E724="",IFERROR(VLOOKUP($D724,SERVIÇOS!$C:$H,2,0),IFERROR(VLOOKUP($D724,$F:$M,2,0),"")),IFERROR(VLOOKUP($E724,INSUMOS!$B:$E,2,0),IFERROR(VLOOKUP($E724,COTAÇÕES!$C:$L,2,0),"")))</f>
        <v>ELETRICISTA COM ENCARGOS COMPLEMENTARES</v>
      </c>
      <c r="H724" s="593" t="str">
        <f>IF($E724="",IFERROR(VLOOKUP($D724,SERVIÇOS!$C:$H,3,0),IFERROR(VLOOKUP($D724,$F:$M,3,0),"")),IFERROR(VLOOKUP($E724,INSUMOS!$B:$E,3,0),IFERROR(VLOOKUP($E724,COTAÇÕES!$C:$L,5,0),"")))</f>
        <v>H</v>
      </c>
      <c r="I724" s="614">
        <v>3.0249999999999999</v>
      </c>
      <c r="J724" s="670">
        <f>IF($E724="",IFERROR(VLOOKUP($D724,SERVIÇOS!$C:$H,6,0),IFERROR(VLOOKUP($D724,$F:$M,8,0),"")),IFERROR(VLOOKUP($E724,INSUMOS!$B:$E,4,0),IFERROR(VLOOKUP($E724,COTAÇÕES!$C:$L,10,0),"")))</f>
        <v>31.32</v>
      </c>
      <c r="K724" s="615">
        <f>TRUNC(IF($E724="",IFERROR(VLOOKUP($D724,SERVIÇOS!$C:$H,4,0),IFERROR(VLOOKUP($D724,$F:$M,6,0),)),IFERROR(VLOOKUP($E724,INSUMOS!$B:$E,4,0),IFERROR(VLOOKUP($E724,COTAÇÕES!$C:$L,10,0),)))*$I724,2)</f>
        <v>20.14</v>
      </c>
      <c r="L724" s="616">
        <f>TRUNC(IF($E724="",IFERROR(VLOOKUP($D724,SERVIÇOS!$C:$H,5,0),IFERROR(VLOOKUP($D724,$F:$M,7,0),)),0)*$I724,2)</f>
        <v>74.59</v>
      </c>
      <c r="M724" s="617">
        <f>K724+L724</f>
        <v>94.73</v>
      </c>
      <c r="N724" s="753" t="str">
        <f>IF($D724&lt;&gt;"","SERVIÇO SINAPI",IF($E724&lt;&gt;"","INSUMO SINAPI",""))</f>
        <v>SERVIÇO SINAPI</v>
      </c>
      <c r="O724" s="943"/>
    </row>
    <row r="725" spans="2:15" ht="38.25" hidden="1">
      <c r="B725" s="122">
        <f t="shared" si="345"/>
        <v>0</v>
      </c>
      <c r="C725" s="611" t="str">
        <f>IF(D725&lt;&gt;"","C",IF(E725&lt;&gt;"","I",""))</f>
        <v>C</v>
      </c>
      <c r="D725" s="661">
        <v>5928</v>
      </c>
      <c r="E725" s="661"/>
      <c r="F725" s="628"/>
      <c r="G725" s="613" t="str">
        <f>IF($E725="",IFERROR(VLOOKUP($D725,SERVIÇOS!$C:$H,2,0),IFERROR(VLOOKUP($D725,$F:$M,2,0),"")),IFERROR(VLOOKUP($E725,INSUMOS!$B:$E,2,0),IFERROR(VLOOKUP($E725,COTAÇÕES!$C:$L,2,0),"")))</f>
        <v>GUINDAUTO HIDRÁULICO, CAPACIDADE MÁXIMA DE CARGA 6200 KG, MOMENTO MÁXIMO DE CARGA 11,7 TM, ALCANCE MÁXIMO HORIZONTAL 9,70 M, INCLUSIVE CAMINHÃO TOCO PBT 16.000 KG, POTÊNCIA DE 189 CV - CHP DIURNO. AF_06/2014</v>
      </c>
      <c r="H725" s="593" t="str">
        <f>IF($E725="",IFERROR(VLOOKUP($D725,SERVIÇOS!$C:$H,3,0),IFERROR(VLOOKUP($D725,$F:$M,3,0),"")),IFERROR(VLOOKUP($E725,INSUMOS!$B:$E,3,0),IFERROR(VLOOKUP($E725,COTAÇÕES!$C:$L,5,0),"")))</f>
        <v>CHP</v>
      </c>
      <c r="I725" s="614">
        <v>0.18</v>
      </c>
      <c r="J725" s="670">
        <f>IF($E725="",IFERROR(VLOOKUP($D725,SERVIÇOS!$C:$H,6,0),IFERROR(VLOOKUP($D725,$F:$M,8,0),"")),IFERROR(VLOOKUP($E725,INSUMOS!$B:$E,4,0),IFERROR(VLOOKUP($E725,COTAÇÕES!$C:$L,10,0),"")))</f>
        <v>293.83999999999997</v>
      </c>
      <c r="K725" s="615">
        <f>TRUNC(IF($E725="",IFERROR(VLOOKUP($D725,SERVIÇOS!$C:$H,4,0),IFERROR(VLOOKUP($D725,$F:$M,6,0),)),IFERROR(VLOOKUP($E725,INSUMOS!$B:$E,4,0),IFERROR(VLOOKUP($E725,COTAÇÕES!$C:$L,10,0),)))*$I725,2)</f>
        <v>48.64</v>
      </c>
      <c r="L725" s="616">
        <f>TRUNC(IF($E725="",IFERROR(VLOOKUP($D725,SERVIÇOS!$C:$H,5,0),IFERROR(VLOOKUP($D725,$F:$M,7,0),)),0)*$I725,2)</f>
        <v>4.24</v>
      </c>
      <c r="M725" s="617">
        <f>K725+L725</f>
        <v>52.88</v>
      </c>
      <c r="N725" s="753" t="str">
        <f>IF($D725&lt;&gt;"","SERVIÇO SINAPI",IF($E725&lt;&gt;"","INSUMO SINAPI",""))</f>
        <v>SERVIÇO SINAPI</v>
      </c>
      <c r="O725" s="950"/>
    </row>
    <row r="726" spans="2:15" ht="31.5" hidden="1" customHeight="1">
      <c r="B726" s="122">
        <f t="shared" si="345"/>
        <v>0</v>
      </c>
      <c r="C726" s="611" t="str">
        <f>IF(D726&lt;&gt;"","C",IF(E726&lt;&gt;"","I",""))</f>
        <v>I</v>
      </c>
      <c r="D726" s="661"/>
      <c r="E726" s="662" t="s">
        <v>9076</v>
      </c>
      <c r="F726" s="628"/>
      <c r="G726" s="894" t="str">
        <f>IF($E726="",IFERROR(VLOOKUP($D726,SERVIÇOS!$C:$H,2,0),IFERROR(VLOOKUP($D726,$F:$M,2,0),"")),IFERROR(VLOOKUP($E726,INSUMOS!$B:$E,2,0),IFERROR(VLOOKUP($E726,COTAÇÕES!$C:$L,2,0),"")))</f>
        <v>POSTE DE ILUMINAÇÃO DE LED 3000K, ALTURA 2,50M, EM AÇO FOSFATIZADO, COM BASE E CHUMBADORES, COM 1 PÉTALA, GRAU DE PROTEÇÃO IP65, COR PRETA, COM LÂMPADA LED POTÊNCIA 18W, 3000K</v>
      </c>
      <c r="H726" s="593" t="str">
        <f>IF($E726="",IFERROR(VLOOKUP($D726,SERVIÇOS!$C:$H,3,0),IFERROR(VLOOKUP($D726,$F:$M,3,0),"")),IFERROR(VLOOKUP($E726,INSUMOS!$B:$E,3,0),IFERROR(VLOOKUP($E726,COTAÇÕES!$C:$L,5,0),"")))</f>
        <v xml:space="preserve">UN </v>
      </c>
      <c r="I726" s="614">
        <v>1</v>
      </c>
      <c r="J726" s="670">
        <f>IF($E726="",IFERROR(VLOOKUP($D726,SERVIÇOS!$C:$H,6,0),IFERROR(VLOOKUP($D726,$F:$M,8,0),"")),IFERROR(VLOOKUP($E726,INSUMOS!$B:$E,4,0),IFERROR(VLOOKUP($E726,COTAÇÕES!$C:$L,10,0),"")))</f>
        <v>528.255</v>
      </c>
      <c r="K726" s="615">
        <f>TRUNC(IF($E726="",IFERROR(VLOOKUP($D726,SERVIÇOS!$C:$H,4,0),IFERROR(VLOOKUP($D726,$F:$M,6,0),)),IFERROR(VLOOKUP($E726,INSUMOS!$B:$E,4,0),IFERROR(VLOOKUP($E726,COTAÇÕES!$C:$L,10,0),)))*$I726,2)</f>
        <v>528.25</v>
      </c>
      <c r="L726" s="616">
        <f>TRUNC(IF($E726="",IFERROR(VLOOKUP($D726,SERVIÇOS!$C:$H,5,0),IFERROR(VLOOKUP($D726,$F:$M,7,0),)),0)*$I726,2)</f>
        <v>0</v>
      </c>
      <c r="M726" s="617">
        <f>K726+L726</f>
        <v>528.25</v>
      </c>
      <c r="N726" s="753" t="s">
        <v>6845</v>
      </c>
      <c r="O726" s="950"/>
    </row>
    <row r="727" spans="2:15" hidden="1">
      <c r="B727" s="122">
        <f t="shared" si="345"/>
        <v>0</v>
      </c>
      <c r="C727" s="611" t="str">
        <f>IF(D727&lt;&gt;"","C",IF(E727&lt;&gt;"","I",""))</f>
        <v>I</v>
      </c>
      <c r="D727" s="661"/>
      <c r="E727" s="661">
        <v>39746</v>
      </c>
      <c r="F727" s="628"/>
      <c r="G727" s="613" t="str">
        <f>IF($E727="",IFERROR(VLOOKUP($D727,SERVIÇOS!$C:$H,2,0),IFERROR(VLOOKUP($D727,$F:$M,2,0),"")),IFERROR(VLOOKUP($E727,INSUMOS!$B:$E,2,0),IFERROR(VLOOKUP($E727,COTAÇÕES!$C:$L,2,0),"")))</f>
        <v xml:space="preserve">CHUMBADOR DE ACO, 1" X 600 MM, PARA POSTES DE ACO COM BASE, INCLUSO PORCA E ARRUELA                                                                                                                                                                                                                                                                                                                                                                                                                       </v>
      </c>
      <c r="H727" s="593" t="str">
        <f>IF($E727="",IFERROR(VLOOKUP($D727,SERVIÇOS!$C:$H,3,0),IFERROR(VLOOKUP($D727,$F:$M,3,0),"")),IFERROR(VLOOKUP($E727,INSUMOS!$B:$E,3,0),IFERROR(VLOOKUP($E727,COTAÇÕES!$C:$L,5,0),"")))</f>
        <v xml:space="preserve">UN    </v>
      </c>
      <c r="I727" s="614">
        <v>4</v>
      </c>
      <c r="J727" s="670">
        <f>IF($E727="",IFERROR(VLOOKUP($D727,SERVIÇOS!$C:$H,6,0),IFERROR(VLOOKUP($D727,$F:$M,8,0),"")),IFERROR(VLOOKUP($E727,INSUMOS!$B:$E,4,0),IFERROR(VLOOKUP($E727,COTAÇÕES!$C:$L,10,0),"")))</f>
        <v>229.61</v>
      </c>
      <c r="K727" s="615">
        <f>TRUNC(IF($E727="",IFERROR(VLOOKUP($D727,SERVIÇOS!$C:$H,4,0),IFERROR(VLOOKUP($D727,$F:$M,6,0),)),IFERROR(VLOOKUP($E727,INSUMOS!$B:$E,4,0),IFERROR(VLOOKUP($E727,COTAÇÕES!$C:$L,10,0),)))*$I727,2)</f>
        <v>918.44</v>
      </c>
      <c r="L727" s="616">
        <f>TRUNC(IF($E727="",IFERROR(VLOOKUP($D727,SERVIÇOS!$C:$H,5,0),IFERROR(VLOOKUP($D727,$F:$M,7,0),)),0)*$I727,2)</f>
        <v>0</v>
      </c>
      <c r="M727" s="617">
        <f>K727+L727</f>
        <v>918.44</v>
      </c>
      <c r="N727" s="753" t="str">
        <f>IF($D727&lt;&gt;"","SERVIÇO SINAPI",IF($E727&lt;&gt;"","INSUMO SINAPI",""))</f>
        <v>INSUMO SINAPI</v>
      </c>
      <c r="O727" s="950"/>
    </row>
    <row r="728" spans="2:15" ht="25.5" hidden="1">
      <c r="B728" s="769">
        <f>SUMIF(ORC!$G$11:$G$2470,CPU!$F728,ORC!$J$11:$J$2470)</f>
        <v>0</v>
      </c>
      <c r="C728" s="515" t="s">
        <v>2239</v>
      </c>
      <c r="D728" s="515"/>
      <c r="E728" s="515"/>
      <c r="F728" s="515" t="s">
        <v>6816</v>
      </c>
      <c r="G728" s="516" t="s">
        <v>7596</v>
      </c>
      <c r="H728" s="515" t="s">
        <v>646</v>
      </c>
      <c r="I728" s="595"/>
      <c r="J728" s="596"/>
      <c r="K728" s="597">
        <f>SUM(K729:K731)</f>
        <v>2563.12</v>
      </c>
      <c r="L728" s="597">
        <f>SUM(L729:L731)</f>
        <v>44.66</v>
      </c>
      <c r="M728" s="597">
        <f>SUM(K728:L728)</f>
        <v>2607.7799999999997</v>
      </c>
      <c r="N728" s="598" t="s">
        <v>7550</v>
      </c>
      <c r="O728" s="622"/>
    </row>
    <row r="729" spans="2:15" hidden="1">
      <c r="B729" s="122">
        <f t="shared" ref="B729:B731" si="346">B728</f>
        <v>0</v>
      </c>
      <c r="C729" s="611" t="str">
        <f>IF(D729&lt;&gt;"","C",IF(E729&lt;&gt;"","I",""))</f>
        <v>C</v>
      </c>
      <c r="D729" s="660">
        <v>88264</v>
      </c>
      <c r="E729" s="661"/>
      <c r="F729" s="612"/>
      <c r="G729" s="613" t="str">
        <f>IF($E729="",IFERROR(VLOOKUP($D729,SERVIÇOS!$C:$H,2,0),IFERROR(VLOOKUP($D729,$F:$M,2,0),"")),IFERROR(VLOOKUP($E729,INSUMOS!$B:$E,2,0),IFERROR(VLOOKUP($E729,COTAÇÕES!$C:$L,2,0),"")))</f>
        <v>ELETRICISTA COM ENCARGOS COMPLEMENTARES</v>
      </c>
      <c r="H729" s="593" t="str">
        <f>IF($E729="",IFERROR(VLOOKUP($D729,SERVIÇOS!$C:$H,3,0),IFERROR(VLOOKUP($D729,$F:$M,3,0),"")),IFERROR(VLOOKUP($E729,INSUMOS!$B:$E,3,0),IFERROR(VLOOKUP($E729,COTAÇÕES!$C:$L,5,0),"")))</f>
        <v>H</v>
      </c>
      <c r="I729" s="644">
        <v>1.026</v>
      </c>
      <c r="J729" s="670">
        <f>IF($E729="",IFERROR(VLOOKUP($D729,SERVIÇOS!$C:$H,6,0),IFERROR(VLOOKUP($D729,$F:$M,8,0),"")),IFERROR(VLOOKUP($E729,INSUMOS!$B:$E,4,0),IFERROR(VLOOKUP($E729,COTAÇÕES!$C:$L,10,0),"")))</f>
        <v>31.32</v>
      </c>
      <c r="K729" s="615">
        <f>TRUNC(IF($E729="",IFERROR(VLOOKUP($D729,SERVIÇOS!$C:$H,4,0),IFERROR(VLOOKUP($D729,$F:$M,6,0),)),IFERROR(VLOOKUP($E729,INSUMOS!$B:$E,4,0),IFERROR(VLOOKUP($E729,COTAÇÕES!$C:$L,10,0),)))*$I729,2)</f>
        <v>6.83</v>
      </c>
      <c r="L729" s="616">
        <f>TRUNC(IF($E729="",IFERROR(VLOOKUP($D729,SERVIÇOS!$C:$H,5,0),IFERROR(VLOOKUP($D729,$F:$M,7,0),)),0)*$I729,2)</f>
        <v>25.3</v>
      </c>
      <c r="M729" s="617">
        <f>K729+L729</f>
        <v>32.130000000000003</v>
      </c>
      <c r="N729" s="753" t="str">
        <f>IF($D729&lt;&gt;"","SERVIÇO SINAPI",IF($E729&lt;&gt;"","INSUMO SINAPI",""))</f>
        <v>SERVIÇO SINAPI</v>
      </c>
      <c r="O729" s="632"/>
    </row>
    <row r="730" spans="2:15" hidden="1">
      <c r="B730" s="122">
        <f t="shared" si="346"/>
        <v>0</v>
      </c>
      <c r="C730" s="611" t="str">
        <f>IF(D730&lt;&gt;"","C",IF(E730&lt;&gt;"","I",""))</f>
        <v>C</v>
      </c>
      <c r="D730" s="660">
        <v>88247</v>
      </c>
      <c r="E730" s="661"/>
      <c r="F730" s="612"/>
      <c r="G730" s="613" t="str">
        <f>IF($E730="",IFERROR(VLOOKUP($D730,SERVIÇOS!$C:$H,2,0),IFERROR(VLOOKUP($D730,$F:$M,2,0),"")),IFERROR(VLOOKUP($E730,INSUMOS!$B:$E,2,0),IFERROR(VLOOKUP($E730,COTAÇÕES!$C:$L,2,0),"")))</f>
        <v>AUXILIAR DE ELETRICISTA COM ENCARGOS COMPLEMENTARES</v>
      </c>
      <c r="H730" s="593" t="str">
        <f>IF($E730="",IFERROR(VLOOKUP($D730,SERVIÇOS!$C:$H,3,0),IFERROR(VLOOKUP($D730,$F:$M,3,0),"")),IFERROR(VLOOKUP($E730,INSUMOS!$B:$E,3,0),IFERROR(VLOOKUP($E730,COTAÇÕES!$C:$L,5,0),"")))</f>
        <v>H</v>
      </c>
      <c r="I730" s="644">
        <v>1.026</v>
      </c>
      <c r="J730" s="670">
        <f>IF($E730="",IFERROR(VLOOKUP($D730,SERVIÇOS!$C:$H,6,0),IFERROR(VLOOKUP($D730,$F:$M,8,0),"")),IFERROR(VLOOKUP($E730,INSUMOS!$B:$E,4,0),IFERROR(VLOOKUP($E730,COTAÇÕES!$C:$L,10,0),"")))</f>
        <v>25.53</v>
      </c>
      <c r="K730" s="615">
        <f>TRUNC(IF($E730="",IFERROR(VLOOKUP($D730,SERVIÇOS!$C:$H,4,0),IFERROR(VLOOKUP($D730,$F:$M,6,0),)),IFERROR(VLOOKUP($E730,INSUMOS!$B:$E,4,0),IFERROR(VLOOKUP($E730,COTAÇÕES!$C:$L,10,0),)))*$I730,2)</f>
        <v>6.83</v>
      </c>
      <c r="L730" s="616">
        <f>TRUNC(IF($E730="",IFERROR(VLOOKUP($D730,SERVIÇOS!$C:$H,5,0),IFERROR(VLOOKUP($D730,$F:$M,7,0),)),0)*$I730,2)</f>
        <v>19.36</v>
      </c>
      <c r="M730" s="617">
        <f>K730+L730</f>
        <v>26.189999999999998</v>
      </c>
      <c r="N730" s="753" t="str">
        <f>IF($D730&lt;&gt;"","SERVIÇO SINAPI",IF($E730&lt;&gt;"","INSUMO SINAPI",""))</f>
        <v>SERVIÇO SINAPI</v>
      </c>
      <c r="O730" s="632"/>
    </row>
    <row r="731" spans="2:15" hidden="1">
      <c r="B731" s="122">
        <f t="shared" si="346"/>
        <v>0</v>
      </c>
      <c r="C731" s="611" t="str">
        <f>IF(D731&lt;&gt;"","C",IF(E731&lt;&gt;"","I",""))</f>
        <v>I</v>
      </c>
      <c r="D731" s="660"/>
      <c r="E731" s="661" t="s">
        <v>9077</v>
      </c>
      <c r="F731" s="612"/>
      <c r="G731" s="613" t="str">
        <f>IF($E731="",IFERROR(VLOOKUP($D731,SERVIÇOS!$C:$H,2,0),IFERROR(VLOOKUP($D731,$F:$M,2,0),"")),IFERROR(VLOOKUP($E731,INSUMOS!$B:$E,2,0),IFERROR(VLOOKUP($E731,COTAÇÕES!$C:$L,2,0),"")))</f>
        <v>RACK PISO FECHADO 19" 44U X 600MM</v>
      </c>
      <c r="H731" s="593" t="str">
        <f>IF($E731="",IFERROR(VLOOKUP($D731,SERVIÇOS!$C:$H,3,0),IFERROR(VLOOKUP($D731,$F:$M,3,0),"")),IFERROR(VLOOKUP($E731,INSUMOS!$B:$E,3,0),IFERROR(VLOOKUP($E731,COTAÇÕES!$C:$L,5,0),"")))</f>
        <v>UN</v>
      </c>
      <c r="I731" s="644">
        <v>1</v>
      </c>
      <c r="J731" s="670">
        <f>IF($E731="",IFERROR(VLOOKUP($D731,SERVIÇOS!$C:$H,6,0),IFERROR(VLOOKUP($D731,$F:$M,8,0),"")),IFERROR(VLOOKUP($E731,INSUMOS!$B:$E,4,0),IFERROR(VLOOKUP($E731,COTAÇÕES!$C:$L,10,0),"")))</f>
        <v>2549.4599999999996</v>
      </c>
      <c r="K731" s="615">
        <f>TRUNC(IF($E731="",IFERROR(VLOOKUP($D731,SERVIÇOS!$C:$H,4,0),IFERROR(VLOOKUP($D731,$F:$M,6,0),)),IFERROR(VLOOKUP($E731,INSUMOS!$B:$E,4,0),IFERROR(VLOOKUP($E731,COTAÇÕES!$C:$L,10,0),)))*$I731,2)</f>
        <v>2549.46</v>
      </c>
      <c r="L731" s="616">
        <f>TRUNC(IF($E731="",IFERROR(VLOOKUP($D731,SERVIÇOS!$C:$H,5,0),IFERROR(VLOOKUP($D731,$F:$M,7,0),)),0)*$I731,2)</f>
        <v>0</v>
      </c>
      <c r="M731" s="617">
        <f>K731+L731</f>
        <v>2549.46</v>
      </c>
      <c r="N731" s="753" t="s">
        <v>6845</v>
      </c>
      <c r="O731" s="632"/>
    </row>
    <row r="732" spans="2:15" hidden="1">
      <c r="B732" s="769">
        <f>SUMIF(ORC!$G$11:$G$2470,CPU!$F732,ORC!$J$11:$J$2470)</f>
        <v>0</v>
      </c>
      <c r="C732" s="515" t="s">
        <v>2239</v>
      </c>
      <c r="D732" s="515"/>
      <c r="E732" s="515"/>
      <c r="F732" s="515" t="s">
        <v>6817</v>
      </c>
      <c r="G732" s="516" t="s">
        <v>6824</v>
      </c>
      <c r="H732" s="515" t="s">
        <v>646</v>
      </c>
      <c r="I732" s="595"/>
      <c r="J732" s="596"/>
      <c r="K732" s="597">
        <f>SUM(K733:K736)</f>
        <v>185.08</v>
      </c>
      <c r="L732" s="597">
        <f>SUM(L733:L736)</f>
        <v>8.6999999999999993</v>
      </c>
      <c r="M732" s="597">
        <f>SUM(K732:L732)</f>
        <v>193.78</v>
      </c>
      <c r="N732" s="598" t="s">
        <v>6825</v>
      </c>
      <c r="O732" s="941"/>
    </row>
    <row r="733" spans="2:15" hidden="1">
      <c r="B733" s="122">
        <f t="shared" ref="B733:B736" si="347">B732</f>
        <v>0</v>
      </c>
      <c r="C733" s="611" t="str">
        <f>IF(D733&lt;&gt;"","C",IF(E733&lt;&gt;"","I",""))</f>
        <v>I</v>
      </c>
      <c r="D733" s="660"/>
      <c r="E733" s="661" t="s">
        <v>9078</v>
      </c>
      <c r="F733" s="612"/>
      <c r="G733" s="613" t="str">
        <f>IF($E733="",IFERROR(VLOOKUP($D733,SERVIÇOS!$C:$H,2,0),IFERROR(VLOOKUP($D733,$F:$M,2,0),"")),IFERROR(VLOOKUP($E733,INSUMOS!$B:$E,2,0),IFERROR(VLOOKUP($E733,COTAÇÕES!$C:$L,2,0),"")))</f>
        <v>BANDEJA DESLIZANTE VENTILADA 500MM PARA RACK 19"</v>
      </c>
      <c r="H733" s="593" t="str">
        <f>IF($E733="",IFERROR(VLOOKUP($D733,SERVIÇOS!$C:$H,3,0),IFERROR(VLOOKUP($D733,$F:$M,3,0),"")),IFERROR(VLOOKUP($E733,INSUMOS!$B:$E,3,0),IFERROR(VLOOKUP($E733,COTAÇÕES!$C:$L,5,0),"")))</f>
        <v>UN</v>
      </c>
      <c r="I733" s="644">
        <v>1</v>
      </c>
      <c r="J733" s="670">
        <f>IF($E733="",IFERROR(VLOOKUP($D733,SERVIÇOS!$C:$H,6,0),IFERROR(VLOOKUP($D733,$F:$M,8,0),"")),IFERROR(VLOOKUP($E733,INSUMOS!$B:$E,4,0),IFERROR(VLOOKUP($E733,COTAÇÕES!$C:$L,10,0),"")))</f>
        <v>181.54666666666665</v>
      </c>
      <c r="K733" s="615">
        <f>TRUNC(IF($E733="",IFERROR(VLOOKUP($D733,SERVIÇOS!$C:$H,4,0),IFERROR(VLOOKUP($D733,$F:$M,6,0),)),IFERROR(VLOOKUP($E733,INSUMOS!$B:$E,4,0),IFERROR(VLOOKUP($E733,COTAÇÕES!$C:$L,10,0),)))*$I733,2)</f>
        <v>181.54</v>
      </c>
      <c r="L733" s="616">
        <f>TRUNC(IF($E733="",IFERROR(VLOOKUP($D733,SERVIÇOS!$C:$H,5,0),IFERROR(VLOOKUP($D733,$F:$M,7,0),)),0)*$I733,2)</f>
        <v>0</v>
      </c>
      <c r="M733" s="617">
        <f>K733+L733</f>
        <v>181.54</v>
      </c>
      <c r="N733" s="753" t="s">
        <v>6845</v>
      </c>
      <c r="O733" s="943"/>
    </row>
    <row r="734" spans="2:15" hidden="1">
      <c r="B734" s="122">
        <f t="shared" si="347"/>
        <v>0</v>
      </c>
      <c r="C734" s="611" t="str">
        <f>IF(D734&lt;&gt;"","C",IF(E734&lt;&gt;"","I",""))</f>
        <v>C</v>
      </c>
      <c r="D734" s="660">
        <v>88264</v>
      </c>
      <c r="E734" s="661"/>
      <c r="F734" s="612"/>
      <c r="G734" s="613" t="str">
        <f>IF($E734="",IFERROR(VLOOKUP($D734,SERVIÇOS!$C:$H,2,0),IFERROR(VLOOKUP($D734,$F:$M,2,0),"")),IFERROR(VLOOKUP($E734,INSUMOS!$B:$E,2,0),IFERROR(VLOOKUP($E734,COTAÇÕES!$C:$L,2,0),"")))</f>
        <v>ELETRICISTA COM ENCARGOS COMPLEMENTARES</v>
      </c>
      <c r="H734" s="593" t="str">
        <f>IF($E734="",IFERROR(VLOOKUP($D734,SERVIÇOS!$C:$H,3,0),IFERROR(VLOOKUP($D734,$F:$M,3,0),"")),IFERROR(VLOOKUP($E734,INSUMOS!$B:$E,3,0),IFERROR(VLOOKUP($E734,COTAÇÕES!$C:$L,5,0),"")))</f>
        <v>H</v>
      </c>
      <c r="I734" s="644">
        <v>0.2</v>
      </c>
      <c r="J734" s="670">
        <f>IF($E734="",IFERROR(VLOOKUP($D734,SERVIÇOS!$C:$H,6,0),IFERROR(VLOOKUP($D734,$F:$M,8,0),"")),IFERROR(VLOOKUP($E734,INSUMOS!$B:$E,4,0),IFERROR(VLOOKUP($E734,COTAÇÕES!$C:$L,10,0),"")))</f>
        <v>31.32</v>
      </c>
      <c r="K734" s="615">
        <f>TRUNC(IF($E734="",IFERROR(VLOOKUP($D734,SERVIÇOS!$C:$H,4,0),IFERROR(VLOOKUP($D734,$F:$M,6,0),)),IFERROR(VLOOKUP($E734,INSUMOS!$B:$E,4,0),IFERROR(VLOOKUP($E734,COTAÇÕES!$C:$L,10,0),)))*$I734,2)</f>
        <v>1.33</v>
      </c>
      <c r="L734" s="616">
        <f>TRUNC(IF($E734="",IFERROR(VLOOKUP($D734,SERVIÇOS!$C:$H,5,0),IFERROR(VLOOKUP($D734,$F:$M,7,0),)),0)*$I734,2)</f>
        <v>4.93</v>
      </c>
      <c r="M734" s="617">
        <f>K734+L734</f>
        <v>6.26</v>
      </c>
      <c r="N734" s="753" t="str">
        <f>IF($D734&lt;&gt;"","SERVIÇO SINAPI",IF($E734&lt;&gt;"","INSUMO SINAPI",""))</f>
        <v>SERVIÇO SINAPI</v>
      </c>
      <c r="O734" s="943"/>
    </row>
    <row r="735" spans="2:15" hidden="1">
      <c r="B735" s="122">
        <f t="shared" si="347"/>
        <v>0</v>
      </c>
      <c r="C735" s="611" t="str">
        <f>IF(D735&lt;&gt;"","C",IF(E735&lt;&gt;"","I",""))</f>
        <v>C</v>
      </c>
      <c r="D735" s="660">
        <v>88247</v>
      </c>
      <c r="E735" s="661"/>
      <c r="F735" s="612"/>
      <c r="G735" s="613" t="str">
        <f>IF($E735="",IFERROR(VLOOKUP($D735,SERVIÇOS!$C:$H,2,0),IFERROR(VLOOKUP($D735,$F:$M,2,0),"")),IFERROR(VLOOKUP($E735,INSUMOS!$B:$E,2,0),IFERROR(VLOOKUP($E735,COTAÇÕES!$C:$L,2,0),"")))</f>
        <v>AUXILIAR DE ELETRICISTA COM ENCARGOS COMPLEMENTARES</v>
      </c>
      <c r="H735" s="593" t="str">
        <f>IF($E735="",IFERROR(VLOOKUP($D735,SERVIÇOS!$C:$H,3,0),IFERROR(VLOOKUP($D735,$F:$M,3,0),"")),IFERROR(VLOOKUP($E735,INSUMOS!$B:$E,3,0),IFERROR(VLOOKUP($E735,COTAÇÕES!$C:$L,5,0),"")))</f>
        <v>H</v>
      </c>
      <c r="I735" s="644">
        <v>0.2</v>
      </c>
      <c r="J735" s="670">
        <f>IF($E735="",IFERROR(VLOOKUP($D735,SERVIÇOS!$C:$H,6,0),IFERROR(VLOOKUP($D735,$F:$M,8,0),"")),IFERROR(VLOOKUP($E735,INSUMOS!$B:$E,4,0),IFERROR(VLOOKUP($E735,COTAÇÕES!$C:$L,10,0),"")))</f>
        <v>25.53</v>
      </c>
      <c r="K735" s="615">
        <f>TRUNC(IF($E735="",IFERROR(VLOOKUP($D735,SERVIÇOS!$C:$H,4,0),IFERROR(VLOOKUP($D735,$F:$M,6,0),)),IFERROR(VLOOKUP($E735,INSUMOS!$B:$E,4,0),IFERROR(VLOOKUP($E735,COTAÇÕES!$C:$L,10,0),)))*$I735,2)</f>
        <v>1.33</v>
      </c>
      <c r="L735" s="616">
        <f>TRUNC(IF($E735="",IFERROR(VLOOKUP($D735,SERVIÇOS!$C:$H,5,0),IFERROR(VLOOKUP($D735,$F:$M,7,0),)),0)*$I735,2)</f>
        <v>3.77</v>
      </c>
      <c r="M735" s="617">
        <f>K735+L735</f>
        <v>5.0999999999999996</v>
      </c>
      <c r="N735" s="753" t="str">
        <f>IF($D735&lt;&gt;"","SERVIÇO SINAPI",IF($E735&lt;&gt;"","INSUMO SINAPI",""))</f>
        <v>SERVIÇO SINAPI</v>
      </c>
      <c r="O735" s="943"/>
    </row>
    <row r="736" spans="2:15" hidden="1">
      <c r="B736" s="122">
        <f t="shared" si="347"/>
        <v>0</v>
      </c>
      <c r="C736" s="611" t="str">
        <f>IF(D736&lt;&gt;"","C",IF(E736&lt;&gt;"","I",""))</f>
        <v>I</v>
      </c>
      <c r="D736" s="660"/>
      <c r="E736" s="661">
        <v>4374</v>
      </c>
      <c r="F736" s="612"/>
      <c r="G736" s="613" t="str">
        <f>IF($E736="",IFERROR(VLOOKUP($D736,SERVIÇOS!$C:$H,2,0),IFERROR(VLOOKUP($D736,$F:$M,2,0),"")),IFERROR(VLOOKUP($E736,INSUMOS!$B:$E,2,0),IFERROR(VLOOKUP($E736,COTAÇÕES!$C:$L,2,0),"")))</f>
        <v xml:space="preserve">BUCHA DE NYLON SEM ABA S10                                                                                                                                                                                                                                                                                                                                                                                                                                                                                </v>
      </c>
      <c r="H736" s="593" t="str">
        <f>IF($E736="",IFERROR(VLOOKUP($D736,SERVIÇOS!$C:$H,3,0),IFERROR(VLOOKUP($D736,$F:$M,3,0),"")),IFERROR(VLOOKUP($E736,INSUMOS!$B:$E,3,0),IFERROR(VLOOKUP($E736,COTAÇÕES!$C:$L,5,0),"")))</f>
        <v xml:space="preserve">UN    </v>
      </c>
      <c r="I736" s="644">
        <v>2</v>
      </c>
      <c r="J736" s="670">
        <f>IF($E736="",IFERROR(VLOOKUP($D736,SERVIÇOS!$C:$H,6,0),IFERROR(VLOOKUP($D736,$F:$M,8,0),"")),IFERROR(VLOOKUP($E736,INSUMOS!$B:$E,4,0),IFERROR(VLOOKUP($E736,COTAÇÕES!$C:$L,10,0),"")))</f>
        <v>0.44</v>
      </c>
      <c r="K736" s="615">
        <f>TRUNC(IF($E736="",IFERROR(VLOOKUP($D736,SERVIÇOS!$C:$H,4,0),IFERROR(VLOOKUP($D736,$F:$M,6,0),)),IFERROR(VLOOKUP($E736,INSUMOS!$B:$E,4,0),IFERROR(VLOOKUP($E736,COTAÇÕES!$C:$L,10,0),)))*$I736,2)</f>
        <v>0.88</v>
      </c>
      <c r="L736" s="616">
        <f>TRUNC(IF($E736="",IFERROR(VLOOKUP($D736,SERVIÇOS!$C:$H,5,0),IFERROR(VLOOKUP($D736,$F:$M,7,0),)),0)*$I736,2)</f>
        <v>0</v>
      </c>
      <c r="M736" s="617">
        <f>K736+L736</f>
        <v>0.88</v>
      </c>
      <c r="N736" s="753" t="str">
        <f>IF($D736&lt;&gt;"","SERVIÇO SINAPI",IF($E736&lt;&gt;"","INSUMO SINAPI",""))</f>
        <v>INSUMO SINAPI</v>
      </c>
      <c r="O736" s="943"/>
    </row>
    <row r="737" spans="2:15" hidden="1">
      <c r="B737" s="769">
        <f>SUMIF(ORC!$G$11:$G$2470,CPU!$F737,ORC!$J$11:$J$2470)</f>
        <v>0</v>
      </c>
      <c r="C737" s="515" t="s">
        <v>2239</v>
      </c>
      <c r="D737" s="515"/>
      <c r="E737" s="515"/>
      <c r="F737" s="515" t="s">
        <v>6818</v>
      </c>
      <c r="G737" s="516" t="s">
        <v>6978</v>
      </c>
      <c r="H737" s="515" t="s">
        <v>646</v>
      </c>
      <c r="I737" s="595"/>
      <c r="J737" s="596"/>
      <c r="K737" s="597">
        <f>SUM(K738:K740)</f>
        <v>23.590000000000003</v>
      </c>
      <c r="L737" s="597">
        <f>SUM(L738:L740)</f>
        <v>6.85</v>
      </c>
      <c r="M737" s="597">
        <f>SUM(K737:L737)</f>
        <v>30.440000000000005</v>
      </c>
      <c r="N737" s="598" t="s">
        <v>6826</v>
      </c>
      <c r="O737" s="941"/>
    </row>
    <row r="738" spans="2:15" hidden="1">
      <c r="B738" s="122">
        <f t="shared" ref="B738:B740" si="348">B737</f>
        <v>0</v>
      </c>
      <c r="C738" s="611" t="str">
        <f>IF(D738&lt;&gt;"","C",IF(E738&lt;&gt;"","I",""))</f>
        <v>I</v>
      </c>
      <c r="D738" s="660"/>
      <c r="E738" s="661" t="s">
        <v>9079</v>
      </c>
      <c r="F738" s="612"/>
      <c r="G738" s="613" t="str">
        <f>IF($E738="",IFERROR(VLOOKUP($D738,SERVIÇOS!$C:$H,2,0),IFERROR(VLOOKUP($D738,$F:$M,2,0),"")),IFERROR(VLOOKUP($E738,INSUMOS!$B:$E,2,0),IFERROR(VLOOKUP($E738,COTAÇÕES!$C:$L,2,0),"")))</f>
        <v xml:space="preserve">GUIA DE CABOS PADRÃO 1U 19” </v>
      </c>
      <c r="H738" s="593" t="str">
        <f>IF($E738="",IFERROR(VLOOKUP($D738,SERVIÇOS!$C:$H,3,0),IFERROR(VLOOKUP($D738,$F:$M,3,0),"")),IFERROR(VLOOKUP($E738,INSUMOS!$B:$E,3,0),IFERROR(VLOOKUP($E738,COTAÇÕES!$C:$L,5,0),"")))</f>
        <v>UN</v>
      </c>
      <c r="I738" s="644">
        <v>1</v>
      </c>
      <c r="J738" s="670">
        <f>IF($E738="",IFERROR(VLOOKUP($D738,SERVIÇOS!$C:$H,6,0),IFERROR(VLOOKUP($D738,$F:$M,8,0),"")),IFERROR(VLOOKUP($E738,INSUMOS!$B:$E,4,0),IFERROR(VLOOKUP($E738,COTAÇÕES!$C:$L,10,0),"")))</f>
        <v>21.599999999999998</v>
      </c>
      <c r="K738" s="615">
        <f>TRUNC(IF($E738="",IFERROR(VLOOKUP($D738,SERVIÇOS!$C:$H,4,0),IFERROR(VLOOKUP($D738,$F:$M,6,0),)),IFERROR(VLOOKUP($E738,INSUMOS!$B:$E,4,0),IFERROR(VLOOKUP($E738,COTAÇÕES!$C:$L,10,0),)))*$I738,2)</f>
        <v>21.6</v>
      </c>
      <c r="L738" s="616">
        <f>TRUNC(IF($E738="",IFERROR(VLOOKUP($D738,SERVIÇOS!$C:$H,5,0),IFERROR(VLOOKUP($D738,$F:$M,7,0),)),0)*$I738,2)</f>
        <v>0</v>
      </c>
      <c r="M738" s="617">
        <f>K738+L738</f>
        <v>21.6</v>
      </c>
      <c r="N738" s="753" t="s">
        <v>6845</v>
      </c>
      <c r="O738" s="942"/>
    </row>
    <row r="739" spans="2:15" hidden="1">
      <c r="B739" s="122">
        <f t="shared" si="348"/>
        <v>0</v>
      </c>
      <c r="C739" s="611" t="str">
        <f>IF(D739&lt;&gt;"","C",IF(E739&lt;&gt;"","I",""))</f>
        <v>C</v>
      </c>
      <c r="D739" s="660">
        <v>88266</v>
      </c>
      <c r="E739" s="661"/>
      <c r="F739" s="612"/>
      <c r="G739" s="613" t="str">
        <f>IF($E739="",IFERROR(VLOOKUP($D739,SERVIÇOS!$C:$H,2,0),IFERROR(VLOOKUP($D739,$F:$M,2,0),"")),IFERROR(VLOOKUP($E739,INSUMOS!$B:$E,2,0),IFERROR(VLOOKUP($E739,COTAÇÕES!$C:$L,2,0),"")))</f>
        <v>ELETROTÉCNICO COM ENCARGOS COMPLEMENTARES</v>
      </c>
      <c r="H739" s="593" t="str">
        <f>IF($E739="",IFERROR(VLOOKUP($D739,SERVIÇOS!$C:$H,3,0),IFERROR(VLOOKUP($D739,$F:$M,3,0),"")),IFERROR(VLOOKUP($E739,INSUMOS!$B:$E,3,0),IFERROR(VLOOKUP($E739,COTAÇÕES!$C:$L,5,0),"")))</f>
        <v>H</v>
      </c>
      <c r="I739" s="644">
        <v>0.1</v>
      </c>
      <c r="J739" s="670">
        <f>IF($E739="",IFERROR(VLOOKUP($D739,SERVIÇOS!$C:$H,6,0),IFERROR(VLOOKUP($D739,$F:$M,8,0),"")),IFERROR(VLOOKUP($E739,INSUMOS!$B:$E,4,0),IFERROR(VLOOKUP($E739,COTAÇÕES!$C:$L,10,0),"")))</f>
        <v>37.520000000000003</v>
      </c>
      <c r="K739" s="615">
        <f>TRUNC(IF($E739="",IFERROR(VLOOKUP($D739,SERVIÇOS!$C:$H,4,0),IFERROR(VLOOKUP($D739,$F:$M,6,0),)),IFERROR(VLOOKUP($E739,INSUMOS!$B:$E,4,0),IFERROR(VLOOKUP($E739,COTAÇÕES!$C:$L,10,0),)))*$I739,2)</f>
        <v>0.66</v>
      </c>
      <c r="L739" s="616">
        <f>TRUNC(IF($E739="",IFERROR(VLOOKUP($D739,SERVIÇOS!$C:$H,5,0),IFERROR(VLOOKUP($D739,$F:$M,7,0),)),0)*$I739,2)</f>
        <v>3.08</v>
      </c>
      <c r="M739" s="617">
        <f>K739+L739</f>
        <v>3.74</v>
      </c>
      <c r="N739" s="753" t="str">
        <f>IF($D739&lt;&gt;"","SERVIÇO SINAPI",IF($E739&lt;&gt;"","INSUMO SINAPI",""))</f>
        <v>SERVIÇO SINAPI</v>
      </c>
      <c r="O739" s="943"/>
    </row>
    <row r="740" spans="2:15" hidden="1">
      <c r="B740" s="122">
        <f t="shared" si="348"/>
        <v>0</v>
      </c>
      <c r="C740" s="611" t="str">
        <f>IF(D740&lt;&gt;"","C",IF(E740&lt;&gt;"","I",""))</f>
        <v>C</v>
      </c>
      <c r="D740" s="660">
        <v>88247</v>
      </c>
      <c r="E740" s="661"/>
      <c r="F740" s="612"/>
      <c r="G740" s="613" t="str">
        <f>IF($E740="",IFERROR(VLOOKUP($D740,SERVIÇOS!$C:$H,2,0),IFERROR(VLOOKUP($D740,$F:$M,2,0),"")),IFERROR(VLOOKUP($E740,INSUMOS!$B:$E,2,0),IFERROR(VLOOKUP($E740,COTAÇÕES!$C:$L,2,0),"")))</f>
        <v>AUXILIAR DE ELETRICISTA COM ENCARGOS COMPLEMENTARES</v>
      </c>
      <c r="H740" s="593" t="str">
        <f>IF($E740="",IFERROR(VLOOKUP($D740,SERVIÇOS!$C:$H,3,0),IFERROR(VLOOKUP($D740,$F:$M,3,0),"")),IFERROR(VLOOKUP($E740,INSUMOS!$B:$E,3,0),IFERROR(VLOOKUP($E740,COTAÇÕES!$C:$L,5,0),"")))</f>
        <v>H</v>
      </c>
      <c r="I740" s="644">
        <v>0.2</v>
      </c>
      <c r="J740" s="670">
        <f>IF($E740="",IFERROR(VLOOKUP($D740,SERVIÇOS!$C:$H,6,0),IFERROR(VLOOKUP($D740,$F:$M,8,0),"")),IFERROR(VLOOKUP($E740,INSUMOS!$B:$E,4,0),IFERROR(VLOOKUP($E740,COTAÇÕES!$C:$L,10,0),"")))</f>
        <v>25.53</v>
      </c>
      <c r="K740" s="615">
        <f>TRUNC(IF($E740="",IFERROR(VLOOKUP($D740,SERVIÇOS!$C:$H,4,0),IFERROR(VLOOKUP($D740,$F:$M,6,0),)),IFERROR(VLOOKUP($E740,INSUMOS!$B:$E,4,0),IFERROR(VLOOKUP($E740,COTAÇÕES!$C:$L,10,0),)))*$I740,2)</f>
        <v>1.33</v>
      </c>
      <c r="L740" s="616">
        <f>TRUNC(IF($E740="",IFERROR(VLOOKUP($D740,SERVIÇOS!$C:$H,5,0),IFERROR(VLOOKUP($D740,$F:$M,7,0),)),0)*$I740,2)</f>
        <v>3.77</v>
      </c>
      <c r="M740" s="617">
        <f>K740+L740</f>
        <v>5.0999999999999996</v>
      </c>
      <c r="N740" s="753" t="str">
        <f>IF($D740&lt;&gt;"","SERVIÇO SINAPI",IF($E740&lt;&gt;"","INSUMO SINAPI",""))</f>
        <v>SERVIÇO SINAPI</v>
      </c>
      <c r="O740" s="943"/>
    </row>
    <row r="741" spans="2:15" ht="25.5" hidden="1">
      <c r="B741" s="769">
        <f>SUMIF(ORC!$G$11:$G$2470,CPU!$F741,ORC!$J$11:$J$2470)</f>
        <v>0</v>
      </c>
      <c r="C741" s="515" t="s">
        <v>2239</v>
      </c>
      <c r="D741" s="515"/>
      <c r="E741" s="515"/>
      <c r="F741" s="515" t="s">
        <v>6819</v>
      </c>
      <c r="G741" s="516" t="s">
        <v>6980</v>
      </c>
      <c r="H741" s="515" t="s">
        <v>646</v>
      </c>
      <c r="I741" s="595"/>
      <c r="J741" s="596"/>
      <c r="K741" s="597">
        <f>SUM(K742:K743)</f>
        <v>69.27</v>
      </c>
      <c r="L741" s="597">
        <f>SUM(L742:L743)</f>
        <v>3.33</v>
      </c>
      <c r="M741" s="597">
        <f>SUM(K741:L741)</f>
        <v>72.599999999999994</v>
      </c>
      <c r="N741" s="598" t="s">
        <v>6827</v>
      </c>
      <c r="O741" s="941"/>
    </row>
    <row r="742" spans="2:15" hidden="1">
      <c r="B742" s="122">
        <f t="shared" ref="B742:B743" si="349">B741</f>
        <v>0</v>
      </c>
      <c r="C742" s="611" t="str">
        <f>IF(D742&lt;&gt;"","C",IF(E742&lt;&gt;"","I",""))</f>
        <v>I</v>
      </c>
      <c r="D742" s="660"/>
      <c r="E742" s="661" t="s">
        <v>9080</v>
      </c>
      <c r="F742" s="612"/>
      <c r="G742" s="613" t="str">
        <f>IF($E742="",IFERROR(VLOOKUP($D742,SERVIÇOS!$C:$H,2,0),IFERROR(VLOOKUP($D742,$F:$M,2,0),"")),IFERROR(VLOOKUP($E742,INSUMOS!$B:$E,2,0),IFERROR(VLOOKUP($E742,COTAÇÕES!$C:$L,2,0),"")))</f>
        <v xml:space="preserve">REGUA DE TOMADAS COM 8 TOMADAS 10A PARA RACK 19" </v>
      </c>
      <c r="H742" s="593" t="str">
        <f>IF($E742="",IFERROR(VLOOKUP($D742,SERVIÇOS!$C:$H,3,0),IFERROR(VLOOKUP($D742,$F:$M,3,0),"")),IFERROR(VLOOKUP($E742,INSUMOS!$B:$E,3,0),IFERROR(VLOOKUP($E742,COTAÇÕES!$C:$L,5,0),"")))</f>
        <v>UN</v>
      </c>
      <c r="I742" s="644">
        <v>1</v>
      </c>
      <c r="J742" s="670">
        <f>IF($E742="",IFERROR(VLOOKUP($D742,SERVIÇOS!$C:$H,6,0),IFERROR(VLOOKUP($D742,$F:$M,8,0),"")),IFERROR(VLOOKUP($E742,INSUMOS!$B:$E,4,0),IFERROR(VLOOKUP($E742,COTAÇÕES!$C:$L,10,0),"")))</f>
        <v>68.103333333333339</v>
      </c>
      <c r="K742" s="615">
        <f>TRUNC(IF($E742="",IFERROR(VLOOKUP($D742,SERVIÇOS!$C:$H,4,0),IFERROR(VLOOKUP($D742,$F:$M,6,0),)),IFERROR(VLOOKUP($E742,INSUMOS!$B:$E,4,0),IFERROR(VLOOKUP($E742,COTAÇÕES!$C:$L,10,0),)))*$I742,2)</f>
        <v>68.099999999999994</v>
      </c>
      <c r="L742" s="616">
        <f>TRUNC(IF($E742="",IFERROR(VLOOKUP($D742,SERVIÇOS!$C:$H,5,0),IFERROR(VLOOKUP($D742,$F:$M,7,0),)),0)*$I742,2)</f>
        <v>0</v>
      </c>
      <c r="M742" s="617">
        <f>K742+L742</f>
        <v>68.099999999999994</v>
      </c>
      <c r="N742" s="753" t="s">
        <v>6845</v>
      </c>
      <c r="O742" s="943"/>
    </row>
    <row r="743" spans="2:15" hidden="1">
      <c r="B743" s="122">
        <f t="shared" si="349"/>
        <v>0</v>
      </c>
      <c r="C743" s="611" t="str">
        <f>IF(D743&lt;&gt;"","C",IF(E743&lt;&gt;"","I",""))</f>
        <v>C</v>
      </c>
      <c r="D743" s="660">
        <v>88247</v>
      </c>
      <c r="E743" s="661"/>
      <c r="F743" s="612"/>
      <c r="G743" s="613" t="str">
        <f>IF($E743="",IFERROR(VLOOKUP($D743,SERVIÇOS!$C:$H,2,0),IFERROR(VLOOKUP($D743,$F:$M,2,0),"")),IFERROR(VLOOKUP($E743,INSUMOS!$B:$E,2,0),IFERROR(VLOOKUP($E743,COTAÇÕES!$C:$L,2,0),"")))</f>
        <v>AUXILIAR DE ELETRICISTA COM ENCARGOS COMPLEMENTARES</v>
      </c>
      <c r="H743" s="593" t="str">
        <f>IF($E743="",IFERROR(VLOOKUP($D743,SERVIÇOS!$C:$H,3,0),IFERROR(VLOOKUP($D743,$F:$M,3,0),"")),IFERROR(VLOOKUP($E743,INSUMOS!$B:$E,3,0),IFERROR(VLOOKUP($E743,COTAÇÕES!$C:$L,5,0),"")))</f>
        <v>H</v>
      </c>
      <c r="I743" s="644">
        <v>0.17699999999999999</v>
      </c>
      <c r="J743" s="670">
        <f>IF($E743="",IFERROR(VLOOKUP($D743,SERVIÇOS!$C:$H,6,0),IFERROR(VLOOKUP($D743,$F:$M,8,0),"")),IFERROR(VLOOKUP($E743,INSUMOS!$B:$E,4,0),IFERROR(VLOOKUP($E743,COTAÇÕES!$C:$L,10,0),"")))</f>
        <v>25.53</v>
      </c>
      <c r="K743" s="615">
        <f>TRUNC(IF($E743="",IFERROR(VLOOKUP($D743,SERVIÇOS!$C:$H,4,0),IFERROR(VLOOKUP($D743,$F:$M,6,0),)),IFERROR(VLOOKUP($E743,INSUMOS!$B:$E,4,0),IFERROR(VLOOKUP($E743,COTAÇÕES!$C:$L,10,0),)))*$I743,2)</f>
        <v>1.17</v>
      </c>
      <c r="L743" s="616">
        <f>TRUNC(IF($E743="",IFERROR(VLOOKUP($D743,SERVIÇOS!$C:$H,5,0),IFERROR(VLOOKUP($D743,$F:$M,7,0),)),0)*$I743,2)</f>
        <v>3.33</v>
      </c>
      <c r="M743" s="617">
        <f>K743+L743</f>
        <v>4.5</v>
      </c>
      <c r="N743" s="753" t="str">
        <f>IF($D743&lt;&gt;"","SERVIÇO SINAPI",IF($E743&lt;&gt;"","INSUMO SINAPI",""))</f>
        <v>SERVIÇO SINAPI</v>
      </c>
      <c r="O743" s="943"/>
    </row>
    <row r="744" spans="2:15" hidden="1">
      <c r="B744" s="769">
        <f>SUMIF(ORC!$G$11:$G$2470,CPU!$F744,ORC!$J$11:$J$2470)</f>
        <v>0</v>
      </c>
      <c r="C744" s="515" t="s">
        <v>2239</v>
      </c>
      <c r="D744" s="515"/>
      <c r="E744" s="515"/>
      <c r="F744" s="515" t="s">
        <v>6901</v>
      </c>
      <c r="G744" s="516" t="s">
        <v>6902</v>
      </c>
      <c r="H744" s="515" t="s">
        <v>646</v>
      </c>
      <c r="I744" s="595"/>
      <c r="J744" s="596"/>
      <c r="K744" s="597">
        <f>SUM(K745:K747)</f>
        <v>27.73</v>
      </c>
      <c r="L744" s="597">
        <f>SUM(L745:L747)</f>
        <v>8.36</v>
      </c>
      <c r="M744" s="597">
        <f>SUM(K744:L744)</f>
        <v>36.090000000000003</v>
      </c>
      <c r="N744" s="598" t="s">
        <v>6903</v>
      </c>
      <c r="O744" s="941"/>
    </row>
    <row r="745" spans="2:15" hidden="1">
      <c r="B745" s="122">
        <f t="shared" ref="B745:B747" si="350">B744</f>
        <v>0</v>
      </c>
      <c r="C745" s="611" t="str">
        <f>IF(D745&lt;&gt;"","C",IF(E745&lt;&gt;"","I",""))</f>
        <v>C</v>
      </c>
      <c r="D745" s="660">
        <v>88264</v>
      </c>
      <c r="E745" s="662"/>
      <c r="F745" s="951"/>
      <c r="G745" s="613" t="str">
        <f>IF($E745="",IFERROR(VLOOKUP($D745,SERVIÇOS!$C:$H,2,0),IFERROR(VLOOKUP($D745,$F:$M,2,0),"")),IFERROR(VLOOKUP($E745,INSUMOS!$B:$E,2,0),IFERROR(VLOOKUP($E745,COTAÇÕES!$C:$L,2,0),"")))</f>
        <v>ELETRICISTA COM ENCARGOS COMPLEMENTARES</v>
      </c>
      <c r="H745" s="593" t="str">
        <f>IF($E745="",IFERROR(VLOOKUP($D745,SERVIÇOS!$C:$H,3,0),IFERROR(VLOOKUP($D745,$F:$M,3,0),"")),IFERROR(VLOOKUP($E745,INSUMOS!$B:$E,3,0),IFERROR(VLOOKUP($E745,COTAÇÕES!$C:$L,5,0),"")))</f>
        <v>H</v>
      </c>
      <c r="I745" s="614">
        <v>0.2</v>
      </c>
      <c r="J745" s="670">
        <f>IF($E745="",IFERROR(VLOOKUP($D745,SERVIÇOS!$C:$H,6,0),IFERROR(VLOOKUP($D745,$F:$M,8,0),"")),IFERROR(VLOOKUP($E745,INSUMOS!$B:$E,4,0),IFERROR(VLOOKUP($E745,COTAÇÕES!$C:$L,10,0),"")))</f>
        <v>31.32</v>
      </c>
      <c r="K745" s="615">
        <f>TRUNC(IF($E745="",IFERROR(VLOOKUP($D745,SERVIÇOS!$C:$H,4,0),IFERROR(VLOOKUP($D745,$F:$M,6,0),)),IFERROR(VLOOKUP($E745,INSUMOS!$B:$E,4,0),IFERROR(VLOOKUP($E745,COTAÇÕES!$C:$L,10,0),)))*$I745,2)</f>
        <v>1.33</v>
      </c>
      <c r="L745" s="616">
        <f>TRUNC(IF($E745="",IFERROR(VLOOKUP($D745,SERVIÇOS!$C:$H,5,0),IFERROR(VLOOKUP($D745,$F:$M,7,0),)),0)*$I745,2)</f>
        <v>4.93</v>
      </c>
      <c r="M745" s="617">
        <f>K745+L745</f>
        <v>6.26</v>
      </c>
      <c r="N745" s="753" t="str">
        <f>IF($D745&lt;&gt;"","SERVIÇO SINAPI",IF($E745&lt;&gt;"","INSUMO SINAPI",""))</f>
        <v>SERVIÇO SINAPI</v>
      </c>
      <c r="O745" s="943"/>
    </row>
    <row r="746" spans="2:15" hidden="1">
      <c r="B746" s="122">
        <f t="shared" si="350"/>
        <v>0</v>
      </c>
      <c r="C746" s="611" t="str">
        <f>IF(D746&lt;&gt;"","C",IF(E746&lt;&gt;"","I",""))</f>
        <v>C</v>
      </c>
      <c r="D746" s="660">
        <v>88316</v>
      </c>
      <c r="E746" s="662"/>
      <c r="F746" s="951"/>
      <c r="G746" s="613" t="str">
        <f>IF($E746="",IFERROR(VLOOKUP($D746,SERVIÇOS!$C:$H,2,0),IFERROR(VLOOKUP($D746,$F:$M,2,0),"")),IFERROR(VLOOKUP($E746,INSUMOS!$B:$E,2,0),IFERROR(VLOOKUP($E746,COTAÇÕES!$C:$L,2,0),"")))</f>
        <v>SERVENTE COM ENCARGOS COMPLEMENTARES</v>
      </c>
      <c r="H746" s="593" t="str">
        <f>IF($E746="",IFERROR(VLOOKUP($D746,SERVIÇOS!$C:$H,3,0),IFERROR(VLOOKUP($D746,$F:$M,3,0),"")),IFERROR(VLOOKUP($E746,INSUMOS!$B:$E,3,0),IFERROR(VLOOKUP($E746,COTAÇÕES!$C:$L,5,0),"")))</f>
        <v>H</v>
      </c>
      <c r="I746" s="614">
        <v>0.2</v>
      </c>
      <c r="J746" s="670">
        <f>IF($E746="",IFERROR(VLOOKUP($D746,SERVIÇOS!$C:$H,6,0),IFERROR(VLOOKUP($D746,$F:$M,8,0),"")),IFERROR(VLOOKUP($E746,INSUMOS!$B:$E,4,0),IFERROR(VLOOKUP($E746,COTAÇÕES!$C:$L,10,0),"")))</f>
        <v>23.71</v>
      </c>
      <c r="K746" s="615">
        <f>TRUNC(IF($E746="",IFERROR(VLOOKUP($D746,SERVIÇOS!$C:$H,4,0),IFERROR(VLOOKUP($D746,$F:$M,6,0),)),IFERROR(VLOOKUP($E746,INSUMOS!$B:$E,4,0),IFERROR(VLOOKUP($E746,COTAÇÕES!$C:$L,10,0),)))*$I746,2)</f>
        <v>1.3</v>
      </c>
      <c r="L746" s="616">
        <f>TRUNC(IF($E746="",IFERROR(VLOOKUP($D746,SERVIÇOS!$C:$H,5,0),IFERROR(VLOOKUP($D746,$F:$M,7,0),)),0)*$I746,2)</f>
        <v>3.43</v>
      </c>
      <c r="M746" s="617">
        <f>K746+L746</f>
        <v>4.7300000000000004</v>
      </c>
      <c r="N746" s="753" t="str">
        <f>IF($D746&lt;&gt;"","SERVIÇO SINAPI",IF($E746&lt;&gt;"","INSUMO SINAPI",""))</f>
        <v>SERVIÇO SINAPI</v>
      </c>
      <c r="O746" s="943"/>
    </row>
    <row r="747" spans="2:15" hidden="1">
      <c r="B747" s="122">
        <f t="shared" si="350"/>
        <v>0</v>
      </c>
      <c r="C747" s="611" t="str">
        <f>IF(D747&lt;&gt;"","C",IF(E747&lt;&gt;"","I",""))</f>
        <v>I</v>
      </c>
      <c r="D747" s="660"/>
      <c r="E747" s="662" t="s">
        <v>9081</v>
      </c>
      <c r="F747" s="630"/>
      <c r="G747" s="613" t="str">
        <f>IF($E747="",IFERROR(VLOOKUP($D747,SERVIÇOS!$C:$H,2,0),IFERROR(VLOOKUP($D747,$F:$M,2,0),"")),IFERROR(VLOOKUP($E747,INSUMOS!$B:$E,2,0),IFERROR(VLOOKUP($E747,COTAÇÕES!$C:$L,2,0),"")))</f>
        <v>PATCH CORD, CATEGORIA 6, EXTENSAO DE 1,00 M</v>
      </c>
      <c r="H747" s="593" t="str">
        <f>IF($E747="",IFERROR(VLOOKUP($D747,SERVIÇOS!$C:$H,3,0),IFERROR(VLOOKUP($D747,$F:$M,3,0),"")),IFERROR(VLOOKUP($E747,INSUMOS!$B:$E,3,0),IFERROR(VLOOKUP($E747,COTAÇÕES!$C:$L,5,0),"")))</f>
        <v>UN</v>
      </c>
      <c r="I747" s="614">
        <v>1</v>
      </c>
      <c r="J747" s="670">
        <f>IF($E747="",IFERROR(VLOOKUP($D747,SERVIÇOS!$C:$H,6,0),IFERROR(VLOOKUP($D747,$F:$M,8,0),"")),IFERROR(VLOOKUP($E747,INSUMOS!$B:$E,4,0),IFERROR(VLOOKUP($E747,COTAÇÕES!$C:$L,10,0),"")))</f>
        <v>25.099999999999998</v>
      </c>
      <c r="K747" s="615">
        <f>TRUNC(IF($E747="",IFERROR(VLOOKUP($D747,SERVIÇOS!$C:$H,4,0),IFERROR(VLOOKUP($D747,$F:$M,6,0),)),IFERROR(VLOOKUP($E747,INSUMOS!$B:$E,4,0),IFERROR(VLOOKUP($E747,COTAÇÕES!$C:$L,10,0),)))*$I747,2)</f>
        <v>25.1</v>
      </c>
      <c r="L747" s="616">
        <f>TRUNC(IF($E747="",IFERROR(VLOOKUP($D747,SERVIÇOS!$C:$H,5,0),IFERROR(VLOOKUP($D747,$F:$M,7,0),)),0)*$I747,2)</f>
        <v>0</v>
      </c>
      <c r="M747" s="617">
        <f>K747+L747</f>
        <v>25.1</v>
      </c>
      <c r="N747" s="753" t="s">
        <v>6845</v>
      </c>
      <c r="O747" s="942"/>
    </row>
    <row r="748" spans="2:15" ht="22.5" hidden="1">
      <c r="B748" s="769">
        <f>SUMIF(ORC!$G$11:$G$2470,CPU!$F748,ORC!$J$11:$J$2470)</f>
        <v>0</v>
      </c>
      <c r="C748" s="515" t="s">
        <v>2239</v>
      </c>
      <c r="D748" s="515"/>
      <c r="E748" s="515"/>
      <c r="F748" s="515" t="s">
        <v>6938</v>
      </c>
      <c r="G748" s="516" t="s">
        <v>8988</v>
      </c>
      <c r="H748" s="515" t="s">
        <v>646</v>
      </c>
      <c r="I748" s="595"/>
      <c r="J748" s="596"/>
      <c r="K748" s="597">
        <f>SUM(K749:K751)</f>
        <v>2498.89</v>
      </c>
      <c r="L748" s="597">
        <f>SUM(L749:L751)</f>
        <v>12.620000000000001</v>
      </c>
      <c r="M748" s="597">
        <f>SUM(K748:L748)</f>
        <v>2511.5099999999998</v>
      </c>
      <c r="N748" s="598" t="s">
        <v>8402</v>
      </c>
      <c r="O748" s="941"/>
    </row>
    <row r="749" spans="2:15" hidden="1">
      <c r="B749" s="122">
        <f t="shared" ref="B749:B751" si="351">B748</f>
        <v>0</v>
      </c>
      <c r="C749" s="611" t="str">
        <f>IF(D749&lt;&gt;"","C",IF(E749&lt;&gt;"","I",""))</f>
        <v>C</v>
      </c>
      <c r="D749" s="660">
        <v>88264</v>
      </c>
      <c r="E749" s="662"/>
      <c r="F749" s="951"/>
      <c r="G749" s="613" t="str">
        <f>IF($E749="",IFERROR(VLOOKUP($D749,SERVIÇOS!$C:$H,2,0),IFERROR(VLOOKUP($D749,$F:$M,2,0),"")),IFERROR(VLOOKUP($E749,INSUMOS!$B:$E,2,0),IFERROR(VLOOKUP($E749,COTAÇÕES!$C:$L,2,0),"")))</f>
        <v>ELETRICISTA COM ENCARGOS COMPLEMENTARES</v>
      </c>
      <c r="H749" s="593" t="str">
        <f>IF($E749="",IFERROR(VLOOKUP($D749,SERVIÇOS!$C:$H,3,0),IFERROR(VLOOKUP($D749,$F:$M,3,0),"")),IFERROR(VLOOKUP($E749,INSUMOS!$B:$E,3,0),IFERROR(VLOOKUP($E749,COTAÇÕES!$C:$L,5,0),"")))</f>
        <v>H</v>
      </c>
      <c r="I749" s="614">
        <v>0.28999999999999998</v>
      </c>
      <c r="J749" s="670">
        <f>IF($E749="",IFERROR(VLOOKUP($D749,SERVIÇOS!$C:$H,6,0),IFERROR(VLOOKUP($D749,$F:$M,8,0),"")),IFERROR(VLOOKUP($E749,INSUMOS!$B:$E,4,0),IFERROR(VLOOKUP($E749,COTAÇÕES!$C:$L,10,0),"")))</f>
        <v>31.32</v>
      </c>
      <c r="K749" s="615">
        <f>TRUNC(IF($E749="",IFERROR(VLOOKUP($D749,SERVIÇOS!$C:$H,4,0),IFERROR(VLOOKUP($D749,$F:$M,6,0),)),IFERROR(VLOOKUP($E749,INSUMOS!$B:$E,4,0),IFERROR(VLOOKUP($E749,COTAÇÕES!$C:$L,10,0),)))*$I749,2)</f>
        <v>1.93</v>
      </c>
      <c r="L749" s="616">
        <f>TRUNC(IF($E749="",IFERROR(VLOOKUP($D749,SERVIÇOS!$C:$H,5,0),IFERROR(VLOOKUP($D749,$F:$M,7,0),)),0)*$I749,2)</f>
        <v>7.15</v>
      </c>
      <c r="M749" s="617">
        <f>K749+L749</f>
        <v>9.08</v>
      </c>
      <c r="N749" s="753" t="str">
        <f>IF($D749&lt;&gt;"","SERVIÇO SINAPI",IF($E749&lt;&gt;"","INSUMO SINAPI",""))</f>
        <v>SERVIÇO SINAPI</v>
      </c>
      <c r="O749" s="943"/>
    </row>
    <row r="750" spans="2:15" hidden="1">
      <c r="B750" s="122">
        <f t="shared" si="351"/>
        <v>0</v>
      </c>
      <c r="C750" s="611" t="str">
        <f>IF(D750&lt;&gt;"","C",IF(E750&lt;&gt;"","I",""))</f>
        <v>I</v>
      </c>
      <c r="D750" s="660"/>
      <c r="E750" s="662" t="s">
        <v>9082</v>
      </c>
      <c r="F750" s="630"/>
      <c r="G750" s="613" t="str">
        <f>IF($E750="",IFERROR(VLOOKUP($D750,SERVIÇOS!$C:$H,2,0),IFERROR(VLOOKUP($D750,$F:$M,2,0),"")),IFERROR(VLOOKUP($E750,INSUMOS!$B:$E,2,0),IFERROR(VLOOKUP($E750,COTAÇÕES!$C:$L,2,0),"")))</f>
        <v>Caixa de som passivo 300W 8ohms 80Hz/20kHz 2 vias</v>
      </c>
      <c r="H750" s="593" t="str">
        <f>IF($E750="",IFERROR(VLOOKUP($D750,SERVIÇOS!$C:$H,3,0),IFERROR(VLOOKUP($D750,$F:$M,3,0),"")),IFERROR(VLOOKUP($E750,INSUMOS!$B:$E,3,0),IFERROR(VLOOKUP($E750,COTAÇÕES!$C:$L,5,0),"")))</f>
        <v>UN</v>
      </c>
      <c r="I750" s="614">
        <v>1</v>
      </c>
      <c r="J750" s="670">
        <f>IF($E750="",IFERROR(VLOOKUP($D750,SERVIÇOS!$C:$H,6,0),IFERROR(VLOOKUP($D750,$F:$M,8,0),"")),IFERROR(VLOOKUP($E750,INSUMOS!$B:$E,4,0),IFERROR(VLOOKUP($E750,COTAÇÕES!$C:$L,10,0),"")))</f>
        <v>2495.0333333333333</v>
      </c>
      <c r="K750" s="615">
        <f>TRUNC(IF($E750="",IFERROR(VLOOKUP($D750,SERVIÇOS!$C:$H,4,0),IFERROR(VLOOKUP($D750,$F:$M,6,0),)),IFERROR(VLOOKUP($E750,INSUMOS!$B:$E,4,0),IFERROR(VLOOKUP($E750,COTAÇÕES!$C:$L,10,0),)))*$I750,2)</f>
        <v>2495.0300000000002</v>
      </c>
      <c r="L750" s="616">
        <f>TRUNC(IF($E750="",IFERROR(VLOOKUP($D750,SERVIÇOS!$C:$H,5,0),IFERROR(VLOOKUP($D750,$F:$M,7,0),)),0)*$I750,2)</f>
        <v>0</v>
      </c>
      <c r="M750" s="617">
        <f>K750+L750</f>
        <v>2495.0300000000002</v>
      </c>
      <c r="N750" s="753" t="s">
        <v>6845</v>
      </c>
      <c r="O750" s="942"/>
    </row>
    <row r="751" spans="2:15" hidden="1">
      <c r="B751" s="122">
        <f t="shared" si="351"/>
        <v>0</v>
      </c>
      <c r="C751" s="611" t="str">
        <f>IF(D751&lt;&gt;"","C",IF(E751&lt;&gt;"","I",""))</f>
        <v>C</v>
      </c>
      <c r="D751" s="660">
        <v>88247</v>
      </c>
      <c r="E751" s="952"/>
      <c r="F751" s="951"/>
      <c r="G751" s="613" t="str">
        <f>IF($E751="",IFERROR(VLOOKUP($D751,SERVIÇOS!$C:$H,2,0),IFERROR(VLOOKUP($D751,$F:$M,2,0),"")),IFERROR(VLOOKUP($E751,INSUMOS!$B:$E,2,0),IFERROR(VLOOKUP($E751,COTAÇÕES!$C:$L,2,0),"")))</f>
        <v>AUXILIAR DE ELETRICISTA COM ENCARGOS COMPLEMENTARES</v>
      </c>
      <c r="H751" s="593" t="str">
        <f>IF($E751="",IFERROR(VLOOKUP($D751,SERVIÇOS!$C:$H,3,0),IFERROR(VLOOKUP($D751,$F:$M,3,0),"")),IFERROR(VLOOKUP($E751,INSUMOS!$B:$E,3,0),IFERROR(VLOOKUP($E751,COTAÇÕES!$C:$L,5,0),"")))</f>
        <v>H</v>
      </c>
      <c r="I751" s="614">
        <v>0.28999999999999998</v>
      </c>
      <c r="J751" s="670">
        <f>IF($E751="",IFERROR(VLOOKUP($D751,SERVIÇOS!$C:$H,6,0),IFERROR(VLOOKUP($D751,$F:$M,8,0),"")),IFERROR(VLOOKUP($E751,INSUMOS!$B:$E,4,0),IFERROR(VLOOKUP($E751,COTAÇÕES!$C:$L,10,0),"")))</f>
        <v>25.53</v>
      </c>
      <c r="K751" s="615">
        <f>TRUNC(IF($E751="",IFERROR(VLOOKUP($D751,SERVIÇOS!$C:$H,4,0),IFERROR(VLOOKUP($D751,$F:$M,6,0),)),IFERROR(VLOOKUP($E751,INSUMOS!$B:$E,4,0),IFERROR(VLOOKUP($E751,COTAÇÕES!$C:$L,10,0),)))*$I751,2)</f>
        <v>1.93</v>
      </c>
      <c r="L751" s="616">
        <f>TRUNC(IF($E751="",IFERROR(VLOOKUP($D751,SERVIÇOS!$C:$H,5,0),IFERROR(VLOOKUP($D751,$F:$M,7,0),)),0)*$I751,2)</f>
        <v>5.47</v>
      </c>
      <c r="M751" s="617">
        <f>K751+L751</f>
        <v>7.3999999999999995</v>
      </c>
      <c r="N751" s="753" t="str">
        <f>IF($D751&lt;&gt;"","SERVIÇO SINAPI",IF($E751&lt;&gt;"","INSUMO SINAPI",""))</f>
        <v>SERVIÇO SINAPI</v>
      </c>
      <c r="O751" s="943"/>
    </row>
    <row r="752" spans="2:15" hidden="1">
      <c r="B752" s="769">
        <f>SUMIF(ORC!$G$11:$G$2470,CPU!$F752,ORC!$J$11:$J$2470)</f>
        <v>0</v>
      </c>
      <c r="C752" s="515" t="s">
        <v>2239</v>
      </c>
      <c r="D752" s="515"/>
      <c r="E752" s="515"/>
      <c r="F752" s="515" t="s">
        <v>6940</v>
      </c>
      <c r="G752" s="516" t="s">
        <v>8986</v>
      </c>
      <c r="H752" s="515" t="s">
        <v>646</v>
      </c>
      <c r="I752" s="595"/>
      <c r="J752" s="596"/>
      <c r="K752" s="597">
        <f>SUM(K753:K755)</f>
        <v>2134.62</v>
      </c>
      <c r="L752" s="597">
        <f>SUM(L753:L755)</f>
        <v>12.620000000000001</v>
      </c>
      <c r="M752" s="597">
        <f>SUM(K752:L752)</f>
        <v>2147.2399999999998</v>
      </c>
      <c r="N752" s="598"/>
      <c r="O752" s="941"/>
    </row>
    <row r="753" spans="2:15" hidden="1">
      <c r="B753" s="122">
        <f t="shared" ref="B753:B755" si="352">B752</f>
        <v>0</v>
      </c>
      <c r="C753" s="611" t="str">
        <f>IF(D753&lt;&gt;"","C",IF(E753&lt;&gt;"","I",""))</f>
        <v>C</v>
      </c>
      <c r="D753" s="660">
        <v>88264</v>
      </c>
      <c r="E753" s="662"/>
      <c r="F753" s="951"/>
      <c r="G753" s="613" t="str">
        <f>IF($E753="",IFERROR(VLOOKUP($D753,SERVIÇOS!$C:$H,2,0),IFERROR(VLOOKUP($D753,$F:$M,2,0),"")),IFERROR(VLOOKUP($E753,INSUMOS!$B:$E,2,0),IFERROR(VLOOKUP($E753,COTAÇÕES!$C:$L,2,0),"")))</f>
        <v>ELETRICISTA COM ENCARGOS COMPLEMENTARES</v>
      </c>
      <c r="H753" s="593" t="str">
        <f>IF($E753="",IFERROR(VLOOKUP($D753,SERVIÇOS!$C:$H,3,0),IFERROR(VLOOKUP($D753,$F:$M,3,0),"")),IFERROR(VLOOKUP($E753,INSUMOS!$B:$E,3,0),IFERROR(VLOOKUP($E753,COTAÇÕES!$C:$L,5,0),"")))</f>
        <v>H</v>
      </c>
      <c r="I753" s="614">
        <v>0.28999999999999998</v>
      </c>
      <c r="J753" s="670">
        <f>IF($E753="",IFERROR(VLOOKUP($D753,SERVIÇOS!$C:$H,6,0),IFERROR(VLOOKUP($D753,$F:$M,8,0),"")),IFERROR(VLOOKUP($E753,INSUMOS!$B:$E,4,0),IFERROR(VLOOKUP($E753,COTAÇÕES!$C:$L,10,0),"")))</f>
        <v>31.32</v>
      </c>
      <c r="K753" s="615">
        <f>TRUNC(IF($E753="",IFERROR(VLOOKUP($D753,SERVIÇOS!$C:$H,4,0),IFERROR(VLOOKUP($D753,$F:$M,6,0),)),IFERROR(VLOOKUP($E753,INSUMOS!$B:$E,4,0),IFERROR(VLOOKUP($E753,COTAÇÕES!$C:$L,10,0),)))*$I753,2)</f>
        <v>1.93</v>
      </c>
      <c r="L753" s="616">
        <f>TRUNC(IF($E753="",IFERROR(VLOOKUP($D753,SERVIÇOS!$C:$H,5,0),IFERROR(VLOOKUP($D753,$F:$M,7,0),)),0)*$I753,2)</f>
        <v>7.15</v>
      </c>
      <c r="M753" s="617">
        <f>K753+L753</f>
        <v>9.08</v>
      </c>
      <c r="N753" s="753" t="str">
        <f>IF($D753&lt;&gt;"","SERVIÇO SINAPI",IF($E753&lt;&gt;"","INSUMO SINAPI",""))</f>
        <v>SERVIÇO SINAPI</v>
      </c>
      <c r="O753" s="943"/>
    </row>
    <row r="754" spans="2:15" hidden="1">
      <c r="B754" s="122">
        <f t="shared" si="352"/>
        <v>0</v>
      </c>
      <c r="C754" s="611" t="str">
        <f>IF(D754&lt;&gt;"","C",IF(E754&lt;&gt;"","I",""))</f>
        <v>I</v>
      </c>
      <c r="D754" s="660"/>
      <c r="E754" s="662" t="s">
        <v>9083</v>
      </c>
      <c r="F754" s="630"/>
      <c r="G754" s="613" t="str">
        <f>IF($E754="",IFERROR(VLOOKUP($D754,SERVIÇOS!$C:$H,2,0),IFERROR(VLOOKUP($D754,$F:$M,2,0),"")),IFERROR(VLOOKUP($E754,INSUMOS!$B:$E,2,0),IFERROR(VLOOKUP($E754,COTAÇÕES!$C:$L,2,0),"")))</f>
        <v>Mesa de som 16 canais</v>
      </c>
      <c r="H754" s="593" t="str">
        <f>IF($E754="",IFERROR(VLOOKUP($D754,SERVIÇOS!$C:$H,3,0),IFERROR(VLOOKUP($D754,$F:$M,3,0),"")),IFERROR(VLOOKUP($E754,INSUMOS!$B:$E,3,0),IFERROR(VLOOKUP($E754,COTAÇÕES!$C:$L,5,0),"")))</f>
        <v>UN</v>
      </c>
      <c r="I754" s="614">
        <v>1</v>
      </c>
      <c r="J754" s="670">
        <f>IF($E754="",IFERROR(VLOOKUP($D754,SERVIÇOS!$C:$H,6,0),IFERROR(VLOOKUP($D754,$F:$M,8,0),"")),IFERROR(VLOOKUP($E754,INSUMOS!$B:$E,4,0),IFERROR(VLOOKUP($E754,COTAÇÕES!$C:$L,10,0),"")))</f>
        <v>2130.7633333333333</v>
      </c>
      <c r="K754" s="615">
        <f>TRUNC(IF($E754="",IFERROR(VLOOKUP($D754,SERVIÇOS!$C:$H,4,0),IFERROR(VLOOKUP($D754,$F:$M,6,0),)),IFERROR(VLOOKUP($E754,INSUMOS!$B:$E,4,0),IFERROR(VLOOKUP($E754,COTAÇÕES!$C:$L,10,0),)))*$I754,2)</f>
        <v>2130.7600000000002</v>
      </c>
      <c r="L754" s="616">
        <f>TRUNC(IF($E754="",IFERROR(VLOOKUP($D754,SERVIÇOS!$C:$H,5,0),IFERROR(VLOOKUP($D754,$F:$M,7,0),)),0)*$I754,2)</f>
        <v>0</v>
      </c>
      <c r="M754" s="617">
        <f>K754+L754</f>
        <v>2130.7600000000002</v>
      </c>
      <c r="N754" s="753" t="s">
        <v>6845</v>
      </c>
      <c r="O754" s="942"/>
    </row>
    <row r="755" spans="2:15" hidden="1">
      <c r="B755" s="122">
        <f t="shared" si="352"/>
        <v>0</v>
      </c>
      <c r="C755" s="611" t="str">
        <f>IF(D755&lt;&gt;"","C",IF(E755&lt;&gt;"","I",""))</f>
        <v>C</v>
      </c>
      <c r="D755" s="660">
        <v>88247</v>
      </c>
      <c r="E755" s="952"/>
      <c r="F755" s="951"/>
      <c r="G755" s="613" t="str">
        <f>IF($E755="",IFERROR(VLOOKUP($D755,SERVIÇOS!$C:$H,2,0),IFERROR(VLOOKUP($D755,$F:$M,2,0),"")),IFERROR(VLOOKUP($E755,INSUMOS!$B:$E,2,0),IFERROR(VLOOKUP($E755,COTAÇÕES!$C:$L,2,0),"")))</f>
        <v>AUXILIAR DE ELETRICISTA COM ENCARGOS COMPLEMENTARES</v>
      </c>
      <c r="H755" s="593" t="str">
        <f>IF($E755="",IFERROR(VLOOKUP($D755,SERVIÇOS!$C:$H,3,0),IFERROR(VLOOKUP($D755,$F:$M,3,0),"")),IFERROR(VLOOKUP($E755,INSUMOS!$B:$E,3,0),IFERROR(VLOOKUP($E755,COTAÇÕES!$C:$L,5,0),"")))</f>
        <v>H</v>
      </c>
      <c r="I755" s="614">
        <v>0.28999999999999998</v>
      </c>
      <c r="J755" s="670">
        <f>IF($E755="",IFERROR(VLOOKUP($D755,SERVIÇOS!$C:$H,6,0),IFERROR(VLOOKUP($D755,$F:$M,8,0),"")),IFERROR(VLOOKUP($E755,INSUMOS!$B:$E,4,0),IFERROR(VLOOKUP($E755,COTAÇÕES!$C:$L,10,0),"")))</f>
        <v>25.53</v>
      </c>
      <c r="K755" s="615">
        <f>TRUNC(IF($E755="",IFERROR(VLOOKUP($D755,SERVIÇOS!$C:$H,4,0),IFERROR(VLOOKUP($D755,$F:$M,6,0),)),IFERROR(VLOOKUP($E755,INSUMOS!$B:$E,4,0),IFERROR(VLOOKUP($E755,COTAÇÕES!$C:$L,10,0),)))*$I755,2)</f>
        <v>1.93</v>
      </c>
      <c r="L755" s="616">
        <f>TRUNC(IF($E755="",IFERROR(VLOOKUP($D755,SERVIÇOS!$C:$H,5,0),IFERROR(VLOOKUP($D755,$F:$M,7,0),)),0)*$I755,2)</f>
        <v>5.47</v>
      </c>
      <c r="M755" s="617">
        <f>K755+L755</f>
        <v>7.3999999999999995</v>
      </c>
      <c r="N755" s="753" t="str">
        <f>IF($D755&lt;&gt;"","SERVIÇO SINAPI",IF($E755&lt;&gt;"","INSUMO SINAPI",""))</f>
        <v>SERVIÇO SINAPI</v>
      </c>
      <c r="O755" s="943"/>
    </row>
    <row r="756" spans="2:15" ht="25.5">
      <c r="B756" s="769">
        <f>SUMIF(ORC!$G$11:$G$2470,CPU!$F756,ORC!$J$11:$J$2470)</f>
        <v>6</v>
      </c>
      <c r="C756" s="515" t="s">
        <v>2239</v>
      </c>
      <c r="D756" s="515"/>
      <c r="E756" s="515"/>
      <c r="F756" s="515" t="s">
        <v>6946</v>
      </c>
      <c r="G756" s="516" t="s">
        <v>7595</v>
      </c>
      <c r="H756" s="515" t="s">
        <v>646</v>
      </c>
      <c r="I756" s="595"/>
      <c r="J756" s="596"/>
      <c r="K756" s="597">
        <f>SUM(K757:K760)</f>
        <v>57.05</v>
      </c>
      <c r="L756" s="597">
        <f>SUM(L757:L760)</f>
        <v>17.93</v>
      </c>
      <c r="M756" s="597">
        <f>SUM(K756:L756)</f>
        <v>74.97999999999999</v>
      </c>
      <c r="N756" s="598" t="s">
        <v>6947</v>
      </c>
      <c r="O756" s="941"/>
    </row>
    <row r="757" spans="2:15">
      <c r="B757" s="122">
        <f t="shared" ref="B757:B760" si="353">B756</f>
        <v>6</v>
      </c>
      <c r="C757" s="611" t="str">
        <f>IF(D757&lt;&gt;"","C",IF(E757&lt;&gt;"","I",""))</f>
        <v>C</v>
      </c>
      <c r="D757" s="660">
        <v>88264</v>
      </c>
      <c r="E757" s="662"/>
      <c r="F757" s="630"/>
      <c r="G757" s="613" t="str">
        <f>IF($E757="",IFERROR(VLOOKUP($D757,SERVIÇOS!$C:$H,2,0),IFERROR(VLOOKUP($D757,$F:$M,2,0),"")),IFERROR(VLOOKUP($E757,INSUMOS!$B:$E,2,0),IFERROR(VLOOKUP($E757,COTAÇÕES!$C:$L,2,0),"")))</f>
        <v>ELETRICISTA COM ENCARGOS COMPLEMENTARES</v>
      </c>
      <c r="H757" s="593" t="str">
        <f>IF($E757="",IFERROR(VLOOKUP($D757,SERVIÇOS!$C:$H,3,0),IFERROR(VLOOKUP($D757,$F:$M,3,0),"")),IFERROR(VLOOKUP($E757,INSUMOS!$B:$E,3,0),IFERROR(VLOOKUP($E757,COTAÇÕES!$C:$L,5,0),"")))</f>
        <v>H</v>
      </c>
      <c r="I757" s="614">
        <v>0.55179999999999996</v>
      </c>
      <c r="J757" s="670">
        <f>IF($E757="",IFERROR(VLOOKUP($D757,SERVIÇOS!$C:$H,6,0),IFERROR(VLOOKUP($D757,$F:$M,8,0),"")),IFERROR(VLOOKUP($E757,INSUMOS!$B:$E,4,0),IFERROR(VLOOKUP($E757,COTAÇÕES!$C:$L,10,0),"")))</f>
        <v>31.32</v>
      </c>
      <c r="K757" s="615">
        <f>TRUNC(IF($E757="",IFERROR(VLOOKUP($D757,SERVIÇOS!$C:$H,4,0),IFERROR(VLOOKUP($D757,$F:$M,6,0),)),IFERROR(VLOOKUP($E757,INSUMOS!$B:$E,4,0),IFERROR(VLOOKUP($E757,COTAÇÕES!$C:$L,10,0),)))*$I757,2)</f>
        <v>3.67</v>
      </c>
      <c r="L757" s="616">
        <f>TRUNC(IF($E757="",IFERROR(VLOOKUP($D757,SERVIÇOS!$C:$H,5,0),IFERROR(VLOOKUP($D757,$F:$M,7,0),)),0)*$I757,2)</f>
        <v>13.6</v>
      </c>
      <c r="M757" s="617">
        <f>K757+L757</f>
        <v>17.27</v>
      </c>
      <c r="N757" s="753" t="str">
        <f t="shared" ref="N757:N758" si="354">IF($D757&lt;&gt;"","SERVIÇO SINAPI",IF($E757&lt;&gt;"","INSUMO SINAPI",""))</f>
        <v>SERVIÇO SINAPI</v>
      </c>
      <c r="O757" s="943"/>
    </row>
    <row r="758" spans="2:15">
      <c r="B758" s="122">
        <f t="shared" si="353"/>
        <v>6</v>
      </c>
      <c r="C758" s="611" t="str">
        <f>IF(D758&lt;&gt;"","C",IF(E758&lt;&gt;"","I",""))</f>
        <v>C</v>
      </c>
      <c r="D758" s="660">
        <v>88247</v>
      </c>
      <c r="E758" s="662"/>
      <c r="F758" s="630"/>
      <c r="G758" s="613" t="str">
        <f>IF($E758="",IFERROR(VLOOKUP($D758,SERVIÇOS!$C:$H,2,0),IFERROR(VLOOKUP($D758,$F:$M,2,0),"")),IFERROR(VLOOKUP($E758,INSUMOS!$B:$E,2,0),IFERROR(VLOOKUP($E758,COTAÇÕES!$C:$L,2,0),"")))</f>
        <v>AUXILIAR DE ELETRICISTA COM ENCARGOS COMPLEMENTARES</v>
      </c>
      <c r="H758" s="593" t="str">
        <f>IF($E758="",IFERROR(VLOOKUP($D758,SERVIÇOS!$C:$H,3,0),IFERROR(VLOOKUP($D758,$F:$M,3,0),"")),IFERROR(VLOOKUP($E758,INSUMOS!$B:$E,3,0),IFERROR(VLOOKUP($E758,COTAÇÕES!$C:$L,5,0),"")))</f>
        <v>H</v>
      </c>
      <c r="I758" s="614">
        <v>0.22989999999999999</v>
      </c>
      <c r="J758" s="670">
        <f>IF($E758="",IFERROR(VLOOKUP($D758,SERVIÇOS!$C:$H,6,0),IFERROR(VLOOKUP($D758,$F:$M,8,0),"")),IFERROR(VLOOKUP($E758,INSUMOS!$B:$E,4,0),IFERROR(VLOOKUP($E758,COTAÇÕES!$C:$L,10,0),"")))</f>
        <v>25.53</v>
      </c>
      <c r="K758" s="615">
        <f>TRUNC(IF($E758="",IFERROR(VLOOKUP($D758,SERVIÇOS!$C:$H,4,0),IFERROR(VLOOKUP($D758,$F:$M,6,0),)),IFERROR(VLOOKUP($E758,INSUMOS!$B:$E,4,0),IFERROR(VLOOKUP($E758,COTAÇÕES!$C:$L,10,0),)))*$I758,2)</f>
        <v>1.53</v>
      </c>
      <c r="L758" s="616">
        <f>TRUNC(IF($E758="",IFERROR(VLOOKUP($D758,SERVIÇOS!$C:$H,5,0),IFERROR(VLOOKUP($D758,$F:$M,7,0),)),0)*$I758,2)</f>
        <v>4.33</v>
      </c>
      <c r="M758" s="617">
        <f>K758+L758</f>
        <v>5.86</v>
      </c>
      <c r="N758" s="753" t="str">
        <f t="shared" si="354"/>
        <v>SERVIÇO SINAPI</v>
      </c>
      <c r="O758" s="943"/>
    </row>
    <row r="759" spans="2:15">
      <c r="B759" s="122">
        <f t="shared" si="353"/>
        <v>6</v>
      </c>
      <c r="C759" s="611" t="str">
        <f>IF(D759&lt;&gt;"","C",IF(E759&lt;&gt;"","I",""))</f>
        <v>I</v>
      </c>
      <c r="D759" s="660"/>
      <c r="E759" s="661" t="s">
        <v>9084</v>
      </c>
      <c r="F759" s="612"/>
      <c r="G759" s="613" t="str">
        <f>IF($E759="",IFERROR(VLOOKUP($D759,SERVIÇOS!$C:$H,2,0),IFERROR(VLOOKUP($D759,$F:$M,2,0),"")),IFERROR(VLOOKUP($E759,INSUMOS!$B:$E,2,0),IFERROR(VLOOKUP($E759,COTAÇÕES!$C:$L,2,0),"")))</f>
        <v xml:space="preserve">LÂMPADA LED 25W </v>
      </c>
      <c r="H759" s="593" t="str">
        <f>IF($E759="",IFERROR(VLOOKUP($D759,SERVIÇOS!$C:$H,3,0),IFERROR(VLOOKUP($D759,$F:$M,3,0),"")),IFERROR(VLOOKUP($E759,INSUMOS!$B:$E,3,0),IFERROR(VLOOKUP($E759,COTAÇÕES!$C:$L,5,0),"")))</f>
        <v>UN</v>
      </c>
      <c r="I759" s="614">
        <v>1</v>
      </c>
      <c r="J759" s="670">
        <f>IF($E759="",IFERROR(VLOOKUP($D759,SERVIÇOS!$C:$H,6,0),IFERROR(VLOOKUP($D759,$F:$M,8,0),"")),IFERROR(VLOOKUP($E759,INSUMOS!$B:$E,4,0),IFERROR(VLOOKUP($E759,COTAÇÕES!$C:$L,10,0),"")))</f>
        <v>36.693333333333335</v>
      </c>
      <c r="K759" s="615">
        <f>TRUNC(IF($E759="",IFERROR(VLOOKUP($D759,SERVIÇOS!$C:$H,4,0),IFERROR(VLOOKUP($D759,$F:$M,6,0),)),IFERROR(VLOOKUP($E759,INSUMOS!$B:$E,4,0),IFERROR(VLOOKUP($E759,COTAÇÕES!$C:$L,10,0),)))*$I759,2)</f>
        <v>36.69</v>
      </c>
      <c r="L759" s="616">
        <f>TRUNC(IF($E759="",IFERROR(VLOOKUP($D759,SERVIÇOS!$C:$H,5,0),IFERROR(VLOOKUP($D759,$F:$M,7,0),)),0)*$I759,2)</f>
        <v>0</v>
      </c>
      <c r="M759" s="617">
        <f>K759+L759</f>
        <v>36.69</v>
      </c>
      <c r="N759" s="753" t="s">
        <v>6845</v>
      </c>
      <c r="O759" s="943"/>
    </row>
    <row r="760" spans="2:15">
      <c r="B760" s="122">
        <f t="shared" si="353"/>
        <v>6</v>
      </c>
      <c r="C760" s="611" t="str">
        <f>IF(D760&lt;&gt;"","C",IF(E760&lt;&gt;"","I",""))</f>
        <v>I</v>
      </c>
      <c r="D760" s="660"/>
      <c r="E760" s="661" t="s">
        <v>9085</v>
      </c>
      <c r="F760" s="612"/>
      <c r="G760" s="894" t="str">
        <f>IF($E760="",IFERROR(VLOOKUP($D760,SERVIÇOS!$C:$H,2,0),IFERROR(VLOOKUP($D760,$F:$M,2,0),"")),IFERROR(VLOOKUP($E760,INSUMOS!$B:$E,2,0),IFERROR(VLOOKUP($E760,COTAÇÕES!$C:$L,2,0),"")))</f>
        <v>LUMINÁRIA ARANDELA TIPO TARTARUGA, COM GRADE, DE SOBREPOR</v>
      </c>
      <c r="H760" s="593" t="str">
        <f>IF($E760="",IFERROR(VLOOKUP($D760,SERVIÇOS!$C:$H,3,0),IFERROR(VLOOKUP($D760,$F:$M,3,0),"")),IFERROR(VLOOKUP($E760,INSUMOS!$B:$E,3,0),IFERROR(VLOOKUP($E760,COTAÇÕES!$C:$L,5,0),"")))</f>
        <v>UN</v>
      </c>
      <c r="I760" s="614">
        <v>1</v>
      </c>
      <c r="J760" s="670">
        <f>IF($E760="",IFERROR(VLOOKUP($D760,SERVIÇOS!$C:$H,6,0),IFERROR(VLOOKUP($D760,$F:$M,8,0),"")),IFERROR(VLOOKUP($E760,INSUMOS!$B:$E,4,0),IFERROR(VLOOKUP($E760,COTAÇÕES!$C:$L,10,0),"")))</f>
        <v>15.163333333333334</v>
      </c>
      <c r="K760" s="615">
        <f>TRUNC(IF($E760="",IFERROR(VLOOKUP($D760,SERVIÇOS!$C:$H,4,0),IFERROR(VLOOKUP($D760,$F:$M,6,0),)),IFERROR(VLOOKUP($E760,INSUMOS!$B:$E,4,0),IFERROR(VLOOKUP($E760,COTAÇÕES!$C:$L,10,0),)))*$I760,2)</f>
        <v>15.16</v>
      </c>
      <c r="L760" s="616">
        <f>TRUNC(IF($E760="",IFERROR(VLOOKUP($D760,SERVIÇOS!$C:$H,5,0),IFERROR(VLOOKUP($D760,$F:$M,7,0),)),0)*$I760,2)</f>
        <v>0</v>
      </c>
      <c r="M760" s="617">
        <f>K760+L760</f>
        <v>15.16</v>
      </c>
      <c r="N760" s="753" t="s">
        <v>6845</v>
      </c>
      <c r="O760" s="943"/>
    </row>
    <row r="761" spans="2:15" hidden="1">
      <c r="B761" s="769">
        <f>SUMIF(ORC!$G$11:$G$2470,CPU!$F761,ORC!$J$11:$J$2470)</f>
        <v>0</v>
      </c>
      <c r="C761" s="515" t="s">
        <v>2239</v>
      </c>
      <c r="D761" s="515"/>
      <c r="E761" s="515"/>
      <c r="F761" s="515" t="s">
        <v>6963</v>
      </c>
      <c r="G761" s="516" t="s">
        <v>6964</v>
      </c>
      <c r="H761" s="515" t="s">
        <v>646</v>
      </c>
      <c r="I761" s="595"/>
      <c r="J761" s="596"/>
      <c r="K761" s="597">
        <f>SUM(K762:K764)</f>
        <v>11.120000000000001</v>
      </c>
      <c r="L761" s="597">
        <f>SUM(L762:L764)</f>
        <v>8.9700000000000006</v>
      </c>
      <c r="M761" s="597">
        <f>SUM(K761:L761)</f>
        <v>20.090000000000003</v>
      </c>
      <c r="N761" s="598" t="s">
        <v>8401</v>
      </c>
      <c r="O761" s="949" t="s">
        <v>6939</v>
      </c>
    </row>
    <row r="762" spans="2:15" hidden="1">
      <c r="B762" s="122">
        <f t="shared" ref="B762:B764" si="355">B761</f>
        <v>0</v>
      </c>
      <c r="C762" s="611" t="str">
        <f>IF(D762&lt;&gt;"","C",IF(E762&lt;&gt;"","I",""))</f>
        <v>I</v>
      </c>
      <c r="D762" s="660"/>
      <c r="E762" s="662" t="s">
        <v>9086</v>
      </c>
      <c r="F762" s="630"/>
      <c r="G762" s="613" t="str">
        <f>IF($E762="",IFERROR(VLOOKUP($D762,SERVIÇOS!$C:$H,2,0),IFERROR(VLOOKUP($D762,$F:$M,2,0),"")),IFERROR(VLOOKUP($E762,INSUMOS!$B:$E,2,0),IFERROR(VLOOKUP($E762,COTAÇÕES!$C:$L,2,0),"")))</f>
        <v>CONECTOR RJ45 MACHO CAT.6</v>
      </c>
      <c r="H762" s="593" t="str">
        <f>IF($E762="",IFERROR(VLOOKUP($D762,SERVIÇOS!$C:$H,3,0),IFERROR(VLOOKUP($D762,$F:$M,3,0),"")),IFERROR(VLOOKUP($E762,INSUMOS!$B:$E,3,0),IFERROR(VLOOKUP($E762,COTAÇÕES!$C:$L,5,0),"")))</f>
        <v>UN</v>
      </c>
      <c r="I762" s="614">
        <v>1</v>
      </c>
      <c r="J762" s="670">
        <f>IF($E762="",IFERROR(VLOOKUP($D762,SERVIÇOS!$C:$H,6,0),IFERROR(VLOOKUP($D762,$F:$M,8,0),"")),IFERROR(VLOOKUP($E762,INSUMOS!$B:$E,4,0),IFERROR(VLOOKUP($E762,COTAÇÕES!$C:$L,10,0),"")))</f>
        <v>8.3800000000000008</v>
      </c>
      <c r="K762" s="615">
        <f>TRUNC(IF($E762="",IFERROR(VLOOKUP($D762,SERVIÇOS!$C:$H,4,0),IFERROR(VLOOKUP($D762,$F:$M,6,0),)),IFERROR(VLOOKUP($E762,INSUMOS!$B:$E,4,0),IFERROR(VLOOKUP($E762,COTAÇÕES!$C:$L,10,0),)))*$I762,2)</f>
        <v>8.3800000000000008</v>
      </c>
      <c r="L762" s="616">
        <f>TRUNC(IF($E762="",IFERROR(VLOOKUP($D762,SERVIÇOS!$C:$H,5,0),IFERROR(VLOOKUP($D762,$F:$M,7,0),)),0)*$I762,2)</f>
        <v>0</v>
      </c>
      <c r="M762" s="617">
        <f>K762+L762</f>
        <v>8.3800000000000008</v>
      </c>
      <c r="N762" s="753" t="s">
        <v>6845</v>
      </c>
      <c r="O762" s="943"/>
    </row>
    <row r="763" spans="2:15" hidden="1">
      <c r="B763" s="122">
        <f t="shared" si="355"/>
        <v>0</v>
      </c>
      <c r="C763" s="611" t="str">
        <f>IF(D763&lt;&gt;"","C",IF(E763&lt;&gt;"","I",""))</f>
        <v>C</v>
      </c>
      <c r="D763" s="660">
        <v>88247</v>
      </c>
      <c r="E763" s="661"/>
      <c r="F763" s="612"/>
      <c r="G763" s="613" t="str">
        <f>IF($E763="",IFERROR(VLOOKUP($D763,SERVIÇOS!$C:$H,2,0),IFERROR(VLOOKUP($D763,$F:$M,2,0),"")),IFERROR(VLOOKUP($E763,INSUMOS!$B:$E,2,0),IFERROR(VLOOKUP($E763,COTAÇÕES!$C:$L,2,0),"")))</f>
        <v>AUXILIAR DE ELETRICISTA COM ENCARGOS COMPLEMENTARES</v>
      </c>
      <c r="H763" s="593" t="str">
        <f>IF($E763="",IFERROR(VLOOKUP($D763,SERVIÇOS!$C:$H,3,0),IFERROR(VLOOKUP($D763,$F:$M,3,0),"")),IFERROR(VLOOKUP($E763,INSUMOS!$B:$E,3,0),IFERROR(VLOOKUP($E763,COTAÇÕES!$C:$L,5,0),"")))</f>
        <v>H</v>
      </c>
      <c r="I763" s="614">
        <v>0.20619999999999999</v>
      </c>
      <c r="J763" s="670">
        <f>IF($E763="",IFERROR(VLOOKUP($D763,SERVIÇOS!$C:$H,6,0),IFERROR(VLOOKUP($D763,$F:$M,8,0),"")),IFERROR(VLOOKUP($E763,INSUMOS!$B:$E,4,0),IFERROR(VLOOKUP($E763,COTAÇÕES!$C:$L,10,0),"")))</f>
        <v>25.53</v>
      </c>
      <c r="K763" s="615">
        <f>TRUNC(IF($E763="",IFERROR(VLOOKUP($D763,SERVIÇOS!$C:$H,4,0),IFERROR(VLOOKUP($D763,$F:$M,6,0),)),IFERROR(VLOOKUP($E763,INSUMOS!$B:$E,4,0),IFERROR(VLOOKUP($E763,COTAÇÕES!$C:$L,10,0),)))*$I763,2)</f>
        <v>1.37</v>
      </c>
      <c r="L763" s="616">
        <f>TRUNC(IF($E763="",IFERROR(VLOOKUP($D763,SERVIÇOS!$C:$H,5,0),IFERROR(VLOOKUP($D763,$F:$M,7,0),)),0)*$I763,2)</f>
        <v>3.89</v>
      </c>
      <c r="M763" s="617">
        <f>K763+L763</f>
        <v>5.26</v>
      </c>
      <c r="N763" s="753" t="str">
        <f t="shared" ref="N763:N764" si="356">IF($D763&lt;&gt;"","SERVIÇO SINAPI",IF($E763&lt;&gt;"","INSUMO SINAPI",""))</f>
        <v>SERVIÇO SINAPI</v>
      </c>
      <c r="O763" s="943"/>
    </row>
    <row r="764" spans="2:15" hidden="1">
      <c r="B764" s="122">
        <f t="shared" si="355"/>
        <v>0</v>
      </c>
      <c r="C764" s="611" t="str">
        <f>IF(D764&lt;&gt;"","C",IF(E764&lt;&gt;"","I",""))</f>
        <v>C</v>
      </c>
      <c r="D764" s="660">
        <v>88264</v>
      </c>
      <c r="E764" s="661"/>
      <c r="F764" s="612"/>
      <c r="G764" s="613" t="str">
        <f>IF($E764="",IFERROR(VLOOKUP($D764,SERVIÇOS!$C:$H,2,0),IFERROR(VLOOKUP($D764,$F:$M,2,0),"")),IFERROR(VLOOKUP($E764,INSUMOS!$B:$E,2,0),IFERROR(VLOOKUP($E764,COTAÇÕES!$C:$L,2,0),"")))</f>
        <v>ELETRICISTA COM ENCARGOS COMPLEMENTARES</v>
      </c>
      <c r="H764" s="593" t="str">
        <f>IF($E764="",IFERROR(VLOOKUP($D764,SERVIÇOS!$C:$H,3,0),IFERROR(VLOOKUP($D764,$F:$M,3,0),"")),IFERROR(VLOOKUP($E764,INSUMOS!$B:$E,3,0),IFERROR(VLOOKUP($E764,COTAÇÕES!$C:$L,5,0),"")))</f>
        <v>H</v>
      </c>
      <c r="I764" s="614">
        <v>0.20619999999999999</v>
      </c>
      <c r="J764" s="670">
        <f>IF($E764="",IFERROR(VLOOKUP($D764,SERVIÇOS!$C:$H,6,0),IFERROR(VLOOKUP($D764,$F:$M,8,0),"")),IFERROR(VLOOKUP($E764,INSUMOS!$B:$E,4,0),IFERROR(VLOOKUP($E764,COTAÇÕES!$C:$L,10,0),"")))</f>
        <v>31.32</v>
      </c>
      <c r="K764" s="615">
        <f>TRUNC(IF($E764="",IFERROR(VLOOKUP($D764,SERVIÇOS!$C:$H,4,0),IFERROR(VLOOKUP($D764,$F:$M,6,0),)),IFERROR(VLOOKUP($E764,INSUMOS!$B:$E,4,0),IFERROR(VLOOKUP($E764,COTAÇÕES!$C:$L,10,0),)))*$I764,2)</f>
        <v>1.37</v>
      </c>
      <c r="L764" s="616">
        <f>TRUNC(IF($E764="",IFERROR(VLOOKUP($D764,SERVIÇOS!$C:$H,5,0),IFERROR(VLOOKUP($D764,$F:$M,7,0),)),0)*$I764,2)</f>
        <v>5.08</v>
      </c>
      <c r="M764" s="617">
        <f>K764+L764</f>
        <v>6.45</v>
      </c>
      <c r="N764" s="753" t="str">
        <f t="shared" si="356"/>
        <v>SERVIÇO SINAPI</v>
      </c>
      <c r="O764" s="943"/>
    </row>
    <row r="765" spans="2:15">
      <c r="B765" s="769">
        <f>SUMIF(ORC!$G$11:$G$2470,CPU!$F765,ORC!$J$11:$J$2470)</f>
        <v>19</v>
      </c>
      <c r="C765" s="515" t="s">
        <v>2239</v>
      </c>
      <c r="D765" s="515"/>
      <c r="E765" s="515"/>
      <c r="F765" s="515" t="s">
        <v>7487</v>
      </c>
      <c r="G765" s="516" t="s">
        <v>7489</v>
      </c>
      <c r="H765" s="515" t="s">
        <v>646</v>
      </c>
      <c r="I765" s="595"/>
      <c r="J765" s="596"/>
      <c r="K765" s="597">
        <f>SUM(K766:K768)</f>
        <v>58.1</v>
      </c>
      <c r="L765" s="597">
        <f>SUM(L766:L768)</f>
        <v>11.01</v>
      </c>
      <c r="M765" s="597">
        <f>SUM(K765:L765)</f>
        <v>69.11</v>
      </c>
      <c r="N765" s="598" t="s">
        <v>7488</v>
      </c>
      <c r="O765" s="941"/>
    </row>
    <row r="766" spans="2:15">
      <c r="B766" s="122">
        <f t="shared" ref="B766:B772" si="357">B765</f>
        <v>19</v>
      </c>
      <c r="C766" s="611" t="str">
        <f>IF(D766&lt;&gt;"","C",IF(E766&lt;&gt;"","I",""))</f>
        <v>I</v>
      </c>
      <c r="D766" s="660"/>
      <c r="E766" s="662" t="s">
        <v>9087</v>
      </c>
      <c r="F766" s="630"/>
      <c r="G766" s="613" t="str">
        <f>IF($E766="",IFERROR(VLOOKUP($D766,SERVIÇOS!$C:$H,2,0),IFERROR(VLOOKUP($D766,$F:$M,2,0),"")),IFERROR(VLOOKUP($E766,INSUMOS!$B:$E,2,0),IFERROR(VLOOKUP($E766,COTAÇÕES!$C:$L,2,0),"")))</f>
        <v>HASTE DE ATERRAMENTO TIPO COOPERWELD 5/8"X2,40m</v>
      </c>
      <c r="H766" s="593" t="str">
        <f>IF($E766="",IFERROR(VLOOKUP($D766,SERVIÇOS!$C:$H,3,0),IFERROR(VLOOKUP($D766,$F:$M,3,0),"")),IFERROR(VLOOKUP($E766,INSUMOS!$B:$E,3,0),IFERROR(VLOOKUP($E766,COTAÇÕES!$C:$L,5,0),"")))</f>
        <v xml:space="preserve">UN </v>
      </c>
      <c r="I766" s="614">
        <v>1</v>
      </c>
      <c r="J766" s="670">
        <f>IF($E766="",IFERROR(VLOOKUP($D766,SERVIÇOS!$C:$H,6,0),IFERROR(VLOOKUP($D766,$F:$M,8,0),"")),IFERROR(VLOOKUP($E766,INSUMOS!$B:$E,4,0),IFERROR(VLOOKUP($E766,COTAÇÕES!$C:$L,10,0),"")))</f>
        <v>54.74</v>
      </c>
      <c r="K766" s="615">
        <f>TRUNC(IF($E766="",IFERROR(VLOOKUP($D766,SERVIÇOS!$C:$H,4,0),IFERROR(VLOOKUP($D766,$F:$M,6,0),)),IFERROR(VLOOKUP($E766,INSUMOS!$B:$E,4,0),IFERROR(VLOOKUP($E766,COTAÇÕES!$C:$L,10,0),)))*$I766,2)</f>
        <v>54.74</v>
      </c>
      <c r="L766" s="616">
        <f>TRUNC(IF($E766="",IFERROR(VLOOKUP($D766,SERVIÇOS!$C:$H,5,0),IFERROR(VLOOKUP($D766,$F:$M,7,0),)),0)*$I766,2)</f>
        <v>0</v>
      </c>
      <c r="M766" s="617">
        <f>K766+L766</f>
        <v>54.74</v>
      </c>
      <c r="N766" s="753" t="s">
        <v>6845</v>
      </c>
      <c r="O766" s="943"/>
    </row>
    <row r="767" spans="2:15">
      <c r="B767" s="122">
        <f t="shared" si="357"/>
        <v>19</v>
      </c>
      <c r="C767" s="611" t="str">
        <f>IF(D767&lt;&gt;"","C",IF(E767&lt;&gt;"","I",""))</f>
        <v>C</v>
      </c>
      <c r="D767" s="660">
        <v>88247</v>
      </c>
      <c r="E767" s="661"/>
      <c r="F767" s="612"/>
      <c r="G767" s="613" t="str">
        <f>IF($E767="",IFERROR(VLOOKUP($D767,SERVIÇOS!$C:$H,2,0),IFERROR(VLOOKUP($D767,$F:$M,2,0),"")),IFERROR(VLOOKUP($E767,INSUMOS!$B:$E,2,0),IFERROR(VLOOKUP($E767,COTAÇÕES!$C:$L,2,0),"")))</f>
        <v>AUXILIAR DE ELETRICISTA COM ENCARGOS COMPLEMENTARES</v>
      </c>
      <c r="H767" s="593" t="str">
        <f>IF($E767="",IFERROR(VLOOKUP($D767,SERVIÇOS!$C:$H,3,0),IFERROR(VLOOKUP($D767,$F:$M,3,0),"")),IFERROR(VLOOKUP($E767,INSUMOS!$B:$E,3,0),IFERROR(VLOOKUP($E767,COTAÇÕES!$C:$L,5,0),"")))</f>
        <v>H</v>
      </c>
      <c r="I767" s="614">
        <v>0.25309999999999999</v>
      </c>
      <c r="J767" s="670">
        <f>IF($E767="",IFERROR(VLOOKUP($D767,SERVIÇOS!$C:$H,6,0),IFERROR(VLOOKUP($D767,$F:$M,8,0),"")),IFERROR(VLOOKUP($E767,INSUMOS!$B:$E,4,0),IFERROR(VLOOKUP($E767,COTAÇÕES!$C:$L,10,0),"")))</f>
        <v>25.53</v>
      </c>
      <c r="K767" s="615">
        <f>TRUNC(IF($E767="",IFERROR(VLOOKUP($D767,SERVIÇOS!$C:$H,4,0),IFERROR(VLOOKUP($D767,$F:$M,6,0),)),IFERROR(VLOOKUP($E767,INSUMOS!$B:$E,4,0),IFERROR(VLOOKUP($E767,COTAÇÕES!$C:$L,10,0),)))*$I767,2)</f>
        <v>1.68</v>
      </c>
      <c r="L767" s="616">
        <f>TRUNC(IF($E767="",IFERROR(VLOOKUP($D767,SERVIÇOS!$C:$H,5,0),IFERROR(VLOOKUP($D767,$F:$M,7,0),)),0)*$I767,2)</f>
        <v>4.7699999999999996</v>
      </c>
      <c r="M767" s="617">
        <f>K767+L767</f>
        <v>6.4499999999999993</v>
      </c>
      <c r="N767" s="753" t="str">
        <f t="shared" ref="N767:N768" si="358">IF($D767&lt;&gt;"","SERVIÇO SINAPI",IF($E767&lt;&gt;"","INSUMO SINAPI",""))</f>
        <v>SERVIÇO SINAPI</v>
      </c>
      <c r="O767" s="943"/>
    </row>
    <row r="768" spans="2:15">
      <c r="B768" s="122">
        <f t="shared" si="357"/>
        <v>19</v>
      </c>
      <c r="C768" s="611" t="str">
        <f>IF(D768&lt;&gt;"","C",IF(E768&lt;&gt;"","I",""))</f>
        <v>C</v>
      </c>
      <c r="D768" s="660">
        <v>88264</v>
      </c>
      <c r="E768" s="661"/>
      <c r="F768" s="612"/>
      <c r="G768" s="613" t="str">
        <f>IF($E768="",IFERROR(VLOOKUP($D768,SERVIÇOS!$C:$H,2,0),IFERROR(VLOOKUP($D768,$F:$M,2,0),"")),IFERROR(VLOOKUP($E768,INSUMOS!$B:$E,2,0),IFERROR(VLOOKUP($E768,COTAÇÕES!$C:$L,2,0),"")))</f>
        <v>ELETRICISTA COM ENCARGOS COMPLEMENTARES</v>
      </c>
      <c r="H768" s="593" t="str">
        <f>IF($E768="",IFERROR(VLOOKUP($D768,SERVIÇOS!$C:$H,3,0),IFERROR(VLOOKUP($D768,$F:$M,3,0),"")),IFERROR(VLOOKUP($E768,INSUMOS!$B:$E,3,0),IFERROR(VLOOKUP($E768,COTAÇÕES!$C:$L,5,0),"")))</f>
        <v>H</v>
      </c>
      <c r="I768" s="614">
        <v>0.25309999999999999</v>
      </c>
      <c r="J768" s="670">
        <f>IF($E768="",IFERROR(VLOOKUP($D768,SERVIÇOS!$C:$H,6,0),IFERROR(VLOOKUP($D768,$F:$M,8,0),"")),IFERROR(VLOOKUP($E768,INSUMOS!$B:$E,4,0),IFERROR(VLOOKUP($E768,COTAÇÕES!$C:$L,10,0),"")))</f>
        <v>31.32</v>
      </c>
      <c r="K768" s="615">
        <f>TRUNC(IF($E768="",IFERROR(VLOOKUP($D768,SERVIÇOS!$C:$H,4,0),IFERROR(VLOOKUP($D768,$F:$M,6,0),)),IFERROR(VLOOKUP($E768,INSUMOS!$B:$E,4,0),IFERROR(VLOOKUP($E768,COTAÇÕES!$C:$L,10,0),)))*$I768,2)</f>
        <v>1.68</v>
      </c>
      <c r="L768" s="616">
        <f>TRUNC(IF($E768="",IFERROR(VLOOKUP($D768,SERVIÇOS!$C:$H,5,0),IFERROR(VLOOKUP($D768,$F:$M,7,0),)),0)*$I768,2)</f>
        <v>6.24</v>
      </c>
      <c r="M768" s="617">
        <f>K768+L768</f>
        <v>7.92</v>
      </c>
      <c r="N768" s="753" t="str">
        <f t="shared" si="358"/>
        <v>SERVIÇO SINAPI</v>
      </c>
      <c r="O768" s="943"/>
    </row>
    <row r="769" spans="2:15">
      <c r="B769" s="769">
        <f>SUMIF(ORC!$G$11:$G$2470,CPU!$F769,ORC!$J$11:$J$2470)</f>
        <v>1</v>
      </c>
      <c r="C769" s="515" t="s">
        <v>2239</v>
      </c>
      <c r="D769" s="515"/>
      <c r="E769" s="515"/>
      <c r="F769" s="515" t="s">
        <v>14551</v>
      </c>
      <c r="G769" s="594" t="s">
        <v>14553</v>
      </c>
      <c r="H769" s="515" t="s">
        <v>646</v>
      </c>
      <c r="I769" s="595"/>
      <c r="J769" s="596"/>
      <c r="K769" s="597">
        <f>SUM(K770:K772)</f>
        <v>514.97</v>
      </c>
      <c r="L769" s="597">
        <f>SUM(L770:L772)</f>
        <v>130.59</v>
      </c>
      <c r="M769" s="597">
        <f>SUM(K769:L769)</f>
        <v>645.56000000000006</v>
      </c>
      <c r="N769" s="598"/>
      <c r="O769" s="941"/>
    </row>
    <row r="770" spans="2:15">
      <c r="B770" s="122">
        <f t="shared" si="357"/>
        <v>1</v>
      </c>
      <c r="C770" s="611" t="str">
        <f>IF(D770&lt;&gt;"","C",IF(E770&lt;&gt;"","I",""))</f>
        <v>I</v>
      </c>
      <c r="D770" s="660"/>
      <c r="E770" s="662" t="s">
        <v>14554</v>
      </c>
      <c r="F770" s="630"/>
      <c r="G770" s="613" t="str">
        <f>IF($E770="",IFERROR(VLOOKUP($D770,SERVIÇOS!$C:$H,2,0),IFERROR(VLOOKUP($D770,$F:$M,2,0),"")),IFERROR(VLOOKUP($E770,INSUMOS!$B:$E,2,0),IFERROR(VLOOKUP($E770,COTAÇÕES!$C:$L,2,0),"")))</f>
        <v>CENTRAL DE ALARME MONITORADA COM ATÉ 64 ZONAS</v>
      </c>
      <c r="H770" s="593" t="str">
        <f>IF($E770="",IFERROR(VLOOKUP($D770,SERVIÇOS!$C:$H,3,0),IFERROR(VLOOKUP($D770,$F:$M,3,0),"")),IFERROR(VLOOKUP($E770,INSUMOS!$B:$E,3,0),IFERROR(VLOOKUP($E770,COTAÇÕES!$C:$L,5,0),"")))</f>
        <v xml:space="preserve">UN </v>
      </c>
      <c r="I770" s="614">
        <v>1</v>
      </c>
      <c r="J770" s="670">
        <f>IF($E770="",IFERROR(VLOOKUP($D770,SERVIÇOS!$C:$H,6,0),IFERROR(VLOOKUP($D770,$F:$M,8,0),"")),IFERROR(VLOOKUP($E770,INSUMOS!$B:$E,4,0),IFERROR(VLOOKUP($E770,COTAÇÕES!$C:$L,10,0),"")))</f>
        <v>475.01666666666671</v>
      </c>
      <c r="K770" s="615">
        <f>TRUNC(IF($E770="",IFERROR(VLOOKUP($D770,SERVIÇOS!$C:$H,4,0),IFERROR(VLOOKUP($D770,$F:$M,6,0),)),IFERROR(VLOOKUP($E770,INSUMOS!$B:$E,4,0),IFERROR(VLOOKUP($E770,COTAÇÕES!$C:$L,10,0),)))*$I770,2)</f>
        <v>475.01</v>
      </c>
      <c r="L770" s="616">
        <f>TRUNC(IF($E770="",IFERROR(VLOOKUP($D770,SERVIÇOS!$C:$H,5,0),IFERROR(VLOOKUP($D770,$F:$M,7,0),)),0)*$I770,2)</f>
        <v>0</v>
      </c>
      <c r="M770" s="617">
        <f>K770+L770</f>
        <v>475.01</v>
      </c>
      <c r="N770" s="753" t="s">
        <v>6845</v>
      </c>
      <c r="O770" s="943"/>
    </row>
    <row r="771" spans="2:15">
      <c r="B771" s="122">
        <f t="shared" si="357"/>
        <v>1</v>
      </c>
      <c r="C771" s="611" t="str">
        <f>IF(D771&lt;&gt;"","C",IF(E771&lt;&gt;"","I",""))</f>
        <v>C</v>
      </c>
      <c r="D771" s="660">
        <v>88264</v>
      </c>
      <c r="E771" s="661"/>
      <c r="F771" s="612"/>
      <c r="G771" s="613" t="str">
        <f>IF($E771="",IFERROR(VLOOKUP($D771,SERVIÇOS!$C:$H,2,0),IFERROR(VLOOKUP($D771,$F:$M,2,0),"")),IFERROR(VLOOKUP($E771,INSUMOS!$B:$E,2,0),IFERROR(VLOOKUP($E771,COTAÇÕES!$C:$L,2,0),"")))</f>
        <v>ELETRICISTA COM ENCARGOS COMPLEMENTARES</v>
      </c>
      <c r="H771" s="593" t="str">
        <f>IF($E771="",IFERROR(VLOOKUP($D771,SERVIÇOS!$C:$H,3,0),IFERROR(VLOOKUP($D771,$F:$M,3,0),"")),IFERROR(VLOOKUP($E771,INSUMOS!$B:$E,3,0),IFERROR(VLOOKUP($E771,COTAÇÕES!$C:$L,5,0),"")))</f>
        <v>H</v>
      </c>
      <c r="I771" s="614">
        <v>3</v>
      </c>
      <c r="J771" s="670">
        <f>IF($E771="",IFERROR(VLOOKUP($D771,SERVIÇOS!$C:$H,6,0),IFERROR(VLOOKUP($D771,$F:$M,8,0),"")),IFERROR(VLOOKUP($E771,INSUMOS!$B:$E,4,0),IFERROR(VLOOKUP($E771,COTAÇÕES!$C:$L,10,0),"")))</f>
        <v>31.32</v>
      </c>
      <c r="K771" s="615">
        <f>TRUNC(IF($E771="",IFERROR(VLOOKUP($D771,SERVIÇOS!$C:$H,4,0),IFERROR(VLOOKUP($D771,$F:$M,6,0),)),IFERROR(VLOOKUP($E771,INSUMOS!$B:$E,4,0),IFERROR(VLOOKUP($E771,COTAÇÕES!$C:$L,10,0),)))*$I771,2)</f>
        <v>19.98</v>
      </c>
      <c r="L771" s="616">
        <f>TRUNC(IF($E771="",IFERROR(VLOOKUP($D771,SERVIÇOS!$C:$H,5,0),IFERROR(VLOOKUP($D771,$F:$M,7,0),)),0)*$I771,2)</f>
        <v>73.98</v>
      </c>
      <c r="M771" s="617">
        <f>K771+L771</f>
        <v>93.960000000000008</v>
      </c>
      <c r="N771" s="753" t="str">
        <f t="shared" ref="N771:N772" si="359">IF($D771&lt;&gt;"","SERVIÇO SINAPI",IF($E771&lt;&gt;"","INSUMO SINAPI",""))</f>
        <v>SERVIÇO SINAPI</v>
      </c>
      <c r="O771" s="943"/>
    </row>
    <row r="772" spans="2:15">
      <c r="B772" s="122">
        <f t="shared" si="357"/>
        <v>1</v>
      </c>
      <c r="C772" s="611" t="str">
        <f>IF(D772&lt;&gt;"","C",IF(E772&lt;&gt;"","I",""))</f>
        <v>C</v>
      </c>
      <c r="D772" s="660">
        <v>88247</v>
      </c>
      <c r="E772" s="661"/>
      <c r="F772" s="612"/>
      <c r="G772" s="613" t="str">
        <f>IF($E772="",IFERROR(VLOOKUP($D772,SERVIÇOS!$C:$H,2,0),IFERROR(VLOOKUP($D772,$F:$M,2,0),"")),IFERROR(VLOOKUP($E772,INSUMOS!$B:$E,2,0),IFERROR(VLOOKUP($E772,COTAÇÕES!$C:$L,2,0),"")))</f>
        <v>AUXILIAR DE ELETRICISTA COM ENCARGOS COMPLEMENTARES</v>
      </c>
      <c r="H772" s="593" t="str">
        <f>IF($E772="",IFERROR(VLOOKUP($D772,SERVIÇOS!$C:$H,3,0),IFERROR(VLOOKUP($D772,$F:$M,3,0),"")),IFERROR(VLOOKUP($E772,INSUMOS!$B:$E,3,0),IFERROR(VLOOKUP($E772,COTAÇÕES!$C:$L,5,0),"")))</f>
        <v>H</v>
      </c>
      <c r="I772" s="614">
        <v>3</v>
      </c>
      <c r="J772" s="670">
        <f>IF($E772="",IFERROR(VLOOKUP($D772,SERVIÇOS!$C:$H,6,0),IFERROR(VLOOKUP($D772,$F:$M,8,0),"")),IFERROR(VLOOKUP($E772,INSUMOS!$B:$E,4,0),IFERROR(VLOOKUP($E772,COTAÇÕES!$C:$L,10,0),"")))</f>
        <v>25.53</v>
      </c>
      <c r="K772" s="615">
        <f>TRUNC(IF($E772="",IFERROR(VLOOKUP($D772,SERVIÇOS!$C:$H,4,0),IFERROR(VLOOKUP($D772,$F:$M,6,0),)),IFERROR(VLOOKUP($E772,INSUMOS!$B:$E,4,0),IFERROR(VLOOKUP($E772,COTAÇÕES!$C:$L,10,0),)))*$I772,2)</f>
        <v>19.98</v>
      </c>
      <c r="L772" s="616">
        <f>TRUNC(IF($E772="",IFERROR(VLOOKUP($D772,SERVIÇOS!$C:$H,5,0),IFERROR(VLOOKUP($D772,$F:$M,7,0),)),0)*$I772,2)</f>
        <v>56.61</v>
      </c>
      <c r="M772" s="617">
        <f>K772+L772</f>
        <v>76.59</v>
      </c>
      <c r="N772" s="753" t="str">
        <f t="shared" si="359"/>
        <v>SERVIÇO SINAPI</v>
      </c>
      <c r="O772" s="943"/>
    </row>
    <row r="773" spans="2:15" ht="25.5">
      <c r="B773" s="769">
        <f>SUMIF(ORC!$G$11:$G$2470,CPU!$F773,ORC!$J$11:$J$2470)</f>
        <v>20</v>
      </c>
      <c r="C773" s="515" t="s">
        <v>2239</v>
      </c>
      <c r="D773" s="515"/>
      <c r="E773" s="515"/>
      <c r="F773" s="515" t="s">
        <v>14552</v>
      </c>
      <c r="G773" s="594" t="s">
        <v>14567</v>
      </c>
      <c r="H773" s="515" t="s">
        <v>648</v>
      </c>
      <c r="I773" s="595"/>
      <c r="J773" s="596"/>
      <c r="K773" s="597">
        <f>SUM(K774:K776)</f>
        <v>4.51</v>
      </c>
      <c r="L773" s="597">
        <f>SUM(L774:L776)</f>
        <v>2.91</v>
      </c>
      <c r="M773" s="596">
        <f>SUM(K773:L773)</f>
        <v>7.42</v>
      </c>
      <c r="N773" s="598" t="s">
        <v>14568</v>
      </c>
      <c r="O773" s="599"/>
    </row>
    <row r="774" spans="2:15">
      <c r="B774" s="122">
        <f t="shared" ref="B774:B776" si="360">B773</f>
        <v>20</v>
      </c>
      <c r="C774" s="611" t="str">
        <f>IF(D774&lt;&gt;"","C",IF(E774&lt;&gt;"","I",""))</f>
        <v>C</v>
      </c>
      <c r="D774" s="661">
        <v>88247</v>
      </c>
      <c r="E774" s="661"/>
      <c r="F774" s="612"/>
      <c r="G774" s="613" t="str">
        <f>IF($E774="",IFERROR(VLOOKUP($D774,SERVIÇOS!$C:$H,2,0),IFERROR(VLOOKUP($D774,$F:$M,2,0),"")),IFERROR(VLOOKUP($E774,INSUMOS!$B:$E,2,0),IFERROR(VLOOKUP($E774,COTAÇÕES!$C:$L,2,0),"")))</f>
        <v>AUXILIAR DE ELETRICISTA COM ENCARGOS COMPLEMENTARES</v>
      </c>
      <c r="H774" s="593" t="str">
        <f>IF($E774="",IFERROR(VLOOKUP($D774,SERVIÇOS!$C:$H,3,0),IFERROR(VLOOKUP($D774,$F:$M,3,0),"")),IFERROR(VLOOKUP($E774,INSUMOS!$B:$E,3,0),IFERROR(VLOOKUP($E774,COTAÇÕES!$C:$L,5,0),"")))</f>
        <v>H</v>
      </c>
      <c r="I774" s="614">
        <v>6.7199999999999996E-2</v>
      </c>
      <c r="J774" s="670">
        <f>IF($E774="",IFERROR(VLOOKUP($D774,SERVIÇOS!$C:$H,6,0),IFERROR(VLOOKUP($D774,$F:$M,8,0),"")),IFERROR(VLOOKUP($E774,INSUMOS!$B:$E,4,0),IFERROR(VLOOKUP($E774,COTAÇÕES!$C:$L,10,0),"")))</f>
        <v>25.53</v>
      </c>
      <c r="K774" s="615">
        <f>TRUNC(IF($E774="",IFERROR(VLOOKUP($D774,SERVIÇOS!$C:$H,4,0),IFERROR(VLOOKUP($D774,$F:$M,6,0),)),IFERROR(VLOOKUP($E774,INSUMOS!$B:$E,4,0),IFERROR(VLOOKUP($E774,COTAÇÕES!$C:$L,10,0),)))*$I774,2)</f>
        <v>0.44</v>
      </c>
      <c r="L774" s="616">
        <f>TRUNC(IF($E774="",IFERROR(VLOOKUP($D774,SERVIÇOS!$C:$H,5,0),IFERROR(VLOOKUP($D774,$F:$M,7,0),)),0)*$I774,2)</f>
        <v>1.26</v>
      </c>
      <c r="M774" s="617">
        <f>K774+L774</f>
        <v>1.7</v>
      </c>
      <c r="N774" s="753" t="str">
        <f>IF($D774&lt;&gt;"","SERVIÇO SINAPI",IF($E774&lt;&gt;"","INSUMO SINAPI",""))</f>
        <v>SERVIÇO SINAPI</v>
      </c>
      <c r="O774" s="648"/>
    </row>
    <row r="775" spans="2:15">
      <c r="B775" s="122">
        <f t="shared" si="360"/>
        <v>20</v>
      </c>
      <c r="C775" s="611" t="str">
        <f>IF(D775&lt;&gt;"","C",IF(E775&lt;&gt;"","I",""))</f>
        <v>C</v>
      </c>
      <c r="D775" s="661">
        <v>88264</v>
      </c>
      <c r="E775" s="661"/>
      <c r="F775" s="612"/>
      <c r="G775" s="613" t="str">
        <f>IF($E775="",IFERROR(VLOOKUP($D775,SERVIÇOS!$C:$H,2,0),IFERROR(VLOOKUP($D775,$F:$M,2,0),"")),IFERROR(VLOOKUP($E775,INSUMOS!$B:$E,2,0),IFERROR(VLOOKUP($E775,COTAÇÕES!$C:$L,2,0),"")))</f>
        <v>ELETRICISTA COM ENCARGOS COMPLEMENTARES</v>
      </c>
      <c r="H775" s="593" t="str">
        <f>IF($E775="",IFERROR(VLOOKUP($D775,SERVIÇOS!$C:$H,3,0),IFERROR(VLOOKUP($D775,$F:$M,3,0),"")),IFERROR(VLOOKUP($E775,INSUMOS!$B:$E,3,0),IFERROR(VLOOKUP($E775,COTAÇÕES!$C:$L,5,0),"")))</f>
        <v>H</v>
      </c>
      <c r="I775" s="614">
        <v>6.7199999999999996E-2</v>
      </c>
      <c r="J775" s="670">
        <f>IF($E775="",IFERROR(VLOOKUP($D775,SERVIÇOS!$C:$H,6,0),IFERROR(VLOOKUP($D775,$F:$M,8,0),"")),IFERROR(VLOOKUP($E775,INSUMOS!$B:$E,4,0),IFERROR(VLOOKUP($E775,COTAÇÕES!$C:$L,10,0),"")))</f>
        <v>31.32</v>
      </c>
      <c r="K775" s="615">
        <f>TRUNC(IF($E775="",IFERROR(VLOOKUP($D775,SERVIÇOS!$C:$H,4,0),IFERROR(VLOOKUP($D775,$F:$M,6,0),)),IFERROR(VLOOKUP($E775,INSUMOS!$B:$E,4,0),IFERROR(VLOOKUP($E775,COTAÇÕES!$C:$L,10,0),)))*$I775,2)</f>
        <v>0.44</v>
      </c>
      <c r="L775" s="616">
        <f>TRUNC(IF($E775="",IFERROR(VLOOKUP($D775,SERVIÇOS!$C:$H,5,0),IFERROR(VLOOKUP($D775,$F:$M,7,0),)),0)*$I775,2)</f>
        <v>1.65</v>
      </c>
      <c r="M775" s="617">
        <f>K775+L775</f>
        <v>2.09</v>
      </c>
      <c r="N775" s="753" t="str">
        <f>IF($D775&lt;&gt;"","SERVIÇO SINAPI",IF($E775&lt;&gt;"","INSUMO SINAPI",""))</f>
        <v>SERVIÇO SINAPI</v>
      </c>
      <c r="O775" s="648"/>
    </row>
    <row r="776" spans="2:15">
      <c r="B776" s="122">
        <f t="shared" si="360"/>
        <v>20</v>
      </c>
      <c r="C776" s="611" t="str">
        <f>IF(D776&lt;&gt;"","C",IF(E776&lt;&gt;"","I",""))</f>
        <v>I</v>
      </c>
      <c r="D776" s="661"/>
      <c r="E776" s="661" t="s">
        <v>14569</v>
      </c>
      <c r="F776" s="612"/>
      <c r="G776" s="613" t="str">
        <f>IF($E776="",IFERROR(VLOOKUP($D776,SERVIÇOS!$C:$H,2,0),IFERROR(VLOOKUP($D776,$F:$M,2,0),"")),IFERROR(VLOOKUP($E776,INSUMOS!$B:$E,2,0),IFERROR(VLOOKUP($E776,COTAÇÕES!$C:$L,2,0),"")))</f>
        <v>ELETRODUTO FLEXIVEL CORRUGADO EM PEAD 1", DN 32 MM, KANAFLEX</v>
      </c>
      <c r="H776" s="593" t="str">
        <f>IF($E776="",IFERROR(VLOOKUP($D776,SERVIÇOS!$C:$H,3,0),IFERROR(VLOOKUP($D776,$F:$M,3,0),"")),IFERROR(VLOOKUP($E776,INSUMOS!$B:$E,3,0),IFERROR(VLOOKUP($E776,COTAÇÕES!$C:$L,5,0),"")))</f>
        <v>M</v>
      </c>
      <c r="I776" s="614">
        <v>1.1000000000000001</v>
      </c>
      <c r="J776" s="670">
        <f>IF($E776="",IFERROR(VLOOKUP($D776,SERVIÇOS!$C:$H,6,0),IFERROR(VLOOKUP($D776,$F:$M,8,0),"")),IFERROR(VLOOKUP($E776,INSUMOS!$B:$E,4,0),IFERROR(VLOOKUP($E776,COTAÇÕES!$C:$L,10,0),"")))</f>
        <v>3.2999999999999994</v>
      </c>
      <c r="K776" s="615">
        <f>TRUNC(IF($E776="",IFERROR(VLOOKUP($D776,SERVIÇOS!$C:$H,4,0),IFERROR(VLOOKUP($D776,$F:$M,6,0),)),IFERROR(VLOOKUP($E776,INSUMOS!$B:$E,4,0),IFERROR(VLOOKUP($E776,COTAÇÕES!$C:$L,10,0),)))*$I776,2)</f>
        <v>3.63</v>
      </c>
      <c r="L776" s="616">
        <f>TRUNC(IF($E776="",IFERROR(VLOOKUP($D776,SERVIÇOS!$C:$H,5,0),IFERROR(VLOOKUP($D776,$F:$M,7,0),)),0)*$I776,2)</f>
        <v>0</v>
      </c>
      <c r="M776" s="617">
        <f>K776+L776</f>
        <v>3.63</v>
      </c>
      <c r="N776" s="753" t="s">
        <v>6845</v>
      </c>
      <c r="O776" s="648"/>
    </row>
    <row r="777" spans="2:15" hidden="1">
      <c r="B777" s="769">
        <f>SUMIF(ORC!$G$11:$G$2470,CPU!$F777,ORC!$J$11:$J$2470)</f>
        <v>0</v>
      </c>
      <c r="C777" s="515" t="s">
        <v>2239</v>
      </c>
      <c r="D777" s="515"/>
      <c r="E777" s="515"/>
      <c r="F777" s="515" t="s">
        <v>8968</v>
      </c>
      <c r="G777" s="594" t="s">
        <v>8970</v>
      </c>
      <c r="H777" s="515" t="s">
        <v>2666</v>
      </c>
      <c r="I777" s="595"/>
      <c r="J777" s="596"/>
      <c r="K777" s="597">
        <f>SUM(K778:K780)</f>
        <v>55.709999999999994</v>
      </c>
      <c r="L777" s="597">
        <f>SUM(L778:L780)</f>
        <v>13.05</v>
      </c>
      <c r="M777" s="596">
        <f>SUM(K777:L777)</f>
        <v>68.759999999999991</v>
      </c>
      <c r="N777" s="598" t="s">
        <v>8969</v>
      </c>
      <c r="O777" s="599"/>
    </row>
    <row r="778" spans="2:15" hidden="1">
      <c r="B778" s="122">
        <f t="shared" ref="B778:B780" si="361">B777</f>
        <v>0</v>
      </c>
      <c r="C778" s="611" t="str">
        <f>IF(D778&lt;&gt;"","C",IF(E778&lt;&gt;"","I",""))</f>
        <v>C</v>
      </c>
      <c r="D778" s="661">
        <v>88247</v>
      </c>
      <c r="E778" s="661"/>
      <c r="F778" s="612"/>
      <c r="G778" s="613" t="str">
        <f>IF($E778="",IFERROR(VLOOKUP($D778,SERVIÇOS!$C:$H,2,0),IFERROR(VLOOKUP($D778,$F:$M,2,0),"")),IFERROR(VLOOKUP($E778,INSUMOS!$B:$E,2,0),IFERROR(VLOOKUP($E778,COTAÇÕES!$C:$L,2,0),"")))</f>
        <v>AUXILIAR DE ELETRICISTA COM ENCARGOS COMPLEMENTARES</v>
      </c>
      <c r="H778" s="593" t="str">
        <f>IF($E778="",IFERROR(VLOOKUP($D778,SERVIÇOS!$C:$H,3,0),IFERROR(VLOOKUP($D778,$F:$M,3,0),"")),IFERROR(VLOOKUP($E778,INSUMOS!$B:$E,3,0),IFERROR(VLOOKUP($E778,COTAÇÕES!$C:$L,5,0),"")))</f>
        <v>H</v>
      </c>
      <c r="I778" s="614">
        <v>0.3</v>
      </c>
      <c r="J778" s="670">
        <f>IF($E778="",IFERROR(VLOOKUP($D778,SERVIÇOS!$C:$H,6,0),IFERROR(VLOOKUP($D778,$F:$M,8,0),"")),IFERROR(VLOOKUP($E778,INSUMOS!$B:$E,4,0),IFERROR(VLOOKUP($E778,COTAÇÕES!$C:$L,10,0),"")))</f>
        <v>25.53</v>
      </c>
      <c r="K778" s="615">
        <f>TRUNC(IF($E778="",IFERROR(VLOOKUP($D778,SERVIÇOS!$C:$H,4,0),IFERROR(VLOOKUP($D778,$F:$M,6,0),)),IFERROR(VLOOKUP($E778,INSUMOS!$B:$E,4,0),IFERROR(VLOOKUP($E778,COTAÇÕES!$C:$L,10,0),)))*$I778,2)</f>
        <v>1.99</v>
      </c>
      <c r="L778" s="616">
        <f>TRUNC(IF($E778="",IFERROR(VLOOKUP($D778,SERVIÇOS!$C:$H,5,0),IFERROR(VLOOKUP($D778,$F:$M,7,0),)),0)*$I778,2)</f>
        <v>5.66</v>
      </c>
      <c r="M778" s="617">
        <f>K778+L778</f>
        <v>7.65</v>
      </c>
      <c r="N778" s="753" t="str">
        <f>IF($D778&lt;&gt;"","SERVIÇO SINAPI",IF($E778&lt;&gt;"","INSUMO SINAPI",""))</f>
        <v>SERVIÇO SINAPI</v>
      </c>
      <c r="O778" s="648"/>
    </row>
    <row r="779" spans="2:15" hidden="1">
      <c r="B779" s="122">
        <f t="shared" si="361"/>
        <v>0</v>
      </c>
      <c r="C779" s="611" t="str">
        <f>IF(D779&lt;&gt;"","C",IF(E779&lt;&gt;"","I",""))</f>
        <v>C</v>
      </c>
      <c r="D779" s="661">
        <v>88264</v>
      </c>
      <c r="E779" s="661"/>
      <c r="F779" s="612"/>
      <c r="G779" s="613" t="str">
        <f>IF($E779="",IFERROR(VLOOKUP($D779,SERVIÇOS!$C:$H,2,0),IFERROR(VLOOKUP($D779,$F:$M,2,0),"")),IFERROR(VLOOKUP($E779,INSUMOS!$B:$E,2,0),IFERROR(VLOOKUP($E779,COTAÇÕES!$C:$L,2,0),"")))</f>
        <v>ELETRICISTA COM ENCARGOS COMPLEMENTARES</v>
      </c>
      <c r="H779" s="593" t="str">
        <f>IF($E779="",IFERROR(VLOOKUP($D779,SERVIÇOS!$C:$H,3,0),IFERROR(VLOOKUP($D779,$F:$M,3,0),"")),IFERROR(VLOOKUP($E779,INSUMOS!$B:$E,3,0),IFERROR(VLOOKUP($E779,COTAÇÕES!$C:$L,5,0),"")))</f>
        <v>H</v>
      </c>
      <c r="I779" s="614">
        <v>0.3</v>
      </c>
      <c r="J779" s="670">
        <f>IF($E779="",IFERROR(VLOOKUP($D779,SERVIÇOS!$C:$H,6,0),IFERROR(VLOOKUP($D779,$F:$M,8,0),"")),IFERROR(VLOOKUP($E779,INSUMOS!$B:$E,4,0),IFERROR(VLOOKUP($E779,COTAÇÕES!$C:$L,10,0),"")))</f>
        <v>31.32</v>
      </c>
      <c r="K779" s="615">
        <f>TRUNC(IF($E779="",IFERROR(VLOOKUP($D779,SERVIÇOS!$C:$H,4,0),IFERROR(VLOOKUP($D779,$F:$M,6,0),)),IFERROR(VLOOKUP($E779,INSUMOS!$B:$E,4,0),IFERROR(VLOOKUP($E779,COTAÇÕES!$C:$L,10,0),)))*$I779,2)</f>
        <v>1.99</v>
      </c>
      <c r="L779" s="616">
        <f>TRUNC(IF($E779="",IFERROR(VLOOKUP($D779,SERVIÇOS!$C:$H,5,0),IFERROR(VLOOKUP($D779,$F:$M,7,0),)),0)*$I779,2)</f>
        <v>7.39</v>
      </c>
      <c r="M779" s="617">
        <f>K779+L779</f>
        <v>9.379999999999999</v>
      </c>
      <c r="N779" s="753" t="str">
        <f>IF($D779&lt;&gt;"","SERVIÇO SINAPI",IF($E779&lt;&gt;"","INSUMO SINAPI",""))</f>
        <v>SERVIÇO SINAPI</v>
      </c>
      <c r="O779" s="648"/>
    </row>
    <row r="780" spans="2:15" ht="25.5" hidden="1">
      <c r="B780" s="122">
        <f t="shared" si="361"/>
        <v>0</v>
      </c>
      <c r="C780" s="611" t="str">
        <f>IF(D780&lt;&gt;"","C",IF(E780&lt;&gt;"","I",""))</f>
        <v>I</v>
      </c>
      <c r="D780" s="661"/>
      <c r="E780" s="661" t="s">
        <v>9088</v>
      </c>
      <c r="F780" s="612"/>
      <c r="G780" s="613" t="str">
        <f>IF($E780="",IFERROR(VLOOKUP($D780,SERVIÇOS!$C:$H,2,0),IFERROR(VLOOKUP($D780,$F:$M,2,0),"")),IFERROR(VLOOKUP($E780,INSUMOS!$B:$E,2,0),IFERROR(VLOOKUP($E780,COTAÇÕES!$C:$L,2,0),"")))</f>
        <v>SIRENE TIPO CORNETA COM POTÊNCIA NOMINAL DE 12V, POTÊNCIA SONORA ENTRE 115DB A 120DB, POTÊNCIA ELÉTRICA DE 15 A 20W; REF. NA/12V DA AUREON, GLK, DNI OU EQUIVALENTE</v>
      </c>
      <c r="H780" s="593" t="str">
        <f>IF($E780="",IFERROR(VLOOKUP($D780,SERVIÇOS!$C:$H,3,0),IFERROR(VLOOKUP($D780,$F:$M,3,0),"")),IFERROR(VLOOKUP($E780,INSUMOS!$B:$E,3,0),IFERROR(VLOOKUP($E780,COTAÇÕES!$C:$L,5,0),"")))</f>
        <v>UN</v>
      </c>
      <c r="I780" s="614">
        <v>1</v>
      </c>
      <c r="J780" s="670">
        <f>IF($E780="",IFERROR(VLOOKUP($D780,SERVIÇOS!$C:$H,6,0),IFERROR(VLOOKUP($D780,$F:$M,8,0),"")),IFERROR(VLOOKUP($E780,INSUMOS!$B:$E,4,0),IFERROR(VLOOKUP($E780,COTAÇÕES!$C:$L,10,0),"")))</f>
        <v>51.73</v>
      </c>
      <c r="K780" s="615">
        <f>TRUNC(IF($E780="",IFERROR(VLOOKUP($D780,SERVIÇOS!$C:$H,4,0),IFERROR(VLOOKUP($D780,$F:$M,6,0),)),IFERROR(VLOOKUP($E780,INSUMOS!$B:$E,4,0),IFERROR(VLOOKUP($E780,COTAÇÕES!$C:$L,10,0),)))*$I780,2)</f>
        <v>51.73</v>
      </c>
      <c r="L780" s="616">
        <f>TRUNC(IF($E780="",IFERROR(VLOOKUP($D780,SERVIÇOS!$C:$H,5,0),IFERROR(VLOOKUP($D780,$F:$M,7,0),)),0)*$I780,2)</f>
        <v>0</v>
      </c>
      <c r="M780" s="617">
        <f>K780+L780</f>
        <v>51.73</v>
      </c>
      <c r="N780" s="753" t="s">
        <v>6845</v>
      </c>
      <c r="O780" s="648"/>
    </row>
    <row r="781" spans="2:15">
      <c r="B781" s="769">
        <f>SUMIF(ORC!$G$11:$G$2470,CPU!$F781,ORC!$J$11:$J$2470)</f>
        <v>1</v>
      </c>
      <c r="C781" s="515" t="s">
        <v>2239</v>
      </c>
      <c r="D781" s="515"/>
      <c r="E781" s="515"/>
      <c r="F781" s="515" t="s">
        <v>8971</v>
      </c>
      <c r="G781" s="594" t="s">
        <v>8973</v>
      </c>
      <c r="H781" s="515" t="s">
        <v>2666</v>
      </c>
      <c r="I781" s="595"/>
      <c r="J781" s="596"/>
      <c r="K781" s="597">
        <f>SUM(K782:K783)</f>
        <v>82.259999999999991</v>
      </c>
      <c r="L781" s="597">
        <f>SUM(L782:L783)</f>
        <v>24.66</v>
      </c>
      <c r="M781" s="596">
        <f>SUM(K781:L781)</f>
        <v>106.91999999999999</v>
      </c>
      <c r="N781" s="598" t="s">
        <v>8972</v>
      </c>
      <c r="O781" s="599"/>
    </row>
    <row r="782" spans="2:15">
      <c r="B782" s="122">
        <f t="shared" ref="B782:B783" si="362">B781</f>
        <v>1</v>
      </c>
      <c r="C782" s="611" t="str">
        <f>IF(D782&lt;&gt;"","C",IF(E782&lt;&gt;"","I",""))</f>
        <v>C</v>
      </c>
      <c r="D782" s="661">
        <v>88264</v>
      </c>
      <c r="E782" s="661"/>
      <c r="F782" s="612"/>
      <c r="G782" s="613" t="str">
        <f>IF($E782="",IFERROR(VLOOKUP($D782,SERVIÇOS!$C:$H,2,0),IFERROR(VLOOKUP($D782,$F:$M,2,0),"")),IFERROR(VLOOKUP($E782,INSUMOS!$B:$E,2,0),IFERROR(VLOOKUP($E782,COTAÇÕES!$C:$L,2,0),"")))</f>
        <v>ELETRICISTA COM ENCARGOS COMPLEMENTARES</v>
      </c>
      <c r="H782" s="593" t="str">
        <f>IF($E782="",IFERROR(VLOOKUP($D782,SERVIÇOS!$C:$H,3,0),IFERROR(VLOOKUP($D782,$F:$M,3,0),"")),IFERROR(VLOOKUP($E782,INSUMOS!$B:$E,3,0),IFERROR(VLOOKUP($E782,COTAÇÕES!$C:$L,5,0),"")))</f>
        <v>H</v>
      </c>
      <c r="I782" s="614">
        <v>1</v>
      </c>
      <c r="J782" s="670">
        <f>IF($E782="",IFERROR(VLOOKUP($D782,SERVIÇOS!$C:$H,6,0),IFERROR(VLOOKUP($D782,$F:$M,8,0),"")),IFERROR(VLOOKUP($E782,INSUMOS!$B:$E,4,0),IFERROR(VLOOKUP($E782,COTAÇÕES!$C:$L,10,0),"")))</f>
        <v>31.32</v>
      </c>
      <c r="K782" s="615">
        <f>TRUNC(IF($E782="",IFERROR(VLOOKUP($D782,SERVIÇOS!$C:$H,4,0),IFERROR(VLOOKUP($D782,$F:$M,6,0),)),IFERROR(VLOOKUP($E782,INSUMOS!$B:$E,4,0),IFERROR(VLOOKUP($E782,COTAÇÕES!$C:$L,10,0),)))*$I782,2)</f>
        <v>6.66</v>
      </c>
      <c r="L782" s="616">
        <f>TRUNC(IF($E782="",IFERROR(VLOOKUP($D782,SERVIÇOS!$C:$H,5,0),IFERROR(VLOOKUP($D782,$F:$M,7,0),)),0)*$I782,2)</f>
        <v>24.66</v>
      </c>
      <c r="M782" s="617">
        <f>K782+L782</f>
        <v>31.32</v>
      </c>
      <c r="N782" s="753" t="str">
        <f>IF($D782&lt;&gt;"","SERVIÇO SINAPI",IF($E782&lt;&gt;"","INSUMO SINAPI",""))</f>
        <v>SERVIÇO SINAPI</v>
      </c>
      <c r="O782" s="648"/>
    </row>
    <row r="783" spans="2:15">
      <c r="B783" s="122">
        <f t="shared" si="362"/>
        <v>1</v>
      </c>
      <c r="C783" s="611" t="str">
        <f>IF(D783&lt;&gt;"","C",IF(E783&lt;&gt;"","I",""))</f>
        <v>I</v>
      </c>
      <c r="D783" s="661"/>
      <c r="E783" s="661" t="s">
        <v>9090</v>
      </c>
      <c r="F783" s="612"/>
      <c r="G783" s="613" t="str">
        <f>IF($E783="",IFERROR(VLOOKUP($D783,SERVIÇOS!$C:$H,2,0),IFERROR(VLOOKUP($D783,$F:$M,2,0),"")),IFERROR(VLOOKUP($E783,INSUMOS!$B:$E,2,0),IFERROR(VLOOKUP($E783,COTAÇÕES!$C:$L,2,0),"")))</f>
        <v xml:space="preserve">	FONTE DE ALIMENTAÇÃO 12V / 10A (OU SIMILAR)</v>
      </c>
      <c r="H783" s="593" t="str">
        <f>IF($E783="",IFERROR(VLOOKUP($D783,SERVIÇOS!$C:$H,3,0),IFERROR(VLOOKUP($D783,$F:$M,3,0),"")),IFERROR(VLOOKUP($E783,INSUMOS!$B:$E,3,0),IFERROR(VLOOKUP($E783,COTAÇÕES!$C:$L,5,0),"")))</f>
        <v>UN</v>
      </c>
      <c r="I783" s="614">
        <v>1</v>
      </c>
      <c r="J783" s="670">
        <f>IF($E783="",IFERROR(VLOOKUP($D783,SERVIÇOS!$C:$H,6,0),IFERROR(VLOOKUP($D783,$F:$M,8,0),"")),IFERROR(VLOOKUP($E783,INSUMOS!$B:$E,4,0),IFERROR(VLOOKUP($E783,COTAÇÕES!$C:$L,10,0),"")))</f>
        <v>75.600000000000009</v>
      </c>
      <c r="K783" s="615">
        <f>TRUNC(IF($E783="",IFERROR(VLOOKUP($D783,SERVIÇOS!$C:$H,4,0),IFERROR(VLOOKUP($D783,$F:$M,6,0),)),IFERROR(VLOOKUP($E783,INSUMOS!$B:$E,4,0),IFERROR(VLOOKUP($E783,COTAÇÕES!$C:$L,10,0),)))*$I783,2)</f>
        <v>75.599999999999994</v>
      </c>
      <c r="L783" s="616">
        <f>TRUNC(IF($E783="",IFERROR(VLOOKUP($D783,SERVIÇOS!$C:$H,5,0),IFERROR(VLOOKUP($D783,$F:$M,7,0),)),0)*$I783,2)</f>
        <v>0</v>
      </c>
      <c r="M783" s="617">
        <f>K783+L783</f>
        <v>75.599999999999994</v>
      </c>
      <c r="N783" s="753" t="s">
        <v>6845</v>
      </c>
      <c r="O783" s="648"/>
    </row>
    <row r="784" spans="2:15">
      <c r="B784" s="769">
        <f>SUMIF(ORC!$G$11:$G$2470,CPU!$F784,ORC!$J$11:$J$2470)</f>
        <v>0.45</v>
      </c>
      <c r="C784" s="515" t="s">
        <v>2239</v>
      </c>
      <c r="D784" s="515"/>
      <c r="E784" s="515"/>
      <c r="F784" s="515" t="s">
        <v>8978</v>
      </c>
      <c r="G784" s="594" t="s">
        <v>8977</v>
      </c>
      <c r="H784" s="515" t="s">
        <v>649</v>
      </c>
      <c r="I784" s="595"/>
      <c r="J784" s="596"/>
      <c r="K784" s="597">
        <f>SUM(K785:K789)</f>
        <v>57.570000000000007</v>
      </c>
      <c r="L784" s="597">
        <f>SUM(L785:L789)</f>
        <v>38.64</v>
      </c>
      <c r="M784" s="596">
        <f>SUM(K784:L784)</f>
        <v>96.210000000000008</v>
      </c>
      <c r="N784" s="598" t="s">
        <v>8979</v>
      </c>
      <c r="O784" s="599" t="s">
        <v>8929</v>
      </c>
    </row>
    <row r="785" spans="2:15" ht="25.5">
      <c r="B785" s="122">
        <f t="shared" ref="B785:B789" si="363">B784</f>
        <v>0.45</v>
      </c>
      <c r="C785" s="611" t="str">
        <f>IF(D785&lt;&gt;"","C",IF(E785&lt;&gt;"","I",""))</f>
        <v>I</v>
      </c>
      <c r="D785" s="661"/>
      <c r="E785" s="661">
        <v>123</v>
      </c>
      <c r="F785" s="612"/>
      <c r="G785" s="613" t="str">
        <f>IF($E785="",IFERROR(VLOOKUP($D785,SERVIÇOS!$C:$H,2,0),IFERROR(VLOOKUP($D785,$F:$M,2,0),"")),IFERROR(VLOOKUP($E785,INSUMOS!$B:$E,2,0),IFERROR(VLOOKUP($E785,COTAÇÕES!$C:$L,2,0),"")))</f>
        <v xml:space="preserve">ADITIVO IMPERMEABILIZANTE DE PEGA NORMAL PARA ARGAMASSAS E CONCRETOS SEM ARMACAO, LIQUIDO E ISENTO DE CLORETOS                                                                                                                                                                                                                                                                                                                                                                                            </v>
      </c>
      <c r="H785" s="593" t="str">
        <f>IF($E785="",IFERROR(VLOOKUP($D785,SERVIÇOS!$C:$H,3,0),IFERROR(VLOOKUP($D785,$F:$M,3,0),"")),IFERROR(VLOOKUP($E785,INSUMOS!$B:$E,3,0),IFERROR(VLOOKUP($E785,COTAÇÕES!$C:$L,5,0),"")))</f>
        <v xml:space="preserve">L     </v>
      </c>
      <c r="I785" s="614">
        <v>0.37714300000000001</v>
      </c>
      <c r="J785" s="670">
        <f>IF($E785="",IFERROR(VLOOKUP($D785,SERVIÇOS!$C:$H,6,0),IFERROR(VLOOKUP($D785,$F:$M,8,0),"")),IFERROR(VLOOKUP($E785,INSUMOS!$B:$E,4,0),IFERROR(VLOOKUP($E785,COTAÇÕES!$C:$L,10,0),"")))</f>
        <v>6.83</v>
      </c>
      <c r="K785" s="615">
        <f>TRUNC(IF($E785="",IFERROR(VLOOKUP($D785,SERVIÇOS!$C:$H,4,0),IFERROR(VLOOKUP($D785,$F:$M,6,0),)),IFERROR(VLOOKUP($E785,INSUMOS!$B:$E,4,0),IFERROR(VLOOKUP($E785,COTAÇÕES!$C:$L,10,0),)))*$I785,2)</f>
        <v>2.57</v>
      </c>
      <c r="L785" s="616">
        <f>TRUNC(IF($E785="",IFERROR(VLOOKUP($D785,SERVIÇOS!$C:$H,5,0),IFERROR(VLOOKUP($D785,$F:$M,7,0),)),0)*$I785,2)</f>
        <v>0</v>
      </c>
      <c r="M785" s="617">
        <f>K785+L785</f>
        <v>2.57</v>
      </c>
      <c r="N785" s="753" t="str">
        <f>IF($D785&lt;&gt;"","SERVIÇO SINAPI",IF($E785&lt;&gt;"","INSUMO SINAPI",""))</f>
        <v>INSUMO SINAPI</v>
      </c>
      <c r="O785" s="648"/>
    </row>
    <row r="786" spans="2:15" ht="25.5">
      <c r="B786" s="122">
        <f t="shared" si="363"/>
        <v>0.45</v>
      </c>
      <c r="C786" s="611" t="str">
        <f>IF(D786&lt;&gt;"","C",IF(E786&lt;&gt;"","I",""))</f>
        <v>C</v>
      </c>
      <c r="D786" s="661">
        <v>92915</v>
      </c>
      <c r="E786" s="661"/>
      <c r="F786" s="612"/>
      <c r="G786" s="613" t="str">
        <f>IF($E786="",IFERROR(VLOOKUP($D786,SERVIÇOS!$C:$H,2,0),IFERROR(VLOOKUP($D786,$F:$M,2,0),"")),IFERROR(VLOOKUP($E786,INSUMOS!$B:$E,2,0),IFERROR(VLOOKUP($E786,COTAÇÕES!$C:$L,2,0),"")))</f>
        <v>ARMAÇÃO DE ESTRUTURAS DIVERSAS DE CONCRETO ARMADO, EXCETO VIGAS, PILARES, LAJES E FUNDAÇÕES, UTILIZANDO AÇO CA-60 DE 5,0 MM - MONTAGEM. AF_06/2022</v>
      </c>
      <c r="H786" s="593" t="str">
        <f>IF($E786="",IFERROR(VLOOKUP($D786,SERVIÇOS!$C:$H,3,0),IFERROR(VLOOKUP($D786,$F:$M,3,0),"")),IFERROR(VLOOKUP($E786,INSUMOS!$B:$E,3,0),IFERROR(VLOOKUP($E786,COTAÇÕES!$C:$L,5,0),"")))</f>
        <v>KG</v>
      </c>
      <c r="I786" s="614">
        <v>2.5</v>
      </c>
      <c r="J786" s="670">
        <f>IF($E786="",IFERROR(VLOOKUP($D786,SERVIÇOS!$C:$H,6,0),IFERROR(VLOOKUP($D786,$F:$M,8,0),"")),IFERROR(VLOOKUP($E786,INSUMOS!$B:$E,4,0),IFERROR(VLOOKUP($E786,COTAÇÕES!$C:$L,10,0),"")))</f>
        <v>19.22</v>
      </c>
      <c r="K786" s="615">
        <f>TRUNC(IF($E786="",IFERROR(VLOOKUP($D786,SERVIÇOS!$C:$H,4,0),IFERROR(VLOOKUP($D786,$F:$M,6,0),)),IFERROR(VLOOKUP($E786,INSUMOS!$B:$E,4,0),IFERROR(VLOOKUP($E786,COTAÇÕES!$C:$L,10,0),)))*$I786,2)</f>
        <v>31.1</v>
      </c>
      <c r="L786" s="616">
        <f>TRUNC(IF($E786="",IFERROR(VLOOKUP($D786,SERVIÇOS!$C:$H,5,0),IFERROR(VLOOKUP($D786,$F:$M,7,0),)),0)*$I786,2)</f>
        <v>16.95</v>
      </c>
      <c r="M786" s="617">
        <f>K786+L786</f>
        <v>48.05</v>
      </c>
      <c r="N786" s="753" t="str">
        <f>IF($D786&lt;&gt;"","SERVIÇO SINAPI",IF($E786&lt;&gt;"","INSUMO SINAPI",""))</f>
        <v>SERVIÇO SINAPI</v>
      </c>
      <c r="O786" s="648"/>
    </row>
    <row r="787" spans="2:15" ht="25.5">
      <c r="B787" s="122">
        <f t="shared" si="363"/>
        <v>0.45</v>
      </c>
      <c r="C787" s="611" t="str">
        <f>IF(D787&lt;&gt;"","C",IF(E787&lt;&gt;"","I",""))</f>
        <v>C</v>
      </c>
      <c r="D787" s="661">
        <v>94963</v>
      </c>
      <c r="E787" s="661"/>
      <c r="F787" s="612"/>
      <c r="G787" s="613" t="str">
        <f>IF($E787="",IFERROR(VLOOKUP($D787,SERVIÇOS!$C:$H,2,0),IFERROR(VLOOKUP($D787,$F:$M,2,0),"")),IFERROR(VLOOKUP($E787,INSUMOS!$B:$E,2,0),IFERROR(VLOOKUP($E787,COTAÇÕES!$C:$L,2,0),"")))</f>
        <v>CONCRETO FCK = 15MPA, TRAÇO 1:3,4:3,5 (EM MASSA SECA DE CIMENTO/ AREIA MÉDIA/ BRITA 1) - PREPARO MECÂNICO COM BETONEIRA 400 L. AF_05/2021</v>
      </c>
      <c r="H787" s="593" t="str">
        <f>IF($E787="",IFERROR(VLOOKUP($D787,SERVIÇOS!$C:$H,3,0),IFERROR(VLOOKUP($D787,$F:$M,3,0),"")),IFERROR(VLOOKUP($E787,INSUMOS!$B:$E,3,0),IFERROR(VLOOKUP($E787,COTAÇÕES!$C:$L,5,0),"")))</f>
        <v>M3</v>
      </c>
      <c r="I787" s="614">
        <v>0.05</v>
      </c>
      <c r="J787" s="670">
        <f>IF($E787="",IFERROR(VLOOKUP($D787,SERVIÇOS!$C:$H,6,0),IFERROR(VLOOKUP($D787,$F:$M,8,0),"")),IFERROR(VLOOKUP($E787,INSUMOS!$B:$E,4,0),IFERROR(VLOOKUP($E787,COTAÇÕES!$C:$L,10,0),"")))</f>
        <v>371.61</v>
      </c>
      <c r="K787" s="615">
        <f>TRUNC(IF($E787="",IFERROR(VLOOKUP($D787,SERVIÇOS!$C:$H,4,0),IFERROR(VLOOKUP($D787,$F:$M,6,0),)),IFERROR(VLOOKUP($E787,INSUMOS!$B:$E,4,0),IFERROR(VLOOKUP($E787,COTAÇÕES!$C:$L,10,0),)))*$I787,2)</f>
        <v>15.28</v>
      </c>
      <c r="L787" s="616">
        <f>TRUNC(IF($E787="",IFERROR(VLOOKUP($D787,SERVIÇOS!$C:$H,5,0),IFERROR(VLOOKUP($D787,$F:$M,7,0),)),0)*$I787,2)</f>
        <v>3.29</v>
      </c>
      <c r="M787" s="617">
        <f>K787+L787</f>
        <v>18.57</v>
      </c>
      <c r="N787" s="753" t="str">
        <f>IF($D787&lt;&gt;"","SERVIÇO SINAPI",IF($E787&lt;&gt;"","INSUMO SINAPI",""))</f>
        <v>SERVIÇO SINAPI</v>
      </c>
      <c r="O787" s="648"/>
    </row>
    <row r="788" spans="2:15" ht="25.5">
      <c r="B788" s="122">
        <f t="shared" si="363"/>
        <v>0.45</v>
      </c>
      <c r="C788" s="611" t="str">
        <f>IF(D788&lt;&gt;"","C",IF(E788&lt;&gt;"","I",""))</f>
        <v>C</v>
      </c>
      <c r="D788" s="661">
        <v>96542</v>
      </c>
      <c r="E788" s="661"/>
      <c r="F788" s="612"/>
      <c r="G788" s="613" t="str">
        <f>IF($E788="",IFERROR(VLOOKUP($D788,SERVIÇOS!$C:$H,2,0),IFERROR(VLOOKUP($D788,$F:$M,2,0),"")),IFERROR(VLOOKUP($E788,INSUMOS!$B:$E,2,0),IFERROR(VLOOKUP($E788,COTAÇÕES!$C:$L,2,0),"")))</f>
        <v>FABRICAÇÃO, MONTAGEM E DESMONTAGEM DE FÔRMA PARA VIGA BALDRAME, EM CHAPA DE MADEIRA COMPENSADA RESINADA, E=17 MM, 4 UTILIZAÇÕES. AF_06/2017</v>
      </c>
      <c r="H788" s="593" t="str">
        <f>IF($E788="",IFERROR(VLOOKUP($D788,SERVIÇOS!$C:$H,3,0),IFERROR(VLOOKUP($D788,$F:$M,3,0),"")),IFERROR(VLOOKUP($E788,INSUMOS!$B:$E,3,0),IFERROR(VLOOKUP($E788,COTAÇÕES!$C:$L,5,0),"")))</f>
        <v>M2</v>
      </c>
      <c r="I788" s="614">
        <v>0.1075</v>
      </c>
      <c r="J788" s="670">
        <f>IF($E788="",IFERROR(VLOOKUP($D788,SERVIÇOS!$C:$H,6,0),IFERROR(VLOOKUP($D788,$F:$M,8,0),"")),IFERROR(VLOOKUP($E788,INSUMOS!$B:$E,4,0),IFERROR(VLOOKUP($E788,COTAÇÕES!$C:$L,10,0),"")))</f>
        <v>98.56</v>
      </c>
      <c r="K788" s="615">
        <f>TRUNC(IF($E788="",IFERROR(VLOOKUP($D788,SERVIÇOS!$C:$H,4,0),IFERROR(VLOOKUP($D788,$F:$M,6,0),)),IFERROR(VLOOKUP($E788,INSUMOS!$B:$E,4,0),IFERROR(VLOOKUP($E788,COTAÇÕES!$C:$L,10,0),)))*$I788,2)</f>
        <v>4.49</v>
      </c>
      <c r="L788" s="616">
        <f>TRUNC(IF($E788="",IFERROR(VLOOKUP($D788,SERVIÇOS!$C:$H,5,0),IFERROR(VLOOKUP($D788,$F:$M,7,0),)),0)*$I788,2)</f>
        <v>6.1</v>
      </c>
      <c r="M788" s="617">
        <f>K788+L788</f>
        <v>10.59</v>
      </c>
      <c r="N788" s="753" t="str">
        <f>IF($D788&lt;&gt;"","SERVIÇO SINAPI",IF($E788&lt;&gt;"","INSUMO SINAPI",""))</f>
        <v>SERVIÇO SINAPI</v>
      </c>
      <c r="O788" s="648"/>
    </row>
    <row r="789" spans="2:15" ht="25.5">
      <c r="B789" s="122">
        <f t="shared" si="363"/>
        <v>0.45</v>
      </c>
      <c r="C789" s="611" t="str">
        <f>IF(D789&lt;&gt;"","C",IF(E789&lt;&gt;"","I",""))</f>
        <v>C</v>
      </c>
      <c r="D789" s="661">
        <v>103670</v>
      </c>
      <c r="E789" s="661"/>
      <c r="F789" s="612"/>
      <c r="G789" s="613" t="str">
        <f>IF($E789="",IFERROR(VLOOKUP($D789,SERVIÇOS!$C:$H,2,0),IFERROR(VLOOKUP($D789,$F:$M,2,0),"")),IFERROR(VLOOKUP($E789,INSUMOS!$B:$E,2,0),IFERROR(VLOOKUP($E789,COTAÇÕES!$C:$L,2,0),"")))</f>
        <v>LANÇAMENTO COM USO DE BALDES, ADENSAMENTO E ACABAMENTO DE CONCRETO EM ESTRUTURAS. AF_02/2022</v>
      </c>
      <c r="H789" s="593" t="str">
        <f>IF($E789="",IFERROR(VLOOKUP($D789,SERVIÇOS!$C:$H,3,0),IFERROR(VLOOKUP($D789,$F:$M,3,0),"")),IFERROR(VLOOKUP($E789,INSUMOS!$B:$E,3,0),IFERROR(VLOOKUP($E789,COTAÇÕES!$C:$L,5,0),"")))</f>
        <v>M3</v>
      </c>
      <c r="I789" s="614">
        <v>0.05</v>
      </c>
      <c r="J789" s="670">
        <f>IF($E789="",IFERROR(VLOOKUP($D789,SERVIÇOS!$C:$H,6,0),IFERROR(VLOOKUP($D789,$F:$M,8,0),"")),IFERROR(VLOOKUP($E789,INSUMOS!$B:$E,4,0),IFERROR(VLOOKUP($E789,COTAÇÕES!$C:$L,10,0),"")))</f>
        <v>328.76</v>
      </c>
      <c r="K789" s="615">
        <f>TRUNC(IF($E789="",IFERROR(VLOOKUP($D789,SERVIÇOS!$C:$H,4,0),IFERROR(VLOOKUP($D789,$F:$M,6,0),)),IFERROR(VLOOKUP($E789,INSUMOS!$B:$E,4,0),IFERROR(VLOOKUP($E789,COTAÇÕES!$C:$L,10,0),)))*$I789,2)</f>
        <v>4.13</v>
      </c>
      <c r="L789" s="616">
        <f>TRUNC(IF($E789="",IFERROR(VLOOKUP($D789,SERVIÇOS!$C:$H,5,0),IFERROR(VLOOKUP($D789,$F:$M,7,0),)),0)*$I789,2)</f>
        <v>12.3</v>
      </c>
      <c r="M789" s="617">
        <f>K789+L789</f>
        <v>16.43</v>
      </c>
      <c r="N789" s="753" t="str">
        <f>IF($D789&lt;&gt;"","SERVIÇO SINAPI",IF($E789&lt;&gt;"","INSUMO SINAPI",""))</f>
        <v>SERVIÇO SINAPI</v>
      </c>
      <c r="O789" s="648"/>
    </row>
    <row r="790" spans="2:15" hidden="1">
      <c r="B790" s="769">
        <f>SUMIF(ORC!$G$11:$G$2470,CPU!$F790,ORC!$J$11:$J$2470)</f>
        <v>0</v>
      </c>
      <c r="C790" s="515" t="s">
        <v>2239</v>
      </c>
      <c r="D790" s="515"/>
      <c r="E790" s="515"/>
      <c r="F790" s="515" t="s">
        <v>8990</v>
      </c>
      <c r="G790" s="594" t="s">
        <v>8992</v>
      </c>
      <c r="H790" s="515" t="s">
        <v>2666</v>
      </c>
      <c r="I790" s="595"/>
      <c r="J790" s="596"/>
      <c r="K790" s="597">
        <f>SUM(K791:K792)</f>
        <v>2573.52</v>
      </c>
      <c r="L790" s="597">
        <f>SUM(L791:L792)</f>
        <v>61.72</v>
      </c>
      <c r="M790" s="596">
        <f>SUM(K790:L790)</f>
        <v>2635.24</v>
      </c>
      <c r="N790" s="598" t="s">
        <v>8991</v>
      </c>
      <c r="O790" s="599" t="s">
        <v>6862</v>
      </c>
    </row>
    <row r="791" spans="2:15" hidden="1">
      <c r="B791" s="122">
        <f t="shared" ref="B791:B792" si="364">B790</f>
        <v>0</v>
      </c>
      <c r="C791" s="611" t="str">
        <f>IF(D791&lt;&gt;"","C",IF(E791&lt;&gt;"","I",""))</f>
        <v>C</v>
      </c>
      <c r="D791" s="661">
        <v>88266</v>
      </c>
      <c r="E791" s="661"/>
      <c r="F791" s="612"/>
      <c r="G791" s="613" t="str">
        <f>IF($E791="",IFERROR(VLOOKUP($D791,SERVIÇOS!$C:$H,2,0),IFERROR(VLOOKUP($D791,$F:$M,2,0),"")),IFERROR(VLOOKUP($E791,INSUMOS!$B:$E,2,0),IFERROR(VLOOKUP($E791,COTAÇÕES!$C:$L,2,0),"")))</f>
        <v>ELETROTÉCNICO COM ENCARGOS COMPLEMENTARES</v>
      </c>
      <c r="H791" s="593" t="str">
        <f>IF($E791="",IFERROR(VLOOKUP($D791,SERVIÇOS!$C:$H,3,0),IFERROR(VLOOKUP($D791,$F:$M,3,0),"")),IFERROR(VLOOKUP($E791,INSUMOS!$B:$E,3,0),IFERROR(VLOOKUP($E791,COTAÇÕES!$C:$L,5,0),"")))</f>
        <v>H</v>
      </c>
      <c r="I791" s="614">
        <v>2</v>
      </c>
      <c r="J791" s="670">
        <f>IF($E791="",IFERROR(VLOOKUP($D791,SERVIÇOS!$C:$H,6,0),IFERROR(VLOOKUP($D791,$F:$M,8,0),"")),IFERROR(VLOOKUP($E791,INSUMOS!$B:$E,4,0),IFERROR(VLOOKUP($E791,COTAÇÕES!$C:$L,10,0),"")))</f>
        <v>37.520000000000003</v>
      </c>
      <c r="K791" s="615">
        <f>TRUNC(IF($E791="",IFERROR(VLOOKUP($D791,SERVIÇOS!$C:$H,4,0),IFERROR(VLOOKUP($D791,$F:$M,6,0),)),IFERROR(VLOOKUP($E791,INSUMOS!$B:$E,4,0),IFERROR(VLOOKUP($E791,COTAÇÕES!$C:$L,10,0),)))*$I791,2)</f>
        <v>13.32</v>
      </c>
      <c r="L791" s="616">
        <f>TRUNC(IF($E791="",IFERROR(VLOOKUP($D791,SERVIÇOS!$C:$H,5,0),IFERROR(VLOOKUP($D791,$F:$M,7,0),)),0)*$I791,2)</f>
        <v>61.72</v>
      </c>
      <c r="M791" s="617">
        <f>K791+L791</f>
        <v>75.039999999999992</v>
      </c>
      <c r="N791" s="753" t="str">
        <f>IF($D791&lt;&gt;"","SERVIÇO SINAPI",IF($E791&lt;&gt;"","INSUMO SINAPI",""))</f>
        <v>SERVIÇO SINAPI</v>
      </c>
      <c r="O791" s="648"/>
    </row>
    <row r="792" spans="2:15" hidden="1">
      <c r="B792" s="122">
        <f t="shared" si="364"/>
        <v>0</v>
      </c>
      <c r="C792" s="611" t="str">
        <f>IF(D792&lt;&gt;"","C",IF(E792&lt;&gt;"","I",""))</f>
        <v>I</v>
      </c>
      <c r="D792" s="661"/>
      <c r="E792" s="661" t="s">
        <v>9093</v>
      </c>
      <c r="F792" s="612"/>
      <c r="G792" s="613" t="str">
        <f>IF($E792="",IFERROR(VLOOKUP($D792,SERVIÇOS!$C:$H,2,0),IFERROR(VLOOKUP($D792,$F:$M,2,0),"")),IFERROR(VLOOKUP($E792,INSUMOS!$B:$E,2,0),IFERROR(VLOOKUP($E792,COTAÇÕES!$C:$L,2,0),"")))</f>
        <v>AMPLIFICADOR DE POTÊNCIA PADRÃO RACK 19" 2 CANAIS 600W 4 OHMS</v>
      </c>
      <c r="H792" s="593" t="str">
        <f>IF($E792="",IFERROR(VLOOKUP($D792,SERVIÇOS!$C:$H,3,0),IFERROR(VLOOKUP($D792,$F:$M,3,0),"")),IFERROR(VLOOKUP($E792,INSUMOS!$B:$E,3,0),IFERROR(VLOOKUP($E792,COTAÇÕES!$C:$L,5,0),"")))</f>
        <v>UN</v>
      </c>
      <c r="I792" s="614">
        <v>1</v>
      </c>
      <c r="J792" s="670">
        <f>IF($E792="",IFERROR(VLOOKUP($D792,SERVIÇOS!$C:$H,6,0),IFERROR(VLOOKUP($D792,$F:$M,8,0),"")),IFERROR(VLOOKUP($E792,INSUMOS!$B:$E,4,0),IFERROR(VLOOKUP($E792,COTAÇÕES!$C:$L,10,0),"")))</f>
        <v>2560.2066666666665</v>
      </c>
      <c r="K792" s="615">
        <f>TRUNC(IF($E792="",IFERROR(VLOOKUP($D792,SERVIÇOS!$C:$H,4,0),IFERROR(VLOOKUP($D792,$F:$M,6,0),)),IFERROR(VLOOKUP($E792,INSUMOS!$B:$E,4,0),IFERROR(VLOOKUP($E792,COTAÇÕES!$C:$L,10,0),)))*$I792,2)</f>
        <v>2560.1999999999998</v>
      </c>
      <c r="L792" s="616">
        <f>TRUNC(IF($E792="",IFERROR(VLOOKUP($D792,SERVIÇOS!$C:$H,5,0),IFERROR(VLOOKUP($D792,$F:$M,7,0),)),0)*$I792,2)</f>
        <v>0</v>
      </c>
      <c r="M792" s="617">
        <f>K792+L792</f>
        <v>2560.1999999999998</v>
      </c>
      <c r="N792" s="753" t="s">
        <v>6845</v>
      </c>
      <c r="O792" s="648"/>
    </row>
    <row r="793" spans="2:15" hidden="1">
      <c r="B793" s="769">
        <f>SUMIF(ORC!$G$11:$G$2470,CPU!$F793,ORC!$J$11:$J$2470)</f>
        <v>0</v>
      </c>
      <c r="C793" s="515" t="s">
        <v>2239</v>
      </c>
      <c r="D793" s="515"/>
      <c r="E793" s="515"/>
      <c r="F793" s="515" t="s">
        <v>8993</v>
      </c>
      <c r="G793" s="516" t="s">
        <v>8994</v>
      </c>
      <c r="H793" s="515" t="s">
        <v>648</v>
      </c>
      <c r="I793" s="595"/>
      <c r="J793" s="596"/>
      <c r="K793" s="597">
        <f>SUM(K794:K797)</f>
        <v>8.2399999999999984</v>
      </c>
      <c r="L793" s="597">
        <f>SUM(L794:L797)</f>
        <v>1.29</v>
      </c>
      <c r="M793" s="597">
        <f>SUM(K793:L793)</f>
        <v>9.5299999999999976</v>
      </c>
      <c r="N793" s="598" t="s">
        <v>8398</v>
      </c>
      <c r="O793" s="941"/>
    </row>
    <row r="794" spans="2:15" hidden="1">
      <c r="B794" s="122">
        <f t="shared" ref="B794:B797" si="365">B793</f>
        <v>0</v>
      </c>
      <c r="C794" s="611" t="str">
        <f>IF(D794&lt;&gt;"","C",IF(E794&lt;&gt;"","I",""))</f>
        <v>I</v>
      </c>
      <c r="D794" s="660"/>
      <c r="E794" s="662" t="s">
        <v>9094</v>
      </c>
      <c r="F794" s="630"/>
      <c r="G794" s="613" t="str">
        <f>IF($E794="",IFERROR(VLOOKUP($D794,SERVIÇOS!$C:$H,2,0),IFERROR(VLOOKUP($D794,$F:$M,2,0),"")),IFERROR(VLOOKUP($E794,INSUMOS!$B:$E,2,0),IFERROR(VLOOKUP($E794,COTAÇÕES!$C:$L,2,0),"")))</f>
        <v>CABO 0,75 BIPOLAR PARA SONORIZAÇÃO</v>
      </c>
      <c r="H794" s="593" t="str">
        <f>IF($E794="",IFERROR(VLOOKUP($D794,SERVIÇOS!$C:$H,3,0),IFERROR(VLOOKUP($D794,$F:$M,3,0),"")),IFERROR(VLOOKUP($E794,INSUMOS!$B:$E,3,0),IFERROR(VLOOKUP($E794,COTAÇÕES!$C:$L,5,0),"")))</f>
        <v>UN</v>
      </c>
      <c r="I794" s="614">
        <v>1.19</v>
      </c>
      <c r="J794" s="670">
        <f>IF($E794="",IFERROR(VLOOKUP($D794,SERVIÇOS!$C:$H,6,0),IFERROR(VLOOKUP($D794,$F:$M,8,0),"")),IFERROR(VLOOKUP($E794,INSUMOS!$B:$E,4,0),IFERROR(VLOOKUP($E794,COTAÇÕES!$C:$L,10,0),"")))</f>
        <v>6.5600000000000014</v>
      </c>
      <c r="K794" s="615">
        <f>TRUNC(IF($E794="",IFERROR(VLOOKUP($D794,SERVIÇOS!$C:$H,4,0),IFERROR(VLOOKUP($D794,$F:$M,6,0),)),IFERROR(VLOOKUP($E794,INSUMOS!$B:$E,4,0),IFERROR(VLOOKUP($E794,COTAÇÕES!$C:$L,10,0),)))*$I794,2)</f>
        <v>7.8</v>
      </c>
      <c r="L794" s="616">
        <f>TRUNC(IF($E794="",IFERROR(VLOOKUP($D794,SERVIÇOS!$C:$H,5,0),IFERROR(VLOOKUP($D794,$F:$M,7,0),)),0)*$I794,2)</f>
        <v>0</v>
      </c>
      <c r="M794" s="617">
        <f>K794+L794</f>
        <v>7.8</v>
      </c>
      <c r="N794" s="753" t="s">
        <v>6845</v>
      </c>
      <c r="O794" s="943"/>
    </row>
    <row r="795" spans="2:15" hidden="1">
      <c r="B795" s="122">
        <f t="shared" si="365"/>
        <v>0</v>
      </c>
      <c r="C795" s="611" t="str">
        <f>IF(D795&lt;&gt;"","C",IF(E795&lt;&gt;"","I",""))</f>
        <v>I</v>
      </c>
      <c r="D795" s="660"/>
      <c r="E795" s="662">
        <v>21127</v>
      </c>
      <c r="F795" s="630"/>
      <c r="G795" s="613" t="str">
        <f>IF($E795="",IFERROR(VLOOKUP($D795,SERVIÇOS!$C:$H,2,0),IFERROR(VLOOKUP($D795,$F:$M,2,0),"")),IFERROR(VLOOKUP($E795,INSUMOS!$B:$E,2,0),IFERROR(VLOOKUP($E795,COTAÇÕES!$C:$L,2,0),"")))</f>
        <v xml:space="preserve">FITA ISOLANTE ADESIVA ANTICHAMA, USO ATE 750 V, EM ROLO DE 19 MM X 5 M                                                                                                                                                                                                                                                                                                                                                                                                                                    </v>
      </c>
      <c r="H795" s="593" t="str">
        <f>IF($E795="",IFERROR(VLOOKUP($D795,SERVIÇOS!$C:$H,3,0),IFERROR(VLOOKUP($D795,$F:$M,3,0),"")),IFERROR(VLOOKUP($E795,INSUMOS!$B:$E,3,0),IFERROR(VLOOKUP($E795,COTAÇÕES!$C:$L,5,0),"")))</f>
        <v xml:space="preserve">UN    </v>
      </c>
      <c r="I795" s="614">
        <v>8.9999999999999993E-3</v>
      </c>
      <c r="J795" s="670">
        <f>IF($E795="",IFERROR(VLOOKUP($D795,SERVIÇOS!$C:$H,6,0),IFERROR(VLOOKUP($D795,$F:$M,8,0),"")),IFERROR(VLOOKUP($E795,INSUMOS!$B:$E,4,0),IFERROR(VLOOKUP($E795,COTAÇÕES!$C:$L,10,0),"")))</f>
        <v>6.97</v>
      </c>
      <c r="K795" s="615">
        <f>TRUNC(IF($E795="",IFERROR(VLOOKUP($D795,SERVIÇOS!$C:$H,4,0),IFERROR(VLOOKUP($D795,$F:$M,6,0),)),IFERROR(VLOOKUP($E795,INSUMOS!$B:$E,4,0),IFERROR(VLOOKUP($E795,COTAÇÕES!$C:$L,10,0),)))*$I795,2)</f>
        <v>0.06</v>
      </c>
      <c r="L795" s="616">
        <f>TRUNC(IF($E795="",IFERROR(VLOOKUP($D795,SERVIÇOS!$C:$H,5,0),IFERROR(VLOOKUP($D795,$F:$M,7,0),)),0)*$I795,2)</f>
        <v>0</v>
      </c>
      <c r="M795" s="617">
        <f>K795+L795</f>
        <v>0.06</v>
      </c>
      <c r="N795" s="753" t="str">
        <f t="shared" ref="N795:N797" si="366">IF($D795&lt;&gt;"","SERVIÇO SINAPI",IF($E795&lt;&gt;"","INSUMO SINAPI",""))</f>
        <v>INSUMO SINAPI</v>
      </c>
      <c r="O795" s="943"/>
    </row>
    <row r="796" spans="2:15" hidden="1">
      <c r="B796" s="122">
        <f t="shared" si="365"/>
        <v>0</v>
      </c>
      <c r="C796" s="611" t="str">
        <f>IF(D796&lt;&gt;"","C",IF(E796&lt;&gt;"","I",""))</f>
        <v>C</v>
      </c>
      <c r="D796" s="660">
        <v>88247</v>
      </c>
      <c r="E796" s="661"/>
      <c r="F796" s="612"/>
      <c r="G796" s="613" t="str">
        <f>IF($E796="",IFERROR(VLOOKUP($D796,SERVIÇOS!$C:$H,2,0),IFERROR(VLOOKUP($D796,$F:$M,2,0),"")),IFERROR(VLOOKUP($E796,INSUMOS!$B:$E,2,0),IFERROR(VLOOKUP($E796,COTAÇÕES!$C:$L,2,0),"")))</f>
        <v>AUXILIAR DE ELETRICISTA COM ENCARGOS COMPLEMENTARES</v>
      </c>
      <c r="H796" s="593" t="str">
        <f>IF($E796="",IFERROR(VLOOKUP($D796,SERVIÇOS!$C:$H,3,0),IFERROR(VLOOKUP($D796,$F:$M,3,0),"")),IFERROR(VLOOKUP($E796,INSUMOS!$B:$E,3,0),IFERROR(VLOOKUP($E796,COTAÇÕES!$C:$L,5,0),"")))</f>
        <v>H</v>
      </c>
      <c r="I796" s="614">
        <v>0.03</v>
      </c>
      <c r="J796" s="670">
        <f>IF($E796="",IFERROR(VLOOKUP($D796,SERVIÇOS!$C:$H,6,0),IFERROR(VLOOKUP($D796,$F:$M,8,0),"")),IFERROR(VLOOKUP($E796,INSUMOS!$B:$E,4,0),IFERROR(VLOOKUP($E796,COTAÇÕES!$C:$L,10,0),"")))</f>
        <v>25.53</v>
      </c>
      <c r="K796" s="615">
        <f>TRUNC(IF($E796="",IFERROR(VLOOKUP($D796,SERVIÇOS!$C:$H,4,0),IFERROR(VLOOKUP($D796,$F:$M,6,0),)),IFERROR(VLOOKUP($E796,INSUMOS!$B:$E,4,0),IFERROR(VLOOKUP($E796,COTAÇÕES!$C:$L,10,0),)))*$I796,2)</f>
        <v>0.19</v>
      </c>
      <c r="L796" s="616">
        <f>TRUNC(IF($E796="",IFERROR(VLOOKUP($D796,SERVIÇOS!$C:$H,5,0),IFERROR(VLOOKUP($D796,$F:$M,7,0),)),0)*$I796,2)</f>
        <v>0.56000000000000005</v>
      </c>
      <c r="M796" s="617">
        <f>K796+L796</f>
        <v>0.75</v>
      </c>
      <c r="N796" s="753" t="str">
        <f t="shared" si="366"/>
        <v>SERVIÇO SINAPI</v>
      </c>
      <c r="O796" s="943"/>
    </row>
    <row r="797" spans="2:15" hidden="1">
      <c r="B797" s="122">
        <f t="shared" si="365"/>
        <v>0</v>
      </c>
      <c r="C797" s="611" t="str">
        <f>IF(D797&lt;&gt;"","C",IF(E797&lt;&gt;"","I",""))</f>
        <v>C</v>
      </c>
      <c r="D797" s="660">
        <v>88264</v>
      </c>
      <c r="E797" s="661"/>
      <c r="F797" s="612"/>
      <c r="G797" s="613" t="str">
        <f>IF($E797="",IFERROR(VLOOKUP($D797,SERVIÇOS!$C:$H,2,0),IFERROR(VLOOKUP($D797,$F:$M,2,0),"")),IFERROR(VLOOKUP($E797,INSUMOS!$B:$E,2,0),IFERROR(VLOOKUP($E797,COTAÇÕES!$C:$L,2,0),"")))</f>
        <v>ELETRICISTA COM ENCARGOS COMPLEMENTARES</v>
      </c>
      <c r="H797" s="593" t="str">
        <f>IF($E797="",IFERROR(VLOOKUP($D797,SERVIÇOS!$C:$H,3,0),IFERROR(VLOOKUP($D797,$F:$M,3,0),"")),IFERROR(VLOOKUP($E797,INSUMOS!$B:$E,3,0),IFERROR(VLOOKUP($E797,COTAÇÕES!$C:$L,5,0),"")))</f>
        <v>H</v>
      </c>
      <c r="I797" s="614">
        <v>0.03</v>
      </c>
      <c r="J797" s="670">
        <f>IF($E797="",IFERROR(VLOOKUP($D797,SERVIÇOS!$C:$H,6,0),IFERROR(VLOOKUP($D797,$F:$M,8,0),"")),IFERROR(VLOOKUP($E797,INSUMOS!$B:$E,4,0),IFERROR(VLOOKUP($E797,COTAÇÕES!$C:$L,10,0),"")))</f>
        <v>31.32</v>
      </c>
      <c r="K797" s="615">
        <f>TRUNC(IF($E797="",IFERROR(VLOOKUP($D797,SERVIÇOS!$C:$H,4,0),IFERROR(VLOOKUP($D797,$F:$M,6,0),)),IFERROR(VLOOKUP($E797,INSUMOS!$B:$E,4,0),IFERROR(VLOOKUP($E797,COTAÇÕES!$C:$L,10,0),)))*$I797,2)</f>
        <v>0.19</v>
      </c>
      <c r="L797" s="616">
        <f>TRUNC(IF($E797="",IFERROR(VLOOKUP($D797,SERVIÇOS!$C:$H,5,0),IFERROR(VLOOKUP($D797,$F:$M,7,0),)),0)*$I797,2)</f>
        <v>0.73</v>
      </c>
      <c r="M797" s="617">
        <f>K797+L797</f>
        <v>0.91999999999999993</v>
      </c>
      <c r="N797" s="753" t="str">
        <f t="shared" si="366"/>
        <v>SERVIÇO SINAPI</v>
      </c>
      <c r="O797" s="943"/>
    </row>
    <row r="798" spans="2:15" hidden="1">
      <c r="B798" s="769">
        <f>SUMIF(ORC!$G$11:$G$2470,CPU!$F798,ORC!$J$11:$J$2470)</f>
        <v>0</v>
      </c>
      <c r="C798" s="515" t="s">
        <v>2239</v>
      </c>
      <c r="D798" s="515"/>
      <c r="E798" s="515"/>
      <c r="F798" s="515" t="s">
        <v>8996</v>
      </c>
      <c r="G798" s="516" t="s">
        <v>8995</v>
      </c>
      <c r="H798" s="515" t="s">
        <v>648</v>
      </c>
      <c r="I798" s="595"/>
      <c r="J798" s="596"/>
      <c r="K798" s="597">
        <f>SUM(K799:K802)</f>
        <v>6.82</v>
      </c>
      <c r="L798" s="597">
        <f>SUM(L799:L802)</f>
        <v>1.29</v>
      </c>
      <c r="M798" s="597">
        <f>SUM(K798:L798)</f>
        <v>8.11</v>
      </c>
      <c r="N798" s="598" t="s">
        <v>8398</v>
      </c>
      <c r="O798" s="941"/>
    </row>
    <row r="799" spans="2:15" hidden="1">
      <c r="B799" s="122">
        <f t="shared" ref="B799:B802" si="367">B798</f>
        <v>0</v>
      </c>
      <c r="C799" s="611" t="str">
        <f>IF(D799&lt;&gt;"","C",IF(E799&lt;&gt;"","I",""))</f>
        <v>I</v>
      </c>
      <c r="D799" s="660"/>
      <c r="E799" s="662" t="s">
        <v>9092</v>
      </c>
      <c r="F799" s="630"/>
      <c r="G799" s="613" t="str">
        <f>IF($E799="",IFERROR(VLOOKUP($D799,SERVIÇOS!$C:$H,2,0),IFERROR(VLOOKUP($D799,$F:$M,2,0),"")),IFERROR(VLOOKUP($E799,INSUMOS!$B:$E,2,0),IFERROR(VLOOKUP($E799,COTAÇÕES!$C:$L,2,0),"")))</f>
        <v>CABO BLINDADO MICROFONE</v>
      </c>
      <c r="H799" s="593" t="str">
        <f>IF($E799="",IFERROR(VLOOKUP($D799,SERVIÇOS!$C:$H,3,0),IFERROR(VLOOKUP($D799,$F:$M,3,0),"")),IFERROR(VLOOKUP($E799,INSUMOS!$B:$E,3,0),IFERROR(VLOOKUP($E799,COTAÇÕES!$C:$L,5,0),"")))</f>
        <v>UN</v>
      </c>
      <c r="I799" s="614">
        <v>1.19</v>
      </c>
      <c r="J799" s="670">
        <f>IF($E799="",IFERROR(VLOOKUP($D799,SERVIÇOS!$C:$H,6,0),IFERROR(VLOOKUP($D799,$F:$M,8,0),"")),IFERROR(VLOOKUP($E799,INSUMOS!$B:$E,4,0),IFERROR(VLOOKUP($E799,COTAÇÕES!$C:$L,10,0),"")))</f>
        <v>5.3633333333333333</v>
      </c>
      <c r="K799" s="615">
        <f>TRUNC(IF($E799="",IFERROR(VLOOKUP($D799,SERVIÇOS!$C:$H,4,0),IFERROR(VLOOKUP($D799,$F:$M,6,0),)),IFERROR(VLOOKUP($E799,INSUMOS!$B:$E,4,0),IFERROR(VLOOKUP($E799,COTAÇÕES!$C:$L,10,0),)))*$I799,2)</f>
        <v>6.38</v>
      </c>
      <c r="L799" s="616">
        <f>TRUNC(IF($E799="",IFERROR(VLOOKUP($D799,SERVIÇOS!$C:$H,5,0),IFERROR(VLOOKUP($D799,$F:$M,7,0),)),0)*$I799,2)</f>
        <v>0</v>
      </c>
      <c r="M799" s="617">
        <f>K799+L799</f>
        <v>6.38</v>
      </c>
      <c r="N799" s="753" t="s">
        <v>6845</v>
      </c>
      <c r="O799" s="943"/>
    </row>
    <row r="800" spans="2:15" hidden="1">
      <c r="B800" s="122">
        <f t="shared" si="367"/>
        <v>0</v>
      </c>
      <c r="C800" s="611" t="str">
        <f>IF(D800&lt;&gt;"","C",IF(E800&lt;&gt;"","I",""))</f>
        <v>I</v>
      </c>
      <c r="D800" s="660"/>
      <c r="E800" s="662">
        <v>21127</v>
      </c>
      <c r="F800" s="630"/>
      <c r="G800" s="613" t="str">
        <f>IF($E800="",IFERROR(VLOOKUP($D800,SERVIÇOS!$C:$H,2,0),IFERROR(VLOOKUP($D800,$F:$M,2,0),"")),IFERROR(VLOOKUP($E800,INSUMOS!$B:$E,2,0),IFERROR(VLOOKUP($E800,COTAÇÕES!$C:$L,2,0),"")))</f>
        <v xml:space="preserve">FITA ISOLANTE ADESIVA ANTICHAMA, USO ATE 750 V, EM ROLO DE 19 MM X 5 M                                                                                                                                                                                                                                                                                                                                                                                                                                    </v>
      </c>
      <c r="H800" s="593" t="str">
        <f>IF($E800="",IFERROR(VLOOKUP($D800,SERVIÇOS!$C:$H,3,0),IFERROR(VLOOKUP($D800,$F:$M,3,0),"")),IFERROR(VLOOKUP($E800,INSUMOS!$B:$E,3,0),IFERROR(VLOOKUP($E800,COTAÇÕES!$C:$L,5,0),"")))</f>
        <v xml:space="preserve">UN    </v>
      </c>
      <c r="I800" s="614">
        <v>8.9999999999999993E-3</v>
      </c>
      <c r="J800" s="670">
        <f>IF($E800="",IFERROR(VLOOKUP($D800,SERVIÇOS!$C:$H,6,0),IFERROR(VLOOKUP($D800,$F:$M,8,0),"")),IFERROR(VLOOKUP($E800,INSUMOS!$B:$E,4,0),IFERROR(VLOOKUP($E800,COTAÇÕES!$C:$L,10,0),"")))</f>
        <v>6.97</v>
      </c>
      <c r="K800" s="615">
        <f>TRUNC(IF($E800="",IFERROR(VLOOKUP($D800,SERVIÇOS!$C:$H,4,0),IFERROR(VLOOKUP($D800,$F:$M,6,0),)),IFERROR(VLOOKUP($E800,INSUMOS!$B:$E,4,0),IFERROR(VLOOKUP($E800,COTAÇÕES!$C:$L,10,0),)))*$I800,2)</f>
        <v>0.06</v>
      </c>
      <c r="L800" s="616">
        <f>TRUNC(IF($E800="",IFERROR(VLOOKUP($D800,SERVIÇOS!$C:$H,5,0),IFERROR(VLOOKUP($D800,$F:$M,7,0),)),0)*$I800,2)</f>
        <v>0</v>
      </c>
      <c r="M800" s="617">
        <f>K800+L800</f>
        <v>0.06</v>
      </c>
      <c r="N800" s="753" t="str">
        <f t="shared" ref="N800:N802" si="368">IF($D800&lt;&gt;"","SERVIÇO SINAPI",IF($E800&lt;&gt;"","INSUMO SINAPI",""))</f>
        <v>INSUMO SINAPI</v>
      </c>
      <c r="O800" s="943"/>
    </row>
    <row r="801" spans="2:15" hidden="1">
      <c r="B801" s="122">
        <f t="shared" si="367"/>
        <v>0</v>
      </c>
      <c r="C801" s="611" t="str">
        <f>IF(D801&lt;&gt;"","C",IF(E801&lt;&gt;"","I",""))</f>
        <v>C</v>
      </c>
      <c r="D801" s="660">
        <v>88247</v>
      </c>
      <c r="E801" s="661"/>
      <c r="F801" s="612"/>
      <c r="G801" s="613" t="str">
        <f>IF($E801="",IFERROR(VLOOKUP($D801,SERVIÇOS!$C:$H,2,0),IFERROR(VLOOKUP($D801,$F:$M,2,0),"")),IFERROR(VLOOKUP($E801,INSUMOS!$B:$E,2,0),IFERROR(VLOOKUP($E801,COTAÇÕES!$C:$L,2,0),"")))</f>
        <v>AUXILIAR DE ELETRICISTA COM ENCARGOS COMPLEMENTARES</v>
      </c>
      <c r="H801" s="593" t="str">
        <f>IF($E801="",IFERROR(VLOOKUP($D801,SERVIÇOS!$C:$H,3,0),IFERROR(VLOOKUP($D801,$F:$M,3,0),"")),IFERROR(VLOOKUP($E801,INSUMOS!$B:$E,3,0),IFERROR(VLOOKUP($E801,COTAÇÕES!$C:$L,5,0),"")))</f>
        <v>H</v>
      </c>
      <c r="I801" s="614">
        <v>0.03</v>
      </c>
      <c r="J801" s="670">
        <f>IF($E801="",IFERROR(VLOOKUP($D801,SERVIÇOS!$C:$H,6,0),IFERROR(VLOOKUP($D801,$F:$M,8,0),"")),IFERROR(VLOOKUP($E801,INSUMOS!$B:$E,4,0),IFERROR(VLOOKUP($E801,COTAÇÕES!$C:$L,10,0),"")))</f>
        <v>25.53</v>
      </c>
      <c r="K801" s="615">
        <f>TRUNC(IF($E801="",IFERROR(VLOOKUP($D801,SERVIÇOS!$C:$H,4,0),IFERROR(VLOOKUP($D801,$F:$M,6,0),)),IFERROR(VLOOKUP($E801,INSUMOS!$B:$E,4,0),IFERROR(VLOOKUP($E801,COTAÇÕES!$C:$L,10,0),)))*$I801,2)</f>
        <v>0.19</v>
      </c>
      <c r="L801" s="616">
        <f>TRUNC(IF($E801="",IFERROR(VLOOKUP($D801,SERVIÇOS!$C:$H,5,0),IFERROR(VLOOKUP($D801,$F:$M,7,0),)),0)*$I801,2)</f>
        <v>0.56000000000000005</v>
      </c>
      <c r="M801" s="617">
        <f>K801+L801</f>
        <v>0.75</v>
      </c>
      <c r="N801" s="753" t="str">
        <f t="shared" si="368"/>
        <v>SERVIÇO SINAPI</v>
      </c>
      <c r="O801" s="943"/>
    </row>
    <row r="802" spans="2:15" hidden="1">
      <c r="B802" s="122">
        <f t="shared" si="367"/>
        <v>0</v>
      </c>
      <c r="C802" s="611" t="str">
        <f>IF(D802&lt;&gt;"","C",IF(E802&lt;&gt;"","I",""))</f>
        <v>C</v>
      </c>
      <c r="D802" s="660">
        <v>88264</v>
      </c>
      <c r="E802" s="661"/>
      <c r="F802" s="612"/>
      <c r="G802" s="613" t="str">
        <f>IF($E802="",IFERROR(VLOOKUP($D802,SERVIÇOS!$C:$H,2,0),IFERROR(VLOOKUP($D802,$F:$M,2,0),"")),IFERROR(VLOOKUP($E802,INSUMOS!$B:$E,2,0),IFERROR(VLOOKUP($E802,COTAÇÕES!$C:$L,2,0),"")))</f>
        <v>ELETRICISTA COM ENCARGOS COMPLEMENTARES</v>
      </c>
      <c r="H802" s="593" t="str">
        <f>IF($E802="",IFERROR(VLOOKUP($D802,SERVIÇOS!$C:$H,3,0),IFERROR(VLOOKUP($D802,$F:$M,3,0),"")),IFERROR(VLOOKUP($E802,INSUMOS!$B:$E,3,0),IFERROR(VLOOKUP($E802,COTAÇÕES!$C:$L,5,0),"")))</f>
        <v>H</v>
      </c>
      <c r="I802" s="614">
        <v>0.03</v>
      </c>
      <c r="J802" s="670">
        <f>IF($E802="",IFERROR(VLOOKUP($D802,SERVIÇOS!$C:$H,6,0),IFERROR(VLOOKUP($D802,$F:$M,8,0),"")),IFERROR(VLOOKUP($E802,INSUMOS!$B:$E,4,0),IFERROR(VLOOKUP($E802,COTAÇÕES!$C:$L,10,0),"")))</f>
        <v>31.32</v>
      </c>
      <c r="K802" s="615">
        <f>TRUNC(IF($E802="",IFERROR(VLOOKUP($D802,SERVIÇOS!$C:$H,4,0),IFERROR(VLOOKUP($D802,$F:$M,6,0),)),IFERROR(VLOOKUP($E802,INSUMOS!$B:$E,4,0),IFERROR(VLOOKUP($E802,COTAÇÕES!$C:$L,10,0),)))*$I802,2)</f>
        <v>0.19</v>
      </c>
      <c r="L802" s="616">
        <f>TRUNC(IF($E802="",IFERROR(VLOOKUP($D802,SERVIÇOS!$C:$H,5,0),IFERROR(VLOOKUP($D802,$F:$M,7,0),)),0)*$I802,2)</f>
        <v>0.73</v>
      </c>
      <c r="M802" s="617">
        <f>K802+L802</f>
        <v>0.91999999999999993</v>
      </c>
      <c r="N802" s="753" t="str">
        <f t="shared" si="368"/>
        <v>SERVIÇO SINAPI</v>
      </c>
      <c r="O802" s="943"/>
    </row>
    <row r="803" spans="2:15" hidden="1">
      <c r="B803" s="769">
        <f>SUMIF(ORC!$G$11:$G$2470,CPU!$F803,ORC!$J$11:$J$2470)</f>
        <v>0</v>
      </c>
      <c r="C803" s="515" t="s">
        <v>2239</v>
      </c>
      <c r="D803" s="515"/>
      <c r="E803" s="515"/>
      <c r="F803" s="515" t="s">
        <v>9000</v>
      </c>
      <c r="G803" s="516" t="s">
        <v>9001</v>
      </c>
      <c r="H803" s="515" t="s">
        <v>2666</v>
      </c>
      <c r="I803" s="595"/>
      <c r="J803" s="596"/>
      <c r="K803" s="597">
        <f>SUM(K804:K807)</f>
        <v>10.1</v>
      </c>
      <c r="L803" s="597">
        <f>SUM(L804:L807)</f>
        <v>1.29</v>
      </c>
      <c r="M803" s="597">
        <f>SUM(K803:L803)</f>
        <v>11.39</v>
      </c>
      <c r="N803" s="598" t="s">
        <v>8398</v>
      </c>
      <c r="O803" s="941"/>
    </row>
    <row r="804" spans="2:15" hidden="1">
      <c r="B804" s="122">
        <f t="shared" ref="B804:B807" si="369">B803</f>
        <v>0</v>
      </c>
      <c r="C804" s="611" t="str">
        <f>IF(D804&lt;&gt;"","C",IF(E804&lt;&gt;"","I",""))</f>
        <v>I</v>
      </c>
      <c r="D804" s="660"/>
      <c r="E804" s="662" t="s">
        <v>9095</v>
      </c>
      <c r="F804" s="630"/>
      <c r="G804" s="613" t="str">
        <f>IF($E804="",IFERROR(VLOOKUP($D804,SERVIÇOS!$C:$H,2,0),IFERROR(VLOOKUP($D804,$F:$M,2,0),"")),IFERROR(VLOOKUP($E804,INSUMOS!$B:$E,2,0),IFERROR(VLOOKUP($E804,COTAÇÕES!$C:$L,2,0),"")))</f>
        <v>CONECTOR P10 MACHO</v>
      </c>
      <c r="H804" s="593" t="str">
        <f>IF($E804="",IFERROR(VLOOKUP($D804,SERVIÇOS!$C:$H,3,0),IFERROR(VLOOKUP($D804,$F:$M,3,0),"")),IFERROR(VLOOKUP($E804,INSUMOS!$B:$E,3,0),IFERROR(VLOOKUP($E804,COTAÇÕES!$C:$L,5,0),"")))</f>
        <v>UN</v>
      </c>
      <c r="I804" s="614">
        <v>1</v>
      </c>
      <c r="J804" s="670">
        <f>IF($E804="",IFERROR(VLOOKUP($D804,SERVIÇOS!$C:$H,6,0),IFERROR(VLOOKUP($D804,$F:$M,8,0),"")),IFERROR(VLOOKUP($E804,INSUMOS!$B:$E,4,0),IFERROR(VLOOKUP($E804,COTAÇÕES!$C:$L,10,0),"")))</f>
        <v>9.66</v>
      </c>
      <c r="K804" s="615">
        <f>TRUNC(IF($E804="",IFERROR(VLOOKUP($D804,SERVIÇOS!$C:$H,4,0),IFERROR(VLOOKUP($D804,$F:$M,6,0),)),IFERROR(VLOOKUP($E804,INSUMOS!$B:$E,4,0),IFERROR(VLOOKUP($E804,COTAÇÕES!$C:$L,10,0),)))*$I804,2)</f>
        <v>9.66</v>
      </c>
      <c r="L804" s="616">
        <f>TRUNC(IF($E804="",IFERROR(VLOOKUP($D804,SERVIÇOS!$C:$H,5,0),IFERROR(VLOOKUP($D804,$F:$M,7,0),)),0)*$I804,2)</f>
        <v>0</v>
      </c>
      <c r="M804" s="617">
        <f>K804+L804</f>
        <v>9.66</v>
      </c>
      <c r="N804" s="753" t="s">
        <v>6845</v>
      </c>
      <c r="O804" s="943"/>
    </row>
    <row r="805" spans="2:15" hidden="1">
      <c r="B805" s="122">
        <f t="shared" si="369"/>
        <v>0</v>
      </c>
      <c r="C805" s="611" t="str">
        <f>IF(D805&lt;&gt;"","C",IF(E805&lt;&gt;"","I",""))</f>
        <v>I</v>
      </c>
      <c r="D805" s="660"/>
      <c r="E805" s="662">
        <v>21127</v>
      </c>
      <c r="F805" s="630"/>
      <c r="G805" s="613" t="str">
        <f>IF($E805="",IFERROR(VLOOKUP($D805,SERVIÇOS!$C:$H,2,0),IFERROR(VLOOKUP($D805,$F:$M,2,0),"")),IFERROR(VLOOKUP($E805,INSUMOS!$B:$E,2,0),IFERROR(VLOOKUP($E805,COTAÇÕES!$C:$L,2,0),"")))</f>
        <v xml:space="preserve">FITA ISOLANTE ADESIVA ANTICHAMA, USO ATE 750 V, EM ROLO DE 19 MM X 5 M                                                                                                                                                                                                                                                                                                                                                                                                                                    </v>
      </c>
      <c r="H805" s="593" t="str">
        <f>IF($E805="",IFERROR(VLOOKUP($D805,SERVIÇOS!$C:$H,3,0),IFERROR(VLOOKUP($D805,$F:$M,3,0),"")),IFERROR(VLOOKUP($E805,INSUMOS!$B:$E,3,0),IFERROR(VLOOKUP($E805,COTAÇÕES!$C:$L,5,0),"")))</f>
        <v xml:space="preserve">UN    </v>
      </c>
      <c r="I805" s="614">
        <v>8.9999999999999993E-3</v>
      </c>
      <c r="J805" s="670">
        <f>IF($E805="",IFERROR(VLOOKUP($D805,SERVIÇOS!$C:$H,6,0),IFERROR(VLOOKUP($D805,$F:$M,8,0),"")),IFERROR(VLOOKUP($E805,INSUMOS!$B:$E,4,0),IFERROR(VLOOKUP($E805,COTAÇÕES!$C:$L,10,0),"")))</f>
        <v>6.97</v>
      </c>
      <c r="K805" s="615">
        <f>TRUNC(IF($E805="",IFERROR(VLOOKUP($D805,SERVIÇOS!$C:$H,4,0),IFERROR(VLOOKUP($D805,$F:$M,6,0),)),IFERROR(VLOOKUP($E805,INSUMOS!$B:$E,4,0),IFERROR(VLOOKUP($E805,COTAÇÕES!$C:$L,10,0),)))*$I805,2)</f>
        <v>0.06</v>
      </c>
      <c r="L805" s="616">
        <f>TRUNC(IF($E805="",IFERROR(VLOOKUP($D805,SERVIÇOS!$C:$H,5,0),IFERROR(VLOOKUP($D805,$F:$M,7,0),)),0)*$I805,2)</f>
        <v>0</v>
      </c>
      <c r="M805" s="617">
        <f>K805+L805</f>
        <v>0.06</v>
      </c>
      <c r="N805" s="753" t="str">
        <f t="shared" ref="N805:N807" si="370">IF($D805&lt;&gt;"","SERVIÇO SINAPI",IF($E805&lt;&gt;"","INSUMO SINAPI",""))</f>
        <v>INSUMO SINAPI</v>
      </c>
      <c r="O805" s="943"/>
    </row>
    <row r="806" spans="2:15" hidden="1">
      <c r="B806" s="122">
        <f t="shared" si="369"/>
        <v>0</v>
      </c>
      <c r="C806" s="611" t="str">
        <f>IF(D806&lt;&gt;"","C",IF(E806&lt;&gt;"","I",""))</f>
        <v>C</v>
      </c>
      <c r="D806" s="660">
        <v>88247</v>
      </c>
      <c r="E806" s="661"/>
      <c r="F806" s="612"/>
      <c r="G806" s="613" t="str">
        <f>IF($E806="",IFERROR(VLOOKUP($D806,SERVIÇOS!$C:$H,2,0),IFERROR(VLOOKUP($D806,$F:$M,2,0),"")),IFERROR(VLOOKUP($E806,INSUMOS!$B:$E,2,0),IFERROR(VLOOKUP($E806,COTAÇÕES!$C:$L,2,0),"")))</f>
        <v>AUXILIAR DE ELETRICISTA COM ENCARGOS COMPLEMENTARES</v>
      </c>
      <c r="H806" s="593" t="str">
        <f>IF($E806="",IFERROR(VLOOKUP($D806,SERVIÇOS!$C:$H,3,0),IFERROR(VLOOKUP($D806,$F:$M,3,0),"")),IFERROR(VLOOKUP($E806,INSUMOS!$B:$E,3,0),IFERROR(VLOOKUP($E806,COTAÇÕES!$C:$L,5,0),"")))</f>
        <v>H</v>
      </c>
      <c r="I806" s="614">
        <v>0.03</v>
      </c>
      <c r="J806" s="670">
        <f>IF($E806="",IFERROR(VLOOKUP($D806,SERVIÇOS!$C:$H,6,0),IFERROR(VLOOKUP($D806,$F:$M,8,0),"")),IFERROR(VLOOKUP($E806,INSUMOS!$B:$E,4,0),IFERROR(VLOOKUP($E806,COTAÇÕES!$C:$L,10,0),"")))</f>
        <v>25.53</v>
      </c>
      <c r="K806" s="615">
        <f>TRUNC(IF($E806="",IFERROR(VLOOKUP($D806,SERVIÇOS!$C:$H,4,0),IFERROR(VLOOKUP($D806,$F:$M,6,0),)),IFERROR(VLOOKUP($E806,INSUMOS!$B:$E,4,0),IFERROR(VLOOKUP($E806,COTAÇÕES!$C:$L,10,0),)))*$I806,2)</f>
        <v>0.19</v>
      </c>
      <c r="L806" s="616">
        <f>TRUNC(IF($E806="",IFERROR(VLOOKUP($D806,SERVIÇOS!$C:$H,5,0),IFERROR(VLOOKUP($D806,$F:$M,7,0),)),0)*$I806,2)</f>
        <v>0.56000000000000005</v>
      </c>
      <c r="M806" s="617">
        <f>K806+L806</f>
        <v>0.75</v>
      </c>
      <c r="N806" s="753" t="str">
        <f t="shared" si="370"/>
        <v>SERVIÇO SINAPI</v>
      </c>
      <c r="O806" s="943"/>
    </row>
    <row r="807" spans="2:15" hidden="1">
      <c r="B807" s="122">
        <f t="shared" si="369"/>
        <v>0</v>
      </c>
      <c r="C807" s="611" t="str">
        <f>IF(D807&lt;&gt;"","C",IF(E807&lt;&gt;"","I",""))</f>
        <v>C</v>
      </c>
      <c r="D807" s="660">
        <v>88264</v>
      </c>
      <c r="E807" s="661"/>
      <c r="F807" s="612"/>
      <c r="G807" s="613" t="str">
        <f>IF($E807="",IFERROR(VLOOKUP($D807,SERVIÇOS!$C:$H,2,0),IFERROR(VLOOKUP($D807,$F:$M,2,0),"")),IFERROR(VLOOKUP($E807,INSUMOS!$B:$E,2,0),IFERROR(VLOOKUP($E807,COTAÇÕES!$C:$L,2,0),"")))</f>
        <v>ELETRICISTA COM ENCARGOS COMPLEMENTARES</v>
      </c>
      <c r="H807" s="593" t="str">
        <f>IF($E807="",IFERROR(VLOOKUP($D807,SERVIÇOS!$C:$H,3,0),IFERROR(VLOOKUP($D807,$F:$M,3,0),"")),IFERROR(VLOOKUP($E807,INSUMOS!$B:$E,3,0),IFERROR(VLOOKUP($E807,COTAÇÕES!$C:$L,5,0),"")))</f>
        <v>H</v>
      </c>
      <c r="I807" s="614">
        <v>0.03</v>
      </c>
      <c r="J807" s="670">
        <f>IF($E807="",IFERROR(VLOOKUP($D807,SERVIÇOS!$C:$H,6,0),IFERROR(VLOOKUP($D807,$F:$M,8,0),"")),IFERROR(VLOOKUP($E807,INSUMOS!$B:$E,4,0),IFERROR(VLOOKUP($E807,COTAÇÕES!$C:$L,10,0),"")))</f>
        <v>31.32</v>
      </c>
      <c r="K807" s="615">
        <f>TRUNC(IF($E807="",IFERROR(VLOOKUP($D807,SERVIÇOS!$C:$H,4,0),IFERROR(VLOOKUP($D807,$F:$M,6,0),)),IFERROR(VLOOKUP($E807,INSUMOS!$B:$E,4,0),IFERROR(VLOOKUP($E807,COTAÇÕES!$C:$L,10,0),)))*$I807,2)</f>
        <v>0.19</v>
      </c>
      <c r="L807" s="616">
        <f>TRUNC(IF($E807="",IFERROR(VLOOKUP($D807,SERVIÇOS!$C:$H,5,0),IFERROR(VLOOKUP($D807,$F:$M,7,0),)),0)*$I807,2)</f>
        <v>0.73</v>
      </c>
      <c r="M807" s="617">
        <f>K807+L807</f>
        <v>0.91999999999999993</v>
      </c>
      <c r="N807" s="753" t="str">
        <f t="shared" si="370"/>
        <v>SERVIÇO SINAPI</v>
      </c>
      <c r="O807" s="943"/>
    </row>
    <row r="808" spans="2:15">
      <c r="B808" s="769">
        <f>SUMIF(ORC!$G$11:$G$2470,CPU!$F808,ORC!$J$11:$J$2470)</f>
        <v>12</v>
      </c>
      <c r="C808" s="515" t="s">
        <v>2239</v>
      </c>
      <c r="D808" s="515"/>
      <c r="E808" s="515"/>
      <c r="F808" s="515" t="s">
        <v>9002</v>
      </c>
      <c r="G808" s="516" t="s">
        <v>9003</v>
      </c>
      <c r="H808" s="515" t="s">
        <v>2666</v>
      </c>
      <c r="I808" s="595"/>
      <c r="J808" s="596"/>
      <c r="K808" s="597">
        <f>SUM(K809:K812)</f>
        <v>18.600000000000001</v>
      </c>
      <c r="L808" s="597">
        <f>SUM(L809:L812)</f>
        <v>1.29</v>
      </c>
      <c r="M808" s="597">
        <f>SUM(K808:L808)</f>
        <v>19.89</v>
      </c>
      <c r="N808" s="598" t="s">
        <v>8398</v>
      </c>
      <c r="O808" s="941"/>
    </row>
    <row r="809" spans="2:15">
      <c r="B809" s="122">
        <f t="shared" ref="B809:B812" si="371">B808</f>
        <v>12</v>
      </c>
      <c r="C809" s="611" t="str">
        <f>IF(D809&lt;&gt;"","C",IF(E809&lt;&gt;"","I",""))</f>
        <v>I</v>
      </c>
      <c r="D809" s="660"/>
      <c r="E809" s="662" t="s">
        <v>9096</v>
      </c>
      <c r="F809" s="630"/>
      <c r="G809" s="613" t="str">
        <f>IF($E809="",IFERROR(VLOOKUP($D809,SERVIÇOS!$C:$H,2,0),IFERROR(VLOOKUP($D809,$F:$M,2,0),"")),IFERROR(VLOOKUP($E809,INSUMOS!$B:$E,2,0),IFERROR(VLOOKUP($E809,COTAÇÕES!$C:$L,2,0),"")))</f>
        <v>CONECTOR P10 FEMEA</v>
      </c>
      <c r="H809" s="593" t="str">
        <f>IF($E809="",IFERROR(VLOOKUP($D809,SERVIÇOS!$C:$H,3,0),IFERROR(VLOOKUP($D809,$F:$M,3,0),"")),IFERROR(VLOOKUP($E809,INSUMOS!$B:$E,3,0),IFERROR(VLOOKUP($E809,COTAÇÕES!$C:$L,5,0),"")))</f>
        <v>UN</v>
      </c>
      <c r="I809" s="614">
        <v>1</v>
      </c>
      <c r="J809" s="670">
        <f>IF($E809="",IFERROR(VLOOKUP($D809,SERVIÇOS!$C:$H,6,0),IFERROR(VLOOKUP($D809,$F:$M,8,0),"")),IFERROR(VLOOKUP($E809,INSUMOS!$B:$E,4,0),IFERROR(VLOOKUP($E809,COTAÇÕES!$C:$L,10,0),"")))</f>
        <v>18.166666666666668</v>
      </c>
      <c r="K809" s="615">
        <f>TRUNC(IF($E809="",IFERROR(VLOOKUP($D809,SERVIÇOS!$C:$H,4,0),IFERROR(VLOOKUP($D809,$F:$M,6,0),)),IFERROR(VLOOKUP($E809,INSUMOS!$B:$E,4,0),IFERROR(VLOOKUP($E809,COTAÇÕES!$C:$L,10,0),)))*$I809,2)</f>
        <v>18.16</v>
      </c>
      <c r="L809" s="616">
        <f>TRUNC(IF($E809="",IFERROR(VLOOKUP($D809,SERVIÇOS!$C:$H,5,0),IFERROR(VLOOKUP($D809,$F:$M,7,0),)),0)*$I809,2)</f>
        <v>0</v>
      </c>
      <c r="M809" s="617">
        <f>K809+L809</f>
        <v>18.16</v>
      </c>
      <c r="N809" s="753" t="s">
        <v>6845</v>
      </c>
      <c r="O809" s="943"/>
    </row>
    <row r="810" spans="2:15">
      <c r="B810" s="122">
        <f t="shared" si="371"/>
        <v>12</v>
      </c>
      <c r="C810" s="611" t="str">
        <f>IF(D810&lt;&gt;"","C",IF(E810&lt;&gt;"","I",""))</f>
        <v>I</v>
      </c>
      <c r="D810" s="660"/>
      <c r="E810" s="662">
        <v>21127</v>
      </c>
      <c r="F810" s="630"/>
      <c r="G810" s="613" t="str">
        <f>IF($E810="",IFERROR(VLOOKUP($D810,SERVIÇOS!$C:$H,2,0),IFERROR(VLOOKUP($D810,$F:$M,2,0),"")),IFERROR(VLOOKUP($E810,INSUMOS!$B:$E,2,0),IFERROR(VLOOKUP($E810,COTAÇÕES!$C:$L,2,0),"")))</f>
        <v xml:space="preserve">FITA ISOLANTE ADESIVA ANTICHAMA, USO ATE 750 V, EM ROLO DE 19 MM X 5 M                                                                                                                                                                                                                                                                                                                                                                                                                                    </v>
      </c>
      <c r="H810" s="593" t="str">
        <f>IF($E810="",IFERROR(VLOOKUP($D810,SERVIÇOS!$C:$H,3,0),IFERROR(VLOOKUP($D810,$F:$M,3,0),"")),IFERROR(VLOOKUP($E810,INSUMOS!$B:$E,3,0),IFERROR(VLOOKUP($E810,COTAÇÕES!$C:$L,5,0),"")))</f>
        <v xml:space="preserve">UN    </v>
      </c>
      <c r="I810" s="614">
        <v>8.9999999999999993E-3</v>
      </c>
      <c r="J810" s="670">
        <f>IF($E810="",IFERROR(VLOOKUP($D810,SERVIÇOS!$C:$H,6,0),IFERROR(VLOOKUP($D810,$F:$M,8,0),"")),IFERROR(VLOOKUP($E810,INSUMOS!$B:$E,4,0),IFERROR(VLOOKUP($E810,COTAÇÕES!$C:$L,10,0),"")))</f>
        <v>6.97</v>
      </c>
      <c r="K810" s="615">
        <f>TRUNC(IF($E810="",IFERROR(VLOOKUP($D810,SERVIÇOS!$C:$H,4,0),IFERROR(VLOOKUP($D810,$F:$M,6,0),)),IFERROR(VLOOKUP($E810,INSUMOS!$B:$E,4,0),IFERROR(VLOOKUP($E810,COTAÇÕES!$C:$L,10,0),)))*$I810,2)</f>
        <v>0.06</v>
      </c>
      <c r="L810" s="616">
        <f>TRUNC(IF($E810="",IFERROR(VLOOKUP($D810,SERVIÇOS!$C:$H,5,0),IFERROR(VLOOKUP($D810,$F:$M,7,0),)),0)*$I810,2)</f>
        <v>0</v>
      </c>
      <c r="M810" s="617">
        <f>K810+L810</f>
        <v>0.06</v>
      </c>
      <c r="N810" s="753" t="str">
        <f t="shared" ref="N810:N812" si="372">IF($D810&lt;&gt;"","SERVIÇO SINAPI",IF($E810&lt;&gt;"","INSUMO SINAPI",""))</f>
        <v>INSUMO SINAPI</v>
      </c>
      <c r="O810" s="943"/>
    </row>
    <row r="811" spans="2:15">
      <c r="B811" s="122">
        <f t="shared" si="371"/>
        <v>12</v>
      </c>
      <c r="C811" s="611" t="str">
        <f>IF(D811&lt;&gt;"","C",IF(E811&lt;&gt;"","I",""))</f>
        <v>C</v>
      </c>
      <c r="D811" s="660">
        <v>88247</v>
      </c>
      <c r="E811" s="661"/>
      <c r="F811" s="612"/>
      <c r="G811" s="613" t="str">
        <f>IF($E811="",IFERROR(VLOOKUP($D811,SERVIÇOS!$C:$H,2,0),IFERROR(VLOOKUP($D811,$F:$M,2,0),"")),IFERROR(VLOOKUP($E811,INSUMOS!$B:$E,2,0),IFERROR(VLOOKUP($E811,COTAÇÕES!$C:$L,2,0),"")))</f>
        <v>AUXILIAR DE ELETRICISTA COM ENCARGOS COMPLEMENTARES</v>
      </c>
      <c r="H811" s="593" t="str">
        <f>IF($E811="",IFERROR(VLOOKUP($D811,SERVIÇOS!$C:$H,3,0),IFERROR(VLOOKUP($D811,$F:$M,3,0),"")),IFERROR(VLOOKUP($E811,INSUMOS!$B:$E,3,0),IFERROR(VLOOKUP($E811,COTAÇÕES!$C:$L,5,0),"")))</f>
        <v>H</v>
      </c>
      <c r="I811" s="614">
        <v>0.03</v>
      </c>
      <c r="J811" s="670">
        <f>IF($E811="",IFERROR(VLOOKUP($D811,SERVIÇOS!$C:$H,6,0),IFERROR(VLOOKUP($D811,$F:$M,8,0),"")),IFERROR(VLOOKUP($E811,INSUMOS!$B:$E,4,0),IFERROR(VLOOKUP($E811,COTAÇÕES!$C:$L,10,0),"")))</f>
        <v>25.53</v>
      </c>
      <c r="K811" s="615">
        <f>TRUNC(IF($E811="",IFERROR(VLOOKUP($D811,SERVIÇOS!$C:$H,4,0),IFERROR(VLOOKUP($D811,$F:$M,6,0),)),IFERROR(VLOOKUP($E811,INSUMOS!$B:$E,4,0),IFERROR(VLOOKUP($E811,COTAÇÕES!$C:$L,10,0),)))*$I811,2)</f>
        <v>0.19</v>
      </c>
      <c r="L811" s="616">
        <f>TRUNC(IF($E811="",IFERROR(VLOOKUP($D811,SERVIÇOS!$C:$H,5,0),IFERROR(VLOOKUP($D811,$F:$M,7,0),)),0)*$I811,2)</f>
        <v>0.56000000000000005</v>
      </c>
      <c r="M811" s="617">
        <f>K811+L811</f>
        <v>0.75</v>
      </c>
      <c r="N811" s="753" t="str">
        <f t="shared" si="372"/>
        <v>SERVIÇO SINAPI</v>
      </c>
      <c r="O811" s="943"/>
    </row>
    <row r="812" spans="2:15">
      <c r="B812" s="122">
        <f t="shared" si="371"/>
        <v>12</v>
      </c>
      <c r="C812" s="611" t="str">
        <f>IF(D812&lt;&gt;"","C",IF(E812&lt;&gt;"","I",""))</f>
        <v>C</v>
      </c>
      <c r="D812" s="660">
        <v>88264</v>
      </c>
      <c r="E812" s="661"/>
      <c r="F812" s="612"/>
      <c r="G812" s="613" t="str">
        <f>IF($E812="",IFERROR(VLOOKUP($D812,SERVIÇOS!$C:$H,2,0),IFERROR(VLOOKUP($D812,$F:$M,2,0),"")),IFERROR(VLOOKUP($E812,INSUMOS!$B:$E,2,0),IFERROR(VLOOKUP($E812,COTAÇÕES!$C:$L,2,0),"")))</f>
        <v>ELETRICISTA COM ENCARGOS COMPLEMENTARES</v>
      </c>
      <c r="H812" s="593" t="str">
        <f>IF($E812="",IFERROR(VLOOKUP($D812,SERVIÇOS!$C:$H,3,0),IFERROR(VLOOKUP($D812,$F:$M,3,0),"")),IFERROR(VLOOKUP($E812,INSUMOS!$B:$E,3,0),IFERROR(VLOOKUP($E812,COTAÇÕES!$C:$L,5,0),"")))</f>
        <v>H</v>
      </c>
      <c r="I812" s="614">
        <v>0.03</v>
      </c>
      <c r="J812" s="670">
        <f>IF($E812="",IFERROR(VLOOKUP($D812,SERVIÇOS!$C:$H,6,0),IFERROR(VLOOKUP($D812,$F:$M,8,0),"")),IFERROR(VLOOKUP($E812,INSUMOS!$B:$E,4,0),IFERROR(VLOOKUP($E812,COTAÇÕES!$C:$L,10,0),"")))</f>
        <v>31.32</v>
      </c>
      <c r="K812" s="615">
        <f>TRUNC(IF($E812="",IFERROR(VLOOKUP($D812,SERVIÇOS!$C:$H,4,0),IFERROR(VLOOKUP($D812,$F:$M,6,0),)),IFERROR(VLOOKUP($E812,INSUMOS!$B:$E,4,0),IFERROR(VLOOKUP($E812,COTAÇÕES!$C:$L,10,0),)))*$I812,2)</f>
        <v>0.19</v>
      </c>
      <c r="L812" s="616">
        <f>TRUNC(IF($E812="",IFERROR(VLOOKUP($D812,SERVIÇOS!$C:$H,5,0),IFERROR(VLOOKUP($D812,$F:$M,7,0),)),0)*$I812,2)</f>
        <v>0.73</v>
      </c>
      <c r="M812" s="617">
        <f>K812+L812</f>
        <v>0.91999999999999993</v>
      </c>
      <c r="N812" s="753" t="str">
        <f t="shared" si="372"/>
        <v>SERVIÇO SINAPI</v>
      </c>
      <c r="O812" s="943"/>
    </row>
    <row r="813" spans="2:15" hidden="1">
      <c r="B813" s="769">
        <f>SUMIF(ORC!$G$11:$G$2470,CPU!$F813,ORC!$J$11:$J$2470)</f>
        <v>0</v>
      </c>
      <c r="C813" s="515" t="s">
        <v>2239</v>
      </c>
      <c r="D813" s="515"/>
      <c r="E813" s="515"/>
      <c r="F813" s="515" t="s">
        <v>9004</v>
      </c>
      <c r="G813" s="516" t="s">
        <v>9005</v>
      </c>
      <c r="H813" s="515" t="s">
        <v>2666</v>
      </c>
      <c r="I813" s="595"/>
      <c r="J813" s="596"/>
      <c r="K813" s="597">
        <f>SUM(K814:K817)</f>
        <v>10.889999999999999</v>
      </c>
      <c r="L813" s="597">
        <f>SUM(L814:L817)</f>
        <v>1.29</v>
      </c>
      <c r="M813" s="597">
        <f>SUM(K813:L813)</f>
        <v>12.18</v>
      </c>
      <c r="N813" s="598" t="s">
        <v>8398</v>
      </c>
      <c r="O813" s="941"/>
    </row>
    <row r="814" spans="2:15" hidden="1">
      <c r="B814" s="122">
        <f t="shared" ref="B814:B817" si="373">B813</f>
        <v>0</v>
      </c>
      <c r="C814" s="611" t="str">
        <f>IF(D814&lt;&gt;"","C",IF(E814&lt;&gt;"","I",""))</f>
        <v>I</v>
      </c>
      <c r="D814" s="660"/>
      <c r="E814" s="662" t="s">
        <v>9097</v>
      </c>
      <c r="F814" s="630"/>
      <c r="G814" s="613" t="str">
        <f>IF($E814="",IFERROR(VLOOKUP($D814,SERVIÇOS!$C:$H,2,0),IFERROR(VLOOKUP($D814,$F:$M,2,0),"")),IFERROR(VLOOKUP($E814,INSUMOS!$B:$E,2,0),IFERROR(VLOOKUP($E814,COTAÇÕES!$C:$L,2,0),"")))</f>
        <v xml:space="preserve">CONECTOR TIPO XLR MACHO </v>
      </c>
      <c r="H814" s="593" t="str">
        <f>IF($E814="",IFERROR(VLOOKUP($D814,SERVIÇOS!$C:$H,3,0),IFERROR(VLOOKUP($D814,$F:$M,3,0),"")),IFERROR(VLOOKUP($E814,INSUMOS!$B:$E,3,0),IFERROR(VLOOKUP($E814,COTAÇÕES!$C:$L,5,0),"")))</f>
        <v>UN</v>
      </c>
      <c r="I814" s="614">
        <v>1</v>
      </c>
      <c r="J814" s="670">
        <f>IF($E814="",IFERROR(VLOOKUP($D814,SERVIÇOS!$C:$H,6,0),IFERROR(VLOOKUP($D814,$F:$M,8,0),"")),IFERROR(VLOOKUP($E814,INSUMOS!$B:$E,4,0),IFERROR(VLOOKUP($E814,COTAÇÕES!$C:$L,10,0),"")))</f>
        <v>10.456666666666665</v>
      </c>
      <c r="K814" s="615">
        <f>TRUNC(IF($E814="",IFERROR(VLOOKUP($D814,SERVIÇOS!$C:$H,4,0),IFERROR(VLOOKUP($D814,$F:$M,6,0),)),IFERROR(VLOOKUP($E814,INSUMOS!$B:$E,4,0),IFERROR(VLOOKUP($E814,COTAÇÕES!$C:$L,10,0),)))*$I814,2)</f>
        <v>10.45</v>
      </c>
      <c r="L814" s="616">
        <f>TRUNC(IF($E814="",IFERROR(VLOOKUP($D814,SERVIÇOS!$C:$H,5,0),IFERROR(VLOOKUP($D814,$F:$M,7,0),)),0)*$I814,2)</f>
        <v>0</v>
      </c>
      <c r="M814" s="617">
        <f>K814+L814</f>
        <v>10.45</v>
      </c>
      <c r="N814" s="753" t="s">
        <v>6845</v>
      </c>
      <c r="O814" s="943"/>
    </row>
    <row r="815" spans="2:15" hidden="1">
      <c r="B815" s="122">
        <f t="shared" si="373"/>
        <v>0</v>
      </c>
      <c r="C815" s="611" t="str">
        <f>IF(D815&lt;&gt;"","C",IF(E815&lt;&gt;"","I",""))</f>
        <v>I</v>
      </c>
      <c r="D815" s="660"/>
      <c r="E815" s="662">
        <v>21127</v>
      </c>
      <c r="F815" s="630"/>
      <c r="G815" s="613" t="str">
        <f>IF($E815="",IFERROR(VLOOKUP($D815,SERVIÇOS!$C:$H,2,0),IFERROR(VLOOKUP($D815,$F:$M,2,0),"")),IFERROR(VLOOKUP($E815,INSUMOS!$B:$E,2,0),IFERROR(VLOOKUP($E815,COTAÇÕES!$C:$L,2,0),"")))</f>
        <v xml:space="preserve">FITA ISOLANTE ADESIVA ANTICHAMA, USO ATE 750 V, EM ROLO DE 19 MM X 5 M                                                                                                                                                                                                                                                                                                                                                                                                                                    </v>
      </c>
      <c r="H815" s="593" t="str">
        <f>IF($E815="",IFERROR(VLOOKUP($D815,SERVIÇOS!$C:$H,3,0),IFERROR(VLOOKUP($D815,$F:$M,3,0),"")),IFERROR(VLOOKUP($E815,INSUMOS!$B:$E,3,0),IFERROR(VLOOKUP($E815,COTAÇÕES!$C:$L,5,0),"")))</f>
        <v xml:space="preserve">UN    </v>
      </c>
      <c r="I815" s="614">
        <v>8.9999999999999993E-3</v>
      </c>
      <c r="J815" s="670">
        <f>IF($E815="",IFERROR(VLOOKUP($D815,SERVIÇOS!$C:$H,6,0),IFERROR(VLOOKUP($D815,$F:$M,8,0),"")),IFERROR(VLOOKUP($E815,INSUMOS!$B:$E,4,0),IFERROR(VLOOKUP($E815,COTAÇÕES!$C:$L,10,0),"")))</f>
        <v>6.97</v>
      </c>
      <c r="K815" s="615">
        <f>TRUNC(IF($E815="",IFERROR(VLOOKUP($D815,SERVIÇOS!$C:$H,4,0),IFERROR(VLOOKUP($D815,$F:$M,6,0),)),IFERROR(VLOOKUP($E815,INSUMOS!$B:$E,4,0),IFERROR(VLOOKUP($E815,COTAÇÕES!$C:$L,10,0),)))*$I815,2)</f>
        <v>0.06</v>
      </c>
      <c r="L815" s="616">
        <f>TRUNC(IF($E815="",IFERROR(VLOOKUP($D815,SERVIÇOS!$C:$H,5,0),IFERROR(VLOOKUP($D815,$F:$M,7,0),)),0)*$I815,2)</f>
        <v>0</v>
      </c>
      <c r="M815" s="617">
        <f>K815+L815</f>
        <v>0.06</v>
      </c>
      <c r="N815" s="753" t="str">
        <f t="shared" ref="N815:N817" si="374">IF($D815&lt;&gt;"","SERVIÇO SINAPI",IF($E815&lt;&gt;"","INSUMO SINAPI",""))</f>
        <v>INSUMO SINAPI</v>
      </c>
      <c r="O815" s="943"/>
    </row>
    <row r="816" spans="2:15" hidden="1">
      <c r="B816" s="122">
        <f t="shared" si="373"/>
        <v>0</v>
      </c>
      <c r="C816" s="611" t="str">
        <f>IF(D816&lt;&gt;"","C",IF(E816&lt;&gt;"","I",""))</f>
        <v>C</v>
      </c>
      <c r="D816" s="660">
        <v>88247</v>
      </c>
      <c r="E816" s="661"/>
      <c r="F816" s="612"/>
      <c r="G816" s="613" t="str">
        <f>IF($E816="",IFERROR(VLOOKUP($D816,SERVIÇOS!$C:$H,2,0),IFERROR(VLOOKUP($D816,$F:$M,2,0),"")),IFERROR(VLOOKUP($E816,INSUMOS!$B:$E,2,0),IFERROR(VLOOKUP($E816,COTAÇÕES!$C:$L,2,0),"")))</f>
        <v>AUXILIAR DE ELETRICISTA COM ENCARGOS COMPLEMENTARES</v>
      </c>
      <c r="H816" s="593" t="str">
        <f>IF($E816="",IFERROR(VLOOKUP($D816,SERVIÇOS!$C:$H,3,0),IFERROR(VLOOKUP($D816,$F:$M,3,0),"")),IFERROR(VLOOKUP($E816,INSUMOS!$B:$E,3,0),IFERROR(VLOOKUP($E816,COTAÇÕES!$C:$L,5,0),"")))</f>
        <v>H</v>
      </c>
      <c r="I816" s="614">
        <v>0.03</v>
      </c>
      <c r="J816" s="670">
        <f>IF($E816="",IFERROR(VLOOKUP($D816,SERVIÇOS!$C:$H,6,0),IFERROR(VLOOKUP($D816,$F:$M,8,0),"")),IFERROR(VLOOKUP($E816,INSUMOS!$B:$E,4,0),IFERROR(VLOOKUP($E816,COTAÇÕES!$C:$L,10,0),"")))</f>
        <v>25.53</v>
      </c>
      <c r="K816" s="615">
        <f>TRUNC(IF($E816="",IFERROR(VLOOKUP($D816,SERVIÇOS!$C:$H,4,0),IFERROR(VLOOKUP($D816,$F:$M,6,0),)),IFERROR(VLOOKUP($E816,INSUMOS!$B:$E,4,0),IFERROR(VLOOKUP($E816,COTAÇÕES!$C:$L,10,0),)))*$I816,2)</f>
        <v>0.19</v>
      </c>
      <c r="L816" s="616">
        <f>TRUNC(IF($E816="",IFERROR(VLOOKUP($D816,SERVIÇOS!$C:$H,5,0),IFERROR(VLOOKUP($D816,$F:$M,7,0),)),0)*$I816,2)</f>
        <v>0.56000000000000005</v>
      </c>
      <c r="M816" s="617">
        <f>K816+L816</f>
        <v>0.75</v>
      </c>
      <c r="N816" s="753" t="str">
        <f t="shared" si="374"/>
        <v>SERVIÇO SINAPI</v>
      </c>
      <c r="O816" s="943"/>
    </row>
    <row r="817" spans="1:15" hidden="1">
      <c r="B817" s="122">
        <f t="shared" si="373"/>
        <v>0</v>
      </c>
      <c r="C817" s="611" t="str">
        <f>IF(D817&lt;&gt;"","C",IF(E817&lt;&gt;"","I",""))</f>
        <v>C</v>
      </c>
      <c r="D817" s="660">
        <v>88264</v>
      </c>
      <c r="E817" s="661"/>
      <c r="F817" s="612"/>
      <c r="G817" s="613" t="str">
        <f>IF($E817="",IFERROR(VLOOKUP($D817,SERVIÇOS!$C:$H,2,0),IFERROR(VLOOKUP($D817,$F:$M,2,0),"")),IFERROR(VLOOKUP($E817,INSUMOS!$B:$E,2,0),IFERROR(VLOOKUP($E817,COTAÇÕES!$C:$L,2,0),"")))</f>
        <v>ELETRICISTA COM ENCARGOS COMPLEMENTARES</v>
      </c>
      <c r="H817" s="593" t="str">
        <f>IF($E817="",IFERROR(VLOOKUP($D817,SERVIÇOS!$C:$H,3,0),IFERROR(VLOOKUP($D817,$F:$M,3,0),"")),IFERROR(VLOOKUP($E817,INSUMOS!$B:$E,3,0),IFERROR(VLOOKUP($E817,COTAÇÕES!$C:$L,5,0),"")))</f>
        <v>H</v>
      </c>
      <c r="I817" s="614">
        <v>0.03</v>
      </c>
      <c r="J817" s="670">
        <f>IF($E817="",IFERROR(VLOOKUP($D817,SERVIÇOS!$C:$H,6,0),IFERROR(VLOOKUP($D817,$F:$M,8,0),"")),IFERROR(VLOOKUP($E817,INSUMOS!$B:$E,4,0),IFERROR(VLOOKUP($E817,COTAÇÕES!$C:$L,10,0),"")))</f>
        <v>31.32</v>
      </c>
      <c r="K817" s="615">
        <f>TRUNC(IF($E817="",IFERROR(VLOOKUP($D817,SERVIÇOS!$C:$H,4,0),IFERROR(VLOOKUP($D817,$F:$M,6,0),)),IFERROR(VLOOKUP($E817,INSUMOS!$B:$E,4,0),IFERROR(VLOOKUP($E817,COTAÇÕES!$C:$L,10,0),)))*$I817,2)</f>
        <v>0.19</v>
      </c>
      <c r="L817" s="616">
        <f>TRUNC(IF($E817="",IFERROR(VLOOKUP($D817,SERVIÇOS!$C:$H,5,0),IFERROR(VLOOKUP($D817,$F:$M,7,0),)),0)*$I817,2)</f>
        <v>0.73</v>
      </c>
      <c r="M817" s="617">
        <f>K817+L817</f>
        <v>0.91999999999999993</v>
      </c>
      <c r="N817" s="753" t="str">
        <f t="shared" si="374"/>
        <v>SERVIÇO SINAPI</v>
      </c>
      <c r="O817" s="943"/>
    </row>
    <row r="818" spans="1:15" hidden="1">
      <c r="B818" s="769">
        <f>SUMIF(ORC!$G$11:$G$2470,CPU!$F818,ORC!$J$11:$J$2470)</f>
        <v>0</v>
      </c>
      <c r="C818" s="515" t="s">
        <v>2239</v>
      </c>
      <c r="D818" s="515"/>
      <c r="E818" s="515"/>
      <c r="F818" s="515" t="s">
        <v>9006</v>
      </c>
      <c r="G818" s="516" t="s">
        <v>9007</v>
      </c>
      <c r="H818" s="515" t="s">
        <v>2666</v>
      </c>
      <c r="I818" s="595"/>
      <c r="J818" s="596"/>
      <c r="K818" s="597">
        <f>SUM(K819:K821)</f>
        <v>565.73000000000013</v>
      </c>
      <c r="L818" s="597">
        <f>SUM(L819:L821)</f>
        <v>21.759999999999998</v>
      </c>
      <c r="M818" s="597">
        <f>SUM(K818:L818)</f>
        <v>587.49000000000012</v>
      </c>
      <c r="N818" s="598"/>
      <c r="O818" s="941"/>
    </row>
    <row r="819" spans="1:15" hidden="1">
      <c r="B819" s="122">
        <f t="shared" ref="B819:B821" si="375">B818</f>
        <v>0</v>
      </c>
      <c r="C819" s="611" t="str">
        <f>IF(D819&lt;&gt;"","C",IF(E819&lt;&gt;"","I",""))</f>
        <v>I</v>
      </c>
      <c r="D819" s="660"/>
      <c r="E819" s="662" t="s">
        <v>9098</v>
      </c>
      <c r="F819" s="630"/>
      <c r="G819" s="613" t="str">
        <f>IF($E819="",IFERROR(VLOOKUP($D819,SERVIÇOS!$C:$H,2,0),IFERROR(VLOOKUP($D819,$F:$M,2,0),"")),IFERROR(VLOOKUP($E819,INSUMOS!$B:$E,2,0),IFERROR(VLOOKUP($E819,COTAÇÕES!$C:$L,2,0),"")))</f>
        <v>SUPORTE SUSPENSO PARA CAIXA DE SOM</v>
      </c>
      <c r="H819" s="593" t="str">
        <f>IF($E819="",IFERROR(VLOOKUP($D819,SERVIÇOS!$C:$H,3,0),IFERROR(VLOOKUP($D819,$F:$M,3,0),"")),IFERROR(VLOOKUP($E819,INSUMOS!$B:$E,3,0),IFERROR(VLOOKUP($E819,COTAÇÕES!$C:$L,5,0),"")))</f>
        <v>UN</v>
      </c>
      <c r="I819" s="614">
        <v>1</v>
      </c>
      <c r="J819" s="670">
        <f>IF($E819="",IFERROR(VLOOKUP($D819,SERVIÇOS!$C:$H,6,0),IFERROR(VLOOKUP($D819,$F:$M,8,0),"")),IFERROR(VLOOKUP($E819,INSUMOS!$B:$E,4,0),IFERROR(VLOOKUP($E819,COTAÇÕES!$C:$L,10,0),"")))</f>
        <v>559.07666666666671</v>
      </c>
      <c r="K819" s="615">
        <f>TRUNC(IF($E819="",IFERROR(VLOOKUP($D819,SERVIÇOS!$C:$H,4,0),IFERROR(VLOOKUP($D819,$F:$M,6,0),)),IFERROR(VLOOKUP($E819,INSUMOS!$B:$E,4,0),IFERROR(VLOOKUP($E819,COTAÇÕES!$C:$L,10,0),)))*$I819,2)</f>
        <v>559.07000000000005</v>
      </c>
      <c r="L819" s="616">
        <f>TRUNC(IF($E819="",IFERROR(VLOOKUP($D819,SERVIÇOS!$C:$H,5,0),IFERROR(VLOOKUP($D819,$F:$M,7,0),)),0)*$I819,2)</f>
        <v>0</v>
      </c>
      <c r="M819" s="617">
        <f>K819+L819</f>
        <v>559.07000000000005</v>
      </c>
      <c r="N819" s="753" t="s">
        <v>6845</v>
      </c>
      <c r="O819" s="943"/>
    </row>
    <row r="820" spans="1:15" hidden="1">
      <c r="B820" s="122">
        <f t="shared" si="375"/>
        <v>0</v>
      </c>
      <c r="C820" s="611" t="str">
        <f>IF(D820&lt;&gt;"","C",IF(E820&lt;&gt;"","I",""))</f>
        <v>C</v>
      </c>
      <c r="D820" s="660">
        <v>88247</v>
      </c>
      <c r="E820" s="661"/>
      <c r="F820" s="612"/>
      <c r="G820" s="613" t="str">
        <f>IF($E820="",IFERROR(VLOOKUP($D820,SERVIÇOS!$C:$H,2,0),IFERROR(VLOOKUP($D820,$F:$M,2,0),"")),IFERROR(VLOOKUP($E820,INSUMOS!$B:$E,2,0),IFERROR(VLOOKUP($E820,COTAÇÕES!$C:$L,2,0),"")))</f>
        <v>AUXILIAR DE ELETRICISTA COM ENCARGOS COMPLEMENTARES</v>
      </c>
      <c r="H820" s="593" t="str">
        <f>IF($E820="",IFERROR(VLOOKUP($D820,SERVIÇOS!$C:$H,3,0),IFERROR(VLOOKUP($D820,$F:$M,3,0),"")),IFERROR(VLOOKUP($E820,INSUMOS!$B:$E,3,0),IFERROR(VLOOKUP($E820,COTAÇÕES!$C:$L,5,0),"")))</f>
        <v>H</v>
      </c>
      <c r="I820" s="614">
        <v>0.5</v>
      </c>
      <c r="J820" s="670">
        <f>IF($E820="",IFERROR(VLOOKUP($D820,SERVIÇOS!$C:$H,6,0),IFERROR(VLOOKUP($D820,$F:$M,8,0),"")),IFERROR(VLOOKUP($E820,INSUMOS!$B:$E,4,0),IFERROR(VLOOKUP($E820,COTAÇÕES!$C:$L,10,0),"")))</f>
        <v>25.53</v>
      </c>
      <c r="K820" s="615">
        <f>TRUNC(IF($E820="",IFERROR(VLOOKUP($D820,SERVIÇOS!$C:$H,4,0),IFERROR(VLOOKUP($D820,$F:$M,6,0),)),IFERROR(VLOOKUP($E820,INSUMOS!$B:$E,4,0),IFERROR(VLOOKUP($E820,COTAÇÕES!$C:$L,10,0),)))*$I820,2)</f>
        <v>3.33</v>
      </c>
      <c r="L820" s="616">
        <f>TRUNC(IF($E820="",IFERROR(VLOOKUP($D820,SERVIÇOS!$C:$H,5,0),IFERROR(VLOOKUP($D820,$F:$M,7,0),)),0)*$I820,2)</f>
        <v>9.43</v>
      </c>
      <c r="M820" s="617">
        <f>K820+L820</f>
        <v>12.76</v>
      </c>
      <c r="N820" s="753" t="str">
        <f t="shared" ref="N820:N821" si="376">IF($D820&lt;&gt;"","SERVIÇO SINAPI",IF($E820&lt;&gt;"","INSUMO SINAPI",""))</f>
        <v>SERVIÇO SINAPI</v>
      </c>
      <c r="O820" s="943"/>
    </row>
    <row r="821" spans="1:15" hidden="1">
      <c r="B821" s="122">
        <f t="shared" si="375"/>
        <v>0</v>
      </c>
      <c r="C821" s="611" t="str">
        <f>IF(D821&lt;&gt;"","C",IF(E821&lt;&gt;"","I",""))</f>
        <v>C</v>
      </c>
      <c r="D821" s="660">
        <v>88264</v>
      </c>
      <c r="E821" s="661"/>
      <c r="F821" s="612"/>
      <c r="G821" s="613" t="str">
        <f>IF($E821="",IFERROR(VLOOKUP($D821,SERVIÇOS!$C:$H,2,0),IFERROR(VLOOKUP($D821,$F:$M,2,0),"")),IFERROR(VLOOKUP($E821,INSUMOS!$B:$E,2,0),IFERROR(VLOOKUP($E821,COTAÇÕES!$C:$L,2,0),"")))</f>
        <v>ELETRICISTA COM ENCARGOS COMPLEMENTARES</v>
      </c>
      <c r="H821" s="593" t="str">
        <f>IF($E821="",IFERROR(VLOOKUP($D821,SERVIÇOS!$C:$H,3,0),IFERROR(VLOOKUP($D821,$F:$M,3,0),"")),IFERROR(VLOOKUP($E821,INSUMOS!$B:$E,3,0),IFERROR(VLOOKUP($E821,COTAÇÕES!$C:$L,5,0),"")))</f>
        <v>H</v>
      </c>
      <c r="I821" s="614">
        <v>0.5</v>
      </c>
      <c r="J821" s="670">
        <f>IF($E821="",IFERROR(VLOOKUP($D821,SERVIÇOS!$C:$H,6,0),IFERROR(VLOOKUP($D821,$F:$M,8,0),"")),IFERROR(VLOOKUP($E821,INSUMOS!$B:$E,4,0),IFERROR(VLOOKUP($E821,COTAÇÕES!$C:$L,10,0),"")))</f>
        <v>31.32</v>
      </c>
      <c r="K821" s="615">
        <f>TRUNC(IF($E821="",IFERROR(VLOOKUP($D821,SERVIÇOS!$C:$H,4,0),IFERROR(VLOOKUP($D821,$F:$M,6,0),)),IFERROR(VLOOKUP($E821,INSUMOS!$B:$E,4,0),IFERROR(VLOOKUP($E821,COTAÇÕES!$C:$L,10,0),)))*$I821,2)</f>
        <v>3.33</v>
      </c>
      <c r="L821" s="616">
        <f>TRUNC(IF($E821="",IFERROR(VLOOKUP($D821,SERVIÇOS!$C:$H,5,0),IFERROR(VLOOKUP($D821,$F:$M,7,0),)),0)*$I821,2)</f>
        <v>12.33</v>
      </c>
      <c r="M821" s="617">
        <f>K821+L821</f>
        <v>15.66</v>
      </c>
      <c r="N821" s="753" t="str">
        <f t="shared" si="376"/>
        <v>SERVIÇO SINAPI</v>
      </c>
      <c r="O821" s="943"/>
    </row>
    <row r="822" spans="1:15" hidden="1">
      <c r="B822" s="769">
        <f>SUMIF(ORC!$G$11:$G$2470,CPU!$F822,ORC!$J$11:$J$2470)</f>
        <v>0</v>
      </c>
      <c r="C822" s="515" t="s">
        <v>2239</v>
      </c>
      <c r="D822" s="515"/>
      <c r="E822" s="515"/>
      <c r="F822" s="515" t="s">
        <v>9009</v>
      </c>
      <c r="G822" s="516" t="s">
        <v>9008</v>
      </c>
      <c r="H822" s="515" t="s">
        <v>2666</v>
      </c>
      <c r="I822" s="595"/>
      <c r="J822" s="596"/>
      <c r="K822" s="597">
        <f>SUM(K823:K825)</f>
        <v>164.02000000000004</v>
      </c>
      <c r="L822" s="597">
        <f>SUM(L823:L825)</f>
        <v>21.759999999999998</v>
      </c>
      <c r="M822" s="597">
        <f>SUM(K822:L822)</f>
        <v>185.78000000000003</v>
      </c>
      <c r="N822" s="598"/>
      <c r="O822" s="941"/>
    </row>
    <row r="823" spans="1:15" hidden="1">
      <c r="B823" s="122">
        <f t="shared" ref="B823:B829" si="377">B822</f>
        <v>0</v>
      </c>
      <c r="C823" s="611" t="str">
        <f>IF(D823&lt;&gt;"","C",IF(E823&lt;&gt;"","I",""))</f>
        <v>I</v>
      </c>
      <c r="D823" s="660"/>
      <c r="E823" s="662" t="s">
        <v>9099</v>
      </c>
      <c r="F823" s="630"/>
      <c r="G823" s="613" t="str">
        <f>IF($E823="",IFERROR(VLOOKUP($D823,SERVIÇOS!$C:$H,2,0),IFERROR(VLOOKUP($D823,$F:$M,2,0),"")),IFERROR(VLOOKUP($E823,INSUMOS!$B:$E,2,0),IFERROR(VLOOKUP($E823,COTAÇÕES!$C:$L,2,0),"")))</f>
        <v>SUPORTE DE PAREDE PARA CAIXA DE SOM</v>
      </c>
      <c r="H823" s="593" t="str">
        <f>IF($E823="",IFERROR(VLOOKUP($D823,SERVIÇOS!$C:$H,3,0),IFERROR(VLOOKUP($D823,$F:$M,3,0),"")),IFERROR(VLOOKUP($E823,INSUMOS!$B:$E,3,0),IFERROR(VLOOKUP($E823,COTAÇÕES!$C:$L,5,0),"")))</f>
        <v>UN</v>
      </c>
      <c r="I823" s="614">
        <v>1</v>
      </c>
      <c r="J823" s="670">
        <f>IF($E823="",IFERROR(VLOOKUP($D823,SERVIÇOS!$C:$H,6,0),IFERROR(VLOOKUP($D823,$F:$M,8,0),"")),IFERROR(VLOOKUP($E823,INSUMOS!$B:$E,4,0),IFERROR(VLOOKUP($E823,COTAÇÕES!$C:$L,10,0),"")))</f>
        <v>157.36333333333334</v>
      </c>
      <c r="K823" s="615">
        <f>TRUNC(IF($E823="",IFERROR(VLOOKUP($D823,SERVIÇOS!$C:$H,4,0),IFERROR(VLOOKUP($D823,$F:$M,6,0),)),IFERROR(VLOOKUP($E823,INSUMOS!$B:$E,4,0),IFERROR(VLOOKUP($E823,COTAÇÕES!$C:$L,10,0),)))*$I823,2)</f>
        <v>157.36000000000001</v>
      </c>
      <c r="L823" s="616">
        <f>TRUNC(IF($E823="",IFERROR(VLOOKUP($D823,SERVIÇOS!$C:$H,5,0),IFERROR(VLOOKUP($D823,$F:$M,7,0),)),0)*$I823,2)</f>
        <v>0</v>
      </c>
      <c r="M823" s="617">
        <f>K823+L823</f>
        <v>157.36000000000001</v>
      </c>
      <c r="N823" s="753" t="s">
        <v>6845</v>
      </c>
      <c r="O823" s="943"/>
    </row>
    <row r="824" spans="1:15" hidden="1">
      <c r="B824" s="122">
        <f t="shared" si="377"/>
        <v>0</v>
      </c>
      <c r="C824" s="611" t="str">
        <f>IF(D824&lt;&gt;"","C",IF(E824&lt;&gt;"","I",""))</f>
        <v>C</v>
      </c>
      <c r="D824" s="660">
        <v>88247</v>
      </c>
      <c r="E824" s="661"/>
      <c r="F824" s="612"/>
      <c r="G824" s="613" t="str">
        <f>IF($E824="",IFERROR(VLOOKUP($D824,SERVIÇOS!$C:$H,2,0),IFERROR(VLOOKUP($D824,$F:$M,2,0),"")),IFERROR(VLOOKUP($E824,INSUMOS!$B:$E,2,0),IFERROR(VLOOKUP($E824,COTAÇÕES!$C:$L,2,0),"")))</f>
        <v>AUXILIAR DE ELETRICISTA COM ENCARGOS COMPLEMENTARES</v>
      </c>
      <c r="H824" s="593" t="str">
        <f>IF($E824="",IFERROR(VLOOKUP($D824,SERVIÇOS!$C:$H,3,0),IFERROR(VLOOKUP($D824,$F:$M,3,0),"")),IFERROR(VLOOKUP($E824,INSUMOS!$B:$E,3,0),IFERROR(VLOOKUP($E824,COTAÇÕES!$C:$L,5,0),"")))</f>
        <v>H</v>
      </c>
      <c r="I824" s="614">
        <v>0.5</v>
      </c>
      <c r="J824" s="670">
        <f>IF($E824="",IFERROR(VLOOKUP($D824,SERVIÇOS!$C:$H,6,0),IFERROR(VLOOKUP($D824,$F:$M,8,0),"")),IFERROR(VLOOKUP($E824,INSUMOS!$B:$E,4,0),IFERROR(VLOOKUP($E824,COTAÇÕES!$C:$L,10,0),"")))</f>
        <v>25.53</v>
      </c>
      <c r="K824" s="615">
        <f>TRUNC(IF($E824="",IFERROR(VLOOKUP($D824,SERVIÇOS!$C:$H,4,0),IFERROR(VLOOKUP($D824,$F:$M,6,0),)),IFERROR(VLOOKUP($E824,INSUMOS!$B:$E,4,0),IFERROR(VLOOKUP($E824,COTAÇÕES!$C:$L,10,0),)))*$I824,2)</f>
        <v>3.33</v>
      </c>
      <c r="L824" s="616">
        <f>TRUNC(IF($E824="",IFERROR(VLOOKUP($D824,SERVIÇOS!$C:$H,5,0),IFERROR(VLOOKUP($D824,$F:$M,7,0),)),0)*$I824,2)</f>
        <v>9.43</v>
      </c>
      <c r="M824" s="617">
        <f>K824+L824</f>
        <v>12.76</v>
      </c>
      <c r="N824" s="753" t="str">
        <f t="shared" ref="N824:N825" si="378">IF($D824&lt;&gt;"","SERVIÇO SINAPI",IF($E824&lt;&gt;"","INSUMO SINAPI",""))</f>
        <v>SERVIÇO SINAPI</v>
      </c>
      <c r="O824" s="943"/>
    </row>
    <row r="825" spans="1:15" hidden="1">
      <c r="B825" s="122">
        <f t="shared" si="377"/>
        <v>0</v>
      </c>
      <c r="C825" s="611" t="str">
        <f>IF(D825&lt;&gt;"","C",IF(E825&lt;&gt;"","I",""))</f>
        <v>C</v>
      </c>
      <c r="D825" s="660">
        <v>88264</v>
      </c>
      <c r="E825" s="661"/>
      <c r="F825" s="612"/>
      <c r="G825" s="613" t="str">
        <f>IF($E825="",IFERROR(VLOOKUP($D825,SERVIÇOS!$C:$H,2,0),IFERROR(VLOOKUP($D825,$F:$M,2,0),"")),IFERROR(VLOOKUP($E825,INSUMOS!$B:$E,2,0),IFERROR(VLOOKUP($E825,COTAÇÕES!$C:$L,2,0),"")))</f>
        <v>ELETRICISTA COM ENCARGOS COMPLEMENTARES</v>
      </c>
      <c r="H825" s="593" t="str">
        <f>IF($E825="",IFERROR(VLOOKUP($D825,SERVIÇOS!$C:$H,3,0),IFERROR(VLOOKUP($D825,$F:$M,3,0),"")),IFERROR(VLOOKUP($E825,INSUMOS!$B:$E,3,0),IFERROR(VLOOKUP($E825,COTAÇÕES!$C:$L,5,0),"")))</f>
        <v>H</v>
      </c>
      <c r="I825" s="614">
        <v>0.5</v>
      </c>
      <c r="J825" s="670">
        <f>IF($E825="",IFERROR(VLOOKUP($D825,SERVIÇOS!$C:$H,6,0),IFERROR(VLOOKUP($D825,$F:$M,8,0),"")),IFERROR(VLOOKUP($E825,INSUMOS!$B:$E,4,0),IFERROR(VLOOKUP($E825,COTAÇÕES!$C:$L,10,0),"")))</f>
        <v>31.32</v>
      </c>
      <c r="K825" s="615">
        <f>TRUNC(IF($E825="",IFERROR(VLOOKUP($D825,SERVIÇOS!$C:$H,4,0),IFERROR(VLOOKUP($D825,$F:$M,6,0),)),IFERROR(VLOOKUP($E825,INSUMOS!$B:$E,4,0),IFERROR(VLOOKUP($E825,COTAÇÕES!$C:$L,10,0),)))*$I825,2)</f>
        <v>3.33</v>
      </c>
      <c r="L825" s="616">
        <f>TRUNC(IF($E825="",IFERROR(VLOOKUP($D825,SERVIÇOS!$C:$H,5,0),IFERROR(VLOOKUP($D825,$F:$M,7,0),)),0)*$I825,2)</f>
        <v>12.33</v>
      </c>
      <c r="M825" s="617">
        <f>K825+L825</f>
        <v>15.66</v>
      </c>
      <c r="N825" s="753" t="str">
        <f t="shared" si="378"/>
        <v>SERVIÇO SINAPI</v>
      </c>
      <c r="O825" s="943"/>
    </row>
    <row r="826" spans="1:15">
      <c r="B826" s="769">
        <f>SUMIF(ORC!$G$11:$G$2470,CPU!$F826,ORC!$J$11:$J$2470)</f>
        <v>21</v>
      </c>
      <c r="C826" s="515" t="s">
        <v>2239</v>
      </c>
      <c r="D826" s="515"/>
      <c r="E826" s="515"/>
      <c r="F826" s="515" t="s">
        <v>14560</v>
      </c>
      <c r="G826" s="594" t="s">
        <v>14561</v>
      </c>
      <c r="H826" s="515" t="s">
        <v>646</v>
      </c>
      <c r="I826" s="595"/>
      <c r="J826" s="596"/>
      <c r="K826" s="597">
        <f>SUM(K827:K829)</f>
        <v>139.22000000000003</v>
      </c>
      <c r="L826" s="597">
        <f>SUM(L827:L829)</f>
        <v>12.620000000000001</v>
      </c>
      <c r="M826" s="597">
        <f>SUM(K826:L826)</f>
        <v>151.84000000000003</v>
      </c>
      <c r="N826" s="598"/>
      <c r="O826" s="941"/>
    </row>
    <row r="827" spans="1:15">
      <c r="B827" s="122">
        <f t="shared" si="377"/>
        <v>21</v>
      </c>
      <c r="C827" s="611" t="str">
        <f>IF(D827&lt;&gt;"","C",IF(E827&lt;&gt;"","I",""))</f>
        <v>I</v>
      </c>
      <c r="D827" s="660"/>
      <c r="E827" s="662" t="s">
        <v>14566</v>
      </c>
      <c r="F827" s="630"/>
      <c r="G827" s="613" t="str">
        <f>IF($E827="",IFERROR(VLOOKUP($D827,SERVIÇOS!$C:$H,2,0),IFERROR(VLOOKUP($D827,$F:$M,2,0),"")),IFERROR(VLOOKUP($E827,INSUMOS!$B:$E,2,0),IFERROR(VLOOKUP($E827,COTAÇÕES!$C:$L,2,0),"")))</f>
        <v>SENSOR DE PRESENÇA IVP 4000 SMART SEM FIO</v>
      </c>
      <c r="H827" s="593" t="str">
        <f>IF($E827="",IFERROR(VLOOKUP($D827,SERVIÇOS!$C:$H,3,0),IFERROR(VLOOKUP($D827,$F:$M,3,0),"")),IFERROR(VLOOKUP($E827,INSUMOS!$B:$E,3,0),IFERROR(VLOOKUP($E827,COTAÇÕES!$C:$L,5,0),"")))</f>
        <v xml:space="preserve">UN </v>
      </c>
      <c r="I827" s="614">
        <v>1</v>
      </c>
      <c r="J827" s="670">
        <f>IF($E827="",IFERROR(VLOOKUP($D827,SERVIÇOS!$C:$H,6,0),IFERROR(VLOOKUP($D827,$F:$M,8,0),"")),IFERROR(VLOOKUP($E827,INSUMOS!$B:$E,4,0),IFERROR(VLOOKUP($E827,COTAÇÕES!$C:$L,10,0),"")))</f>
        <v>135.36666666666667</v>
      </c>
      <c r="K827" s="615">
        <f>TRUNC(IF($E827="",IFERROR(VLOOKUP($D827,SERVIÇOS!$C:$H,4,0),IFERROR(VLOOKUP($D827,$F:$M,6,0),)),IFERROR(VLOOKUP($E827,INSUMOS!$B:$E,4,0),IFERROR(VLOOKUP($E827,COTAÇÕES!$C:$L,10,0),)))*$I827,2)</f>
        <v>135.36000000000001</v>
      </c>
      <c r="L827" s="616">
        <f>TRUNC(IF($E827="",IFERROR(VLOOKUP($D827,SERVIÇOS!$C:$H,5,0),IFERROR(VLOOKUP($D827,$F:$M,7,0),)),0)*$I827,2)</f>
        <v>0</v>
      </c>
      <c r="M827" s="617">
        <f>K827+L827</f>
        <v>135.36000000000001</v>
      </c>
      <c r="N827" s="753" t="s">
        <v>6845</v>
      </c>
      <c r="O827" s="943"/>
    </row>
    <row r="828" spans="1:15">
      <c r="B828" s="122">
        <f t="shared" si="377"/>
        <v>21</v>
      </c>
      <c r="C828" s="611" t="str">
        <f>IF(D828&lt;&gt;"","C",IF(E828&lt;&gt;"","I",""))</f>
        <v>C</v>
      </c>
      <c r="D828" s="660">
        <v>88264</v>
      </c>
      <c r="E828" s="661"/>
      <c r="F828" s="612"/>
      <c r="G828" s="613" t="str">
        <f>IF($E828="",IFERROR(VLOOKUP($D828,SERVIÇOS!$C:$H,2,0),IFERROR(VLOOKUP($D828,$F:$M,2,0),"")),IFERROR(VLOOKUP($E828,INSUMOS!$B:$E,2,0),IFERROR(VLOOKUP($E828,COTAÇÕES!$C:$L,2,0),"")))</f>
        <v>ELETRICISTA COM ENCARGOS COMPLEMENTARES</v>
      </c>
      <c r="H828" s="593" t="str">
        <f>IF($E828="",IFERROR(VLOOKUP($D828,SERVIÇOS!$C:$H,3,0),IFERROR(VLOOKUP($D828,$F:$M,3,0),"")),IFERROR(VLOOKUP($E828,INSUMOS!$B:$E,3,0),IFERROR(VLOOKUP($E828,COTAÇÕES!$C:$L,5,0),"")))</f>
        <v>H</v>
      </c>
      <c r="I828" s="614">
        <v>0.28999999999999998</v>
      </c>
      <c r="J828" s="670">
        <f>IF($E828="",IFERROR(VLOOKUP($D828,SERVIÇOS!$C:$H,6,0),IFERROR(VLOOKUP($D828,$F:$M,8,0),"")),IFERROR(VLOOKUP($E828,INSUMOS!$B:$E,4,0),IFERROR(VLOOKUP($E828,COTAÇÕES!$C:$L,10,0),"")))</f>
        <v>31.32</v>
      </c>
      <c r="K828" s="615">
        <f>TRUNC(IF($E828="",IFERROR(VLOOKUP($D828,SERVIÇOS!$C:$H,4,0),IFERROR(VLOOKUP($D828,$F:$M,6,0),)),IFERROR(VLOOKUP($E828,INSUMOS!$B:$E,4,0),IFERROR(VLOOKUP($E828,COTAÇÕES!$C:$L,10,0),)))*$I828,2)</f>
        <v>1.93</v>
      </c>
      <c r="L828" s="616">
        <f>TRUNC(IF($E828="",IFERROR(VLOOKUP($D828,SERVIÇOS!$C:$H,5,0),IFERROR(VLOOKUP($D828,$F:$M,7,0),)),0)*$I828,2)</f>
        <v>7.15</v>
      </c>
      <c r="M828" s="617">
        <f>K828+L828</f>
        <v>9.08</v>
      </c>
      <c r="N828" s="753" t="str">
        <f t="shared" ref="N828:N829" si="379">IF($D828&lt;&gt;"","SERVIÇO SINAPI",IF($E828&lt;&gt;"","INSUMO SINAPI",""))</f>
        <v>SERVIÇO SINAPI</v>
      </c>
      <c r="O828" s="943"/>
    </row>
    <row r="829" spans="1:15">
      <c r="B829" s="122">
        <f t="shared" si="377"/>
        <v>21</v>
      </c>
      <c r="C829" s="611" t="str">
        <f>IF(D829&lt;&gt;"","C",IF(E829&lt;&gt;"","I",""))</f>
        <v>C</v>
      </c>
      <c r="D829" s="660">
        <v>88247</v>
      </c>
      <c r="E829" s="661"/>
      <c r="F829" s="612"/>
      <c r="G829" s="613" t="str">
        <f>IF($E829="",IFERROR(VLOOKUP($D829,SERVIÇOS!$C:$H,2,0),IFERROR(VLOOKUP($D829,$F:$M,2,0),"")),IFERROR(VLOOKUP($E829,INSUMOS!$B:$E,2,0),IFERROR(VLOOKUP($E829,COTAÇÕES!$C:$L,2,0),"")))</f>
        <v>AUXILIAR DE ELETRICISTA COM ENCARGOS COMPLEMENTARES</v>
      </c>
      <c r="H829" s="593" t="str">
        <f>IF($E829="",IFERROR(VLOOKUP($D829,SERVIÇOS!$C:$H,3,0),IFERROR(VLOOKUP($D829,$F:$M,3,0),"")),IFERROR(VLOOKUP($E829,INSUMOS!$B:$E,3,0),IFERROR(VLOOKUP($E829,COTAÇÕES!$C:$L,5,0),"")))</f>
        <v>H</v>
      </c>
      <c r="I829" s="614">
        <v>0.28999999999999998</v>
      </c>
      <c r="J829" s="670">
        <f>IF($E829="",IFERROR(VLOOKUP($D829,SERVIÇOS!$C:$H,6,0),IFERROR(VLOOKUP($D829,$F:$M,8,0),"")),IFERROR(VLOOKUP($E829,INSUMOS!$B:$E,4,0),IFERROR(VLOOKUP($E829,COTAÇÕES!$C:$L,10,0),"")))</f>
        <v>25.53</v>
      </c>
      <c r="K829" s="615">
        <f>TRUNC(IF($E829="",IFERROR(VLOOKUP($D829,SERVIÇOS!$C:$H,4,0),IFERROR(VLOOKUP($D829,$F:$M,6,0),)),IFERROR(VLOOKUP($E829,INSUMOS!$B:$E,4,0),IFERROR(VLOOKUP($E829,COTAÇÕES!$C:$L,10,0),)))*$I829,2)</f>
        <v>1.93</v>
      </c>
      <c r="L829" s="616">
        <f>TRUNC(IF($E829="",IFERROR(VLOOKUP($D829,SERVIÇOS!$C:$H,5,0),IFERROR(VLOOKUP($D829,$F:$M,7,0),)),0)*$I829,2)</f>
        <v>5.47</v>
      </c>
      <c r="M829" s="617">
        <f>K829+L829</f>
        <v>7.3999999999999995</v>
      </c>
      <c r="N829" s="753" t="str">
        <f t="shared" si="379"/>
        <v>SERVIÇO SINAPI</v>
      </c>
      <c r="O829" s="943"/>
    </row>
    <row r="830" spans="1:15" s="893" customFormat="1">
      <c r="A830" s="893" t="s">
        <v>7481</v>
      </c>
      <c r="C830" s="607"/>
      <c r="D830" s="607"/>
      <c r="E830" s="607"/>
      <c r="F830" s="607"/>
      <c r="G830" s="609" t="s">
        <v>5271</v>
      </c>
      <c r="H830" s="607"/>
      <c r="I830" s="607"/>
      <c r="J830" s="607"/>
      <c r="K830" s="607"/>
      <c r="L830" s="607"/>
      <c r="M830" s="607"/>
      <c r="N830" s="756"/>
      <c r="O830" s="607"/>
    </row>
    <row r="831" spans="1:15" ht="38.25">
      <c r="B831" s="769">
        <f>SUMIF(ORC!$G$11:$G$2470,CPU!$F831,ORC!$J$11:$J$2470)</f>
        <v>76</v>
      </c>
      <c r="C831" s="515" t="s">
        <v>2239</v>
      </c>
      <c r="D831" s="515"/>
      <c r="E831" s="515"/>
      <c r="F831" s="515" t="s">
        <v>5266</v>
      </c>
      <c r="G831" s="594" t="s">
        <v>7666</v>
      </c>
      <c r="H831" s="515" t="s">
        <v>648</v>
      </c>
      <c r="I831" s="595"/>
      <c r="J831" s="596"/>
      <c r="K831" s="597">
        <f>SUM(K832:K838)</f>
        <v>42.2</v>
      </c>
      <c r="L831" s="597">
        <f>SUM(L832:L838)</f>
        <v>6.33</v>
      </c>
      <c r="M831" s="597">
        <f>SUM(K831:L831)</f>
        <v>48.53</v>
      </c>
      <c r="N831" s="598" t="s">
        <v>7665</v>
      </c>
      <c r="O831" s="646"/>
    </row>
    <row r="832" spans="1:15" ht="25.5">
      <c r="B832" s="122">
        <f t="shared" ref="B832:B838" si="380">B831</f>
        <v>76</v>
      </c>
      <c r="C832" s="611" t="str">
        <f t="shared" ref="C832:C838" si="381">IF(D832&lt;&gt;"","C",IF(E832&lt;&gt;"","I",""))</f>
        <v>I</v>
      </c>
      <c r="D832" s="660"/>
      <c r="E832" s="661">
        <v>38405</v>
      </c>
      <c r="F832" s="612"/>
      <c r="G832" s="613" t="str">
        <f>IF($E832="",IFERROR(VLOOKUP($D832,SERVIÇOS!$C:$H,2,0),IFERROR(VLOOKUP($D832,$F:$M,2,0),"")),IFERROR(VLOOKUP($E832,INSUMOS!$B:$E,2,0),IFERROR(VLOOKUP($E832,COTAÇÕES!$C:$L,2,0),"")))</f>
        <v xml:space="preserve">CONCRETO USINADO BOMBEAVEL, CLASSE DE RESISTENCIA C25, COM BRITA 0 E 1, SLUMP = 130 +/- 20 MM, EXCLUI SERVICO DE BOMBEAMENTO (NBR 8953)                                                                                                                                                                                                                                                                                                                                                                   </v>
      </c>
      <c r="H832" s="593" t="str">
        <f>IF($E832="",IFERROR(VLOOKUP($D832,SERVIÇOS!$C:$H,3,0),IFERROR(VLOOKUP($D832,$F:$M,3,0),"")),IFERROR(VLOOKUP($E832,INSUMOS!$B:$E,3,0),IFERROR(VLOOKUP($E832,COTAÇÕES!$C:$L,5,0),"")))</f>
        <v xml:space="preserve">M3    </v>
      </c>
      <c r="I832" s="614">
        <v>5.57E-2</v>
      </c>
      <c r="J832" s="670">
        <f>IF($E832="",IFERROR(VLOOKUP($D832,SERVIÇOS!$C:$H,6,0),IFERROR(VLOOKUP($D832,$F:$M,8,0),"")),IFERROR(VLOOKUP($E832,INSUMOS!$B:$E,4,0),IFERROR(VLOOKUP($E832,COTAÇÕES!$C:$L,10,0),"")))</f>
        <v>411.08</v>
      </c>
      <c r="K832" s="615">
        <f>TRUNC(IF($E832="",IFERROR(VLOOKUP($D832,SERVIÇOS!$C:$H,4,0),IFERROR(VLOOKUP($D832,$F:$M,6,0),)),IFERROR(VLOOKUP($E832,INSUMOS!$B:$E,4,0),IFERROR(VLOOKUP($E832,COTAÇÕES!$C:$L,10,0),)))*$I832,2)</f>
        <v>22.89</v>
      </c>
      <c r="L832" s="616">
        <f>TRUNC(IF($E832="",IFERROR(VLOOKUP($D832,SERVIÇOS!$C:$H,5,0),IFERROR(VLOOKUP($D832,$F:$M,7,0),)),0)*$I832,2)</f>
        <v>0</v>
      </c>
      <c r="M832" s="617">
        <f t="shared" ref="M832:M838" si="382">K832+L832</f>
        <v>22.89</v>
      </c>
      <c r="N832" s="753" t="str">
        <f t="shared" ref="N832:N838" si="383">IF($D832&lt;&gt;"","SERVIÇO SINAPI",IF($E832&lt;&gt;"","INSUMO SINAPI",""))</f>
        <v>INSUMO SINAPI</v>
      </c>
      <c r="O832" s="647"/>
    </row>
    <row r="833" spans="2:15">
      <c r="B833" s="122">
        <f t="shared" si="380"/>
        <v>76</v>
      </c>
      <c r="C833" s="611" t="str">
        <f t="shared" si="381"/>
        <v>C</v>
      </c>
      <c r="D833" s="660">
        <v>88316</v>
      </c>
      <c r="E833" s="661"/>
      <c r="F833" s="612"/>
      <c r="G833" s="613" t="str">
        <f>IF($E833="",IFERROR(VLOOKUP($D833,SERVIÇOS!$C:$H,2,0),IFERROR(VLOOKUP($D833,$F:$M,2,0),"")),IFERROR(VLOOKUP($E833,INSUMOS!$B:$E,2,0),IFERROR(VLOOKUP($E833,COTAÇÕES!$C:$L,2,0),"")))</f>
        <v>SERVENTE COM ENCARGOS COMPLEMENTARES</v>
      </c>
      <c r="H833" s="593" t="str">
        <f>IF($E833="",IFERROR(VLOOKUP($D833,SERVIÇOS!$C:$H,3,0),IFERROR(VLOOKUP($D833,$F:$M,3,0),"")),IFERROR(VLOOKUP($E833,INSUMOS!$B:$E,3,0),IFERROR(VLOOKUP($E833,COTAÇÕES!$C:$L,5,0),"")))</f>
        <v>H</v>
      </c>
      <c r="I833" s="614">
        <v>0.2263</v>
      </c>
      <c r="J833" s="670">
        <f>IF($E833="",IFERROR(VLOOKUP($D833,SERVIÇOS!$C:$H,6,0),IFERROR(VLOOKUP($D833,$F:$M,8,0),"")),IFERROR(VLOOKUP($E833,INSUMOS!$B:$E,4,0),IFERROR(VLOOKUP($E833,COTAÇÕES!$C:$L,10,0),"")))</f>
        <v>23.71</v>
      </c>
      <c r="K833" s="615">
        <f>TRUNC(IF($E833="",IFERROR(VLOOKUP($D833,SERVIÇOS!$C:$H,4,0),IFERROR(VLOOKUP($D833,$F:$M,6,0),)),IFERROR(VLOOKUP($E833,INSUMOS!$B:$E,4,0),IFERROR(VLOOKUP($E833,COTAÇÕES!$C:$L,10,0),)))*$I833,2)</f>
        <v>1.47</v>
      </c>
      <c r="L833" s="616">
        <f>TRUNC(IF($E833="",IFERROR(VLOOKUP($D833,SERVIÇOS!$C:$H,5,0),IFERROR(VLOOKUP($D833,$F:$M,7,0),)),0)*$I833,2)</f>
        <v>3.89</v>
      </c>
      <c r="M833" s="617">
        <f t="shared" si="382"/>
        <v>5.36</v>
      </c>
      <c r="N833" s="753" t="str">
        <f t="shared" si="383"/>
        <v>SERVIÇO SINAPI</v>
      </c>
      <c r="O833" s="647"/>
    </row>
    <row r="834" spans="2:15" ht="38.25">
      <c r="B834" s="122">
        <f t="shared" si="380"/>
        <v>76</v>
      </c>
      <c r="C834" s="611" t="str">
        <f t="shared" si="381"/>
        <v>C</v>
      </c>
      <c r="D834" s="660">
        <v>90680</v>
      </c>
      <c r="E834" s="661"/>
      <c r="F834" s="612"/>
      <c r="G834" s="613" t="str">
        <f>IF($E834="",IFERROR(VLOOKUP($D834,SERVIÇOS!$C:$H,2,0),IFERROR(VLOOKUP($D834,$F:$M,2,0),"")),IFERROR(VLOOKUP($E834,INSUMOS!$B:$E,2,0),IFERROR(VLOOKUP($E834,COTAÇÕES!$C:$L,2,0),"")))</f>
        <v>PERFURATRIZ HIDRÁULICA SOBRE CAMINHÃO COM TRADO CURTO ACOPLADO, PROFUNDIDADE MÁXIMA DE 20 M, DIÂMETRO MÁXIMO DE 1500 MM, POTÊNCIA INSTALADA DE 137 HP, MESA ROTATIVA COM TORQUE MÁXIMO DE 30 KNM - CHP DIURNO. AF_06/2015</v>
      </c>
      <c r="H834" s="593" t="str">
        <f>IF($E834="",IFERROR(VLOOKUP($D834,SERVIÇOS!$C:$H,3,0),IFERROR(VLOOKUP($D834,$F:$M,3,0),"")),IFERROR(VLOOKUP($E834,INSUMOS!$B:$E,3,0),IFERROR(VLOOKUP($E834,COTAÇÕES!$C:$L,5,0),"")))</f>
        <v>CHP</v>
      </c>
      <c r="I834" s="614">
        <v>2.47E-2</v>
      </c>
      <c r="J834" s="670">
        <f>IF($E834="",IFERROR(VLOOKUP($D834,SERVIÇOS!$C:$H,6,0),IFERROR(VLOOKUP($D834,$F:$M,8,0),"")),IFERROR(VLOOKUP($E834,INSUMOS!$B:$E,4,0),IFERROR(VLOOKUP($E834,COTAÇÕES!$C:$L,10,0),"")))</f>
        <v>434.99</v>
      </c>
      <c r="K834" s="615">
        <f>TRUNC(IF($E834="",IFERROR(VLOOKUP($D834,SERVIÇOS!$C:$H,4,0),IFERROR(VLOOKUP($D834,$F:$M,6,0),)),IFERROR(VLOOKUP($E834,INSUMOS!$B:$E,4,0),IFERROR(VLOOKUP($E834,COTAÇÕES!$C:$L,10,0),)))*$I834,2)</f>
        <v>10.14</v>
      </c>
      <c r="L834" s="616">
        <f>TRUNC(IF($E834="",IFERROR(VLOOKUP($D834,SERVIÇOS!$C:$H,5,0),IFERROR(VLOOKUP($D834,$F:$M,7,0),)),0)*$I834,2)</f>
        <v>0.59</v>
      </c>
      <c r="M834" s="617">
        <f t="shared" si="382"/>
        <v>10.73</v>
      </c>
      <c r="N834" s="753" t="str">
        <f t="shared" si="383"/>
        <v>SERVIÇO SINAPI</v>
      </c>
      <c r="O834" s="647"/>
    </row>
    <row r="835" spans="2:15" ht="38.25">
      <c r="B835" s="122">
        <f t="shared" si="380"/>
        <v>76</v>
      </c>
      <c r="C835" s="611" t="str">
        <f t="shared" si="381"/>
        <v>C</v>
      </c>
      <c r="D835" s="660">
        <v>90681</v>
      </c>
      <c r="E835" s="661"/>
      <c r="F835" s="612"/>
      <c r="G835" s="613" t="str">
        <f>IF($E835="",IFERROR(VLOOKUP($D835,SERVIÇOS!$C:$H,2,0),IFERROR(VLOOKUP($D835,$F:$M,2,0),"")),IFERROR(VLOOKUP($E835,INSUMOS!$B:$E,2,0),IFERROR(VLOOKUP($E835,COTAÇÕES!$C:$L,2,0),"")))</f>
        <v>PERFURATRIZ HIDRÁULICA SOBRE CAMINHÃO COM TRADO CURTO ACOPLADO, PROFUNDIDADE MÁXIMA DE 20 M, DIÂMETRO MÁXIMO DE 1500 MM, POTÊNCIA INSTALADA DE 137 HP, MESA ROTATIVA COM TORQUE MÁXIMO DE 30 KNM - CHI DIURNO. AF_06/2015</v>
      </c>
      <c r="H835" s="593" t="str">
        <f>IF($E835="",IFERROR(VLOOKUP($D835,SERVIÇOS!$C:$H,3,0),IFERROR(VLOOKUP($D835,$F:$M,3,0),"")),IFERROR(VLOOKUP($E835,INSUMOS!$B:$E,3,0),IFERROR(VLOOKUP($E835,COTAÇÕES!$C:$L,5,0),"")))</f>
        <v>CHI</v>
      </c>
      <c r="I835" s="614">
        <v>4.9000000000000002E-2</v>
      </c>
      <c r="J835" s="670">
        <f>IF($E835="",IFERROR(VLOOKUP($D835,SERVIÇOS!$C:$H,6,0),IFERROR(VLOOKUP($D835,$F:$M,8,0),"")),IFERROR(VLOOKUP($E835,INSUMOS!$B:$E,4,0),IFERROR(VLOOKUP($E835,COTAÇÕES!$C:$L,10,0),"")))</f>
        <v>171.34</v>
      </c>
      <c r="K835" s="615">
        <f>TRUNC(IF($E835="",IFERROR(VLOOKUP($D835,SERVIÇOS!$C:$H,4,0),IFERROR(VLOOKUP($D835,$F:$M,6,0),)),IFERROR(VLOOKUP($E835,INSUMOS!$B:$E,4,0),IFERROR(VLOOKUP($E835,COTAÇÕES!$C:$L,10,0),)))*$I835,2)</f>
        <v>7.2</v>
      </c>
      <c r="L835" s="616">
        <f>TRUNC(IF($E835="",IFERROR(VLOOKUP($D835,SERVIÇOS!$C:$H,5,0),IFERROR(VLOOKUP($D835,$F:$M,7,0),)),0)*$I835,2)</f>
        <v>1.18</v>
      </c>
      <c r="M835" s="617">
        <f t="shared" si="382"/>
        <v>8.3800000000000008</v>
      </c>
      <c r="N835" s="753" t="str">
        <f t="shared" si="383"/>
        <v>SERVIÇO SINAPI</v>
      </c>
      <c r="O835" s="647"/>
    </row>
    <row r="836" spans="2:15">
      <c r="B836" s="122">
        <f t="shared" si="380"/>
        <v>76</v>
      </c>
      <c r="C836" s="611" t="str">
        <f t="shared" si="381"/>
        <v>C</v>
      </c>
      <c r="D836" s="660">
        <v>90778</v>
      </c>
      <c r="E836" s="661"/>
      <c r="F836" s="612"/>
      <c r="G836" s="613" t="str">
        <f>IF($E836="",IFERROR(VLOOKUP($D836,SERVIÇOS!$C:$H,2,0),IFERROR(VLOOKUP($D836,$F:$M,2,0),"")),IFERROR(VLOOKUP($E836,INSUMOS!$B:$E,2,0),IFERROR(VLOOKUP($E836,COTAÇÕES!$C:$L,2,0),"")))</f>
        <v>ENGENHEIRO CIVIL DE OBRA PLENO COM ENCARGOS COMPLEMENTARES</v>
      </c>
      <c r="H836" s="593" t="str">
        <f>IF($E836="",IFERROR(VLOOKUP($D836,SERVIÇOS!$C:$H,3,0),IFERROR(VLOOKUP($D836,$F:$M,3,0),"")),IFERROR(VLOOKUP($E836,INSUMOS!$B:$E,3,0),IFERROR(VLOOKUP($E836,COTAÇÕES!$C:$L,5,0),"")))</f>
        <v>H</v>
      </c>
      <c r="I836" s="614">
        <v>5.1000000000000004E-3</v>
      </c>
      <c r="J836" s="670">
        <f>IF($E836="",IFERROR(VLOOKUP($D836,SERVIÇOS!$C:$H,6,0),IFERROR(VLOOKUP($D836,$F:$M,8,0),"")),IFERROR(VLOOKUP($E836,INSUMOS!$B:$E,4,0),IFERROR(VLOOKUP($E836,COTAÇÕES!$C:$L,10,0),"")))</f>
        <v>117.54</v>
      </c>
      <c r="K836" s="615">
        <f>TRUNC(IF($E836="",IFERROR(VLOOKUP($D836,SERVIÇOS!$C:$H,4,0),IFERROR(VLOOKUP($D836,$F:$M,6,0),)),IFERROR(VLOOKUP($E836,INSUMOS!$B:$E,4,0),IFERROR(VLOOKUP($E836,COTAÇÕES!$C:$L,10,0),)))*$I836,2)</f>
        <v>0</v>
      </c>
      <c r="L836" s="616">
        <f>TRUNC(IF($E836="",IFERROR(VLOOKUP($D836,SERVIÇOS!$C:$H,5,0),IFERROR(VLOOKUP($D836,$F:$M,7,0),)),0)*$I836,2)</f>
        <v>0.59</v>
      </c>
      <c r="M836" s="617">
        <f t="shared" si="382"/>
        <v>0.59</v>
      </c>
      <c r="N836" s="753" t="str">
        <f t="shared" si="383"/>
        <v>SERVIÇO SINAPI</v>
      </c>
      <c r="O836" s="647"/>
    </row>
    <row r="837" spans="2:15" ht="25.5">
      <c r="B837" s="122">
        <f t="shared" si="380"/>
        <v>76</v>
      </c>
      <c r="C837" s="611" t="str">
        <f t="shared" si="381"/>
        <v>C</v>
      </c>
      <c r="D837" s="660">
        <v>97913</v>
      </c>
      <c r="E837" s="661"/>
      <c r="F837" s="612"/>
      <c r="G837" s="613" t="str">
        <f>IF($E837="",IFERROR(VLOOKUP($D837,SERVIÇOS!$C:$H,2,0),IFERROR(VLOOKUP($D837,$F:$M,2,0),"")),IFERROR(VLOOKUP($E837,INSUMOS!$B:$E,2,0),IFERROR(VLOOKUP($E837,COTAÇÕES!$C:$L,2,0),"")))</f>
        <v>TRANSPORTE COM CAMINHÃO BASCULANTE DE 6 M³, EM VIA URBANA EM REVESTIMENTO PRIMÁRIO (UNIDADE: M3XKM). AF_07/2020</v>
      </c>
      <c r="H837" s="593" t="str">
        <f>IF($E837="",IFERROR(VLOOKUP($D837,SERVIÇOS!$C:$H,3,0),IFERROR(VLOOKUP($D837,$F:$M,3,0),"")),IFERROR(VLOOKUP($E837,INSUMOS!$B:$E,3,0),IFERROR(VLOOKUP($E837,COTAÇÕES!$C:$L,5,0),"")))</f>
        <v>M3XKM</v>
      </c>
      <c r="I837" s="614">
        <v>2.0500000000000001E-2</v>
      </c>
      <c r="J837" s="670">
        <f>IF($E837="",IFERROR(VLOOKUP($D837,SERVIÇOS!$C:$H,6,0),IFERROR(VLOOKUP($D837,$F:$M,8,0),"")),IFERROR(VLOOKUP($E837,INSUMOS!$B:$E,4,0),IFERROR(VLOOKUP($E837,COTAÇÕES!$C:$L,10,0),"")))</f>
        <v>3.17</v>
      </c>
      <c r="K837" s="615">
        <f>TRUNC(IF($E837="",IFERROR(VLOOKUP($D837,SERVIÇOS!$C:$H,4,0),IFERROR(VLOOKUP($D837,$F:$M,6,0),)),IFERROR(VLOOKUP($E837,INSUMOS!$B:$E,4,0),IFERROR(VLOOKUP($E837,COTAÇÕES!$C:$L,10,0),)))*$I837,2)</f>
        <v>0.05</v>
      </c>
      <c r="L837" s="616">
        <f>TRUNC(IF($E837="",IFERROR(VLOOKUP($D837,SERVIÇOS!$C:$H,5,0),IFERROR(VLOOKUP($D837,$F:$M,7,0),)),0)*$I837,2)</f>
        <v>0</v>
      </c>
      <c r="M837" s="617">
        <f t="shared" si="382"/>
        <v>0.05</v>
      </c>
      <c r="N837" s="753" t="str">
        <f t="shared" si="383"/>
        <v>SERVIÇO SINAPI</v>
      </c>
      <c r="O837" s="647"/>
    </row>
    <row r="838" spans="2:15" ht="38.25">
      <c r="B838" s="122">
        <f t="shared" si="380"/>
        <v>76</v>
      </c>
      <c r="C838" s="611" t="str">
        <f t="shared" si="381"/>
        <v>C</v>
      </c>
      <c r="D838" s="667">
        <v>100973</v>
      </c>
      <c r="E838" s="661"/>
      <c r="F838" s="628"/>
      <c r="G838" s="613" t="str">
        <f>IF($E838="",IFERROR(VLOOKUP($D838,SERVIÇOS!$C:$H,2,0),IFERROR(VLOOKUP($D838,$F:$M,2,0),"")),IFERROR(VLOOKUP($E838,INSUMOS!$B:$E,2,0),IFERROR(VLOOKUP($E838,COTAÇÕES!$C:$L,2,0),"")))</f>
        <v>CARGA, MANOBRA E DESCARGA DE SOLOS E MATERIAIS GRANULARES EM CAMINHÃO BASCULANTE 6 M³ - CARGA COM PÁ CARREGADEIRA (CAÇAMBA DE 1,7 A 2,8 M³ / 128 HP) E DESCARGA LIVRE (UNIDADE: M3). AF_07/2020</v>
      </c>
      <c r="H838" s="593" t="str">
        <f>IF($E838="",IFERROR(VLOOKUP($D838,SERVIÇOS!$C:$H,3,0),IFERROR(VLOOKUP($D838,$F:$M,3,0),"")),IFERROR(VLOOKUP($E838,INSUMOS!$B:$E,3,0),IFERROR(VLOOKUP($E838,COTAÇÕES!$C:$L,5,0),"")))</f>
        <v>M3</v>
      </c>
      <c r="I838" s="614">
        <v>6.1400000000000003E-2</v>
      </c>
      <c r="J838" s="670">
        <f>IF($E838="",IFERROR(VLOOKUP($D838,SERVIÇOS!$C:$H,6,0),IFERROR(VLOOKUP($D838,$F:$M,8,0),"")),IFERROR(VLOOKUP($E838,INSUMOS!$B:$E,4,0),IFERROR(VLOOKUP($E838,COTAÇÕES!$C:$L,10,0),"")))</f>
        <v>8.7899999999999991</v>
      </c>
      <c r="K838" s="615">
        <f>TRUNC(IF($E838="",IFERROR(VLOOKUP($D838,SERVIÇOS!$C:$H,4,0),IFERROR(VLOOKUP($D838,$F:$M,6,0),)),IFERROR(VLOOKUP($E838,INSUMOS!$B:$E,4,0),IFERROR(VLOOKUP($E838,COTAÇÕES!$C:$L,10,0),)))*$I838,2)</f>
        <v>0.45</v>
      </c>
      <c r="L838" s="616">
        <f>TRUNC(IF($E838="",IFERROR(VLOOKUP($D838,SERVIÇOS!$C:$H,5,0),IFERROR(VLOOKUP($D838,$F:$M,7,0),)),0)*$I838,2)</f>
        <v>0.08</v>
      </c>
      <c r="M838" s="617">
        <f t="shared" si="382"/>
        <v>0.53</v>
      </c>
      <c r="N838" s="753" t="str">
        <f t="shared" si="383"/>
        <v>SERVIÇO SINAPI</v>
      </c>
      <c r="O838" s="647"/>
    </row>
    <row r="839" spans="2:15" ht="38.25">
      <c r="B839" s="769">
        <f>SUMIF(ORC!$G$11:$G$2470,CPU!$F839,ORC!$J$11:$J$2470)</f>
        <v>790.80000000000007</v>
      </c>
      <c r="C839" s="515" t="s">
        <v>2239</v>
      </c>
      <c r="D839" s="515"/>
      <c r="E839" s="515"/>
      <c r="F839" s="515" t="s">
        <v>5272</v>
      </c>
      <c r="G839" s="516" t="s">
        <v>8458</v>
      </c>
      <c r="H839" s="515" t="s">
        <v>645</v>
      </c>
      <c r="I839" s="595"/>
      <c r="J839" s="596"/>
      <c r="K839" s="597">
        <f>ROUND(SUM(K840:K848),2)</f>
        <v>13.22</v>
      </c>
      <c r="L839" s="597">
        <f>ROUND(SUM(L840:L848),2)</f>
        <v>0.42</v>
      </c>
      <c r="M839" s="597">
        <f>ROUND(SUM(M840:M848),2)</f>
        <v>13.64</v>
      </c>
      <c r="N839" s="598" t="s">
        <v>7173</v>
      </c>
      <c r="O839" s="646"/>
    </row>
    <row r="840" spans="2:15">
      <c r="B840" s="122">
        <f t="shared" ref="B840:B848" si="384">B839</f>
        <v>790.80000000000007</v>
      </c>
      <c r="C840" s="611" t="str">
        <f t="shared" ref="C840:C848" si="385">IF(D840&lt;&gt;"","C",IF(E840&lt;&gt;"","I",""))</f>
        <v>I</v>
      </c>
      <c r="D840" s="667"/>
      <c r="E840" s="664">
        <v>1334</v>
      </c>
      <c r="F840" s="626"/>
      <c r="G840" s="613" t="str">
        <f>IF($E840="",IFERROR(VLOOKUP($D840,SERVIÇOS!$C:$H,2,0),IFERROR(VLOOKUP($D840,$F:$M,2,0),"")),IFERROR(VLOOKUP($E840,INSUMOS!$B:$E,2,0),IFERROR(VLOOKUP($E840,COTAÇÕES!$C:$L,2,0),"")))</f>
        <v xml:space="preserve">CHAPA DE ACO GROSSA, ASTM A36, E = 5/8 " (15,88 MM) 124,49 KG/M2                                                                                                                                                                                                                                                                                                                                                                                                                                          </v>
      </c>
      <c r="H840" s="593" t="str">
        <f>IF($E840="",IFERROR(VLOOKUP($D840,SERVIÇOS!$C:$H,3,0),IFERROR(VLOOKUP($D840,$F:$M,3,0),"")),IFERROR(VLOOKUP($E840,INSUMOS!$B:$E,3,0),IFERROR(VLOOKUP($E840,COTAÇÕES!$C:$L,5,0),"")))</f>
        <v xml:space="preserve">KG    </v>
      </c>
      <c r="I840" s="614">
        <v>6.8199999999999997E-2</v>
      </c>
      <c r="J840" s="670">
        <f>IF($E840="",IFERROR(VLOOKUP($D840,SERVIÇOS!$C:$H,6,0),IFERROR(VLOOKUP($D840,$F:$M,8,0),"")),IFERROR(VLOOKUP($E840,INSUMOS!$B:$E,4,0),IFERROR(VLOOKUP($E840,COTAÇÕES!$C:$L,10,0),"")))</f>
        <v>13.52</v>
      </c>
      <c r="K840" s="615">
        <f>TRUNC(IF($E840="",IFERROR(VLOOKUP($D840,SERVIÇOS!$C:$H,4,0),IFERROR(VLOOKUP($D840,$F:$M,6,0),)),IFERROR(VLOOKUP($E840,INSUMOS!$B:$E,4,0),IFERROR(VLOOKUP($E840,COTAÇÕES!$C:$L,10,0),)))*$I840,2)</f>
        <v>0.92</v>
      </c>
      <c r="L840" s="616">
        <f>TRUNC(IF($E840="",IFERROR(VLOOKUP($D840,SERVIÇOS!$C:$H,5,0),IFERROR(VLOOKUP($D840,$F:$M,7,0),)),0)*$I840,2)</f>
        <v>0</v>
      </c>
      <c r="M840" s="617">
        <f t="shared" ref="M840:M848" si="386">K840+L840</f>
        <v>0.92</v>
      </c>
      <c r="N840" s="753" t="str">
        <f t="shared" ref="N840:N848" si="387">IF($D840&lt;&gt;"","SERVIÇO SINAPI",IF($E840&lt;&gt;"","INSUMO SINAPI",""))</f>
        <v>INSUMO SINAPI</v>
      </c>
      <c r="O840" s="655"/>
    </row>
    <row r="841" spans="2:15">
      <c r="B841" s="122">
        <f t="shared" si="384"/>
        <v>790.80000000000007</v>
      </c>
      <c r="C841" s="611" t="str">
        <f t="shared" si="385"/>
        <v>I</v>
      </c>
      <c r="D841" s="660"/>
      <c r="E841" s="661">
        <v>4777</v>
      </c>
      <c r="F841" s="620"/>
      <c r="G841" s="613" t="str">
        <f>IF($E841="",IFERROR(VLOOKUP($D841,SERVIÇOS!$C:$H,2,0),IFERROR(VLOOKUP($D841,$F:$M,2,0),"")),IFERROR(VLOOKUP($E841,INSUMOS!$B:$E,2,0),IFERROR(VLOOKUP($E841,COTAÇÕES!$C:$L,2,0),"")))</f>
        <v xml:space="preserve">CANTONEIRA ACO ABAS IGUAIS (QUALQUER BITOLA), ESPESSURA ENTRE 1/8" E 1/4"                                                                                                                                                                                                                                                                                                                                                                                                                                 </v>
      </c>
      <c r="H841" s="593" t="str">
        <f>IF($E841="",IFERROR(VLOOKUP($D841,SERVIÇOS!$C:$H,3,0),IFERROR(VLOOKUP($D841,$F:$M,3,0),"")),IFERROR(VLOOKUP($E841,INSUMOS!$B:$E,3,0),IFERROR(VLOOKUP($E841,COTAÇÕES!$C:$L,5,0),"")))</f>
        <v xml:space="preserve">KG    </v>
      </c>
      <c r="I841" s="614">
        <v>0.16980000000000001</v>
      </c>
      <c r="J841" s="670">
        <f>IF($E841="",IFERROR(VLOOKUP($D841,SERVIÇOS!$C:$H,6,0),IFERROR(VLOOKUP($D841,$F:$M,8,0),"")),IFERROR(VLOOKUP($E841,INSUMOS!$B:$E,4,0),IFERROR(VLOOKUP($E841,COTAÇÕES!$C:$L,10,0),"")))</f>
        <v>11.23</v>
      </c>
      <c r="K841" s="615">
        <f>TRUNC(IF($E841="",IFERROR(VLOOKUP($D841,SERVIÇOS!$C:$H,4,0),IFERROR(VLOOKUP($D841,$F:$M,6,0),)),IFERROR(VLOOKUP($E841,INSUMOS!$B:$E,4,0),IFERROR(VLOOKUP($E841,COTAÇÕES!$C:$L,10,0),)))*$I841,2)</f>
        <v>1.9</v>
      </c>
      <c r="L841" s="616">
        <f>TRUNC(IF($E841="",IFERROR(VLOOKUP($D841,SERVIÇOS!$C:$H,5,0),IFERROR(VLOOKUP($D841,$F:$M,7,0),)),0)*$I841,2)</f>
        <v>0</v>
      </c>
      <c r="M841" s="617">
        <f t="shared" si="386"/>
        <v>1.9</v>
      </c>
      <c r="N841" s="753" t="str">
        <f t="shared" si="387"/>
        <v>INSUMO SINAPI</v>
      </c>
      <c r="O841" s="647"/>
    </row>
    <row r="842" spans="2:15">
      <c r="B842" s="122">
        <f t="shared" si="384"/>
        <v>790.80000000000007</v>
      </c>
      <c r="C842" s="611" t="str">
        <f t="shared" si="385"/>
        <v>I</v>
      </c>
      <c r="D842" s="660"/>
      <c r="E842" s="664">
        <v>10966</v>
      </c>
      <c r="F842" s="620"/>
      <c r="G842" s="613" t="str">
        <f>IF($E842="",IFERROR(VLOOKUP($D842,SERVIÇOS!$C:$H,2,0),IFERROR(VLOOKUP($D842,$F:$M,2,0),"")),IFERROR(VLOOKUP($E842,INSUMOS!$B:$E,2,0),IFERROR(VLOOKUP($E842,COTAÇÕES!$C:$L,2,0),"")))</f>
        <v xml:space="preserve">PERFIL "U" DE ACO LAMINADO, "U" 152 X 15,6                                                                                                                                                                                                                                                                                                                                                                                                                                                                </v>
      </c>
      <c r="H842" s="593" t="str">
        <f>IF($E842="",IFERROR(VLOOKUP($D842,SERVIÇOS!$C:$H,3,0),IFERROR(VLOOKUP($D842,$F:$M,3,0),"")),IFERROR(VLOOKUP($E842,INSUMOS!$B:$E,3,0),IFERROR(VLOOKUP($E842,COTAÇÕES!$C:$L,5,0),"")))</f>
        <v xml:space="preserve">KG    </v>
      </c>
      <c r="I842" s="614">
        <v>0.76200000000000001</v>
      </c>
      <c r="J842" s="670">
        <f>IF($E842="",IFERROR(VLOOKUP($D842,SERVIÇOS!$C:$H,6,0),IFERROR(VLOOKUP($D842,$F:$M,8,0),"")),IFERROR(VLOOKUP($E842,INSUMOS!$B:$E,4,0),IFERROR(VLOOKUP($E842,COTAÇÕES!$C:$L,10,0),"")))</f>
        <v>12.78</v>
      </c>
      <c r="K842" s="615">
        <f>TRUNC(IF($E842="",IFERROR(VLOOKUP($D842,SERVIÇOS!$C:$H,4,0),IFERROR(VLOOKUP($D842,$F:$M,6,0),)),IFERROR(VLOOKUP($E842,INSUMOS!$B:$E,4,0),IFERROR(VLOOKUP($E842,COTAÇÕES!$C:$L,10,0),)))*$I842,2)</f>
        <v>9.73</v>
      </c>
      <c r="L842" s="616">
        <f>TRUNC(IF($E842="",IFERROR(VLOOKUP($D842,SERVIÇOS!$C:$H,5,0),IFERROR(VLOOKUP($D842,$F:$M,7,0),)),0)*$I842,2)</f>
        <v>0</v>
      </c>
      <c r="M842" s="617">
        <f t="shared" si="386"/>
        <v>9.73</v>
      </c>
      <c r="N842" s="753" t="str">
        <f t="shared" si="387"/>
        <v>INSUMO SINAPI</v>
      </c>
      <c r="O842" s="647"/>
    </row>
    <row r="843" spans="2:15">
      <c r="B843" s="122">
        <f t="shared" si="384"/>
        <v>790.80000000000007</v>
      </c>
      <c r="C843" s="611" t="str">
        <f t="shared" si="385"/>
        <v>I</v>
      </c>
      <c r="D843" s="660"/>
      <c r="E843" s="664">
        <v>10997</v>
      </c>
      <c r="F843" s="620"/>
      <c r="G843" s="613" t="str">
        <f>IF($E843="",IFERROR(VLOOKUP($D843,SERVIÇOS!$C:$H,2,0),IFERROR(VLOOKUP($D843,$F:$M,2,0),"")),IFERROR(VLOOKUP($E843,INSUMOS!$B:$E,2,0),IFERROR(VLOOKUP($E843,COTAÇÕES!$C:$L,2,0),"")))</f>
        <v xml:space="preserve">ELETRODO REVESTIDO AWS - E7018, DIAMETRO IGUAL A 4,00 MM                                                                                                                                                                                                                                                                                                                                                                                                                                                  </v>
      </c>
      <c r="H843" s="593" t="str">
        <f>IF($E843="",IFERROR(VLOOKUP($D843,SERVIÇOS!$C:$H,3,0),IFERROR(VLOOKUP($D843,$F:$M,3,0),"")),IFERROR(VLOOKUP($E843,INSUMOS!$B:$E,3,0),IFERROR(VLOOKUP($E843,COTAÇÕES!$C:$L,5,0),"")))</f>
        <v xml:space="preserve">KG    </v>
      </c>
      <c r="I843" s="614">
        <v>8.0000000000000004E-4</v>
      </c>
      <c r="J843" s="670">
        <f>IF($E843="",IFERROR(VLOOKUP($D843,SERVIÇOS!$C:$H,6,0),IFERROR(VLOOKUP($D843,$F:$M,8,0),"")),IFERROR(VLOOKUP($E843,INSUMOS!$B:$E,4,0),IFERROR(VLOOKUP($E843,COTAÇÕES!$C:$L,10,0),"")))</f>
        <v>46.84</v>
      </c>
      <c r="K843" s="615">
        <f>TRUNC(IF($E843="",IFERROR(VLOOKUP($D843,SERVIÇOS!$C:$H,4,0),IFERROR(VLOOKUP($D843,$F:$M,6,0),)),IFERROR(VLOOKUP($E843,INSUMOS!$B:$E,4,0),IFERROR(VLOOKUP($E843,COTAÇÕES!$C:$L,10,0),)))*$I843,2)</f>
        <v>0.03</v>
      </c>
      <c r="L843" s="616">
        <f>TRUNC(IF($E843="",IFERROR(VLOOKUP($D843,SERVIÇOS!$C:$H,5,0),IFERROR(VLOOKUP($D843,$F:$M,7,0),)),0)*$I843,2)</f>
        <v>0</v>
      </c>
      <c r="M843" s="617">
        <f t="shared" si="386"/>
        <v>0.03</v>
      </c>
      <c r="N843" s="753" t="str">
        <f t="shared" si="387"/>
        <v>INSUMO SINAPI</v>
      </c>
      <c r="O843" s="647"/>
    </row>
    <row r="844" spans="2:15">
      <c r="B844" s="122">
        <f t="shared" si="384"/>
        <v>790.80000000000007</v>
      </c>
      <c r="C844" s="611" t="str">
        <f t="shared" si="385"/>
        <v>C</v>
      </c>
      <c r="D844" s="660">
        <v>88240</v>
      </c>
      <c r="E844" s="661"/>
      <c r="F844" s="620"/>
      <c r="G844" s="613" t="str">
        <f>IF($E844="",IFERROR(VLOOKUP($D844,SERVIÇOS!$C:$H,2,0),IFERROR(VLOOKUP($D844,$F:$M,2,0),"")),IFERROR(VLOOKUP($E844,INSUMOS!$B:$E,2,0),IFERROR(VLOOKUP($E844,COTAÇÕES!$C:$L,2,0),"")))</f>
        <v>AJUDANTE DE ESTRUTURA METÁLICA COM ENCARGOS COMPLEMENTARES</v>
      </c>
      <c r="H844" s="593" t="str">
        <f>IF($E844="",IFERROR(VLOOKUP($D844,SERVIÇOS!$C:$H,3,0),IFERROR(VLOOKUP($D844,$F:$M,3,0),"")),IFERROR(VLOOKUP($E844,INSUMOS!$B:$E,3,0),IFERROR(VLOOKUP($E844,COTAÇÕES!$C:$L,5,0),"")))</f>
        <v>H</v>
      </c>
      <c r="I844" s="614">
        <v>1.8E-3</v>
      </c>
      <c r="J844" s="670">
        <f>IF($E844="",IFERROR(VLOOKUP($D844,SERVIÇOS!$C:$H,6,0),IFERROR(VLOOKUP($D844,$F:$M,8,0),"")),IFERROR(VLOOKUP($E844,INSUMOS!$B:$E,4,0),IFERROR(VLOOKUP($E844,COTAÇÕES!$C:$L,10,0),"")))</f>
        <v>21.59</v>
      </c>
      <c r="K844" s="615">
        <f>TRUNC(IF($E844="",IFERROR(VLOOKUP($D844,SERVIÇOS!$C:$H,4,0),IFERROR(VLOOKUP($D844,$F:$M,6,0),)),IFERROR(VLOOKUP($E844,INSUMOS!$B:$E,4,0),IFERROR(VLOOKUP($E844,COTAÇÕES!$C:$L,10,0),)))*$I844,2)</f>
        <v>0.01</v>
      </c>
      <c r="L844" s="616">
        <f>TRUNC(IF($E844="",IFERROR(VLOOKUP($D844,SERVIÇOS!$C:$H,5,0),IFERROR(VLOOKUP($D844,$F:$M,7,0),)),0)*$I844,2)</f>
        <v>0.02</v>
      </c>
      <c r="M844" s="617">
        <f t="shared" si="386"/>
        <v>0.03</v>
      </c>
      <c r="N844" s="753" t="str">
        <f t="shared" si="387"/>
        <v>SERVIÇO SINAPI</v>
      </c>
      <c r="O844" s="647"/>
    </row>
    <row r="845" spans="2:15">
      <c r="B845" s="122">
        <f t="shared" si="384"/>
        <v>790.80000000000007</v>
      </c>
      <c r="C845" s="611" t="str">
        <f t="shared" si="385"/>
        <v>C</v>
      </c>
      <c r="D845" s="660">
        <v>88278</v>
      </c>
      <c r="E845" s="661"/>
      <c r="F845" s="620"/>
      <c r="G845" s="613" t="str">
        <f>IF($E845="",IFERROR(VLOOKUP($D845,SERVIÇOS!$C:$H,2,0),IFERROR(VLOOKUP($D845,$F:$M,2,0),"")),IFERROR(VLOOKUP($E845,INSUMOS!$B:$E,2,0),IFERROR(VLOOKUP($E845,COTAÇÕES!$C:$L,2,0),"")))</f>
        <v>MONTADOR DE ESTRUTURA METÁLICA COM ENCARGOS COMPLEMENTARES</v>
      </c>
      <c r="H845" s="593" t="str">
        <f>IF($E845="",IFERROR(VLOOKUP($D845,SERVIÇOS!$C:$H,3,0),IFERROR(VLOOKUP($D845,$F:$M,3,0),"")),IFERROR(VLOOKUP($E845,INSUMOS!$B:$E,3,0),IFERROR(VLOOKUP($E845,COTAÇÕES!$C:$L,5,0),"")))</f>
        <v>H</v>
      </c>
      <c r="I845" s="614">
        <v>5.0000000000000001E-3</v>
      </c>
      <c r="J845" s="670">
        <f>IF($E845="",IFERROR(VLOOKUP($D845,SERVIÇOS!$C:$H,6,0),IFERROR(VLOOKUP($D845,$F:$M,8,0),"")),IFERROR(VLOOKUP($E845,INSUMOS!$B:$E,4,0),IFERROR(VLOOKUP($E845,COTAÇÕES!$C:$L,10,0),"")))</f>
        <v>28.12</v>
      </c>
      <c r="K845" s="615">
        <f>TRUNC(IF($E845="",IFERROR(VLOOKUP($D845,SERVIÇOS!$C:$H,4,0),IFERROR(VLOOKUP($D845,$F:$M,6,0),)),IFERROR(VLOOKUP($E845,INSUMOS!$B:$E,4,0),IFERROR(VLOOKUP($E845,COTAÇÕES!$C:$L,10,0),)))*$I845,2)</f>
        <v>0.02</v>
      </c>
      <c r="L845" s="616">
        <f>TRUNC(IF($E845="",IFERROR(VLOOKUP($D845,SERVIÇOS!$C:$H,5,0),IFERROR(VLOOKUP($D845,$F:$M,7,0),)),0)*$I845,2)</f>
        <v>0.11</v>
      </c>
      <c r="M845" s="617">
        <f t="shared" si="386"/>
        <v>0.13</v>
      </c>
      <c r="N845" s="753" t="str">
        <f t="shared" si="387"/>
        <v>SERVIÇO SINAPI</v>
      </c>
      <c r="O845" s="647"/>
    </row>
    <row r="846" spans="2:15">
      <c r="B846" s="122">
        <f t="shared" si="384"/>
        <v>790.80000000000007</v>
      </c>
      <c r="C846" s="611" t="str">
        <f t="shared" si="385"/>
        <v>C</v>
      </c>
      <c r="D846" s="660">
        <v>88317</v>
      </c>
      <c r="E846" s="661"/>
      <c r="F846" s="620"/>
      <c r="G846" s="613" t="str">
        <f>IF($E846="",IFERROR(VLOOKUP($D846,SERVIÇOS!$C:$H,2,0),IFERROR(VLOOKUP($D846,$F:$M,2,0),"")),IFERROR(VLOOKUP($E846,INSUMOS!$B:$E,2,0),IFERROR(VLOOKUP($E846,COTAÇÕES!$C:$L,2,0),"")))</f>
        <v>SOLDADOR COM ENCARGOS COMPLEMENTARES</v>
      </c>
      <c r="H846" s="593" t="str">
        <f>IF($E846="",IFERROR(VLOOKUP($D846,SERVIÇOS!$C:$H,3,0),IFERROR(VLOOKUP($D846,$F:$M,3,0),"")),IFERROR(VLOOKUP($E846,INSUMOS!$B:$E,3,0),IFERROR(VLOOKUP($E846,COTAÇÕES!$C:$L,5,0),"")))</f>
        <v>H</v>
      </c>
      <c r="I846" s="614">
        <v>6.7999999999999996E-3</v>
      </c>
      <c r="J846" s="670">
        <f>IF($E846="",IFERROR(VLOOKUP($D846,SERVIÇOS!$C:$H,6,0),IFERROR(VLOOKUP($D846,$F:$M,8,0),"")),IFERROR(VLOOKUP($E846,INSUMOS!$B:$E,4,0),IFERROR(VLOOKUP($E846,COTAÇÕES!$C:$L,10,0),"")))</f>
        <v>32.29</v>
      </c>
      <c r="K846" s="615">
        <f>TRUNC(IF($E846="",IFERROR(VLOOKUP($D846,SERVIÇOS!$C:$H,4,0),IFERROR(VLOOKUP($D846,$F:$M,6,0),)),IFERROR(VLOOKUP($E846,INSUMOS!$B:$E,4,0),IFERROR(VLOOKUP($E846,COTAÇÕES!$C:$L,10,0),)))*$I846,2)</f>
        <v>0.05</v>
      </c>
      <c r="L846" s="616">
        <f>TRUNC(IF($E846="",IFERROR(VLOOKUP($D846,SERVIÇOS!$C:$H,5,0),IFERROR(VLOOKUP($D846,$F:$M,7,0),)),0)*$I846,2)</f>
        <v>0.16</v>
      </c>
      <c r="M846" s="617">
        <f t="shared" si="386"/>
        <v>0.21000000000000002</v>
      </c>
      <c r="N846" s="753" t="str">
        <f t="shared" si="387"/>
        <v>SERVIÇO SINAPI</v>
      </c>
      <c r="O846" s="647"/>
    </row>
    <row r="847" spans="2:15" ht="25.5">
      <c r="B847" s="122">
        <f t="shared" si="384"/>
        <v>790.80000000000007</v>
      </c>
      <c r="C847" s="611" t="str">
        <f t="shared" si="385"/>
        <v>C</v>
      </c>
      <c r="D847" s="660">
        <v>93287</v>
      </c>
      <c r="E847" s="661"/>
      <c r="F847" s="620"/>
      <c r="G847" s="613" t="str">
        <f>IF($E847="",IFERROR(VLOOKUP($D847,SERVIÇOS!$C:$H,2,0),IFERROR(VLOOKUP($D847,$F:$M,2,0),"")),IFERROR(VLOOKUP($E847,INSUMOS!$B:$E,2,0),IFERROR(VLOOKUP($E847,COTAÇÕES!$C:$L,2,0),"")))</f>
        <v>GUINDASTE HIDRÁULICO AUTOPROPELIDO, COM LANÇA TELESCÓPICA 40 M, CAPACIDADE MÁXIMA 60 T, POTÊNCIA 260 KW - CHP DIURNO. AF_03/2016</v>
      </c>
      <c r="H847" s="593" t="str">
        <f>IF($E847="",IFERROR(VLOOKUP($D847,SERVIÇOS!$C:$H,3,0),IFERROR(VLOOKUP($D847,$F:$M,3,0),"")),IFERROR(VLOOKUP($E847,INSUMOS!$B:$E,3,0),IFERROR(VLOOKUP($E847,COTAÇÕES!$C:$L,5,0),"")))</f>
        <v>CHP</v>
      </c>
      <c r="I847" s="614">
        <v>1.4E-3</v>
      </c>
      <c r="J847" s="670">
        <f>IF($E847="",IFERROR(VLOOKUP($D847,SERVIÇOS!$C:$H,6,0),IFERROR(VLOOKUP($D847,$F:$M,8,0),"")),IFERROR(VLOOKUP($E847,INSUMOS!$B:$E,4,0),IFERROR(VLOOKUP($E847,COTAÇÕES!$C:$L,10,0),"")))</f>
        <v>350.1</v>
      </c>
      <c r="K847" s="615">
        <f>TRUNC(IF($E847="",IFERROR(VLOOKUP($D847,SERVIÇOS!$C:$H,4,0),IFERROR(VLOOKUP($D847,$F:$M,6,0),)),IFERROR(VLOOKUP($E847,INSUMOS!$B:$E,4,0),IFERROR(VLOOKUP($E847,COTAÇÕES!$C:$L,10,0),)))*$I847,2)</f>
        <v>0.41</v>
      </c>
      <c r="L847" s="616">
        <f>TRUNC(IF($E847="",IFERROR(VLOOKUP($D847,SERVIÇOS!$C:$H,5,0),IFERROR(VLOOKUP($D847,$F:$M,7,0),)),0)*$I847,2)</f>
        <v>7.0000000000000007E-2</v>
      </c>
      <c r="M847" s="617">
        <f t="shared" si="386"/>
        <v>0.48</v>
      </c>
      <c r="N847" s="753" t="str">
        <f t="shared" si="387"/>
        <v>SERVIÇO SINAPI</v>
      </c>
      <c r="O847" s="647"/>
    </row>
    <row r="848" spans="2:15" ht="25.5">
      <c r="B848" s="122">
        <f t="shared" si="384"/>
        <v>790.80000000000007</v>
      </c>
      <c r="C848" s="611" t="str">
        <f t="shared" si="385"/>
        <v>C</v>
      </c>
      <c r="D848" s="660">
        <v>93288</v>
      </c>
      <c r="E848" s="661"/>
      <c r="F848" s="620"/>
      <c r="G848" s="613" t="str">
        <f>IF($E848="",IFERROR(VLOOKUP($D848,SERVIÇOS!$C:$H,2,0),IFERROR(VLOOKUP($D848,$F:$M,2,0),"")),IFERROR(VLOOKUP($E848,INSUMOS!$B:$E,2,0),IFERROR(VLOOKUP($E848,COTAÇÕES!$C:$L,2,0),"")))</f>
        <v>GUINDASTE HIDRÁULICO AUTOPROPELIDO, COM LANÇA TELESCÓPICA 40 M, CAPACIDADE MÁXIMA 60 T, POTÊNCIA 260 KW - CHI DIURNO. AF_03/2016</v>
      </c>
      <c r="H848" s="593" t="str">
        <f>IF($E848="",IFERROR(VLOOKUP($D848,SERVIÇOS!$C:$H,3,0),IFERROR(VLOOKUP($D848,$F:$M,3,0),"")),IFERROR(VLOOKUP($E848,INSUMOS!$B:$E,3,0),IFERROR(VLOOKUP($E848,COTAÇÕES!$C:$L,5,0),"")))</f>
        <v>CHI</v>
      </c>
      <c r="I848" s="614">
        <v>1.1999999999999999E-3</v>
      </c>
      <c r="J848" s="670">
        <f>IF($E848="",IFERROR(VLOOKUP($D848,SERVIÇOS!$C:$H,6,0),IFERROR(VLOOKUP($D848,$F:$M,8,0),"")),IFERROR(VLOOKUP($E848,INSUMOS!$B:$E,4,0),IFERROR(VLOOKUP($E848,COTAÇÕES!$C:$L,10,0),"")))</f>
        <v>186.87</v>
      </c>
      <c r="K848" s="615">
        <f>TRUNC(IF($E848="",IFERROR(VLOOKUP($D848,SERVIÇOS!$C:$H,4,0),IFERROR(VLOOKUP($D848,$F:$M,6,0),)),IFERROR(VLOOKUP($E848,INSUMOS!$B:$E,4,0),IFERROR(VLOOKUP($E848,COTAÇÕES!$C:$L,10,0),)))*$I848,2)</f>
        <v>0.15</v>
      </c>
      <c r="L848" s="616">
        <f>TRUNC(IF($E848="",IFERROR(VLOOKUP($D848,SERVIÇOS!$C:$H,5,0),IFERROR(VLOOKUP($D848,$F:$M,7,0),)),0)*$I848,2)</f>
        <v>0.06</v>
      </c>
      <c r="M848" s="617">
        <f t="shared" si="386"/>
        <v>0.21</v>
      </c>
      <c r="N848" s="753" t="str">
        <f t="shared" si="387"/>
        <v>SERVIÇO SINAPI</v>
      </c>
      <c r="O848" s="647"/>
    </row>
    <row r="849" spans="1:15" ht="25.5">
      <c r="B849" s="769">
        <f>SUMIF(ORC!$G$11:$G$2470,CPU!$F849,ORC!$J$11:$J$2470)</f>
        <v>6.68</v>
      </c>
      <c r="C849" s="515" t="s">
        <v>2239</v>
      </c>
      <c r="D849" s="515"/>
      <c r="E849" s="515"/>
      <c r="F849" s="515" t="s">
        <v>7168</v>
      </c>
      <c r="G849" s="516" t="s">
        <v>7169</v>
      </c>
      <c r="H849" s="515" t="s">
        <v>644</v>
      </c>
      <c r="I849" s="595"/>
      <c r="J849" s="596"/>
      <c r="K849" s="597">
        <f>SUM(K850:K854)</f>
        <v>447.9</v>
      </c>
      <c r="L849" s="597">
        <f>SUM(L850:L854)</f>
        <v>164.55</v>
      </c>
      <c r="M849" s="597">
        <f>SUM(M850:M854)</f>
        <v>612.45000000000005</v>
      </c>
      <c r="N849" s="598" t="s">
        <v>7170</v>
      </c>
      <c r="O849" s="646"/>
    </row>
    <row r="850" spans="1:15">
      <c r="B850" s="122">
        <f t="shared" ref="B850:B854" si="388">B849</f>
        <v>6.68</v>
      </c>
      <c r="C850" s="611" t="str">
        <f>IF(D850&lt;&gt;"","C",IF(E850&lt;&gt;"","I",""))</f>
        <v>C</v>
      </c>
      <c r="D850" s="667">
        <v>88309</v>
      </c>
      <c r="E850" s="661"/>
      <c r="F850" s="628"/>
      <c r="G850" s="613" t="str">
        <f>IF($E850="",IFERROR(VLOOKUP($D850,SERVIÇOS!$C:$H,2,0),IFERROR(VLOOKUP($D850,$F:$M,2,0),"")),IFERROR(VLOOKUP($E850,INSUMOS!$B:$E,2,0),IFERROR(VLOOKUP($E850,COTAÇÕES!$C:$L,2,0),"")))</f>
        <v>PEDREIRO COM ENCARGOS COMPLEMENTARES</v>
      </c>
      <c r="H850" s="593" t="str">
        <f>IF($E850="",IFERROR(VLOOKUP($D850,SERVIÇOS!$C:$H,3,0),IFERROR(VLOOKUP($D850,$F:$M,3,0),"")),IFERROR(VLOOKUP($E850,INSUMOS!$B:$E,3,0),IFERROR(VLOOKUP($E850,COTAÇÕES!$C:$L,5,0),"")))</f>
        <v>H</v>
      </c>
      <c r="I850" s="614">
        <v>2.3860000000000001</v>
      </c>
      <c r="J850" s="670">
        <f>IF($E850="",IFERROR(VLOOKUP($D850,SERVIÇOS!$C:$H,6,0),IFERROR(VLOOKUP($D850,$F:$M,8,0),"")),IFERROR(VLOOKUP($E850,INSUMOS!$B:$E,4,0),IFERROR(VLOOKUP($E850,COTAÇÕES!$C:$L,10,0),"")))</f>
        <v>30.99</v>
      </c>
      <c r="K850" s="615">
        <f>TRUNC(IF($E850="",IFERROR(VLOOKUP($D850,SERVIÇOS!$C:$H,4,0),IFERROR(VLOOKUP($D850,$F:$M,6,0),)),IFERROR(VLOOKUP($E850,INSUMOS!$B:$E,4,0),IFERROR(VLOOKUP($E850,COTAÇÕES!$C:$L,10,0),)))*$I850,2)</f>
        <v>15.84</v>
      </c>
      <c r="L850" s="616">
        <f>TRUNC(IF($E850="",IFERROR(VLOOKUP($D850,SERVIÇOS!$C:$H,5,0),IFERROR(VLOOKUP($D850,$F:$M,7,0),)),0)*$I850,2)</f>
        <v>58.09</v>
      </c>
      <c r="M850" s="617">
        <f>K850+L850</f>
        <v>73.930000000000007</v>
      </c>
      <c r="N850" s="753" t="str">
        <f>IF($D850&lt;&gt;"","SERVIÇO SINAPI",IF($E850&lt;&gt;"","INSUMO SINAPI",""))</f>
        <v>SERVIÇO SINAPI</v>
      </c>
      <c r="O850" s="647"/>
    </row>
    <row r="851" spans="1:15">
      <c r="B851" s="122">
        <f t="shared" si="388"/>
        <v>6.68</v>
      </c>
      <c r="C851" s="611" t="str">
        <f>IF(D851&lt;&gt;"","C",IF(E851&lt;&gt;"","I",""))</f>
        <v>C</v>
      </c>
      <c r="D851" s="667">
        <v>88316</v>
      </c>
      <c r="E851" s="661"/>
      <c r="F851" s="628"/>
      <c r="G851" s="613" t="str">
        <f>IF($E851="",IFERROR(VLOOKUP($D851,SERVIÇOS!$C:$H,2,0),IFERROR(VLOOKUP($D851,$F:$M,2,0),"")),IFERROR(VLOOKUP($E851,INSUMOS!$B:$E,2,0),IFERROR(VLOOKUP($E851,COTAÇÕES!$C:$L,2,0),"")))</f>
        <v>SERVENTE COM ENCARGOS COMPLEMENTARES</v>
      </c>
      <c r="H851" s="593" t="str">
        <f>IF($E851="",IFERROR(VLOOKUP($D851,SERVIÇOS!$C:$H,3,0),IFERROR(VLOOKUP($D851,$F:$M,3,0),"")),IFERROR(VLOOKUP($E851,INSUMOS!$B:$E,3,0),IFERROR(VLOOKUP($E851,COTAÇÕES!$C:$L,5,0),"")))</f>
        <v>H</v>
      </c>
      <c r="I851" s="614">
        <v>2.4500000000000002</v>
      </c>
      <c r="J851" s="670">
        <f>IF($E851="",IFERROR(VLOOKUP($D851,SERVIÇOS!$C:$H,6,0),IFERROR(VLOOKUP($D851,$F:$M,8,0),"")),IFERROR(VLOOKUP($E851,INSUMOS!$B:$E,4,0),IFERROR(VLOOKUP($E851,COTAÇÕES!$C:$L,10,0),"")))</f>
        <v>23.71</v>
      </c>
      <c r="K851" s="615">
        <f>TRUNC(IF($E851="",IFERROR(VLOOKUP($D851,SERVIÇOS!$C:$H,4,0),IFERROR(VLOOKUP($D851,$F:$M,6,0),)),IFERROR(VLOOKUP($E851,INSUMOS!$B:$E,4,0),IFERROR(VLOOKUP($E851,COTAÇÕES!$C:$L,10,0),)))*$I851,2)</f>
        <v>15.97</v>
      </c>
      <c r="L851" s="616">
        <f>TRUNC(IF($E851="",IFERROR(VLOOKUP($D851,SERVIÇOS!$C:$H,5,0),IFERROR(VLOOKUP($D851,$F:$M,7,0),)),0)*$I851,2)</f>
        <v>42.11</v>
      </c>
      <c r="M851" s="617">
        <f>K851+L851</f>
        <v>58.08</v>
      </c>
      <c r="N851" s="753" t="str">
        <f>IF($D851&lt;&gt;"","SERVIÇO SINAPI",IF($E851&lt;&gt;"","INSUMO SINAPI",""))</f>
        <v>SERVIÇO SINAPI</v>
      </c>
      <c r="O851" s="647"/>
    </row>
    <row r="852" spans="1:15" ht="25.5">
      <c r="B852" s="122">
        <f t="shared" si="388"/>
        <v>6.68</v>
      </c>
      <c r="C852" s="611" t="str">
        <f>IF(D852&lt;&gt;"","C",IF(E852&lt;&gt;"","I",""))</f>
        <v>C</v>
      </c>
      <c r="D852" s="667">
        <v>90586</v>
      </c>
      <c r="E852" s="661"/>
      <c r="F852" s="628"/>
      <c r="G852" s="613" t="str">
        <f>IF($E852="",IFERROR(VLOOKUP($D852,SERVIÇOS!$C:$H,2,0),IFERROR(VLOOKUP($D852,$F:$M,2,0),"")),IFERROR(VLOOKUP($E852,INSUMOS!$B:$E,2,0),IFERROR(VLOOKUP($E852,COTAÇÕES!$C:$L,2,0),"")))</f>
        <v>VIBRADOR DE IMERSÃO, DIÂMETRO DE PONTEIRA 45MM, MOTOR ELÉTRICO TRIFÁSICO POTÊNCIA DE 2 CV - CHP DIURNO. AF_06/2015</v>
      </c>
      <c r="H852" s="593" t="str">
        <f>IF($E852="",IFERROR(VLOOKUP($D852,SERVIÇOS!$C:$H,3,0),IFERROR(VLOOKUP($D852,$F:$M,3,0),"")),IFERROR(VLOOKUP($E852,INSUMOS!$B:$E,3,0),IFERROR(VLOOKUP($E852,COTAÇÕES!$C:$L,5,0),"")))</f>
        <v>CHP</v>
      </c>
      <c r="I852" s="614">
        <v>0.314</v>
      </c>
      <c r="J852" s="670">
        <f>IF($E852="",IFERROR(VLOOKUP($D852,SERVIÇOS!$C:$H,6,0),IFERROR(VLOOKUP($D852,$F:$M,8,0),"")),IFERROR(VLOOKUP($E852,INSUMOS!$B:$E,4,0),IFERROR(VLOOKUP($E852,COTAÇÕES!$C:$L,10,0),"")))</f>
        <v>1.38</v>
      </c>
      <c r="K852" s="615">
        <f>TRUNC(IF($E852="",IFERROR(VLOOKUP($D852,SERVIÇOS!$C:$H,4,0),IFERROR(VLOOKUP($D852,$F:$M,6,0),)),IFERROR(VLOOKUP($E852,INSUMOS!$B:$E,4,0),IFERROR(VLOOKUP($E852,COTAÇÕES!$C:$L,10,0),)))*$I852,2)</f>
        <v>0.43</v>
      </c>
      <c r="L852" s="616">
        <f>TRUNC(IF($E852="",IFERROR(VLOOKUP($D852,SERVIÇOS!$C:$H,5,0),IFERROR(VLOOKUP($D852,$F:$M,7,0),)),0)*$I852,2)</f>
        <v>0</v>
      </c>
      <c r="M852" s="617">
        <f>K852+L852</f>
        <v>0.43</v>
      </c>
      <c r="N852" s="753" t="str">
        <f>IF($D852&lt;&gt;"","SERVIÇO SINAPI",IF($E852&lt;&gt;"","INSUMO SINAPI",""))</f>
        <v>SERVIÇO SINAPI</v>
      </c>
      <c r="O852" s="647"/>
    </row>
    <row r="853" spans="1:15" ht="25.5">
      <c r="B853" s="122">
        <f t="shared" si="388"/>
        <v>6.68</v>
      </c>
      <c r="C853" s="611" t="str">
        <f>IF(D853&lt;&gt;"","C",IF(E853&lt;&gt;"","I",""))</f>
        <v>C</v>
      </c>
      <c r="D853" s="667">
        <v>90587</v>
      </c>
      <c r="E853" s="661"/>
      <c r="F853" s="628"/>
      <c r="G853" s="613" t="str">
        <f>IF($E853="",IFERROR(VLOOKUP($D853,SERVIÇOS!$C:$H,2,0),IFERROR(VLOOKUP($D853,$F:$M,2,0),"")),IFERROR(VLOOKUP($E853,INSUMOS!$B:$E,2,0),IFERROR(VLOOKUP($E853,COTAÇÕES!$C:$L,2,0),"")))</f>
        <v>VIBRADOR DE IMERSÃO, DIÂMETRO DE PONTEIRA 45MM, MOTOR ELÉTRICO TRIFÁSICO POTÊNCIA DE 2 CV - CHI DIURNO. AF_06/2015</v>
      </c>
      <c r="H853" s="593" t="str">
        <f>IF($E853="",IFERROR(VLOOKUP($D853,SERVIÇOS!$C:$H,3,0),IFERROR(VLOOKUP($D853,$F:$M,3,0),"")),IFERROR(VLOOKUP($E853,INSUMOS!$B:$E,3,0),IFERROR(VLOOKUP($E853,COTAÇÕES!$C:$L,5,0),"")))</f>
        <v>CHI</v>
      </c>
      <c r="I853" s="614">
        <v>0.91100000000000003</v>
      </c>
      <c r="J853" s="670">
        <f>IF($E853="",IFERROR(VLOOKUP($D853,SERVIÇOS!$C:$H,6,0),IFERROR(VLOOKUP($D853,$F:$M,8,0),"")),IFERROR(VLOOKUP($E853,INSUMOS!$B:$E,4,0),IFERROR(VLOOKUP($E853,COTAÇÕES!$C:$L,10,0),"")))</f>
        <v>0.56000000000000005</v>
      </c>
      <c r="K853" s="615">
        <f>TRUNC(IF($E853="",IFERROR(VLOOKUP($D853,SERVIÇOS!$C:$H,4,0),IFERROR(VLOOKUP($D853,$F:$M,6,0),)),IFERROR(VLOOKUP($E853,INSUMOS!$B:$E,4,0),IFERROR(VLOOKUP($E853,COTAÇÕES!$C:$L,10,0),)))*$I853,2)</f>
        <v>0.51</v>
      </c>
      <c r="L853" s="616">
        <f>TRUNC(IF($E853="",IFERROR(VLOOKUP($D853,SERVIÇOS!$C:$H,5,0),IFERROR(VLOOKUP($D853,$F:$M,7,0),)),0)*$I853,2)</f>
        <v>0</v>
      </c>
      <c r="M853" s="617">
        <f>K853+L853</f>
        <v>0.51</v>
      </c>
      <c r="N853" s="753" t="str">
        <f>IF($D853&lt;&gt;"","SERVIÇO SINAPI",IF($E853&lt;&gt;"","INSUMO SINAPI",""))</f>
        <v>SERVIÇO SINAPI</v>
      </c>
      <c r="O853" s="647"/>
    </row>
    <row r="854" spans="1:15" ht="25.5">
      <c r="B854" s="122">
        <f t="shared" si="388"/>
        <v>6.68</v>
      </c>
      <c r="C854" s="611" t="str">
        <f>IF(D854&lt;&gt;"","C",IF(E854&lt;&gt;"","I",""))</f>
        <v>C</v>
      </c>
      <c r="D854" s="667">
        <v>94971</v>
      </c>
      <c r="E854" s="661"/>
      <c r="F854" s="628"/>
      <c r="G854" s="613" t="str">
        <f>IF($E854="",IFERROR(VLOOKUP($D854,SERVIÇOS!$C:$H,2,0),IFERROR(VLOOKUP($D854,$F:$M,2,0),"")),IFERROR(VLOOKUP($E854,INSUMOS!$B:$E,2,0),IFERROR(VLOOKUP($E854,COTAÇÕES!$C:$L,2,0),"")))</f>
        <v>CONCRETO FCK = 25MPA, TRAÇO 1:2,3:2,7 (EM MASSA SECA DE CIMENTO/ AREIA MÉDIA/ BRITA 1) - PREPARO MECÂNICO COM BETONEIRA 600 L. AF_05/2021</v>
      </c>
      <c r="H854" s="593" t="str">
        <f>IF($E854="",IFERROR(VLOOKUP($D854,SERVIÇOS!$C:$H,3,0),IFERROR(VLOOKUP($D854,$F:$M,3,0),"")),IFERROR(VLOOKUP($E854,INSUMOS!$B:$E,3,0),IFERROR(VLOOKUP($E854,COTAÇÕES!$C:$L,5,0),"")))</f>
        <v>M3</v>
      </c>
      <c r="I854" s="614">
        <v>1.1499999999999999</v>
      </c>
      <c r="J854" s="670">
        <f>IF($E854="",IFERROR(VLOOKUP($D854,SERVIÇOS!$C:$H,6,0),IFERROR(VLOOKUP($D854,$F:$M,8,0),"")),IFERROR(VLOOKUP($E854,INSUMOS!$B:$E,4,0),IFERROR(VLOOKUP($E854,COTAÇÕES!$C:$L,10,0),"")))</f>
        <v>416.96</v>
      </c>
      <c r="K854" s="615">
        <f>TRUNC(IF($E854="",IFERROR(VLOOKUP($D854,SERVIÇOS!$C:$H,4,0),IFERROR(VLOOKUP($D854,$F:$M,6,0),)),IFERROR(VLOOKUP($E854,INSUMOS!$B:$E,4,0),IFERROR(VLOOKUP($E854,COTAÇÕES!$C:$L,10,0),)))*$I854,2)</f>
        <v>415.15</v>
      </c>
      <c r="L854" s="616">
        <f>TRUNC(IF($E854="",IFERROR(VLOOKUP($D854,SERVIÇOS!$C:$H,5,0),IFERROR(VLOOKUP($D854,$F:$M,7,0),)),0)*$I854,2)</f>
        <v>64.349999999999994</v>
      </c>
      <c r="M854" s="617">
        <f>K854+L854</f>
        <v>479.5</v>
      </c>
      <c r="N854" s="753" t="str">
        <f>IF($D854&lt;&gt;"","SERVIÇO SINAPI",IF($E854&lt;&gt;"","INSUMO SINAPI",""))</f>
        <v>SERVIÇO SINAPI</v>
      </c>
      <c r="O854" s="647"/>
    </row>
    <row r="855" spans="1:15" ht="25.5">
      <c r="B855" s="769">
        <f>SUMIF(ORC!$G$11:$G$2470,CPU!$F855,ORC!$J$11:$J$2470)</f>
        <v>51</v>
      </c>
      <c r="C855" s="515" t="s">
        <v>2239</v>
      </c>
      <c r="D855" s="515"/>
      <c r="E855" s="515"/>
      <c r="F855" s="515" t="s">
        <v>14580</v>
      </c>
      <c r="G855" s="594" t="s">
        <v>14582</v>
      </c>
      <c r="H855" s="515" t="s">
        <v>648</v>
      </c>
      <c r="I855" s="595"/>
      <c r="J855" s="596"/>
      <c r="K855" s="597">
        <f>SUM(K856:K858)</f>
        <v>34.07</v>
      </c>
      <c r="L855" s="597">
        <f>SUM(L856:L858)</f>
        <v>40.549999999999997</v>
      </c>
      <c r="M855" s="597">
        <f>SUM(K855:L855)</f>
        <v>74.62</v>
      </c>
      <c r="N855" s="598" t="s">
        <v>14581</v>
      </c>
      <c r="O855" s="646"/>
    </row>
    <row r="856" spans="1:15" ht="25.5">
      <c r="B856" s="122">
        <f t="shared" ref="B856:B858" si="389">B855</f>
        <v>51</v>
      </c>
      <c r="C856" s="611" t="str">
        <f t="shared" ref="C856:C858" si="390">IF(D856&lt;&gt;"","C",IF(E856&lt;&gt;"","I",""))</f>
        <v>C</v>
      </c>
      <c r="D856" s="660">
        <v>94965</v>
      </c>
      <c r="E856" s="661"/>
      <c r="F856" s="612"/>
      <c r="G856" s="613" t="str">
        <f>IF($E856="",IFERROR(VLOOKUP($D856,SERVIÇOS!$C:$H,2,0),IFERROR(VLOOKUP($D856,$F:$M,2,0),"")),IFERROR(VLOOKUP($E856,INSUMOS!$B:$E,2,0),IFERROR(VLOOKUP($E856,COTAÇÕES!$C:$L,2,0),"")))</f>
        <v>CONCRETO FCK = 25MPA, TRAÇO 1:2,3:2,7 (EM MASSA SECA DE CIMENTO/ AREIA MÉDIA/ BRITA 1) - PREPARO MECÂNICO COM BETONEIRA 400 L. AF_05/2021</v>
      </c>
      <c r="H856" s="593" t="str">
        <f>IF($E856="",IFERROR(VLOOKUP($D856,SERVIÇOS!$C:$H,3,0),IFERROR(VLOOKUP($D856,$F:$M,3,0),"")),IFERROR(VLOOKUP($E856,INSUMOS!$B:$E,3,0),IFERROR(VLOOKUP($E856,COTAÇÕES!$C:$L,5,0),"")))</f>
        <v>M3</v>
      </c>
      <c r="I856" s="614">
        <v>6.2E-2</v>
      </c>
      <c r="J856" s="670">
        <f>IF($E856="",IFERROR(VLOOKUP($D856,SERVIÇOS!$C:$H,6,0),IFERROR(VLOOKUP($D856,$F:$M,8,0),"")),IFERROR(VLOOKUP($E856,INSUMOS!$B:$E,4,0),IFERROR(VLOOKUP($E856,COTAÇÕES!$C:$L,10,0),"")))</f>
        <v>425.25</v>
      </c>
      <c r="K856" s="615">
        <f>TRUNC(IF($E856="",IFERROR(VLOOKUP($D856,SERVIÇOS!$C:$H,4,0),IFERROR(VLOOKUP($D856,$F:$M,6,0),)),IFERROR(VLOOKUP($E856,INSUMOS!$B:$E,4,0),IFERROR(VLOOKUP($E856,COTAÇÕES!$C:$L,10,0),)))*$I856,2)</f>
        <v>22.3</v>
      </c>
      <c r="L856" s="616">
        <f>TRUNC(IF($E856="",IFERROR(VLOOKUP($D856,SERVIÇOS!$C:$H,5,0),IFERROR(VLOOKUP($D856,$F:$M,7,0),)),0)*$I856,2)</f>
        <v>4.05</v>
      </c>
      <c r="M856" s="617">
        <f t="shared" ref="M856:M858" si="391">K856+L856</f>
        <v>26.35</v>
      </c>
      <c r="N856" s="753" t="str">
        <f t="shared" ref="N856:N858" si="392">IF($D856&lt;&gt;"","SERVIÇO SINAPI",IF($E856&lt;&gt;"","INSUMO SINAPI",""))</f>
        <v>SERVIÇO SINAPI</v>
      </c>
      <c r="O856" s="647"/>
    </row>
    <row r="857" spans="1:15">
      <c r="B857" s="122">
        <f t="shared" si="389"/>
        <v>51</v>
      </c>
      <c r="C857" s="611" t="str">
        <f t="shared" si="390"/>
        <v>C</v>
      </c>
      <c r="D857" s="660">
        <v>88309</v>
      </c>
      <c r="E857" s="661"/>
      <c r="F857" s="612"/>
      <c r="G857" s="613" t="str">
        <f>IF($E857="",IFERROR(VLOOKUP($D857,SERVIÇOS!$C:$H,2,0),IFERROR(VLOOKUP($D857,$F:$M,2,0),"")),IFERROR(VLOOKUP($E857,INSUMOS!$B:$E,2,0),IFERROR(VLOOKUP($E857,COTAÇÕES!$C:$L,2,0),"")))</f>
        <v>PEDREIRO COM ENCARGOS COMPLEMENTARES</v>
      </c>
      <c r="H857" s="593" t="str">
        <f>IF($E857="",IFERROR(VLOOKUP($D857,SERVIÇOS!$C:$H,3,0),IFERROR(VLOOKUP($D857,$F:$M,3,0),"")),IFERROR(VLOOKUP($E857,INSUMOS!$B:$E,3,0),IFERROR(VLOOKUP($E857,COTAÇÕES!$C:$L,5,0),"")))</f>
        <v>H</v>
      </c>
      <c r="I857" s="614">
        <v>0.79500000000000004</v>
      </c>
      <c r="J857" s="670">
        <f>IF($E857="",IFERROR(VLOOKUP($D857,SERVIÇOS!$C:$H,6,0),IFERROR(VLOOKUP($D857,$F:$M,8,0),"")),IFERROR(VLOOKUP($E857,INSUMOS!$B:$E,4,0),IFERROR(VLOOKUP($E857,COTAÇÕES!$C:$L,10,0),"")))</f>
        <v>30.99</v>
      </c>
      <c r="K857" s="615">
        <f>TRUNC(IF($E857="",IFERROR(VLOOKUP($D857,SERVIÇOS!$C:$H,4,0),IFERROR(VLOOKUP($D857,$F:$M,6,0),)),IFERROR(VLOOKUP($E857,INSUMOS!$B:$E,4,0),IFERROR(VLOOKUP($E857,COTAÇÕES!$C:$L,10,0),)))*$I857,2)</f>
        <v>5.27</v>
      </c>
      <c r="L857" s="616">
        <f>TRUNC(IF($E857="",IFERROR(VLOOKUP($D857,SERVIÇOS!$C:$H,5,0),IFERROR(VLOOKUP($D857,$F:$M,7,0),)),0)*$I857,2)</f>
        <v>19.350000000000001</v>
      </c>
      <c r="M857" s="617">
        <f t="shared" si="391"/>
        <v>24.62</v>
      </c>
      <c r="N857" s="753" t="str">
        <f t="shared" si="392"/>
        <v>SERVIÇO SINAPI</v>
      </c>
      <c r="O857" s="647"/>
    </row>
    <row r="858" spans="1:15">
      <c r="B858" s="122">
        <f t="shared" si="389"/>
        <v>51</v>
      </c>
      <c r="C858" s="611" t="str">
        <f t="shared" si="390"/>
        <v>C</v>
      </c>
      <c r="D858" s="660">
        <v>88316</v>
      </c>
      <c r="E858" s="661"/>
      <c r="F858" s="612"/>
      <c r="G858" s="613" t="str">
        <f>IF($E858="",IFERROR(VLOOKUP($D858,SERVIÇOS!$C:$H,2,0),IFERROR(VLOOKUP($D858,$F:$M,2,0),"")),IFERROR(VLOOKUP($E858,INSUMOS!$B:$E,2,0),IFERROR(VLOOKUP($E858,COTAÇÕES!$C:$L,2,0),"")))</f>
        <v>SERVENTE COM ENCARGOS COMPLEMENTARES</v>
      </c>
      <c r="H858" s="593" t="str">
        <f>IF($E858="",IFERROR(VLOOKUP($D858,SERVIÇOS!$C:$H,3,0),IFERROR(VLOOKUP($D858,$F:$M,3,0),"")),IFERROR(VLOOKUP($E858,INSUMOS!$B:$E,3,0),IFERROR(VLOOKUP($E858,COTAÇÕES!$C:$L,5,0),"")))</f>
        <v>H</v>
      </c>
      <c r="I858" s="614">
        <v>0.998</v>
      </c>
      <c r="J858" s="670">
        <f>IF($E858="",IFERROR(VLOOKUP($D858,SERVIÇOS!$C:$H,6,0),IFERROR(VLOOKUP($D858,$F:$M,8,0),"")),IFERROR(VLOOKUP($E858,INSUMOS!$B:$E,4,0),IFERROR(VLOOKUP($E858,COTAÇÕES!$C:$L,10,0),"")))</f>
        <v>23.71</v>
      </c>
      <c r="K858" s="615">
        <f>TRUNC(IF($E858="",IFERROR(VLOOKUP($D858,SERVIÇOS!$C:$H,4,0),IFERROR(VLOOKUP($D858,$F:$M,6,0),)),IFERROR(VLOOKUP($E858,INSUMOS!$B:$E,4,0),IFERROR(VLOOKUP($E858,COTAÇÕES!$C:$L,10,0),)))*$I858,2)</f>
        <v>6.5</v>
      </c>
      <c r="L858" s="616">
        <f>TRUNC(IF($E858="",IFERROR(VLOOKUP($D858,SERVIÇOS!$C:$H,5,0),IFERROR(VLOOKUP($D858,$F:$M,7,0),)),0)*$I858,2)</f>
        <v>17.149999999999999</v>
      </c>
      <c r="M858" s="617">
        <f t="shared" si="391"/>
        <v>23.65</v>
      </c>
      <c r="N858" s="753" t="str">
        <f t="shared" si="392"/>
        <v>SERVIÇO SINAPI</v>
      </c>
      <c r="O858" s="647"/>
    </row>
    <row r="859" spans="1:15" s="893" customFormat="1">
      <c r="A859" s="893" t="s">
        <v>7482</v>
      </c>
      <c r="C859" s="607"/>
      <c r="D859" s="607"/>
      <c r="E859" s="607"/>
      <c r="F859" s="607"/>
      <c r="G859" s="609" t="s">
        <v>2872</v>
      </c>
      <c r="H859" s="607"/>
      <c r="I859" s="607"/>
      <c r="J859" s="607"/>
      <c r="K859" s="607"/>
      <c r="L859" s="607"/>
      <c r="M859" s="607"/>
      <c r="N859" s="756"/>
      <c r="O859" s="607"/>
    </row>
    <row r="860" spans="1:15" ht="38.25">
      <c r="B860" s="769">
        <f>SUMIF(ORC!$G$11:$G$2470,CPU!$F860,ORC!$J$11:$J$2470)</f>
        <v>1</v>
      </c>
      <c r="C860" s="515"/>
      <c r="D860" s="515"/>
      <c r="E860" s="515"/>
      <c r="F860" s="515" t="s">
        <v>6870</v>
      </c>
      <c r="G860" s="594" t="s">
        <v>8685</v>
      </c>
      <c r="H860" s="515" t="s">
        <v>646</v>
      </c>
      <c r="I860" s="595"/>
      <c r="J860" s="596"/>
      <c r="K860" s="597">
        <f>SUM(K861:K862)</f>
        <v>1333.16</v>
      </c>
      <c r="L860" s="597">
        <f>SUM(L861:L862)</f>
        <v>152.18</v>
      </c>
      <c r="M860" s="597">
        <f>SUM(K860:L860)</f>
        <v>1485.3400000000001</v>
      </c>
      <c r="N860" s="598" t="s">
        <v>8684</v>
      </c>
      <c r="O860" s="610" t="s">
        <v>6862</v>
      </c>
    </row>
    <row r="861" spans="1:15">
      <c r="B861" s="122">
        <f t="shared" ref="B861:B862" si="393">B860</f>
        <v>1</v>
      </c>
      <c r="C861" s="611" t="str">
        <f>IF(D861&lt;&gt;"","C",IF(E861&lt;&gt;"","I",""))</f>
        <v>I</v>
      </c>
      <c r="D861" s="665"/>
      <c r="E861" s="664" t="s">
        <v>9106</v>
      </c>
      <c r="F861" s="626"/>
      <c r="G861" s="613" t="str">
        <f>IF($E861="",IFERROR(VLOOKUP($D861,SERVIÇOS!$C:$H,2,0),IFERROR(VLOOKUP($D861,$F:$M,2,0),"")),IFERROR(VLOOKUP($E861,INSUMOS!$B:$E,2,0),IFERROR(VLOOKUP($E861,COTAÇÕES!$C:$L,2,0),"")))</f>
        <v>LETRAS CAIXA EM AÇO INOX, ALTURA 30CM</v>
      </c>
      <c r="H861" s="593" t="str">
        <f>IF($E861="",IFERROR(VLOOKUP($D861,SERVIÇOS!$C:$H,3,0),IFERROR(VLOOKUP($D861,$F:$M,3,0),"")),IFERROR(VLOOKUP($E861,INSUMOS!$B:$E,3,0),IFERROR(VLOOKUP($E861,COTAÇÕES!$C:$L,5,0),"")))</f>
        <v xml:space="preserve">UN </v>
      </c>
      <c r="I861" s="614">
        <v>25</v>
      </c>
      <c r="J861" s="670">
        <f>IF($E861="",IFERROR(VLOOKUP($D861,SERVIÇOS!$C:$H,6,0),IFERROR(VLOOKUP($D861,$F:$M,8,0),"")),IFERROR(VLOOKUP($E861,INSUMOS!$B:$E,4,0),IFERROR(VLOOKUP($E861,COTAÇÕES!$C:$L,10,0),"")))</f>
        <v>51.666666666666664</v>
      </c>
      <c r="K861" s="615">
        <f>TRUNC(IF($E861="",IFERROR(VLOOKUP($D861,SERVIÇOS!$C:$H,4,0),IFERROR(VLOOKUP($D861,$F:$M,6,0),)),IFERROR(VLOOKUP($E861,INSUMOS!$B:$E,4,0),IFERROR(VLOOKUP($E861,COTAÇÕES!$C:$L,10,0),)))*$I861,2)</f>
        <v>1291.6600000000001</v>
      </c>
      <c r="L861" s="616">
        <f>TRUNC(IF($E861="",IFERROR(VLOOKUP($D861,SERVIÇOS!$C:$H,5,0),IFERROR(VLOOKUP($D861,$F:$M,7,0),)),0)*$I861,2)</f>
        <v>0</v>
      </c>
      <c r="M861" s="617">
        <f>K861+L861</f>
        <v>1291.6600000000001</v>
      </c>
      <c r="N861" s="753" t="s">
        <v>6845</v>
      </c>
      <c r="O861" s="645"/>
    </row>
    <row r="862" spans="1:15">
      <c r="B862" s="122">
        <f t="shared" si="393"/>
        <v>1</v>
      </c>
      <c r="C862" s="611" t="str">
        <f>IF(D862&lt;&gt;"","C",IF(E862&lt;&gt;"","I",""))</f>
        <v>C</v>
      </c>
      <c r="D862" s="665">
        <v>88309</v>
      </c>
      <c r="E862" s="664"/>
      <c r="F862" s="626"/>
      <c r="G862" s="613" t="str">
        <f>IF($E862="",IFERROR(VLOOKUP($D862,SERVIÇOS!$C:$H,2,0),IFERROR(VLOOKUP($D862,$F:$M,2,0),"")),IFERROR(VLOOKUP($E862,INSUMOS!$B:$E,2,0),IFERROR(VLOOKUP($E862,COTAÇÕES!$C:$L,2,0),"")))</f>
        <v>PEDREIRO COM ENCARGOS COMPLEMENTARES</v>
      </c>
      <c r="H862" s="593" t="str">
        <f>IF($E862="",IFERROR(VLOOKUP($D862,SERVIÇOS!$C:$H,3,0),IFERROR(VLOOKUP($D862,$F:$M,3,0),"")),IFERROR(VLOOKUP($E862,INSUMOS!$B:$E,3,0),IFERROR(VLOOKUP($E862,COTAÇÕES!$C:$L,5,0),"")))</f>
        <v>H</v>
      </c>
      <c r="I862" s="614">
        <f>0.25*I861</f>
        <v>6.25</v>
      </c>
      <c r="J862" s="670">
        <f>IF($E862="",IFERROR(VLOOKUP($D862,SERVIÇOS!$C:$H,6,0),IFERROR(VLOOKUP($D862,$F:$M,8,0),"")),IFERROR(VLOOKUP($E862,INSUMOS!$B:$E,4,0),IFERROR(VLOOKUP($E862,COTAÇÕES!$C:$L,10,0),"")))</f>
        <v>30.99</v>
      </c>
      <c r="K862" s="615">
        <f>TRUNC(IF($E862="",IFERROR(VLOOKUP($D862,SERVIÇOS!$C:$H,4,0),IFERROR(VLOOKUP($D862,$F:$M,6,0),)),IFERROR(VLOOKUP($E862,INSUMOS!$B:$E,4,0),IFERROR(VLOOKUP($E862,COTAÇÕES!$C:$L,10,0),)))*$I862,2)</f>
        <v>41.5</v>
      </c>
      <c r="L862" s="616">
        <f>TRUNC(IF($E862="",IFERROR(VLOOKUP($D862,SERVIÇOS!$C:$H,5,0),IFERROR(VLOOKUP($D862,$F:$M,7,0),)),0)*$I862,2)</f>
        <v>152.18</v>
      </c>
      <c r="M862" s="617">
        <f>K862+L862</f>
        <v>193.68</v>
      </c>
      <c r="N862" s="753" t="str">
        <f>IF($D862&lt;&gt;"","SERVIÇO SINAPI",IF($E862&lt;&gt;"","INSUMO SINAPI",""))</f>
        <v>SERVIÇO SINAPI</v>
      </c>
      <c r="O862" s="645"/>
    </row>
    <row r="863" spans="1:15" ht="38.25">
      <c r="B863" s="769">
        <f>SUMIF(ORC!$G$11:$G$2470,CPU!$F863,ORC!$J$11:$J$2470)</f>
        <v>1</v>
      </c>
      <c r="C863" s="515"/>
      <c r="D863" s="515"/>
      <c r="E863" s="515"/>
      <c r="F863" s="515" t="s">
        <v>6872</v>
      </c>
      <c r="G863" s="594" t="s">
        <v>8686</v>
      </c>
      <c r="H863" s="515" t="s">
        <v>646</v>
      </c>
      <c r="I863" s="595"/>
      <c r="J863" s="596"/>
      <c r="K863" s="597">
        <f>SUM(K864:K866)</f>
        <v>1229.75</v>
      </c>
      <c r="L863" s="597">
        <f>SUM(L864:L866)</f>
        <v>225.23</v>
      </c>
      <c r="M863" s="597">
        <f>SUM(K863:L863)</f>
        <v>1454.98</v>
      </c>
      <c r="N863" s="598" t="s">
        <v>8684</v>
      </c>
      <c r="O863" s="610" t="s">
        <v>6862</v>
      </c>
    </row>
    <row r="864" spans="1:15">
      <c r="B864" s="122">
        <f t="shared" ref="B864:B866" si="394">B863</f>
        <v>1</v>
      </c>
      <c r="C864" s="611" t="str">
        <f>IF(D864&lt;&gt;"","C",IF(E864&lt;&gt;"","I",""))</f>
        <v>I</v>
      </c>
      <c r="D864" s="665"/>
      <c r="E864" s="664" t="s">
        <v>9107</v>
      </c>
      <c r="F864" s="626"/>
      <c r="G864" s="613" t="str">
        <f>IF($E864="",IFERROR(VLOOKUP($D864,SERVIÇOS!$C:$H,2,0),IFERROR(VLOOKUP($D864,$F:$M,2,0),"")),IFERROR(VLOOKUP($E864,INSUMOS!$B:$E,2,0),IFERROR(VLOOKUP($E864,COTAÇÕES!$C:$L,2,0),"")))</f>
        <v>LETRAS CAIXA EM AÇO INOX, ALTURA 12CM</v>
      </c>
      <c r="H864" s="593" t="str">
        <f>IF($E864="",IFERROR(VLOOKUP($D864,SERVIÇOS!$C:$H,3,0),IFERROR(VLOOKUP($D864,$F:$M,3,0),"")),IFERROR(VLOOKUP($E864,INSUMOS!$B:$E,3,0),IFERROR(VLOOKUP($E864,COTAÇÕES!$C:$L,5,0),"")))</f>
        <v xml:space="preserve">UN </v>
      </c>
      <c r="I864" s="614">
        <v>25</v>
      </c>
      <c r="J864" s="670">
        <f>IF($E864="",IFERROR(VLOOKUP($D864,SERVIÇOS!$C:$H,6,0),IFERROR(VLOOKUP($D864,$F:$M,8,0),"")),IFERROR(VLOOKUP($E864,INSUMOS!$B:$E,4,0),IFERROR(VLOOKUP($E864,COTAÇÕES!$C:$L,10,0),"")))</f>
        <v>26.333333333333332</v>
      </c>
      <c r="K864" s="615">
        <f>TRUNC(IF($E864="",IFERROR(VLOOKUP($D864,SERVIÇOS!$C:$H,4,0),IFERROR(VLOOKUP($D864,$F:$M,6,0),)),IFERROR(VLOOKUP($E864,INSUMOS!$B:$E,4,0),IFERROR(VLOOKUP($E864,COTAÇÕES!$C:$L,10,0),)))*$I864,2)</f>
        <v>658.33</v>
      </c>
      <c r="L864" s="616">
        <f>TRUNC(IF($E864="",IFERROR(VLOOKUP($D864,SERVIÇOS!$C:$H,5,0),IFERROR(VLOOKUP($D864,$F:$M,7,0),)),0)*$I864,2)</f>
        <v>0</v>
      </c>
      <c r="M864" s="617">
        <f>K864+L864</f>
        <v>658.33</v>
      </c>
      <c r="N864" s="753" t="s">
        <v>6845</v>
      </c>
      <c r="O864" s="645"/>
    </row>
    <row r="865" spans="2:15">
      <c r="B865" s="122">
        <f t="shared" si="394"/>
        <v>1</v>
      </c>
      <c r="C865" s="611" t="str">
        <f>IF(D865&lt;&gt;"","C",IF(E865&lt;&gt;"","I",""))</f>
        <v>I</v>
      </c>
      <c r="D865" s="665"/>
      <c r="E865" s="664" t="s">
        <v>9108</v>
      </c>
      <c r="F865" s="626"/>
      <c r="G865" s="613" t="str">
        <f>IF($E865="",IFERROR(VLOOKUP($D865,SERVIÇOS!$C:$H,2,0),IFERROR(VLOOKUP($D865,$F:$M,2,0),"")),IFERROR(VLOOKUP($E865,INSUMOS!$B:$E,2,0),IFERROR(VLOOKUP($E865,COTAÇÕES!$C:$L,2,0),"")))</f>
        <v>LETRAS CAIXA EM AÇO INOX, ALTURA 25CM</v>
      </c>
      <c r="H865" s="593" t="str">
        <f>IF($E865="",IFERROR(VLOOKUP($D865,SERVIÇOS!$C:$H,3,0),IFERROR(VLOOKUP($D865,$F:$M,3,0),"")),IFERROR(VLOOKUP($E865,INSUMOS!$B:$E,3,0),IFERROR(VLOOKUP($E865,COTAÇÕES!$C:$L,5,0),"")))</f>
        <v xml:space="preserve">UN </v>
      </c>
      <c r="I865" s="614">
        <v>12</v>
      </c>
      <c r="J865" s="670">
        <f>IF($E865="",IFERROR(VLOOKUP($D865,SERVIÇOS!$C:$H,6,0),IFERROR(VLOOKUP($D865,$F:$M,8,0),"")),IFERROR(VLOOKUP($E865,INSUMOS!$B:$E,4,0),IFERROR(VLOOKUP($E865,COTAÇÕES!$C:$L,10,0),"")))</f>
        <v>42.5</v>
      </c>
      <c r="K865" s="615">
        <f>TRUNC(IF($E865="",IFERROR(VLOOKUP($D865,SERVIÇOS!$C:$H,4,0),IFERROR(VLOOKUP($D865,$F:$M,6,0),)),IFERROR(VLOOKUP($E865,INSUMOS!$B:$E,4,0),IFERROR(VLOOKUP($E865,COTAÇÕES!$C:$L,10,0),)))*$I865,2)</f>
        <v>510</v>
      </c>
      <c r="L865" s="616">
        <f>TRUNC(IF($E865="",IFERROR(VLOOKUP($D865,SERVIÇOS!$C:$H,5,0),IFERROR(VLOOKUP($D865,$F:$M,7,0),)),0)*$I865,2)</f>
        <v>0</v>
      </c>
      <c r="M865" s="617">
        <f>K865+L865</f>
        <v>510</v>
      </c>
      <c r="N865" s="753" t="s">
        <v>6845</v>
      </c>
      <c r="O865" s="645"/>
    </row>
    <row r="866" spans="2:15">
      <c r="B866" s="122">
        <f t="shared" si="394"/>
        <v>1</v>
      </c>
      <c r="C866" s="611" t="str">
        <f>IF(D866&lt;&gt;"","C",IF(E866&lt;&gt;"","I",""))</f>
        <v>C</v>
      </c>
      <c r="D866" s="665">
        <v>88309</v>
      </c>
      <c r="E866" s="664"/>
      <c r="F866" s="626"/>
      <c r="G866" s="613" t="str">
        <f>IF($E866="",IFERROR(VLOOKUP($D866,SERVIÇOS!$C:$H,2,0),IFERROR(VLOOKUP($D866,$F:$M,2,0),"")),IFERROR(VLOOKUP($E866,INSUMOS!$B:$E,2,0),IFERROR(VLOOKUP($E866,COTAÇÕES!$C:$L,2,0),"")))</f>
        <v>PEDREIRO COM ENCARGOS COMPLEMENTARES</v>
      </c>
      <c r="H866" s="593" t="str">
        <f>IF($E866="",IFERROR(VLOOKUP($D866,SERVIÇOS!$C:$H,3,0),IFERROR(VLOOKUP($D866,$F:$M,3,0),"")),IFERROR(VLOOKUP($E866,INSUMOS!$B:$E,3,0),IFERROR(VLOOKUP($E866,COTAÇÕES!$C:$L,5,0),"")))</f>
        <v>H</v>
      </c>
      <c r="I866" s="614">
        <f>0.25*(I865+I864)</f>
        <v>9.25</v>
      </c>
      <c r="J866" s="670">
        <f>IF($E866="",IFERROR(VLOOKUP($D866,SERVIÇOS!$C:$H,6,0),IFERROR(VLOOKUP($D866,$F:$M,8,0),"")),IFERROR(VLOOKUP($E866,INSUMOS!$B:$E,4,0),IFERROR(VLOOKUP($E866,COTAÇÕES!$C:$L,10,0),"")))</f>
        <v>30.99</v>
      </c>
      <c r="K866" s="615">
        <f>TRUNC(IF($E866="",IFERROR(VLOOKUP($D866,SERVIÇOS!$C:$H,4,0),IFERROR(VLOOKUP($D866,$F:$M,6,0),)),IFERROR(VLOOKUP($E866,INSUMOS!$B:$E,4,0),IFERROR(VLOOKUP($E866,COTAÇÕES!$C:$L,10,0),)))*$I866,2)</f>
        <v>61.42</v>
      </c>
      <c r="L866" s="616">
        <f>TRUNC(IF($E866="",IFERROR(VLOOKUP($D866,SERVIÇOS!$C:$H,5,0),IFERROR(VLOOKUP($D866,$F:$M,7,0),)),0)*$I866,2)</f>
        <v>225.23</v>
      </c>
      <c r="M866" s="617">
        <f>K866+L866</f>
        <v>286.64999999999998</v>
      </c>
      <c r="N866" s="753" t="str">
        <f>IF($D866&lt;&gt;"","SERVIÇO SINAPI",IF($E866&lt;&gt;"","INSUMO SINAPI",""))</f>
        <v>SERVIÇO SINAPI</v>
      </c>
      <c r="O866" s="645"/>
    </row>
    <row r="867" spans="2:15" ht="38.25">
      <c r="B867" s="769">
        <f>SUMIF(ORC!$G$11:$G$2470,CPU!$F867,ORC!$J$11:$J$2470)</f>
        <v>30</v>
      </c>
      <c r="C867" s="515"/>
      <c r="D867" s="515"/>
      <c r="E867" s="515"/>
      <c r="F867" s="515" t="s">
        <v>6873</v>
      </c>
      <c r="G867" s="594" t="s">
        <v>8688</v>
      </c>
      <c r="H867" s="515" t="s">
        <v>646</v>
      </c>
      <c r="I867" s="595"/>
      <c r="J867" s="596"/>
      <c r="K867" s="597">
        <f>SUM(K868:K871)</f>
        <v>59.919999999999995</v>
      </c>
      <c r="L867" s="597">
        <f>SUM(L868:L871)</f>
        <v>5.47</v>
      </c>
      <c r="M867" s="597">
        <f>SUM(K867:L867)</f>
        <v>65.39</v>
      </c>
      <c r="N867" s="598" t="s">
        <v>6876</v>
      </c>
      <c r="O867" s="610" t="s">
        <v>6877</v>
      </c>
    </row>
    <row r="868" spans="2:15" ht="38.25">
      <c r="B868" s="122">
        <f t="shared" ref="B868:B871" si="395">B867</f>
        <v>30</v>
      </c>
      <c r="C868" s="611" t="str">
        <f>IF(D868&lt;&gt;"","C",IF(E868&lt;&gt;"","I",""))</f>
        <v>I</v>
      </c>
      <c r="D868" s="665"/>
      <c r="E868" s="895" t="s">
        <v>9109</v>
      </c>
      <c r="F868" s="626"/>
      <c r="G868" s="613" t="str">
        <f>IF($E868="",IFERROR(VLOOKUP($D868,SERVIÇOS!$C:$H,2,0),IFERROR(VLOOKUP($D868,$F:$M,2,0),"")),IFERROR(VLOOKUP($E868,INSUMOS!$B:$E,2,0),IFERROR(VLOOKUP($E868,COTAÇÕES!$C:$L,2,0),"")))</f>
        <v>PLACA DE IDENTIFICAÇÃO DE AMBIENTE EM CHAPA PVC E=1MM,  FIXADO COM FITA DUPLA-FACE, DIMENSÃO 30X15CM, COM APLICAÇÃO DE VINIL ADESIVO TRANSPARENTE, COM TEXTO BRAILLE EM INOX COLADO NO PVC</v>
      </c>
      <c r="H868" s="593" t="str">
        <f>IF($E868="",IFERROR(VLOOKUP($D868,SERVIÇOS!$C:$H,3,0),IFERROR(VLOOKUP($D868,$F:$M,3,0),"")),IFERROR(VLOOKUP($E868,INSUMOS!$B:$E,3,0),IFERROR(VLOOKUP($E868,COTAÇÕES!$C:$L,5,0),"")))</f>
        <v>UN</v>
      </c>
      <c r="I868" s="614">
        <v>1</v>
      </c>
      <c r="J868" s="670">
        <f>IF($E868="",IFERROR(VLOOKUP($D868,SERVIÇOS!$C:$H,6,0),IFERROR(VLOOKUP($D868,$F:$M,8,0),"")),IFERROR(VLOOKUP($E868,INSUMOS!$B:$E,4,0),IFERROR(VLOOKUP($E868,COTAÇÕES!$C:$L,10,0),"")))</f>
        <v>56.512833333333333</v>
      </c>
      <c r="K868" s="615">
        <f>TRUNC(IF($E868="",IFERROR(VLOOKUP($D868,SERVIÇOS!$C:$H,4,0),IFERROR(VLOOKUP($D868,$F:$M,6,0),)),IFERROR(VLOOKUP($E868,INSUMOS!$B:$E,4,0),IFERROR(VLOOKUP($E868,COTAÇÕES!$C:$L,10,0),)))*$I868,2)</f>
        <v>56.51</v>
      </c>
      <c r="L868" s="616">
        <f>TRUNC(IF($E868="",IFERROR(VLOOKUP($D868,SERVIÇOS!$C:$H,5,0),IFERROR(VLOOKUP($D868,$F:$M,7,0),)),0)*$I868,2)</f>
        <v>0</v>
      </c>
      <c r="M868" s="617">
        <f>K868+L868</f>
        <v>56.51</v>
      </c>
      <c r="N868" s="753" t="s">
        <v>6845</v>
      </c>
      <c r="O868" s="645"/>
    </row>
    <row r="869" spans="2:15">
      <c r="B869" s="122">
        <f t="shared" si="395"/>
        <v>30</v>
      </c>
      <c r="C869" s="611" t="str">
        <f>IF(D869&lt;&gt;"","C",IF(E869&lt;&gt;"","I",""))</f>
        <v>I</v>
      </c>
      <c r="D869" s="665"/>
      <c r="E869" s="664" t="s">
        <v>9110</v>
      </c>
      <c r="F869" s="626"/>
      <c r="G869" s="613" t="str">
        <f>IF($E869="",IFERROR(VLOOKUP($D869,SERVIÇOS!$C:$H,2,0),IFERROR(VLOOKUP($D869,$F:$M,2,0),"")),IFERROR(VLOOKUP($E869,INSUMOS!$B:$E,2,0),IFERROR(VLOOKUP($E869,COTAÇÕES!$C:$L,2,0),"")))</f>
        <v>FITA 3M DUPLA FACE VHB 4910 19mmx20m</v>
      </c>
      <c r="H869" s="593" t="str">
        <f>IF($E869="",IFERROR(VLOOKUP($D869,SERVIÇOS!$C:$H,3,0),IFERROR(VLOOKUP($D869,$F:$M,3,0),"")),IFERROR(VLOOKUP($E869,INSUMOS!$B:$E,3,0),IFERROR(VLOOKUP($E869,COTAÇÕES!$C:$L,5,0),"")))</f>
        <v>UN</v>
      </c>
      <c r="I869" s="614">
        <f>(0.25+0.25)/20</f>
        <v>2.5000000000000001E-2</v>
      </c>
      <c r="J869" s="670">
        <f>IF($E869="",IFERROR(VLOOKUP($D869,SERVIÇOS!$C:$H,6,0),IFERROR(VLOOKUP($D869,$F:$M,8,0),"")),IFERROR(VLOOKUP($E869,INSUMOS!$B:$E,4,0),IFERROR(VLOOKUP($E869,COTAÇÕES!$C:$L,10,0),"")))</f>
        <v>67.399999999999991</v>
      </c>
      <c r="K869" s="615">
        <f>TRUNC(IF($E869="",IFERROR(VLOOKUP($D869,SERVIÇOS!$C:$H,4,0),IFERROR(VLOOKUP($D869,$F:$M,6,0),)),IFERROR(VLOOKUP($E869,INSUMOS!$B:$E,4,0),IFERROR(VLOOKUP($E869,COTAÇÕES!$C:$L,10,0),)))*$I869,2)</f>
        <v>1.68</v>
      </c>
      <c r="L869" s="616">
        <f>TRUNC(IF($E869="",IFERROR(VLOOKUP($D869,SERVIÇOS!$C:$H,5,0),IFERROR(VLOOKUP($D869,$F:$M,7,0),)),0)*$I869,2)</f>
        <v>0</v>
      </c>
      <c r="M869" s="617">
        <f>K869+L869</f>
        <v>1.68</v>
      </c>
      <c r="N869" s="753" t="s">
        <v>6845</v>
      </c>
      <c r="O869" s="645"/>
    </row>
    <row r="870" spans="2:15">
      <c r="B870" s="122">
        <f t="shared" si="395"/>
        <v>30</v>
      </c>
      <c r="C870" s="611" t="str">
        <f>IF(D870&lt;&gt;"","C",IF(E870&lt;&gt;"","I",""))</f>
        <v>C</v>
      </c>
      <c r="D870" s="665">
        <v>88309</v>
      </c>
      <c r="E870" s="664"/>
      <c r="F870" s="626"/>
      <c r="G870" s="613" t="str">
        <f>IF($E870="",IFERROR(VLOOKUP($D870,SERVIÇOS!$C:$H,2,0),IFERROR(VLOOKUP($D870,$F:$M,2,0),"")),IFERROR(VLOOKUP($E870,INSUMOS!$B:$E,2,0),IFERROR(VLOOKUP($E870,COTAÇÕES!$C:$L,2,0),"")))</f>
        <v>PEDREIRO COM ENCARGOS COMPLEMENTARES</v>
      </c>
      <c r="H870" s="593" t="str">
        <f>IF($E870="",IFERROR(VLOOKUP($D870,SERVIÇOS!$C:$H,3,0),IFERROR(VLOOKUP($D870,$F:$M,3,0),"")),IFERROR(VLOOKUP($E870,INSUMOS!$B:$E,3,0),IFERROR(VLOOKUP($E870,COTAÇÕES!$C:$L,5,0),"")))</f>
        <v>H</v>
      </c>
      <c r="I870" s="614">
        <f>2*0.3*0.22</f>
        <v>0.13200000000000001</v>
      </c>
      <c r="J870" s="670">
        <f>IF($E870="",IFERROR(VLOOKUP($D870,SERVIÇOS!$C:$H,6,0),IFERROR(VLOOKUP($D870,$F:$M,8,0),"")),IFERROR(VLOOKUP($E870,INSUMOS!$B:$E,4,0),IFERROR(VLOOKUP($E870,COTAÇÕES!$C:$L,10,0),"")))</f>
        <v>30.99</v>
      </c>
      <c r="K870" s="615">
        <f>TRUNC(IF($E870="",IFERROR(VLOOKUP($D870,SERVIÇOS!$C:$H,4,0),IFERROR(VLOOKUP($D870,$F:$M,6,0),)),IFERROR(VLOOKUP($E870,INSUMOS!$B:$E,4,0),IFERROR(VLOOKUP($E870,COTAÇÕES!$C:$L,10,0),)))*$I870,2)</f>
        <v>0.87</v>
      </c>
      <c r="L870" s="616">
        <f>TRUNC(IF($E870="",IFERROR(VLOOKUP($D870,SERVIÇOS!$C:$H,5,0),IFERROR(VLOOKUP($D870,$F:$M,7,0),)),0)*$I870,2)</f>
        <v>3.21</v>
      </c>
      <c r="M870" s="617">
        <f>K870+L870</f>
        <v>4.08</v>
      </c>
      <c r="N870" s="669" t="str">
        <f>IF($C870&lt;&gt;"","SERVIÇO SINAPI",IF($D870&lt;&gt;"","INSUMO SINAPI",""))</f>
        <v>SERVIÇO SINAPI</v>
      </c>
      <c r="O870" s="645"/>
    </row>
    <row r="871" spans="2:15">
      <c r="B871" s="122">
        <f t="shared" si="395"/>
        <v>30</v>
      </c>
      <c r="C871" s="611" t="str">
        <f>IF(D871&lt;&gt;"","C",IF(E871&lt;&gt;"","I",""))</f>
        <v>C</v>
      </c>
      <c r="D871" s="665">
        <v>88316</v>
      </c>
      <c r="E871" s="664"/>
      <c r="F871" s="626"/>
      <c r="G871" s="613" t="str">
        <f>IF($E871="",IFERROR(VLOOKUP($D871,SERVIÇOS!$C:$H,2,0),IFERROR(VLOOKUP($D871,$F:$M,2,0),"")),IFERROR(VLOOKUP($E871,INSUMOS!$B:$E,2,0),IFERROR(VLOOKUP($E871,COTAÇÕES!$C:$L,2,0),"")))</f>
        <v>SERVENTE COM ENCARGOS COMPLEMENTARES</v>
      </c>
      <c r="H871" s="593" t="str">
        <f>IF($E871="",IFERROR(VLOOKUP($D871,SERVIÇOS!$C:$H,3,0),IFERROR(VLOOKUP($D871,$F:$M,3,0),"")),IFERROR(VLOOKUP($E871,INSUMOS!$B:$E,3,0),IFERROR(VLOOKUP($E871,COTAÇÕES!$C:$L,5,0),"")))</f>
        <v>H</v>
      </c>
      <c r="I871" s="614">
        <f>2*0.3*0.22</f>
        <v>0.13200000000000001</v>
      </c>
      <c r="J871" s="670">
        <f>IF($E871="",IFERROR(VLOOKUP($D871,SERVIÇOS!$C:$H,6,0),IFERROR(VLOOKUP($D871,$F:$M,8,0),"")),IFERROR(VLOOKUP($E871,INSUMOS!$B:$E,4,0),IFERROR(VLOOKUP($E871,COTAÇÕES!$C:$L,10,0),"")))</f>
        <v>23.71</v>
      </c>
      <c r="K871" s="615">
        <f>TRUNC(IF($E871="",IFERROR(VLOOKUP($D871,SERVIÇOS!$C:$H,4,0),IFERROR(VLOOKUP($D871,$F:$M,6,0),)),IFERROR(VLOOKUP($E871,INSUMOS!$B:$E,4,0),IFERROR(VLOOKUP($E871,COTAÇÕES!$C:$L,10,0),)))*$I871,2)</f>
        <v>0.86</v>
      </c>
      <c r="L871" s="616">
        <f>TRUNC(IF($E871="",IFERROR(VLOOKUP($D871,SERVIÇOS!$C:$H,5,0),IFERROR(VLOOKUP($D871,$F:$M,7,0),)),0)*$I871,2)</f>
        <v>2.2599999999999998</v>
      </c>
      <c r="M871" s="617">
        <f>K871+L871</f>
        <v>3.1199999999999997</v>
      </c>
      <c r="N871" s="669" t="str">
        <f>IF($C871&lt;&gt;"","SERVIÇO SINAPI",IF($D871&lt;&gt;"","INSUMO SINAPI",""))</f>
        <v>SERVIÇO SINAPI</v>
      </c>
      <c r="O871" s="645"/>
    </row>
    <row r="872" spans="2:15" ht="38.25">
      <c r="B872" s="769">
        <f>SUMIF(ORC!$G$11:$G$2470,CPU!$F872,ORC!$J$11:$J$2470)</f>
        <v>1</v>
      </c>
      <c r="C872" s="515"/>
      <c r="D872" s="515"/>
      <c r="E872" s="515"/>
      <c r="F872" s="515" t="s">
        <v>6874</v>
      </c>
      <c r="G872" s="594" t="s">
        <v>8687</v>
      </c>
      <c r="H872" s="515" t="s">
        <v>646</v>
      </c>
      <c r="I872" s="595"/>
      <c r="J872" s="596"/>
      <c r="K872" s="597">
        <f>SUM(K873:K875)</f>
        <v>1053.1100000000001</v>
      </c>
      <c r="L872" s="597">
        <f>SUM(L873:L875)</f>
        <v>200.88</v>
      </c>
      <c r="M872" s="597">
        <f>SUM(K872:L872)</f>
        <v>1253.9900000000002</v>
      </c>
      <c r="N872" s="598" t="s">
        <v>8684</v>
      </c>
      <c r="O872" s="610" t="s">
        <v>6862</v>
      </c>
    </row>
    <row r="873" spans="2:15">
      <c r="B873" s="122">
        <f t="shared" ref="B873:B875" si="396">B872</f>
        <v>1</v>
      </c>
      <c r="C873" s="611" t="str">
        <f>IF(D873&lt;&gt;"","C",IF(E873&lt;&gt;"","I",""))</f>
        <v>I</v>
      </c>
      <c r="D873" s="665"/>
      <c r="E873" s="664" t="s">
        <v>9107</v>
      </c>
      <c r="F873" s="626"/>
      <c r="G873" s="613" t="str">
        <f>IF($E873="",IFERROR(VLOOKUP($D873,SERVIÇOS!$C:$H,2,0),IFERROR(VLOOKUP($D873,$F:$M,2,0),"")),IFERROR(VLOOKUP($E873,INSUMOS!$B:$E,2,0),IFERROR(VLOOKUP($E873,COTAÇÕES!$C:$L,2,0),"")))</f>
        <v>LETRAS CAIXA EM AÇO INOX, ALTURA 12CM</v>
      </c>
      <c r="H873" s="593" t="str">
        <f>IF($E873="",IFERROR(VLOOKUP($D873,SERVIÇOS!$C:$H,3,0),IFERROR(VLOOKUP($D873,$F:$M,3,0),"")),IFERROR(VLOOKUP($E873,INSUMOS!$B:$E,3,0),IFERROR(VLOOKUP($E873,COTAÇÕES!$C:$L,5,0),"")))</f>
        <v xml:space="preserve">UN </v>
      </c>
      <c r="I873" s="614">
        <v>25</v>
      </c>
      <c r="J873" s="670">
        <f>IF($E873="",IFERROR(VLOOKUP($D873,SERVIÇOS!$C:$H,6,0),IFERROR(VLOOKUP($D873,$F:$M,8,0),"")),IFERROR(VLOOKUP($E873,INSUMOS!$B:$E,4,0),IFERROR(VLOOKUP($E873,COTAÇÕES!$C:$L,10,0),"")))</f>
        <v>26.333333333333332</v>
      </c>
      <c r="K873" s="615">
        <f>TRUNC(IF($E873="",IFERROR(VLOOKUP($D873,SERVIÇOS!$C:$H,4,0),IFERROR(VLOOKUP($D873,$F:$M,6,0),)),IFERROR(VLOOKUP($E873,INSUMOS!$B:$E,4,0),IFERROR(VLOOKUP($E873,COTAÇÕES!$C:$L,10,0),)))*$I873,2)</f>
        <v>658.33</v>
      </c>
      <c r="L873" s="616">
        <f>TRUNC(IF($E873="",IFERROR(VLOOKUP($D873,SERVIÇOS!$C:$H,5,0),IFERROR(VLOOKUP($D873,$F:$M,7,0),)),0)*$I873,2)</f>
        <v>0</v>
      </c>
      <c r="M873" s="617">
        <f>K873+L873</f>
        <v>658.33</v>
      </c>
      <c r="N873" s="753" t="s">
        <v>6845</v>
      </c>
      <c r="O873" s="645"/>
    </row>
    <row r="874" spans="2:15">
      <c r="B874" s="122">
        <f t="shared" si="396"/>
        <v>1</v>
      </c>
      <c r="C874" s="611" t="str">
        <f>IF(D874&lt;&gt;"","C",IF(E874&lt;&gt;"","I",""))</f>
        <v>I</v>
      </c>
      <c r="D874" s="665"/>
      <c r="E874" s="664" t="s">
        <v>9108</v>
      </c>
      <c r="F874" s="626"/>
      <c r="G874" s="613" t="str">
        <f>IF($E874="",IFERROR(VLOOKUP($D874,SERVIÇOS!$C:$H,2,0),IFERROR(VLOOKUP($D874,$F:$M,2,0),"")),IFERROR(VLOOKUP($E874,INSUMOS!$B:$E,2,0),IFERROR(VLOOKUP($E874,COTAÇÕES!$C:$L,2,0),"")))</f>
        <v>LETRAS CAIXA EM AÇO INOX, ALTURA 25CM</v>
      </c>
      <c r="H874" s="593" t="str">
        <f>IF($E874="",IFERROR(VLOOKUP($D874,SERVIÇOS!$C:$H,3,0),IFERROR(VLOOKUP($D874,$F:$M,3,0),"")),IFERROR(VLOOKUP($E874,INSUMOS!$B:$E,3,0),IFERROR(VLOOKUP($E874,COTAÇÕES!$C:$L,5,0),"")))</f>
        <v xml:space="preserve">UN </v>
      </c>
      <c r="I874" s="614">
        <v>8</v>
      </c>
      <c r="J874" s="670">
        <f>IF($E874="",IFERROR(VLOOKUP($D874,SERVIÇOS!$C:$H,6,0),IFERROR(VLOOKUP($D874,$F:$M,8,0),"")),IFERROR(VLOOKUP($E874,INSUMOS!$B:$E,4,0),IFERROR(VLOOKUP($E874,COTAÇÕES!$C:$L,10,0),"")))</f>
        <v>42.5</v>
      </c>
      <c r="K874" s="615">
        <f>TRUNC(IF($E874="",IFERROR(VLOOKUP($D874,SERVIÇOS!$C:$H,4,0),IFERROR(VLOOKUP($D874,$F:$M,6,0),)),IFERROR(VLOOKUP($E874,INSUMOS!$B:$E,4,0),IFERROR(VLOOKUP($E874,COTAÇÕES!$C:$L,10,0),)))*$I874,2)</f>
        <v>340</v>
      </c>
      <c r="L874" s="616">
        <f>TRUNC(IF($E874="",IFERROR(VLOOKUP($D874,SERVIÇOS!$C:$H,5,0),IFERROR(VLOOKUP($D874,$F:$M,7,0),)),0)*$I874,2)</f>
        <v>0</v>
      </c>
      <c r="M874" s="617">
        <f>K874+L874</f>
        <v>340</v>
      </c>
      <c r="N874" s="753" t="s">
        <v>6845</v>
      </c>
      <c r="O874" s="645"/>
    </row>
    <row r="875" spans="2:15">
      <c r="B875" s="122">
        <f t="shared" si="396"/>
        <v>1</v>
      </c>
      <c r="C875" s="611" t="str">
        <f>IF(D875&lt;&gt;"","C",IF(E875&lt;&gt;"","I",""))</f>
        <v>C</v>
      </c>
      <c r="D875" s="665">
        <v>88309</v>
      </c>
      <c r="E875" s="664"/>
      <c r="F875" s="626"/>
      <c r="G875" s="613" t="str">
        <f>IF($E875="",IFERROR(VLOOKUP($D875,SERVIÇOS!$C:$H,2,0),IFERROR(VLOOKUP($D875,$F:$M,2,0),"")),IFERROR(VLOOKUP($E875,INSUMOS!$B:$E,2,0),IFERROR(VLOOKUP($E875,COTAÇÕES!$C:$L,2,0),"")))</f>
        <v>PEDREIRO COM ENCARGOS COMPLEMENTARES</v>
      </c>
      <c r="H875" s="593" t="str">
        <f>IF($E875="",IFERROR(VLOOKUP($D875,SERVIÇOS!$C:$H,3,0),IFERROR(VLOOKUP($D875,$F:$M,3,0),"")),IFERROR(VLOOKUP($E875,INSUMOS!$B:$E,3,0),IFERROR(VLOOKUP($E875,COTAÇÕES!$C:$L,5,0),"")))</f>
        <v>H</v>
      </c>
      <c r="I875" s="614">
        <f>0.25*(I874+I873)</f>
        <v>8.25</v>
      </c>
      <c r="J875" s="670">
        <f>IF($E875="",IFERROR(VLOOKUP($D875,SERVIÇOS!$C:$H,6,0),IFERROR(VLOOKUP($D875,$F:$M,8,0),"")),IFERROR(VLOOKUP($E875,INSUMOS!$B:$E,4,0),IFERROR(VLOOKUP($E875,COTAÇÕES!$C:$L,10,0),"")))</f>
        <v>30.99</v>
      </c>
      <c r="K875" s="615">
        <f>TRUNC(IF($E875="",IFERROR(VLOOKUP($D875,SERVIÇOS!$C:$H,4,0),IFERROR(VLOOKUP($D875,$F:$M,6,0),)),IFERROR(VLOOKUP($E875,INSUMOS!$B:$E,4,0),IFERROR(VLOOKUP($E875,COTAÇÕES!$C:$L,10,0),)))*$I875,2)</f>
        <v>54.78</v>
      </c>
      <c r="L875" s="616">
        <f>TRUNC(IF($E875="",IFERROR(VLOOKUP($D875,SERVIÇOS!$C:$H,5,0),IFERROR(VLOOKUP($D875,$F:$M,7,0),)),0)*$I875,2)</f>
        <v>200.88</v>
      </c>
      <c r="M875" s="617">
        <f>K875+L875</f>
        <v>255.66</v>
      </c>
      <c r="N875" s="753" t="str">
        <f>IF($D875&lt;&gt;"","SERVIÇO SINAPI",IF($E875&lt;&gt;"","INSUMO SINAPI",""))</f>
        <v>SERVIÇO SINAPI</v>
      </c>
      <c r="O875" s="645"/>
    </row>
    <row r="876" spans="2:15" ht="25.5">
      <c r="B876" s="769">
        <f>SUMIF(ORC!$G$11:$G$2470,CPU!$F876,ORC!$J$11:$J$2470)</f>
        <v>40</v>
      </c>
      <c r="C876" s="515"/>
      <c r="D876" s="515"/>
      <c r="E876" s="515"/>
      <c r="F876" s="515" t="s">
        <v>6875</v>
      </c>
      <c r="G876" s="594" t="s">
        <v>6878</v>
      </c>
      <c r="H876" s="515" t="s">
        <v>646</v>
      </c>
      <c r="I876" s="595"/>
      <c r="J876" s="596"/>
      <c r="K876" s="597">
        <f>SUM(K877:K879)</f>
        <v>12.360000000000001</v>
      </c>
      <c r="L876" s="597">
        <f>SUM(L877:L879)</f>
        <v>3.43</v>
      </c>
      <c r="M876" s="597">
        <f>SUM(K876:L876)</f>
        <v>15.790000000000001</v>
      </c>
      <c r="N876" s="598" t="s">
        <v>6879</v>
      </c>
      <c r="O876" s="610" t="s">
        <v>6880</v>
      </c>
    </row>
    <row r="877" spans="2:15">
      <c r="B877" s="122">
        <f t="shared" ref="B877:B879" si="397">B876</f>
        <v>40</v>
      </c>
      <c r="C877" s="611" t="str">
        <f>IF(D877&lt;&gt;"","C",IF(E877&lt;&gt;"","I",""))</f>
        <v>I</v>
      </c>
      <c r="D877" s="665"/>
      <c r="E877" s="662" t="s">
        <v>9111</v>
      </c>
      <c r="F877" s="626"/>
      <c r="G877" s="613" t="str">
        <f>IF($E877="",IFERROR(VLOOKUP($D877,SERVIÇOS!$C:$H,2,0),IFERROR(VLOOKUP($D877,$F:$M,2,0),"")),IFERROR(VLOOKUP($E877,INSUMOS!$B:$E,2,0),IFERROR(VLOOKUP($E877,COTAÇÕES!$C:$L,2,0),"")))</f>
        <v>PLACA METÁLICA PARA CORRIMÃO EM BRAILLE, DIM 90X25MM</v>
      </c>
      <c r="H877" s="593" t="str">
        <f>IF($E877="",IFERROR(VLOOKUP($D877,SERVIÇOS!$C:$H,3,0),IFERROR(VLOOKUP($D877,$F:$M,3,0),"")),IFERROR(VLOOKUP($E877,INSUMOS!$B:$E,3,0),IFERROR(VLOOKUP($E877,COTAÇÕES!$C:$L,5,0),"")))</f>
        <v>UN</v>
      </c>
      <c r="I877" s="614">
        <v>1</v>
      </c>
      <c r="J877" s="670">
        <f>IF($E877="",IFERROR(VLOOKUP($D877,SERVIÇOS!$C:$H,6,0),IFERROR(VLOOKUP($D877,$F:$M,8,0),"")),IFERROR(VLOOKUP($E877,INSUMOS!$B:$E,4,0),IFERROR(VLOOKUP($E877,COTAÇÕES!$C:$L,10,0),"")))</f>
        <v>10.83</v>
      </c>
      <c r="K877" s="615">
        <f>TRUNC(IF($E877="",IFERROR(VLOOKUP($D877,SERVIÇOS!$C:$H,4,0),IFERROR(VLOOKUP($D877,$F:$M,6,0),)),IFERROR(VLOOKUP($E877,INSUMOS!$B:$E,4,0),IFERROR(VLOOKUP($E877,COTAÇÕES!$C:$L,10,0),)))*$I877,2)</f>
        <v>10.83</v>
      </c>
      <c r="L877" s="616">
        <f>TRUNC(IF($E877="",IFERROR(VLOOKUP($D877,SERVIÇOS!$C:$H,5,0),IFERROR(VLOOKUP($D877,$F:$M,7,0),)),0)*$I877,2)</f>
        <v>0</v>
      </c>
      <c r="M877" s="617">
        <f>K877+L877</f>
        <v>10.83</v>
      </c>
      <c r="N877" s="753" t="s">
        <v>6845</v>
      </c>
      <c r="O877" s="629"/>
    </row>
    <row r="878" spans="2:15">
      <c r="B878" s="122">
        <f t="shared" si="397"/>
        <v>40</v>
      </c>
      <c r="C878" s="611" t="str">
        <f>IF(D878&lt;&gt;"","C",IF(E878&lt;&gt;"","I",""))</f>
        <v>I</v>
      </c>
      <c r="D878" s="665"/>
      <c r="E878" s="664" t="s">
        <v>9110</v>
      </c>
      <c r="F878" s="626"/>
      <c r="G878" s="613" t="str">
        <f>IF($E878="",IFERROR(VLOOKUP($D878,SERVIÇOS!$C:$H,2,0),IFERROR(VLOOKUP($D878,$F:$M,2,0),"")),IFERROR(VLOOKUP($E878,INSUMOS!$B:$E,2,0),IFERROR(VLOOKUP($E878,COTAÇÕES!$C:$L,2,0),"")))</f>
        <v>FITA 3M DUPLA FACE VHB 4910 19mmx20m</v>
      </c>
      <c r="H878" s="593" t="str">
        <f>IF($E878="",IFERROR(VLOOKUP($D878,SERVIÇOS!$C:$H,3,0),IFERROR(VLOOKUP($D878,$F:$M,3,0),"")),IFERROR(VLOOKUP($E878,INSUMOS!$B:$E,3,0),IFERROR(VLOOKUP($E878,COTAÇÕES!$C:$L,5,0),"")))</f>
        <v>UN</v>
      </c>
      <c r="I878" s="614">
        <f>0.07/20</f>
        <v>3.5000000000000005E-3</v>
      </c>
      <c r="J878" s="670">
        <f>IF($E878="",IFERROR(VLOOKUP($D878,SERVIÇOS!$C:$H,6,0),IFERROR(VLOOKUP($D878,$F:$M,8,0),"")),IFERROR(VLOOKUP($E878,INSUMOS!$B:$E,4,0),IFERROR(VLOOKUP($E878,COTAÇÕES!$C:$L,10,0),"")))</f>
        <v>67.399999999999991</v>
      </c>
      <c r="K878" s="615">
        <f>TRUNC(IF($E878="",IFERROR(VLOOKUP($D878,SERVIÇOS!$C:$H,4,0),IFERROR(VLOOKUP($D878,$F:$M,6,0),)),IFERROR(VLOOKUP($E878,INSUMOS!$B:$E,4,0),IFERROR(VLOOKUP($E878,COTAÇÕES!$C:$L,10,0),)))*$I878,2)</f>
        <v>0.23</v>
      </c>
      <c r="L878" s="616">
        <f>TRUNC(IF($E878="",IFERROR(VLOOKUP($D878,SERVIÇOS!$C:$H,5,0),IFERROR(VLOOKUP($D878,$F:$M,7,0),)),0)*$I878,2)</f>
        <v>0</v>
      </c>
      <c r="M878" s="617">
        <f>K878+L878</f>
        <v>0.23</v>
      </c>
      <c r="N878" s="753" t="s">
        <v>6845</v>
      </c>
      <c r="O878" s="645"/>
    </row>
    <row r="879" spans="2:15">
      <c r="B879" s="122">
        <f t="shared" si="397"/>
        <v>40</v>
      </c>
      <c r="C879" s="611" t="str">
        <f>IF(D879&lt;&gt;"","C",IF(E879&lt;&gt;"","I",""))</f>
        <v>C</v>
      </c>
      <c r="D879" s="665">
        <v>88316</v>
      </c>
      <c r="E879" s="664"/>
      <c r="F879" s="626"/>
      <c r="G879" s="613" t="str">
        <f>IF($E879="",IFERROR(VLOOKUP($D879,SERVIÇOS!$C:$H,2,0),IFERROR(VLOOKUP($D879,$F:$M,2,0),"")),IFERROR(VLOOKUP($E879,INSUMOS!$B:$E,2,0),IFERROR(VLOOKUP($E879,COTAÇÕES!$C:$L,2,0),"")))</f>
        <v>SERVENTE COM ENCARGOS COMPLEMENTARES</v>
      </c>
      <c r="H879" s="593" t="str">
        <f>IF($E879="",IFERROR(VLOOKUP($D879,SERVIÇOS!$C:$H,3,0),IFERROR(VLOOKUP($D879,$F:$M,3,0),"")),IFERROR(VLOOKUP($E879,INSUMOS!$B:$E,3,0),IFERROR(VLOOKUP($E879,COTAÇÕES!$C:$L,5,0),"")))</f>
        <v>H</v>
      </c>
      <c r="I879" s="614">
        <v>0.2</v>
      </c>
      <c r="J879" s="670">
        <f>IF($E879="",IFERROR(VLOOKUP($D879,SERVIÇOS!$C:$H,6,0),IFERROR(VLOOKUP($D879,$F:$M,8,0),"")),IFERROR(VLOOKUP($E879,INSUMOS!$B:$E,4,0),IFERROR(VLOOKUP($E879,COTAÇÕES!$C:$L,10,0),"")))</f>
        <v>23.71</v>
      </c>
      <c r="K879" s="615">
        <f>TRUNC(IF($E879="",IFERROR(VLOOKUP($D879,SERVIÇOS!$C:$H,4,0),IFERROR(VLOOKUP($D879,$F:$M,6,0),)),IFERROR(VLOOKUP($E879,INSUMOS!$B:$E,4,0),IFERROR(VLOOKUP($E879,COTAÇÕES!$C:$L,10,0),)))*$I879,2)</f>
        <v>1.3</v>
      </c>
      <c r="L879" s="616">
        <f>TRUNC(IF($E879="",IFERROR(VLOOKUP($D879,SERVIÇOS!$C:$H,5,0),IFERROR(VLOOKUP($D879,$F:$M,7,0),)),0)*$I879,2)</f>
        <v>3.43</v>
      </c>
      <c r="M879" s="617">
        <f>K879+L879</f>
        <v>4.7300000000000004</v>
      </c>
      <c r="N879" s="669" t="str">
        <f>IF($C879&lt;&gt;"","SERVIÇO SINAPI",IF($D879&lt;&gt;"","INSUMO SINAPI",""))</f>
        <v>SERVIÇO SINAPI</v>
      </c>
      <c r="O879" s="645"/>
    </row>
    <row r="880" spans="2:15" ht="25.5">
      <c r="B880" s="769">
        <f>SUMIF(ORC!$G$11:$G$2470,CPU!$F880,ORC!$J$11:$J$2470)</f>
        <v>1</v>
      </c>
      <c r="C880" s="515"/>
      <c r="D880" s="515"/>
      <c r="E880" s="515"/>
      <c r="F880" s="515" t="s">
        <v>6869</v>
      </c>
      <c r="G880" s="594" t="s">
        <v>6881</v>
      </c>
      <c r="H880" s="515" t="s">
        <v>646</v>
      </c>
      <c r="I880" s="595"/>
      <c r="J880" s="596"/>
      <c r="K880" s="597">
        <f>SUM(K881:K883)</f>
        <v>610.95000000000005</v>
      </c>
      <c r="L880" s="597">
        <f>SUM(L881:L883)</f>
        <v>8.3000000000000007</v>
      </c>
      <c r="M880" s="597">
        <f>SUM(K880:L880)</f>
        <v>619.25</v>
      </c>
      <c r="N880" s="598" t="s">
        <v>6882</v>
      </c>
      <c r="O880" s="610" t="s">
        <v>6840</v>
      </c>
    </row>
    <row r="881" spans="1:15" ht="21.75" customHeight="1">
      <c r="B881" s="122">
        <f t="shared" ref="B881:B883" si="398">B880</f>
        <v>1</v>
      </c>
      <c r="C881" s="611" t="str">
        <f>IF(D881&lt;&gt;"","C",IF(E881&lt;&gt;"","I",""))</f>
        <v>I</v>
      </c>
      <c r="D881" s="665"/>
      <c r="E881" s="664" t="s">
        <v>9112</v>
      </c>
      <c r="F881" s="626"/>
      <c r="G881" s="613" t="str">
        <f>IF($E881="",IFERROR(VLOOKUP($D881,SERVIÇOS!$C:$H,2,0),IFERROR(VLOOKUP($D881,$F:$M,2,0),"")),IFERROR(VLOOKUP($E881,INSUMOS!$B:$E,2,0),IFERROR(VLOOKUP($E881,COTAÇÕES!$C:$L,2,0),"")))</f>
        <v>PLACA DE INAUGURAÇÃO EM AÇO INOX DE DIMENSÃO 70x50CM, ESPESSURA 2MM, BRASÃO E TEXTOS APLICADOS POR FOTOCORROSÃO COLORIDA, FIXAÇÃO COM PARAFUSO DE AÇO</v>
      </c>
      <c r="H881" s="593" t="str">
        <f>IF($E881="",IFERROR(VLOOKUP($D881,SERVIÇOS!$C:$H,3,0),IFERROR(VLOOKUP($D881,$F:$M,3,0),"")),IFERROR(VLOOKUP($E881,INSUMOS!$B:$E,3,0),IFERROR(VLOOKUP($E881,COTAÇÕES!$C:$L,5,0),"")))</f>
        <v>UN</v>
      </c>
      <c r="I881" s="614">
        <v>1</v>
      </c>
      <c r="J881" s="670">
        <f>IF($E881="",IFERROR(VLOOKUP($D881,SERVIÇOS!$C:$H,6,0),IFERROR(VLOOKUP($D881,$F:$M,8,0),"")),IFERROR(VLOOKUP($E881,INSUMOS!$B:$E,4,0),IFERROR(VLOOKUP($E881,COTAÇÕES!$C:$L,10,0),"")))</f>
        <v>608.33333333333337</v>
      </c>
      <c r="K881" s="615">
        <f>TRUNC(IF($E881="",IFERROR(VLOOKUP($D881,SERVIÇOS!$C:$H,4,0),IFERROR(VLOOKUP($D881,$F:$M,6,0),)),IFERROR(VLOOKUP($E881,INSUMOS!$B:$E,4,0),IFERROR(VLOOKUP($E881,COTAÇÕES!$C:$L,10,0),)))*$I881,2)</f>
        <v>608.33000000000004</v>
      </c>
      <c r="L881" s="616">
        <f>TRUNC(IF($E881="",IFERROR(VLOOKUP($D881,SERVIÇOS!$C:$H,5,0),IFERROR(VLOOKUP($D881,$F:$M,7,0),)),0)*$I881,2)</f>
        <v>0</v>
      </c>
      <c r="M881" s="617">
        <f>K881+L881</f>
        <v>608.33000000000004</v>
      </c>
      <c r="N881" s="753" t="s">
        <v>6845</v>
      </c>
      <c r="O881" s="629"/>
    </row>
    <row r="882" spans="1:15">
      <c r="B882" s="122">
        <f t="shared" si="398"/>
        <v>1</v>
      </c>
      <c r="C882" s="611" t="str">
        <f>IF(D882&lt;&gt;"","C",IF(E882&lt;&gt;"","I",""))</f>
        <v>C</v>
      </c>
      <c r="D882" s="665">
        <v>88309</v>
      </c>
      <c r="E882" s="664"/>
      <c r="F882" s="626"/>
      <c r="G882" s="613" t="str">
        <f>IF($E882="",IFERROR(VLOOKUP($D882,SERVIÇOS!$C:$H,2,0),IFERROR(VLOOKUP($D882,$F:$M,2,0),"")),IFERROR(VLOOKUP($E882,INSUMOS!$B:$E,2,0),IFERROR(VLOOKUP($E882,COTAÇÕES!$C:$L,2,0),"")))</f>
        <v>PEDREIRO COM ENCARGOS COMPLEMENTARES</v>
      </c>
      <c r="H882" s="593" t="str">
        <f>IF($E882="",IFERROR(VLOOKUP($D882,SERVIÇOS!$C:$H,3,0),IFERROR(VLOOKUP($D882,$F:$M,3,0),"")),IFERROR(VLOOKUP($E882,INSUMOS!$B:$E,3,0),IFERROR(VLOOKUP($E882,COTAÇÕES!$C:$L,5,0),"")))</f>
        <v>H</v>
      </c>
      <c r="I882" s="614">
        <v>0.2</v>
      </c>
      <c r="J882" s="670">
        <f>IF($E882="",IFERROR(VLOOKUP($D882,SERVIÇOS!$C:$H,6,0),IFERROR(VLOOKUP($D882,$F:$M,8,0),"")),IFERROR(VLOOKUP($E882,INSUMOS!$B:$E,4,0),IFERROR(VLOOKUP($E882,COTAÇÕES!$C:$L,10,0),"")))</f>
        <v>30.99</v>
      </c>
      <c r="K882" s="615">
        <f>TRUNC(IF($E882="",IFERROR(VLOOKUP($D882,SERVIÇOS!$C:$H,4,0),IFERROR(VLOOKUP($D882,$F:$M,6,0),)),IFERROR(VLOOKUP($E882,INSUMOS!$B:$E,4,0),IFERROR(VLOOKUP($E882,COTAÇÕES!$C:$L,10,0),)))*$I882,2)</f>
        <v>1.32</v>
      </c>
      <c r="L882" s="616">
        <f>TRUNC(IF($E882="",IFERROR(VLOOKUP($D882,SERVIÇOS!$C:$H,5,0),IFERROR(VLOOKUP($D882,$F:$M,7,0),)),0)*$I882,2)</f>
        <v>4.87</v>
      </c>
      <c r="M882" s="617">
        <f>K882+L882</f>
        <v>6.19</v>
      </c>
      <c r="N882" s="669" t="str">
        <f>IF($C882&lt;&gt;"","SERVIÇO SINAPI",IF($D882&lt;&gt;"","INSUMO SINAPI",""))</f>
        <v>SERVIÇO SINAPI</v>
      </c>
      <c r="O882" s="645"/>
    </row>
    <row r="883" spans="1:15">
      <c r="B883" s="122">
        <f t="shared" si="398"/>
        <v>1</v>
      </c>
      <c r="C883" s="611" t="str">
        <f>IF(D883&lt;&gt;"","C",IF(E883&lt;&gt;"","I",""))</f>
        <v>C</v>
      </c>
      <c r="D883" s="665">
        <v>88316</v>
      </c>
      <c r="E883" s="664"/>
      <c r="F883" s="626"/>
      <c r="G883" s="613" t="str">
        <f>IF($E883="",IFERROR(VLOOKUP($D883,SERVIÇOS!$C:$H,2,0),IFERROR(VLOOKUP($D883,$F:$M,2,0),"")),IFERROR(VLOOKUP($E883,INSUMOS!$B:$E,2,0),IFERROR(VLOOKUP($E883,COTAÇÕES!$C:$L,2,0),"")))</f>
        <v>SERVENTE COM ENCARGOS COMPLEMENTARES</v>
      </c>
      <c r="H883" s="593" t="str">
        <f>IF($E883="",IFERROR(VLOOKUP($D883,SERVIÇOS!$C:$H,3,0),IFERROR(VLOOKUP($D883,$F:$M,3,0),"")),IFERROR(VLOOKUP($E883,INSUMOS!$B:$E,3,0),IFERROR(VLOOKUP($E883,COTAÇÕES!$C:$L,5,0),"")))</f>
        <v>H</v>
      </c>
      <c r="I883" s="614">
        <v>0.2</v>
      </c>
      <c r="J883" s="670">
        <f>IF($E883="",IFERROR(VLOOKUP($D883,SERVIÇOS!$C:$H,6,0),IFERROR(VLOOKUP($D883,$F:$M,8,0),"")),IFERROR(VLOOKUP($E883,INSUMOS!$B:$E,4,0),IFERROR(VLOOKUP($E883,COTAÇÕES!$C:$L,10,0),"")))</f>
        <v>23.71</v>
      </c>
      <c r="K883" s="615">
        <f>TRUNC(IF($E883="",IFERROR(VLOOKUP($D883,SERVIÇOS!$C:$H,4,0),IFERROR(VLOOKUP($D883,$F:$M,6,0),)),IFERROR(VLOOKUP($E883,INSUMOS!$B:$E,4,0),IFERROR(VLOOKUP($E883,COTAÇÕES!$C:$L,10,0),)))*$I883,2)</f>
        <v>1.3</v>
      </c>
      <c r="L883" s="616">
        <f>TRUNC(IF($E883="",IFERROR(VLOOKUP($D883,SERVIÇOS!$C:$H,5,0),IFERROR(VLOOKUP($D883,$F:$M,7,0),)),0)*$I883,2)</f>
        <v>3.43</v>
      </c>
      <c r="M883" s="617">
        <f>K883+L883</f>
        <v>4.7300000000000004</v>
      </c>
      <c r="N883" s="669" t="str">
        <f>IF($C883&lt;&gt;"","SERVIÇO SINAPI",IF($D883&lt;&gt;"","INSUMO SINAPI",""))</f>
        <v>SERVIÇO SINAPI</v>
      </c>
      <c r="O883" s="645"/>
    </row>
    <row r="884" spans="1:15" ht="38.25" hidden="1">
      <c r="B884" s="769">
        <f>SUMIF(ORC!$G$11:$G$2470,CPU!$F884,ORC!$J$11:$J$2470)</f>
        <v>0</v>
      </c>
      <c r="C884" s="515"/>
      <c r="D884" s="515"/>
      <c r="E884" s="515"/>
      <c r="F884" s="515" t="s">
        <v>6871</v>
      </c>
      <c r="G884" s="594" t="s">
        <v>8403</v>
      </c>
      <c r="H884" s="515" t="s">
        <v>646</v>
      </c>
      <c r="I884" s="595"/>
      <c r="J884" s="596"/>
      <c r="K884" s="597">
        <f>SUM(K885:K890)</f>
        <v>701.63999999999987</v>
      </c>
      <c r="L884" s="597">
        <f>SUM(L885:L890)</f>
        <v>27.55</v>
      </c>
      <c r="M884" s="597">
        <f>SUM(K884:L884)</f>
        <v>729.18999999999983</v>
      </c>
      <c r="N884" s="598" t="s">
        <v>7552</v>
      </c>
      <c r="O884" s="610"/>
    </row>
    <row r="885" spans="1:15" hidden="1">
      <c r="B885" s="122">
        <f t="shared" ref="B885:B890" si="399">B884</f>
        <v>0</v>
      </c>
      <c r="C885" s="611" t="str">
        <f t="shared" ref="C885:C890" si="400">IF(D885&lt;&gt;"","C",IF(E885&lt;&gt;"","I",""))</f>
        <v>I</v>
      </c>
      <c r="D885" s="665"/>
      <c r="E885" s="662">
        <v>34723</v>
      </c>
      <c r="F885" s="626"/>
      <c r="G885" s="613" t="str">
        <f>IF($E885="",IFERROR(VLOOKUP($D885,SERVIÇOS!$C:$H,2,0),IFERROR(VLOOKUP($D885,$F:$M,2,0),"")),IFERROR(VLOOKUP($E885,INSUMOS!$B:$E,2,0),IFERROR(VLOOKUP($E885,COTAÇÕES!$C:$L,2,0),"")))</f>
        <v xml:space="preserve">PLACA DE SINALIZACAO EM CHAPA DE ACO NUM 16 COM PINTURA REFLETIVA                                                                                                                                                                                                                                                                                                                                                                                                                                         </v>
      </c>
      <c r="H885" s="593" t="str">
        <f>IF($E885="",IFERROR(VLOOKUP($D885,SERVIÇOS!$C:$H,3,0),IFERROR(VLOOKUP($D885,$F:$M,3,0),"")),IFERROR(VLOOKUP($E885,INSUMOS!$B:$E,3,0),IFERROR(VLOOKUP($E885,COTAÇÕES!$C:$L,5,0),"")))</f>
        <v xml:space="preserve">M2    </v>
      </c>
      <c r="I885" s="614">
        <f>0.5*0.7</f>
        <v>0.35</v>
      </c>
      <c r="J885" s="670">
        <f>IF($E885="",IFERROR(VLOOKUP($D885,SERVIÇOS!$C:$H,6,0),IFERROR(VLOOKUP($D885,$F:$M,8,0),"")),IFERROR(VLOOKUP($E885,INSUMOS!$B:$E,4,0),IFERROR(VLOOKUP($E885,COTAÇÕES!$C:$L,10,0),"")))</f>
        <v>1027.96</v>
      </c>
      <c r="K885" s="615">
        <f>TRUNC(IF($E885="",IFERROR(VLOOKUP($D885,SERVIÇOS!$C:$H,4,0),IFERROR(VLOOKUP($D885,$F:$M,6,0),)),IFERROR(VLOOKUP($E885,INSUMOS!$B:$E,4,0),IFERROR(VLOOKUP($E885,COTAÇÕES!$C:$L,10,0),)))*$I885,2)</f>
        <v>359.78</v>
      </c>
      <c r="L885" s="616">
        <f>TRUNC(IF($E885="",IFERROR(VLOOKUP($D885,SERVIÇOS!$C:$H,5,0),IFERROR(VLOOKUP($D885,$F:$M,7,0),)),0)*$I885,2)</f>
        <v>0</v>
      </c>
      <c r="M885" s="617">
        <f t="shared" ref="M885:M890" si="401">K885+L885</f>
        <v>359.78</v>
      </c>
      <c r="N885" s="669" t="str">
        <f t="shared" ref="N885:N890" si="402">IF($C885&lt;&gt;"","SERVIÇO SINAPI",IF($D885&lt;&gt;"","INSUMO SINAPI",""))</f>
        <v>SERVIÇO SINAPI</v>
      </c>
      <c r="O885" s="645"/>
    </row>
    <row r="886" spans="1:15" hidden="1">
      <c r="B886" s="122">
        <f t="shared" si="399"/>
        <v>0</v>
      </c>
      <c r="C886" s="611" t="str">
        <f t="shared" si="400"/>
        <v>C</v>
      </c>
      <c r="D886" s="665">
        <v>88309</v>
      </c>
      <c r="E886" s="664"/>
      <c r="F886" s="626"/>
      <c r="G886" s="613" t="str">
        <f>IF($E886="",IFERROR(VLOOKUP($D886,SERVIÇOS!$C:$H,2,0),IFERROR(VLOOKUP($D886,$F:$M,2,0),"")),IFERROR(VLOOKUP($E886,INSUMOS!$B:$E,2,0),IFERROR(VLOOKUP($E886,COTAÇÕES!$C:$L,2,0),"")))</f>
        <v>PEDREIRO COM ENCARGOS COMPLEMENTARES</v>
      </c>
      <c r="H886" s="593" t="str">
        <f>IF($E886="",IFERROR(VLOOKUP($D886,SERVIÇOS!$C:$H,3,0),IFERROR(VLOOKUP($D886,$F:$M,3,0),"")),IFERROR(VLOOKUP($E886,INSUMOS!$B:$E,3,0),IFERROR(VLOOKUP($E886,COTAÇÕES!$C:$L,5,0),"")))</f>
        <v>H</v>
      </c>
      <c r="I886" s="614">
        <v>0.5</v>
      </c>
      <c r="J886" s="670">
        <f>IF($E886="",IFERROR(VLOOKUP($D886,SERVIÇOS!$C:$H,6,0),IFERROR(VLOOKUP($D886,$F:$M,8,0),"")),IFERROR(VLOOKUP($E886,INSUMOS!$B:$E,4,0),IFERROR(VLOOKUP($E886,COTAÇÕES!$C:$L,10,0),"")))</f>
        <v>30.99</v>
      </c>
      <c r="K886" s="615">
        <f>TRUNC(IF($E886="",IFERROR(VLOOKUP($D886,SERVIÇOS!$C:$H,4,0),IFERROR(VLOOKUP($D886,$F:$M,6,0),)),IFERROR(VLOOKUP($E886,INSUMOS!$B:$E,4,0),IFERROR(VLOOKUP($E886,COTAÇÕES!$C:$L,10,0),)))*$I886,2)</f>
        <v>3.32</v>
      </c>
      <c r="L886" s="616">
        <f>TRUNC(IF($E886="",IFERROR(VLOOKUP($D886,SERVIÇOS!$C:$H,5,0),IFERROR(VLOOKUP($D886,$F:$M,7,0),)),0)*$I886,2)</f>
        <v>12.17</v>
      </c>
      <c r="M886" s="617">
        <f t="shared" si="401"/>
        <v>15.49</v>
      </c>
      <c r="N886" s="669" t="str">
        <f t="shared" si="402"/>
        <v>SERVIÇO SINAPI</v>
      </c>
      <c r="O886" s="645"/>
    </row>
    <row r="887" spans="1:15" hidden="1">
      <c r="B887" s="122">
        <f t="shared" si="399"/>
        <v>0</v>
      </c>
      <c r="C887" s="611" t="str">
        <f t="shared" si="400"/>
        <v>C</v>
      </c>
      <c r="D887" s="665">
        <v>88316</v>
      </c>
      <c r="E887" s="664"/>
      <c r="F887" s="626"/>
      <c r="G887" s="613" t="str">
        <f>IF($E887="",IFERROR(VLOOKUP($D887,SERVIÇOS!$C:$H,2,0),IFERROR(VLOOKUP($D887,$F:$M,2,0),"")),IFERROR(VLOOKUP($E887,INSUMOS!$B:$E,2,0),IFERROR(VLOOKUP($E887,COTAÇÕES!$C:$L,2,0),"")))</f>
        <v>SERVENTE COM ENCARGOS COMPLEMENTARES</v>
      </c>
      <c r="H887" s="593" t="str">
        <f>IF($E887="",IFERROR(VLOOKUP($D887,SERVIÇOS!$C:$H,3,0),IFERROR(VLOOKUP($D887,$F:$M,3,0),"")),IFERROR(VLOOKUP($E887,INSUMOS!$B:$E,3,0),IFERROR(VLOOKUP($E887,COTAÇÕES!$C:$L,5,0),"")))</f>
        <v>H</v>
      </c>
      <c r="I887" s="614">
        <v>0.2</v>
      </c>
      <c r="J887" s="670">
        <f>IF($E887="",IFERROR(VLOOKUP($D887,SERVIÇOS!$C:$H,6,0),IFERROR(VLOOKUP($D887,$F:$M,8,0),"")),IFERROR(VLOOKUP($E887,INSUMOS!$B:$E,4,0),IFERROR(VLOOKUP($E887,COTAÇÕES!$C:$L,10,0),"")))</f>
        <v>23.71</v>
      </c>
      <c r="K887" s="615">
        <f>TRUNC(IF($E887="",IFERROR(VLOOKUP($D887,SERVIÇOS!$C:$H,4,0),IFERROR(VLOOKUP($D887,$F:$M,6,0),)),IFERROR(VLOOKUP($E887,INSUMOS!$B:$E,4,0),IFERROR(VLOOKUP($E887,COTAÇÕES!$C:$L,10,0),)))*$I887,2)</f>
        <v>1.3</v>
      </c>
      <c r="L887" s="616">
        <f>TRUNC(IF($E887="",IFERROR(VLOOKUP($D887,SERVIÇOS!$C:$H,5,0),IFERROR(VLOOKUP($D887,$F:$M,7,0),)),0)*$I887,2)</f>
        <v>3.43</v>
      </c>
      <c r="M887" s="617">
        <f t="shared" si="401"/>
        <v>4.7300000000000004</v>
      </c>
      <c r="N887" s="669" t="str">
        <f t="shared" si="402"/>
        <v>SERVIÇO SINAPI</v>
      </c>
      <c r="O887" s="645"/>
    </row>
    <row r="888" spans="1:15" ht="25.5" hidden="1">
      <c r="B888" s="122">
        <f t="shared" si="399"/>
        <v>0</v>
      </c>
      <c r="C888" s="611" t="str">
        <f t="shared" si="400"/>
        <v>C</v>
      </c>
      <c r="D888" s="665">
        <v>94975</v>
      </c>
      <c r="E888" s="662"/>
      <c r="F888" s="626"/>
      <c r="G888" s="613" t="str">
        <f>IF($E888="",IFERROR(VLOOKUP($D888,SERVIÇOS!$C:$H,2,0),IFERROR(VLOOKUP($D888,$F:$M,2,0),"")),IFERROR(VLOOKUP($E888,INSUMOS!$B:$E,2,0),IFERROR(VLOOKUP($E888,COTAÇÕES!$C:$L,2,0),"")))</f>
        <v>CONCRETO FCK = 15MPA, TRAÇO 1:3,4:3,5 (EM MASSA SECA DE CIMENTO/ AREIA MÉDIA/ BRITA 1) - PREPARO MANUAL. AF_05/2021</v>
      </c>
      <c r="H888" s="593" t="str">
        <f>IF($E888="",IFERROR(VLOOKUP($D888,SERVIÇOS!$C:$H,3,0),IFERROR(VLOOKUP($D888,$F:$M,3,0),"")),IFERROR(VLOOKUP($E888,INSUMOS!$B:$E,3,0),IFERROR(VLOOKUP($E888,COTAÇÕES!$C:$L,5,0),"")))</f>
        <v>M3</v>
      </c>
      <c r="I888" s="614">
        <v>7.0000000000000001E-3</v>
      </c>
      <c r="J888" s="670">
        <f>IF($E888="",IFERROR(VLOOKUP($D888,SERVIÇOS!$C:$H,6,0),IFERROR(VLOOKUP($D888,$F:$M,8,0),"")),IFERROR(VLOOKUP($E888,INSUMOS!$B:$E,4,0),IFERROR(VLOOKUP($E888,COTAÇÕES!$C:$L,10,0),"")))</f>
        <v>432.97</v>
      </c>
      <c r="K888" s="615">
        <f>TRUNC(IF($E888="",IFERROR(VLOOKUP($D888,SERVIÇOS!$C:$H,4,0),IFERROR(VLOOKUP($D888,$F:$M,6,0),)),IFERROR(VLOOKUP($E888,INSUMOS!$B:$E,4,0),IFERROR(VLOOKUP($E888,COTAÇÕES!$C:$L,10,0),)))*$I888,2)</f>
        <v>2.2799999999999998</v>
      </c>
      <c r="L888" s="616">
        <f>TRUNC(IF($E888="",IFERROR(VLOOKUP($D888,SERVIÇOS!$C:$H,5,0),IFERROR(VLOOKUP($D888,$F:$M,7,0),)),0)*$I888,2)</f>
        <v>0.74</v>
      </c>
      <c r="M888" s="617">
        <f t="shared" si="401"/>
        <v>3.0199999999999996</v>
      </c>
      <c r="N888" s="669" t="str">
        <f t="shared" si="402"/>
        <v>SERVIÇO SINAPI</v>
      </c>
      <c r="O888" s="645"/>
    </row>
    <row r="889" spans="1:15" ht="25.5" hidden="1">
      <c r="B889" s="122">
        <f t="shared" si="399"/>
        <v>0</v>
      </c>
      <c r="C889" s="611" t="str">
        <f t="shared" si="400"/>
        <v>I</v>
      </c>
      <c r="D889" s="665"/>
      <c r="E889" s="664">
        <v>7696</v>
      </c>
      <c r="F889" s="626"/>
      <c r="G889" s="613" t="str">
        <f>IF($E889="",IFERROR(VLOOKUP($D889,SERVIÇOS!$C:$H,2,0),IFERROR(VLOOKUP($D889,$F:$M,2,0),"")),IFERROR(VLOOKUP($E889,INSUMOS!$B:$E,2,0),IFERROR(VLOOKUP($E889,COTAÇÕES!$C:$L,2,0),"")))</f>
        <v xml:space="preserve">TUBO ACO GALVANIZADO COM COSTURA, CLASSE MEDIA, DN 2", E = *3,65* MM, PESO *5,10* KG/M (NBR 5580)                                                                                                                                                                                                                                                                                                                                                                                                         </v>
      </c>
      <c r="H889" s="593" t="str">
        <f>IF($E889="",IFERROR(VLOOKUP($D889,SERVIÇOS!$C:$H,3,0),IFERROR(VLOOKUP($D889,$F:$M,3,0),"")),IFERROR(VLOOKUP($E889,INSUMOS!$B:$E,3,0),IFERROR(VLOOKUP($E889,COTAÇÕES!$C:$L,5,0),"")))</f>
        <v xml:space="preserve">M     </v>
      </c>
      <c r="I889" s="614">
        <v>3.5</v>
      </c>
      <c r="J889" s="670">
        <f>IF($E889="",IFERROR(VLOOKUP($D889,SERVIÇOS!$C:$H,6,0),IFERROR(VLOOKUP($D889,$F:$M,8,0),"")),IFERROR(VLOOKUP($E889,INSUMOS!$B:$E,4,0),IFERROR(VLOOKUP($E889,COTAÇÕES!$C:$L,10,0),"")))</f>
        <v>92.55</v>
      </c>
      <c r="K889" s="615">
        <f>TRUNC(IF($E889="",IFERROR(VLOOKUP($D889,SERVIÇOS!$C:$H,4,0),IFERROR(VLOOKUP($D889,$F:$M,6,0),)),IFERROR(VLOOKUP($E889,INSUMOS!$B:$E,4,0),IFERROR(VLOOKUP($E889,COTAÇÕES!$C:$L,10,0),)))*$I889,2)</f>
        <v>323.92</v>
      </c>
      <c r="L889" s="616">
        <f>TRUNC(IF($E889="",IFERROR(VLOOKUP($D889,SERVIÇOS!$C:$H,5,0),IFERROR(VLOOKUP($D889,$F:$M,7,0),)),0)*$I889,2)</f>
        <v>0</v>
      </c>
      <c r="M889" s="617">
        <f t="shared" si="401"/>
        <v>323.92</v>
      </c>
      <c r="N889" s="669" t="str">
        <f t="shared" si="402"/>
        <v>SERVIÇO SINAPI</v>
      </c>
      <c r="O889" s="645"/>
    </row>
    <row r="890" spans="1:15" ht="25.5" hidden="1">
      <c r="B890" s="122">
        <f t="shared" si="399"/>
        <v>0</v>
      </c>
      <c r="C890" s="611" t="str">
        <f t="shared" si="400"/>
        <v>C</v>
      </c>
      <c r="D890" s="665">
        <v>100761</v>
      </c>
      <c r="E890" s="664"/>
      <c r="F890" s="626"/>
      <c r="G890" s="613" t="str">
        <f>IF($E890="",IFERROR(VLOOKUP($D890,SERVIÇOS!$C:$H,2,0),IFERROR(VLOOKUP($D890,$F:$M,2,0),"")),IFERROR(VLOOKUP($E890,INSUMOS!$B:$E,2,0),IFERROR(VLOOKUP($E890,COTAÇÕES!$C:$L,2,0),"")))</f>
        <v>PINTURA COM TINTA ALQUÍDICA DE ACABAMENTO (ESMALTE SINTÉTICO FOSCO) PULVERIZADA SOBRE SUPERFÍCIES METÁLICAS (EXCETO PERFIL) EXECUTADO EM OBRA (02 DEMÃOS). AF_01/2020_P</v>
      </c>
      <c r="H890" s="593" t="str">
        <f>IF($E890="",IFERROR(VLOOKUP($D890,SERVIÇOS!$C:$H,3,0),IFERROR(VLOOKUP($D890,$F:$M,3,0),"")),IFERROR(VLOOKUP($E890,INSUMOS!$B:$E,3,0),IFERROR(VLOOKUP($E890,COTAÇÕES!$C:$L,5,0),"")))</f>
        <v>M2</v>
      </c>
      <c r="I890" s="614">
        <f>2*3.14*0.025*2.8</f>
        <v>0.43960000000000005</v>
      </c>
      <c r="J890" s="670">
        <f>IF($E890="",IFERROR(VLOOKUP($D890,SERVIÇOS!$C:$H,6,0),IFERROR(VLOOKUP($D890,$F:$M,8,0),"")),IFERROR(VLOOKUP($E890,INSUMOS!$B:$E,4,0),IFERROR(VLOOKUP($E890,COTAÇÕES!$C:$L,10,0),"")))</f>
        <v>50.64</v>
      </c>
      <c r="K890" s="615">
        <f>TRUNC(IF($E890="",IFERROR(VLOOKUP($D890,SERVIÇOS!$C:$H,4,0),IFERROR(VLOOKUP($D890,$F:$M,6,0),)),IFERROR(VLOOKUP($E890,INSUMOS!$B:$E,4,0),IFERROR(VLOOKUP($E890,COTAÇÕES!$C:$L,10,0),)))*$I890,2)</f>
        <v>11.04</v>
      </c>
      <c r="L890" s="616">
        <f>TRUNC(IF($E890="",IFERROR(VLOOKUP($D890,SERVIÇOS!$C:$H,5,0),IFERROR(VLOOKUP($D890,$F:$M,7,0),)),0)*$I890,2)</f>
        <v>11.21</v>
      </c>
      <c r="M890" s="617">
        <f t="shared" si="401"/>
        <v>22.25</v>
      </c>
      <c r="N890" s="669" t="str">
        <f t="shared" si="402"/>
        <v>SERVIÇO SINAPI</v>
      </c>
      <c r="O890" s="645"/>
    </row>
    <row r="891" spans="1:15" s="893" customFormat="1">
      <c r="A891" s="893" t="s">
        <v>7483</v>
      </c>
      <c r="C891" s="607"/>
      <c r="D891" s="607"/>
      <c r="E891" s="607"/>
      <c r="F891" s="607"/>
      <c r="G891" s="609" t="s">
        <v>8701</v>
      </c>
      <c r="H891" s="607"/>
      <c r="I891" s="607"/>
      <c r="J891" s="607"/>
      <c r="K891" s="607"/>
      <c r="L891" s="607"/>
      <c r="M891" s="607"/>
      <c r="N891" s="756"/>
      <c r="O891" s="607"/>
    </row>
    <row r="892" spans="1:15" s="896" customFormat="1" ht="25.5" hidden="1">
      <c r="B892" s="769">
        <f>SUMIF(ORC!$G$11:$G$2470,CPU!$F892,ORC!$J$11:$J$2470)</f>
        <v>0</v>
      </c>
      <c r="C892" s="515" t="s">
        <v>2239</v>
      </c>
      <c r="D892" s="515"/>
      <c r="E892" s="515"/>
      <c r="F892" s="515" t="s">
        <v>8702</v>
      </c>
      <c r="G892" s="594" t="s">
        <v>8721</v>
      </c>
      <c r="H892" s="515" t="s">
        <v>646</v>
      </c>
      <c r="I892" s="595"/>
      <c r="J892" s="596"/>
      <c r="K892" s="597">
        <f>SUM(K893)</f>
        <v>3650</v>
      </c>
      <c r="L892" s="597">
        <f>SUM(L893)</f>
        <v>0</v>
      </c>
      <c r="M892" s="596">
        <f>SUM(K892:L892)</f>
        <v>3650</v>
      </c>
      <c r="N892" s="598" t="s">
        <v>7577</v>
      </c>
      <c r="O892" s="651"/>
    </row>
    <row r="893" spans="1:15" s="896" customFormat="1" ht="25.5" hidden="1">
      <c r="B893" s="122">
        <f>B892</f>
        <v>0</v>
      </c>
      <c r="C893" s="611" t="str">
        <f>IF(D893&lt;&gt;"","C",IF(E893&lt;&gt;"","I",""))</f>
        <v>I</v>
      </c>
      <c r="D893" s="665"/>
      <c r="E893" s="664" t="s">
        <v>9113</v>
      </c>
      <c r="F893" s="626"/>
      <c r="G893" s="613" t="str">
        <f>IF($E893="",IFERROR(VLOOKUP($D893,SERVIÇOS!$C:$H,2,0),IFERROR(VLOOKUP($D893,$F:$M,2,0),"")),IFERROR(VLOOKUP($E893,INSUMOS!$B:$E,2,0),IFERROR(VLOOKUP($E893,COTAÇÕES!$C:$L,2,0),"")))</f>
        <v>MOBILIÁRIO 01 - MESA PARA RECEPÇÃO EM MDF COR FENDI, DIMENSÃO 265x65x74CM (CxLxA), COM TAMPO MÓVEL PARA PASSAGEM</v>
      </c>
      <c r="H893" s="593" t="str">
        <f>IF($E893="",IFERROR(VLOOKUP($D893,SERVIÇOS!$C:$H,3,0),IFERROR(VLOOKUP($D893,$F:$M,3,0),"")),IFERROR(VLOOKUP($E893,INSUMOS!$B:$E,3,0),IFERROR(VLOOKUP($E893,COTAÇÕES!$C:$L,5,0),"")))</f>
        <v xml:space="preserve">UN </v>
      </c>
      <c r="I893" s="614">
        <v>1</v>
      </c>
      <c r="J893" s="670">
        <f>IF($E893="",IFERROR(VLOOKUP($D893,SERVIÇOS!$C:$H,6,0),IFERROR(VLOOKUP($D893,$F:$M,8,0),"")),IFERROR(VLOOKUP($E893,INSUMOS!$B:$E,4,0),IFERROR(VLOOKUP($E893,COTAÇÕES!$C:$L,10,0),"")))</f>
        <v>3650</v>
      </c>
      <c r="K893" s="615">
        <f>TRUNC(IF($E893="",IFERROR(VLOOKUP($D893,SERVIÇOS!$C:$H,4,0),IFERROR(VLOOKUP($D893,$F:$M,6,0),)),IFERROR(VLOOKUP($E893,INSUMOS!$B:$E,4,0),IFERROR(VLOOKUP($E893,COTAÇÕES!$C:$L,10,0),)))*$I893,2)</f>
        <v>3650</v>
      </c>
      <c r="L893" s="616">
        <f>TRUNC(IF($E893="",IFERROR(VLOOKUP($D893,SERVIÇOS!$C:$H,5,0),IFERROR(VLOOKUP($D893,$F:$M,7,0),)),0)*$I893,2)</f>
        <v>0</v>
      </c>
      <c r="M893" s="631">
        <f>K893+L893</f>
        <v>3650</v>
      </c>
      <c r="N893" s="753" t="s">
        <v>6845</v>
      </c>
      <c r="O893" s="650"/>
    </row>
    <row r="894" spans="1:15" s="896" customFormat="1" ht="25.5" hidden="1">
      <c r="B894" s="769">
        <f>SUMIF(ORC!$G$11:$G$2470,CPU!$F894,ORC!$J$11:$J$2470)</f>
        <v>0</v>
      </c>
      <c r="C894" s="515" t="s">
        <v>2239</v>
      </c>
      <c r="D894" s="515"/>
      <c r="E894" s="515"/>
      <c r="F894" s="515" t="s">
        <v>8718</v>
      </c>
      <c r="G894" s="594" t="s">
        <v>8720</v>
      </c>
      <c r="H894" s="515" t="s">
        <v>646</v>
      </c>
      <c r="I894" s="595"/>
      <c r="J894" s="596"/>
      <c r="K894" s="597">
        <f>SUM(K895)</f>
        <v>2005</v>
      </c>
      <c r="L894" s="597">
        <f>SUM(L895)</f>
        <v>0</v>
      </c>
      <c r="M894" s="596">
        <f>SUM(K894:L894)</f>
        <v>2005</v>
      </c>
      <c r="N894" s="598" t="s">
        <v>7577</v>
      </c>
      <c r="O894" s="651"/>
    </row>
    <row r="895" spans="1:15" s="896" customFormat="1" ht="25.5" hidden="1">
      <c r="B895" s="122">
        <f>B894</f>
        <v>0</v>
      </c>
      <c r="C895" s="611" t="str">
        <f>IF(D895&lt;&gt;"","C",IF(E895&lt;&gt;"","I",""))</f>
        <v>I</v>
      </c>
      <c r="D895" s="665"/>
      <c r="E895" s="664" t="s">
        <v>9114</v>
      </c>
      <c r="F895" s="626"/>
      <c r="G895" s="613" t="str">
        <f>IF($E895="",IFERROR(VLOOKUP($D895,SERVIÇOS!$C:$H,2,0),IFERROR(VLOOKUP($D895,$F:$M,2,0),"")),IFERROR(VLOOKUP($E895,INSUMOS!$B:$E,2,0),IFERROR(VLOOKUP($E895,COTAÇÕES!$C:$L,2,0),"")))</f>
        <v>MOBILIÁRIO 02 - MESA PARA CAFÉ COM 03 PORTAS DE GIRO, SENDO 02 PARA RESÍDUOS, EM MDF COR FENDI, DIMENSÃO 100x45x90CM (CxLxA)</v>
      </c>
      <c r="H895" s="593" t="str">
        <f>IF($E895="",IFERROR(VLOOKUP($D895,SERVIÇOS!$C:$H,3,0),IFERROR(VLOOKUP($D895,$F:$M,3,0),"")),IFERROR(VLOOKUP($E895,INSUMOS!$B:$E,3,0),IFERROR(VLOOKUP($E895,COTAÇÕES!$C:$L,5,0),"")))</f>
        <v xml:space="preserve">UN </v>
      </c>
      <c r="I895" s="614">
        <v>1</v>
      </c>
      <c r="J895" s="670">
        <f>IF($E895="",IFERROR(VLOOKUP($D895,SERVIÇOS!$C:$H,6,0),IFERROR(VLOOKUP($D895,$F:$M,8,0),"")),IFERROR(VLOOKUP($E895,INSUMOS!$B:$E,4,0),IFERROR(VLOOKUP($E895,COTAÇÕES!$C:$L,10,0),"")))</f>
        <v>2005</v>
      </c>
      <c r="K895" s="615">
        <f>TRUNC(IF($E895="",IFERROR(VLOOKUP($D895,SERVIÇOS!$C:$H,4,0),IFERROR(VLOOKUP($D895,$F:$M,6,0),)),IFERROR(VLOOKUP($E895,INSUMOS!$B:$E,4,0),IFERROR(VLOOKUP($E895,COTAÇÕES!$C:$L,10,0),)))*$I895,2)</f>
        <v>2005</v>
      </c>
      <c r="L895" s="616">
        <f>TRUNC(IF($E895="",IFERROR(VLOOKUP($D895,SERVIÇOS!$C:$H,5,0),IFERROR(VLOOKUP($D895,$F:$M,7,0),)),0)*$I895,2)</f>
        <v>0</v>
      </c>
      <c r="M895" s="631">
        <f>K895+L895</f>
        <v>2005</v>
      </c>
      <c r="N895" s="753" t="s">
        <v>6845</v>
      </c>
      <c r="O895" s="650"/>
    </row>
    <row r="896" spans="1:15" s="896" customFormat="1" ht="25.5" hidden="1">
      <c r="B896" s="769">
        <f>SUMIF(ORC!$G$11:$G$2470,CPU!$F896,ORC!$J$11:$J$2470)</f>
        <v>0</v>
      </c>
      <c r="C896" s="515" t="s">
        <v>2239</v>
      </c>
      <c r="D896" s="515"/>
      <c r="E896" s="515"/>
      <c r="F896" s="515" t="s">
        <v>8722</v>
      </c>
      <c r="G896" s="594" t="s">
        <v>8719</v>
      </c>
      <c r="H896" s="515" t="s">
        <v>646</v>
      </c>
      <c r="I896" s="595"/>
      <c r="J896" s="596"/>
      <c r="K896" s="597">
        <f>SUM(K897)</f>
        <v>1750</v>
      </c>
      <c r="L896" s="597">
        <f>SUM(L897)</f>
        <v>0</v>
      </c>
      <c r="M896" s="596">
        <f>SUM(K896:L896)</f>
        <v>1750</v>
      </c>
      <c r="N896" s="598" t="s">
        <v>7577</v>
      </c>
      <c r="O896" s="651"/>
    </row>
    <row r="897" spans="2:15" s="896" customFormat="1" hidden="1">
      <c r="B897" s="122">
        <f>B896</f>
        <v>0</v>
      </c>
      <c r="C897" s="611" t="str">
        <f>IF(D897&lt;&gt;"","C",IF(E897&lt;&gt;"","I",""))</f>
        <v>I</v>
      </c>
      <c r="D897" s="665"/>
      <c r="E897" s="664" t="s">
        <v>9115</v>
      </c>
      <c r="F897" s="626"/>
      <c r="G897" s="613" t="str">
        <f>IF($E897="",IFERROR(VLOOKUP($D897,SERVIÇOS!$C:$H,2,0),IFERROR(VLOOKUP($D897,$F:$M,2,0),"")),IFERROR(VLOOKUP($E897,INSUMOS!$B:$E,2,0),IFERROR(VLOOKUP($E897,COTAÇÕES!$C:$L,2,0),"")))</f>
        <v>MOBILIÁRIO 03 -  TRIBUNA DO PLENÁRIO EM MDF COR FENDI, DIMENSÃO 90x50x120CM (CxLxA)</v>
      </c>
      <c r="H897" s="593" t="str">
        <f>IF($E897="",IFERROR(VLOOKUP($D897,SERVIÇOS!$C:$H,3,0),IFERROR(VLOOKUP($D897,$F:$M,3,0),"")),IFERROR(VLOOKUP($E897,INSUMOS!$B:$E,3,0),IFERROR(VLOOKUP($E897,COTAÇÕES!$C:$L,5,0),"")))</f>
        <v xml:space="preserve">UN </v>
      </c>
      <c r="I897" s="614">
        <v>1</v>
      </c>
      <c r="J897" s="670">
        <f>IF($E897="",IFERROR(VLOOKUP($D897,SERVIÇOS!$C:$H,6,0),IFERROR(VLOOKUP($D897,$F:$M,8,0),"")),IFERROR(VLOOKUP($E897,INSUMOS!$B:$E,4,0),IFERROR(VLOOKUP($E897,COTAÇÕES!$C:$L,10,0),"")))</f>
        <v>1750</v>
      </c>
      <c r="K897" s="615">
        <f>TRUNC(IF($E897="",IFERROR(VLOOKUP($D897,SERVIÇOS!$C:$H,4,0),IFERROR(VLOOKUP($D897,$F:$M,6,0),)),IFERROR(VLOOKUP($E897,INSUMOS!$B:$E,4,0),IFERROR(VLOOKUP($E897,COTAÇÕES!$C:$L,10,0),)))*$I897,2)</f>
        <v>1750</v>
      </c>
      <c r="L897" s="616">
        <f>TRUNC(IF($E897="",IFERROR(VLOOKUP($D897,SERVIÇOS!$C:$H,5,0),IFERROR(VLOOKUP($D897,$F:$M,7,0),)),0)*$I897,2)</f>
        <v>0</v>
      </c>
      <c r="M897" s="631">
        <f>K897+L897</f>
        <v>1750</v>
      </c>
      <c r="N897" s="753" t="s">
        <v>6845</v>
      </c>
      <c r="O897" s="650"/>
    </row>
    <row r="898" spans="2:15" s="896" customFormat="1" ht="25.5" hidden="1">
      <c r="B898" s="769">
        <f>SUMIF(ORC!$G$11:$G$2470,CPU!$F898,ORC!$J$11:$J$2470)</f>
        <v>0</v>
      </c>
      <c r="C898" s="515" t="s">
        <v>2239</v>
      </c>
      <c r="D898" s="515"/>
      <c r="E898" s="515"/>
      <c r="F898" s="515" t="s">
        <v>8723</v>
      </c>
      <c r="G898" s="594" t="s">
        <v>8706</v>
      </c>
      <c r="H898" s="515" t="s">
        <v>646</v>
      </c>
      <c r="I898" s="595"/>
      <c r="J898" s="596"/>
      <c r="K898" s="597">
        <f>SUM(K899)</f>
        <v>4223.75</v>
      </c>
      <c r="L898" s="597">
        <f>SUM(L899)</f>
        <v>0</v>
      </c>
      <c r="M898" s="596">
        <f>SUM(K898:L898)</f>
        <v>4223.75</v>
      </c>
      <c r="N898" s="598" t="s">
        <v>7577</v>
      </c>
      <c r="O898" s="651"/>
    </row>
    <row r="899" spans="2:15" s="896" customFormat="1" ht="25.5" hidden="1">
      <c r="B899" s="122">
        <f>B898</f>
        <v>0</v>
      </c>
      <c r="C899" s="611" t="str">
        <f>IF(D899&lt;&gt;"","C",IF(E899&lt;&gt;"","I",""))</f>
        <v>I</v>
      </c>
      <c r="D899" s="665"/>
      <c r="E899" s="664" t="s">
        <v>9116</v>
      </c>
      <c r="F899" s="626"/>
      <c r="G899" s="613" t="str">
        <f>IF($E899="",IFERROR(VLOOKUP($D899,SERVIÇOS!$C:$H,2,0),IFERROR(VLOOKUP($D899,$F:$M,2,0),"")),IFERROR(VLOOKUP($E899,INSUMOS!$B:$E,2,0),IFERROR(VLOOKUP($E899,COTAÇÕES!$C:$L,2,0),"")))</f>
        <v>MOBILIÁRIO 04 -  MESA DO PLENÁRIO COM 03 GAVETAS EM MDF COR FENDI, DIMENSÃO 250x76x74CM (CxLxA)</v>
      </c>
      <c r="H899" s="593" t="str">
        <f>IF($E899="",IFERROR(VLOOKUP($D899,SERVIÇOS!$C:$H,3,0),IFERROR(VLOOKUP($D899,$F:$M,3,0),"")),IFERROR(VLOOKUP($E899,INSUMOS!$B:$E,3,0),IFERROR(VLOOKUP($E899,COTAÇÕES!$C:$L,5,0),"")))</f>
        <v xml:space="preserve">UN </v>
      </c>
      <c r="I899" s="614">
        <v>1</v>
      </c>
      <c r="J899" s="670">
        <f>IF($E899="",IFERROR(VLOOKUP($D899,SERVIÇOS!$C:$H,6,0),IFERROR(VLOOKUP($D899,$F:$M,8,0),"")),IFERROR(VLOOKUP($E899,INSUMOS!$B:$E,4,0),IFERROR(VLOOKUP($E899,COTAÇÕES!$C:$L,10,0),"")))</f>
        <v>4223.75</v>
      </c>
      <c r="K899" s="615">
        <f>TRUNC(IF($E899="",IFERROR(VLOOKUP($D899,SERVIÇOS!$C:$H,4,0),IFERROR(VLOOKUP($D899,$F:$M,6,0),)),IFERROR(VLOOKUP($E899,INSUMOS!$B:$E,4,0),IFERROR(VLOOKUP($E899,COTAÇÕES!$C:$L,10,0),)))*$I899,2)</f>
        <v>4223.75</v>
      </c>
      <c r="L899" s="616">
        <f>TRUNC(IF($E899="",IFERROR(VLOOKUP($D899,SERVIÇOS!$C:$H,5,0),IFERROR(VLOOKUP($D899,$F:$M,7,0),)),0)*$I899,2)</f>
        <v>0</v>
      </c>
      <c r="M899" s="631">
        <f>K899+L899</f>
        <v>4223.75</v>
      </c>
      <c r="N899" s="753" t="s">
        <v>6845</v>
      </c>
      <c r="O899" s="650"/>
    </row>
    <row r="900" spans="2:15" s="896" customFormat="1" ht="25.5" hidden="1">
      <c r="B900" s="769">
        <f>SUMIF(ORC!$G$11:$G$2470,CPU!$F900,ORC!$J$11:$J$2470)</f>
        <v>0</v>
      </c>
      <c r="C900" s="515" t="s">
        <v>2239</v>
      </c>
      <c r="D900" s="515"/>
      <c r="E900" s="515"/>
      <c r="F900" s="515" t="s">
        <v>8724</v>
      </c>
      <c r="G900" s="594" t="s">
        <v>8707</v>
      </c>
      <c r="H900" s="515" t="s">
        <v>646</v>
      </c>
      <c r="I900" s="595"/>
      <c r="J900" s="596"/>
      <c r="K900" s="597">
        <f>SUM(K901)</f>
        <v>8110</v>
      </c>
      <c r="L900" s="597">
        <f>SUM(L901)</f>
        <v>0</v>
      </c>
      <c r="M900" s="596">
        <f>SUM(K900:L900)</f>
        <v>8110</v>
      </c>
      <c r="N900" s="598" t="s">
        <v>7577</v>
      </c>
      <c r="O900" s="651"/>
    </row>
    <row r="901" spans="2:15" s="896" customFormat="1" ht="25.5" hidden="1">
      <c r="B901" s="122">
        <f>B900</f>
        <v>0</v>
      </c>
      <c r="C901" s="611" t="str">
        <f>IF(D901&lt;&gt;"","C",IF(E901&lt;&gt;"","I",""))</f>
        <v>I</v>
      </c>
      <c r="D901" s="665"/>
      <c r="E901" s="664" t="s">
        <v>9117</v>
      </c>
      <c r="F901" s="626"/>
      <c r="G901" s="613" t="str">
        <f>IF($E901="",IFERROR(VLOOKUP($D901,SERVIÇOS!$C:$H,2,0),IFERROR(VLOOKUP($D901,$F:$M,2,0),"")),IFERROR(VLOOKUP($E901,INSUMOS!$B:$E,2,0),IFERROR(VLOOKUP($E901,COTAÇÕES!$C:$L,2,0),"")))</f>
        <v>MOBILIÁRIO 05 -  MESA PRESIDÊNCIA COM 06 GAVETAS EM MDF COR FENDI, DIMENSÃO 480x80x74CM (CxLxA)</v>
      </c>
      <c r="H901" s="593" t="str">
        <f>IF($E901="",IFERROR(VLOOKUP($D901,SERVIÇOS!$C:$H,3,0),IFERROR(VLOOKUP($D901,$F:$M,3,0),"")),IFERROR(VLOOKUP($E901,INSUMOS!$B:$E,3,0),IFERROR(VLOOKUP($E901,COTAÇÕES!$C:$L,5,0),"")))</f>
        <v xml:space="preserve">UN </v>
      </c>
      <c r="I901" s="614">
        <v>1</v>
      </c>
      <c r="J901" s="670">
        <f>IF($E901="",IFERROR(VLOOKUP($D901,SERVIÇOS!$C:$H,6,0),IFERROR(VLOOKUP($D901,$F:$M,8,0),"")),IFERROR(VLOOKUP($E901,INSUMOS!$B:$E,4,0),IFERROR(VLOOKUP($E901,COTAÇÕES!$C:$L,10,0),"")))</f>
        <v>8110</v>
      </c>
      <c r="K901" s="615">
        <f>TRUNC(IF($E901="",IFERROR(VLOOKUP($D901,SERVIÇOS!$C:$H,4,0),IFERROR(VLOOKUP($D901,$F:$M,6,0),)),IFERROR(VLOOKUP($E901,INSUMOS!$B:$E,4,0),IFERROR(VLOOKUP($E901,COTAÇÕES!$C:$L,10,0),)))*$I901,2)</f>
        <v>8110</v>
      </c>
      <c r="L901" s="616">
        <f>TRUNC(IF($E901="",IFERROR(VLOOKUP($D901,SERVIÇOS!$C:$H,5,0),IFERROR(VLOOKUP($D901,$F:$M,7,0),)),0)*$I901,2)</f>
        <v>0</v>
      </c>
      <c r="M901" s="631">
        <f>K901+L901</f>
        <v>8110</v>
      </c>
      <c r="N901" s="753" t="s">
        <v>6845</v>
      </c>
      <c r="O901" s="650"/>
    </row>
    <row r="902" spans="2:15" s="896" customFormat="1" ht="25.5" hidden="1">
      <c r="B902" s="769">
        <f>SUMIF(ORC!$G$11:$G$2470,CPU!$F902,ORC!$J$11:$J$2470)</f>
        <v>0</v>
      </c>
      <c r="C902" s="515" t="s">
        <v>2239</v>
      </c>
      <c r="D902" s="515"/>
      <c r="E902" s="515"/>
      <c r="F902" s="515" t="s">
        <v>8725</v>
      </c>
      <c r="G902" s="594" t="s">
        <v>8708</v>
      </c>
      <c r="H902" s="515" t="s">
        <v>646</v>
      </c>
      <c r="I902" s="595"/>
      <c r="J902" s="596"/>
      <c r="K902" s="597">
        <f>SUM(K903)</f>
        <v>2225.62</v>
      </c>
      <c r="L902" s="597">
        <f>SUM(L903)</f>
        <v>0</v>
      </c>
      <c r="M902" s="596">
        <f>SUM(K902:L902)</f>
        <v>2225.62</v>
      </c>
      <c r="N902" s="598" t="s">
        <v>7577</v>
      </c>
      <c r="O902" s="651"/>
    </row>
    <row r="903" spans="2:15" s="896" customFormat="1" ht="25.5" hidden="1">
      <c r="B903" s="122">
        <f>B902</f>
        <v>0</v>
      </c>
      <c r="C903" s="611" t="str">
        <f>IF(D903&lt;&gt;"","C",IF(E903&lt;&gt;"","I",""))</f>
        <v>I</v>
      </c>
      <c r="D903" s="665"/>
      <c r="E903" s="664" t="s">
        <v>9118</v>
      </c>
      <c r="F903" s="626"/>
      <c r="G903" s="613" t="str">
        <f>IF($E903="",IFERROR(VLOOKUP($D903,SERVIÇOS!$C:$H,2,0),IFERROR(VLOOKUP($D903,$F:$M,2,0),"")),IFERROR(VLOOKUP($E903,INSUMOS!$B:$E,2,0),IFERROR(VLOOKUP($E903,COTAÇÕES!$C:$L,2,0),"")))</f>
        <v xml:space="preserve">MOBILIÁRIO 06 -  MESA GABINETES EM "L", EM MDF COR FENDI, DIMENSÃO 160x70+120x45CM H=74CM </v>
      </c>
      <c r="H903" s="593" t="str">
        <f>IF($E903="",IFERROR(VLOOKUP($D903,SERVIÇOS!$C:$H,3,0),IFERROR(VLOOKUP($D903,$F:$M,3,0),"")),IFERROR(VLOOKUP($E903,INSUMOS!$B:$E,3,0),IFERROR(VLOOKUP($E903,COTAÇÕES!$C:$L,5,0),"")))</f>
        <v xml:space="preserve">UN </v>
      </c>
      <c r="I903" s="614">
        <v>1</v>
      </c>
      <c r="J903" s="670">
        <f>IF($E903="",IFERROR(VLOOKUP($D903,SERVIÇOS!$C:$H,6,0),IFERROR(VLOOKUP($D903,$F:$M,8,0),"")),IFERROR(VLOOKUP($E903,INSUMOS!$B:$E,4,0),IFERROR(VLOOKUP($E903,COTAÇÕES!$C:$L,10,0),"")))</f>
        <v>2225.625</v>
      </c>
      <c r="K903" s="615">
        <f>TRUNC(IF($E903="",IFERROR(VLOOKUP($D903,SERVIÇOS!$C:$H,4,0),IFERROR(VLOOKUP($D903,$F:$M,6,0),)),IFERROR(VLOOKUP($E903,INSUMOS!$B:$E,4,0),IFERROR(VLOOKUP($E903,COTAÇÕES!$C:$L,10,0),)))*$I903,2)</f>
        <v>2225.62</v>
      </c>
      <c r="L903" s="616">
        <f>TRUNC(IF($E903="",IFERROR(VLOOKUP($D903,SERVIÇOS!$C:$H,5,0),IFERROR(VLOOKUP($D903,$F:$M,7,0),)),0)*$I903,2)</f>
        <v>0</v>
      </c>
      <c r="M903" s="631">
        <f>K903+L903</f>
        <v>2225.62</v>
      </c>
      <c r="N903" s="753" t="s">
        <v>6845</v>
      </c>
      <c r="O903" s="650"/>
    </row>
    <row r="904" spans="2:15" s="896" customFormat="1" ht="25.5" hidden="1">
      <c r="B904" s="769">
        <f>SUMIF(ORC!$G$11:$G$2470,CPU!$F904,ORC!$J$11:$J$2470)</f>
        <v>0</v>
      </c>
      <c r="C904" s="515" t="s">
        <v>2239</v>
      </c>
      <c r="D904" s="515"/>
      <c r="E904" s="515"/>
      <c r="F904" s="515" t="s">
        <v>8726</v>
      </c>
      <c r="G904" s="594" t="s">
        <v>8709</v>
      </c>
      <c r="H904" s="515" t="s">
        <v>646</v>
      </c>
      <c r="I904" s="595"/>
      <c r="J904" s="596"/>
      <c r="K904" s="597">
        <f>SUM(K905)</f>
        <v>2555</v>
      </c>
      <c r="L904" s="597">
        <f>SUM(L905)</f>
        <v>0</v>
      </c>
      <c r="M904" s="596">
        <f>SUM(K904:L904)</f>
        <v>2555</v>
      </c>
      <c r="N904" s="598" t="s">
        <v>7577</v>
      </c>
      <c r="O904" s="651"/>
    </row>
    <row r="905" spans="2:15" s="896" customFormat="1" ht="25.5" hidden="1">
      <c r="B905" s="122">
        <f>B904</f>
        <v>0</v>
      </c>
      <c r="C905" s="611" t="str">
        <f>IF(D905&lt;&gt;"","C",IF(E905&lt;&gt;"","I",""))</f>
        <v>I</v>
      </c>
      <c r="D905" s="665"/>
      <c r="E905" s="664" t="s">
        <v>9119</v>
      </c>
      <c r="F905" s="626"/>
      <c r="G905" s="613" t="str">
        <f>IF($E905="",IFERROR(VLOOKUP($D905,SERVIÇOS!$C:$H,2,0),IFERROR(VLOOKUP($D905,$F:$M,2,0),"")),IFERROR(VLOOKUP($E905,INSUMOS!$B:$E,2,0),IFERROR(VLOOKUP($E905,COTAÇÕES!$C:$L,2,0),"")))</f>
        <v xml:space="preserve">MOBILIÁRIO 07 -  MESA PRESIDÊNCIA EM "L", EM MDF COR FENDI, DIMENSÃO 210x90+120x45CM H=74CM </v>
      </c>
      <c r="H905" s="593" t="str">
        <f>IF($E905="",IFERROR(VLOOKUP($D905,SERVIÇOS!$C:$H,3,0),IFERROR(VLOOKUP($D905,$F:$M,3,0),"")),IFERROR(VLOOKUP($E905,INSUMOS!$B:$E,3,0),IFERROR(VLOOKUP($E905,COTAÇÕES!$C:$L,5,0),"")))</f>
        <v xml:space="preserve">UN </v>
      </c>
      <c r="I905" s="614">
        <v>1</v>
      </c>
      <c r="J905" s="670">
        <f>IF($E905="",IFERROR(VLOOKUP($D905,SERVIÇOS!$C:$H,6,0),IFERROR(VLOOKUP($D905,$F:$M,8,0),"")),IFERROR(VLOOKUP($E905,INSUMOS!$B:$E,4,0),IFERROR(VLOOKUP($E905,COTAÇÕES!$C:$L,10,0),"")))</f>
        <v>2555</v>
      </c>
      <c r="K905" s="615">
        <f>TRUNC(IF($E905="",IFERROR(VLOOKUP($D905,SERVIÇOS!$C:$H,4,0),IFERROR(VLOOKUP($D905,$F:$M,6,0),)),IFERROR(VLOOKUP($E905,INSUMOS!$B:$E,4,0),IFERROR(VLOOKUP($E905,COTAÇÕES!$C:$L,10,0),)))*$I905,2)</f>
        <v>2555</v>
      </c>
      <c r="L905" s="616">
        <f>TRUNC(IF($E905="",IFERROR(VLOOKUP($D905,SERVIÇOS!$C:$H,5,0),IFERROR(VLOOKUP($D905,$F:$M,7,0),)),0)*$I905,2)</f>
        <v>0</v>
      </c>
      <c r="M905" s="631">
        <f>K905+L905</f>
        <v>2555</v>
      </c>
      <c r="N905" s="753" t="s">
        <v>6845</v>
      </c>
      <c r="O905" s="650"/>
    </row>
    <row r="906" spans="2:15" s="896" customFormat="1" ht="25.5" hidden="1">
      <c r="B906" s="769">
        <f>SUMIF(ORC!$G$11:$G$2470,CPU!$F906,ORC!$J$11:$J$2470)</f>
        <v>0</v>
      </c>
      <c r="C906" s="515" t="s">
        <v>2239</v>
      </c>
      <c r="D906" s="515"/>
      <c r="E906" s="515"/>
      <c r="F906" s="515" t="s">
        <v>8727</v>
      </c>
      <c r="G906" s="594" t="s">
        <v>8710</v>
      </c>
      <c r="H906" s="515" t="s">
        <v>646</v>
      </c>
      <c r="I906" s="595"/>
      <c r="J906" s="596"/>
      <c r="K906" s="597">
        <f>SUM(K907)</f>
        <v>1810</v>
      </c>
      <c r="L906" s="597">
        <f>SUM(L907)</f>
        <v>0</v>
      </c>
      <c r="M906" s="596">
        <f>SUM(K906:L906)</f>
        <v>1810</v>
      </c>
      <c r="N906" s="598" t="s">
        <v>7577</v>
      </c>
      <c r="O906" s="651"/>
    </row>
    <row r="907" spans="2:15" s="896" customFormat="1" ht="25.5" hidden="1">
      <c r="B907" s="122">
        <f>B906</f>
        <v>0</v>
      </c>
      <c r="C907" s="611" t="str">
        <f>IF(D907&lt;&gt;"","C",IF(E907&lt;&gt;"","I",""))</f>
        <v>I</v>
      </c>
      <c r="D907" s="665"/>
      <c r="E907" s="664" t="s">
        <v>9120</v>
      </c>
      <c r="F907" s="626"/>
      <c r="G907" s="613" t="str">
        <f>IF($E907="",IFERROR(VLOOKUP($D907,SERVIÇOS!$C:$H,2,0),IFERROR(VLOOKUP($D907,$F:$M,2,0),"")),IFERROR(VLOOKUP($E907,INSUMOS!$B:$E,2,0),IFERROR(VLOOKUP($E907,COTAÇÕES!$C:$L,2,0),"")))</f>
        <v>MOBILIÁRIO 08 -  MESA APOIO COM 01 PORTA DE GIRO EM MDF COR FENDI, DIMENSÃO 120x60x74CM (CxLxA)</v>
      </c>
      <c r="H907" s="593" t="str">
        <f>IF($E907="",IFERROR(VLOOKUP($D907,SERVIÇOS!$C:$H,3,0),IFERROR(VLOOKUP($D907,$F:$M,3,0),"")),IFERROR(VLOOKUP($E907,INSUMOS!$B:$E,3,0),IFERROR(VLOOKUP($E907,COTAÇÕES!$C:$L,5,0),"")))</f>
        <v xml:space="preserve">UN </v>
      </c>
      <c r="I907" s="614">
        <v>1</v>
      </c>
      <c r="J907" s="670">
        <f>IF($E907="",IFERROR(VLOOKUP($D907,SERVIÇOS!$C:$H,6,0),IFERROR(VLOOKUP($D907,$F:$M,8,0),"")),IFERROR(VLOOKUP($E907,INSUMOS!$B:$E,4,0),IFERROR(VLOOKUP($E907,COTAÇÕES!$C:$L,10,0),"")))</f>
        <v>1810</v>
      </c>
      <c r="K907" s="615">
        <f>TRUNC(IF($E907="",IFERROR(VLOOKUP($D907,SERVIÇOS!$C:$H,4,0),IFERROR(VLOOKUP($D907,$F:$M,6,0),)),IFERROR(VLOOKUP($E907,INSUMOS!$B:$E,4,0),IFERROR(VLOOKUP($E907,COTAÇÕES!$C:$L,10,0),)))*$I907,2)</f>
        <v>1810</v>
      </c>
      <c r="L907" s="616">
        <f>TRUNC(IF($E907="",IFERROR(VLOOKUP($D907,SERVIÇOS!$C:$H,5,0),IFERROR(VLOOKUP($D907,$F:$M,7,0),)),0)*$I907,2)</f>
        <v>0</v>
      </c>
      <c r="M907" s="631">
        <f>K907+L907</f>
        <v>1810</v>
      </c>
      <c r="N907" s="753" t="s">
        <v>6845</v>
      </c>
      <c r="O907" s="650"/>
    </row>
    <row r="908" spans="2:15" s="896" customFormat="1" ht="25.5" hidden="1">
      <c r="B908" s="769">
        <f>SUMIF(ORC!$G$11:$G$2470,CPU!$F908,ORC!$J$11:$J$2470)</f>
        <v>0</v>
      </c>
      <c r="C908" s="515" t="s">
        <v>2239</v>
      </c>
      <c r="D908" s="515"/>
      <c r="E908" s="515"/>
      <c r="F908" s="515" t="s">
        <v>8728</v>
      </c>
      <c r="G908" s="594" t="s">
        <v>8711</v>
      </c>
      <c r="H908" s="515" t="s">
        <v>646</v>
      </c>
      <c r="I908" s="595"/>
      <c r="J908" s="596"/>
      <c r="K908" s="597">
        <f>SUM(K909)</f>
        <v>3062.85</v>
      </c>
      <c r="L908" s="597">
        <f>SUM(L909)</f>
        <v>0</v>
      </c>
      <c r="M908" s="596">
        <f>SUM(K908:L908)</f>
        <v>3062.85</v>
      </c>
      <c r="N908" s="598" t="s">
        <v>7577</v>
      </c>
      <c r="O908" s="651"/>
    </row>
    <row r="909" spans="2:15" s="896" customFormat="1" ht="25.5" hidden="1">
      <c r="B909" s="122">
        <f>B908</f>
        <v>0</v>
      </c>
      <c r="C909" s="611" t="str">
        <f>IF(D909&lt;&gt;"","C",IF(E909&lt;&gt;"","I",""))</f>
        <v>I</v>
      </c>
      <c r="D909" s="665"/>
      <c r="E909" s="664" t="s">
        <v>9121</v>
      </c>
      <c r="F909" s="626"/>
      <c r="G909" s="613" t="str">
        <f>IF($E909="",IFERROR(VLOOKUP($D909,SERVIÇOS!$C:$H,2,0),IFERROR(VLOOKUP($D909,$F:$M,2,0),"")),IFERROR(VLOOKUP($E909,INSUMOS!$B:$E,2,0),IFERROR(VLOOKUP($E909,COTAÇÕES!$C:$L,2,0),"")))</f>
        <v xml:space="preserve">MOBILIÁRIO 09 -  MESA EM "L" COM GAVETEIRO EM MDF COR FENDI, DIMENSÃO 239+160x60CM H=74CM </v>
      </c>
      <c r="H909" s="593" t="str">
        <f>IF($E909="",IFERROR(VLOOKUP($D909,SERVIÇOS!$C:$H,3,0),IFERROR(VLOOKUP($D909,$F:$M,3,0),"")),IFERROR(VLOOKUP($E909,INSUMOS!$B:$E,3,0),IFERROR(VLOOKUP($E909,COTAÇÕES!$C:$L,5,0),"")))</f>
        <v xml:space="preserve">UN </v>
      </c>
      <c r="I909" s="614">
        <v>1</v>
      </c>
      <c r="J909" s="670">
        <f>IF($E909="",IFERROR(VLOOKUP($D909,SERVIÇOS!$C:$H,6,0),IFERROR(VLOOKUP($D909,$F:$M,8,0),"")),IFERROR(VLOOKUP($E909,INSUMOS!$B:$E,4,0),IFERROR(VLOOKUP($E909,COTAÇÕES!$C:$L,10,0),"")))</f>
        <v>3062.8571428571427</v>
      </c>
      <c r="K909" s="615">
        <f>TRUNC(IF($E909="",IFERROR(VLOOKUP($D909,SERVIÇOS!$C:$H,4,0),IFERROR(VLOOKUP($D909,$F:$M,6,0),)),IFERROR(VLOOKUP($E909,INSUMOS!$B:$E,4,0),IFERROR(VLOOKUP($E909,COTAÇÕES!$C:$L,10,0),)))*$I909,2)</f>
        <v>3062.85</v>
      </c>
      <c r="L909" s="616">
        <f>TRUNC(IF($E909="",IFERROR(VLOOKUP($D909,SERVIÇOS!$C:$H,5,0),IFERROR(VLOOKUP($D909,$F:$M,7,0),)),0)*$I909,2)</f>
        <v>0</v>
      </c>
      <c r="M909" s="631">
        <f>K909+L909</f>
        <v>3062.85</v>
      </c>
      <c r="N909" s="753" t="s">
        <v>6845</v>
      </c>
      <c r="O909" s="650"/>
    </row>
    <row r="910" spans="2:15" s="896" customFormat="1" hidden="1">
      <c r="B910" s="769">
        <f>SUMIF(ORC!$G$11:$G$2470,CPU!$F910,ORC!$J$11:$J$2470)</f>
        <v>0</v>
      </c>
      <c r="C910" s="515" t="s">
        <v>2239</v>
      </c>
      <c r="D910" s="515"/>
      <c r="E910" s="515"/>
      <c r="F910" s="515" t="s">
        <v>8729</v>
      </c>
      <c r="G910" s="594" t="s">
        <v>8712</v>
      </c>
      <c r="H910" s="515" t="s">
        <v>646</v>
      </c>
      <c r="I910" s="595"/>
      <c r="J910" s="596"/>
      <c r="K910" s="597">
        <f>SUM(K911)</f>
        <v>860</v>
      </c>
      <c r="L910" s="597">
        <f>SUM(L911)</f>
        <v>0</v>
      </c>
      <c r="M910" s="596">
        <f>SUM(K910:L910)</f>
        <v>860</v>
      </c>
      <c r="N910" s="598" t="s">
        <v>7577</v>
      </c>
      <c r="O910" s="651"/>
    </row>
    <row r="911" spans="2:15" s="896" customFormat="1" hidden="1">
      <c r="B911" s="122">
        <f>B910</f>
        <v>0</v>
      </c>
      <c r="C911" s="611" t="str">
        <f>IF(D911&lt;&gt;"","C",IF(E911&lt;&gt;"","I",""))</f>
        <v>I</v>
      </c>
      <c r="D911" s="665"/>
      <c r="E911" s="664" t="s">
        <v>9122</v>
      </c>
      <c r="F911" s="626"/>
      <c r="G911" s="613" t="str">
        <f>IF($E911="",IFERROR(VLOOKUP($D911,SERVIÇOS!$C:$H,2,0),IFERROR(VLOOKUP($D911,$F:$M,2,0),"")),IFERROR(VLOOKUP($E911,INSUMOS!$B:$E,2,0),IFERROR(VLOOKUP($E911,COTAÇÕES!$C:$L,2,0),"")))</f>
        <v>MOBILIÁRIO 10 - GAVETEIRO COM 03 GAVETAS EM MDF COR FENDI, DIMENSÃO 40x38x65CM (CxLxA)</v>
      </c>
      <c r="H911" s="593" t="str">
        <f>IF($E911="",IFERROR(VLOOKUP($D911,SERVIÇOS!$C:$H,3,0),IFERROR(VLOOKUP($D911,$F:$M,3,0),"")),IFERROR(VLOOKUP($E911,INSUMOS!$B:$E,3,0),IFERROR(VLOOKUP($E911,COTAÇÕES!$C:$L,5,0),"")))</f>
        <v xml:space="preserve">UN </v>
      </c>
      <c r="I911" s="614">
        <v>1</v>
      </c>
      <c r="J911" s="670">
        <f>IF($E911="",IFERROR(VLOOKUP($D911,SERVIÇOS!$C:$H,6,0),IFERROR(VLOOKUP($D911,$F:$M,8,0),"")),IFERROR(VLOOKUP($E911,INSUMOS!$B:$E,4,0),IFERROR(VLOOKUP($E911,COTAÇÕES!$C:$L,10,0),"")))</f>
        <v>860</v>
      </c>
      <c r="K911" s="615">
        <f>TRUNC(IF($E911="",IFERROR(VLOOKUP($D911,SERVIÇOS!$C:$H,4,0),IFERROR(VLOOKUP($D911,$F:$M,6,0),)),IFERROR(VLOOKUP($E911,INSUMOS!$B:$E,4,0),IFERROR(VLOOKUP($E911,COTAÇÕES!$C:$L,10,0),)))*$I911,2)</f>
        <v>860</v>
      </c>
      <c r="L911" s="616">
        <f>TRUNC(IF($E911="",IFERROR(VLOOKUP($D911,SERVIÇOS!$C:$H,5,0),IFERROR(VLOOKUP($D911,$F:$M,7,0),)),0)*$I911,2)</f>
        <v>0</v>
      </c>
      <c r="M911" s="631">
        <f>K911+L911</f>
        <v>860</v>
      </c>
      <c r="N911" s="753" t="s">
        <v>6845</v>
      </c>
      <c r="O911" s="650"/>
    </row>
    <row r="912" spans="2:15" s="896" customFormat="1" hidden="1">
      <c r="B912" s="769">
        <f>SUMIF(ORC!$G$11:$G$2470,CPU!$F912,ORC!$J$11:$J$2470)</f>
        <v>0</v>
      </c>
      <c r="C912" s="515" t="s">
        <v>2239</v>
      </c>
      <c r="D912" s="515"/>
      <c r="E912" s="515"/>
      <c r="F912" s="515" t="s">
        <v>8730</v>
      </c>
      <c r="G912" s="594" t="s">
        <v>8713</v>
      </c>
      <c r="H912" s="515" t="s">
        <v>646</v>
      </c>
      <c r="I912" s="595"/>
      <c r="J912" s="596"/>
      <c r="K912" s="597">
        <f>SUM(K913)</f>
        <v>1017.77</v>
      </c>
      <c r="L912" s="597">
        <f>SUM(L913)</f>
        <v>0</v>
      </c>
      <c r="M912" s="596">
        <f>SUM(K912:L912)</f>
        <v>1017.77</v>
      </c>
      <c r="N912" s="598" t="s">
        <v>7577</v>
      </c>
      <c r="O912" s="651"/>
    </row>
    <row r="913" spans="1:15" s="896" customFormat="1" hidden="1">
      <c r="B913" s="122">
        <f>B912</f>
        <v>0</v>
      </c>
      <c r="C913" s="611" t="str">
        <f>IF(D913&lt;&gt;"","C",IF(E913&lt;&gt;"","I",""))</f>
        <v>I</v>
      </c>
      <c r="D913" s="665"/>
      <c r="E913" s="664" t="s">
        <v>9123</v>
      </c>
      <c r="F913" s="626"/>
      <c r="G913" s="613" t="str">
        <f>IF($E913="",IFERROR(VLOOKUP($D913,SERVIÇOS!$C:$H,2,0),IFERROR(VLOOKUP($D913,$F:$M,2,0),"")),IFERROR(VLOOKUP($E913,INSUMOS!$B:$E,2,0),IFERROR(VLOOKUP($E913,COTAÇÕES!$C:$L,2,0),"")))</f>
        <v>MOBILIÁRIO 11 - GAVETEIRO COM 03 GAVETAS EM MDF COR FENDI, DIMENSÃO 50x48x65CM (CxLxA)</v>
      </c>
      <c r="H913" s="593" t="str">
        <f>IF($E913="",IFERROR(VLOOKUP($D913,SERVIÇOS!$C:$H,3,0),IFERROR(VLOOKUP($D913,$F:$M,3,0),"")),IFERROR(VLOOKUP($E913,INSUMOS!$B:$E,3,0),IFERROR(VLOOKUP($E913,COTAÇÕES!$C:$L,5,0),"")))</f>
        <v xml:space="preserve">UN </v>
      </c>
      <c r="I913" s="614">
        <v>1</v>
      </c>
      <c r="J913" s="670">
        <f>IF($E913="",IFERROR(VLOOKUP($D913,SERVIÇOS!$C:$H,6,0),IFERROR(VLOOKUP($D913,$F:$M,8,0),"")),IFERROR(VLOOKUP($E913,INSUMOS!$B:$E,4,0),IFERROR(VLOOKUP($E913,COTAÇÕES!$C:$L,10,0),"")))</f>
        <v>1017.7777777777778</v>
      </c>
      <c r="K913" s="615">
        <f>TRUNC(IF($E913="",IFERROR(VLOOKUP($D913,SERVIÇOS!$C:$H,4,0),IFERROR(VLOOKUP($D913,$F:$M,6,0),)),IFERROR(VLOOKUP($E913,INSUMOS!$B:$E,4,0),IFERROR(VLOOKUP($E913,COTAÇÕES!$C:$L,10,0),)))*$I913,2)</f>
        <v>1017.77</v>
      </c>
      <c r="L913" s="616">
        <f>TRUNC(IF($E913="",IFERROR(VLOOKUP($D913,SERVIÇOS!$C:$H,5,0),IFERROR(VLOOKUP($D913,$F:$M,7,0),)),0)*$I913,2)</f>
        <v>0</v>
      </c>
      <c r="M913" s="631">
        <f>K913+L913</f>
        <v>1017.77</v>
      </c>
      <c r="N913" s="753" t="s">
        <v>6845</v>
      </c>
      <c r="O913" s="650"/>
    </row>
    <row r="914" spans="1:15" s="896" customFormat="1" hidden="1">
      <c r="B914" s="769">
        <f>SUMIF(ORC!$G$11:$G$2470,CPU!$F914,ORC!$J$11:$J$2470)</f>
        <v>0</v>
      </c>
      <c r="C914" s="515" t="s">
        <v>2239</v>
      </c>
      <c r="D914" s="515"/>
      <c r="E914" s="515"/>
      <c r="F914" s="515" t="s">
        <v>8731</v>
      </c>
      <c r="G914" s="594" t="s">
        <v>8714</v>
      </c>
      <c r="H914" s="515" t="s">
        <v>646</v>
      </c>
      <c r="I914" s="595"/>
      <c r="J914" s="596"/>
      <c r="K914" s="597">
        <f>SUM(K915)</f>
        <v>127.22</v>
      </c>
      <c r="L914" s="597">
        <f>SUM(L915)</f>
        <v>0</v>
      </c>
      <c r="M914" s="596">
        <f>SUM(K914:L914)</f>
        <v>127.22</v>
      </c>
      <c r="N914" s="598" t="s">
        <v>7577</v>
      </c>
      <c r="O914" s="651"/>
    </row>
    <row r="915" spans="1:15" s="896" customFormat="1" hidden="1">
      <c r="B915" s="122">
        <f>B914</f>
        <v>0</v>
      </c>
      <c r="C915" s="611" t="str">
        <f>IF(D915&lt;&gt;"","C",IF(E915&lt;&gt;"","I",""))</f>
        <v>I</v>
      </c>
      <c r="D915" s="665"/>
      <c r="E915" s="664" t="s">
        <v>9124</v>
      </c>
      <c r="F915" s="626"/>
      <c r="G915" s="613" t="str">
        <f>IF($E915="",IFERROR(VLOOKUP($D915,SERVIÇOS!$C:$H,2,0),IFERROR(VLOOKUP($D915,$F:$M,2,0),"")),IFERROR(VLOOKUP($E915,INSUMOS!$B:$E,2,0),IFERROR(VLOOKUP($E915,COTAÇÕES!$C:$L,2,0),"")))</f>
        <v>MOBILIÁRIO 12 - SUPORTE PARA CPU EM MDF COR FENDI, DIMENSÃO 55x30x25CM (CxLxA)</v>
      </c>
      <c r="H915" s="593" t="str">
        <f>IF($E915="",IFERROR(VLOOKUP($D915,SERVIÇOS!$C:$H,3,0),IFERROR(VLOOKUP($D915,$F:$M,3,0),"")),IFERROR(VLOOKUP($E915,INSUMOS!$B:$E,3,0),IFERROR(VLOOKUP($E915,COTAÇÕES!$C:$L,5,0),"")))</f>
        <v xml:space="preserve">UN </v>
      </c>
      <c r="I915" s="614">
        <v>1</v>
      </c>
      <c r="J915" s="670">
        <f>IF($E915="",IFERROR(VLOOKUP($D915,SERVIÇOS!$C:$H,6,0),IFERROR(VLOOKUP($D915,$F:$M,8,0),"")),IFERROR(VLOOKUP($E915,INSUMOS!$B:$E,4,0),IFERROR(VLOOKUP($E915,COTAÇÕES!$C:$L,10,0),"")))</f>
        <v>127.22222222222223</v>
      </c>
      <c r="K915" s="615">
        <f>TRUNC(IF($E915="",IFERROR(VLOOKUP($D915,SERVIÇOS!$C:$H,4,0),IFERROR(VLOOKUP($D915,$F:$M,6,0),)),IFERROR(VLOOKUP($E915,INSUMOS!$B:$E,4,0),IFERROR(VLOOKUP($E915,COTAÇÕES!$C:$L,10,0),)))*$I915,2)</f>
        <v>127.22</v>
      </c>
      <c r="L915" s="616">
        <f>TRUNC(IF($E915="",IFERROR(VLOOKUP($D915,SERVIÇOS!$C:$H,5,0),IFERROR(VLOOKUP($D915,$F:$M,7,0),)),0)*$I915,2)</f>
        <v>0</v>
      </c>
      <c r="M915" s="631">
        <f>K915+L915</f>
        <v>127.22</v>
      </c>
      <c r="N915" s="753" t="s">
        <v>6845</v>
      </c>
      <c r="O915" s="650"/>
    </row>
    <row r="916" spans="1:15" s="896" customFormat="1" ht="25.5" hidden="1">
      <c r="B916" s="769">
        <f>SUMIF(ORC!$G$11:$G$2470,CPU!$F916,ORC!$J$11:$J$2470)</f>
        <v>0</v>
      </c>
      <c r="C916" s="515" t="s">
        <v>2239</v>
      </c>
      <c r="D916" s="515"/>
      <c r="E916" s="515"/>
      <c r="F916" s="515" t="s">
        <v>8732</v>
      </c>
      <c r="G916" s="594" t="s">
        <v>8715</v>
      </c>
      <c r="H916" s="515" t="s">
        <v>646</v>
      </c>
      <c r="I916" s="595"/>
      <c r="J916" s="596"/>
      <c r="K916" s="597">
        <f>SUM(K917)</f>
        <v>3195</v>
      </c>
      <c r="L916" s="597">
        <f>SUM(L917)</f>
        <v>0</v>
      </c>
      <c r="M916" s="596">
        <f>SUM(K916:L916)</f>
        <v>3195</v>
      </c>
      <c r="N916" s="598" t="s">
        <v>7577</v>
      </c>
      <c r="O916" s="651"/>
    </row>
    <row r="917" spans="1:15" s="896" customFormat="1" ht="25.5" hidden="1">
      <c r="B917" s="122">
        <f>B916</f>
        <v>0</v>
      </c>
      <c r="C917" s="611" t="str">
        <f>IF(D917&lt;&gt;"","C",IF(E917&lt;&gt;"","I",""))</f>
        <v>I</v>
      </c>
      <c r="D917" s="665"/>
      <c r="E917" s="664" t="s">
        <v>9125</v>
      </c>
      <c r="F917" s="626"/>
      <c r="G917" s="613" t="str">
        <f>IF($E917="",IFERROR(VLOOKUP($D917,SERVIÇOS!$C:$H,2,0),IFERROR(VLOOKUP($D917,$F:$M,2,0),"")),IFERROR(VLOOKUP($E917,INSUMOS!$B:$E,2,0),IFERROR(VLOOKUP($E917,COTAÇÕES!$C:$L,2,0),"")))</f>
        <v>MOBILIÁRIO 13 - ARMÁRIO INFERIOR PARA COPA EM MDF BRANCO TX INTERNO E EXTERNO COM GAVETAS E PORTAS EM MDF FENDI, DIMENSÃO 190+148x60CM H=76CM</v>
      </c>
      <c r="H917" s="593" t="str">
        <f>IF($E917="",IFERROR(VLOOKUP($D917,SERVIÇOS!$C:$H,3,0),IFERROR(VLOOKUP($D917,$F:$M,3,0),"")),IFERROR(VLOOKUP($E917,INSUMOS!$B:$E,3,0),IFERROR(VLOOKUP($E917,COTAÇÕES!$C:$L,5,0),"")))</f>
        <v xml:space="preserve">UN </v>
      </c>
      <c r="I917" s="614">
        <v>1</v>
      </c>
      <c r="J917" s="670">
        <f>IF($E917="",IFERROR(VLOOKUP($D917,SERVIÇOS!$C:$H,6,0),IFERROR(VLOOKUP($D917,$F:$M,8,0),"")),IFERROR(VLOOKUP($E917,INSUMOS!$B:$E,4,0),IFERROR(VLOOKUP($E917,COTAÇÕES!$C:$L,10,0),"")))</f>
        <v>3195</v>
      </c>
      <c r="K917" s="615">
        <f>TRUNC(IF($E917="",IFERROR(VLOOKUP($D917,SERVIÇOS!$C:$H,4,0),IFERROR(VLOOKUP($D917,$F:$M,6,0),)),IFERROR(VLOOKUP($E917,INSUMOS!$B:$E,4,0),IFERROR(VLOOKUP($E917,COTAÇÕES!$C:$L,10,0),)))*$I917,2)</f>
        <v>3195</v>
      </c>
      <c r="L917" s="616">
        <f>TRUNC(IF($E917="",IFERROR(VLOOKUP($D917,SERVIÇOS!$C:$H,5,0),IFERROR(VLOOKUP($D917,$F:$M,7,0),)),0)*$I917,2)</f>
        <v>0</v>
      </c>
      <c r="M917" s="631">
        <f>K917+L917</f>
        <v>3195</v>
      </c>
      <c r="N917" s="753" t="s">
        <v>6845</v>
      </c>
      <c r="O917" s="650"/>
    </row>
    <row r="918" spans="1:15" s="896" customFormat="1" ht="25.5" hidden="1">
      <c r="B918" s="769">
        <f>SUMIF(ORC!$G$11:$G$2470,CPU!$F918,ORC!$J$11:$J$2470)</f>
        <v>0</v>
      </c>
      <c r="C918" s="515" t="s">
        <v>2239</v>
      </c>
      <c r="D918" s="515"/>
      <c r="E918" s="515"/>
      <c r="F918" s="515" t="s">
        <v>8733</v>
      </c>
      <c r="G918" s="594" t="s">
        <v>8716</v>
      </c>
      <c r="H918" s="515" t="s">
        <v>646</v>
      </c>
      <c r="I918" s="595"/>
      <c r="J918" s="596"/>
      <c r="K918" s="597">
        <f>SUM(K919)</f>
        <v>3105</v>
      </c>
      <c r="L918" s="597">
        <f>SUM(L919)</f>
        <v>0</v>
      </c>
      <c r="M918" s="596">
        <f>SUM(K918:L918)</f>
        <v>3105</v>
      </c>
      <c r="N918" s="598" t="s">
        <v>7577</v>
      </c>
      <c r="O918" s="651"/>
    </row>
    <row r="919" spans="1:15" s="896" customFormat="1" ht="25.5" hidden="1">
      <c r="B919" s="122">
        <f>B918</f>
        <v>0</v>
      </c>
      <c r="C919" s="611" t="str">
        <f>IF(D919&lt;&gt;"","C",IF(E919&lt;&gt;"","I",""))</f>
        <v>I</v>
      </c>
      <c r="D919" s="665"/>
      <c r="E919" s="664" t="s">
        <v>9126</v>
      </c>
      <c r="F919" s="626"/>
      <c r="G919" s="613" t="str">
        <f>IF($E919="",IFERROR(VLOOKUP($D919,SERVIÇOS!$C:$H,2,0),IFERROR(VLOOKUP($D919,$F:$M,2,0),"")),IFERROR(VLOOKUP($E919,INSUMOS!$B:$E,2,0),IFERROR(VLOOKUP($E919,COTAÇÕES!$C:$L,2,0),"")))</f>
        <v>MOBILIÁRIO 13 - ARMÁRIO SUPERIOR COM NICHO PARA MICROONDAS E PORTAS DE GIRO EM MDF FENDI, DIMENSÃO 190+148x40CM H=95CM</v>
      </c>
      <c r="H919" s="593" t="str">
        <f>IF($E919="",IFERROR(VLOOKUP($D919,SERVIÇOS!$C:$H,3,0),IFERROR(VLOOKUP($D919,$F:$M,3,0),"")),IFERROR(VLOOKUP($E919,INSUMOS!$B:$E,3,0),IFERROR(VLOOKUP($E919,COTAÇÕES!$C:$L,5,0),"")))</f>
        <v xml:space="preserve">UN </v>
      </c>
      <c r="I919" s="614">
        <v>1</v>
      </c>
      <c r="J919" s="670">
        <f>IF($E919="",IFERROR(VLOOKUP($D919,SERVIÇOS!$C:$H,6,0),IFERROR(VLOOKUP($D919,$F:$M,8,0),"")),IFERROR(VLOOKUP($E919,INSUMOS!$B:$E,4,0),IFERROR(VLOOKUP($E919,COTAÇÕES!$C:$L,10,0),"")))</f>
        <v>3105</v>
      </c>
      <c r="K919" s="615">
        <f>TRUNC(IF($E919="",IFERROR(VLOOKUP($D919,SERVIÇOS!$C:$H,4,0),IFERROR(VLOOKUP($D919,$F:$M,6,0),)),IFERROR(VLOOKUP($E919,INSUMOS!$B:$E,4,0),IFERROR(VLOOKUP($E919,COTAÇÕES!$C:$L,10,0),)))*$I919,2)</f>
        <v>3105</v>
      </c>
      <c r="L919" s="616">
        <f>TRUNC(IF($E919="",IFERROR(VLOOKUP($D919,SERVIÇOS!$C:$H,5,0),IFERROR(VLOOKUP($D919,$F:$M,7,0),)),0)*$I919,2)</f>
        <v>0</v>
      </c>
      <c r="M919" s="631">
        <f>K919+L919</f>
        <v>3105</v>
      </c>
      <c r="N919" s="753" t="s">
        <v>6845</v>
      </c>
      <c r="O919" s="650"/>
    </row>
    <row r="920" spans="1:15" s="896" customFormat="1" ht="25.5" hidden="1">
      <c r="B920" s="769">
        <f>SUMIF(ORC!$G$11:$G$2470,CPU!$F920,ORC!$J$11:$J$2470)</f>
        <v>0</v>
      </c>
      <c r="C920" s="515" t="s">
        <v>2239</v>
      </c>
      <c r="D920" s="515"/>
      <c r="E920" s="515"/>
      <c r="F920" s="515" t="s">
        <v>8734</v>
      </c>
      <c r="G920" s="594" t="s">
        <v>8717</v>
      </c>
      <c r="H920" s="515" t="s">
        <v>646</v>
      </c>
      <c r="I920" s="595"/>
      <c r="J920" s="596"/>
      <c r="K920" s="597">
        <f>SUM(K921)</f>
        <v>3065</v>
      </c>
      <c r="L920" s="597">
        <f>SUM(L921)</f>
        <v>0</v>
      </c>
      <c r="M920" s="596">
        <f>SUM(K920:L920)</f>
        <v>3065</v>
      </c>
      <c r="N920" s="598" t="s">
        <v>7577</v>
      </c>
      <c r="O920" s="651"/>
    </row>
    <row r="921" spans="1:15" s="896" customFormat="1" ht="25.5" hidden="1">
      <c r="B921" s="122">
        <f>B920</f>
        <v>0</v>
      </c>
      <c r="C921" s="611" t="str">
        <f>IF(D921&lt;&gt;"","C",IF(E921&lt;&gt;"","I",""))</f>
        <v>I</v>
      </c>
      <c r="D921" s="665"/>
      <c r="E921" s="664" t="s">
        <v>9127</v>
      </c>
      <c r="F921" s="626"/>
      <c r="G921" s="613" t="str">
        <f>IF($E921="",IFERROR(VLOOKUP($D921,SERVIÇOS!$C:$H,2,0),IFERROR(VLOOKUP($D921,$F:$M,2,0),"")),IFERROR(VLOOKUP($E921,INSUMOS!$B:$E,2,0),IFERROR(VLOOKUP($E921,COTAÇÕES!$C:$L,2,0),"")))</f>
        <v xml:space="preserve">MOBILIÁRIO 14 -  MESA EM "L" COM GAVETEIRO EM MDF COR FENDI, DIMENSÃO 239+160x60CM H=74CM </v>
      </c>
      <c r="H921" s="593" t="str">
        <f>IF($E921="",IFERROR(VLOOKUP($D921,SERVIÇOS!$C:$H,3,0),IFERROR(VLOOKUP($D921,$F:$M,3,0),"")),IFERROR(VLOOKUP($E921,INSUMOS!$B:$E,3,0),IFERROR(VLOOKUP($E921,COTAÇÕES!$C:$L,5,0),"")))</f>
        <v xml:space="preserve">UN </v>
      </c>
      <c r="I921" s="614">
        <v>1</v>
      </c>
      <c r="J921" s="670">
        <f>IF($E921="",IFERROR(VLOOKUP($D921,SERVIÇOS!$C:$H,6,0),IFERROR(VLOOKUP($D921,$F:$M,8,0),"")),IFERROR(VLOOKUP($E921,INSUMOS!$B:$E,4,0),IFERROR(VLOOKUP($E921,COTAÇÕES!$C:$L,10,0),"")))</f>
        <v>3065</v>
      </c>
      <c r="K921" s="615">
        <f>TRUNC(IF($E921="",IFERROR(VLOOKUP($D921,SERVIÇOS!$C:$H,4,0),IFERROR(VLOOKUP($D921,$F:$M,6,0),)),IFERROR(VLOOKUP($E921,INSUMOS!$B:$E,4,0),IFERROR(VLOOKUP($E921,COTAÇÕES!$C:$L,10,0),)))*$I921,2)</f>
        <v>3065</v>
      </c>
      <c r="L921" s="616">
        <f>TRUNC(IF($E921="",IFERROR(VLOOKUP($D921,SERVIÇOS!$C:$H,5,0),IFERROR(VLOOKUP($D921,$F:$M,7,0),)),0)*$I921,2)</f>
        <v>0</v>
      </c>
      <c r="M921" s="631">
        <f>K921+L921</f>
        <v>3065</v>
      </c>
      <c r="N921" s="753" t="s">
        <v>6845</v>
      </c>
      <c r="O921" s="650"/>
    </row>
    <row r="922" spans="1:15" s="896" customFormat="1" ht="76.5" hidden="1">
      <c r="B922" s="769">
        <f>SUMIF(ORC!$G$11:$G$2470,CPU!$F922,ORC!$J$11:$J$2470)</f>
        <v>0</v>
      </c>
      <c r="C922" s="515" t="s">
        <v>2239</v>
      </c>
      <c r="D922" s="515"/>
      <c r="E922" s="515"/>
      <c r="F922" s="515" t="s">
        <v>8735</v>
      </c>
      <c r="G922" s="594" t="s">
        <v>8740</v>
      </c>
      <c r="H922" s="515" t="s">
        <v>646</v>
      </c>
      <c r="I922" s="595"/>
      <c r="J922" s="596"/>
      <c r="K922" s="597">
        <f>SUM(K923:K924)</f>
        <v>2516.6899999999996</v>
      </c>
      <c r="L922" s="597">
        <f>SUM(L923:L924)</f>
        <v>0</v>
      </c>
      <c r="M922" s="596">
        <f>SUM(K922:L922)</f>
        <v>2516.6899999999996</v>
      </c>
      <c r="N922" s="598" t="s">
        <v>7577</v>
      </c>
      <c r="O922" s="651"/>
    </row>
    <row r="923" spans="1:15" s="896" customFormat="1" ht="38.25" hidden="1">
      <c r="B923" s="122">
        <f t="shared" ref="B923:B924" si="403">B922</f>
        <v>0</v>
      </c>
      <c r="C923" s="611" t="str">
        <f>IF(D923&lt;&gt;"","C",IF(E923&lt;&gt;"","I",""))</f>
        <v>I</v>
      </c>
      <c r="D923" s="665"/>
      <c r="E923" s="664" t="s">
        <v>9128</v>
      </c>
      <c r="F923" s="626"/>
      <c r="G923" s="613" t="str">
        <f>IF($E923="",IFERROR(VLOOKUP($D923,SERVIÇOS!$C:$H,2,0),IFERROR(VLOOKUP($D923,$F:$M,2,0),"")),IFERROR(VLOOKUP($E923,INSUMOS!$B:$E,2,0),IFERROR(VLOOKUP($E923,COTAÇÕES!$C:$L,2,0),"")))</f>
        <v>POLTRONA INDIVIDUAL OU FILEIRAS PARA AUDITÓRIO COM ASSENTO E ESCONSTO REBATÍVEIS, ESTRUTURADOS EM COMPENSADO MULTILAMINADO REVESTIDO, ESTOFADO COM ESPUMA FLEXÍVEL DE POLIURETANO, REF 58796 OU EQUIVALENTE TÉCNICO</v>
      </c>
      <c r="H923" s="593" t="str">
        <f>IF($E923="",IFERROR(VLOOKUP($D923,SERVIÇOS!$C:$H,3,0),IFERROR(VLOOKUP($D923,$F:$M,3,0),"")),IFERROR(VLOOKUP($E923,INSUMOS!$B:$E,3,0),IFERROR(VLOOKUP($E923,COTAÇÕES!$C:$L,5,0),"")))</f>
        <v xml:space="preserve">UN </v>
      </c>
      <c r="I923" s="614">
        <v>1</v>
      </c>
      <c r="J923" s="670">
        <f>IF($E923="",IFERROR(VLOOKUP($D923,SERVIÇOS!$C:$H,6,0),IFERROR(VLOOKUP($D923,$F:$M,8,0),"")),IFERROR(VLOOKUP($E923,INSUMOS!$B:$E,4,0),IFERROR(VLOOKUP($E923,COTAÇÕES!$C:$L,10,0),"")))</f>
        <v>2326.6877227722775</v>
      </c>
      <c r="K923" s="615">
        <f>TRUNC(IF($E923="",IFERROR(VLOOKUP($D923,SERVIÇOS!$C:$H,4,0),IFERROR(VLOOKUP($D923,$F:$M,6,0),)),IFERROR(VLOOKUP($E923,INSUMOS!$B:$E,4,0),IFERROR(VLOOKUP($E923,COTAÇÕES!$C:$L,10,0),)))*$I923,2)</f>
        <v>2326.6799999999998</v>
      </c>
      <c r="L923" s="616">
        <f>TRUNC(IF($E923="",IFERROR(VLOOKUP($D923,SERVIÇOS!$C:$H,5,0),IFERROR(VLOOKUP($D923,$F:$M,7,0),)),0)*$I923,2)</f>
        <v>0</v>
      </c>
      <c r="M923" s="631">
        <f>K923+L923</f>
        <v>2326.6799999999998</v>
      </c>
      <c r="N923" s="753" t="s">
        <v>6845</v>
      </c>
      <c r="O923" s="650"/>
    </row>
    <row r="924" spans="1:15" s="896" customFormat="1" hidden="1">
      <c r="B924" s="122">
        <f t="shared" si="403"/>
        <v>0</v>
      </c>
      <c r="C924" s="611" t="str">
        <f>IF(D924&lt;&gt;"","C",IF(E924&lt;&gt;"","I",""))</f>
        <v>I</v>
      </c>
      <c r="D924" s="665"/>
      <c r="E924" s="664" t="s">
        <v>9129</v>
      </c>
      <c r="F924" s="626"/>
      <c r="G924" s="613" t="str">
        <f>IF($E924="",IFERROR(VLOOKUP($D924,SERVIÇOS!$C:$H,2,0),IFERROR(VLOOKUP($D924,$F:$M,2,0),"")),IFERROR(VLOOKUP($E924,INSUMOS!$B:$E,2,0),IFERROR(VLOOKUP($E924,COTAÇÕES!$C:$L,2,0),"")))</f>
        <v>INSTALAÇÃO DAS POLTRONAS</v>
      </c>
      <c r="H924" s="593" t="str">
        <f>IF($E924="",IFERROR(VLOOKUP($D924,SERVIÇOS!$C:$H,3,0),IFERROR(VLOOKUP($D924,$F:$M,3,0),"")),IFERROR(VLOOKUP($E924,INSUMOS!$B:$E,3,0),IFERROR(VLOOKUP($E924,COTAÇÕES!$C:$L,5,0),"")))</f>
        <v xml:space="preserve">UN </v>
      </c>
      <c r="I924" s="614">
        <v>1</v>
      </c>
      <c r="J924" s="670">
        <f>IF($E924="",IFERROR(VLOOKUP($D924,SERVIÇOS!$C:$H,6,0),IFERROR(VLOOKUP($D924,$F:$M,8,0),"")),IFERROR(VLOOKUP($E924,INSUMOS!$B:$E,4,0),IFERROR(VLOOKUP($E924,COTAÇÕES!$C:$L,10,0),"")))</f>
        <v>190.01520000000002</v>
      </c>
      <c r="K924" s="615">
        <f>TRUNC(IF($E924="",IFERROR(VLOOKUP($D924,SERVIÇOS!$C:$H,4,0),IFERROR(VLOOKUP($D924,$F:$M,6,0),)),IFERROR(VLOOKUP($E924,INSUMOS!$B:$E,4,0),IFERROR(VLOOKUP($E924,COTAÇÕES!$C:$L,10,0),)))*$I924,2)</f>
        <v>190.01</v>
      </c>
      <c r="L924" s="616">
        <f>TRUNC(IF($E924="",IFERROR(VLOOKUP($D924,SERVIÇOS!$C:$H,5,0),IFERROR(VLOOKUP($D924,$F:$M,7,0),)),0)*$I924,2)</f>
        <v>0</v>
      </c>
      <c r="M924" s="631">
        <f>K924+L924</f>
        <v>190.01</v>
      </c>
      <c r="N924" s="753" t="s">
        <v>6845</v>
      </c>
      <c r="O924" s="650"/>
    </row>
    <row r="925" spans="1:15" s="893" customFormat="1">
      <c r="A925" s="893" t="s">
        <v>7483</v>
      </c>
      <c r="C925" s="607"/>
      <c r="D925" s="607"/>
      <c r="E925" s="607"/>
      <c r="F925" s="607"/>
      <c r="G925" s="609" t="s">
        <v>5287</v>
      </c>
      <c r="H925" s="607"/>
      <c r="I925" s="607"/>
      <c r="J925" s="607"/>
      <c r="K925" s="607"/>
      <c r="L925" s="607"/>
      <c r="M925" s="607"/>
      <c r="N925" s="756"/>
      <c r="O925" s="607"/>
    </row>
    <row r="926" spans="1:15" s="896" customFormat="1" ht="25.5" hidden="1">
      <c r="B926" s="769">
        <f>SUMIF(ORC!$G$11:$G$2470,CPU!$F926,ORC!$J$11:$J$2470)</f>
        <v>0</v>
      </c>
      <c r="C926" s="515" t="s">
        <v>2239</v>
      </c>
      <c r="D926" s="515"/>
      <c r="E926" s="515"/>
      <c r="F926" s="515" t="s">
        <v>6792</v>
      </c>
      <c r="G926" s="594" t="s">
        <v>7532</v>
      </c>
      <c r="H926" s="515" t="s">
        <v>646</v>
      </c>
      <c r="I926" s="595"/>
      <c r="J926" s="596"/>
      <c r="K926" s="597">
        <f>SUM(K927:K928)</f>
        <v>411.87</v>
      </c>
      <c r="L926" s="597">
        <f>SUM(L927:L928)</f>
        <v>180.5</v>
      </c>
      <c r="M926" s="596">
        <f>SUM(K926:L926)</f>
        <v>592.37</v>
      </c>
      <c r="N926" s="598" t="s">
        <v>7531</v>
      </c>
      <c r="O926" s="651"/>
    </row>
    <row r="927" spans="1:15" s="896" customFormat="1" ht="25.5" hidden="1">
      <c r="B927" s="122">
        <f t="shared" ref="B927:B928" si="404">B926</f>
        <v>0</v>
      </c>
      <c r="C927" s="611" t="str">
        <f>IF(D927&lt;&gt;"","C",IF(E927&lt;&gt;"","I",""))</f>
        <v>C</v>
      </c>
      <c r="D927" s="665">
        <v>101174</v>
      </c>
      <c r="E927" s="664"/>
      <c r="F927" s="626"/>
      <c r="G927" s="613" t="str">
        <f>IF($E927="",IFERROR(VLOOKUP($D927,SERVIÇOS!$C:$H,2,0),IFERROR(VLOOKUP($D927,$F:$M,2,0),"")),IFERROR(VLOOKUP($E927,INSUMOS!$B:$E,2,0),IFERROR(VLOOKUP($E927,COTAÇÕES!$C:$L,2,0),"")))</f>
        <v>ESTACA BROCA DE CONCRETO, DIÂMETRO DE 25CM, ESCAVAÇÃO MANUAL COM TRADO CONCHA, COM ARMADURA DE ARRANQUE. AF_05/2020</v>
      </c>
      <c r="H927" s="593" t="str">
        <f>IF($E927="",IFERROR(VLOOKUP($D927,SERVIÇOS!$C:$H,3,0),IFERROR(VLOOKUP($D927,$F:$M,3,0),"")),IFERROR(VLOOKUP($E927,INSUMOS!$B:$E,3,0),IFERROR(VLOOKUP($E927,COTAÇÕES!$C:$L,5,0),"")))</f>
        <v>M</v>
      </c>
      <c r="I927" s="614">
        <f>1.33*2</f>
        <v>2.66</v>
      </c>
      <c r="J927" s="670">
        <f>IF($E927="",IFERROR(VLOOKUP($D927,SERVIÇOS!$C:$H,6,0),IFERROR(VLOOKUP($D927,$F:$M,8,0),"")),IFERROR(VLOOKUP($E927,INSUMOS!$B:$E,4,0),IFERROR(VLOOKUP($E927,COTAÇÕES!$C:$L,10,0),"")))</f>
        <v>87.47</v>
      </c>
      <c r="K927" s="615">
        <f>TRUNC(IF($E927="",IFERROR(VLOOKUP($D927,SERVIÇOS!$C:$H,4,0),IFERROR(VLOOKUP($D927,$F:$M,6,0),)),IFERROR(VLOOKUP($E927,INSUMOS!$B:$E,4,0),IFERROR(VLOOKUP($E927,COTAÇÕES!$C:$L,10,0),)))*$I927,2)</f>
        <v>125.09</v>
      </c>
      <c r="L927" s="616">
        <f>TRUNC(IF($E927="",IFERROR(VLOOKUP($D927,SERVIÇOS!$C:$H,5,0),IFERROR(VLOOKUP($D927,$F:$M,7,0),)),0)*$I927,2)</f>
        <v>107.57</v>
      </c>
      <c r="M927" s="631">
        <f>K927+L927</f>
        <v>232.66</v>
      </c>
      <c r="N927" s="757" t="str">
        <f>IF($C927&lt;&gt;"","SERVIÇO SINAPI",IF($D927&lt;&gt;"","INSUMO SINAPI",""))</f>
        <v>SERVIÇO SINAPI</v>
      </c>
      <c r="O927" s="650"/>
    </row>
    <row r="928" spans="1:15" s="896" customFormat="1" ht="25.5" hidden="1">
      <c r="B928" s="122">
        <f t="shared" si="404"/>
        <v>0</v>
      </c>
      <c r="C928" s="611" t="str">
        <f>IF(D928&lt;&gt;"","C",IF(E928&lt;&gt;"","I",""))</f>
        <v>C</v>
      </c>
      <c r="D928" s="665">
        <v>95957</v>
      </c>
      <c r="E928" s="664"/>
      <c r="F928" s="626"/>
      <c r="G928" s="613" t="str">
        <f>IF($E928="",IFERROR(VLOOKUP($D928,SERVIÇOS!$C:$H,2,0),IFERROR(VLOOKUP($D928,$F:$M,2,0),"")),IFERROR(VLOOKUP($E928,INSUMOS!$B:$E,2,0),IFERROR(VLOOKUP($E928,COTAÇÕES!$C:$L,2,0),"")))</f>
        <v>(COMPOSIÇÃO REPRESENTATIVA) EXECUÇÃO DE ESTRUTURAS DE CONCRETO ARMADO, PARA EDIFICAÇÃO INSTITUCIONAL TÉRREA, FCK = 25 MPA. AF_01/2017</v>
      </c>
      <c r="H928" s="593" t="str">
        <f>IF($E928="",IFERROR(VLOOKUP($D928,SERVIÇOS!$C:$H,3,0),IFERROR(VLOOKUP($D928,$F:$M,3,0),"")),IFERROR(VLOOKUP($E928,INSUMOS!$B:$E,3,0),IFERROR(VLOOKUP($E928,COTAÇÕES!$C:$L,5,0),"")))</f>
        <v>M3</v>
      </c>
      <c r="I928" s="614">
        <f>0.055*2</f>
        <v>0.11</v>
      </c>
      <c r="J928" s="670">
        <f>IF($E928="",IFERROR(VLOOKUP($D928,SERVIÇOS!$C:$H,6,0),IFERROR(VLOOKUP($D928,$F:$M,8,0),"")),IFERROR(VLOOKUP($E928,INSUMOS!$B:$E,4,0),IFERROR(VLOOKUP($E928,COTAÇÕES!$C:$L,10,0),"")))</f>
        <v>3270.22</v>
      </c>
      <c r="K928" s="615">
        <f>TRUNC(IF($E928="",IFERROR(VLOOKUP($D928,SERVIÇOS!$C:$H,4,0),IFERROR(VLOOKUP($D928,$F:$M,6,0),)),IFERROR(VLOOKUP($E928,INSUMOS!$B:$E,4,0),IFERROR(VLOOKUP($E928,COTAÇÕES!$C:$L,10,0),)))*$I928,2)</f>
        <v>286.77999999999997</v>
      </c>
      <c r="L928" s="616">
        <f>TRUNC(IF($E928="",IFERROR(VLOOKUP($D928,SERVIÇOS!$C:$H,5,0),IFERROR(VLOOKUP($D928,$F:$M,7,0),)),0)*$I928,2)</f>
        <v>72.930000000000007</v>
      </c>
      <c r="M928" s="631">
        <f>K928+L928</f>
        <v>359.71</v>
      </c>
      <c r="N928" s="757" t="str">
        <f>IF($C928&lt;&gt;"","SERVIÇO SINAPI",IF($D928&lt;&gt;"","INSUMO SINAPI",""))</f>
        <v>SERVIÇO SINAPI</v>
      </c>
      <c r="O928" s="650"/>
    </row>
    <row r="929" spans="2:15">
      <c r="B929" s="769">
        <f>SUMIF(ORC!$G$11:$G$2470,CPU!$F929,ORC!$J$11:$J$2470)</f>
        <v>10</v>
      </c>
      <c r="C929" s="515" t="s">
        <v>2239</v>
      </c>
      <c r="D929" s="515"/>
      <c r="E929" s="515"/>
      <c r="F929" s="515" t="s">
        <v>6769</v>
      </c>
      <c r="G929" s="594" t="s">
        <v>6793</v>
      </c>
      <c r="H929" s="515" t="s">
        <v>5280</v>
      </c>
      <c r="I929" s="595"/>
      <c r="J929" s="596"/>
      <c r="K929" s="597">
        <f>SUM(K930:K934)</f>
        <v>210.48000000000002</v>
      </c>
      <c r="L929" s="597">
        <f>SUM(L930:L934)</f>
        <v>87.43</v>
      </c>
      <c r="M929" s="596">
        <f>SUM(K929:L929)</f>
        <v>297.91000000000003</v>
      </c>
      <c r="N929" s="758"/>
      <c r="O929" s="599"/>
    </row>
    <row r="930" spans="2:15">
      <c r="B930" s="122">
        <f t="shared" ref="B930:B934" si="405">B929</f>
        <v>10</v>
      </c>
      <c r="C930" s="611" t="str">
        <f>IF(D930&lt;&gt;"","C",IF(E930&lt;&gt;"","I",""))</f>
        <v>C</v>
      </c>
      <c r="D930" s="660">
        <v>88309</v>
      </c>
      <c r="E930" s="661"/>
      <c r="F930" s="612"/>
      <c r="G930" s="613" t="str">
        <f>IF($E930="",IFERROR(VLOOKUP($D930,SERVIÇOS!$C:$H,2,0),IFERROR(VLOOKUP($D930,$F:$M,2,0),"")),IFERROR(VLOOKUP($E930,INSUMOS!$B:$E,2,0),IFERROR(VLOOKUP($E930,COTAÇÕES!$C:$L,2,0),"")))</f>
        <v>PEDREIRO COM ENCARGOS COMPLEMENTARES</v>
      </c>
      <c r="H930" s="593" t="str">
        <f>IF($E930="",IFERROR(VLOOKUP($D930,SERVIÇOS!$C:$H,3,0),IFERROR(VLOOKUP($D930,$F:$M,3,0),"")),IFERROR(VLOOKUP($E930,INSUMOS!$B:$E,3,0),IFERROR(VLOOKUP($E930,COTAÇÕES!$C:$L,5,0),"")))</f>
        <v>H</v>
      </c>
      <c r="I930" s="614">
        <v>1</v>
      </c>
      <c r="J930" s="670">
        <f>IF($E930="",IFERROR(VLOOKUP($D930,SERVIÇOS!$C:$H,6,0),IFERROR(VLOOKUP($D930,$F:$M,8,0),"")),IFERROR(VLOOKUP($E930,INSUMOS!$B:$E,4,0),IFERROR(VLOOKUP($E930,COTAÇÕES!$C:$L,10,0),"")))</f>
        <v>30.99</v>
      </c>
      <c r="K930" s="615">
        <f>TRUNC(IF($E930="",IFERROR(VLOOKUP($D930,SERVIÇOS!$C:$H,4,0),IFERROR(VLOOKUP($D930,$F:$M,6,0),)),IFERROR(VLOOKUP($E930,INSUMOS!$B:$E,4,0),IFERROR(VLOOKUP($E930,COTAÇÕES!$C:$L,10,0),)))*$I930,2)</f>
        <v>6.64</v>
      </c>
      <c r="L930" s="616">
        <f>TRUNC(IF($E930="",IFERROR(VLOOKUP($D930,SERVIÇOS!$C:$H,5,0),IFERROR(VLOOKUP($D930,$F:$M,7,0),)),0)*$I930,2)</f>
        <v>24.35</v>
      </c>
      <c r="M930" s="617">
        <f>K930+L930</f>
        <v>30.990000000000002</v>
      </c>
      <c r="N930" s="753" t="str">
        <f>IF($D930&lt;&gt;"","SERVIÇO SINAPI",IF($E930&lt;&gt;"","INSUMO SINAPI",""))</f>
        <v>SERVIÇO SINAPI</v>
      </c>
      <c r="O930" s="648"/>
    </row>
    <row r="931" spans="2:15">
      <c r="B931" s="122">
        <f t="shared" si="405"/>
        <v>10</v>
      </c>
      <c r="C931" s="611" t="str">
        <f>IF(D931&lt;&gt;"","C",IF(E931&lt;&gt;"","I",""))</f>
        <v>C</v>
      </c>
      <c r="D931" s="660">
        <v>88316</v>
      </c>
      <c r="E931" s="661"/>
      <c r="F931" s="612"/>
      <c r="G931" s="613" t="str">
        <f>IF($E931="",IFERROR(VLOOKUP($D931,SERVIÇOS!$C:$H,2,0),IFERROR(VLOOKUP($D931,$F:$M,2,0),"")),IFERROR(VLOOKUP($E931,INSUMOS!$B:$E,2,0),IFERROR(VLOOKUP($E931,COTAÇÕES!$C:$L,2,0),"")))</f>
        <v>SERVENTE COM ENCARGOS COMPLEMENTARES</v>
      </c>
      <c r="H931" s="593" t="str">
        <f>IF($E931="",IFERROR(VLOOKUP($D931,SERVIÇOS!$C:$H,3,0),IFERROR(VLOOKUP($D931,$F:$M,3,0),"")),IFERROR(VLOOKUP($E931,INSUMOS!$B:$E,3,0),IFERROR(VLOOKUP($E931,COTAÇÕES!$C:$L,5,0),"")))</f>
        <v>H</v>
      </c>
      <c r="I931" s="614">
        <v>1</v>
      </c>
      <c r="J931" s="670">
        <f>IF($E931="",IFERROR(VLOOKUP($D931,SERVIÇOS!$C:$H,6,0),IFERROR(VLOOKUP($D931,$F:$M,8,0),"")),IFERROR(VLOOKUP($E931,INSUMOS!$B:$E,4,0),IFERROR(VLOOKUP($E931,COTAÇÕES!$C:$L,10,0),"")))</f>
        <v>23.71</v>
      </c>
      <c r="K931" s="615">
        <f>TRUNC(IF($E931="",IFERROR(VLOOKUP($D931,SERVIÇOS!$C:$H,4,0),IFERROR(VLOOKUP($D931,$F:$M,6,0),)),IFERROR(VLOOKUP($E931,INSUMOS!$B:$E,4,0),IFERROR(VLOOKUP($E931,COTAÇÕES!$C:$L,10,0),)))*$I931,2)</f>
        <v>6.52</v>
      </c>
      <c r="L931" s="616">
        <f>TRUNC(IF($E931="",IFERROR(VLOOKUP($D931,SERVIÇOS!$C:$H,5,0),IFERROR(VLOOKUP($D931,$F:$M,7,0),)),0)*$I931,2)</f>
        <v>17.190000000000001</v>
      </c>
      <c r="M931" s="617">
        <f>K931+L931</f>
        <v>23.71</v>
      </c>
      <c r="N931" s="753" t="str">
        <f>IF($D931&lt;&gt;"","SERVIÇO SINAPI",IF($E931&lt;&gt;"","INSUMO SINAPI",""))</f>
        <v>SERVIÇO SINAPI</v>
      </c>
      <c r="O931" s="648"/>
    </row>
    <row r="932" spans="2:15" ht="38.25">
      <c r="B932" s="122">
        <f t="shared" si="405"/>
        <v>10</v>
      </c>
      <c r="C932" s="611" t="str">
        <f>IF(D932&lt;&gt;"","C",IF(E932&lt;&gt;"","I",""))</f>
        <v>C</v>
      </c>
      <c r="D932" s="660">
        <v>5811</v>
      </c>
      <c r="E932" s="661"/>
      <c r="F932" s="612"/>
      <c r="G932" s="613" t="str">
        <f>IF($E932="",IFERROR(VLOOKUP($D932,SERVIÇOS!$C:$H,2,0),IFERROR(VLOOKUP($D932,$F:$M,2,0),"")),IFERROR(VLOOKUP($E932,INSUMOS!$B:$E,2,0),IFERROR(VLOOKUP($E932,COTAÇÕES!$C:$L,2,0),"")))</f>
        <v>CAMINHÃO BASCULANTE 6 M3, PESO BRUTO TOTAL 16.000 KG, CARGA ÚTIL MÁXIMA 13.071 KG, DISTÂNCIA ENTRE EIXOS 4,80 M, POTÊNCIA 230 CV INCLUSIVE CAÇAMBA METÁLICA - CHP DIURNO. AF_06/2014</v>
      </c>
      <c r="H932" s="593" t="str">
        <f>IF($E932="",IFERROR(VLOOKUP($D932,SERVIÇOS!$C:$H,3,0),IFERROR(VLOOKUP($D932,$F:$M,3,0),"")),IFERROR(VLOOKUP($E932,INSUMOS!$B:$E,3,0),IFERROR(VLOOKUP($E932,COTAÇÕES!$C:$L,5,0),"")))</f>
        <v>CHP</v>
      </c>
      <c r="I932" s="614">
        <v>1</v>
      </c>
      <c r="J932" s="670">
        <f>IF($E932="",IFERROR(VLOOKUP($D932,SERVIÇOS!$C:$H,6,0),IFERROR(VLOOKUP($D932,$F:$M,8,0),"")),IFERROR(VLOOKUP($E932,INSUMOS!$B:$E,4,0),IFERROR(VLOOKUP($E932,COTAÇÕES!$C:$L,10,0),"")))</f>
        <v>209.02</v>
      </c>
      <c r="K932" s="615">
        <f>TRUNC(IF($E932="",IFERROR(VLOOKUP($D932,SERVIÇOS!$C:$H,4,0),IFERROR(VLOOKUP($D932,$F:$M,6,0),)),IFERROR(VLOOKUP($E932,INSUMOS!$B:$E,4,0),IFERROR(VLOOKUP($E932,COTAÇÕES!$C:$L,10,0),)))*$I932,2)</f>
        <v>190.03</v>
      </c>
      <c r="L932" s="616">
        <f>TRUNC(IF($E932="",IFERROR(VLOOKUP($D932,SERVIÇOS!$C:$H,5,0),IFERROR(VLOOKUP($D932,$F:$M,7,0),)),0)*$I932,2)</f>
        <v>18.989999999999998</v>
      </c>
      <c r="M932" s="617">
        <f>K932+L932</f>
        <v>209.02</v>
      </c>
      <c r="N932" s="753" t="str">
        <f>IF($D932&lt;&gt;"","SERVIÇO SINAPI",IF($E932&lt;&gt;"","INSUMO SINAPI",""))</f>
        <v>SERVIÇO SINAPI</v>
      </c>
      <c r="O932" s="648"/>
    </row>
    <row r="933" spans="2:15">
      <c r="B933" s="122">
        <f t="shared" si="405"/>
        <v>10</v>
      </c>
      <c r="C933" s="611" t="str">
        <f>IF(D933&lt;&gt;"","C",IF(E933&lt;&gt;"","I",""))</f>
        <v>C</v>
      </c>
      <c r="D933" s="660">
        <v>88283</v>
      </c>
      <c r="E933" s="661"/>
      <c r="F933" s="612"/>
      <c r="G933" s="613" t="str">
        <f>IF($E933="",IFERROR(VLOOKUP($D933,SERVIÇOS!$C:$H,2,0),IFERROR(VLOOKUP($D933,$F:$M,2,0),"")),IFERROR(VLOOKUP($E933,INSUMOS!$B:$E,2,0),IFERROR(VLOOKUP($E933,COTAÇÕES!$C:$L,2,0),"")))</f>
        <v>MOTORISTA DE CAMINHÃO E CARRETA COM ENCARGOS COMPLEMENTARES</v>
      </c>
      <c r="H933" s="593" t="str">
        <f>IF($E933="",IFERROR(VLOOKUP($D933,SERVIÇOS!$C:$H,3,0),IFERROR(VLOOKUP($D933,$F:$M,3,0),"")),IFERROR(VLOOKUP($E933,INSUMOS!$B:$E,3,0),IFERROR(VLOOKUP($E933,COTAÇÕES!$C:$L,5,0),"")))</f>
        <v>H</v>
      </c>
      <c r="I933" s="614">
        <v>1</v>
      </c>
      <c r="J933" s="670">
        <f>IF($E933="",IFERROR(VLOOKUP($D933,SERVIÇOS!$C:$H,6,0),IFERROR(VLOOKUP($D933,$F:$M,8,0),"")),IFERROR(VLOOKUP($E933,INSUMOS!$B:$E,4,0),IFERROR(VLOOKUP($E933,COTAÇÕES!$C:$L,10,0),"")))</f>
        <v>32.479999999999997</v>
      </c>
      <c r="K933" s="615">
        <f>TRUNC(IF($E933="",IFERROR(VLOOKUP($D933,SERVIÇOS!$C:$H,4,0),IFERROR(VLOOKUP($D933,$F:$M,6,0),)),IFERROR(VLOOKUP($E933,INSUMOS!$B:$E,4,0),IFERROR(VLOOKUP($E933,COTAÇÕES!$C:$L,10,0),)))*$I933,2)</f>
        <v>5.58</v>
      </c>
      <c r="L933" s="616">
        <f>TRUNC(IF($E933="",IFERROR(VLOOKUP($D933,SERVIÇOS!$C:$H,5,0),IFERROR(VLOOKUP($D933,$F:$M,7,0),)),0)*$I933,2)</f>
        <v>26.9</v>
      </c>
      <c r="M933" s="617">
        <f>K933+L933</f>
        <v>32.479999999999997</v>
      </c>
      <c r="N933" s="753" t="str">
        <f>IF($D933&lt;&gt;"","SERVIÇO SINAPI",IF($E933&lt;&gt;"","INSUMO SINAPI",""))</f>
        <v>SERVIÇO SINAPI</v>
      </c>
      <c r="O933" s="648"/>
    </row>
    <row r="934" spans="2:15" ht="25.5">
      <c r="B934" s="122">
        <f t="shared" si="405"/>
        <v>10</v>
      </c>
      <c r="C934" s="611" t="str">
        <f>IF(D934&lt;&gt;"","C",IF(E934&lt;&gt;"","I",""))</f>
        <v>C</v>
      </c>
      <c r="D934" s="660">
        <v>88830</v>
      </c>
      <c r="E934" s="661"/>
      <c r="F934" s="612"/>
      <c r="G934" s="613" t="str">
        <f>IF($E934="",IFERROR(VLOOKUP($D934,SERVIÇOS!$C:$H,2,0),IFERROR(VLOOKUP($D934,$F:$M,2,0),"")),IFERROR(VLOOKUP($E934,INSUMOS!$B:$E,2,0),IFERROR(VLOOKUP($E934,COTAÇÕES!$C:$L,2,0),"")))</f>
        <v>BETONEIRA CAPACIDADE NOMINAL DE 400 L, CAPACIDADE DE MISTURA 280 L, MOTOR ELÉTRICO TRIFÁSICO POTÊNCIA DE 2 CV, SEM CARREGADOR - CHP DIURNO. AF_10/2014</v>
      </c>
      <c r="H934" s="593" t="str">
        <f>IF($E934="",IFERROR(VLOOKUP($D934,SERVIÇOS!$C:$H,3,0),IFERROR(VLOOKUP($D934,$F:$M,3,0),"")),IFERROR(VLOOKUP($E934,INSUMOS!$B:$E,3,0),IFERROR(VLOOKUP($E934,COTAÇÕES!$C:$L,5,0),"")))</f>
        <v>CHP</v>
      </c>
      <c r="I934" s="614">
        <v>1</v>
      </c>
      <c r="J934" s="670">
        <f>IF($E934="",IFERROR(VLOOKUP($D934,SERVIÇOS!$C:$H,6,0),IFERROR(VLOOKUP($D934,$F:$M,8,0),"")),IFERROR(VLOOKUP($E934,INSUMOS!$B:$E,4,0),IFERROR(VLOOKUP($E934,COTAÇÕES!$C:$L,10,0),"")))</f>
        <v>1.71</v>
      </c>
      <c r="K934" s="615">
        <f>TRUNC(IF($E934="",IFERROR(VLOOKUP($D934,SERVIÇOS!$C:$H,4,0),IFERROR(VLOOKUP($D934,$F:$M,6,0),)),IFERROR(VLOOKUP($E934,INSUMOS!$B:$E,4,0),IFERROR(VLOOKUP($E934,COTAÇÕES!$C:$L,10,0),)))*$I934,2)</f>
        <v>1.71</v>
      </c>
      <c r="L934" s="616">
        <f>TRUNC(IF($E934="",IFERROR(VLOOKUP($D934,SERVIÇOS!$C:$H,5,0),IFERROR(VLOOKUP($D934,$F:$M,7,0),)),0)*$I934,2)</f>
        <v>0</v>
      </c>
      <c r="M934" s="617">
        <f>K934+L934</f>
        <v>1.71</v>
      </c>
      <c r="N934" s="753" t="str">
        <f>IF($D934&lt;&gt;"","SERVIÇO SINAPI",IF($E934&lt;&gt;"","INSUMO SINAPI",""))</f>
        <v>SERVIÇO SINAPI</v>
      </c>
      <c r="O934" s="648"/>
    </row>
    <row r="935" spans="2:15">
      <c r="B935" s="769">
        <f>SUMIF(ORC!$G$11:$G$2470,CPU!$F935,ORC!$J$11:$J$2470)</f>
        <v>18</v>
      </c>
      <c r="C935" s="515" t="s">
        <v>2239</v>
      </c>
      <c r="D935" s="515"/>
      <c r="E935" s="515"/>
      <c r="F935" s="515" t="s">
        <v>5283</v>
      </c>
      <c r="G935" s="594" t="s">
        <v>5284</v>
      </c>
      <c r="H935" s="515" t="s">
        <v>649</v>
      </c>
      <c r="I935" s="595"/>
      <c r="J935" s="596"/>
      <c r="K935" s="597">
        <f>SUM(K936:K940)</f>
        <v>19.32</v>
      </c>
      <c r="L935" s="597">
        <f>SUM(L936:L940)</f>
        <v>8.11</v>
      </c>
      <c r="M935" s="596">
        <f>SUM(K935:L935)</f>
        <v>27.43</v>
      </c>
      <c r="N935" s="758" t="s">
        <v>5285</v>
      </c>
      <c r="O935" s="599"/>
    </row>
    <row r="936" spans="2:15">
      <c r="B936" s="122">
        <f t="shared" ref="B936:B940" si="406">B935</f>
        <v>18</v>
      </c>
      <c r="C936" s="611" t="str">
        <f>IF(D936&lt;&gt;"","C",IF(E936&lt;&gt;"","I",""))</f>
        <v>C</v>
      </c>
      <c r="D936" s="660">
        <v>88262</v>
      </c>
      <c r="E936" s="661"/>
      <c r="F936" s="612"/>
      <c r="G936" s="613" t="str">
        <f>IF($E936="",IFERROR(VLOOKUP($D936,SERVIÇOS!$C:$H,2,0),IFERROR(VLOOKUP($D936,$F:$M,2,0),"")),IFERROR(VLOOKUP($E936,INSUMOS!$B:$E,2,0),IFERROR(VLOOKUP($E936,COTAÇÕES!$C:$L,2,0),"")))</f>
        <v>CARPINTEIRO DE FORMAS COM ENCARGOS COMPLEMENTARES</v>
      </c>
      <c r="H936" s="593" t="str">
        <f>IF($E936="",IFERROR(VLOOKUP($D936,SERVIÇOS!$C:$H,3,0),IFERROR(VLOOKUP($D936,$F:$M,3,0),"")),IFERROR(VLOOKUP($E936,INSUMOS!$B:$E,3,0),IFERROR(VLOOKUP($E936,COTAÇÕES!$C:$L,5,0),"")))</f>
        <v>H</v>
      </c>
      <c r="I936" s="614">
        <v>6.5000000000000002E-2</v>
      </c>
      <c r="J936" s="670">
        <f>IF($E936="",IFERROR(VLOOKUP($D936,SERVIÇOS!$C:$H,6,0),IFERROR(VLOOKUP($D936,$F:$M,8,0),"")),IFERROR(VLOOKUP($E936,INSUMOS!$B:$E,4,0),IFERROR(VLOOKUP($E936,COTAÇÕES!$C:$L,10,0),"")))</f>
        <v>30.68</v>
      </c>
      <c r="K936" s="615">
        <f>TRUNC(IF($E936="",IFERROR(VLOOKUP($D936,SERVIÇOS!$C:$H,4,0),IFERROR(VLOOKUP($D936,$F:$M,6,0),)),IFERROR(VLOOKUP($E936,INSUMOS!$B:$E,4,0),IFERROR(VLOOKUP($E936,COTAÇÕES!$C:$L,10,0),)))*$I936,2)</f>
        <v>0.42</v>
      </c>
      <c r="L936" s="616">
        <f>TRUNC(IF($E936="",IFERROR(VLOOKUP($D936,SERVIÇOS!$C:$H,5,0),IFERROR(VLOOKUP($D936,$F:$M,7,0),)),0)*$I936,2)</f>
        <v>1.57</v>
      </c>
      <c r="M936" s="617">
        <f>K936+L936</f>
        <v>1.99</v>
      </c>
      <c r="N936" s="753" t="str">
        <f>IF($D936&lt;&gt;"","SERVIÇO SINAPI",IF($E936&lt;&gt;"","INSUMO SINAPI",""))</f>
        <v>SERVIÇO SINAPI</v>
      </c>
      <c r="O936" s="648"/>
    </row>
    <row r="937" spans="2:15">
      <c r="B937" s="122">
        <f t="shared" si="406"/>
        <v>18</v>
      </c>
      <c r="C937" s="611" t="str">
        <f>IF(D937&lt;&gt;"","C",IF(E937&lt;&gt;"","I",""))</f>
        <v>C</v>
      </c>
      <c r="D937" s="660">
        <v>88239</v>
      </c>
      <c r="E937" s="661"/>
      <c r="F937" s="612"/>
      <c r="G937" s="613" t="str">
        <f>IF($E937="",IFERROR(VLOOKUP($D937,SERVIÇOS!$C:$H,2,0),IFERROR(VLOOKUP($D937,$F:$M,2,0),"")),IFERROR(VLOOKUP($E937,INSUMOS!$B:$E,2,0),IFERROR(VLOOKUP($E937,COTAÇÕES!$C:$L,2,0),"")))</f>
        <v>AJUDANTE DE CARPINTEIRO COM ENCARGOS COMPLEMENTARES</v>
      </c>
      <c r="H937" s="593" t="str">
        <f>IF($E937="",IFERROR(VLOOKUP($D937,SERVIÇOS!$C:$H,3,0),IFERROR(VLOOKUP($D937,$F:$M,3,0),"")),IFERROR(VLOOKUP($E937,INSUMOS!$B:$E,3,0),IFERROR(VLOOKUP($E937,COTAÇÕES!$C:$L,5,0),"")))</f>
        <v>H</v>
      </c>
      <c r="I937" s="614">
        <v>6.5000000000000002E-2</v>
      </c>
      <c r="J937" s="670">
        <f>IF($E937="",IFERROR(VLOOKUP($D937,SERVIÇOS!$C:$H,6,0),IFERROR(VLOOKUP($D937,$F:$M,8,0),"")),IFERROR(VLOOKUP($E937,INSUMOS!$B:$E,4,0),IFERROR(VLOOKUP($E937,COTAÇÕES!$C:$L,10,0),"")))</f>
        <v>25.05</v>
      </c>
      <c r="K937" s="615">
        <f>TRUNC(IF($E937="",IFERROR(VLOOKUP($D937,SERVIÇOS!$C:$H,4,0),IFERROR(VLOOKUP($D937,$F:$M,6,0),)),IFERROR(VLOOKUP($E937,INSUMOS!$B:$E,4,0),IFERROR(VLOOKUP($E937,COTAÇÕES!$C:$L,10,0),)))*$I937,2)</f>
        <v>0.42</v>
      </c>
      <c r="L937" s="616">
        <f>TRUNC(IF($E937="",IFERROR(VLOOKUP($D937,SERVIÇOS!$C:$H,5,0),IFERROR(VLOOKUP($D937,$F:$M,7,0),)),0)*$I937,2)</f>
        <v>1.2</v>
      </c>
      <c r="M937" s="617">
        <f>K937+L937</f>
        <v>1.6199999999999999</v>
      </c>
      <c r="N937" s="753" t="str">
        <f>IF($D937&lt;&gt;"","SERVIÇO SINAPI",IF($E937&lt;&gt;"","INSUMO SINAPI",""))</f>
        <v>SERVIÇO SINAPI</v>
      </c>
      <c r="O937" s="648"/>
    </row>
    <row r="938" spans="2:15">
      <c r="B938" s="122">
        <f t="shared" si="406"/>
        <v>18</v>
      </c>
      <c r="C938" s="611" t="str">
        <f>IF(D938&lt;&gt;"","C",IF(E938&lt;&gt;"","I",""))</f>
        <v>C</v>
      </c>
      <c r="D938" s="660">
        <v>88309</v>
      </c>
      <c r="E938" s="661"/>
      <c r="F938" s="612"/>
      <c r="G938" s="613" t="str">
        <f>IF($E938="",IFERROR(VLOOKUP($D938,SERVIÇOS!$C:$H,2,0),IFERROR(VLOOKUP($D938,$F:$M,2,0),"")),IFERROR(VLOOKUP($E938,INSUMOS!$B:$E,2,0),IFERROR(VLOOKUP($E938,COTAÇÕES!$C:$L,2,0),"")))</f>
        <v>PEDREIRO COM ENCARGOS COMPLEMENTARES</v>
      </c>
      <c r="H938" s="593" t="str">
        <f>IF($E938="",IFERROR(VLOOKUP($D938,SERVIÇOS!$C:$H,3,0),IFERROR(VLOOKUP($D938,$F:$M,3,0),"")),IFERROR(VLOOKUP($E938,INSUMOS!$B:$E,3,0),IFERROR(VLOOKUP($E938,COTAÇÕES!$C:$L,5,0),"")))</f>
        <v>H</v>
      </c>
      <c r="I938" s="614">
        <v>6.5000000000000002E-2</v>
      </c>
      <c r="J938" s="670">
        <f>IF($E938="",IFERROR(VLOOKUP($D938,SERVIÇOS!$C:$H,6,0),IFERROR(VLOOKUP($D938,$F:$M,8,0),"")),IFERROR(VLOOKUP($E938,INSUMOS!$B:$E,4,0),IFERROR(VLOOKUP($E938,COTAÇÕES!$C:$L,10,0),"")))</f>
        <v>30.99</v>
      </c>
      <c r="K938" s="615">
        <f>TRUNC(IF($E938="",IFERROR(VLOOKUP($D938,SERVIÇOS!$C:$H,4,0),IFERROR(VLOOKUP($D938,$F:$M,6,0),)),IFERROR(VLOOKUP($E938,INSUMOS!$B:$E,4,0),IFERROR(VLOOKUP($E938,COTAÇÕES!$C:$L,10,0),)))*$I938,2)</f>
        <v>0.43</v>
      </c>
      <c r="L938" s="616">
        <f>TRUNC(IF($E938="",IFERROR(VLOOKUP($D938,SERVIÇOS!$C:$H,5,0),IFERROR(VLOOKUP($D938,$F:$M,7,0),)),0)*$I938,2)</f>
        <v>1.58</v>
      </c>
      <c r="M938" s="617">
        <f>K938+L938</f>
        <v>2.0100000000000002</v>
      </c>
      <c r="N938" s="753" t="str">
        <f>IF($D938&lt;&gt;"","SERVIÇO SINAPI",IF($E938&lt;&gt;"","INSUMO SINAPI",""))</f>
        <v>SERVIÇO SINAPI</v>
      </c>
      <c r="O938" s="648"/>
    </row>
    <row r="939" spans="2:15">
      <c r="B939" s="122">
        <f t="shared" si="406"/>
        <v>18</v>
      </c>
      <c r="C939" s="611" t="str">
        <f>IF(D939&lt;&gt;"","C",IF(E939&lt;&gt;"","I",""))</f>
        <v>C</v>
      </c>
      <c r="D939" s="660">
        <v>88316</v>
      </c>
      <c r="E939" s="661"/>
      <c r="F939" s="612"/>
      <c r="G939" s="613" t="str">
        <f>IF($E939="",IFERROR(VLOOKUP($D939,SERVIÇOS!$C:$H,2,0),IFERROR(VLOOKUP($D939,$F:$M,2,0),"")),IFERROR(VLOOKUP($E939,INSUMOS!$B:$E,2,0),IFERROR(VLOOKUP($E939,COTAÇÕES!$C:$L,2,0),"")))</f>
        <v>SERVENTE COM ENCARGOS COMPLEMENTARES</v>
      </c>
      <c r="H939" s="593" t="str">
        <f>IF($E939="",IFERROR(VLOOKUP($D939,SERVIÇOS!$C:$H,3,0),IFERROR(VLOOKUP($D939,$F:$M,3,0),"")),IFERROR(VLOOKUP($E939,INSUMOS!$B:$E,3,0),IFERROR(VLOOKUP($E939,COTAÇÕES!$C:$L,5,0),"")))</f>
        <v>H</v>
      </c>
      <c r="I939" s="614">
        <v>0.13</v>
      </c>
      <c r="J939" s="670">
        <f>IF($E939="",IFERROR(VLOOKUP($D939,SERVIÇOS!$C:$H,6,0),IFERROR(VLOOKUP($D939,$F:$M,8,0),"")),IFERROR(VLOOKUP($E939,INSUMOS!$B:$E,4,0),IFERROR(VLOOKUP($E939,COTAÇÕES!$C:$L,10,0),"")))</f>
        <v>23.71</v>
      </c>
      <c r="K939" s="615">
        <f>TRUNC(IF($E939="",IFERROR(VLOOKUP($D939,SERVIÇOS!$C:$H,4,0),IFERROR(VLOOKUP($D939,$F:$M,6,0),)),IFERROR(VLOOKUP($E939,INSUMOS!$B:$E,4,0),IFERROR(VLOOKUP($E939,COTAÇÕES!$C:$L,10,0),)))*$I939,2)</f>
        <v>0.84</v>
      </c>
      <c r="L939" s="616">
        <f>TRUNC(IF($E939="",IFERROR(VLOOKUP($D939,SERVIÇOS!$C:$H,5,0),IFERROR(VLOOKUP($D939,$F:$M,7,0),)),0)*$I939,2)</f>
        <v>2.23</v>
      </c>
      <c r="M939" s="617">
        <f>K939+L939</f>
        <v>3.07</v>
      </c>
      <c r="N939" s="753" t="str">
        <f>IF($D939&lt;&gt;"","SERVIÇO SINAPI",IF($E939&lt;&gt;"","INSUMO SINAPI",""))</f>
        <v>SERVIÇO SINAPI</v>
      </c>
      <c r="O939" s="648"/>
    </row>
    <row r="940" spans="2:15" ht="38.25">
      <c r="B940" s="122">
        <f t="shared" si="406"/>
        <v>18</v>
      </c>
      <c r="C940" s="611" t="str">
        <f>IF(D940&lt;&gt;"","C",IF(E940&lt;&gt;"","I",""))</f>
        <v>C</v>
      </c>
      <c r="D940" s="660">
        <v>93402</v>
      </c>
      <c r="E940" s="661"/>
      <c r="F940" s="612"/>
      <c r="G940" s="613" t="str">
        <f>IF($E940="",IFERROR(VLOOKUP($D940,SERVIÇOS!$C:$H,2,0),IFERROR(VLOOKUP($D940,$F:$M,2,0),"")),IFERROR(VLOOKUP($E940,INSUMOS!$B:$E,2,0),IFERROR(VLOOKUP($E940,COTAÇÕES!$C:$L,2,0),"")))</f>
        <v>GUINDAUTO HIDRÁULICO, CAPACIDADE MÁXIMA DE CARGA 3300 KG, MOMENTO MÁXIMO DE CARGA 5,8 TM, ALCANCE MÁXIMO HORIZONTAL 7,60 M, INCLUSIVE CAMINHÃO TOCO PBT 16.000 KG, POTÊNCIA DE 189 CV - CHP DIURNO. AF_03/2016</v>
      </c>
      <c r="H940" s="593" t="str">
        <f>IF($E940="",IFERROR(VLOOKUP($D940,SERVIÇOS!$C:$H,3,0),IFERROR(VLOOKUP($D940,$F:$M,3,0),"")),IFERROR(VLOOKUP($E940,INSUMOS!$B:$E,3,0),IFERROR(VLOOKUP($E940,COTAÇÕES!$C:$L,5,0),"")))</f>
        <v>CHP</v>
      </c>
      <c r="I940" s="614">
        <v>6.5000000000000002E-2</v>
      </c>
      <c r="J940" s="670">
        <f>IF($E940="",IFERROR(VLOOKUP($D940,SERVIÇOS!$C:$H,6,0),IFERROR(VLOOKUP($D940,$F:$M,8,0),"")),IFERROR(VLOOKUP($E940,INSUMOS!$B:$E,4,0),IFERROR(VLOOKUP($E940,COTAÇÕES!$C:$L,10,0),"")))</f>
        <v>288.42</v>
      </c>
      <c r="K940" s="615">
        <f>TRUNC(IF($E940="",IFERROR(VLOOKUP($D940,SERVIÇOS!$C:$H,4,0),IFERROR(VLOOKUP($D940,$F:$M,6,0),)),IFERROR(VLOOKUP($E940,INSUMOS!$B:$E,4,0),IFERROR(VLOOKUP($E940,COTAÇÕES!$C:$L,10,0),)))*$I940,2)</f>
        <v>17.21</v>
      </c>
      <c r="L940" s="616">
        <f>TRUNC(IF($E940="",IFERROR(VLOOKUP($D940,SERVIÇOS!$C:$H,5,0),IFERROR(VLOOKUP($D940,$F:$M,7,0),)),0)*$I940,2)</f>
        <v>1.53</v>
      </c>
      <c r="M940" s="617">
        <f>K940+L940</f>
        <v>18.740000000000002</v>
      </c>
      <c r="N940" s="753" t="str">
        <f>IF($D940&lt;&gt;"","SERVIÇO SINAPI",IF($E940&lt;&gt;"","INSUMO SINAPI",""))</f>
        <v>SERVIÇO SINAPI</v>
      </c>
      <c r="O940" s="648"/>
    </row>
    <row r="941" spans="2:15">
      <c r="B941" s="769">
        <f>SUMIF(ORC!$G$11:$G$2470,CPU!$F941,ORC!$J$11:$J$2470)</f>
        <v>1</v>
      </c>
      <c r="C941" s="515" t="s">
        <v>2239</v>
      </c>
      <c r="D941" s="458"/>
      <c r="E941" s="458"/>
      <c r="F941" s="458" t="s">
        <v>5286</v>
      </c>
      <c r="G941" s="642" t="s">
        <v>5282</v>
      </c>
      <c r="H941" s="458" t="s">
        <v>646</v>
      </c>
      <c r="I941" s="635"/>
      <c r="J941" s="649"/>
      <c r="K941" s="636">
        <f>SUM(K942:K950)</f>
        <v>588.66</v>
      </c>
      <c r="L941" s="636">
        <f>SUM(L942:L950)</f>
        <v>1845.38</v>
      </c>
      <c r="M941" s="636">
        <f>SUM(M942:M950)</f>
        <v>2434.04</v>
      </c>
      <c r="N941" s="755" t="s">
        <v>7497</v>
      </c>
      <c r="O941" s="458" t="s">
        <v>6847</v>
      </c>
    </row>
    <row r="942" spans="2:15">
      <c r="B942" s="122">
        <f t="shared" ref="B942:B950" si="407">B941</f>
        <v>1</v>
      </c>
      <c r="C942" s="611" t="str">
        <f t="shared" ref="C942:C950" si="408">IF(D942&lt;&gt;"","C",IF(E942&lt;&gt;"","I",""))</f>
        <v>C</v>
      </c>
      <c r="D942" s="666">
        <v>88273</v>
      </c>
      <c r="E942" s="661"/>
      <c r="F942" s="612"/>
      <c r="G942" s="613" t="str">
        <f>IF($E942="",IFERROR(VLOOKUP($D942,SERVIÇOS!$C:$H,2,0),IFERROR(VLOOKUP($D942,$F:$M,2,0),"")),IFERROR(VLOOKUP($E942,INSUMOS!$B:$E,2,0),IFERROR(VLOOKUP($E942,COTAÇÕES!$C:$L,2,0),"")))</f>
        <v>MARCENEIRO COM ENCARGOS COMPLEMENTARES</v>
      </c>
      <c r="H942" s="593" t="str">
        <f>IF($E942="",IFERROR(VLOOKUP($D942,SERVIÇOS!$C:$H,3,0),IFERROR(VLOOKUP($D942,$F:$M,3,0),"")),IFERROR(VLOOKUP($E942,INSUMOS!$B:$E,3,0),IFERROR(VLOOKUP($E942,COTAÇÕES!$C:$L,5,0),"")))</f>
        <v>H</v>
      </c>
      <c r="I942" s="638">
        <v>3</v>
      </c>
      <c r="J942" s="670">
        <f>IF($E942="",IFERROR(VLOOKUP($D942,SERVIÇOS!$C:$H,6,0),IFERROR(VLOOKUP($D942,$F:$M,8,0),"")),IFERROR(VLOOKUP($E942,INSUMOS!$B:$E,4,0),IFERROR(VLOOKUP($E942,COTAÇÕES!$C:$L,10,0),"")))</f>
        <v>28.72</v>
      </c>
      <c r="K942" s="615">
        <f>TRUNC(IF($E942="",IFERROR(VLOOKUP($D942,SERVIÇOS!$C:$H,4,0),IFERROR(VLOOKUP($D942,$F:$M,6,0),)),IFERROR(VLOOKUP($E942,INSUMOS!$B:$E,4,0),IFERROR(VLOOKUP($E942,COTAÇÕES!$C:$L,10,0),)))*$I942,2)</f>
        <v>19.559999999999999</v>
      </c>
      <c r="L942" s="616">
        <f>TRUNC(IF($E942="",IFERROR(VLOOKUP($D942,SERVIÇOS!$C:$H,5,0),IFERROR(VLOOKUP($D942,$F:$M,7,0),)),0)*$I942,2)</f>
        <v>66.599999999999994</v>
      </c>
      <c r="M942" s="617">
        <f t="shared" ref="M942:M950" si="409">K942+L942</f>
        <v>86.16</v>
      </c>
      <c r="N942" s="753" t="str">
        <f t="shared" ref="N942:N950" si="410">IF($D942&lt;&gt;"","SERVIÇO SINAPI",IF($E942&lt;&gt;"","INSUMO SINAPI",""))</f>
        <v>SERVIÇO SINAPI</v>
      </c>
      <c r="O942" s="650"/>
    </row>
    <row r="943" spans="2:15">
      <c r="B943" s="122">
        <f t="shared" si="407"/>
        <v>1</v>
      </c>
      <c r="C943" s="611" t="str">
        <f t="shared" si="408"/>
        <v>C</v>
      </c>
      <c r="D943" s="664">
        <v>88267</v>
      </c>
      <c r="E943" s="661"/>
      <c r="F943" s="628"/>
      <c r="G943" s="613" t="str">
        <f>IF($E943="",IFERROR(VLOOKUP($D943,SERVIÇOS!$C:$H,2,0),IFERROR(VLOOKUP($D943,$F:$M,2,0),"")),IFERROR(VLOOKUP($E943,INSUMOS!$B:$E,2,0),IFERROR(VLOOKUP($E943,COTAÇÕES!$C:$L,2,0),"")))</f>
        <v>ENCANADOR OU BOMBEIRO HIDRÁULICO COM ENCARGOS COMPLEMENTARES</v>
      </c>
      <c r="H943" s="593" t="str">
        <f>IF($E943="",IFERROR(VLOOKUP($D943,SERVIÇOS!$C:$H,3,0),IFERROR(VLOOKUP($D943,$F:$M,3,0),"")),IFERROR(VLOOKUP($E943,INSUMOS!$B:$E,3,0),IFERROR(VLOOKUP($E943,COTAÇÕES!$C:$L,5,0),"")))</f>
        <v>H</v>
      </c>
      <c r="I943" s="638">
        <v>8</v>
      </c>
      <c r="J943" s="670">
        <f>IF($E943="",IFERROR(VLOOKUP($D943,SERVIÇOS!$C:$H,6,0),IFERROR(VLOOKUP($D943,$F:$M,8,0),"")),IFERROR(VLOOKUP($E943,INSUMOS!$B:$E,4,0),IFERROR(VLOOKUP($E943,COTAÇÕES!$C:$L,10,0),"")))</f>
        <v>30.35</v>
      </c>
      <c r="K943" s="615">
        <f>TRUNC(IF($E943="",IFERROR(VLOOKUP($D943,SERVIÇOS!$C:$H,4,0),IFERROR(VLOOKUP($D943,$F:$M,6,0),)),IFERROR(VLOOKUP($E943,INSUMOS!$B:$E,4,0),IFERROR(VLOOKUP($E943,COTAÇÕES!$C:$L,10,0),)))*$I943,2)</f>
        <v>48.56</v>
      </c>
      <c r="L943" s="616">
        <f>TRUNC(IF($E943="",IFERROR(VLOOKUP($D943,SERVIÇOS!$C:$H,5,0),IFERROR(VLOOKUP($D943,$F:$M,7,0),)),0)*$I943,2)</f>
        <v>194.24</v>
      </c>
      <c r="M943" s="617">
        <f t="shared" si="409"/>
        <v>242.8</v>
      </c>
      <c r="N943" s="753" t="str">
        <f t="shared" si="410"/>
        <v>SERVIÇO SINAPI</v>
      </c>
      <c r="O943" s="650"/>
    </row>
    <row r="944" spans="2:15">
      <c r="B944" s="122">
        <f t="shared" si="407"/>
        <v>1</v>
      </c>
      <c r="C944" s="611" t="str">
        <f t="shared" si="408"/>
        <v>C</v>
      </c>
      <c r="D944" s="664">
        <v>88264</v>
      </c>
      <c r="E944" s="661"/>
      <c r="F944" s="628"/>
      <c r="G944" s="613" t="str">
        <f>IF($E944="",IFERROR(VLOOKUP($D944,SERVIÇOS!$C:$H,2,0),IFERROR(VLOOKUP($D944,$F:$M,2,0),"")),IFERROR(VLOOKUP($E944,INSUMOS!$B:$E,2,0),IFERROR(VLOOKUP($E944,COTAÇÕES!$C:$L,2,0),"")))</f>
        <v>ELETRICISTA COM ENCARGOS COMPLEMENTARES</v>
      </c>
      <c r="H944" s="593" t="str">
        <f>IF($E944="",IFERROR(VLOOKUP($D944,SERVIÇOS!$C:$H,3,0),IFERROR(VLOOKUP($D944,$F:$M,3,0),"")),IFERROR(VLOOKUP($E944,INSUMOS!$B:$E,3,0),IFERROR(VLOOKUP($E944,COTAÇÕES!$C:$L,5,0),"")))</f>
        <v>H</v>
      </c>
      <c r="I944" s="638">
        <v>10</v>
      </c>
      <c r="J944" s="670">
        <f>IF($E944="",IFERROR(VLOOKUP($D944,SERVIÇOS!$C:$H,6,0),IFERROR(VLOOKUP($D944,$F:$M,8,0),"")),IFERROR(VLOOKUP($E944,INSUMOS!$B:$E,4,0),IFERROR(VLOOKUP($E944,COTAÇÕES!$C:$L,10,0),"")))</f>
        <v>31.32</v>
      </c>
      <c r="K944" s="615">
        <f>TRUNC(IF($E944="",IFERROR(VLOOKUP($D944,SERVIÇOS!$C:$H,4,0),IFERROR(VLOOKUP($D944,$F:$M,6,0),)),IFERROR(VLOOKUP($E944,INSUMOS!$B:$E,4,0),IFERROR(VLOOKUP($E944,COTAÇÕES!$C:$L,10,0),)))*$I944,2)</f>
        <v>66.599999999999994</v>
      </c>
      <c r="L944" s="616">
        <f>TRUNC(IF($E944="",IFERROR(VLOOKUP($D944,SERVIÇOS!$C:$H,5,0),IFERROR(VLOOKUP($D944,$F:$M,7,0),)),0)*$I944,2)</f>
        <v>246.6</v>
      </c>
      <c r="M944" s="617">
        <f t="shared" si="409"/>
        <v>313.2</v>
      </c>
      <c r="N944" s="753" t="str">
        <f t="shared" si="410"/>
        <v>SERVIÇO SINAPI</v>
      </c>
      <c r="O944" s="650"/>
    </row>
    <row r="945" spans="2:15">
      <c r="B945" s="122">
        <f t="shared" si="407"/>
        <v>1</v>
      </c>
      <c r="C945" s="611" t="str">
        <f t="shared" si="408"/>
        <v>C</v>
      </c>
      <c r="D945" s="664">
        <v>88261</v>
      </c>
      <c r="E945" s="661"/>
      <c r="F945" s="628"/>
      <c r="G945" s="613" t="str">
        <f>IF($E945="",IFERROR(VLOOKUP($D945,SERVIÇOS!$C:$H,2,0),IFERROR(VLOOKUP($D945,$F:$M,2,0),"")),IFERROR(VLOOKUP($E945,INSUMOS!$B:$E,2,0),IFERROR(VLOOKUP($E945,COTAÇÕES!$C:$L,2,0),"")))</f>
        <v>CARPINTEIRO DE ESQUADRIA COM ENCARGOS COMPLEMENTARES</v>
      </c>
      <c r="H945" s="593" t="str">
        <f>IF($E945="",IFERROR(VLOOKUP($D945,SERVIÇOS!$C:$H,3,0),IFERROR(VLOOKUP($D945,$F:$M,3,0),"")),IFERROR(VLOOKUP($E945,INSUMOS!$B:$E,3,0),IFERROR(VLOOKUP($E945,COTAÇÕES!$C:$L,5,0),"")))</f>
        <v>H</v>
      </c>
      <c r="I945" s="638">
        <v>8</v>
      </c>
      <c r="J945" s="670">
        <f>IF($E945="",IFERROR(VLOOKUP($D945,SERVIÇOS!$C:$H,6,0),IFERROR(VLOOKUP($D945,$F:$M,8,0),"")),IFERROR(VLOOKUP($E945,INSUMOS!$B:$E,4,0),IFERROR(VLOOKUP($E945,COTAÇÕES!$C:$L,10,0),"")))</f>
        <v>29.33</v>
      </c>
      <c r="K945" s="615">
        <f>TRUNC(IF($E945="",IFERROR(VLOOKUP($D945,SERVIÇOS!$C:$H,4,0),IFERROR(VLOOKUP($D945,$F:$M,6,0),)),IFERROR(VLOOKUP($E945,INSUMOS!$B:$E,4,0),IFERROR(VLOOKUP($E945,COTAÇÕES!$C:$L,10,0),)))*$I945,2)</f>
        <v>52.16</v>
      </c>
      <c r="L945" s="616">
        <f>TRUNC(IF($E945="",IFERROR(VLOOKUP($D945,SERVIÇOS!$C:$H,5,0),IFERROR(VLOOKUP($D945,$F:$M,7,0),)),0)*$I945,2)</f>
        <v>182.48</v>
      </c>
      <c r="M945" s="617">
        <f t="shared" si="409"/>
        <v>234.64</v>
      </c>
      <c r="N945" s="753" t="str">
        <f t="shared" si="410"/>
        <v>SERVIÇO SINAPI</v>
      </c>
      <c r="O945" s="650"/>
    </row>
    <row r="946" spans="2:15">
      <c r="B946" s="122">
        <f t="shared" si="407"/>
        <v>1</v>
      </c>
      <c r="C946" s="611" t="str">
        <f t="shared" si="408"/>
        <v>C</v>
      </c>
      <c r="D946" s="664">
        <v>88239</v>
      </c>
      <c r="E946" s="661"/>
      <c r="F946" s="628"/>
      <c r="G946" s="613" t="str">
        <f>IF($E946="",IFERROR(VLOOKUP($D946,SERVIÇOS!$C:$H,2,0),IFERROR(VLOOKUP($D946,$F:$M,2,0),"")),IFERROR(VLOOKUP($E946,INSUMOS!$B:$E,2,0),IFERROR(VLOOKUP($E946,COTAÇÕES!$C:$L,2,0),"")))</f>
        <v>AJUDANTE DE CARPINTEIRO COM ENCARGOS COMPLEMENTARES</v>
      </c>
      <c r="H946" s="593" t="str">
        <f>IF($E946="",IFERROR(VLOOKUP($D946,SERVIÇOS!$C:$H,3,0),IFERROR(VLOOKUP($D946,$F:$M,3,0),"")),IFERROR(VLOOKUP($E946,INSUMOS!$B:$E,3,0),IFERROR(VLOOKUP($E946,COTAÇÕES!$C:$L,5,0),"")))</f>
        <v>H</v>
      </c>
      <c r="I946" s="638">
        <v>8</v>
      </c>
      <c r="J946" s="670">
        <f>IF($E946="",IFERROR(VLOOKUP($D946,SERVIÇOS!$C:$H,6,0),IFERROR(VLOOKUP($D946,$F:$M,8,0),"")),IFERROR(VLOOKUP($E946,INSUMOS!$B:$E,4,0),IFERROR(VLOOKUP($E946,COTAÇÕES!$C:$L,10,0),"")))</f>
        <v>25.05</v>
      </c>
      <c r="K946" s="615">
        <f>TRUNC(IF($E946="",IFERROR(VLOOKUP($D946,SERVIÇOS!$C:$H,4,0),IFERROR(VLOOKUP($D946,$F:$M,6,0),)),IFERROR(VLOOKUP($E946,INSUMOS!$B:$E,4,0),IFERROR(VLOOKUP($E946,COTAÇÕES!$C:$L,10,0),)))*$I946,2)</f>
        <v>52.16</v>
      </c>
      <c r="L946" s="616">
        <f>TRUNC(IF($E946="",IFERROR(VLOOKUP($D946,SERVIÇOS!$C:$H,5,0),IFERROR(VLOOKUP($D946,$F:$M,7,0),)),0)*$I946,2)</f>
        <v>148.24</v>
      </c>
      <c r="M946" s="617">
        <f t="shared" si="409"/>
        <v>200.4</v>
      </c>
      <c r="N946" s="753" t="str">
        <f t="shared" si="410"/>
        <v>SERVIÇO SINAPI</v>
      </c>
      <c r="O946" s="650"/>
    </row>
    <row r="947" spans="2:15">
      <c r="B947" s="122">
        <f t="shared" si="407"/>
        <v>1</v>
      </c>
      <c r="C947" s="611" t="str">
        <f t="shared" si="408"/>
        <v>C</v>
      </c>
      <c r="D947" s="664">
        <v>88325</v>
      </c>
      <c r="E947" s="661"/>
      <c r="F947" s="628"/>
      <c r="G947" s="613" t="str">
        <f>IF($E947="",IFERROR(VLOOKUP($D947,SERVIÇOS!$C:$H,2,0),IFERROR(VLOOKUP($D947,$F:$M,2,0),"")),IFERROR(VLOOKUP($E947,INSUMOS!$B:$E,2,0),IFERROR(VLOOKUP($E947,COTAÇÕES!$C:$L,2,0),"")))</f>
        <v>VIDRACEIRO COM ENCARGOS COMPLEMENTARES</v>
      </c>
      <c r="H947" s="593" t="str">
        <f>IF($E947="",IFERROR(VLOOKUP($D947,SERVIÇOS!$C:$H,3,0),IFERROR(VLOOKUP($D947,$F:$M,3,0),"")),IFERROR(VLOOKUP($E947,INSUMOS!$B:$E,3,0),IFERROR(VLOOKUP($E947,COTAÇÕES!$C:$L,5,0),"")))</f>
        <v>H</v>
      </c>
      <c r="I947" s="638">
        <v>6</v>
      </c>
      <c r="J947" s="670">
        <f>IF($E947="",IFERROR(VLOOKUP($D947,SERVIÇOS!$C:$H,6,0),IFERROR(VLOOKUP($D947,$F:$M,8,0),"")),IFERROR(VLOOKUP($E947,INSUMOS!$B:$E,4,0),IFERROR(VLOOKUP($E947,COTAÇÕES!$C:$L,10,0),"")))</f>
        <v>31.21</v>
      </c>
      <c r="K947" s="615">
        <f>TRUNC(IF($E947="",IFERROR(VLOOKUP($D947,SERVIÇOS!$C:$H,4,0),IFERROR(VLOOKUP($D947,$F:$M,6,0),)),IFERROR(VLOOKUP($E947,INSUMOS!$B:$E,4,0),IFERROR(VLOOKUP($E947,COTAÇÕES!$C:$L,10,0),)))*$I947,2)</f>
        <v>39.840000000000003</v>
      </c>
      <c r="L947" s="616">
        <f>TRUNC(IF($E947="",IFERROR(VLOOKUP($D947,SERVIÇOS!$C:$H,5,0),IFERROR(VLOOKUP($D947,$F:$M,7,0),)),0)*$I947,2)</f>
        <v>147.41999999999999</v>
      </c>
      <c r="M947" s="617">
        <f t="shared" si="409"/>
        <v>187.26</v>
      </c>
      <c r="N947" s="753" t="str">
        <f t="shared" si="410"/>
        <v>SERVIÇO SINAPI</v>
      </c>
      <c r="O947" s="650"/>
    </row>
    <row r="948" spans="2:15">
      <c r="B948" s="122">
        <f t="shared" si="407"/>
        <v>1</v>
      </c>
      <c r="C948" s="611" t="str">
        <f t="shared" si="408"/>
        <v>C</v>
      </c>
      <c r="D948" s="664">
        <v>88310</v>
      </c>
      <c r="E948" s="661"/>
      <c r="F948" s="628"/>
      <c r="G948" s="613" t="str">
        <f>IF($E948="",IFERROR(VLOOKUP($D948,SERVIÇOS!$C:$H,2,0),IFERROR(VLOOKUP($D948,$F:$M,2,0),"")),IFERROR(VLOOKUP($E948,INSUMOS!$B:$E,2,0),IFERROR(VLOOKUP($E948,COTAÇÕES!$C:$L,2,0),"")))</f>
        <v>PINTOR COM ENCARGOS COMPLEMENTARES</v>
      </c>
      <c r="H948" s="593" t="str">
        <f>IF($E948="",IFERROR(VLOOKUP($D948,SERVIÇOS!$C:$H,3,0),IFERROR(VLOOKUP($D948,$F:$M,3,0),"")),IFERROR(VLOOKUP($E948,INSUMOS!$B:$E,3,0),IFERROR(VLOOKUP($E948,COTAÇÕES!$C:$L,5,0),"")))</f>
        <v>H</v>
      </c>
      <c r="I948" s="638">
        <v>6</v>
      </c>
      <c r="J948" s="670">
        <f>IF($E948="",IFERROR(VLOOKUP($D948,SERVIÇOS!$C:$H,6,0),IFERROR(VLOOKUP($D948,$F:$M,8,0),"")),IFERROR(VLOOKUP($E948,INSUMOS!$B:$E,4,0),IFERROR(VLOOKUP($E948,COTAÇÕES!$C:$L,10,0),"")))</f>
        <v>32.01</v>
      </c>
      <c r="K948" s="615">
        <f>TRUNC(IF($E948="",IFERROR(VLOOKUP($D948,SERVIÇOS!$C:$H,4,0),IFERROR(VLOOKUP($D948,$F:$M,6,0),)),IFERROR(VLOOKUP($E948,INSUMOS!$B:$E,4,0),IFERROR(VLOOKUP($E948,COTAÇÕES!$C:$L,10,0),)))*$I948,2)</f>
        <v>46.74</v>
      </c>
      <c r="L948" s="616">
        <f>TRUNC(IF($E948="",IFERROR(VLOOKUP($D948,SERVIÇOS!$C:$H,5,0),IFERROR(VLOOKUP($D948,$F:$M,7,0),)),0)*$I948,2)</f>
        <v>145.32</v>
      </c>
      <c r="M948" s="617">
        <f t="shared" si="409"/>
        <v>192.06</v>
      </c>
      <c r="N948" s="753" t="str">
        <f t="shared" si="410"/>
        <v>SERVIÇO SINAPI</v>
      </c>
      <c r="O948" s="650"/>
    </row>
    <row r="949" spans="2:15">
      <c r="B949" s="122">
        <f t="shared" si="407"/>
        <v>1</v>
      </c>
      <c r="C949" s="611" t="str">
        <f t="shared" si="408"/>
        <v>C</v>
      </c>
      <c r="D949" s="664">
        <v>88247</v>
      </c>
      <c r="E949" s="661"/>
      <c r="F949" s="628"/>
      <c r="G949" s="613" t="str">
        <f>IF($E949="",IFERROR(VLOOKUP($D949,SERVIÇOS!$C:$H,2,0),IFERROR(VLOOKUP($D949,$F:$M,2,0),"")),IFERROR(VLOOKUP($E949,INSUMOS!$B:$E,2,0),IFERROR(VLOOKUP($E949,COTAÇÕES!$C:$L,2,0),"")))</f>
        <v>AUXILIAR DE ELETRICISTA COM ENCARGOS COMPLEMENTARES</v>
      </c>
      <c r="H949" s="593" t="str">
        <f>IF($E949="",IFERROR(VLOOKUP($D949,SERVIÇOS!$C:$H,3,0),IFERROR(VLOOKUP($D949,$F:$M,3,0),"")),IFERROR(VLOOKUP($E949,INSUMOS!$B:$E,3,0),IFERROR(VLOOKUP($E949,COTAÇÕES!$C:$L,5,0),"")))</f>
        <v>H</v>
      </c>
      <c r="I949" s="638">
        <v>16</v>
      </c>
      <c r="J949" s="670">
        <f>IF($E949="",IFERROR(VLOOKUP($D949,SERVIÇOS!$C:$H,6,0),IFERROR(VLOOKUP($D949,$F:$M,8,0),"")),IFERROR(VLOOKUP($E949,INSUMOS!$B:$E,4,0),IFERROR(VLOOKUP($E949,COTAÇÕES!$C:$L,10,0),"")))</f>
        <v>25.53</v>
      </c>
      <c r="K949" s="615">
        <f>TRUNC(IF($E949="",IFERROR(VLOOKUP($D949,SERVIÇOS!$C:$H,4,0),IFERROR(VLOOKUP($D949,$F:$M,6,0),)),IFERROR(VLOOKUP($E949,INSUMOS!$B:$E,4,0),IFERROR(VLOOKUP($E949,COTAÇÕES!$C:$L,10,0),)))*$I949,2)</f>
        <v>106.56</v>
      </c>
      <c r="L949" s="616">
        <f>TRUNC(IF($E949="",IFERROR(VLOOKUP($D949,SERVIÇOS!$C:$H,5,0),IFERROR(VLOOKUP($D949,$F:$M,7,0),)),0)*$I949,2)</f>
        <v>301.92</v>
      </c>
      <c r="M949" s="617">
        <f t="shared" si="409"/>
        <v>408.48</v>
      </c>
      <c r="N949" s="753" t="str">
        <f t="shared" si="410"/>
        <v>SERVIÇO SINAPI</v>
      </c>
      <c r="O949" s="650"/>
    </row>
    <row r="950" spans="2:15">
      <c r="B950" s="122">
        <f t="shared" si="407"/>
        <v>1</v>
      </c>
      <c r="C950" s="611" t="str">
        <f t="shared" si="408"/>
        <v>C</v>
      </c>
      <c r="D950" s="666">
        <v>88316</v>
      </c>
      <c r="E950" s="661"/>
      <c r="F950" s="612"/>
      <c r="G950" s="613" t="str">
        <f>IF($E950="",IFERROR(VLOOKUP($D950,SERVIÇOS!$C:$H,2,0),IFERROR(VLOOKUP($D950,$F:$M,2,0),"")),IFERROR(VLOOKUP($E950,INSUMOS!$B:$E,2,0),IFERROR(VLOOKUP($E950,COTAÇÕES!$C:$L,2,0),"")))</f>
        <v>SERVENTE COM ENCARGOS COMPLEMENTARES</v>
      </c>
      <c r="H950" s="593" t="str">
        <f>IF($E950="",IFERROR(VLOOKUP($D950,SERVIÇOS!$C:$H,3,0),IFERROR(VLOOKUP($D950,$F:$M,3,0),"")),IFERROR(VLOOKUP($E950,INSUMOS!$B:$E,3,0),IFERROR(VLOOKUP($E950,COTAÇÕES!$C:$L,5,0),"")))</f>
        <v>H</v>
      </c>
      <c r="I950" s="638">
        <v>24</v>
      </c>
      <c r="J950" s="670">
        <f>IF($E950="",IFERROR(VLOOKUP($D950,SERVIÇOS!$C:$H,6,0),IFERROR(VLOOKUP($D950,$F:$M,8,0),"")),IFERROR(VLOOKUP($E950,INSUMOS!$B:$E,4,0),IFERROR(VLOOKUP($E950,COTAÇÕES!$C:$L,10,0),"")))</f>
        <v>23.71</v>
      </c>
      <c r="K950" s="615">
        <f>TRUNC(IF($E950="",IFERROR(VLOOKUP($D950,SERVIÇOS!$C:$H,4,0),IFERROR(VLOOKUP($D950,$F:$M,6,0),)),IFERROR(VLOOKUP($E950,INSUMOS!$B:$E,4,0),IFERROR(VLOOKUP($E950,COTAÇÕES!$C:$L,10,0),)))*$I950,2)</f>
        <v>156.47999999999999</v>
      </c>
      <c r="L950" s="616">
        <f>TRUNC(IF($E950="",IFERROR(VLOOKUP($D950,SERVIÇOS!$C:$H,5,0),IFERROR(VLOOKUP($D950,$F:$M,7,0),)),0)*$I950,2)</f>
        <v>412.56</v>
      </c>
      <c r="M950" s="617">
        <f t="shared" si="409"/>
        <v>569.04</v>
      </c>
      <c r="N950" s="753" t="str">
        <f t="shared" si="410"/>
        <v>SERVIÇO SINAPI</v>
      </c>
      <c r="O950" s="650"/>
    </row>
    <row r="951" spans="2:15">
      <c r="B951" s="769">
        <f>SUMIF(ORC!$G$11:$G$2470,CPU!$F951,ORC!$J$11:$J$2470)</f>
        <v>122.9</v>
      </c>
      <c r="C951" s="515" t="s">
        <v>2239</v>
      </c>
      <c r="D951" s="515"/>
      <c r="E951" s="515"/>
      <c r="F951" s="458" t="s">
        <v>7658</v>
      </c>
      <c r="G951" s="594" t="s">
        <v>7647</v>
      </c>
      <c r="H951" s="515" t="s">
        <v>644</v>
      </c>
      <c r="I951" s="595"/>
      <c r="J951" s="596"/>
      <c r="K951" s="597">
        <f>SUM(K952:K952)</f>
        <v>15</v>
      </c>
      <c r="L951" s="597">
        <f>SUM(L952:L952)</f>
        <v>0</v>
      </c>
      <c r="M951" s="596">
        <f>SUM(K951:L951)</f>
        <v>15</v>
      </c>
      <c r="N951" s="598" t="s">
        <v>7659</v>
      </c>
      <c r="O951" s="599" t="s">
        <v>7651</v>
      </c>
    </row>
    <row r="952" spans="2:15">
      <c r="B952" s="122">
        <f>B951</f>
        <v>122.9</v>
      </c>
      <c r="C952" s="611" t="str">
        <f>IF(D952&lt;&gt;"","C",IF(E952&lt;&gt;"","I",""))</f>
        <v>I</v>
      </c>
      <c r="D952" s="661"/>
      <c r="E952" s="661" t="s">
        <v>9131</v>
      </c>
      <c r="F952" s="612"/>
      <c r="G952" s="613" t="str">
        <f>IF($E952="",IFERROR(VLOOKUP($D952,SERVIÇOS!$C:$H,2,0),IFERROR(VLOOKUP($D952,$F:$M,2,0),"")),IFERROR(VLOOKUP($E952,INSUMOS!$B:$E,2,0),IFERROR(VLOOKUP($E952,COTAÇÕES!$C:$L,2,0),"")))</f>
        <v>TAXA DE DESTINAÇÃO AMBIENTAL ENTULHO GERAL</v>
      </c>
      <c r="H952" s="593" t="str">
        <f>IF($E952="",IFERROR(VLOOKUP($D952,SERVIÇOS!$C:$H,3,0),IFERROR(VLOOKUP($D952,$F:$M,3,0),"")),IFERROR(VLOOKUP($E952,INSUMOS!$B:$E,3,0),IFERROR(VLOOKUP($E952,COTAÇÕES!$C:$L,5,0),"")))</f>
        <v>M3</v>
      </c>
      <c r="I952" s="614">
        <v>1</v>
      </c>
      <c r="J952" s="670">
        <f>IF($E952="",IFERROR(VLOOKUP($D952,SERVIÇOS!$C:$H,6,0),IFERROR(VLOOKUP($D952,$F:$M,8,0),"")),IFERROR(VLOOKUP($E952,INSUMOS!$B:$E,4,0),IFERROR(VLOOKUP($E952,COTAÇÕES!$C:$L,10,0),"")))</f>
        <v>15</v>
      </c>
      <c r="K952" s="615">
        <f>TRUNC(IF($E952="",IFERROR(VLOOKUP($D952,SERVIÇOS!$C:$H,4,0),IFERROR(VLOOKUP($D952,$F:$M,6,0),)),IFERROR(VLOOKUP($E952,INSUMOS!$B:$E,4,0),IFERROR(VLOOKUP($E952,COTAÇÕES!$C:$L,10,0),)))*$I952,2)</f>
        <v>15</v>
      </c>
      <c r="L952" s="616">
        <f>TRUNC(IF($E952="",IFERROR(VLOOKUP($D952,SERVIÇOS!$C:$H,5,0),IFERROR(VLOOKUP($D952,$F:$M,7,0),)),0)*$I952,2)</f>
        <v>0</v>
      </c>
      <c r="M952" s="617">
        <f>K952+L952</f>
        <v>15</v>
      </c>
      <c r="N952" s="753" t="s">
        <v>6845</v>
      </c>
      <c r="O952" s="648"/>
    </row>
    <row r="953" spans="2:15" ht="51" hidden="1">
      <c r="B953" s="769">
        <f>SUMIF(ORC!$G$11:$G$2470,CPU!$F953,ORC!$J$11:$J$2470)</f>
        <v>0</v>
      </c>
      <c r="C953" s="515" t="s">
        <v>2239</v>
      </c>
      <c r="D953" s="515"/>
      <c r="E953" s="515"/>
      <c r="F953" s="458" t="s">
        <v>8691</v>
      </c>
      <c r="G953" s="594" t="s">
        <v>8830</v>
      </c>
      <c r="H953" s="515" t="s">
        <v>646</v>
      </c>
      <c r="I953" s="595"/>
      <c r="J953" s="596"/>
      <c r="K953" s="597">
        <f>SUM(K954:K954)</f>
        <v>5900</v>
      </c>
      <c r="L953" s="597">
        <f>SUM(L954:L954)</f>
        <v>0</v>
      </c>
      <c r="M953" s="596">
        <f>SUM(K953:L953)</f>
        <v>5900</v>
      </c>
      <c r="N953" s="598" t="s">
        <v>7577</v>
      </c>
      <c r="O953" s="651"/>
    </row>
    <row r="954" spans="2:15" ht="51" hidden="1">
      <c r="B954" s="122">
        <f>B953</f>
        <v>0</v>
      </c>
      <c r="C954" s="611" t="str">
        <f>IF(D954&lt;&gt;"","C",IF(E954&lt;&gt;"","I",""))</f>
        <v>I</v>
      </c>
      <c r="D954" s="665"/>
      <c r="E954" s="664" t="s">
        <v>9130</v>
      </c>
      <c r="F954" s="626"/>
      <c r="G954" s="613" t="str">
        <f>IF($E954="",IFERROR(VLOOKUP($D954,SERVIÇOS!$C:$H,2,0),IFERROR(VLOOKUP($D954,$F:$M,2,0),"")),IFERROR(VLOOKUP($E954,INSUMOS!$B:$E,2,0),IFERROR(VLOOKUP($E954,COTAÇÕES!$C:$L,2,0),"")))</f>
        <v>SOMBREADOR NA MEDIDA 5,00X5,00, TOTALIZANDO ÁREA COBERTA 25M2, PARA 2 VEÍCULOS, INCLUSO BASE E PÉS DE SUSTENTAÇÃO EM TUBOS DE AÇO CARBONO DE 2 1/2" COM PINTURA ELETROSTÁTICA, E TELA DE PROTEÇÃO EM MALHA TERMOPLÁSTICA PERMEÁVEL EM POLETILENO DE ALTA DENSIDADE (220GR/M2)</v>
      </c>
      <c r="H954" s="593" t="str">
        <f>IF($E954="",IFERROR(VLOOKUP($D954,SERVIÇOS!$C:$H,3,0),IFERROR(VLOOKUP($D954,$F:$M,3,0),"")),IFERROR(VLOOKUP($E954,INSUMOS!$B:$E,3,0),IFERROR(VLOOKUP($E954,COTAÇÕES!$C:$L,5,0),"")))</f>
        <v xml:space="preserve">UN </v>
      </c>
      <c r="I954" s="614">
        <v>1</v>
      </c>
      <c r="J954" s="670">
        <f>IF($E954="",IFERROR(VLOOKUP($D954,SERVIÇOS!$C:$H,6,0),IFERROR(VLOOKUP($D954,$F:$M,8,0),"")),IFERROR(VLOOKUP($E954,INSUMOS!$B:$E,4,0),IFERROR(VLOOKUP($E954,COTAÇÕES!$C:$L,10,0),"")))</f>
        <v>5900</v>
      </c>
      <c r="K954" s="615">
        <f>TRUNC(IF($E954="",IFERROR(VLOOKUP($D954,SERVIÇOS!$C:$H,4,0),IFERROR(VLOOKUP($D954,$F:$M,6,0),)),IFERROR(VLOOKUP($E954,INSUMOS!$B:$E,4,0),IFERROR(VLOOKUP($E954,COTAÇÕES!$C:$L,10,0),)))*$I954,2)</f>
        <v>5900</v>
      </c>
      <c r="L954" s="616">
        <f>TRUNC(IF($E954="",IFERROR(VLOOKUP($D954,SERVIÇOS!$C:$H,5,0),IFERROR(VLOOKUP($D954,$F:$M,7,0),)),0)*$I954,2)</f>
        <v>0</v>
      </c>
      <c r="M954" s="617">
        <f>K954+L954</f>
        <v>5900</v>
      </c>
      <c r="N954" s="753" t="s">
        <v>6845</v>
      </c>
      <c r="O954" s="625"/>
    </row>
    <row r="955" spans="2:15" ht="25.5">
      <c r="B955" s="769">
        <f>SUMIF(ORC!$G$11:$G$2470,CPU!$F955,ORC!$J$11:$J$2470)</f>
        <v>1</v>
      </c>
      <c r="C955" s="515" t="s">
        <v>2239</v>
      </c>
      <c r="D955" s="515"/>
      <c r="E955" s="515"/>
      <c r="F955" s="458" t="s">
        <v>8692</v>
      </c>
      <c r="G955" s="594" t="s">
        <v>8696</v>
      </c>
      <c r="H955" s="515" t="s">
        <v>646</v>
      </c>
      <c r="I955" s="595"/>
      <c r="J955" s="596"/>
      <c r="K955" s="597">
        <f>SUM(K956:K959)</f>
        <v>4173.05</v>
      </c>
      <c r="L955" s="597">
        <f>SUM(L956:L959)</f>
        <v>65.72999999999999</v>
      </c>
      <c r="M955" s="596">
        <f>SUM(K955:L955)</f>
        <v>4238.78</v>
      </c>
      <c r="N955" s="598" t="s">
        <v>8693</v>
      </c>
      <c r="O955" s="651"/>
    </row>
    <row r="956" spans="2:15" ht="25.5">
      <c r="B956" s="122">
        <f t="shared" ref="B956:B959" si="411">B955</f>
        <v>1</v>
      </c>
      <c r="C956" s="611" t="str">
        <f>IF(D956&lt;&gt;"","C",IF(E956&lt;&gt;"","I",""))</f>
        <v>C</v>
      </c>
      <c r="D956" s="665">
        <v>92443</v>
      </c>
      <c r="E956" s="664"/>
      <c r="F956" s="626"/>
      <c r="G956" s="613" t="str">
        <f>IF($E956="",IFERROR(VLOOKUP($D956,SERVIÇOS!$C:$H,2,0),IFERROR(VLOOKUP($D956,$F:$M,2,0),"")),IFERROR(VLOOKUP($E956,INSUMOS!$B:$E,2,0),IFERROR(VLOOKUP($E956,COTAÇÕES!$C:$L,2,0),"")))</f>
        <v>MONTAGEM E DESMONTAGEM DE FÔRMA DE PILARES RETANGULARES E ESTRUTURAS SIMILARES, PÉ-DIREITO SIMPLES, EM CHAPA DE MADEIRA COMPENSADA PLASTIFICADA, 18 UTILIZAÇÕES. AF_09/2020</v>
      </c>
      <c r="H956" s="593" t="str">
        <f>IF($E956="",IFERROR(VLOOKUP($D956,SERVIÇOS!$C:$H,3,0),IFERROR(VLOOKUP($D956,$F:$M,3,0),"")),IFERROR(VLOOKUP($E956,INSUMOS!$B:$E,3,0),IFERROR(VLOOKUP($E956,COTAÇÕES!$C:$L,5,0),"")))</f>
        <v>M2</v>
      </c>
      <c r="I956" s="614">
        <f>0.15*(1.84+0.6+1.84+0.6)</f>
        <v>0.73199999999999998</v>
      </c>
      <c r="J956" s="670">
        <f>IF($E956="",IFERROR(VLOOKUP($D956,SERVIÇOS!$C:$H,6,0),IFERROR(VLOOKUP($D956,$F:$M,8,0),"")),IFERROR(VLOOKUP($E956,INSUMOS!$B:$E,4,0),IFERROR(VLOOKUP($E956,COTAÇÕES!$C:$L,10,0),"")))</f>
        <v>47.85</v>
      </c>
      <c r="K956" s="615">
        <f>TRUNC(IF($E956="",IFERROR(VLOOKUP($D956,SERVIÇOS!$C:$H,4,0),IFERROR(VLOOKUP($D956,$F:$M,6,0),)),IFERROR(VLOOKUP($E956,INSUMOS!$B:$E,4,0),IFERROR(VLOOKUP($E956,COTAÇÕES!$C:$L,10,0),)))*$I956,2)</f>
        <v>20.88</v>
      </c>
      <c r="L956" s="616">
        <f>TRUNC(IF($E956="",IFERROR(VLOOKUP($D956,SERVIÇOS!$C:$H,5,0),IFERROR(VLOOKUP($D956,$F:$M,7,0),)),0)*$I956,2)</f>
        <v>14.14</v>
      </c>
      <c r="M956" s="617">
        <f>K956+L956</f>
        <v>35.019999999999996</v>
      </c>
      <c r="N956" s="753" t="str">
        <f>IF($D956&lt;&gt;"","SERVIÇO SINAPI",IF($E956&lt;&gt;"","INSUMO SINAPI",""))</f>
        <v>SERVIÇO SINAPI</v>
      </c>
      <c r="O956" s="625"/>
    </row>
    <row r="957" spans="2:15" ht="25.5">
      <c r="B957" s="122">
        <f t="shared" si="411"/>
        <v>1</v>
      </c>
      <c r="C957" s="611" t="str">
        <f>IF(D957&lt;&gt;"","C",IF(E957&lt;&gt;"","I",""))</f>
        <v>C</v>
      </c>
      <c r="D957" s="661">
        <v>94965</v>
      </c>
      <c r="E957" s="664"/>
      <c r="F957" s="626"/>
      <c r="G957" s="613" t="str">
        <f>IF($E957="",IFERROR(VLOOKUP($D957,SERVIÇOS!$C:$H,2,0),IFERROR(VLOOKUP($D957,$F:$M,2,0),"")),IFERROR(VLOOKUP($E957,INSUMOS!$B:$E,2,0),IFERROR(VLOOKUP($E957,COTAÇÕES!$C:$L,2,0),"")))</f>
        <v>CONCRETO FCK = 25MPA, TRAÇO 1:2,3:2,7 (EM MASSA SECA DE CIMENTO/ AREIA MÉDIA/ BRITA 1) - PREPARO MECÂNICO COM BETONEIRA 400 L. AF_05/2021</v>
      </c>
      <c r="H957" s="593" t="str">
        <f>IF($E957="",IFERROR(VLOOKUP($D957,SERVIÇOS!$C:$H,3,0),IFERROR(VLOOKUP($D957,$F:$M,3,0),"")),IFERROR(VLOOKUP($E957,INSUMOS!$B:$E,3,0),IFERROR(VLOOKUP($E957,COTAÇÕES!$C:$L,5,0),"")))</f>
        <v>M3</v>
      </c>
      <c r="I957" s="614">
        <f>1.84*0.6*0.15</f>
        <v>0.1656</v>
      </c>
      <c r="J957" s="670">
        <f>IF($E957="",IFERROR(VLOOKUP($D957,SERVIÇOS!$C:$H,6,0),IFERROR(VLOOKUP($D957,$F:$M,8,0),"")),IFERROR(VLOOKUP($E957,INSUMOS!$B:$E,4,0),IFERROR(VLOOKUP($E957,COTAÇÕES!$C:$L,10,0),"")))</f>
        <v>425.25</v>
      </c>
      <c r="K957" s="615">
        <f>TRUNC(IF($E957="",IFERROR(VLOOKUP($D957,SERVIÇOS!$C:$H,4,0),IFERROR(VLOOKUP($D957,$F:$M,6,0),)),IFERROR(VLOOKUP($E957,INSUMOS!$B:$E,4,0),IFERROR(VLOOKUP($E957,COTAÇÕES!$C:$L,10,0),)))*$I957,2)</f>
        <v>59.58</v>
      </c>
      <c r="L957" s="616">
        <f>TRUNC(IF($E957="",IFERROR(VLOOKUP($D957,SERVIÇOS!$C:$H,5,0),IFERROR(VLOOKUP($D957,$F:$M,7,0),)),0)*$I957,2)</f>
        <v>10.83</v>
      </c>
      <c r="M957" s="617">
        <f>K957+L957</f>
        <v>70.41</v>
      </c>
      <c r="N957" s="753" t="str">
        <f>IF($D957&lt;&gt;"","SERVIÇO SINAPI",IF($E957&lt;&gt;"","INSUMO SINAPI",""))</f>
        <v>SERVIÇO SINAPI</v>
      </c>
      <c r="O957" s="650"/>
    </row>
    <row r="958" spans="2:15" ht="25.5">
      <c r="B958" s="122">
        <f t="shared" si="411"/>
        <v>1</v>
      </c>
      <c r="C958" s="611" t="str">
        <f>IF(D958&lt;&gt;"","C",IF(E958&lt;&gt;"","I",""))</f>
        <v>C</v>
      </c>
      <c r="D958" s="661">
        <v>103670</v>
      </c>
      <c r="E958" s="664"/>
      <c r="F958" s="626"/>
      <c r="G958" s="613" t="str">
        <f>IF($E958="",IFERROR(VLOOKUP($D958,SERVIÇOS!$C:$H,2,0),IFERROR(VLOOKUP($D958,$F:$M,2,0),"")),IFERROR(VLOOKUP($E958,INSUMOS!$B:$E,2,0),IFERROR(VLOOKUP($E958,COTAÇÕES!$C:$L,2,0),"")))</f>
        <v>LANÇAMENTO COM USO DE BALDES, ADENSAMENTO E ACABAMENTO DE CONCRETO EM ESTRUTURAS. AF_02/2022</v>
      </c>
      <c r="H958" s="593" t="str">
        <f>IF($E958="",IFERROR(VLOOKUP($D958,SERVIÇOS!$C:$H,3,0),IFERROR(VLOOKUP($D958,$F:$M,3,0),"")),IFERROR(VLOOKUP($E958,INSUMOS!$B:$E,3,0),IFERROR(VLOOKUP($E958,COTAÇÕES!$C:$L,5,0),"")))</f>
        <v>M3</v>
      </c>
      <c r="I958" s="614">
        <f>1.84*0.6*0.15</f>
        <v>0.1656</v>
      </c>
      <c r="J958" s="670">
        <f>IF($E958="",IFERROR(VLOOKUP($D958,SERVIÇOS!$C:$H,6,0),IFERROR(VLOOKUP($D958,$F:$M,8,0),"")),IFERROR(VLOOKUP($E958,INSUMOS!$B:$E,4,0),IFERROR(VLOOKUP($E958,COTAÇÕES!$C:$L,10,0),"")))</f>
        <v>328.76</v>
      </c>
      <c r="K958" s="615">
        <f>TRUNC(IF($E958="",IFERROR(VLOOKUP($D958,SERVIÇOS!$C:$H,4,0),IFERROR(VLOOKUP($D958,$F:$M,6,0),)),IFERROR(VLOOKUP($E958,INSUMOS!$B:$E,4,0),IFERROR(VLOOKUP($E958,COTAÇÕES!$C:$L,10,0),)))*$I958,2)</f>
        <v>13.67</v>
      </c>
      <c r="L958" s="616">
        <f>TRUNC(IF($E958="",IFERROR(VLOOKUP($D958,SERVIÇOS!$C:$H,5,0),IFERROR(VLOOKUP($D958,$F:$M,7,0),)),0)*$I958,2)</f>
        <v>40.76</v>
      </c>
      <c r="M958" s="617">
        <f>K958+L958</f>
        <v>54.43</v>
      </c>
      <c r="N958" s="753" t="str">
        <f>IF($D958&lt;&gt;"","SERVIÇO SINAPI",IF($E958&lt;&gt;"","INSUMO SINAPI",""))</f>
        <v>SERVIÇO SINAPI</v>
      </c>
      <c r="O958" s="650"/>
    </row>
    <row r="959" spans="2:15" ht="25.5">
      <c r="B959" s="122">
        <f t="shared" si="411"/>
        <v>1</v>
      </c>
      <c r="C959" s="611" t="str">
        <f>IF(D959&lt;&gt;"","C",IF(E959&lt;&gt;"","I",""))</f>
        <v>I</v>
      </c>
      <c r="D959" s="661"/>
      <c r="E959" s="664" t="s">
        <v>8694</v>
      </c>
      <c r="F959" s="626"/>
      <c r="G959" s="970" t="str">
        <f>IF($E959="",IFERROR(VLOOKUP($D959,SERVIÇOS!$C:$H,2,0),IFERROR(VLOOKUP($D959,$F:$M,2,0),"")),IFERROR(VLOOKUP($E959,INSUMOS!$B:$E,2,0),IFERROR(VLOOKUP($E959,COTAÇÕES!$C:$L,2,0),"")))</f>
        <v xml:space="preserve">Mastro para bandeira em aço galvanizado completo engastado, altura livre de 7,00 m	</v>
      </c>
      <c r="H959" s="593" t="str">
        <f>IF($E959="",IFERROR(VLOOKUP($D959,SERVIÇOS!$C:$H,3,0),IFERROR(VLOOKUP($D959,$F:$M,3,0),"")),IFERROR(VLOOKUP($E959,INSUMOS!$B:$E,3,0),IFERROR(VLOOKUP($E959,COTAÇÕES!$C:$L,5,0),"")))</f>
        <v xml:space="preserve">UN </v>
      </c>
      <c r="I959" s="614">
        <v>3</v>
      </c>
      <c r="J959" s="670">
        <f>IF($E959="",IFERROR(VLOOKUP($D959,SERVIÇOS!$C:$H,6,0),IFERROR(VLOOKUP($D959,$F:$M,8,0),"")),IFERROR(VLOOKUP($E959,INSUMOS!$B:$E,4,0),IFERROR(VLOOKUP($E959,COTAÇÕES!$C:$L,10,0),"")))</f>
        <v>1359.64</v>
      </c>
      <c r="K959" s="615">
        <f>TRUNC(IF($E959="",IFERROR(VLOOKUP($D959,SERVIÇOS!$C:$H,4,0),IFERROR(VLOOKUP($D959,$F:$M,6,0),)),IFERROR(VLOOKUP($E959,INSUMOS!$B:$E,4,0),IFERROR(VLOOKUP($E959,COTAÇÕES!$C:$L,10,0),)))*$I959,2)</f>
        <v>4078.92</v>
      </c>
      <c r="L959" s="616">
        <f>TRUNC(IF($E959="",IFERROR(VLOOKUP($D959,SERVIÇOS!$C:$H,5,0),IFERROR(VLOOKUP($D959,$F:$M,7,0),)),0)*$I959,2)</f>
        <v>0</v>
      </c>
      <c r="M959" s="617">
        <f>K959+L959</f>
        <v>4078.92</v>
      </c>
      <c r="N959" s="753" t="s">
        <v>8494</v>
      </c>
      <c r="O959" s="650"/>
    </row>
    <row r="960" spans="2:15" ht="51">
      <c r="B960" s="769">
        <f>SUMIF(ORC!$G$11:$G$2470,CPU!$F960,ORC!$J$11:$J$2470)</f>
        <v>1</v>
      </c>
      <c r="C960" s="515" t="s">
        <v>2239</v>
      </c>
      <c r="D960" s="515"/>
      <c r="E960" s="515"/>
      <c r="F960" s="458" t="s">
        <v>8698</v>
      </c>
      <c r="G960" s="594" t="s">
        <v>8700</v>
      </c>
      <c r="H960" s="515" t="s">
        <v>646</v>
      </c>
      <c r="I960" s="595"/>
      <c r="J960" s="596"/>
      <c r="K960" s="597">
        <f>SUM(K961:K961)</f>
        <v>50930</v>
      </c>
      <c r="L960" s="597">
        <f>SUM(L961:L961)</f>
        <v>0</v>
      </c>
      <c r="M960" s="596">
        <f>SUM(K960:L960)</f>
        <v>50930</v>
      </c>
      <c r="N960" s="598" t="s">
        <v>7577</v>
      </c>
      <c r="O960" s="651"/>
    </row>
    <row r="961" spans="2:15" ht="51">
      <c r="B961" s="122">
        <f>B960</f>
        <v>1</v>
      </c>
      <c r="C961" s="611" t="str">
        <f>IF(D961&lt;&gt;"","C",IF(E961&lt;&gt;"","I",""))</f>
        <v>I</v>
      </c>
      <c r="D961" s="661"/>
      <c r="E961" s="664" t="s">
        <v>9132</v>
      </c>
      <c r="F961" s="626"/>
      <c r="G961" s="613" t="str">
        <f>IF($E961="",IFERROR(VLOOKUP($D961,SERVIÇOS!$C:$H,2,0),IFERROR(VLOOKUP($D961,$F:$M,2,0),"")),IFERROR(VLOOKUP($E961,INSUMOS!$B:$E,2,0),IFERROR(VLOOKUP($E961,COTAÇÕES!$C:$L,2,0),"")))</f>
        <v>PLATAFORMA DE ACESSIBILIDADE HIDRÁULICA CABINADA, MODELO UNILATERAL, DIMENSÃO DA BASE 90X140X203CM (MEDIDAS LIVRES), ACABAMENTO PINTURA ELETROSTÁTICA A PÓ NA COR CINZA TEXTURIZADO, 02 PARADAS, DESNÍVEL APROXIMADO 2,80M, MODELO PHE-M6 OU EQUIVALENTE TÉCNICO - FORNECIMENTO E INSTALAÇÃO</v>
      </c>
      <c r="H961" s="593" t="str">
        <f>IF($E961="",IFERROR(VLOOKUP($D961,SERVIÇOS!$C:$H,3,0),IFERROR(VLOOKUP($D961,$F:$M,3,0),"")),IFERROR(VLOOKUP($E961,INSUMOS!$B:$E,3,0),IFERROR(VLOOKUP($E961,COTAÇÕES!$C:$L,5,0),"")))</f>
        <v xml:space="preserve">UN </v>
      </c>
      <c r="I961" s="614">
        <v>1</v>
      </c>
      <c r="J961" s="670">
        <f>IF($E961="",IFERROR(VLOOKUP($D961,SERVIÇOS!$C:$H,6,0),IFERROR(VLOOKUP($D961,$F:$M,8,0),"")),IFERROR(VLOOKUP($E961,INSUMOS!$B:$E,4,0),IFERROR(VLOOKUP($E961,COTAÇÕES!$C:$L,10,0),"")))</f>
        <v>50930</v>
      </c>
      <c r="K961" s="615">
        <f>TRUNC(IF($E961="",IFERROR(VLOOKUP($D961,SERVIÇOS!$C:$H,4,0),IFERROR(VLOOKUP($D961,$F:$M,6,0),)),IFERROR(VLOOKUP($E961,INSUMOS!$B:$E,4,0),IFERROR(VLOOKUP($E961,COTAÇÕES!$C:$L,10,0),)))*$I961,2)</f>
        <v>50930</v>
      </c>
      <c r="L961" s="616">
        <f>TRUNC(IF($E961="",IFERROR(VLOOKUP($D961,SERVIÇOS!$C:$H,5,0),IFERROR(VLOOKUP($D961,$F:$M,7,0),)),0)*$I961,2)</f>
        <v>0</v>
      </c>
      <c r="M961" s="617">
        <f>K961+L961</f>
        <v>50930</v>
      </c>
      <c r="N961" s="753" t="s">
        <v>6845</v>
      </c>
      <c r="O961" s="650"/>
    </row>
    <row r="962" spans="2:15" s="119" customFormat="1">
      <c r="G962" s="971"/>
      <c r="M962" s="968"/>
      <c r="N962" s="968"/>
      <c r="O962" s="846"/>
    </row>
    <row r="963" spans="2:15" s="119" customFormat="1">
      <c r="G963" s="971"/>
      <c r="M963" s="968"/>
      <c r="N963" s="968"/>
      <c r="O963" s="846"/>
    </row>
    <row r="964" spans="2:15" s="119" customFormat="1">
      <c r="G964" s="971"/>
      <c r="M964" s="968"/>
      <c r="N964" s="968"/>
      <c r="O964" s="846"/>
    </row>
    <row r="965" spans="2:15" s="119" customFormat="1">
      <c r="G965" s="971"/>
      <c r="M965" s="968"/>
      <c r="N965" s="968"/>
      <c r="O965" s="846"/>
    </row>
    <row r="966" spans="2:15" s="119" customFormat="1">
      <c r="G966" s="971"/>
      <c r="M966" s="1173"/>
      <c r="N966" s="1173"/>
      <c r="O966" s="1173"/>
    </row>
    <row r="967" spans="2:15" s="119" customFormat="1">
      <c r="G967" s="971"/>
      <c r="M967" s="1172" t="s">
        <v>2691</v>
      </c>
      <c r="N967" s="1172"/>
      <c r="O967" s="1172"/>
    </row>
    <row r="968" spans="2:15" s="119" customFormat="1">
      <c r="G968" s="971"/>
      <c r="M968" s="1172" t="s">
        <v>2692</v>
      </c>
      <c r="N968" s="1172"/>
      <c r="O968" s="1172"/>
    </row>
    <row r="969" spans="2:15" s="119" customFormat="1">
      <c r="G969" s="971"/>
      <c r="N969" s="972"/>
    </row>
  </sheetData>
  <autoFilter ref="A11:O961" xr:uid="{00000000-0001-0000-1100-000000000000}">
    <filterColumn colId="1">
      <filters blank="1">
        <filter val="0,45"/>
        <filter val="0,56"/>
        <filter val="1"/>
        <filter val="1,47"/>
        <filter val="1,89"/>
        <filter val="10"/>
        <filter val="10,19"/>
        <filter val="10,5"/>
        <filter val="10,58"/>
        <filter val="100"/>
        <filter val="105,6"/>
        <filter val="11"/>
        <filter val="11,76"/>
        <filter val="11,83"/>
        <filter val="110,96"/>
        <filter val="114"/>
        <filter val="12"/>
        <filter val="12,65"/>
        <filter val="122,9"/>
        <filter val="124"/>
        <filter val="126,52"/>
        <filter val="13"/>
        <filter val="132"/>
        <filter val="134,54"/>
        <filter val="135"/>
        <filter val="135,01"/>
        <filter val="14"/>
        <filter val="15"/>
        <filter val="16"/>
        <filter val="179,04"/>
        <filter val="18"/>
        <filter val="180"/>
        <filter val="19"/>
        <filter val="19,77"/>
        <filter val="19,9"/>
        <filter val="2"/>
        <filter val="2,82"/>
        <filter val="20"/>
        <filter val="21"/>
        <filter val="217,74"/>
        <filter val="22,96"/>
        <filter val="23,85"/>
        <filter val="236,65"/>
        <filter val="242"/>
        <filter val="25"/>
        <filter val="26,19"/>
        <filter val="26,69"/>
        <filter val="26,9"/>
        <filter val="260"/>
        <filter val="3"/>
        <filter val="3,46"/>
        <filter val="3,7"/>
        <filter val="3,75"/>
        <filter val="3,78"/>
        <filter val="3,84"/>
        <filter val="30"/>
        <filter val="30,56"/>
        <filter val="32,35"/>
        <filter val="37"/>
        <filter val="4"/>
        <filter val="4,77"/>
        <filter val="40"/>
        <filter val="42,18"/>
        <filter val="45,24"/>
        <filter val="45,28"/>
        <filter val="46,46"/>
        <filter val="464,8"/>
        <filter val="478,73"/>
        <filter val="479,35"/>
        <filter val="49,5"/>
        <filter val="491,46"/>
        <filter val="5"/>
        <filter val="5,14"/>
        <filter val="5,69"/>
        <filter val="51"/>
        <filter val="54,64"/>
        <filter val="6"/>
        <filter val="6,68"/>
        <filter val="64"/>
        <filter val="69,8"/>
        <filter val="7"/>
        <filter val="7,16"/>
        <filter val="7,28"/>
        <filter val="713,26"/>
        <filter val="76"/>
        <filter val="79,41"/>
        <filter val="790,8"/>
        <filter val="791"/>
        <filter val="8"/>
        <filter val="8,05"/>
        <filter val="8,51"/>
        <filter val="83"/>
        <filter val="9"/>
      </filters>
    </filterColumn>
  </autoFilter>
  <sortState xmlns:xlrd2="http://schemas.microsoft.com/office/spreadsheetml/2017/richdata2" ref="F744:N768">
    <sortCondition ref="F744:F768"/>
  </sortState>
  <mergeCells count="13">
    <mergeCell ref="M967:O967"/>
    <mergeCell ref="M968:O968"/>
    <mergeCell ref="M966:O966"/>
    <mergeCell ref="O9:O10"/>
    <mergeCell ref="C7:O7"/>
    <mergeCell ref="C9:C10"/>
    <mergeCell ref="D9:E9"/>
    <mergeCell ref="F9:F10"/>
    <mergeCell ref="G9:G10"/>
    <mergeCell ref="H9:H10"/>
    <mergeCell ref="I9:I10"/>
    <mergeCell ref="J9:J10"/>
    <mergeCell ref="N9:N10"/>
  </mergeCells>
  <phoneticPr fontId="108" type="noConversion"/>
  <printOptions horizontalCentered="1"/>
  <pageMargins left="0.39370078740157483" right="0.39370078740157483" top="1.1811023622047245" bottom="0.98425196850393704" header="0.59055118110236227" footer="0.19685039370078741"/>
  <pageSetup paperSize="9" scale="63" orientation="landscape" r:id="rId1"/>
  <headerFooter>
    <oddFooter>&amp;R&amp;P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846"/>
  <sheetViews>
    <sheetView view="pageBreakPreview" zoomScaleNormal="100" zoomScaleSheetLayoutView="100" workbookViewId="0">
      <selection activeCell="C21" sqref="C21"/>
    </sheetView>
  </sheetViews>
  <sheetFormatPr defaultColWidth="9.140625" defaultRowHeight="15"/>
  <cols>
    <col min="1" max="1" width="9.140625" style="769"/>
    <col min="2" max="2" width="9.140625" style="770"/>
    <col min="3" max="3" width="16.85546875" style="769" customWidth="1"/>
    <col min="4" max="5" width="9.140625" style="769"/>
    <col min="6" max="6" width="38.28515625" style="769" customWidth="1"/>
    <col min="7" max="7" width="7" style="769" customWidth="1"/>
    <col min="8" max="8" width="20" style="769" bestFit="1" customWidth="1"/>
    <col min="9" max="9" width="19.5703125" style="769" bestFit="1" customWidth="1"/>
    <col min="10" max="10" width="18.85546875" style="769" bestFit="1" customWidth="1"/>
    <col min="11" max="11" width="16.7109375" style="769" customWidth="1"/>
    <col min="12" max="12" width="19.140625" style="816" customWidth="1"/>
    <col min="13" max="13" width="21.5703125" style="769" customWidth="1"/>
    <col min="14" max="14" width="23.140625" style="769" customWidth="1"/>
    <col min="15" max="15" width="21.5703125" style="769" customWidth="1"/>
    <col min="16" max="16" width="17.7109375" style="773" customWidth="1"/>
    <col min="17" max="19" width="9.140625" style="769"/>
    <col min="20" max="20" width="19.85546875" style="769" customWidth="1"/>
    <col min="21" max="16384" width="9.140625" style="769"/>
  </cols>
  <sheetData>
    <row r="1" spans="1:16" ht="15.75" thickBot="1">
      <c r="C1" s="771"/>
      <c r="K1" s="772"/>
    </row>
    <row r="2" spans="1:16" ht="18" thickBot="1">
      <c r="C2" s="1211" t="s">
        <v>6850</v>
      </c>
      <c r="D2" s="1212"/>
      <c r="E2" s="1212"/>
      <c r="F2" s="1212"/>
      <c r="G2" s="1212"/>
      <c r="H2" s="1212"/>
      <c r="I2" s="1212"/>
      <c r="J2" s="1212"/>
      <c r="K2" s="1213"/>
    </row>
    <row r="4" spans="1:16" ht="15.75" thickBot="1"/>
    <row r="5" spans="1:16" ht="15.75" thickBot="1">
      <c r="H5" s="774" t="s">
        <v>6851</v>
      </c>
      <c r="I5" s="775" t="s">
        <v>6852</v>
      </c>
      <c r="J5" s="775" t="s">
        <v>6853</v>
      </c>
      <c r="K5" s="775"/>
      <c r="L5" s="1194" t="s">
        <v>6854</v>
      </c>
      <c r="O5" s="773"/>
    </row>
    <row r="6" spans="1:16">
      <c r="F6" s="776" t="s">
        <v>6855</v>
      </c>
      <c r="G6" s="777"/>
      <c r="H6" s="765" t="s">
        <v>7194</v>
      </c>
      <c r="I6" s="778" t="s">
        <v>7194</v>
      </c>
      <c r="J6" s="778" t="s">
        <v>7194</v>
      </c>
      <c r="K6" s="778"/>
      <c r="L6" s="1195"/>
      <c r="M6" s="780"/>
      <c r="O6" s="773"/>
    </row>
    <row r="7" spans="1:16">
      <c r="F7" s="781" t="s">
        <v>6856</v>
      </c>
      <c r="G7" s="782"/>
      <c r="H7" s="779" t="s">
        <v>7516</v>
      </c>
      <c r="I7" s="779" t="s">
        <v>7518</v>
      </c>
      <c r="J7" s="779" t="s">
        <v>6863</v>
      </c>
      <c r="K7" s="779"/>
      <c r="L7" s="1195"/>
      <c r="M7" s="780"/>
      <c r="O7" s="783"/>
      <c r="P7" s="783"/>
    </row>
    <row r="8" spans="1:16">
      <c r="E8" s="784"/>
      <c r="F8" s="781" t="s">
        <v>6857</v>
      </c>
      <c r="G8" s="782"/>
      <c r="H8" s="785"/>
      <c r="I8" s="786"/>
      <c r="J8" s="786"/>
      <c r="K8" s="786"/>
      <c r="L8" s="1195"/>
      <c r="O8" s="658"/>
      <c r="P8" s="658"/>
    </row>
    <row r="9" spans="1:16" ht="15.75" thickBot="1">
      <c r="E9" s="784"/>
      <c r="F9" s="798" t="s">
        <v>6858</v>
      </c>
      <c r="G9" s="799"/>
      <c r="H9" s="790" t="s">
        <v>7517</v>
      </c>
      <c r="I9" s="790"/>
      <c r="J9" s="810" t="s">
        <v>7519</v>
      </c>
      <c r="K9" s="810"/>
      <c r="L9" s="1195"/>
      <c r="O9" s="658"/>
      <c r="P9" s="658"/>
    </row>
    <row r="10" spans="1:16" ht="15.75" thickBot="1">
      <c r="C10" s="792" t="s">
        <v>904</v>
      </c>
      <c r="D10" s="1196" t="s">
        <v>6859</v>
      </c>
      <c r="E10" s="1197"/>
      <c r="F10" s="1198"/>
      <c r="G10" s="793" t="s">
        <v>6860</v>
      </c>
      <c r="H10" s="792" t="s">
        <v>6861</v>
      </c>
      <c r="I10" s="792" t="s">
        <v>6861</v>
      </c>
      <c r="J10" s="792" t="s">
        <v>6861</v>
      </c>
      <c r="K10" s="792"/>
      <c r="L10" s="794"/>
      <c r="O10" s="659"/>
      <c r="P10" s="659"/>
    </row>
    <row r="11" spans="1:16" s="795" customFormat="1" ht="30.75" customHeight="1" thickBot="1">
      <c r="A11" s="769"/>
      <c r="B11" s="770">
        <f>SUMIF(CPU!$E$11:$E$1943,COTAÇÕES!$C11,CPU!$B$11:$B$1943)</f>
        <v>4</v>
      </c>
      <c r="C11" s="850" t="s">
        <v>9016</v>
      </c>
      <c r="D11" s="1207" t="s">
        <v>6842</v>
      </c>
      <c r="E11" s="1208"/>
      <c r="F11" s="1209"/>
      <c r="G11" s="656" t="s">
        <v>646</v>
      </c>
      <c r="H11" s="657">
        <v>114.55</v>
      </c>
      <c r="I11" s="657">
        <v>117.96</v>
      </c>
      <c r="J11" s="657">
        <v>103.59</v>
      </c>
      <c r="K11" s="657"/>
      <c r="L11" s="801">
        <f>IF(H11&lt;&gt;"",AVERAGE(H11:K11)," ")</f>
        <v>112.03333333333335</v>
      </c>
      <c r="O11" s="796"/>
      <c r="P11" s="797"/>
    </row>
    <row r="12" spans="1:16" ht="15.75" thickBot="1">
      <c r="L12" s="769"/>
      <c r="O12" s="773"/>
    </row>
    <row r="13" spans="1:16" ht="15.75" thickBot="1">
      <c r="H13" s="774" t="s">
        <v>6851</v>
      </c>
      <c r="I13" s="775" t="s">
        <v>6852</v>
      </c>
      <c r="J13" s="775" t="s">
        <v>6853</v>
      </c>
      <c r="K13" s="775"/>
      <c r="L13" s="1194" t="s">
        <v>6854</v>
      </c>
      <c r="O13" s="773"/>
    </row>
    <row r="14" spans="1:16">
      <c r="F14" s="776" t="s">
        <v>6855</v>
      </c>
      <c r="G14" s="777"/>
      <c r="H14" s="765" t="s">
        <v>7194</v>
      </c>
      <c r="I14" s="778" t="s">
        <v>7194</v>
      </c>
      <c r="J14" s="778" t="s">
        <v>7194</v>
      </c>
      <c r="K14" s="778"/>
      <c r="L14" s="1195"/>
      <c r="M14" s="780"/>
      <c r="O14" s="773"/>
    </row>
    <row r="15" spans="1:16">
      <c r="F15" s="781" t="s">
        <v>6856</v>
      </c>
      <c r="G15" s="782"/>
      <c r="H15" s="779" t="s">
        <v>7553</v>
      </c>
      <c r="I15" s="779" t="s">
        <v>7555</v>
      </c>
      <c r="J15" s="779" t="s">
        <v>7557</v>
      </c>
      <c r="K15" s="779"/>
      <c r="L15" s="1195"/>
      <c r="M15" s="780"/>
      <c r="O15" s="783"/>
      <c r="P15" s="783"/>
    </row>
    <row r="16" spans="1:16">
      <c r="E16" s="784"/>
      <c r="F16" s="781" t="s">
        <v>6857</v>
      </c>
      <c r="G16" s="782"/>
      <c r="H16" s="785"/>
      <c r="I16" s="786"/>
      <c r="J16" s="786"/>
      <c r="K16" s="786"/>
      <c r="L16" s="1195"/>
      <c r="O16" s="658"/>
      <c r="P16" s="658"/>
    </row>
    <row r="17" spans="1:16" ht="15.75" thickBot="1">
      <c r="E17" s="784"/>
      <c r="F17" s="798" t="s">
        <v>6858</v>
      </c>
      <c r="G17" s="799"/>
      <c r="H17" s="790" t="s">
        <v>7554</v>
      </c>
      <c r="I17" s="790" t="s">
        <v>7556</v>
      </c>
      <c r="J17" s="810" t="s">
        <v>7558</v>
      </c>
      <c r="K17" s="810"/>
      <c r="L17" s="1195"/>
      <c r="O17" s="658"/>
      <c r="P17" s="658"/>
    </row>
    <row r="18" spans="1:16" ht="15.75" thickBot="1">
      <c r="C18" s="792" t="s">
        <v>904</v>
      </c>
      <c r="D18" s="1196" t="s">
        <v>6859</v>
      </c>
      <c r="E18" s="1197"/>
      <c r="F18" s="1198"/>
      <c r="G18" s="793" t="s">
        <v>6860</v>
      </c>
      <c r="H18" s="792" t="s">
        <v>6861</v>
      </c>
      <c r="I18" s="792" t="s">
        <v>6861</v>
      </c>
      <c r="J18" s="792" t="s">
        <v>6861</v>
      </c>
      <c r="K18" s="792"/>
      <c r="L18" s="794"/>
      <c r="O18" s="659"/>
      <c r="P18" s="659"/>
    </row>
    <row r="19" spans="1:16" s="795" customFormat="1" ht="15.75" thickBot="1">
      <c r="A19" s="769"/>
      <c r="B19" s="770">
        <f>SUMIF(CPU!$E$11:$E$1943,COTAÇÕES!$C19,CPU!$B$11:$B$1943)</f>
        <v>4</v>
      </c>
      <c r="C19" s="850" t="s">
        <v>9017</v>
      </c>
      <c r="D19" s="1207" t="s">
        <v>6837</v>
      </c>
      <c r="E19" s="1208"/>
      <c r="F19" s="1209"/>
      <c r="G19" s="656" t="s">
        <v>646</v>
      </c>
      <c r="H19" s="672">
        <v>1299</v>
      </c>
      <c r="I19" s="657">
        <v>1139.05</v>
      </c>
      <c r="J19" s="657">
        <v>1231.9000000000001</v>
      </c>
      <c r="K19" s="657"/>
      <c r="L19" s="801">
        <f>IF(H19&lt;&gt;"",AVERAGE(H19:K19)," ")</f>
        <v>1223.3166666666668</v>
      </c>
      <c r="O19" s="796"/>
      <c r="P19" s="797"/>
    </row>
    <row r="20" spans="1:16" ht="15.75" thickBot="1"/>
    <row r="21" spans="1:16" ht="15.75" thickBot="1">
      <c r="H21" s="774" t="s">
        <v>6851</v>
      </c>
      <c r="I21" s="775" t="s">
        <v>6852</v>
      </c>
      <c r="J21" s="775" t="s">
        <v>6853</v>
      </c>
      <c r="K21" s="775"/>
      <c r="L21" s="1194" t="s">
        <v>6854</v>
      </c>
      <c r="O21" s="773"/>
    </row>
    <row r="22" spans="1:16">
      <c r="F22" s="776" t="s">
        <v>6855</v>
      </c>
      <c r="G22" s="777"/>
      <c r="H22" s="765" t="s">
        <v>8383</v>
      </c>
      <c r="I22" s="765" t="s">
        <v>8383</v>
      </c>
      <c r="J22" s="765" t="s">
        <v>8383</v>
      </c>
      <c r="K22" s="765"/>
      <c r="L22" s="1195"/>
      <c r="M22" s="780"/>
      <c r="O22" s="773"/>
    </row>
    <row r="23" spans="1:16">
      <c r="F23" s="781" t="s">
        <v>6856</v>
      </c>
      <c r="G23" s="782"/>
      <c r="H23" s="779" t="s">
        <v>7486</v>
      </c>
      <c r="I23" s="779" t="s">
        <v>8856</v>
      </c>
      <c r="J23" s="779" t="s">
        <v>8858</v>
      </c>
      <c r="K23" s="779"/>
      <c r="L23" s="1195"/>
      <c r="M23" s="780"/>
      <c r="O23" s="783"/>
      <c r="P23" s="783"/>
    </row>
    <row r="24" spans="1:16">
      <c r="E24" s="784"/>
      <c r="F24" s="781" t="s">
        <v>6857</v>
      </c>
      <c r="G24" s="782"/>
      <c r="H24" s="785"/>
      <c r="I24" s="786"/>
      <c r="J24" s="786"/>
      <c r="K24" s="786"/>
      <c r="L24" s="1195"/>
      <c r="O24" s="658"/>
      <c r="P24" s="658"/>
    </row>
    <row r="25" spans="1:16" ht="15.75" thickBot="1">
      <c r="E25" s="784"/>
      <c r="F25" s="798" t="s">
        <v>6858</v>
      </c>
      <c r="G25" s="799"/>
      <c r="H25" s="790" t="s">
        <v>8854</v>
      </c>
      <c r="I25" s="790" t="s">
        <v>8857</v>
      </c>
      <c r="J25" s="810" t="s">
        <v>8859</v>
      </c>
      <c r="K25" s="810"/>
      <c r="L25" s="1195"/>
      <c r="O25" s="658"/>
      <c r="P25" s="658"/>
    </row>
    <row r="26" spans="1:16" ht="15.75" thickBot="1">
      <c r="C26" s="792" t="s">
        <v>904</v>
      </c>
      <c r="D26" s="1196" t="s">
        <v>6859</v>
      </c>
      <c r="E26" s="1197"/>
      <c r="F26" s="1198"/>
      <c r="G26" s="793" t="s">
        <v>6860</v>
      </c>
      <c r="H26" s="792" t="s">
        <v>6861</v>
      </c>
      <c r="I26" s="792" t="s">
        <v>6861</v>
      </c>
      <c r="J26" s="792" t="s">
        <v>6861</v>
      </c>
      <c r="K26" s="792"/>
      <c r="L26" s="794"/>
      <c r="O26" s="659"/>
      <c r="P26" s="659"/>
    </row>
    <row r="27" spans="1:16" s="795" customFormat="1" ht="15.75" thickBot="1">
      <c r="A27" s="769"/>
      <c r="B27" s="770">
        <f>SUMIF(CPU!$E$11:$E$1943,COTAÇÕES!$C27,CPU!$B$11:$B$1943)</f>
        <v>1</v>
      </c>
      <c r="C27" s="850" t="s">
        <v>9018</v>
      </c>
      <c r="D27" s="1191" t="s">
        <v>8855</v>
      </c>
      <c r="E27" s="1192"/>
      <c r="F27" s="1193"/>
      <c r="G27" s="656" t="s">
        <v>6860</v>
      </c>
      <c r="H27" s="672">
        <v>689</v>
      </c>
      <c r="I27" s="672">
        <v>689</v>
      </c>
      <c r="J27" s="672">
        <v>809</v>
      </c>
      <c r="K27" s="672"/>
      <c r="L27" s="801">
        <f>IF(H27&lt;&gt;"",AVERAGE(H27:K27)," ")</f>
        <v>729</v>
      </c>
      <c r="M27" s="770"/>
      <c r="O27" s="796"/>
      <c r="P27" s="797"/>
    </row>
    <row r="28" spans="1:16" ht="15.75" thickBot="1">
      <c r="L28" s="769"/>
      <c r="O28" s="773"/>
    </row>
    <row r="29" spans="1:16" ht="15.75" thickBot="1">
      <c r="H29" s="774" t="s">
        <v>6851</v>
      </c>
      <c r="I29" s="775" t="s">
        <v>6852</v>
      </c>
      <c r="J29" s="775" t="s">
        <v>6853</v>
      </c>
      <c r="K29" s="775"/>
      <c r="L29" s="1194" t="s">
        <v>6854</v>
      </c>
      <c r="O29" s="773"/>
    </row>
    <row r="30" spans="1:16">
      <c r="F30" s="776" t="s">
        <v>6855</v>
      </c>
      <c r="G30" s="777"/>
      <c r="H30" s="765" t="s">
        <v>7194</v>
      </c>
      <c r="I30" s="778" t="s">
        <v>7194</v>
      </c>
      <c r="J30" s="778" t="s">
        <v>7194</v>
      </c>
      <c r="K30" s="778"/>
      <c r="L30" s="1195"/>
      <c r="M30" s="780"/>
      <c r="O30" s="773"/>
    </row>
    <row r="31" spans="1:16">
      <c r="F31" s="781" t="s">
        <v>6856</v>
      </c>
      <c r="G31" s="782"/>
      <c r="H31" s="779" t="s">
        <v>7518</v>
      </c>
      <c r="I31" s="779" t="s">
        <v>6864</v>
      </c>
      <c r="J31" s="779" t="s">
        <v>7485</v>
      </c>
      <c r="K31" s="779"/>
      <c r="L31" s="1195"/>
      <c r="M31" s="780"/>
      <c r="O31" s="783"/>
      <c r="P31" s="783"/>
    </row>
    <row r="32" spans="1:16">
      <c r="E32" s="784"/>
      <c r="F32" s="781" t="s">
        <v>6857</v>
      </c>
      <c r="G32" s="782"/>
      <c r="H32" s="785"/>
      <c r="I32" s="786"/>
      <c r="J32" s="786"/>
      <c r="K32" s="786"/>
      <c r="L32" s="1195"/>
      <c r="O32" s="658"/>
      <c r="P32" s="658"/>
    </row>
    <row r="33" spans="1:16" ht="15.75" thickBot="1">
      <c r="E33" s="784"/>
      <c r="F33" s="798" t="s">
        <v>6858</v>
      </c>
      <c r="G33" s="799"/>
      <c r="H33" s="790" t="s">
        <v>7559</v>
      </c>
      <c r="I33" s="790" t="s">
        <v>7562</v>
      </c>
      <c r="J33" s="810" t="s">
        <v>7561</v>
      </c>
      <c r="K33" s="810"/>
      <c r="L33" s="1195"/>
      <c r="O33" s="658"/>
      <c r="P33" s="658"/>
    </row>
    <row r="34" spans="1:16" ht="15.75" thickBot="1">
      <c r="C34" s="792" t="s">
        <v>904</v>
      </c>
      <c r="D34" s="1196" t="s">
        <v>6859</v>
      </c>
      <c r="E34" s="1197"/>
      <c r="F34" s="1198"/>
      <c r="G34" s="793" t="s">
        <v>6860</v>
      </c>
      <c r="H34" s="792" t="s">
        <v>6861</v>
      </c>
      <c r="I34" s="792" t="s">
        <v>6861</v>
      </c>
      <c r="J34" s="792" t="s">
        <v>6861</v>
      </c>
      <c r="K34" s="792"/>
      <c r="L34" s="794"/>
      <c r="O34" s="659"/>
      <c r="P34" s="659"/>
    </row>
    <row r="35" spans="1:16" s="795" customFormat="1" ht="26.25" customHeight="1" thickBot="1">
      <c r="A35" s="769"/>
      <c r="B35" s="770">
        <f>SUMIF(CPU!$E$11:$E$1943,COTAÇÕES!$C35,CPU!$B$11:$B$1943)</f>
        <v>4</v>
      </c>
      <c r="C35" s="850" t="s">
        <v>9019</v>
      </c>
      <c r="D35" s="1210" t="s">
        <v>7560</v>
      </c>
      <c r="E35" s="1210"/>
      <c r="F35" s="1210"/>
      <c r="G35" s="656" t="s">
        <v>646</v>
      </c>
      <c r="H35" s="672">
        <v>670.92</v>
      </c>
      <c r="I35" s="657">
        <v>526.79</v>
      </c>
      <c r="J35" s="657">
        <v>509.99</v>
      </c>
      <c r="K35" s="657"/>
      <c r="L35" s="801">
        <f>IF(H35&lt;&gt;"",AVERAGE(H35:K35)," ")</f>
        <v>569.23333333333335</v>
      </c>
      <c r="O35" s="796"/>
      <c r="P35" s="797"/>
    </row>
    <row r="36" spans="1:16" ht="15.75" thickBot="1">
      <c r="L36" s="769"/>
      <c r="O36" s="773"/>
    </row>
    <row r="37" spans="1:16" ht="15.75" thickBot="1">
      <c r="H37" s="774" t="s">
        <v>6851</v>
      </c>
      <c r="I37" s="775" t="s">
        <v>6852</v>
      </c>
      <c r="J37" s="775" t="s">
        <v>6853</v>
      </c>
      <c r="K37" s="775"/>
      <c r="L37" s="1194" t="s">
        <v>6854</v>
      </c>
      <c r="O37" s="773"/>
    </row>
    <row r="38" spans="1:16">
      <c r="F38" s="776" t="s">
        <v>6855</v>
      </c>
      <c r="G38" s="777"/>
      <c r="H38" s="765" t="s">
        <v>7194</v>
      </c>
      <c r="I38" s="778" t="s">
        <v>7194</v>
      </c>
      <c r="J38" s="778" t="s">
        <v>7194</v>
      </c>
      <c r="K38" s="778"/>
      <c r="L38" s="1195"/>
      <c r="M38" s="780"/>
      <c r="O38" s="773"/>
    </row>
    <row r="39" spans="1:16">
      <c r="F39" s="781" t="s">
        <v>6856</v>
      </c>
      <c r="G39" s="782"/>
      <c r="H39" s="779" t="s">
        <v>7518</v>
      </c>
      <c r="I39" s="779" t="s">
        <v>7522</v>
      </c>
      <c r="J39" s="779" t="s">
        <v>7485</v>
      </c>
      <c r="K39" s="779"/>
      <c r="L39" s="1195"/>
      <c r="M39" s="780"/>
      <c r="O39" s="783"/>
      <c r="P39" s="783"/>
    </row>
    <row r="40" spans="1:16">
      <c r="E40" s="784"/>
      <c r="F40" s="781" t="s">
        <v>6857</v>
      </c>
      <c r="G40" s="782"/>
      <c r="H40" s="785"/>
      <c r="I40" s="786"/>
      <c r="J40" s="786"/>
      <c r="K40" s="786"/>
      <c r="L40" s="1195"/>
      <c r="O40" s="658"/>
      <c r="P40" s="658"/>
    </row>
    <row r="41" spans="1:16" ht="15.75" thickBot="1">
      <c r="E41" s="784"/>
      <c r="F41" s="798" t="s">
        <v>6858</v>
      </c>
      <c r="G41" s="799"/>
      <c r="H41" s="790" t="s">
        <v>7563</v>
      </c>
      <c r="I41" s="790" t="s">
        <v>7565</v>
      </c>
      <c r="J41" s="810" t="s">
        <v>7566</v>
      </c>
      <c r="K41" s="810"/>
      <c r="L41" s="1195"/>
      <c r="O41" s="658"/>
      <c r="P41" s="658"/>
    </row>
    <row r="42" spans="1:16" ht="15.75" thickBot="1">
      <c r="C42" s="792" t="s">
        <v>904</v>
      </c>
      <c r="D42" s="1196" t="s">
        <v>6859</v>
      </c>
      <c r="E42" s="1197"/>
      <c r="F42" s="1198"/>
      <c r="G42" s="793" t="s">
        <v>6860</v>
      </c>
      <c r="H42" s="792" t="s">
        <v>6861</v>
      </c>
      <c r="I42" s="792" t="s">
        <v>6861</v>
      </c>
      <c r="J42" s="792" t="s">
        <v>6861</v>
      </c>
      <c r="K42" s="792"/>
      <c r="L42" s="794"/>
      <c r="O42" s="659"/>
      <c r="P42" s="659"/>
    </row>
    <row r="43" spans="1:16" s="795" customFormat="1" ht="15.75" thickBot="1">
      <c r="A43" s="769"/>
      <c r="B43" s="770">
        <f>SUMIF(CPU!$E$11:$E$1943,COTAÇÕES!$C43,CPU!$B$11:$B$1943)</f>
        <v>4</v>
      </c>
      <c r="C43" s="850" t="s">
        <v>9020</v>
      </c>
      <c r="D43" s="1203" t="s">
        <v>7564</v>
      </c>
      <c r="E43" s="1204"/>
      <c r="F43" s="1205"/>
      <c r="G43" s="656" t="s">
        <v>646</v>
      </c>
      <c r="H43" s="672">
        <v>261.81</v>
      </c>
      <c r="I43" s="657">
        <v>268.89999999999998</v>
      </c>
      <c r="J43" s="657">
        <v>224.99</v>
      </c>
      <c r="K43" s="657"/>
      <c r="L43" s="801">
        <f>IF(H43&lt;&gt;"",AVERAGE(H43:K43)," ")</f>
        <v>251.9</v>
      </c>
      <c r="O43" s="796"/>
      <c r="P43" s="797"/>
    </row>
    <row r="44" spans="1:16" ht="15.75" thickBot="1">
      <c r="I44" s="770"/>
      <c r="K44" s="770"/>
      <c r="L44" s="769"/>
      <c r="O44" s="773"/>
    </row>
    <row r="45" spans="1:16" ht="15.75" thickBot="1">
      <c r="H45" s="774" t="s">
        <v>6851</v>
      </c>
      <c r="I45" s="775" t="s">
        <v>6852</v>
      </c>
      <c r="J45" s="775" t="s">
        <v>6853</v>
      </c>
      <c r="K45" s="775"/>
      <c r="L45" s="1194" t="s">
        <v>6854</v>
      </c>
      <c r="O45" s="773"/>
    </row>
    <row r="46" spans="1:16">
      <c r="F46" s="776" t="s">
        <v>6855</v>
      </c>
      <c r="G46" s="777"/>
      <c r="H46" s="765" t="s">
        <v>8383</v>
      </c>
      <c r="I46" s="765" t="s">
        <v>8383</v>
      </c>
      <c r="J46" s="765" t="s">
        <v>8383</v>
      </c>
      <c r="K46" s="765"/>
      <c r="L46" s="1195"/>
      <c r="M46" s="780"/>
      <c r="N46" s="765" t="s">
        <v>8383</v>
      </c>
      <c r="O46" s="773"/>
    </row>
    <row r="47" spans="1:16">
      <c r="F47" s="781" t="s">
        <v>6856</v>
      </c>
      <c r="G47" s="782"/>
      <c r="H47" s="779" t="s">
        <v>8474</v>
      </c>
      <c r="I47" s="779" t="s">
        <v>9150</v>
      </c>
      <c r="J47" s="779" t="s">
        <v>8473</v>
      </c>
      <c r="K47" s="779"/>
      <c r="L47" s="1195"/>
      <c r="M47" s="780"/>
      <c r="N47" s="779" t="s">
        <v>8475</v>
      </c>
      <c r="O47" s="783"/>
      <c r="P47" s="783"/>
    </row>
    <row r="48" spans="1:16">
      <c r="E48" s="784"/>
      <c r="F48" s="781" t="s">
        <v>6857</v>
      </c>
      <c r="G48" s="782"/>
      <c r="H48" s="779" t="s">
        <v>9145</v>
      </c>
      <c r="I48" s="779"/>
      <c r="J48" s="786" t="s">
        <v>14541</v>
      </c>
      <c r="K48" s="786"/>
      <c r="L48" s="1195"/>
      <c r="O48" s="658"/>
      <c r="P48" s="658"/>
    </row>
    <row r="49" spans="1:16" ht="15.75" thickBot="1">
      <c r="E49" s="784"/>
      <c r="F49" s="798" t="s">
        <v>6858</v>
      </c>
      <c r="G49" s="799"/>
      <c r="H49" s="790" t="s">
        <v>14542</v>
      </c>
      <c r="I49" s="790"/>
      <c r="J49" s="810"/>
      <c r="K49" s="810"/>
      <c r="L49" s="1195"/>
      <c r="O49" s="658"/>
      <c r="P49" s="658"/>
    </row>
    <row r="50" spans="1:16" ht="15.75" thickBot="1">
      <c r="C50" s="792" t="s">
        <v>904</v>
      </c>
      <c r="D50" s="1196" t="s">
        <v>6859</v>
      </c>
      <c r="E50" s="1197"/>
      <c r="F50" s="1198"/>
      <c r="G50" s="793" t="s">
        <v>6860</v>
      </c>
      <c r="H50" s="792" t="s">
        <v>6861</v>
      </c>
      <c r="I50" s="792" t="s">
        <v>6861</v>
      </c>
      <c r="J50" s="792" t="s">
        <v>6861</v>
      </c>
      <c r="K50" s="792"/>
      <c r="L50" s="794"/>
      <c r="O50" s="659"/>
      <c r="P50" s="659"/>
    </row>
    <row r="51" spans="1:16" s="795" customFormat="1" ht="29.25" customHeight="1" thickBot="1">
      <c r="A51" s="769"/>
      <c r="B51" s="770"/>
      <c r="C51" s="850"/>
      <c r="D51" s="1214" t="s">
        <v>8472</v>
      </c>
      <c r="E51" s="1215"/>
      <c r="F51" s="1216"/>
      <c r="G51" s="656" t="s">
        <v>6860</v>
      </c>
      <c r="H51" s="672">
        <v>157281.01</v>
      </c>
      <c r="I51" s="672">
        <v>176693.73</v>
      </c>
      <c r="J51" s="672">
        <v>237440</v>
      </c>
      <c r="K51" s="672"/>
      <c r="L51" s="801">
        <f>IF(H51&lt;&gt;"",AVERAGE(H51:K51)," ")</f>
        <v>190471.58</v>
      </c>
      <c r="M51" s="770"/>
      <c r="O51" s="796"/>
      <c r="P51" s="797"/>
    </row>
    <row r="52" spans="1:16" s="795" customFormat="1" ht="29.25" customHeight="1" thickBot="1">
      <c r="A52" s="769"/>
      <c r="B52" s="770">
        <f>SUMIF(CPU!$E$11:$E$1943,COTAÇÕES!$C52,CPU!$B$11:$B$1943)</f>
        <v>0.56000000000000005</v>
      </c>
      <c r="C52" s="850" t="s">
        <v>9021</v>
      </c>
      <c r="D52" s="1191" t="s">
        <v>8785</v>
      </c>
      <c r="E52" s="1192"/>
      <c r="F52" s="1193"/>
      <c r="G52" s="656" t="s">
        <v>649</v>
      </c>
      <c r="H52" s="672">
        <f>ROUND(H53/(1.4*0.4),2)</f>
        <v>1253.25</v>
      </c>
      <c r="I52" s="672">
        <f>ROUND(I53/(1.4*0.4),2)</f>
        <v>866.04</v>
      </c>
      <c r="J52" s="672">
        <f>ROUND(J53/(1.4*0.4),2)</f>
        <v>2821.43</v>
      </c>
      <c r="K52" s="672"/>
      <c r="L52" s="801">
        <f t="shared" ref="L52:L76" si="0">IF(H52&lt;&gt;"",AVERAGE(H52:K52)," ")</f>
        <v>1646.9066666666665</v>
      </c>
      <c r="M52" s="770"/>
      <c r="N52" s="936"/>
      <c r="O52" s="796"/>
      <c r="P52" s="797"/>
    </row>
    <row r="53" spans="1:16" s="795" customFormat="1" ht="29.25" customHeight="1" thickBot="1">
      <c r="A53" s="769"/>
      <c r="B53" s="770">
        <f>B52</f>
        <v>0.56000000000000005</v>
      </c>
      <c r="C53" s="937"/>
      <c r="D53" s="1199" t="s">
        <v>8786</v>
      </c>
      <c r="E53" s="1200"/>
      <c r="F53" s="1201"/>
      <c r="G53" s="938" t="s">
        <v>6860</v>
      </c>
      <c r="H53" s="939">
        <f>615.08+86.74</f>
        <v>701.82</v>
      </c>
      <c r="I53" s="939">
        <f>484.98</f>
        <v>484.98</v>
      </c>
      <c r="J53" s="939">
        <v>1580</v>
      </c>
      <c r="K53" s="939"/>
      <c r="L53" s="801">
        <f t="shared" si="0"/>
        <v>922.26666666666677</v>
      </c>
      <c r="M53" s="770"/>
      <c r="O53" s="796"/>
      <c r="P53" s="797"/>
    </row>
    <row r="54" spans="1:16" s="795" customFormat="1" ht="29.25" customHeight="1" thickBot="1">
      <c r="A54" s="769"/>
      <c r="B54" s="770">
        <f>SUMIF(CPU!$E$11:$E$1943,COTAÇÕES!$C54,CPU!$B$11:$B$1943)</f>
        <v>3.84</v>
      </c>
      <c r="C54" s="850" t="s">
        <v>9022</v>
      </c>
      <c r="D54" s="1191" t="s">
        <v>8787</v>
      </c>
      <c r="E54" s="1192"/>
      <c r="F54" s="1193"/>
      <c r="G54" s="656" t="s">
        <v>649</v>
      </c>
      <c r="H54" s="672">
        <f>ROUND(H55/(2.4*0.4),2)</f>
        <v>1389.43</v>
      </c>
      <c r="I54" s="672">
        <f>ROUND(I55/(2.4*0.4),2)</f>
        <v>866.04</v>
      </c>
      <c r="J54" s="672">
        <f>ROUND(J55/(2.4*0.4),2)</f>
        <v>2447.92</v>
      </c>
      <c r="K54" s="672"/>
      <c r="L54" s="801">
        <f t="shared" si="0"/>
        <v>1567.7966666666669</v>
      </c>
      <c r="M54" s="770"/>
      <c r="N54" s="936"/>
      <c r="O54" s="796"/>
      <c r="P54" s="797"/>
    </row>
    <row r="55" spans="1:16" s="795" customFormat="1" ht="29.25" customHeight="1" thickBot="1">
      <c r="A55" s="769"/>
      <c r="B55" s="770">
        <f>B54</f>
        <v>3.84</v>
      </c>
      <c r="C55" s="937"/>
      <c r="D55" s="1199" t="s">
        <v>8789</v>
      </c>
      <c r="E55" s="1200"/>
      <c r="F55" s="1201"/>
      <c r="G55" s="938" t="s">
        <v>6860</v>
      </c>
      <c r="H55" s="939">
        <f>1185.15+148.7</f>
        <v>1333.8500000000001</v>
      </c>
      <c r="I55" s="939">
        <f>831.4</f>
        <v>831.4</v>
      </c>
      <c r="J55" s="939">
        <v>2350</v>
      </c>
      <c r="K55" s="939"/>
      <c r="L55" s="801">
        <f t="shared" si="0"/>
        <v>1505.0833333333333</v>
      </c>
      <c r="M55" s="770"/>
      <c r="O55" s="796"/>
      <c r="P55" s="797"/>
    </row>
    <row r="56" spans="1:16" s="795" customFormat="1" ht="33" customHeight="1" thickBot="1">
      <c r="A56" s="769"/>
      <c r="B56" s="770">
        <f>SUMIF(CPU!$E$11:$E$1943,COTAÇÕES!$C56,CPU!$B$11:$B$1943)</f>
        <v>49.5</v>
      </c>
      <c r="C56" s="850" t="s">
        <v>9023</v>
      </c>
      <c r="D56" s="1191" t="s">
        <v>8788</v>
      </c>
      <c r="E56" s="1192"/>
      <c r="F56" s="1193"/>
      <c r="G56" s="656" t="s">
        <v>649</v>
      </c>
      <c r="H56" s="672">
        <f>ROUND((H57+H58+H59+H60)/(1.8*1.65+2.4*1.65+3*1.65+4.8*1.65),2)</f>
        <v>734.4</v>
      </c>
      <c r="I56" s="672">
        <f>ROUND((I57+I58+I59+I60)/(1.8*1.65+2.4*1.65+3*1.65+4.8*1.65),2)</f>
        <v>866.04</v>
      </c>
      <c r="J56" s="672">
        <f>ROUND((J57+J58+J59+J60)/(1.8*1.65+2.4*1.65+3*1.65+4.8*1.65),2)</f>
        <v>902.53</v>
      </c>
      <c r="K56" s="672"/>
      <c r="L56" s="801">
        <f t="shared" si="0"/>
        <v>834.32333333333338</v>
      </c>
      <c r="M56" s="770"/>
      <c r="N56" s="936"/>
      <c r="O56" s="796"/>
      <c r="P56" s="797"/>
    </row>
    <row r="57" spans="1:16" s="795" customFormat="1" ht="29.25" customHeight="1" thickBot="1">
      <c r="A57" s="769"/>
      <c r="B57" s="770">
        <f>B56</f>
        <v>49.5</v>
      </c>
      <c r="C57" s="937"/>
      <c r="D57" s="1199" t="s">
        <v>8790</v>
      </c>
      <c r="E57" s="1200"/>
      <c r="F57" s="1201"/>
      <c r="G57" s="938" t="s">
        <v>6860</v>
      </c>
      <c r="H57" s="939">
        <f>1585.15+898.28</f>
        <v>2483.4300000000003</v>
      </c>
      <c r="I57" s="939">
        <f>2572.14</f>
        <v>2572.14</v>
      </c>
      <c r="J57" s="939">
        <v>3790</v>
      </c>
      <c r="K57" s="939"/>
      <c r="L57" s="801">
        <f t="shared" si="0"/>
        <v>2948.5233333333331</v>
      </c>
      <c r="M57" s="770"/>
      <c r="N57" s="936"/>
      <c r="O57" s="796"/>
      <c r="P57" s="797"/>
    </row>
    <row r="58" spans="1:16" s="795" customFormat="1" ht="29.25" customHeight="1" thickBot="1">
      <c r="A58" s="769"/>
      <c r="B58" s="770">
        <f t="shared" ref="B58:B60" si="1">B57</f>
        <v>49.5</v>
      </c>
      <c r="C58" s="937"/>
      <c r="D58" s="1199" t="s">
        <v>8791</v>
      </c>
      <c r="E58" s="1200"/>
      <c r="F58" s="1201"/>
      <c r="G58" s="938" t="s">
        <v>6860</v>
      </c>
      <c r="H58" s="939">
        <f>1758.15+1197.7</f>
        <v>2955.8500000000004</v>
      </c>
      <c r="I58" s="939">
        <f>3429.52</f>
        <v>3429.52</v>
      </c>
      <c r="J58" s="939">
        <v>4050</v>
      </c>
      <c r="K58" s="939"/>
      <c r="L58" s="801">
        <f t="shared" si="0"/>
        <v>3478.4566666666669</v>
      </c>
      <c r="M58" s="770"/>
      <c r="O58" s="796"/>
      <c r="P58" s="797"/>
    </row>
    <row r="59" spans="1:16" s="795" customFormat="1" ht="29.25" customHeight="1" thickBot="1">
      <c r="A59" s="769"/>
      <c r="B59" s="770">
        <f t="shared" si="1"/>
        <v>49.5</v>
      </c>
      <c r="C59" s="937"/>
      <c r="D59" s="1199" t="s">
        <v>8792</v>
      </c>
      <c r="E59" s="1200"/>
      <c r="F59" s="1201"/>
      <c r="G59" s="938" t="s">
        <v>6860</v>
      </c>
      <c r="H59" s="939">
        <f>2184.15+1497.13</f>
        <v>3681.28</v>
      </c>
      <c r="I59" s="939">
        <f>4286.9</f>
        <v>4286.8999999999996</v>
      </c>
      <c r="J59" s="939">
        <v>4550</v>
      </c>
      <c r="K59" s="939"/>
      <c r="L59" s="801">
        <f>IF(H59&lt;&gt;"",AVERAGE(H59:K59)," ")</f>
        <v>4172.7266666666665</v>
      </c>
      <c r="M59" s="770"/>
      <c r="O59" s="796"/>
      <c r="P59" s="797"/>
    </row>
    <row r="60" spans="1:16" s="795" customFormat="1" ht="29.25" customHeight="1" thickBot="1">
      <c r="A60" s="769"/>
      <c r="B60" s="770">
        <f t="shared" si="1"/>
        <v>49.5</v>
      </c>
      <c r="C60" s="937"/>
      <c r="D60" s="1199" t="s">
        <v>8793</v>
      </c>
      <c r="E60" s="1200"/>
      <c r="F60" s="1201"/>
      <c r="G60" s="938" t="s">
        <v>6860</v>
      </c>
      <c r="H60" s="939">
        <f>3025.15+2395.4</f>
        <v>5420.55</v>
      </c>
      <c r="I60" s="939">
        <f>6859.04</f>
        <v>6859.04</v>
      </c>
      <c r="J60" s="939">
        <v>5480</v>
      </c>
      <c r="K60" s="939"/>
      <c r="L60" s="801">
        <f t="shared" si="0"/>
        <v>5919.8633333333337</v>
      </c>
      <c r="M60" s="770"/>
      <c r="O60" s="796"/>
      <c r="P60" s="797"/>
    </row>
    <row r="61" spans="1:16" s="795" customFormat="1" ht="33" customHeight="1" thickBot="1">
      <c r="A61" s="769"/>
      <c r="B61" s="770">
        <f>SUMIF(CPU!$E$11:$E$1943,COTAÇÕES!$C61,CPU!$B$11:$B$1943)</f>
        <v>45.24</v>
      </c>
      <c r="C61" s="850" t="s">
        <v>9024</v>
      </c>
      <c r="D61" s="1191" t="s">
        <v>8788</v>
      </c>
      <c r="E61" s="1192"/>
      <c r="F61" s="1193"/>
      <c r="G61" s="656" t="s">
        <v>649</v>
      </c>
      <c r="H61" s="672">
        <f>ROUND((H62+H63+H64+H65)/(1.8*1.57+2.4*1.57+3*1.57+4.8*1.57),2)</f>
        <v>763.43</v>
      </c>
      <c r="I61" s="672">
        <f>ROUND((I62+I63+I64+I65)/(1.8*1.57+2.4*1.57+3*1.57+4.8*1.57),2)</f>
        <v>866.19</v>
      </c>
      <c r="J61" s="672">
        <f>ROUND((J62+J63+J64+J65)/(1.8*1.57+2.4*1.57+3*1.57+4.8*1.57),2)</f>
        <v>948.51</v>
      </c>
      <c r="K61" s="672"/>
      <c r="L61" s="801">
        <f t="shared" si="0"/>
        <v>859.37666666666667</v>
      </c>
      <c r="M61" s="770"/>
      <c r="N61" s="936"/>
      <c r="O61" s="796"/>
      <c r="P61" s="797"/>
    </row>
    <row r="62" spans="1:16" s="795" customFormat="1" ht="29.25" customHeight="1" thickBot="1">
      <c r="A62" s="769"/>
      <c r="B62" s="770">
        <f>B61</f>
        <v>45.24</v>
      </c>
      <c r="C62" s="937"/>
      <c r="D62" s="1199" t="s">
        <v>8797</v>
      </c>
      <c r="E62" s="1200"/>
      <c r="F62" s="1201"/>
      <c r="G62" s="938" t="s">
        <v>6860</v>
      </c>
      <c r="H62" s="939">
        <f>1583.26+871.06</f>
        <v>2454.3199999999997</v>
      </c>
      <c r="I62" s="939">
        <v>2446.56</v>
      </c>
      <c r="J62" s="939">
        <v>3790</v>
      </c>
      <c r="K62" s="939"/>
      <c r="L62" s="801">
        <f t="shared" si="0"/>
        <v>2896.9599999999996</v>
      </c>
      <c r="M62" s="770"/>
      <c r="O62" s="796"/>
      <c r="P62" s="797"/>
    </row>
    <row r="63" spans="1:16" s="795" customFormat="1" ht="29.25" customHeight="1" thickBot="1">
      <c r="A63" s="769"/>
      <c r="B63" s="770">
        <f t="shared" ref="B63:B64" si="2">B62</f>
        <v>45.24</v>
      </c>
      <c r="C63" s="937"/>
      <c r="D63" s="1199" t="s">
        <v>8794</v>
      </c>
      <c r="E63" s="1200"/>
      <c r="F63" s="1201"/>
      <c r="G63" s="938" t="s">
        <v>6860</v>
      </c>
      <c r="H63" s="939">
        <f>1762.15+1161.41</f>
        <v>2923.5600000000004</v>
      </c>
      <c r="I63" s="939">
        <v>3263.53</v>
      </c>
      <c r="J63" s="939">
        <v>4050</v>
      </c>
      <c r="K63" s="939"/>
      <c r="L63" s="801">
        <f t="shared" si="0"/>
        <v>3412.3633333333332</v>
      </c>
      <c r="M63" s="770"/>
      <c r="O63" s="796"/>
      <c r="P63" s="797"/>
    </row>
    <row r="64" spans="1:16" s="795" customFormat="1" ht="29.25" customHeight="1" thickBot="1">
      <c r="A64" s="769"/>
      <c r="B64" s="770">
        <f t="shared" si="2"/>
        <v>45.24</v>
      </c>
      <c r="C64" s="937"/>
      <c r="D64" s="1199" t="s">
        <v>8795</v>
      </c>
      <c r="E64" s="1200"/>
      <c r="F64" s="1201"/>
      <c r="G64" s="938" t="s">
        <v>6860</v>
      </c>
      <c r="H64" s="939">
        <f>2208.15+1451.76</f>
        <v>3659.91</v>
      </c>
      <c r="I64" s="939">
        <v>4079.05</v>
      </c>
      <c r="J64" s="939">
        <v>4550</v>
      </c>
      <c r="K64" s="939"/>
      <c r="L64" s="801">
        <f t="shared" si="0"/>
        <v>4096.32</v>
      </c>
      <c r="M64" s="770"/>
      <c r="O64" s="796"/>
      <c r="P64" s="797"/>
    </row>
    <row r="65" spans="1:16" s="795" customFormat="1" ht="29.25" customHeight="1" thickBot="1">
      <c r="A65" s="769"/>
      <c r="B65" s="770">
        <f>B64</f>
        <v>45.24</v>
      </c>
      <c r="C65" s="937"/>
      <c r="D65" s="1199" t="s">
        <v>8796</v>
      </c>
      <c r="E65" s="1200"/>
      <c r="F65" s="1201"/>
      <c r="G65" s="938" t="s">
        <v>6860</v>
      </c>
      <c r="H65" s="939">
        <f>3022.45+2322.82</f>
        <v>5345.27</v>
      </c>
      <c r="I65" s="939">
        <v>6529.95</v>
      </c>
      <c r="J65" s="939">
        <v>5480</v>
      </c>
      <c r="K65" s="939"/>
      <c r="L65" s="801">
        <f>IF(H65&lt;&gt;"",AVERAGE(H65:K65)," ")</f>
        <v>5785.0733333333337</v>
      </c>
      <c r="M65" s="770"/>
      <c r="O65" s="796"/>
      <c r="P65" s="797"/>
    </row>
    <row r="66" spans="1:16" s="795" customFormat="1" ht="33" customHeight="1" thickBot="1">
      <c r="A66" s="769"/>
      <c r="B66" s="770">
        <f>SUMIF(CPU!$E$11:$E$1943,COTAÇÕES!$C66,CPU!$B$11:$B$1943)</f>
        <v>45.28</v>
      </c>
      <c r="C66" s="850" t="s">
        <v>9025</v>
      </c>
      <c r="D66" s="1191" t="s">
        <v>8798</v>
      </c>
      <c r="E66" s="1192"/>
      <c r="F66" s="1193"/>
      <c r="G66" s="656" t="s">
        <v>649</v>
      </c>
      <c r="H66" s="672">
        <f>ROUND(H67/(8.56*5.29),2)</f>
        <v>1278.67</v>
      </c>
      <c r="I66" s="672">
        <f>ROUND(I67/(8.56*5.29),2)</f>
        <v>1628.61</v>
      </c>
      <c r="J66" s="672">
        <f>ROUND(J67/(8.56*5.29),2)</f>
        <v>2429.1999999999998</v>
      </c>
      <c r="K66" s="672"/>
      <c r="L66" s="801">
        <f t="shared" si="0"/>
        <v>1778.8266666666666</v>
      </c>
      <c r="M66" s="770"/>
      <c r="N66" s="936"/>
      <c r="O66" s="796"/>
      <c r="P66" s="797"/>
    </row>
    <row r="67" spans="1:16" s="795" customFormat="1" ht="29.25" customHeight="1" thickBot="1">
      <c r="A67" s="769"/>
      <c r="B67" s="770">
        <f>B66</f>
        <v>45.28</v>
      </c>
      <c r="C67" s="937"/>
      <c r="D67" s="1199" t="s">
        <v>8800</v>
      </c>
      <c r="E67" s="1200"/>
      <c r="F67" s="1201"/>
      <c r="G67" s="938" t="s">
        <v>6860</v>
      </c>
      <c r="H67" s="939">
        <v>57901.45</v>
      </c>
      <c r="I67" s="939">
        <v>73747.22</v>
      </c>
      <c r="J67" s="939">
        <v>110000</v>
      </c>
      <c r="K67" s="939"/>
      <c r="L67" s="801">
        <f t="shared" si="0"/>
        <v>80549.556666666656</v>
      </c>
      <c r="M67" s="770"/>
      <c r="O67" s="796"/>
      <c r="P67" s="797"/>
    </row>
    <row r="68" spans="1:16" s="795" customFormat="1" ht="33" customHeight="1" thickBot="1">
      <c r="A68" s="769"/>
      <c r="B68" s="770">
        <f>SUMIF(CPU!$E$11:$E$1943,COTAÇÕES!$C68,CPU!$B$11:$B$1943)</f>
        <v>10.58</v>
      </c>
      <c r="C68" s="850" t="s">
        <v>9026</v>
      </c>
      <c r="D68" s="1191" t="s">
        <v>8799</v>
      </c>
      <c r="E68" s="1192"/>
      <c r="F68" s="1193"/>
      <c r="G68" s="656" t="s">
        <v>649</v>
      </c>
      <c r="H68" s="672">
        <f>ROUND((H69+H70+H71)/(0.8*2.1+0.8*1.1+0.9*2.1),2)</f>
        <v>877.75</v>
      </c>
      <c r="I68" s="672">
        <f>ROUND((I69+I70+I71)/(0.8*2.1+0.8*1.1+0.9*2.1),2)</f>
        <v>570.04</v>
      </c>
      <c r="J68" s="672">
        <f>ROUND((J69+J70+J71)/(0.8*2.1+0.8*1.1+0.9*2.1),2)</f>
        <v>1337.08</v>
      </c>
      <c r="K68" s="672"/>
      <c r="L68" s="801">
        <f t="shared" si="0"/>
        <v>928.29</v>
      </c>
      <c r="M68" s="770"/>
      <c r="N68" s="936"/>
      <c r="O68" s="796"/>
      <c r="P68" s="797"/>
    </row>
    <row r="69" spans="1:16" s="795" customFormat="1" ht="29.25" customHeight="1" thickBot="1">
      <c r="A69" s="769"/>
      <c r="B69" s="770">
        <f>B68</f>
        <v>10.58</v>
      </c>
      <c r="C69" s="937"/>
      <c r="D69" s="1199" t="s">
        <v>8801</v>
      </c>
      <c r="E69" s="1200"/>
      <c r="F69" s="1201"/>
      <c r="G69" s="938" t="s">
        <v>6860</v>
      </c>
      <c r="H69" s="939">
        <v>1599.26</v>
      </c>
      <c r="I69" s="939">
        <v>957.66</v>
      </c>
      <c r="J69" s="939">
        <v>2100</v>
      </c>
      <c r="K69" s="939"/>
      <c r="L69" s="801">
        <f t="shared" si="0"/>
        <v>1552.3066666666666</v>
      </c>
      <c r="M69" s="770"/>
      <c r="O69" s="796"/>
      <c r="P69" s="797"/>
    </row>
    <row r="70" spans="1:16" s="795" customFormat="1" ht="29.25" customHeight="1" thickBot="1">
      <c r="A70" s="769"/>
      <c r="B70" s="770">
        <f t="shared" ref="B70:B71" si="3">B69</f>
        <v>10.58</v>
      </c>
      <c r="C70" s="937"/>
      <c r="D70" s="1199" t="s">
        <v>8802</v>
      </c>
      <c r="E70" s="1200"/>
      <c r="F70" s="1201"/>
      <c r="G70" s="938" t="s">
        <v>6860</v>
      </c>
      <c r="H70" s="939">
        <v>681.58</v>
      </c>
      <c r="I70" s="939">
        <v>501.63</v>
      </c>
      <c r="J70" s="939">
        <v>1600</v>
      </c>
      <c r="K70" s="939"/>
      <c r="L70" s="801">
        <f>IF(H70&lt;&gt;"",AVERAGE(H70:K70)," ")</f>
        <v>927.73666666666668</v>
      </c>
      <c r="M70" s="770"/>
      <c r="O70" s="796"/>
      <c r="P70" s="797"/>
    </row>
    <row r="71" spans="1:16" s="795" customFormat="1" ht="29.25" customHeight="1" thickBot="1">
      <c r="A71" s="769"/>
      <c r="B71" s="770">
        <f t="shared" si="3"/>
        <v>10.58</v>
      </c>
      <c r="C71" s="937"/>
      <c r="D71" s="1199" t="s">
        <v>8803</v>
      </c>
      <c r="E71" s="1200"/>
      <c r="F71" s="1201"/>
      <c r="G71" s="938" t="s">
        <v>6860</v>
      </c>
      <c r="H71" s="939">
        <v>1625.15</v>
      </c>
      <c r="I71" s="939">
        <v>1077.3699999999999</v>
      </c>
      <c r="J71" s="939">
        <v>2250</v>
      </c>
      <c r="K71" s="939"/>
      <c r="L71" s="801">
        <f t="shared" si="0"/>
        <v>1650.8400000000001</v>
      </c>
      <c r="M71" s="770"/>
      <c r="O71" s="796"/>
      <c r="P71" s="797"/>
    </row>
    <row r="72" spans="1:16" s="795" customFormat="1" ht="33" customHeight="1" thickBot="1">
      <c r="A72" s="769"/>
      <c r="B72" s="770">
        <f>SUMIF(CPU!$E$11:$E$1943,COTAÇÕES!$C72,CPU!$B$11:$B$1943)</f>
        <v>3.78</v>
      </c>
      <c r="C72" s="850" t="s">
        <v>9027</v>
      </c>
      <c r="D72" s="1191" t="s">
        <v>8808</v>
      </c>
      <c r="E72" s="1192"/>
      <c r="F72" s="1193"/>
      <c r="G72" s="656" t="s">
        <v>649</v>
      </c>
      <c r="H72" s="672">
        <f>ROUND(H73/(0.9*2.1),2)</f>
        <v>987.76</v>
      </c>
      <c r="I72" s="672">
        <f>ROUND(I73/(0.9*2.1),2)</f>
        <v>681.04</v>
      </c>
      <c r="J72" s="672">
        <f>ROUND(J73/(0.9*2.1),2)</f>
        <v>1296.3</v>
      </c>
      <c r="K72" s="672"/>
      <c r="L72" s="801">
        <f t="shared" si="0"/>
        <v>988.36666666666667</v>
      </c>
      <c r="M72" s="770"/>
      <c r="N72" s="936"/>
      <c r="O72" s="796"/>
      <c r="P72" s="797"/>
    </row>
    <row r="73" spans="1:16" s="795" customFormat="1" ht="29.25" customHeight="1" thickBot="1">
      <c r="A73" s="769"/>
      <c r="B73" s="770">
        <f>B72</f>
        <v>3.78</v>
      </c>
      <c r="C73" s="937"/>
      <c r="D73" s="1199" t="s">
        <v>8804</v>
      </c>
      <c r="E73" s="1200"/>
      <c r="F73" s="1201"/>
      <c r="G73" s="938" t="s">
        <v>6860</v>
      </c>
      <c r="H73" s="939">
        <f>1555.02+311.85</f>
        <v>1866.87</v>
      </c>
      <c r="I73" s="939">
        <v>1287.1600000000001</v>
      </c>
      <c r="J73" s="939">
        <v>2450</v>
      </c>
      <c r="K73" s="939"/>
      <c r="L73" s="801">
        <f t="shared" si="0"/>
        <v>1868.01</v>
      </c>
      <c r="M73" s="770"/>
      <c r="O73" s="796"/>
      <c r="P73" s="797"/>
    </row>
    <row r="74" spans="1:16" s="795" customFormat="1" ht="33" customHeight="1" thickBot="1">
      <c r="A74" s="769"/>
      <c r="B74" s="770">
        <f>SUMIF(CPU!$E$11:$E$1943,COTAÇÕES!$C74,CPU!$B$11:$B$1943)</f>
        <v>11.76</v>
      </c>
      <c r="C74" s="850" t="s">
        <v>9028</v>
      </c>
      <c r="D74" s="1191" t="s">
        <v>8807</v>
      </c>
      <c r="E74" s="1192"/>
      <c r="F74" s="1193"/>
      <c r="G74" s="656" t="s">
        <v>649</v>
      </c>
      <c r="H74" s="672">
        <f>ROUND((H75+H76)/(0.7*1.65+0.9*1.65),2)</f>
        <v>660.19</v>
      </c>
      <c r="I74" s="672">
        <f>ROUND((I75+I76)/(0.7*1.65+0.9*1.65),2)</f>
        <v>725.5</v>
      </c>
      <c r="J74" s="672">
        <f>ROUND((J75+J76)/(0.7*1.65+0.9*1.65),2)</f>
        <v>1356.06</v>
      </c>
      <c r="K74" s="672"/>
      <c r="L74" s="801">
        <f t="shared" si="0"/>
        <v>913.91666666666663</v>
      </c>
      <c r="M74" s="770"/>
      <c r="N74" s="936"/>
      <c r="O74" s="796"/>
      <c r="P74" s="797"/>
    </row>
    <row r="75" spans="1:16" s="795" customFormat="1" ht="29.25" customHeight="1" thickBot="1">
      <c r="A75" s="769"/>
      <c r="B75" s="770">
        <f>B74</f>
        <v>11.76</v>
      </c>
      <c r="C75" s="937"/>
      <c r="D75" s="1199" t="s">
        <v>8805</v>
      </c>
      <c r="E75" s="1200"/>
      <c r="F75" s="1201"/>
      <c r="G75" s="938" t="s">
        <v>6860</v>
      </c>
      <c r="H75" s="939">
        <v>811.86</v>
      </c>
      <c r="I75" s="939">
        <v>837.96</v>
      </c>
      <c r="J75" s="939">
        <v>1700</v>
      </c>
      <c r="K75" s="939"/>
      <c r="L75" s="801">
        <f t="shared" si="0"/>
        <v>1116.6066666666668</v>
      </c>
      <c r="M75" s="770"/>
      <c r="O75" s="796"/>
      <c r="P75" s="797"/>
    </row>
    <row r="76" spans="1:16" s="795" customFormat="1" ht="29.25" customHeight="1" thickBot="1">
      <c r="A76" s="769"/>
      <c r="B76" s="770">
        <f>B75</f>
        <v>11.76</v>
      </c>
      <c r="C76" s="937"/>
      <c r="D76" s="1199" t="s">
        <v>8806</v>
      </c>
      <c r="E76" s="1200"/>
      <c r="F76" s="1201"/>
      <c r="G76" s="938" t="s">
        <v>6860</v>
      </c>
      <c r="H76" s="939">
        <v>931.05</v>
      </c>
      <c r="I76" s="939">
        <v>1077.3699999999999</v>
      </c>
      <c r="J76" s="939">
        <v>1880</v>
      </c>
      <c r="K76" s="939"/>
      <c r="L76" s="801">
        <f t="shared" si="0"/>
        <v>1296.1400000000001</v>
      </c>
      <c r="M76" s="770"/>
      <c r="O76" s="796"/>
      <c r="P76" s="797"/>
    </row>
    <row r="77" spans="1:16" ht="15.75" thickBot="1"/>
    <row r="78" spans="1:16" ht="15.75" thickBot="1">
      <c r="H78" s="774" t="s">
        <v>6851</v>
      </c>
      <c r="I78" s="775" t="s">
        <v>6852</v>
      </c>
      <c r="J78" s="775" t="s">
        <v>6853</v>
      </c>
      <c r="K78" s="775"/>
      <c r="L78" s="1194" t="s">
        <v>6854</v>
      </c>
      <c r="O78" s="773"/>
    </row>
    <row r="79" spans="1:16">
      <c r="F79" s="776" t="s">
        <v>6855</v>
      </c>
      <c r="G79" s="777"/>
      <c r="H79" s="765" t="s">
        <v>8383</v>
      </c>
      <c r="I79" s="765" t="s">
        <v>8383</v>
      </c>
      <c r="J79" s="765" t="s">
        <v>8383</v>
      </c>
      <c r="K79" s="765"/>
      <c r="L79" s="1195"/>
      <c r="M79" s="780"/>
      <c r="N79" s="765" t="s">
        <v>8383</v>
      </c>
      <c r="O79" s="773"/>
    </row>
    <row r="80" spans="1:16">
      <c r="F80" s="781" t="s">
        <v>6856</v>
      </c>
      <c r="G80" s="782"/>
      <c r="H80" s="779" t="s">
        <v>7627</v>
      </c>
      <c r="I80" s="779" t="s">
        <v>7602</v>
      </c>
      <c r="J80" s="779" t="s">
        <v>8844</v>
      </c>
      <c r="K80" s="779"/>
      <c r="L80" s="1195"/>
      <c r="M80" s="780"/>
      <c r="N80" s="779" t="s">
        <v>7604</v>
      </c>
      <c r="O80" s="783"/>
      <c r="P80" s="783"/>
    </row>
    <row r="81" spans="1:16">
      <c r="E81" s="784"/>
      <c r="F81" s="781" t="s">
        <v>6857</v>
      </c>
      <c r="G81" s="782"/>
      <c r="H81" s="786" t="s">
        <v>7629</v>
      </c>
      <c r="I81" s="785" t="s">
        <v>8903</v>
      </c>
      <c r="J81" s="785"/>
      <c r="K81" s="785"/>
      <c r="L81" s="1195"/>
      <c r="N81" s="786" t="s">
        <v>7621</v>
      </c>
      <c r="O81" s="658"/>
      <c r="P81" s="658"/>
    </row>
    <row r="82" spans="1:16" ht="15.75" thickBot="1">
      <c r="E82" s="784"/>
      <c r="F82" s="798" t="s">
        <v>6858</v>
      </c>
      <c r="G82" s="799"/>
      <c r="H82" s="810" t="s">
        <v>7628</v>
      </c>
      <c r="I82" s="790" t="s">
        <v>7603</v>
      </c>
      <c r="J82" s="790" t="s">
        <v>8845</v>
      </c>
      <c r="K82" s="790"/>
      <c r="L82" s="1195"/>
      <c r="N82" s="785" t="s">
        <v>7605</v>
      </c>
      <c r="O82" s="658"/>
      <c r="P82" s="658"/>
    </row>
    <row r="83" spans="1:16" ht="15.75" thickBot="1">
      <c r="C83" s="792" t="s">
        <v>904</v>
      </c>
      <c r="D83" s="1196" t="s">
        <v>6859</v>
      </c>
      <c r="E83" s="1197"/>
      <c r="F83" s="1198"/>
      <c r="G83" s="793" t="s">
        <v>6860</v>
      </c>
      <c r="H83" s="792"/>
      <c r="I83" s="792" t="s">
        <v>6861</v>
      </c>
      <c r="J83" s="792" t="s">
        <v>6861</v>
      </c>
      <c r="K83" s="792" t="s">
        <v>6861</v>
      </c>
      <c r="L83" s="794"/>
      <c r="O83" s="659"/>
      <c r="P83" s="659"/>
    </row>
    <row r="84" spans="1:16" s="795" customFormat="1" ht="40.5" customHeight="1" thickBot="1">
      <c r="A84" s="769"/>
      <c r="B84" s="770">
        <f>SUMIF(CPU!$E$11:$E$1943,COTAÇÕES!$C84,CPU!$B$11:$B$1943)</f>
        <v>42.18</v>
      </c>
      <c r="C84" s="850" t="s">
        <v>9029</v>
      </c>
      <c r="D84" s="1191" t="s">
        <v>8651</v>
      </c>
      <c r="E84" s="1192"/>
      <c r="F84" s="1193"/>
      <c r="G84" s="656" t="s">
        <v>6860</v>
      </c>
      <c r="H84" s="672">
        <v>796.86</v>
      </c>
      <c r="I84" s="672">
        <v>579</v>
      </c>
      <c r="J84" s="672">
        <v>817.27</v>
      </c>
      <c r="K84" s="672"/>
      <c r="L84" s="801">
        <f t="shared" ref="L84:L88" si="4">IF(H84&lt;&gt;"",AVERAGE(H84:K84)," ")</f>
        <v>731.04333333333341</v>
      </c>
      <c r="M84" s="770"/>
      <c r="O84" s="796"/>
      <c r="P84" s="797"/>
    </row>
    <row r="85" spans="1:16" s="795" customFormat="1" ht="30" customHeight="1" thickBot="1">
      <c r="A85" s="769"/>
      <c r="B85" s="770">
        <f>SUMIF(CPU!$E$11:$E$1943,COTAÇÕES!$C85,CPU!$B$11:$B$1943)</f>
        <v>42.18</v>
      </c>
      <c r="C85" s="850" t="s">
        <v>9030</v>
      </c>
      <c r="D85" s="1191" t="s">
        <v>8846</v>
      </c>
      <c r="E85" s="1192"/>
      <c r="F85" s="1193"/>
      <c r="G85" s="656" t="s">
        <v>6860</v>
      </c>
      <c r="H85" s="672">
        <v>300.06</v>
      </c>
      <c r="I85" s="672">
        <f>179+2.1</f>
        <v>181.1</v>
      </c>
      <c r="J85" s="672">
        <f>185.87+2.63</f>
        <v>188.5</v>
      </c>
      <c r="K85" s="672"/>
      <c r="L85" s="801">
        <f t="shared" si="4"/>
        <v>223.22</v>
      </c>
      <c r="M85" s="770"/>
      <c r="O85" s="796"/>
      <c r="P85" s="797"/>
    </row>
    <row r="86" spans="1:16" s="795" customFormat="1" ht="15.75" thickBot="1">
      <c r="A86" s="769"/>
      <c r="B86" s="770">
        <f>SUMIF(CPU!$E$11:$E$1943,COTAÇÕES!$C86,CPU!$B$11:$B$1943)</f>
        <v>42.18</v>
      </c>
      <c r="C86" s="850" t="s">
        <v>9031</v>
      </c>
      <c r="D86" s="1191" t="s">
        <v>8652</v>
      </c>
      <c r="E86" s="1192"/>
      <c r="F86" s="1193"/>
      <c r="G86" s="656" t="s">
        <v>6860</v>
      </c>
      <c r="H86" s="672">
        <v>9.5</v>
      </c>
      <c r="I86" s="672">
        <v>3.4</v>
      </c>
      <c r="J86" s="672">
        <v>3.53</v>
      </c>
      <c r="K86" s="672"/>
      <c r="L86" s="801">
        <f t="shared" si="4"/>
        <v>5.4766666666666666</v>
      </c>
      <c r="M86" s="770"/>
      <c r="O86" s="796"/>
      <c r="P86" s="797"/>
    </row>
    <row r="87" spans="1:16" s="795" customFormat="1" ht="15.75" thickBot="1">
      <c r="A87" s="769"/>
      <c r="B87" s="770">
        <f>SUMIF(CPU!$E$11:$E$1943,COTAÇÕES!$C87,CPU!$B$11:$B$1943)</f>
        <v>42.18</v>
      </c>
      <c r="C87" s="850" t="s">
        <v>9032</v>
      </c>
      <c r="D87" s="1191" t="s">
        <v>8653</v>
      </c>
      <c r="E87" s="1192"/>
      <c r="F87" s="1193"/>
      <c r="G87" s="656" t="s">
        <v>649</v>
      </c>
      <c r="H87" s="672">
        <v>44</v>
      </c>
      <c r="I87" s="672"/>
      <c r="J87" s="672">
        <v>16.54</v>
      </c>
      <c r="K87" s="672"/>
      <c r="L87" s="801">
        <f t="shared" si="4"/>
        <v>30.27</v>
      </c>
      <c r="M87" s="770"/>
      <c r="O87" s="796"/>
      <c r="P87" s="797"/>
    </row>
    <row r="88" spans="1:16" s="795" customFormat="1" ht="47.25" customHeight="1" thickBot="1">
      <c r="A88" s="769"/>
      <c r="B88" s="770">
        <f>SUMIF(CPU!$E$11:$E$1943,COTAÇÕES!$C88,CPU!$B$11:$B$1943)</f>
        <v>1.89</v>
      </c>
      <c r="C88" s="850" t="s">
        <v>9033</v>
      </c>
      <c r="D88" s="1191" t="s">
        <v>8654</v>
      </c>
      <c r="E88" s="1192"/>
      <c r="F88" s="1193"/>
      <c r="G88" s="656" t="s">
        <v>649</v>
      </c>
      <c r="H88" s="672">
        <v>629.57000000000005</v>
      </c>
      <c r="I88" s="672">
        <f>1100/(0.9*2.88)</f>
        <v>424.38271604938268</v>
      </c>
      <c r="J88" s="672"/>
      <c r="K88" s="672"/>
      <c r="L88" s="801">
        <f t="shared" si="4"/>
        <v>526.97635802469131</v>
      </c>
      <c r="M88" s="770"/>
      <c r="O88" s="796"/>
      <c r="P88" s="797"/>
    </row>
    <row r="89" spans="1:16" ht="15.75" thickBot="1">
      <c r="I89" s="770"/>
      <c r="K89" s="770"/>
      <c r="L89" s="769"/>
      <c r="O89" s="773"/>
    </row>
    <row r="90" spans="1:16" ht="15.75" thickBot="1">
      <c r="H90" s="774" t="s">
        <v>6851</v>
      </c>
      <c r="I90" s="775" t="s">
        <v>6852</v>
      </c>
      <c r="J90" s="775" t="s">
        <v>6853</v>
      </c>
      <c r="K90" s="775"/>
      <c r="L90" s="1194" t="s">
        <v>6854</v>
      </c>
      <c r="M90" s="815"/>
      <c r="O90" s="773"/>
    </row>
    <row r="91" spans="1:16">
      <c r="F91" s="776" t="s">
        <v>6855</v>
      </c>
      <c r="G91" s="777"/>
      <c r="H91" s="765" t="s">
        <v>7579</v>
      </c>
      <c r="I91" s="778" t="s">
        <v>7651</v>
      </c>
      <c r="J91" s="778" t="s">
        <v>7194</v>
      </c>
      <c r="K91" s="778"/>
      <c r="L91" s="1195"/>
      <c r="M91" s="815"/>
      <c r="N91" s="815"/>
      <c r="O91" s="773"/>
    </row>
    <row r="92" spans="1:16">
      <c r="F92" s="781" t="s">
        <v>6856</v>
      </c>
      <c r="G92" s="782"/>
      <c r="H92" s="820" t="s">
        <v>7615</v>
      </c>
      <c r="I92" s="820" t="s">
        <v>7643</v>
      </c>
      <c r="J92" s="820" t="s">
        <v>7617</v>
      </c>
      <c r="K92" s="820"/>
      <c r="L92" s="1195"/>
      <c r="M92" s="815"/>
      <c r="O92" s="783"/>
      <c r="P92" s="783"/>
    </row>
    <row r="93" spans="1:16">
      <c r="E93" s="784"/>
      <c r="F93" s="781" t="s">
        <v>6857</v>
      </c>
      <c r="G93" s="782"/>
      <c r="H93" s="817"/>
      <c r="I93" s="809"/>
      <c r="J93" s="809"/>
      <c r="K93" s="809"/>
      <c r="L93" s="1195"/>
      <c r="M93" s="815"/>
      <c r="O93" s="658"/>
      <c r="P93" s="658"/>
    </row>
    <row r="94" spans="1:16" ht="15.75" thickBot="1">
      <c r="E94" s="784"/>
      <c r="F94" s="798" t="s">
        <v>6858</v>
      </c>
      <c r="G94" s="799"/>
      <c r="H94" s="790" t="s">
        <v>7616</v>
      </c>
      <c r="I94" s="786" t="s">
        <v>7657</v>
      </c>
      <c r="J94" s="810" t="s">
        <v>7618</v>
      </c>
      <c r="K94" s="810"/>
      <c r="L94" s="1195"/>
      <c r="M94" s="815"/>
      <c r="O94" s="658"/>
      <c r="P94" s="658"/>
    </row>
    <row r="95" spans="1:16" ht="15.75" thickBot="1">
      <c r="C95" s="792" t="s">
        <v>904</v>
      </c>
      <c r="D95" s="1196" t="s">
        <v>6859</v>
      </c>
      <c r="E95" s="1197"/>
      <c r="F95" s="1198"/>
      <c r="G95" s="793" t="s">
        <v>6860</v>
      </c>
      <c r="H95" s="792" t="s">
        <v>6861</v>
      </c>
      <c r="I95" s="792" t="s">
        <v>6861</v>
      </c>
      <c r="J95" s="792" t="s">
        <v>6861</v>
      </c>
      <c r="K95" s="792"/>
      <c r="L95" s="794"/>
      <c r="M95" s="815"/>
      <c r="O95" s="659"/>
      <c r="P95" s="659"/>
    </row>
    <row r="96" spans="1:16" s="795" customFormat="1" ht="15.75" thickBot="1">
      <c r="A96" s="769"/>
      <c r="B96" s="770">
        <f>SUMIF(CPU!$E$11:$E$1943,COTAÇÕES!$C96,CPU!$B$11:$B$1943)</f>
        <v>1</v>
      </c>
      <c r="C96" s="850" t="s">
        <v>9034</v>
      </c>
      <c r="D96" s="1207" t="s">
        <v>7619</v>
      </c>
      <c r="E96" s="1208"/>
      <c r="F96" s="1209"/>
      <c r="G96" s="656" t="s">
        <v>649</v>
      </c>
      <c r="H96" s="672">
        <f>289/(0.8*0.4)</f>
        <v>903.12499999999977</v>
      </c>
      <c r="I96" s="672">
        <f>335.82/(0.8*0.4)</f>
        <v>1049.4374999999998</v>
      </c>
      <c r="J96" s="672">
        <f>264.76/(0.8*0.4)</f>
        <v>827.37499999999977</v>
      </c>
      <c r="K96" s="813"/>
      <c r="L96" s="801">
        <f t="shared" ref="L96" si="5">IF(H96&lt;&gt;"",AVERAGE(H96:K96)," ")</f>
        <v>926.64583333333303</v>
      </c>
      <c r="M96" s="815"/>
      <c r="O96" s="796"/>
      <c r="P96" s="797"/>
    </row>
    <row r="97" spans="1:16" ht="15.75" thickBot="1">
      <c r="I97" s="770"/>
      <c r="K97" s="770"/>
      <c r="L97" s="769"/>
      <c r="O97" s="773"/>
    </row>
    <row r="98" spans="1:16" ht="15.75" thickBot="1">
      <c r="H98" s="774" t="s">
        <v>6851</v>
      </c>
      <c r="I98" s="775" t="s">
        <v>6852</v>
      </c>
      <c r="J98" s="775" t="s">
        <v>6853</v>
      </c>
      <c r="K98" s="775"/>
      <c r="L98" s="1194" t="s">
        <v>6854</v>
      </c>
      <c r="O98" s="773"/>
    </row>
    <row r="99" spans="1:16">
      <c r="F99" s="776" t="s">
        <v>6855</v>
      </c>
      <c r="G99" s="777"/>
      <c r="H99" s="765" t="s">
        <v>8383</v>
      </c>
      <c r="I99" s="765" t="s">
        <v>8383</v>
      </c>
      <c r="J99" s="765" t="s">
        <v>8383</v>
      </c>
      <c r="K99" s="765"/>
      <c r="L99" s="1195"/>
      <c r="M99" s="780"/>
      <c r="O99" s="773"/>
    </row>
    <row r="100" spans="1:16">
      <c r="F100" s="781" t="s">
        <v>6856</v>
      </c>
      <c r="G100" s="782"/>
      <c r="H100" s="779" t="s">
        <v>8832</v>
      </c>
      <c r="I100" s="779" t="s">
        <v>8835</v>
      </c>
      <c r="J100" s="779" t="s">
        <v>8836</v>
      </c>
      <c r="K100" s="779"/>
      <c r="L100" s="1195"/>
      <c r="M100" s="780"/>
      <c r="O100" s="783"/>
      <c r="P100" s="783"/>
    </row>
    <row r="101" spans="1:16">
      <c r="E101" s="784"/>
      <c r="F101" s="781" t="s">
        <v>6857</v>
      </c>
      <c r="G101" s="782"/>
      <c r="H101" s="785"/>
      <c r="I101" s="786"/>
      <c r="J101" s="786"/>
      <c r="K101" s="786"/>
      <c r="L101" s="1195"/>
      <c r="O101" s="658"/>
      <c r="P101" s="658"/>
    </row>
    <row r="102" spans="1:16" ht="15.75" thickBot="1">
      <c r="E102" s="784"/>
      <c r="F102" s="798" t="s">
        <v>6858</v>
      </c>
      <c r="G102" s="799"/>
      <c r="H102" s="790" t="s">
        <v>8833</v>
      </c>
      <c r="I102" s="790" t="s">
        <v>8834</v>
      </c>
      <c r="J102" s="810" t="s">
        <v>8837</v>
      </c>
      <c r="K102" s="810"/>
      <c r="L102" s="1195"/>
      <c r="O102" s="658"/>
      <c r="P102" s="658"/>
    </row>
    <row r="103" spans="1:16" ht="15.75" thickBot="1">
      <c r="C103" s="792" t="s">
        <v>904</v>
      </c>
      <c r="D103" s="1196" t="s">
        <v>6859</v>
      </c>
      <c r="E103" s="1197"/>
      <c r="F103" s="1198"/>
      <c r="G103" s="793" t="s">
        <v>6860</v>
      </c>
      <c r="H103" s="792" t="s">
        <v>6861</v>
      </c>
      <c r="I103" s="792" t="s">
        <v>6861</v>
      </c>
      <c r="J103" s="792" t="s">
        <v>6861</v>
      </c>
      <c r="K103" s="792"/>
      <c r="L103" s="794"/>
      <c r="O103" s="659"/>
      <c r="P103" s="659"/>
    </row>
    <row r="104" spans="1:16" s="795" customFormat="1" ht="47.25" customHeight="1" thickBot="1">
      <c r="A104" s="769"/>
      <c r="B104" s="770">
        <f>SUMIF(CPU!$E$11:$E$1943,COTAÇÕES!$C104,CPU!$B$11:$B$1943)</f>
        <v>3</v>
      </c>
      <c r="C104" s="850" t="s">
        <v>9035</v>
      </c>
      <c r="D104" s="1191" t="s">
        <v>8831</v>
      </c>
      <c r="E104" s="1192"/>
      <c r="F104" s="1193"/>
      <c r="G104" s="656" t="s">
        <v>6860</v>
      </c>
      <c r="H104" s="672">
        <v>150.78</v>
      </c>
      <c r="I104" s="672">
        <v>158.72</v>
      </c>
      <c r="J104" s="672">
        <v>117.9</v>
      </c>
      <c r="K104" s="672"/>
      <c r="L104" s="801">
        <f t="shared" ref="L104" si="6">IF(H104&lt;&gt;"",AVERAGE(H104:K104)," ")</f>
        <v>142.46666666666667</v>
      </c>
      <c r="M104" s="770"/>
      <c r="O104" s="796"/>
      <c r="P104" s="797"/>
    </row>
    <row r="105" spans="1:16" ht="15.75" thickBot="1">
      <c r="J105" s="814"/>
    </row>
    <row r="106" spans="1:16" ht="15.75" thickBot="1">
      <c r="H106" s="774" t="s">
        <v>6851</v>
      </c>
      <c r="I106" s="775" t="s">
        <v>6852</v>
      </c>
      <c r="J106" s="775" t="s">
        <v>6853</v>
      </c>
      <c r="K106" s="775"/>
      <c r="L106" s="1194" t="s">
        <v>6854</v>
      </c>
    </row>
    <row r="107" spans="1:16">
      <c r="F107" s="776" t="s">
        <v>6855</v>
      </c>
      <c r="G107" s="777"/>
      <c r="H107" s="765" t="s">
        <v>7194</v>
      </c>
      <c r="I107" s="778"/>
      <c r="J107" s="779"/>
      <c r="K107" s="779"/>
      <c r="L107" s="1195"/>
      <c r="M107" s="780"/>
    </row>
    <row r="108" spans="1:16">
      <c r="F108" s="781" t="s">
        <v>6856</v>
      </c>
      <c r="G108" s="782"/>
      <c r="H108" s="778" t="s">
        <v>7499</v>
      </c>
      <c r="I108" s="779"/>
      <c r="J108" s="779"/>
      <c r="K108" s="779"/>
      <c r="L108" s="1195"/>
      <c r="M108" s="780"/>
      <c r="O108" s="780"/>
      <c r="P108" s="783"/>
    </row>
    <row r="109" spans="1:16">
      <c r="E109" s="784"/>
      <c r="F109" s="781" t="s">
        <v>6857</v>
      </c>
      <c r="G109" s="782"/>
      <c r="H109" s="785"/>
      <c r="I109" s="786"/>
      <c r="J109" s="786"/>
      <c r="K109" s="786"/>
      <c r="L109" s="1195"/>
      <c r="O109" s="787"/>
      <c r="P109" s="658"/>
    </row>
    <row r="110" spans="1:16" ht="15.75" thickBot="1">
      <c r="E110" s="784"/>
      <c r="F110" s="788" t="s">
        <v>6858</v>
      </c>
      <c r="G110" s="789"/>
      <c r="H110" s="790" t="s">
        <v>7578</v>
      </c>
      <c r="I110" s="790"/>
      <c r="J110" s="791"/>
      <c r="K110" s="791"/>
      <c r="L110" s="1202"/>
      <c r="O110" s="787"/>
      <c r="P110" s="658"/>
    </row>
    <row r="111" spans="1:16" ht="15.75" thickBot="1">
      <c r="C111" s="792" t="s">
        <v>904</v>
      </c>
      <c r="D111" s="1196" t="s">
        <v>6859</v>
      </c>
      <c r="E111" s="1197"/>
      <c r="F111" s="1198"/>
      <c r="G111" s="793" t="s">
        <v>6860</v>
      </c>
      <c r="H111" s="792" t="s">
        <v>6861</v>
      </c>
      <c r="I111" s="792" t="s">
        <v>6861</v>
      </c>
      <c r="J111" s="792" t="s">
        <v>6861</v>
      </c>
      <c r="K111" s="792"/>
      <c r="L111" s="794"/>
      <c r="O111" s="659"/>
      <c r="P111" s="659"/>
    </row>
    <row r="112" spans="1:16" s="795" customFormat="1" ht="15.75" thickBot="1">
      <c r="A112" s="769"/>
      <c r="B112" s="770">
        <f>SUMIF(CPU!$E$11:$E$1943,COTAÇÕES!$C112,CPU!$B$11:$B$1943)</f>
        <v>1</v>
      </c>
      <c r="C112" s="768" t="s">
        <v>9036</v>
      </c>
      <c r="D112" s="1210" t="s">
        <v>7498</v>
      </c>
      <c r="E112" s="1210"/>
      <c r="F112" s="1210"/>
      <c r="G112" s="656" t="s">
        <v>646</v>
      </c>
      <c r="H112" s="657">
        <v>233.94</v>
      </c>
      <c r="I112" s="657"/>
      <c r="J112" s="657"/>
      <c r="K112" s="657"/>
      <c r="L112" s="801">
        <f t="shared" ref="L112" si="7">IF(H112&lt;&gt;"",AVERAGE(H112:K112)," ")</f>
        <v>233.94</v>
      </c>
      <c r="O112" s="796"/>
      <c r="P112" s="797"/>
    </row>
    <row r="113" spans="1:16" ht="15.75" thickBot="1">
      <c r="I113" s="770"/>
      <c r="K113" s="770"/>
      <c r="L113" s="769"/>
      <c r="O113" s="773"/>
    </row>
    <row r="114" spans="1:16" ht="15.75" thickBot="1">
      <c r="H114" s="774" t="s">
        <v>6851</v>
      </c>
      <c r="I114" s="775" t="s">
        <v>6852</v>
      </c>
      <c r="J114" s="775" t="s">
        <v>6853</v>
      </c>
      <c r="K114" s="775"/>
      <c r="L114" s="1194" t="s">
        <v>6854</v>
      </c>
      <c r="O114" s="773"/>
    </row>
    <row r="115" spans="1:16">
      <c r="F115" s="776" t="s">
        <v>6855</v>
      </c>
      <c r="G115" s="777"/>
      <c r="H115" s="765" t="s">
        <v>8383</v>
      </c>
      <c r="I115" s="765" t="s">
        <v>8383</v>
      </c>
      <c r="J115" s="765" t="s">
        <v>8383</v>
      </c>
      <c r="K115" s="778"/>
      <c r="L115" s="1195"/>
      <c r="M115" s="780"/>
      <c r="O115" s="773"/>
    </row>
    <row r="116" spans="1:16">
      <c r="F116" s="781" t="s">
        <v>6856</v>
      </c>
      <c r="G116" s="782"/>
      <c r="H116" s="779" t="s">
        <v>8419</v>
      </c>
      <c r="I116" s="779" t="s">
        <v>8422</v>
      </c>
      <c r="J116" s="779" t="s">
        <v>8424</v>
      </c>
      <c r="K116" s="779"/>
      <c r="L116" s="1195"/>
      <c r="M116" s="780"/>
      <c r="O116" s="783"/>
      <c r="P116" s="783"/>
    </row>
    <row r="117" spans="1:16">
      <c r="E117" s="784"/>
      <c r="F117" s="781" t="s">
        <v>6857</v>
      </c>
      <c r="G117" s="782"/>
      <c r="H117" s="785"/>
      <c r="I117" s="786"/>
      <c r="J117" s="786"/>
      <c r="K117" s="786"/>
      <c r="L117" s="1195"/>
      <c r="O117" s="658"/>
      <c r="P117" s="658"/>
    </row>
    <row r="118" spans="1:16" ht="15.75" thickBot="1">
      <c r="E118" s="784"/>
      <c r="F118" s="798" t="s">
        <v>6858</v>
      </c>
      <c r="G118" s="799"/>
      <c r="H118" s="790" t="s">
        <v>8420</v>
      </c>
      <c r="I118" s="790" t="s">
        <v>8423</v>
      </c>
      <c r="J118" s="810" t="s">
        <v>8425</v>
      </c>
      <c r="K118" s="810"/>
      <c r="L118" s="1202"/>
      <c r="O118" s="658"/>
      <c r="P118" s="658"/>
    </row>
    <row r="119" spans="1:16" ht="15.75" thickBot="1">
      <c r="C119" s="792" t="s">
        <v>904</v>
      </c>
      <c r="D119" s="1196" t="s">
        <v>6859</v>
      </c>
      <c r="E119" s="1197"/>
      <c r="F119" s="1198"/>
      <c r="G119" s="793" t="s">
        <v>6860</v>
      </c>
      <c r="H119" s="792" t="s">
        <v>6861</v>
      </c>
      <c r="I119" s="792" t="s">
        <v>6861</v>
      </c>
      <c r="J119" s="792" t="s">
        <v>6861</v>
      </c>
      <c r="K119" s="792"/>
      <c r="L119" s="794"/>
      <c r="O119" s="659"/>
      <c r="P119" s="659"/>
    </row>
    <row r="120" spans="1:16" s="795" customFormat="1" ht="29.25" customHeight="1" thickBot="1">
      <c r="A120" s="769"/>
      <c r="B120" s="770">
        <f>SUMIF(CPU!$E$11:$E$1943,COTAÇÕES!$C120,CPU!$B$11:$B$1943)</f>
        <v>478.73</v>
      </c>
      <c r="C120" s="850" t="s">
        <v>9038</v>
      </c>
      <c r="D120" s="1191" t="s">
        <v>8426</v>
      </c>
      <c r="E120" s="1192"/>
      <c r="F120" s="1193"/>
      <c r="G120" s="656" t="s">
        <v>924</v>
      </c>
      <c r="H120" s="672">
        <f>289.6/3.6</f>
        <v>80.444444444444443</v>
      </c>
      <c r="I120" s="672">
        <f>498.3/3.6</f>
        <v>138.41666666666666</v>
      </c>
      <c r="J120" s="672">
        <f>325.51/3.6</f>
        <v>90.419444444444437</v>
      </c>
      <c r="K120" s="672"/>
      <c r="L120" s="801">
        <f t="shared" ref="L120:L121" si="8">IF(H120&lt;&gt;"",AVERAGE(H120:K120)," ")</f>
        <v>103.09351851851851</v>
      </c>
      <c r="M120" s="770"/>
      <c r="O120" s="796"/>
      <c r="P120" s="797"/>
    </row>
    <row r="121" spans="1:16" s="795" customFormat="1" ht="29.25" customHeight="1" thickBot="1">
      <c r="A121" s="769"/>
      <c r="B121" s="770">
        <f>SUMIF(CPU!$E$11:$E$1943,COTAÇÕES!$C121,CPU!$B$11:$B$1943)</f>
        <v>478.73</v>
      </c>
      <c r="C121" s="850" t="s">
        <v>9039</v>
      </c>
      <c r="D121" s="1191" t="s">
        <v>8421</v>
      </c>
      <c r="E121" s="1192"/>
      <c r="F121" s="1193"/>
      <c r="G121" s="656" t="s">
        <v>924</v>
      </c>
      <c r="H121" s="672">
        <f>31.9/0.9</f>
        <v>35.444444444444443</v>
      </c>
      <c r="I121" s="672">
        <f>81.9/0.9</f>
        <v>91</v>
      </c>
      <c r="J121" s="672">
        <f>41.3/0.9</f>
        <v>45.888888888888886</v>
      </c>
      <c r="K121" s="672"/>
      <c r="L121" s="801">
        <f t="shared" si="8"/>
        <v>57.444444444444436</v>
      </c>
      <c r="M121" s="770"/>
      <c r="O121" s="796"/>
      <c r="P121" s="797"/>
    </row>
    <row r="122" spans="1:16" ht="15.75" thickBot="1">
      <c r="I122" s="770"/>
      <c r="K122" s="770"/>
      <c r="L122" s="769"/>
      <c r="O122" s="773"/>
    </row>
    <row r="123" spans="1:16" ht="15.75" thickBot="1">
      <c r="H123" s="774" t="s">
        <v>6851</v>
      </c>
      <c r="I123" s="775" t="s">
        <v>6852</v>
      </c>
      <c r="J123" s="775" t="s">
        <v>6853</v>
      </c>
      <c r="K123" s="775"/>
      <c r="L123" s="1194" t="s">
        <v>6854</v>
      </c>
      <c r="O123" s="773"/>
    </row>
    <row r="124" spans="1:16">
      <c r="F124" s="776" t="s">
        <v>6855</v>
      </c>
      <c r="G124" s="777"/>
      <c r="H124" s="765" t="s">
        <v>8383</v>
      </c>
      <c r="I124" s="765" t="s">
        <v>8383</v>
      </c>
      <c r="J124" s="765" t="s">
        <v>8383</v>
      </c>
      <c r="K124" s="765"/>
      <c r="L124" s="1195"/>
      <c r="M124" s="780"/>
      <c r="O124" s="773"/>
    </row>
    <row r="125" spans="1:16">
      <c r="F125" s="781" t="s">
        <v>6856</v>
      </c>
      <c r="G125" s="782"/>
      <c r="H125" s="779" t="s">
        <v>8868</v>
      </c>
      <c r="I125" s="779" t="s">
        <v>6891</v>
      </c>
      <c r="J125" s="779" t="s">
        <v>7485</v>
      </c>
      <c r="K125" s="779"/>
      <c r="L125" s="1195"/>
      <c r="M125" s="780"/>
      <c r="O125" s="783"/>
      <c r="P125" s="783"/>
    </row>
    <row r="126" spans="1:16">
      <c r="E126" s="784"/>
      <c r="F126" s="781" t="s">
        <v>6857</v>
      </c>
      <c r="G126" s="782"/>
      <c r="H126" s="785"/>
      <c r="I126" s="786"/>
      <c r="J126" s="786"/>
      <c r="K126" s="786"/>
      <c r="L126" s="1195"/>
      <c r="O126" s="658"/>
      <c r="P126" s="658"/>
    </row>
    <row r="127" spans="1:16" ht="15.75" thickBot="1">
      <c r="E127" s="784"/>
      <c r="F127" s="798" t="s">
        <v>6858</v>
      </c>
      <c r="G127" s="799"/>
      <c r="H127" s="790" t="s">
        <v>8869</v>
      </c>
      <c r="I127" s="790" t="s">
        <v>8871</v>
      </c>
      <c r="J127" s="790" t="s">
        <v>8870</v>
      </c>
      <c r="K127" s="810"/>
      <c r="L127" s="1202"/>
      <c r="O127" s="658"/>
      <c r="P127" s="658"/>
    </row>
    <row r="128" spans="1:16" ht="15.75" thickBot="1">
      <c r="C128" s="792" t="s">
        <v>904</v>
      </c>
      <c r="D128" s="1196" t="s">
        <v>6859</v>
      </c>
      <c r="E128" s="1197"/>
      <c r="F128" s="1198"/>
      <c r="G128" s="793" t="s">
        <v>6860</v>
      </c>
      <c r="H128" s="792" t="s">
        <v>6861</v>
      </c>
      <c r="I128" s="792" t="s">
        <v>6861</v>
      </c>
      <c r="J128" s="792" t="s">
        <v>6861</v>
      </c>
      <c r="K128" s="792"/>
      <c r="L128" s="794"/>
      <c r="O128" s="659"/>
      <c r="P128" s="659"/>
    </row>
    <row r="129" spans="1:16" s="795" customFormat="1" ht="15.75" thickBot="1">
      <c r="A129" s="769"/>
      <c r="B129" s="770">
        <f>SUMIF(CPU!$E$11:$E$1943,COTAÇÕES!$C129,CPU!$B$11:$B$1943)</f>
        <v>26.69</v>
      </c>
      <c r="C129" s="850" t="s">
        <v>9040</v>
      </c>
      <c r="D129" s="1191" t="s">
        <v>8867</v>
      </c>
      <c r="E129" s="1192"/>
      <c r="F129" s="1193"/>
      <c r="G129" s="656" t="s">
        <v>649</v>
      </c>
      <c r="H129" s="672">
        <v>79.900000000000006</v>
      </c>
      <c r="I129" s="672">
        <v>78.900000000000006</v>
      </c>
      <c r="J129" s="672">
        <v>43.99</v>
      </c>
      <c r="K129" s="672"/>
      <c r="L129" s="801">
        <f t="shared" ref="L129" si="9">IF(H129&lt;&gt;"",AVERAGE(H129:K129)," ")</f>
        <v>67.596666666666678</v>
      </c>
      <c r="M129" s="770"/>
      <c r="O129" s="796"/>
      <c r="P129" s="797"/>
    </row>
    <row r="130" spans="1:16" ht="15.75" thickBot="1">
      <c r="I130" s="770"/>
      <c r="K130" s="770"/>
      <c r="L130" s="769"/>
      <c r="O130" s="773"/>
    </row>
    <row r="131" spans="1:16" ht="15.75" thickBot="1">
      <c r="H131" s="774" t="s">
        <v>6851</v>
      </c>
      <c r="I131" s="775" t="s">
        <v>6852</v>
      </c>
      <c r="J131" s="775" t="s">
        <v>6853</v>
      </c>
      <c r="K131" s="775"/>
      <c r="L131" s="1194" t="s">
        <v>6854</v>
      </c>
      <c r="O131" s="773"/>
    </row>
    <row r="132" spans="1:16">
      <c r="F132" s="776" t="s">
        <v>6855</v>
      </c>
      <c r="G132" s="777"/>
      <c r="H132" s="765" t="s">
        <v>8383</v>
      </c>
      <c r="I132" s="765" t="s">
        <v>8383</v>
      </c>
      <c r="J132" s="765" t="s">
        <v>8383</v>
      </c>
      <c r="K132" s="765"/>
      <c r="L132" s="1195"/>
      <c r="M132" s="780"/>
      <c r="O132" s="773"/>
    </row>
    <row r="133" spans="1:16">
      <c r="F133" s="781" t="s">
        <v>6856</v>
      </c>
      <c r="G133" s="782"/>
      <c r="H133" s="779" t="s">
        <v>8848</v>
      </c>
      <c r="I133" s="779" t="s">
        <v>8851</v>
      </c>
      <c r="J133" s="779" t="s">
        <v>8852</v>
      </c>
      <c r="K133" s="779"/>
      <c r="L133" s="1195"/>
      <c r="M133" s="780"/>
      <c r="O133" s="783"/>
      <c r="P133" s="783"/>
    </row>
    <row r="134" spans="1:16">
      <c r="E134" s="784"/>
      <c r="F134" s="781" t="s">
        <v>6857</v>
      </c>
      <c r="G134" s="782"/>
      <c r="H134" s="785"/>
      <c r="I134" s="786"/>
      <c r="J134" s="786"/>
      <c r="K134" s="786"/>
      <c r="L134" s="1195"/>
      <c r="O134" s="658"/>
      <c r="P134" s="658"/>
    </row>
    <row r="135" spans="1:16" ht="15.75" thickBot="1">
      <c r="E135" s="784"/>
      <c r="F135" s="798" t="s">
        <v>6858</v>
      </c>
      <c r="G135" s="799"/>
      <c r="H135" s="790" t="s">
        <v>8849</v>
      </c>
      <c r="I135" s="790" t="s">
        <v>8850</v>
      </c>
      <c r="J135" s="810" t="s">
        <v>8853</v>
      </c>
      <c r="K135" s="810"/>
      <c r="L135" s="1202"/>
      <c r="O135" s="658"/>
      <c r="P135" s="658"/>
    </row>
    <row r="136" spans="1:16" ht="15.75" thickBot="1">
      <c r="C136" s="792" t="s">
        <v>904</v>
      </c>
      <c r="D136" s="1196" t="s">
        <v>6859</v>
      </c>
      <c r="E136" s="1197"/>
      <c r="F136" s="1198"/>
      <c r="G136" s="793" t="s">
        <v>6860</v>
      </c>
      <c r="H136" s="792" t="s">
        <v>6861</v>
      </c>
      <c r="I136" s="792" t="s">
        <v>6861</v>
      </c>
      <c r="J136" s="792" t="s">
        <v>6861</v>
      </c>
      <c r="K136" s="792"/>
      <c r="L136" s="794"/>
      <c r="O136" s="659"/>
      <c r="P136" s="659"/>
    </row>
    <row r="137" spans="1:16" s="795" customFormat="1" ht="39" customHeight="1" thickBot="1">
      <c r="A137" s="769"/>
      <c r="B137" s="770">
        <f>SUMIF(CPU!$E$11:$E$1943,COTAÇÕES!$C137,CPU!$B$11:$B$1943)</f>
        <v>491.18</v>
      </c>
      <c r="C137" s="850" t="s">
        <v>9041</v>
      </c>
      <c r="D137" s="1191" t="s">
        <v>8847</v>
      </c>
      <c r="E137" s="1192"/>
      <c r="F137" s="1193"/>
      <c r="G137" s="656" t="s">
        <v>649</v>
      </c>
      <c r="H137" s="672">
        <f>540.08/3.32</f>
        <v>162.67469879518075</v>
      </c>
      <c r="I137" s="672">
        <f>644.06/3.32</f>
        <v>193.99397590361446</v>
      </c>
      <c r="J137" s="672">
        <v>190.28</v>
      </c>
      <c r="K137" s="672"/>
      <c r="L137" s="801">
        <f t="shared" ref="L137" si="10">IF(H137&lt;&gt;"",AVERAGE(H137:K137)," ")</f>
        <v>182.31622489959841</v>
      </c>
      <c r="M137" s="770"/>
      <c r="O137" s="796"/>
      <c r="P137" s="797"/>
    </row>
    <row r="138" spans="1:16" ht="15.75" thickBot="1"/>
    <row r="139" spans="1:16" ht="15.75" thickBot="1">
      <c r="H139" s="774" t="s">
        <v>6851</v>
      </c>
      <c r="I139" s="775" t="s">
        <v>6852</v>
      </c>
      <c r="J139" s="775" t="s">
        <v>6853</v>
      </c>
      <c r="K139" s="775"/>
      <c r="L139" s="1194" t="s">
        <v>6854</v>
      </c>
      <c r="O139" s="773"/>
    </row>
    <row r="140" spans="1:16">
      <c r="F140" s="776" t="s">
        <v>6855</v>
      </c>
      <c r="G140" s="777"/>
      <c r="H140" s="765" t="s">
        <v>8383</v>
      </c>
      <c r="I140" s="765" t="s">
        <v>8383</v>
      </c>
      <c r="J140" s="765" t="s">
        <v>8383</v>
      </c>
      <c r="K140" s="765"/>
      <c r="L140" s="1195"/>
      <c r="M140" s="780"/>
      <c r="O140" s="773"/>
    </row>
    <row r="141" spans="1:16">
      <c r="F141" s="781" t="s">
        <v>6856</v>
      </c>
      <c r="G141" s="782"/>
      <c r="H141" s="779" t="s">
        <v>8894</v>
      </c>
      <c r="I141" s="779" t="s">
        <v>14533</v>
      </c>
      <c r="J141" s="779"/>
      <c r="K141" s="779"/>
      <c r="L141" s="1195"/>
      <c r="M141" s="780"/>
      <c r="O141" s="783"/>
      <c r="P141" s="783"/>
    </row>
    <row r="142" spans="1:16">
      <c r="E142" s="784"/>
      <c r="F142" s="781" t="s">
        <v>6857</v>
      </c>
      <c r="G142" s="782"/>
      <c r="H142" s="785" t="s">
        <v>8896</v>
      </c>
      <c r="I142" s="786"/>
      <c r="J142" s="786"/>
      <c r="K142" s="786"/>
      <c r="L142" s="1195"/>
      <c r="O142" s="658"/>
      <c r="P142" s="658"/>
    </row>
    <row r="143" spans="1:16" ht="15.75" thickBot="1">
      <c r="E143" s="784"/>
      <c r="F143" s="798" t="s">
        <v>6858</v>
      </c>
      <c r="G143" s="799"/>
      <c r="H143" s="790" t="s">
        <v>8895</v>
      </c>
      <c r="I143" s="790" t="s">
        <v>14534</v>
      </c>
      <c r="J143" s="810"/>
      <c r="K143" s="810"/>
      <c r="L143" s="1202"/>
      <c r="O143" s="658"/>
      <c r="P143" s="658"/>
    </row>
    <row r="144" spans="1:16" ht="15.75" thickBot="1">
      <c r="C144" s="792" t="s">
        <v>904</v>
      </c>
      <c r="D144" s="1196" t="s">
        <v>6859</v>
      </c>
      <c r="E144" s="1197"/>
      <c r="F144" s="1198"/>
      <c r="G144" s="793" t="s">
        <v>6860</v>
      </c>
      <c r="H144" s="792" t="s">
        <v>6861</v>
      </c>
      <c r="I144" s="792" t="s">
        <v>6861</v>
      </c>
      <c r="J144" s="792" t="s">
        <v>6861</v>
      </c>
      <c r="K144" s="792"/>
      <c r="L144" s="794"/>
      <c r="O144" s="659"/>
      <c r="P144" s="659"/>
    </row>
    <row r="145" spans="1:16" s="795" customFormat="1" ht="39" customHeight="1" thickBot="1">
      <c r="A145" s="769"/>
      <c r="B145" s="770">
        <f>SUMIF(CPU!$E$11:$E$1943,COTAÇÕES!$C145,CPU!$B$11:$B$1943)</f>
        <v>0</v>
      </c>
      <c r="C145" s="850" t="s">
        <v>9042</v>
      </c>
      <c r="D145" s="1191" t="s">
        <v>8588</v>
      </c>
      <c r="E145" s="1192"/>
      <c r="F145" s="1193"/>
      <c r="G145" s="656" t="s">
        <v>649</v>
      </c>
      <c r="H145" s="672">
        <v>595.29999999999995</v>
      </c>
      <c r="I145" s="672">
        <f>204.72/(0.6*0.6)</f>
        <v>568.66666666666663</v>
      </c>
      <c r="J145" s="672"/>
      <c r="K145" s="672"/>
      <c r="L145" s="801">
        <f t="shared" ref="L145" si="11">IF(H145&lt;&gt;"",AVERAGE(H145:K145)," ")</f>
        <v>581.98333333333335</v>
      </c>
      <c r="M145" s="796"/>
      <c r="O145" s="796"/>
      <c r="P145" s="797"/>
    </row>
    <row r="146" spans="1:16" ht="15.75" thickBot="1"/>
    <row r="147" spans="1:16" ht="15.75" thickBot="1">
      <c r="H147" s="774" t="s">
        <v>6851</v>
      </c>
      <c r="I147" s="775" t="s">
        <v>6852</v>
      </c>
      <c r="J147" s="775" t="s">
        <v>6853</v>
      </c>
      <c r="K147" s="775"/>
      <c r="L147" s="1194" t="s">
        <v>6854</v>
      </c>
      <c r="O147" s="773"/>
    </row>
    <row r="148" spans="1:16">
      <c r="F148" s="776" t="s">
        <v>6855</v>
      </c>
      <c r="G148" s="777"/>
      <c r="H148" s="765" t="s">
        <v>8383</v>
      </c>
      <c r="I148" s="765" t="s">
        <v>8383</v>
      </c>
      <c r="J148" s="765" t="s">
        <v>8383</v>
      </c>
      <c r="K148" s="765"/>
      <c r="L148" s="1195"/>
      <c r="M148" s="780"/>
      <c r="O148" s="773"/>
    </row>
    <row r="149" spans="1:16">
      <c r="F149" s="781" t="s">
        <v>6856</v>
      </c>
      <c r="G149" s="782"/>
      <c r="H149" s="779" t="s">
        <v>8603</v>
      </c>
      <c r="I149" s="779" t="s">
        <v>8810</v>
      </c>
      <c r="J149" s="779" t="s">
        <v>8812</v>
      </c>
      <c r="K149" s="779"/>
      <c r="L149" s="1195"/>
      <c r="M149" s="780"/>
      <c r="O149" s="783"/>
      <c r="P149" s="783"/>
    </row>
    <row r="150" spans="1:16">
      <c r="E150" s="784"/>
      <c r="F150" s="781" t="s">
        <v>6857</v>
      </c>
      <c r="G150" s="782"/>
      <c r="H150" s="785"/>
      <c r="I150" s="786"/>
      <c r="J150" s="786"/>
      <c r="K150" s="786"/>
      <c r="L150" s="1195"/>
      <c r="O150" s="658"/>
      <c r="P150" s="658"/>
    </row>
    <row r="151" spans="1:16" ht="15.75" thickBot="1">
      <c r="E151" s="784"/>
      <c r="F151" s="798" t="s">
        <v>6858</v>
      </c>
      <c r="G151" s="799"/>
      <c r="H151" s="790" t="s">
        <v>8602</v>
      </c>
      <c r="I151" s="790" t="s">
        <v>8811</v>
      </c>
      <c r="J151" s="810" t="s">
        <v>8813</v>
      </c>
      <c r="K151" s="810"/>
      <c r="L151" s="1202"/>
      <c r="O151" s="658"/>
      <c r="P151" s="658"/>
    </row>
    <row r="152" spans="1:16" ht="15.75" thickBot="1">
      <c r="C152" s="792" t="s">
        <v>904</v>
      </c>
      <c r="D152" s="1196" t="s">
        <v>6859</v>
      </c>
      <c r="E152" s="1197"/>
      <c r="F152" s="1198"/>
      <c r="G152" s="793" t="s">
        <v>6860</v>
      </c>
      <c r="H152" s="792" t="s">
        <v>6861</v>
      </c>
      <c r="I152" s="792" t="s">
        <v>6861</v>
      </c>
      <c r="J152" s="792" t="s">
        <v>6861</v>
      </c>
      <c r="K152" s="792"/>
      <c r="L152" s="794"/>
      <c r="O152" s="659"/>
      <c r="P152" s="659"/>
    </row>
    <row r="153" spans="1:16" s="795" customFormat="1" ht="39" customHeight="1" thickBot="1">
      <c r="A153" s="769"/>
      <c r="B153" s="770">
        <f>SUMIF(CPU!$E$11:$E$1943,COTAÇÕES!$C153,CPU!$B$11:$B$1943)</f>
        <v>30.56</v>
      </c>
      <c r="C153" s="850" t="s">
        <v>9043</v>
      </c>
      <c r="D153" s="1191" t="s">
        <v>8601</v>
      </c>
      <c r="E153" s="1192"/>
      <c r="F153" s="1193"/>
      <c r="G153" s="656" t="s">
        <v>649</v>
      </c>
      <c r="H153" s="672">
        <v>155.83000000000001</v>
      </c>
      <c r="I153" s="672">
        <v>183.33</v>
      </c>
      <c r="J153" s="672">
        <v>127.92</v>
      </c>
      <c r="K153" s="672"/>
      <c r="L153" s="801">
        <f t="shared" ref="L153" si="12">IF(H153&lt;&gt;"",AVERAGE(H153:K153)," ")</f>
        <v>155.69333333333336</v>
      </c>
      <c r="M153" s="770"/>
      <c r="O153" s="796"/>
      <c r="P153" s="797"/>
    </row>
    <row r="155" spans="1:16" ht="15.75" thickBot="1"/>
    <row r="156" spans="1:16" ht="15.75" thickBot="1">
      <c r="H156" s="774" t="s">
        <v>6851</v>
      </c>
      <c r="I156" s="775" t="s">
        <v>6852</v>
      </c>
      <c r="J156" s="775" t="s">
        <v>6853</v>
      </c>
      <c r="K156" s="775"/>
      <c r="L156" s="1194" t="s">
        <v>6854</v>
      </c>
      <c r="O156" s="773"/>
    </row>
    <row r="157" spans="1:16">
      <c r="F157" s="776" t="s">
        <v>6855</v>
      </c>
      <c r="G157" s="777"/>
      <c r="H157" s="765" t="s">
        <v>8383</v>
      </c>
      <c r="I157" s="765" t="s">
        <v>8383</v>
      </c>
      <c r="J157" s="765" t="s">
        <v>8383</v>
      </c>
      <c r="K157" s="765"/>
      <c r="L157" s="1195"/>
      <c r="M157" s="780"/>
      <c r="O157" s="773"/>
    </row>
    <row r="158" spans="1:16">
      <c r="F158" s="781" t="s">
        <v>6856</v>
      </c>
      <c r="G158" s="782"/>
      <c r="H158" s="779" t="s">
        <v>8843</v>
      </c>
      <c r="I158" s="779" t="s">
        <v>8838</v>
      </c>
      <c r="J158" s="779" t="s">
        <v>8840</v>
      </c>
      <c r="K158" s="779"/>
      <c r="L158" s="1195"/>
      <c r="M158" s="780"/>
      <c r="O158" s="783"/>
      <c r="P158" s="783"/>
    </row>
    <row r="159" spans="1:16">
      <c r="E159" s="784"/>
      <c r="F159" s="781" t="s">
        <v>6857</v>
      </c>
      <c r="G159" s="782"/>
      <c r="H159" s="786"/>
      <c r="I159" s="786"/>
      <c r="J159" s="786"/>
      <c r="K159" s="786"/>
      <c r="L159" s="1195"/>
      <c r="O159" s="658"/>
      <c r="P159" s="658"/>
    </row>
    <row r="160" spans="1:16" ht="15.75" thickBot="1">
      <c r="E160" s="784"/>
      <c r="F160" s="798" t="s">
        <v>6858</v>
      </c>
      <c r="G160" s="799"/>
      <c r="H160" s="810" t="s">
        <v>8842</v>
      </c>
      <c r="I160" s="790" t="s">
        <v>8839</v>
      </c>
      <c r="J160" s="810" t="s">
        <v>8841</v>
      </c>
      <c r="K160" s="810"/>
      <c r="L160" s="1202"/>
      <c r="O160" s="658"/>
      <c r="P160" s="658"/>
    </row>
    <row r="161" spans="1:16" ht="15.75" thickBot="1">
      <c r="C161" s="792" t="s">
        <v>904</v>
      </c>
      <c r="D161" s="1196" t="s">
        <v>6859</v>
      </c>
      <c r="E161" s="1197"/>
      <c r="F161" s="1198"/>
      <c r="G161" s="793" t="s">
        <v>6860</v>
      </c>
      <c r="H161" s="792"/>
      <c r="I161" s="792" t="s">
        <v>6861</v>
      </c>
      <c r="J161" s="792" t="s">
        <v>6861</v>
      </c>
      <c r="K161" s="792"/>
      <c r="L161" s="794"/>
      <c r="O161" s="659"/>
      <c r="P161" s="659"/>
    </row>
    <row r="162" spans="1:16" s="795" customFormat="1" ht="39" customHeight="1" thickBot="1">
      <c r="A162" s="769"/>
      <c r="B162" s="770">
        <f>SUMIF(CPU!$E$11:$E$1943,COTAÇÕES!$C162,CPU!$B$11:$B$1943)</f>
        <v>8.51</v>
      </c>
      <c r="C162" s="850" t="s">
        <v>9044</v>
      </c>
      <c r="D162" s="1191" t="s">
        <v>8624</v>
      </c>
      <c r="E162" s="1192"/>
      <c r="F162" s="1193"/>
      <c r="G162" s="656" t="s">
        <v>648</v>
      </c>
      <c r="H162" s="672">
        <f>98.7/3</f>
        <v>32.9</v>
      </c>
      <c r="I162" s="672">
        <f>49.69/3</f>
        <v>16.563333333333333</v>
      </c>
      <c r="J162" s="672">
        <f>61.59/3</f>
        <v>20.53</v>
      </c>
      <c r="K162" s="672"/>
      <c r="L162" s="801">
        <f t="shared" ref="L162" si="13">IF(H162&lt;&gt;"",AVERAGE(H162:K162)," ")</f>
        <v>23.331111111111113</v>
      </c>
      <c r="M162" s="770"/>
      <c r="O162" s="796"/>
      <c r="P162" s="797"/>
    </row>
    <row r="163" spans="1:16" ht="15.75" thickBot="1">
      <c r="J163" s="821"/>
      <c r="K163" s="821"/>
      <c r="L163" s="769"/>
      <c r="O163" s="773"/>
    </row>
    <row r="164" spans="1:16" ht="15.75" thickBot="1">
      <c r="H164" s="774" t="s">
        <v>6851</v>
      </c>
      <c r="I164" s="775" t="s">
        <v>6852</v>
      </c>
      <c r="J164" s="775" t="s">
        <v>6853</v>
      </c>
      <c r="K164" s="775"/>
      <c r="L164" s="1194" t="s">
        <v>6854</v>
      </c>
      <c r="O164" s="773"/>
    </row>
    <row r="165" spans="1:16">
      <c r="F165" s="776" t="s">
        <v>6855</v>
      </c>
      <c r="G165" s="777"/>
      <c r="H165" s="778" t="s">
        <v>6948</v>
      </c>
      <c r="I165" s="778" t="s">
        <v>7579</v>
      </c>
      <c r="J165" s="778" t="s">
        <v>7579</v>
      </c>
      <c r="K165" s="778"/>
      <c r="L165" s="1195"/>
      <c r="M165" s="780"/>
      <c r="O165" s="773"/>
    </row>
    <row r="166" spans="1:16">
      <c r="F166" s="781" t="s">
        <v>6856</v>
      </c>
      <c r="G166" s="782"/>
      <c r="H166" s="779" t="s">
        <v>7177</v>
      </c>
      <c r="I166" s="779" t="s">
        <v>7592</v>
      </c>
      <c r="J166" s="779" t="s">
        <v>7623</v>
      </c>
      <c r="K166" s="779"/>
      <c r="L166" s="1195"/>
      <c r="M166" s="780"/>
      <c r="O166" s="783"/>
      <c r="P166" s="783"/>
    </row>
    <row r="167" spans="1:16">
      <c r="E167" s="784"/>
      <c r="F167" s="781" t="s">
        <v>6857</v>
      </c>
      <c r="G167" s="782"/>
      <c r="H167" s="785"/>
      <c r="I167" s="786" t="s">
        <v>7594</v>
      </c>
      <c r="J167" s="786"/>
      <c r="K167" s="786"/>
      <c r="L167" s="1195"/>
      <c r="O167" s="658"/>
      <c r="P167" s="658"/>
    </row>
    <row r="168" spans="1:16" ht="15.75" thickBot="1">
      <c r="E168" s="784"/>
      <c r="F168" s="798" t="s">
        <v>6858</v>
      </c>
      <c r="G168" s="799"/>
      <c r="H168" s="800" t="s">
        <v>7178</v>
      </c>
      <c r="I168" s="800" t="s">
        <v>7593</v>
      </c>
      <c r="J168" s="802" t="s">
        <v>7624</v>
      </c>
      <c r="K168" s="802"/>
      <c r="L168" s="1202"/>
      <c r="O168" s="658"/>
      <c r="P168" s="658"/>
    </row>
    <row r="169" spans="1:16" ht="15.75" thickBot="1">
      <c r="C169" s="792" t="s">
        <v>904</v>
      </c>
      <c r="D169" s="1196" t="s">
        <v>6859</v>
      </c>
      <c r="E169" s="1197"/>
      <c r="F169" s="1198"/>
      <c r="G169" s="793" t="s">
        <v>6860</v>
      </c>
      <c r="H169" s="792" t="s">
        <v>6861</v>
      </c>
      <c r="I169" s="792" t="s">
        <v>6861</v>
      </c>
      <c r="J169" s="792" t="s">
        <v>6861</v>
      </c>
      <c r="K169" s="792"/>
      <c r="L169" s="794"/>
      <c r="O169" s="659"/>
      <c r="P169" s="659"/>
    </row>
    <row r="170" spans="1:16" s="795" customFormat="1" ht="15.75" customHeight="1" thickBot="1">
      <c r="A170" s="769"/>
      <c r="B170" s="770">
        <f>SUMIF(CPU!$E$11:$E$1943,COTAÇÕES!$C170,CPU!$B$11:$B$1943)</f>
        <v>110.96</v>
      </c>
      <c r="C170" s="768" t="s">
        <v>9045</v>
      </c>
      <c r="D170" s="1203" t="s">
        <v>7176</v>
      </c>
      <c r="E170" s="1204"/>
      <c r="F170" s="1205"/>
      <c r="G170" s="656" t="s">
        <v>649</v>
      </c>
      <c r="H170" s="672">
        <v>92.5</v>
      </c>
      <c r="I170" s="657">
        <f>4.3/(0.3*0.3)</f>
        <v>47.777777777777779</v>
      </c>
      <c r="J170" s="657">
        <f>4.9/(0.3*0.3)</f>
        <v>54.44444444444445</v>
      </c>
      <c r="K170" s="812"/>
      <c r="L170" s="801">
        <f t="shared" ref="L170" si="14">IF(H170&lt;&gt;"",AVERAGE(H170:K170)," ")</f>
        <v>64.907407407407405</v>
      </c>
      <c r="O170" s="796"/>
      <c r="P170" s="797"/>
    </row>
    <row r="172" spans="1:16" ht="15.75" thickBot="1">
      <c r="I172" s="770"/>
      <c r="K172" s="770"/>
      <c r="L172" s="769"/>
      <c r="O172" s="773"/>
    </row>
    <row r="173" spans="1:16" ht="15.75" thickBot="1">
      <c r="H173" s="774" t="s">
        <v>6851</v>
      </c>
      <c r="I173" s="775" t="s">
        <v>6852</v>
      </c>
      <c r="J173" s="775" t="s">
        <v>6853</v>
      </c>
      <c r="K173" s="775"/>
      <c r="L173" s="1194" t="s">
        <v>6854</v>
      </c>
      <c r="O173" s="773"/>
    </row>
    <row r="174" spans="1:16">
      <c r="F174" s="776" t="s">
        <v>6855</v>
      </c>
      <c r="G174" s="777"/>
      <c r="H174" s="765" t="s">
        <v>8383</v>
      </c>
      <c r="I174" s="765" t="s">
        <v>8383</v>
      </c>
      <c r="J174" s="765" t="s">
        <v>8383</v>
      </c>
      <c r="K174" s="765"/>
      <c r="L174" s="1195"/>
      <c r="M174" s="780"/>
      <c r="O174" s="773"/>
    </row>
    <row r="175" spans="1:16">
      <c r="F175" s="781" t="s">
        <v>6856</v>
      </c>
      <c r="G175" s="782"/>
      <c r="H175" s="779" t="s">
        <v>9153</v>
      </c>
      <c r="I175" s="779" t="s">
        <v>6891</v>
      </c>
      <c r="J175" s="779" t="s">
        <v>9156</v>
      </c>
      <c r="K175" s="779"/>
      <c r="L175" s="1195"/>
      <c r="M175" s="780"/>
      <c r="O175" s="783"/>
      <c r="P175" s="783"/>
    </row>
    <row r="176" spans="1:16">
      <c r="E176" s="784"/>
      <c r="F176" s="781" t="s">
        <v>6857</v>
      </c>
      <c r="G176" s="782"/>
      <c r="H176" s="785"/>
      <c r="I176" s="786"/>
      <c r="J176" s="786"/>
      <c r="K176" s="786"/>
      <c r="L176" s="1195"/>
      <c r="O176" s="658"/>
      <c r="P176" s="658"/>
    </row>
    <row r="177" spans="1:16" ht="15.75" thickBot="1">
      <c r="E177" s="784"/>
      <c r="F177" s="798" t="s">
        <v>6858</v>
      </c>
      <c r="G177" s="799"/>
      <c r="H177" s="790" t="s">
        <v>9154</v>
      </c>
      <c r="I177" s="790" t="s">
        <v>9155</v>
      </c>
      <c r="J177" s="790" t="s">
        <v>9157</v>
      </c>
      <c r="K177" s="810"/>
      <c r="L177" s="1202"/>
      <c r="O177" s="658"/>
      <c r="P177" s="658"/>
    </row>
    <row r="178" spans="1:16" ht="15.75" thickBot="1">
      <c r="C178" s="792" t="s">
        <v>904</v>
      </c>
      <c r="D178" s="1196" t="s">
        <v>6859</v>
      </c>
      <c r="E178" s="1197"/>
      <c r="F178" s="1198"/>
      <c r="G178" s="793" t="s">
        <v>6860</v>
      </c>
      <c r="H178" s="792" t="s">
        <v>6861</v>
      </c>
      <c r="I178" s="792" t="s">
        <v>6861</v>
      </c>
      <c r="J178" s="792" t="s">
        <v>6861</v>
      </c>
      <c r="K178" s="792"/>
      <c r="L178" s="794"/>
      <c r="O178" s="659"/>
      <c r="P178" s="659"/>
    </row>
    <row r="179" spans="1:16" s="795" customFormat="1" ht="15.75" thickBot="1">
      <c r="A179" s="769"/>
      <c r="B179" s="770">
        <f>SUMIF(CPU!$E$11:$E$1943,COTAÇÕES!$C179,CPU!$B$11:$B$1943)</f>
        <v>491.46</v>
      </c>
      <c r="C179" s="850" t="s">
        <v>9046</v>
      </c>
      <c r="D179" s="1191" t="s">
        <v>9151</v>
      </c>
      <c r="E179" s="1192"/>
      <c r="F179" s="1193"/>
      <c r="G179" s="656" t="s">
        <v>648</v>
      </c>
      <c r="H179" s="672">
        <v>15.84</v>
      </c>
      <c r="I179" s="672">
        <f>538.68/40</f>
        <v>13.466999999999999</v>
      </c>
      <c r="J179" s="672">
        <v>17.899999999999999</v>
      </c>
      <c r="K179" s="672"/>
      <c r="L179" s="801">
        <f t="shared" ref="L179" si="15">IF(H179&lt;&gt;"",AVERAGE(H179:K179)," ")</f>
        <v>15.735666666666665</v>
      </c>
      <c r="M179" s="770"/>
      <c r="O179" s="796"/>
      <c r="P179" s="797"/>
    </row>
    <row r="180" spans="1:16" ht="15.75" thickBot="1">
      <c r="H180" s="769" t="s">
        <v>7648</v>
      </c>
      <c r="I180" s="769" t="s">
        <v>7648</v>
      </c>
      <c r="O180" s="773"/>
    </row>
    <row r="181" spans="1:16" ht="15.75" thickBot="1">
      <c r="H181" s="774" t="s">
        <v>6851</v>
      </c>
      <c r="I181" s="775" t="s">
        <v>6852</v>
      </c>
      <c r="J181" s="775" t="s">
        <v>6853</v>
      </c>
      <c r="K181" s="775"/>
      <c r="L181" s="1194" t="s">
        <v>6854</v>
      </c>
      <c r="O181" s="773"/>
    </row>
    <row r="182" spans="1:16">
      <c r="F182" s="776" t="s">
        <v>6855</v>
      </c>
      <c r="G182" s="777"/>
      <c r="H182" s="765">
        <v>44762</v>
      </c>
      <c r="I182" s="765">
        <v>44762</v>
      </c>
      <c r="J182" s="778"/>
      <c r="K182" s="778"/>
      <c r="L182" s="1195"/>
      <c r="M182" s="815"/>
      <c r="N182" s="815"/>
      <c r="O182" s="773"/>
    </row>
    <row r="183" spans="1:16">
      <c r="F183" s="781" t="s">
        <v>6856</v>
      </c>
      <c r="G183" s="782"/>
      <c r="H183" s="820" t="s">
        <v>7644</v>
      </c>
      <c r="I183" s="817" t="s">
        <v>7645</v>
      </c>
      <c r="J183" s="820"/>
      <c r="K183" s="820"/>
      <c r="L183" s="1195"/>
      <c r="O183" s="783"/>
      <c r="P183" s="783"/>
    </row>
    <row r="184" spans="1:16">
      <c r="E184" s="784"/>
      <c r="F184" s="781" t="s">
        <v>6857</v>
      </c>
      <c r="G184" s="782"/>
      <c r="H184" s="817" t="s">
        <v>7649</v>
      </c>
      <c r="I184" s="809"/>
      <c r="J184" s="817"/>
      <c r="K184" s="809"/>
      <c r="L184" s="1195"/>
      <c r="O184" s="658"/>
      <c r="P184" s="658"/>
    </row>
    <row r="185" spans="1:16" ht="15.75" thickBot="1">
      <c r="E185" s="784"/>
      <c r="F185" s="798" t="s">
        <v>6858</v>
      </c>
      <c r="G185" s="799"/>
      <c r="H185" s="790" t="s">
        <v>7646</v>
      </c>
      <c r="I185" s="786" t="s">
        <v>7650</v>
      </c>
      <c r="J185" s="790"/>
      <c r="K185" s="786"/>
      <c r="L185" s="1195"/>
      <c r="O185" s="658"/>
      <c r="P185" s="658"/>
    </row>
    <row r="186" spans="1:16" ht="15.75" thickBot="1">
      <c r="C186" s="792" t="s">
        <v>904</v>
      </c>
      <c r="D186" s="1196" t="s">
        <v>6859</v>
      </c>
      <c r="E186" s="1197"/>
      <c r="F186" s="1198"/>
      <c r="G186" s="793" t="s">
        <v>6860</v>
      </c>
      <c r="H186" s="792" t="s">
        <v>6861</v>
      </c>
      <c r="I186" s="792" t="s">
        <v>6861</v>
      </c>
      <c r="J186" s="792" t="s">
        <v>6861</v>
      </c>
      <c r="K186" s="792"/>
      <c r="L186" s="794"/>
      <c r="O186" s="659"/>
      <c r="P186" s="659"/>
    </row>
    <row r="187" spans="1:16" s="795" customFormat="1" ht="33" customHeight="1" thickBot="1">
      <c r="A187" s="769"/>
      <c r="B187" s="770">
        <f>SUMIF(CPU!$E$11:$E$1943,COTAÇÕES!$C187,CPU!$B$11:$B$1943)</f>
        <v>122.9</v>
      </c>
      <c r="C187" s="850" t="s">
        <v>9131</v>
      </c>
      <c r="D187" s="1207" t="s">
        <v>7647</v>
      </c>
      <c r="E187" s="1208"/>
      <c r="F187" s="1209"/>
      <c r="G187" s="656" t="s">
        <v>644</v>
      </c>
      <c r="H187" s="672">
        <v>15</v>
      </c>
      <c r="I187" s="672">
        <v>15</v>
      </c>
      <c r="J187" s="672"/>
      <c r="K187" s="813"/>
      <c r="L187" s="801">
        <f t="shared" ref="L187" si="16">IF(H187&lt;&gt;"",AVERAGE(H187:K187)," ")</f>
        <v>15</v>
      </c>
      <c r="O187" s="796"/>
      <c r="P187" s="797"/>
    </row>
    <row r="188" spans="1:16" ht="15.75" thickBot="1"/>
    <row r="189" spans="1:16" ht="15.75" thickBot="1">
      <c r="H189" s="774" t="s">
        <v>6851</v>
      </c>
      <c r="I189" s="775" t="s">
        <v>6852</v>
      </c>
      <c r="J189" s="775" t="s">
        <v>6853</v>
      </c>
      <c r="K189" s="775"/>
      <c r="L189" s="1194" t="s">
        <v>6854</v>
      </c>
      <c r="O189" s="773"/>
    </row>
    <row r="190" spans="1:16">
      <c r="F190" s="776" t="s">
        <v>6855</v>
      </c>
      <c r="G190" s="777"/>
      <c r="H190" s="765" t="s">
        <v>8383</v>
      </c>
      <c r="I190" s="765" t="s">
        <v>8383</v>
      </c>
      <c r="J190" s="765" t="s">
        <v>8383</v>
      </c>
      <c r="K190" s="765"/>
      <c r="L190" s="1195"/>
      <c r="M190" s="780"/>
      <c r="O190" s="773"/>
    </row>
    <row r="191" spans="1:16">
      <c r="F191" s="781" t="s">
        <v>6856</v>
      </c>
      <c r="G191" s="782"/>
      <c r="H191" s="822" t="s">
        <v>8894</v>
      </c>
      <c r="I191" s="779"/>
      <c r="J191" s="779"/>
      <c r="K191" s="779"/>
      <c r="L191" s="1195"/>
      <c r="M191" s="780"/>
      <c r="O191" s="783"/>
      <c r="P191" s="783"/>
    </row>
    <row r="192" spans="1:16">
      <c r="E192" s="784"/>
      <c r="F192" s="781" t="s">
        <v>6857</v>
      </c>
      <c r="G192" s="782"/>
      <c r="H192" s="785" t="s">
        <v>8896</v>
      </c>
      <c r="I192" s="786"/>
      <c r="J192" s="786"/>
      <c r="K192" s="786"/>
      <c r="L192" s="1195"/>
      <c r="O192" s="658"/>
      <c r="P192" s="658"/>
    </row>
    <row r="193" spans="1:16" ht="15.75" thickBot="1">
      <c r="E193" s="784"/>
      <c r="F193" s="798" t="s">
        <v>6858</v>
      </c>
      <c r="G193" s="799"/>
      <c r="H193" s="790" t="s">
        <v>8895</v>
      </c>
      <c r="I193" s="790"/>
      <c r="J193" s="810"/>
      <c r="K193" s="810"/>
      <c r="L193" s="1202"/>
      <c r="O193" s="658"/>
      <c r="P193" s="658"/>
    </row>
    <row r="194" spans="1:16" ht="15.75" thickBot="1">
      <c r="C194" s="792" t="s">
        <v>904</v>
      </c>
      <c r="D194" s="1196" t="s">
        <v>6859</v>
      </c>
      <c r="E194" s="1197"/>
      <c r="F194" s="1198"/>
      <c r="G194" s="793" t="s">
        <v>6860</v>
      </c>
      <c r="H194" s="792" t="s">
        <v>6861</v>
      </c>
      <c r="I194" s="792" t="s">
        <v>6861</v>
      </c>
      <c r="J194" s="792" t="s">
        <v>6861</v>
      </c>
      <c r="K194" s="792"/>
      <c r="L194" s="794"/>
      <c r="O194" s="659"/>
      <c r="P194" s="659"/>
    </row>
    <row r="195" spans="1:16" s="795" customFormat="1" ht="40.5" customHeight="1" thickBot="1">
      <c r="A195" s="769"/>
      <c r="B195" s="770">
        <f>SUMIF(CPU!$E$11:$E$1943,COTAÇÕES!$C195,CPU!$B$11:$B$1943)</f>
        <v>464.8</v>
      </c>
      <c r="C195" s="850" t="s">
        <v>9133</v>
      </c>
      <c r="D195" s="1191" t="s">
        <v>8897</v>
      </c>
      <c r="E195" s="1192"/>
      <c r="F195" s="1193"/>
      <c r="G195" s="656" t="s">
        <v>649</v>
      </c>
      <c r="H195" s="672">
        <v>209.6</v>
      </c>
      <c r="I195" s="672"/>
      <c r="J195" s="672"/>
      <c r="K195" s="672"/>
      <c r="L195" s="801">
        <f t="shared" ref="L195" si="17">IF(H195&lt;&gt;"",AVERAGE(H195:K195)," ")</f>
        <v>209.6</v>
      </c>
      <c r="M195" s="770"/>
      <c r="O195" s="796"/>
      <c r="P195" s="797"/>
    </row>
    <row r="196" spans="1:16" ht="15.75" thickBot="1"/>
    <row r="197" spans="1:16" ht="15.75" thickBot="1">
      <c r="H197" s="774" t="s">
        <v>6851</v>
      </c>
      <c r="I197" s="775" t="s">
        <v>6852</v>
      </c>
      <c r="J197" s="775" t="s">
        <v>6853</v>
      </c>
      <c r="K197" s="775"/>
      <c r="L197" s="1194" t="s">
        <v>6854</v>
      </c>
      <c r="O197" s="773"/>
    </row>
    <row r="198" spans="1:16">
      <c r="F198" s="776" t="s">
        <v>6855</v>
      </c>
      <c r="G198" s="777"/>
      <c r="H198" s="765" t="s">
        <v>8383</v>
      </c>
      <c r="I198" s="765" t="s">
        <v>8383</v>
      </c>
      <c r="J198" s="765" t="s">
        <v>8383</v>
      </c>
      <c r="K198" s="765"/>
      <c r="L198" s="1195"/>
      <c r="M198" s="780"/>
      <c r="O198" s="773"/>
    </row>
    <row r="199" spans="1:16" ht="24">
      <c r="F199" s="781" t="s">
        <v>6856</v>
      </c>
      <c r="G199" s="782"/>
      <c r="H199" s="822" t="s">
        <v>8885</v>
      </c>
      <c r="I199" s="779" t="s">
        <v>8888</v>
      </c>
      <c r="J199" s="779" t="s">
        <v>7521</v>
      </c>
      <c r="K199" s="779"/>
      <c r="L199" s="1195"/>
      <c r="M199" s="780"/>
      <c r="O199" s="783"/>
      <c r="P199" s="783"/>
    </row>
    <row r="200" spans="1:16">
      <c r="E200" s="784"/>
      <c r="F200" s="781" t="s">
        <v>6857</v>
      </c>
      <c r="G200" s="782"/>
      <c r="H200" s="785" t="s">
        <v>8887</v>
      </c>
      <c r="I200" s="786"/>
      <c r="J200" s="786"/>
      <c r="K200" s="786"/>
      <c r="L200" s="1195"/>
      <c r="O200" s="658"/>
      <c r="P200" s="658"/>
    </row>
    <row r="201" spans="1:16" ht="15.75" thickBot="1">
      <c r="E201" s="784"/>
      <c r="F201" s="798" t="s">
        <v>6858</v>
      </c>
      <c r="G201" s="799"/>
      <c r="H201" s="790" t="s">
        <v>8886</v>
      </c>
      <c r="I201" s="790" t="s">
        <v>8889</v>
      </c>
      <c r="J201" s="810" t="s">
        <v>8890</v>
      </c>
      <c r="K201" s="810"/>
      <c r="L201" s="1202"/>
      <c r="O201" s="658"/>
      <c r="P201" s="658"/>
    </row>
    <row r="202" spans="1:16" ht="15.75" thickBot="1">
      <c r="C202" s="792" t="s">
        <v>904</v>
      </c>
      <c r="D202" s="1196" t="s">
        <v>6859</v>
      </c>
      <c r="E202" s="1197"/>
      <c r="F202" s="1198"/>
      <c r="G202" s="793" t="s">
        <v>6860</v>
      </c>
      <c r="H202" s="792" t="s">
        <v>6861</v>
      </c>
      <c r="I202" s="792" t="s">
        <v>6861</v>
      </c>
      <c r="J202" s="792" t="s">
        <v>6861</v>
      </c>
      <c r="K202" s="792"/>
      <c r="L202" s="794"/>
      <c r="O202" s="659"/>
      <c r="P202" s="659"/>
    </row>
    <row r="203" spans="1:16" s="795" customFormat="1" ht="15.75" thickBot="1">
      <c r="A203" s="769"/>
      <c r="B203" s="770">
        <f>SUMIF(CPU!$E$11:$E$1943,COTAÇÕES!$C203,CPU!$B$11:$B$1943)</f>
        <v>79.41</v>
      </c>
      <c r="C203" s="850" t="s">
        <v>9134</v>
      </c>
      <c r="D203" s="1191" t="s">
        <v>8891</v>
      </c>
      <c r="E203" s="1192"/>
      <c r="F203" s="1193"/>
      <c r="G203" s="656" t="s">
        <v>649</v>
      </c>
      <c r="H203" s="672">
        <f>ROUND(12075/85,2)</f>
        <v>142.06</v>
      </c>
      <c r="I203" s="672">
        <v>131.99</v>
      </c>
      <c r="J203" s="672">
        <v>119.9</v>
      </c>
      <c r="K203" s="672"/>
      <c r="L203" s="801">
        <f t="shared" ref="L203" si="18">IF(H203&lt;&gt;"",AVERAGE(H203:K203)," ")</f>
        <v>131.31666666666669</v>
      </c>
      <c r="M203" s="770"/>
      <c r="O203" s="796"/>
      <c r="P203" s="797"/>
    </row>
    <row r="204" spans="1:16" ht="15.75" thickBot="1">
      <c r="I204" s="770"/>
      <c r="K204" s="770"/>
      <c r="L204" s="769"/>
      <c r="O204" s="773"/>
    </row>
    <row r="205" spans="1:16" ht="15.75" thickBot="1">
      <c r="H205" s="774" t="s">
        <v>6851</v>
      </c>
      <c r="I205" s="775" t="s">
        <v>6852</v>
      </c>
      <c r="J205" s="775" t="s">
        <v>6853</v>
      </c>
      <c r="K205" s="775"/>
      <c r="L205" s="1194" t="s">
        <v>6854</v>
      </c>
      <c r="O205" s="773"/>
    </row>
    <row r="206" spans="1:16">
      <c r="F206" s="776" t="s">
        <v>6855</v>
      </c>
      <c r="G206" s="777"/>
      <c r="H206" s="765" t="s">
        <v>8383</v>
      </c>
      <c r="I206" s="765" t="s">
        <v>8383</v>
      </c>
      <c r="J206" s="765"/>
      <c r="K206" s="765"/>
      <c r="L206" s="1195"/>
      <c r="M206" s="780"/>
      <c r="O206" s="773"/>
    </row>
    <row r="207" spans="1:16">
      <c r="F207" s="781" t="s">
        <v>6856</v>
      </c>
      <c r="G207" s="782"/>
      <c r="H207" s="779" t="s">
        <v>9268</v>
      </c>
      <c r="I207" s="779" t="s">
        <v>8474</v>
      </c>
      <c r="J207" s="779"/>
      <c r="K207" s="779"/>
      <c r="L207" s="1195"/>
      <c r="M207" s="780"/>
      <c r="O207" s="783"/>
      <c r="P207" s="783"/>
    </row>
    <row r="208" spans="1:16">
      <c r="E208" s="784"/>
      <c r="F208" s="781" t="s">
        <v>6857</v>
      </c>
      <c r="G208" s="782"/>
      <c r="H208" s="786" t="s">
        <v>9270</v>
      </c>
      <c r="I208" s="785" t="s">
        <v>9145</v>
      </c>
      <c r="J208" s="785"/>
      <c r="K208" s="786"/>
      <c r="L208" s="1195"/>
      <c r="O208" s="658"/>
      <c r="P208" s="658"/>
    </row>
    <row r="209" spans="1:16" ht="15.75" thickBot="1">
      <c r="E209" s="784"/>
      <c r="F209" s="798" t="s">
        <v>6858</v>
      </c>
      <c r="G209" s="799"/>
      <c r="H209" s="790" t="s">
        <v>9269</v>
      </c>
      <c r="I209" s="790" t="s">
        <v>9146</v>
      </c>
      <c r="J209" s="790"/>
      <c r="K209" s="810"/>
      <c r="L209" s="1195"/>
      <c r="O209" s="658"/>
      <c r="P209" s="658"/>
    </row>
    <row r="210" spans="1:16" ht="15.75" thickBot="1">
      <c r="C210" s="792" t="s">
        <v>904</v>
      </c>
      <c r="D210" s="1196" t="s">
        <v>6859</v>
      </c>
      <c r="E210" s="1197"/>
      <c r="F210" s="1198"/>
      <c r="G210" s="793" t="s">
        <v>6860</v>
      </c>
      <c r="H210" s="792" t="s">
        <v>6861</v>
      </c>
      <c r="I210" s="792" t="s">
        <v>6861</v>
      </c>
      <c r="J210" s="792" t="s">
        <v>6861</v>
      </c>
      <c r="K210" s="792"/>
      <c r="L210" s="794"/>
      <c r="M210" s="770" t="s">
        <v>9149</v>
      </c>
      <c r="O210" s="659"/>
      <c r="P210" s="659"/>
    </row>
    <row r="211" spans="1:16" s="795" customFormat="1" ht="47.25" customHeight="1" thickBot="1">
      <c r="A211" s="769"/>
      <c r="B211" s="770">
        <f>SUMIF(CPU!$E$11:$E$1943,COTAÇÕES!$C211,CPU!$B$11:$B$1943)</f>
        <v>23.85</v>
      </c>
      <c r="C211" s="850" t="s">
        <v>9140</v>
      </c>
      <c r="D211" s="1191" t="s">
        <v>9137</v>
      </c>
      <c r="E211" s="1192"/>
      <c r="F211" s="1193"/>
      <c r="G211" s="656" t="s">
        <v>648</v>
      </c>
      <c r="H211" s="672">
        <f>8640/23.85</f>
        <v>362.2641509433962</v>
      </c>
      <c r="I211" s="672">
        <f>10017/23.85</f>
        <v>420</v>
      </c>
      <c r="J211" s="672"/>
      <c r="K211" s="672"/>
      <c r="L211" s="801">
        <f t="shared" ref="L211:L215" si="19">IF(H211&lt;&gt;"",AVERAGE(H211:K211)," ")</f>
        <v>391.1320754716981</v>
      </c>
      <c r="M211" s="956">
        <v>23.85</v>
      </c>
      <c r="O211" s="796"/>
      <c r="P211" s="797"/>
    </row>
    <row r="212" spans="1:16" s="795" customFormat="1" ht="47.25" customHeight="1" thickBot="1">
      <c r="A212" s="769"/>
      <c r="B212" s="770">
        <f>SUMIF(CPU!$E$11:$E$1943,COTAÇÕES!$C212,CPU!$B$11:$B$1943)</f>
        <v>8.0500000000000007</v>
      </c>
      <c r="C212" s="850" t="s">
        <v>9141</v>
      </c>
      <c r="D212" s="1191" t="s">
        <v>9138</v>
      </c>
      <c r="E212" s="1192"/>
      <c r="F212" s="1193"/>
      <c r="G212" s="656" t="s">
        <v>648</v>
      </c>
      <c r="H212" s="672">
        <f>8600/8.05</f>
        <v>1068.3229813664595</v>
      </c>
      <c r="I212" s="672">
        <f>3438/8.05</f>
        <v>427.08074534161489</v>
      </c>
      <c r="J212" s="672"/>
      <c r="K212" s="672"/>
      <c r="L212" s="801">
        <f t="shared" si="19"/>
        <v>747.70186335403719</v>
      </c>
      <c r="M212" s="956">
        <v>8.0500000000000007</v>
      </c>
      <c r="O212" s="796"/>
      <c r="P212" s="797"/>
    </row>
    <row r="213" spans="1:16" s="795" customFormat="1" ht="47.25" customHeight="1" thickBot="1">
      <c r="A213" s="769"/>
      <c r="B213" s="770">
        <f>SUMIF(CPU!$E$11:$E$1943,COTAÇÕES!$C213,CPU!$B$11:$B$1943)</f>
        <v>26.9</v>
      </c>
      <c r="C213" s="850" t="s">
        <v>9142</v>
      </c>
      <c r="D213" s="1191" t="s">
        <v>9139</v>
      </c>
      <c r="E213" s="1192"/>
      <c r="F213" s="1193"/>
      <c r="G213" s="656" t="s">
        <v>648</v>
      </c>
      <c r="H213" s="672">
        <f>13400/26.9</f>
        <v>498.14126394052045</v>
      </c>
      <c r="I213" s="672">
        <f>14795/26.9</f>
        <v>550</v>
      </c>
      <c r="J213" s="672"/>
      <c r="K213" s="672"/>
      <c r="L213" s="801">
        <f t="shared" si="19"/>
        <v>524.07063197026025</v>
      </c>
      <c r="M213" s="956">
        <v>26.9</v>
      </c>
      <c r="O213" s="796"/>
      <c r="P213" s="797"/>
    </row>
    <row r="214" spans="1:16" s="795" customFormat="1" ht="47.25" customHeight="1" thickBot="1">
      <c r="A214" s="769"/>
      <c r="B214" s="770">
        <f>SUMIF(CPU!$E$11:$E$1943,COTAÇÕES!$C214,CPU!$B$11:$B$1943)</f>
        <v>19.899999999999999</v>
      </c>
      <c r="C214" s="850" t="s">
        <v>9143</v>
      </c>
      <c r="D214" s="1191" t="s">
        <v>9147</v>
      </c>
      <c r="E214" s="1192"/>
      <c r="F214" s="1193"/>
      <c r="G214" s="656" t="s">
        <v>648</v>
      </c>
      <c r="H214" s="672">
        <f>9940/19.9</f>
        <v>499.49748743718595</v>
      </c>
      <c r="I214" s="672">
        <f>10945/19.9</f>
        <v>550</v>
      </c>
      <c r="J214" s="672"/>
      <c r="K214" s="672"/>
      <c r="L214" s="801">
        <f t="shared" si="19"/>
        <v>524.748743718593</v>
      </c>
      <c r="M214" s="956">
        <v>19.899999999999999</v>
      </c>
      <c r="O214" s="796"/>
      <c r="P214" s="797"/>
    </row>
    <row r="215" spans="1:16" s="795" customFormat="1" ht="47.25" customHeight="1" thickBot="1">
      <c r="A215" s="769"/>
      <c r="B215" s="770">
        <f>SUMIF(CPU!$E$11:$E$1943,COTAÇÕES!$C215,CPU!$B$11:$B$1943)</f>
        <v>32.35</v>
      </c>
      <c r="C215" s="850" t="s">
        <v>9144</v>
      </c>
      <c r="D215" s="1191" t="s">
        <v>14532</v>
      </c>
      <c r="E215" s="1192"/>
      <c r="F215" s="1193"/>
      <c r="G215" s="656" t="s">
        <v>648</v>
      </c>
      <c r="H215" s="672">
        <f>50880/32.35</f>
        <v>1572.7975270479135</v>
      </c>
      <c r="I215" s="672"/>
      <c r="J215" s="672"/>
      <c r="K215" s="672"/>
      <c r="L215" s="801">
        <f t="shared" si="19"/>
        <v>1572.7975270479135</v>
      </c>
      <c r="M215" s="956">
        <v>32.35</v>
      </c>
      <c r="O215" s="796"/>
      <c r="P215" s="797"/>
    </row>
    <row r="216" spans="1:16" ht="15.75" thickBot="1">
      <c r="L216" s="769"/>
      <c r="O216" s="773"/>
    </row>
    <row r="217" spans="1:16" ht="15.75" thickBot="1">
      <c r="H217" s="774" t="s">
        <v>6851</v>
      </c>
      <c r="I217" s="775" t="s">
        <v>6852</v>
      </c>
      <c r="J217" s="775" t="s">
        <v>6853</v>
      </c>
      <c r="K217" s="775"/>
      <c r="L217" s="1194" t="s">
        <v>6854</v>
      </c>
      <c r="O217" s="773"/>
    </row>
    <row r="218" spans="1:16">
      <c r="F218" s="776" t="s">
        <v>6855</v>
      </c>
      <c r="G218" s="777"/>
      <c r="H218" s="765" t="s">
        <v>7194</v>
      </c>
      <c r="I218" s="778" t="s">
        <v>7194</v>
      </c>
      <c r="J218" s="778" t="s">
        <v>7194</v>
      </c>
      <c r="K218" s="778"/>
      <c r="L218" s="1195"/>
      <c r="M218" s="780"/>
      <c r="O218" s="773"/>
    </row>
    <row r="219" spans="1:16">
      <c r="F219" s="781" t="s">
        <v>6856</v>
      </c>
      <c r="G219" s="782"/>
      <c r="H219" s="779" t="s">
        <v>7484</v>
      </c>
      <c r="I219" s="779" t="s">
        <v>6863</v>
      </c>
      <c r="J219" s="779" t="s">
        <v>7536</v>
      </c>
      <c r="K219" s="779"/>
      <c r="L219" s="1195"/>
      <c r="M219" s="780"/>
      <c r="O219" s="783"/>
      <c r="P219" s="783"/>
    </row>
    <row r="220" spans="1:16">
      <c r="E220" s="784"/>
      <c r="F220" s="781" t="s">
        <v>6857</v>
      </c>
      <c r="G220" s="782"/>
      <c r="H220" s="785"/>
      <c r="I220" s="786"/>
      <c r="J220" s="786"/>
      <c r="K220" s="786"/>
      <c r="L220" s="1195"/>
      <c r="O220" s="658"/>
      <c r="P220" s="658"/>
    </row>
    <row r="221" spans="1:16" ht="15.75" thickBot="1">
      <c r="E221" s="784"/>
      <c r="F221" s="798" t="s">
        <v>6858</v>
      </c>
      <c r="G221" s="799"/>
      <c r="H221" s="790" t="s">
        <v>7534</v>
      </c>
      <c r="I221" s="790" t="s">
        <v>7535</v>
      </c>
      <c r="J221" s="810" t="s">
        <v>7537</v>
      </c>
      <c r="K221" s="810"/>
      <c r="L221" s="1195"/>
      <c r="O221" s="658"/>
      <c r="P221" s="658"/>
    </row>
    <row r="222" spans="1:16" ht="15.75" thickBot="1">
      <c r="C222" s="792" t="s">
        <v>904</v>
      </c>
      <c r="D222" s="1196" t="s">
        <v>6859</v>
      </c>
      <c r="E222" s="1197"/>
      <c r="F222" s="1198"/>
      <c r="G222" s="793" t="s">
        <v>6860</v>
      </c>
      <c r="H222" s="792" t="s">
        <v>6861</v>
      </c>
      <c r="I222" s="792" t="s">
        <v>6861</v>
      </c>
      <c r="J222" s="792" t="s">
        <v>6861</v>
      </c>
      <c r="K222" s="792"/>
      <c r="L222" s="794"/>
      <c r="O222" s="659"/>
      <c r="P222" s="659"/>
    </row>
    <row r="223" spans="1:16" s="795" customFormat="1" ht="25.5" customHeight="1" thickBot="1">
      <c r="A223" s="769"/>
      <c r="B223" s="770">
        <f>SUMIF(CPU!$E$11:$E$1943,COTAÇÕES!$C223,CPU!$B$11:$B$1943)</f>
        <v>10</v>
      </c>
      <c r="C223" s="850" t="s">
        <v>9047</v>
      </c>
      <c r="D223" s="1207" t="s">
        <v>7533</v>
      </c>
      <c r="E223" s="1208"/>
      <c r="F223" s="1209"/>
      <c r="G223" s="656" t="s">
        <v>646</v>
      </c>
      <c r="H223" s="657">
        <v>29.53</v>
      </c>
      <c r="I223" s="657">
        <v>28.89</v>
      </c>
      <c r="J223" s="657">
        <v>25.1</v>
      </c>
      <c r="K223" s="657"/>
      <c r="L223" s="801">
        <f t="shared" ref="L223" si="20">IF(H223&lt;&gt;"",AVERAGE(H223:K223)," ")</f>
        <v>27.840000000000003</v>
      </c>
      <c r="O223" s="796"/>
      <c r="P223" s="797"/>
    </row>
    <row r="224" spans="1:16" ht="15.75" thickBot="1">
      <c r="L224" s="769"/>
      <c r="O224" s="773"/>
    </row>
    <row r="225" spans="1:16" ht="15.75" thickBot="1">
      <c r="H225" s="774" t="s">
        <v>6851</v>
      </c>
      <c r="I225" s="775" t="s">
        <v>6852</v>
      </c>
      <c r="J225" s="775" t="s">
        <v>6853</v>
      </c>
      <c r="K225" s="775"/>
      <c r="L225" s="1194" t="s">
        <v>6854</v>
      </c>
      <c r="O225" s="773"/>
    </row>
    <row r="226" spans="1:16">
      <c r="F226" s="776" t="s">
        <v>6855</v>
      </c>
      <c r="G226" s="777"/>
      <c r="H226" s="765" t="s">
        <v>7194</v>
      </c>
      <c r="I226" s="778" t="s">
        <v>7194</v>
      </c>
      <c r="J226" s="778" t="s">
        <v>7194</v>
      </c>
      <c r="K226" s="778"/>
      <c r="L226" s="1195"/>
      <c r="M226" s="780"/>
      <c r="O226" s="773"/>
    </row>
    <row r="227" spans="1:16">
      <c r="F227" s="781" t="s">
        <v>6856</v>
      </c>
      <c r="G227" s="782"/>
      <c r="H227" s="779" t="s">
        <v>7503</v>
      </c>
      <c r="I227" s="779" t="s">
        <v>7504</v>
      </c>
      <c r="J227" s="779" t="s">
        <v>7507</v>
      </c>
      <c r="K227" s="779"/>
      <c r="L227" s="1195"/>
      <c r="M227" s="780"/>
      <c r="O227" s="783"/>
      <c r="P227" s="783"/>
    </row>
    <row r="228" spans="1:16">
      <c r="E228" s="784"/>
      <c r="F228" s="781" t="s">
        <v>6857</v>
      </c>
      <c r="G228" s="782"/>
      <c r="H228" s="785"/>
      <c r="I228" s="786"/>
      <c r="J228" s="786"/>
      <c r="K228" s="786"/>
      <c r="L228" s="1195"/>
      <c r="O228" s="658"/>
      <c r="P228" s="658"/>
    </row>
    <row r="229" spans="1:16" ht="15.75" thickBot="1">
      <c r="E229" s="784"/>
      <c r="F229" s="798" t="s">
        <v>6858</v>
      </c>
      <c r="G229" s="799"/>
      <c r="H229" s="790" t="s">
        <v>7506</v>
      </c>
      <c r="I229" s="790"/>
      <c r="J229" s="810" t="s">
        <v>7508</v>
      </c>
      <c r="K229" s="810"/>
      <c r="L229" s="1195"/>
      <c r="O229" s="658"/>
      <c r="P229" s="658"/>
    </row>
    <row r="230" spans="1:16" ht="15.75" thickBot="1">
      <c r="C230" s="792" t="s">
        <v>904</v>
      </c>
      <c r="D230" s="1196" t="s">
        <v>6859</v>
      </c>
      <c r="E230" s="1197"/>
      <c r="F230" s="1198"/>
      <c r="G230" s="793" t="s">
        <v>6860</v>
      </c>
      <c r="H230" s="792" t="s">
        <v>6861</v>
      </c>
      <c r="I230" s="792" t="s">
        <v>6861</v>
      </c>
      <c r="J230" s="792" t="s">
        <v>6861</v>
      </c>
      <c r="K230" s="792"/>
      <c r="L230" s="794"/>
      <c r="O230" s="659"/>
      <c r="P230" s="659"/>
    </row>
    <row r="231" spans="1:16" s="795" customFormat="1" ht="33" customHeight="1" thickBot="1">
      <c r="A231" s="769"/>
      <c r="B231" s="770">
        <f>SUMIF(CPU!$E$11:$E$1943,COTAÇÕES!$C231,CPU!$B$11:$B$1943)</f>
        <v>10</v>
      </c>
      <c r="C231" s="768" t="s">
        <v>9048</v>
      </c>
      <c r="D231" s="1207" t="s">
        <v>7505</v>
      </c>
      <c r="E231" s="1208"/>
      <c r="F231" s="1209"/>
      <c r="G231" s="656" t="s">
        <v>646</v>
      </c>
      <c r="H231" s="657">
        <v>43.9</v>
      </c>
      <c r="I231" s="657">
        <v>42.66</v>
      </c>
      <c r="J231" s="657">
        <v>44.5</v>
      </c>
      <c r="K231" s="657"/>
      <c r="L231" s="801">
        <f t="shared" ref="L231" si="21">IF(H231&lt;&gt;"",AVERAGE(H231:K231)," ")</f>
        <v>43.686666666666667</v>
      </c>
      <c r="O231" s="796"/>
      <c r="P231" s="797"/>
    </row>
    <row r="232" spans="1:16" ht="15.75" thickBot="1">
      <c r="I232" s="770"/>
      <c r="K232" s="770"/>
      <c r="L232" s="769"/>
      <c r="O232" s="773"/>
    </row>
    <row r="233" spans="1:16" ht="15.75" thickBot="1">
      <c r="H233" s="774" t="s">
        <v>6851</v>
      </c>
      <c r="I233" s="775" t="s">
        <v>6852</v>
      </c>
      <c r="J233" s="775" t="s">
        <v>6853</v>
      </c>
      <c r="K233" s="775"/>
      <c r="L233" s="1194" t="s">
        <v>6854</v>
      </c>
      <c r="O233" s="773"/>
    </row>
    <row r="234" spans="1:16">
      <c r="F234" s="776" t="s">
        <v>6855</v>
      </c>
      <c r="G234" s="777"/>
      <c r="H234" s="765" t="s">
        <v>8383</v>
      </c>
      <c r="I234" s="765" t="s">
        <v>8383</v>
      </c>
      <c r="J234" s="765" t="s">
        <v>8383</v>
      </c>
      <c r="K234" s="778"/>
      <c r="L234" s="1195"/>
      <c r="M234" s="780"/>
      <c r="O234" s="773"/>
    </row>
    <row r="235" spans="1:16">
      <c r="F235" s="781" t="s">
        <v>6856</v>
      </c>
      <c r="G235" s="782"/>
      <c r="H235" s="779" t="s">
        <v>8873</v>
      </c>
      <c r="I235" s="779" t="s">
        <v>7609</v>
      </c>
      <c r="J235" s="779" t="s">
        <v>7521</v>
      </c>
      <c r="K235" s="779"/>
      <c r="L235" s="1195"/>
      <c r="M235" s="780"/>
      <c r="O235" s="783"/>
      <c r="P235" s="783"/>
    </row>
    <row r="236" spans="1:16">
      <c r="E236" s="784"/>
      <c r="F236" s="781" t="s">
        <v>6857</v>
      </c>
      <c r="G236" s="782"/>
      <c r="H236" s="785"/>
      <c r="I236" s="785"/>
      <c r="J236" s="786"/>
      <c r="K236" s="786"/>
      <c r="L236" s="1195"/>
      <c r="O236" s="658"/>
      <c r="P236" s="658"/>
    </row>
    <row r="237" spans="1:16" ht="15.75" thickBot="1">
      <c r="E237" s="784"/>
      <c r="F237" s="798" t="s">
        <v>6858</v>
      </c>
      <c r="G237" s="799"/>
      <c r="H237" s="785" t="s">
        <v>8872</v>
      </c>
      <c r="I237" s="790" t="s">
        <v>8874</v>
      </c>
      <c r="J237" s="810" t="s">
        <v>8875</v>
      </c>
      <c r="K237" s="810"/>
      <c r="L237" s="1195"/>
      <c r="O237" s="658"/>
      <c r="P237" s="658"/>
    </row>
    <row r="238" spans="1:16" ht="15.75" thickBot="1">
      <c r="C238" s="792" t="s">
        <v>904</v>
      </c>
      <c r="D238" s="1196" t="s">
        <v>6859</v>
      </c>
      <c r="E238" s="1197"/>
      <c r="F238" s="1198"/>
      <c r="G238" s="793" t="s">
        <v>6860</v>
      </c>
      <c r="H238" s="792" t="s">
        <v>6861</v>
      </c>
      <c r="I238" s="792" t="s">
        <v>6861</v>
      </c>
      <c r="J238" s="792" t="s">
        <v>6861</v>
      </c>
      <c r="K238" s="792"/>
      <c r="L238" s="794"/>
      <c r="O238" s="659"/>
      <c r="P238" s="659"/>
    </row>
    <row r="239" spans="1:16" s="795" customFormat="1" ht="54" customHeight="1" thickBot="1">
      <c r="A239" s="769"/>
      <c r="B239" s="770">
        <f>SUMIF(CPU!$E$11:$E$1943,COTAÇÕES!$C239,CPU!$B$11:$B$1943)</f>
        <v>1</v>
      </c>
      <c r="C239" s="850" t="s">
        <v>9037</v>
      </c>
      <c r="D239" s="1191" t="s">
        <v>8777</v>
      </c>
      <c r="E239" s="1192"/>
      <c r="F239" s="1193"/>
      <c r="G239" s="656" t="s">
        <v>6860</v>
      </c>
      <c r="H239" s="672">
        <v>35</v>
      </c>
      <c r="I239" s="672">
        <v>38.89</v>
      </c>
      <c r="J239" s="672">
        <v>31.53</v>
      </c>
      <c r="K239" s="672"/>
      <c r="L239" s="801">
        <f t="shared" ref="L239" si="22">IF(H239&lt;&gt;"",AVERAGE(H239:K239)," ")</f>
        <v>35.14</v>
      </c>
      <c r="M239" s="770"/>
      <c r="O239" s="796"/>
      <c r="P239" s="797"/>
    </row>
    <row r="240" spans="1:16" ht="15.75" thickBot="1">
      <c r="I240" s="770"/>
      <c r="K240" s="770"/>
      <c r="L240" s="769"/>
      <c r="O240" s="773"/>
    </row>
    <row r="241" spans="1:16" ht="15.75" thickBot="1">
      <c r="H241" s="774" t="s">
        <v>6851</v>
      </c>
      <c r="I241" s="775" t="s">
        <v>6852</v>
      </c>
      <c r="J241" s="775" t="s">
        <v>6853</v>
      </c>
      <c r="K241" s="775"/>
      <c r="L241" s="1194" t="s">
        <v>6854</v>
      </c>
      <c r="O241" s="773"/>
    </row>
    <row r="242" spans="1:16">
      <c r="F242" s="776" t="s">
        <v>6855</v>
      </c>
      <c r="G242" s="777"/>
      <c r="H242" s="765" t="s">
        <v>8383</v>
      </c>
      <c r="I242" s="765" t="s">
        <v>8383</v>
      </c>
      <c r="J242" s="765" t="s">
        <v>8383</v>
      </c>
      <c r="K242" s="778"/>
      <c r="L242" s="1195"/>
      <c r="M242" s="780"/>
      <c r="O242" s="773"/>
    </row>
    <row r="243" spans="1:16">
      <c r="F243" s="781" t="s">
        <v>6856</v>
      </c>
      <c r="G243" s="782"/>
      <c r="H243" s="779" t="s">
        <v>8405</v>
      </c>
      <c r="I243" s="779" t="s">
        <v>8408</v>
      </c>
      <c r="J243" s="779" t="s">
        <v>8410</v>
      </c>
      <c r="K243" s="779"/>
      <c r="L243" s="1195"/>
      <c r="M243" s="780"/>
      <c r="O243" s="783"/>
      <c r="P243" s="783"/>
    </row>
    <row r="244" spans="1:16">
      <c r="E244" s="784"/>
      <c r="F244" s="781" t="s">
        <v>6857</v>
      </c>
      <c r="G244" s="782"/>
      <c r="H244" s="785" t="s">
        <v>8407</v>
      </c>
      <c r="I244" s="785"/>
      <c r="J244" s="786" t="s">
        <v>8412</v>
      </c>
      <c r="K244" s="786"/>
      <c r="L244" s="1195"/>
      <c r="O244" s="658"/>
      <c r="P244" s="658"/>
    </row>
    <row r="245" spans="1:16" ht="15.75" thickBot="1">
      <c r="E245" s="784"/>
      <c r="F245" s="798" t="s">
        <v>6858</v>
      </c>
      <c r="G245" s="799"/>
      <c r="H245" s="785" t="s">
        <v>8406</v>
      </c>
      <c r="I245" s="790" t="s">
        <v>8413</v>
      </c>
      <c r="J245" s="810" t="s">
        <v>8411</v>
      </c>
      <c r="K245" s="810"/>
      <c r="L245" s="1195"/>
      <c r="O245" s="658"/>
      <c r="P245" s="658"/>
    </row>
    <row r="246" spans="1:16" ht="15.75" thickBot="1">
      <c r="C246" s="792" t="s">
        <v>904</v>
      </c>
      <c r="D246" s="1196" t="s">
        <v>6859</v>
      </c>
      <c r="E246" s="1197"/>
      <c r="F246" s="1198"/>
      <c r="G246" s="793" t="s">
        <v>6860</v>
      </c>
      <c r="H246" s="792" t="s">
        <v>6861</v>
      </c>
      <c r="I246" s="792" t="s">
        <v>6861</v>
      </c>
      <c r="J246" s="792" t="s">
        <v>6861</v>
      </c>
      <c r="K246" s="792"/>
      <c r="L246" s="794"/>
      <c r="O246" s="659"/>
      <c r="P246" s="659"/>
    </row>
    <row r="247" spans="1:16" s="795" customFormat="1" ht="54" customHeight="1" thickBot="1">
      <c r="A247" s="769"/>
      <c r="B247" s="770">
        <f>SUMIF(CPU!$E$11:$E$1943,COTAÇÕES!$C247,CPU!$B$11:$B$1943)</f>
        <v>1</v>
      </c>
      <c r="C247" s="850" t="s">
        <v>9049</v>
      </c>
      <c r="D247" s="1191" t="s">
        <v>8409</v>
      </c>
      <c r="E247" s="1192"/>
      <c r="F247" s="1193"/>
      <c r="G247" s="656" t="s">
        <v>6860</v>
      </c>
      <c r="H247" s="672">
        <v>570</v>
      </c>
      <c r="I247" s="672">
        <v>550</v>
      </c>
      <c r="J247" s="672">
        <v>1593.15</v>
      </c>
      <c r="K247" s="672"/>
      <c r="L247" s="801">
        <f t="shared" ref="L247" si="23">IF(H247&lt;&gt;"",AVERAGE(H247:K247)," ")</f>
        <v>904.38333333333333</v>
      </c>
      <c r="M247" s="770"/>
      <c r="O247" s="796"/>
      <c r="P247" s="797"/>
    </row>
    <row r="248" spans="1:16" ht="15.75" thickBot="1">
      <c r="L248" s="769"/>
      <c r="O248" s="773"/>
    </row>
    <row r="249" spans="1:16" ht="15.75" thickBot="1">
      <c r="H249" s="774" t="s">
        <v>6851</v>
      </c>
      <c r="I249" s="775" t="s">
        <v>6852</v>
      </c>
      <c r="J249" s="775" t="s">
        <v>6853</v>
      </c>
      <c r="K249" s="775"/>
      <c r="L249" s="1194" t="s">
        <v>6854</v>
      </c>
      <c r="O249" s="773"/>
    </row>
    <row r="250" spans="1:16">
      <c r="F250" s="776" t="s">
        <v>6855</v>
      </c>
      <c r="G250" s="777"/>
      <c r="H250" s="765" t="s">
        <v>7579</v>
      </c>
      <c r="I250" s="778" t="s">
        <v>7579</v>
      </c>
      <c r="J250" s="778" t="s">
        <v>7579</v>
      </c>
      <c r="K250" s="778"/>
      <c r="L250" s="1195"/>
      <c r="M250" s="780"/>
      <c r="O250" s="773"/>
    </row>
    <row r="251" spans="1:16">
      <c r="F251" s="781" t="s">
        <v>6856</v>
      </c>
      <c r="G251" s="782"/>
      <c r="H251" s="779" t="s">
        <v>7609</v>
      </c>
      <c r="I251" s="779" t="s">
        <v>7611</v>
      </c>
      <c r="J251" s="779" t="s">
        <v>7612</v>
      </c>
      <c r="K251" s="779"/>
      <c r="L251" s="1195"/>
      <c r="M251" s="780"/>
      <c r="O251" s="783"/>
      <c r="P251" s="783"/>
    </row>
    <row r="252" spans="1:16">
      <c r="E252" s="784"/>
      <c r="F252" s="781" t="s">
        <v>6857</v>
      </c>
      <c r="G252" s="782"/>
      <c r="H252" s="785"/>
      <c r="I252" s="786"/>
      <c r="J252" s="786"/>
      <c r="K252" s="786"/>
      <c r="L252" s="1195"/>
      <c r="O252" s="658"/>
      <c r="P252" s="658"/>
    </row>
    <row r="253" spans="1:16" ht="15.75" thickBot="1">
      <c r="E253" s="784"/>
      <c r="F253" s="798" t="s">
        <v>6858</v>
      </c>
      <c r="G253" s="799"/>
      <c r="H253" s="790" t="s">
        <v>7608</v>
      </c>
      <c r="I253" s="785" t="s">
        <v>7610</v>
      </c>
      <c r="J253" s="810" t="s">
        <v>7613</v>
      </c>
      <c r="K253" s="810"/>
      <c r="L253" s="1195"/>
      <c r="O253" s="658"/>
      <c r="P253" s="658"/>
    </row>
    <row r="254" spans="1:16" ht="15.75" thickBot="1">
      <c r="C254" s="792" t="s">
        <v>904</v>
      </c>
      <c r="D254" s="1196" t="s">
        <v>6859</v>
      </c>
      <c r="E254" s="1197"/>
      <c r="F254" s="1198"/>
      <c r="G254" s="793" t="s">
        <v>6860</v>
      </c>
      <c r="H254" s="792" t="s">
        <v>6861</v>
      </c>
      <c r="I254" s="792" t="s">
        <v>6861</v>
      </c>
      <c r="J254" s="792" t="s">
        <v>6861</v>
      </c>
      <c r="K254" s="792"/>
      <c r="L254" s="794"/>
      <c r="O254" s="659"/>
      <c r="P254" s="659"/>
    </row>
    <row r="255" spans="1:16" s="795" customFormat="1" ht="32.25" customHeight="1" thickBot="1">
      <c r="A255" s="769"/>
      <c r="B255" s="770">
        <f>SUMIF(CPU!$E$11:$E$1943,COTAÇÕES!$C255,CPU!$B$11:$B$1943)</f>
        <v>13</v>
      </c>
      <c r="C255" s="850" t="s">
        <v>9050</v>
      </c>
      <c r="D255" s="1203" t="s">
        <v>7607</v>
      </c>
      <c r="E255" s="1204"/>
      <c r="F255" s="1205"/>
      <c r="G255" s="656" t="s">
        <v>646</v>
      </c>
      <c r="H255" s="672">
        <v>154.16</v>
      </c>
      <c r="I255" s="657">
        <v>146.97</v>
      </c>
      <c r="J255" s="657">
        <v>189.99</v>
      </c>
      <c r="K255" s="812"/>
      <c r="L255" s="801">
        <f t="shared" ref="L255" si="24">IF(H255&lt;&gt;"",AVERAGE(H255:K255)," ")</f>
        <v>163.70666666666668</v>
      </c>
      <c r="O255" s="796"/>
      <c r="P255" s="797"/>
    </row>
    <row r="256" spans="1:16" ht="15.75" thickBot="1">
      <c r="L256" s="769"/>
      <c r="O256" s="773"/>
    </row>
    <row r="257" spans="1:16" ht="15.75" thickBot="1">
      <c r="H257" s="774" t="s">
        <v>6851</v>
      </c>
      <c r="I257" s="775" t="s">
        <v>6852</v>
      </c>
      <c r="J257" s="775" t="s">
        <v>6853</v>
      </c>
      <c r="K257" s="775"/>
      <c r="L257" s="1194" t="s">
        <v>6854</v>
      </c>
      <c r="O257" s="773"/>
    </row>
    <row r="258" spans="1:16">
      <c r="F258" s="776" t="s">
        <v>6855</v>
      </c>
      <c r="G258" s="777"/>
      <c r="H258" s="765" t="s">
        <v>8383</v>
      </c>
      <c r="I258" s="778" t="s">
        <v>8383</v>
      </c>
      <c r="J258" s="778" t="s">
        <v>8383</v>
      </c>
      <c r="K258" s="778"/>
      <c r="L258" s="1195"/>
      <c r="M258" s="780"/>
      <c r="O258" s="773"/>
    </row>
    <row r="259" spans="1:16">
      <c r="F259" s="781" t="s">
        <v>6856</v>
      </c>
      <c r="G259" s="782"/>
      <c r="H259" s="779" t="s">
        <v>9161</v>
      </c>
      <c r="I259" s="779" t="s">
        <v>9163</v>
      </c>
      <c r="J259" s="779" t="s">
        <v>7484</v>
      </c>
      <c r="K259" s="779"/>
      <c r="L259" s="1195"/>
      <c r="M259" s="780"/>
      <c r="O259" s="783"/>
      <c r="P259" s="783"/>
    </row>
    <row r="260" spans="1:16">
      <c r="E260" s="784"/>
      <c r="F260" s="781" t="s">
        <v>6857</v>
      </c>
      <c r="G260" s="782"/>
      <c r="H260" s="785"/>
      <c r="I260" s="786"/>
      <c r="J260" s="786"/>
      <c r="K260" s="786"/>
      <c r="L260" s="1195"/>
      <c r="O260" s="658"/>
      <c r="P260" s="658"/>
    </row>
    <row r="261" spans="1:16" ht="15.75" thickBot="1">
      <c r="E261" s="784"/>
      <c r="F261" s="798" t="s">
        <v>6858</v>
      </c>
      <c r="G261" s="799"/>
      <c r="H261" s="790" t="s">
        <v>9160</v>
      </c>
      <c r="I261" s="790" t="s">
        <v>9162</v>
      </c>
      <c r="J261" s="810" t="s">
        <v>9164</v>
      </c>
      <c r="K261" s="810"/>
      <c r="L261" s="1195"/>
      <c r="O261" s="658"/>
      <c r="P261" s="658"/>
    </row>
    <row r="262" spans="1:16" ht="15.75" thickBot="1">
      <c r="C262" s="792" t="s">
        <v>904</v>
      </c>
      <c r="D262" s="1196" t="s">
        <v>6859</v>
      </c>
      <c r="E262" s="1197"/>
      <c r="F262" s="1198"/>
      <c r="G262" s="793" t="s">
        <v>6860</v>
      </c>
      <c r="H262" s="792" t="s">
        <v>6861</v>
      </c>
      <c r="I262" s="792" t="s">
        <v>6861</v>
      </c>
      <c r="J262" s="792" t="s">
        <v>6861</v>
      </c>
      <c r="K262" s="792"/>
      <c r="L262" s="794"/>
      <c r="O262" s="659"/>
      <c r="P262" s="659"/>
    </row>
    <row r="263" spans="1:16" s="795" customFormat="1" ht="55.5" customHeight="1" thickBot="1">
      <c r="A263" s="769"/>
      <c r="B263" s="770">
        <f>SUMIF(CPU!$E$11:$E$1943,COTAÇÕES!$C263,CPU!$B$11:$B$1943)</f>
        <v>1</v>
      </c>
      <c r="C263" s="850" t="s">
        <v>9051</v>
      </c>
      <c r="D263" s="1210" t="s">
        <v>8456</v>
      </c>
      <c r="E263" s="1210"/>
      <c r="F263" s="1210"/>
      <c r="G263" s="656" t="s">
        <v>646</v>
      </c>
      <c r="H263" s="672">
        <v>199.9</v>
      </c>
      <c r="I263" s="672">
        <v>261.62</v>
      </c>
      <c r="J263" s="672">
        <v>266.25</v>
      </c>
      <c r="K263" s="657"/>
      <c r="L263" s="801">
        <f t="shared" ref="L263" si="25">IF(H263&lt;&gt;"",AVERAGE(H263:K263)," ")</f>
        <v>242.59</v>
      </c>
      <c r="O263" s="796"/>
      <c r="P263" s="797"/>
    </row>
    <row r="264" spans="1:16" ht="15.75" thickBot="1">
      <c r="I264" s="770"/>
      <c r="K264" s="770"/>
      <c r="L264" s="769"/>
      <c r="O264" s="773"/>
    </row>
    <row r="265" spans="1:16" ht="15.75" thickBot="1">
      <c r="H265" s="774" t="s">
        <v>6851</v>
      </c>
      <c r="I265" s="775" t="s">
        <v>6852</v>
      </c>
      <c r="J265" s="775" t="s">
        <v>6853</v>
      </c>
      <c r="K265" s="775"/>
      <c r="L265" s="1194" t="s">
        <v>6854</v>
      </c>
      <c r="O265" s="773"/>
    </row>
    <row r="266" spans="1:16">
      <c r="F266" s="776" t="s">
        <v>6855</v>
      </c>
      <c r="G266" s="777"/>
      <c r="H266" s="765" t="s">
        <v>8383</v>
      </c>
      <c r="I266" s="765" t="s">
        <v>8383</v>
      </c>
      <c r="J266" s="765" t="s">
        <v>8383</v>
      </c>
      <c r="K266" s="765"/>
      <c r="L266" s="1195"/>
      <c r="M266" s="780"/>
      <c r="O266" s="773"/>
    </row>
    <row r="267" spans="1:16">
      <c r="F267" s="781" t="s">
        <v>6856</v>
      </c>
      <c r="G267" s="782"/>
      <c r="H267" s="779" t="s">
        <v>8861</v>
      </c>
      <c r="I267" s="779" t="s">
        <v>8863</v>
      </c>
      <c r="J267" s="779" t="s">
        <v>8865</v>
      </c>
      <c r="K267" s="779"/>
      <c r="L267" s="1195"/>
      <c r="M267" s="780"/>
      <c r="O267" s="783"/>
      <c r="P267" s="783"/>
    </row>
    <row r="268" spans="1:16">
      <c r="E268" s="784"/>
      <c r="F268" s="781" t="s">
        <v>6857</v>
      </c>
      <c r="G268" s="782"/>
      <c r="H268" s="785"/>
      <c r="I268" s="786"/>
      <c r="J268" s="786"/>
      <c r="K268" s="786"/>
      <c r="L268" s="1195"/>
      <c r="O268" s="658"/>
      <c r="P268" s="658"/>
    </row>
    <row r="269" spans="1:16" ht="15.75" thickBot="1">
      <c r="E269" s="784"/>
      <c r="F269" s="798" t="s">
        <v>6858</v>
      </c>
      <c r="G269" s="799"/>
      <c r="H269" s="790" t="s">
        <v>8862</v>
      </c>
      <c r="I269" s="790" t="s">
        <v>8864</v>
      </c>
      <c r="J269" s="810" t="s">
        <v>8866</v>
      </c>
      <c r="K269" s="810"/>
      <c r="L269" s="1195"/>
      <c r="O269" s="658"/>
      <c r="P269" s="658"/>
    </row>
    <row r="270" spans="1:16" ht="15.75" thickBot="1">
      <c r="C270" s="792" t="s">
        <v>904</v>
      </c>
      <c r="D270" s="1196" t="s">
        <v>6859</v>
      </c>
      <c r="E270" s="1197"/>
      <c r="F270" s="1198"/>
      <c r="G270" s="793" t="s">
        <v>6860</v>
      </c>
      <c r="H270" s="792" t="s">
        <v>6861</v>
      </c>
      <c r="I270" s="792" t="s">
        <v>6861</v>
      </c>
      <c r="J270" s="792" t="s">
        <v>6861</v>
      </c>
      <c r="K270" s="792"/>
      <c r="L270" s="794"/>
      <c r="O270" s="659"/>
      <c r="P270" s="659"/>
    </row>
    <row r="271" spans="1:16" s="795" customFormat="1" ht="47.25" customHeight="1" thickBot="1">
      <c r="A271" s="769"/>
      <c r="B271" s="770">
        <f>SUMIF(CPU!$E$11:$E$1943,COTAÇÕES!$C271,CPU!$B$11:$B$1943)</f>
        <v>14</v>
      </c>
      <c r="C271" s="850" t="s">
        <v>9052</v>
      </c>
      <c r="D271" s="1191" t="s">
        <v>8860</v>
      </c>
      <c r="E271" s="1192"/>
      <c r="F271" s="1193"/>
      <c r="G271" s="656" t="s">
        <v>6860</v>
      </c>
      <c r="H271" s="672">
        <v>19.8</v>
      </c>
      <c r="I271" s="672">
        <v>28.61</v>
      </c>
      <c r="J271" s="672">
        <v>29.37</v>
      </c>
      <c r="K271" s="672"/>
      <c r="L271" s="801">
        <f t="shared" ref="L271" si="26">IF(H271&lt;&gt;"",AVERAGE(H271:K271)," ")</f>
        <v>25.926666666666666</v>
      </c>
      <c r="M271" s="770"/>
      <c r="O271" s="796"/>
      <c r="P271" s="797"/>
    </row>
    <row r="273" spans="1:16" ht="15.75" thickBot="1"/>
    <row r="274" spans="1:16" ht="15.75" thickBot="1">
      <c r="H274" s="774" t="s">
        <v>6851</v>
      </c>
      <c r="I274" s="775" t="s">
        <v>6852</v>
      </c>
      <c r="J274" s="775" t="s">
        <v>6853</v>
      </c>
      <c r="K274" s="775"/>
      <c r="L274" s="1194" t="s">
        <v>6854</v>
      </c>
      <c r="O274" s="773"/>
    </row>
    <row r="275" spans="1:16">
      <c r="F275" s="776" t="s">
        <v>6855</v>
      </c>
      <c r="G275" s="777"/>
      <c r="H275" s="765" t="s">
        <v>8383</v>
      </c>
      <c r="I275" s="765" t="s">
        <v>8383</v>
      </c>
      <c r="J275" s="765" t="s">
        <v>8383</v>
      </c>
      <c r="K275" s="765"/>
      <c r="L275" s="1195"/>
      <c r="M275" s="780"/>
      <c r="O275" s="773"/>
    </row>
    <row r="276" spans="1:16">
      <c r="F276" s="781" t="s">
        <v>6856</v>
      </c>
      <c r="G276" s="782"/>
      <c r="H276" s="779" t="s">
        <v>8502</v>
      </c>
      <c r="I276" s="779" t="s">
        <v>8547</v>
      </c>
      <c r="J276" s="779" t="s">
        <v>8549</v>
      </c>
      <c r="K276" s="779"/>
      <c r="L276" s="1195"/>
      <c r="M276" s="780"/>
      <c r="O276" s="783"/>
      <c r="P276" s="783"/>
    </row>
    <row r="277" spans="1:16">
      <c r="E277" s="784"/>
      <c r="F277" s="781" t="s">
        <v>6857</v>
      </c>
      <c r="G277" s="782"/>
      <c r="H277" s="785"/>
      <c r="I277" s="786"/>
      <c r="J277" s="786"/>
      <c r="K277" s="786"/>
      <c r="L277" s="1195"/>
      <c r="O277" s="658"/>
      <c r="P277" s="658"/>
    </row>
    <row r="278" spans="1:16" ht="15.75" thickBot="1">
      <c r="E278" s="784"/>
      <c r="F278" s="798" t="s">
        <v>6858</v>
      </c>
      <c r="G278" s="799"/>
      <c r="H278" s="790" t="s">
        <v>8503</v>
      </c>
      <c r="I278" s="790" t="s">
        <v>8548</v>
      </c>
      <c r="J278" s="810" t="s">
        <v>8550</v>
      </c>
      <c r="K278" s="810"/>
      <c r="L278" s="1195"/>
      <c r="O278" s="658"/>
      <c r="P278" s="658"/>
    </row>
    <row r="279" spans="1:16" ht="15.75" thickBot="1">
      <c r="C279" s="792" t="s">
        <v>904</v>
      </c>
      <c r="D279" s="1196" t="s">
        <v>6859</v>
      </c>
      <c r="E279" s="1197"/>
      <c r="F279" s="1198"/>
      <c r="G279" s="793" t="s">
        <v>6860</v>
      </c>
      <c r="H279" s="792" t="s">
        <v>6861</v>
      </c>
      <c r="I279" s="792" t="s">
        <v>6861</v>
      </c>
      <c r="J279" s="792" t="s">
        <v>6861</v>
      </c>
      <c r="K279" s="792"/>
      <c r="L279" s="794"/>
      <c r="O279" s="659"/>
      <c r="P279" s="659"/>
    </row>
    <row r="280" spans="1:16" s="795" customFormat="1" ht="47.25" customHeight="1" thickBot="1">
      <c r="A280" s="769"/>
      <c r="B280" s="770">
        <f>SUMIF(CPU!$E$11:$E$1943,COTAÇÕES!$C280,CPU!$B$11:$B$1943)</f>
        <v>11</v>
      </c>
      <c r="C280" s="850" t="s">
        <v>9053</v>
      </c>
      <c r="D280" s="1191" t="s">
        <v>8501</v>
      </c>
      <c r="E280" s="1192"/>
      <c r="F280" s="1193"/>
      <c r="G280" s="656" t="s">
        <v>6860</v>
      </c>
      <c r="H280" s="672">
        <v>319.89999999999998</v>
      </c>
      <c r="I280" s="672">
        <v>359.9</v>
      </c>
      <c r="J280" s="672">
        <v>289.95</v>
      </c>
      <c r="K280" s="672"/>
      <c r="L280" s="801">
        <f t="shared" ref="L280" si="27">IF(H280&lt;&gt;"",AVERAGE(H280:K280)," ")</f>
        <v>323.25</v>
      </c>
      <c r="M280" s="770"/>
      <c r="O280" s="796"/>
      <c r="P280" s="797"/>
    </row>
    <row r="281" spans="1:16" ht="15.75" thickBot="1">
      <c r="I281" s="770"/>
      <c r="K281" s="770"/>
      <c r="L281" s="769"/>
      <c r="O281" s="773"/>
    </row>
    <row r="282" spans="1:16" ht="15.75" thickBot="1">
      <c r="H282" s="774" t="s">
        <v>6851</v>
      </c>
      <c r="I282" s="775" t="s">
        <v>6852</v>
      </c>
      <c r="J282" s="775" t="s">
        <v>6853</v>
      </c>
      <c r="K282" s="775"/>
      <c r="L282" s="1194" t="s">
        <v>6854</v>
      </c>
      <c r="O282" s="773"/>
    </row>
    <row r="283" spans="1:16">
      <c r="F283" s="776" t="s">
        <v>6855</v>
      </c>
      <c r="G283" s="777"/>
      <c r="H283" s="765" t="s">
        <v>8383</v>
      </c>
      <c r="I283" s="765" t="s">
        <v>8383</v>
      </c>
      <c r="J283" s="765" t="s">
        <v>8383</v>
      </c>
      <c r="K283" s="765"/>
      <c r="L283" s="1195"/>
      <c r="M283" s="780"/>
      <c r="O283" s="773"/>
    </row>
    <row r="284" spans="1:16">
      <c r="F284" s="781" t="s">
        <v>6856</v>
      </c>
      <c r="G284" s="782"/>
      <c r="H284" s="779" t="s">
        <v>8502</v>
      </c>
      <c r="I284" s="779" t="s">
        <v>8547</v>
      </c>
      <c r="J284" s="779" t="s">
        <v>8552</v>
      </c>
      <c r="K284" s="779"/>
      <c r="L284" s="1195"/>
      <c r="M284" s="780"/>
      <c r="O284" s="783"/>
      <c r="P284" s="783"/>
    </row>
    <row r="285" spans="1:16">
      <c r="E285" s="784"/>
      <c r="F285" s="781" t="s">
        <v>6857</v>
      </c>
      <c r="G285" s="782"/>
      <c r="H285" s="785"/>
      <c r="I285" s="786"/>
      <c r="J285" s="786"/>
      <c r="K285" s="786"/>
      <c r="L285" s="1195"/>
      <c r="O285" s="658"/>
      <c r="P285" s="658"/>
    </row>
    <row r="286" spans="1:16" ht="15.75" thickBot="1">
      <c r="E286" s="784"/>
      <c r="F286" s="798" t="s">
        <v>6858</v>
      </c>
      <c r="G286" s="799"/>
      <c r="H286" s="790" t="s">
        <v>8508</v>
      </c>
      <c r="I286" s="790" t="s">
        <v>8551</v>
      </c>
      <c r="J286" s="810" t="s">
        <v>8553</v>
      </c>
      <c r="K286" s="810"/>
      <c r="L286" s="1195"/>
      <c r="O286" s="658"/>
      <c r="P286" s="658"/>
    </row>
    <row r="287" spans="1:16" ht="15.75" thickBot="1">
      <c r="C287" s="792" t="s">
        <v>904</v>
      </c>
      <c r="D287" s="1196" t="s">
        <v>6859</v>
      </c>
      <c r="E287" s="1197"/>
      <c r="F287" s="1198"/>
      <c r="G287" s="793" t="s">
        <v>6860</v>
      </c>
      <c r="H287" s="792" t="s">
        <v>6861</v>
      </c>
      <c r="I287" s="792" t="s">
        <v>6861</v>
      </c>
      <c r="J287" s="792" t="s">
        <v>6861</v>
      </c>
      <c r="K287" s="792"/>
      <c r="L287" s="794"/>
      <c r="O287" s="659"/>
      <c r="P287" s="659"/>
    </row>
    <row r="288" spans="1:16" s="795" customFormat="1" ht="47.25" customHeight="1" thickBot="1">
      <c r="A288" s="769"/>
      <c r="B288" s="770">
        <f>SUMIF(CPU!$E$11:$E$1943,COTAÇÕES!$C288,CPU!$B$11:$B$1943)</f>
        <v>5</v>
      </c>
      <c r="C288" s="850" t="s">
        <v>9054</v>
      </c>
      <c r="D288" s="1191" t="s">
        <v>8507</v>
      </c>
      <c r="E288" s="1192"/>
      <c r="F288" s="1193"/>
      <c r="G288" s="656" t="s">
        <v>6860</v>
      </c>
      <c r="H288" s="672">
        <v>999</v>
      </c>
      <c r="I288" s="672">
        <v>913.9</v>
      </c>
      <c r="J288" s="672">
        <v>828</v>
      </c>
      <c r="K288" s="672"/>
      <c r="L288" s="801">
        <f t="shared" ref="L288" si="28">IF(H288&lt;&gt;"",AVERAGE(H288:K288)," ")</f>
        <v>913.63333333333333</v>
      </c>
      <c r="M288" s="770"/>
      <c r="O288" s="796"/>
      <c r="P288" s="797"/>
    </row>
    <row r="289" spans="1:16" ht="15.75" thickBot="1">
      <c r="I289" s="770"/>
      <c r="K289" s="770"/>
      <c r="L289" s="769"/>
      <c r="O289" s="773"/>
    </row>
    <row r="290" spans="1:16" ht="15.75" thickBot="1">
      <c r="H290" s="774" t="s">
        <v>6851</v>
      </c>
      <c r="I290" s="775" t="s">
        <v>6852</v>
      </c>
      <c r="J290" s="775" t="s">
        <v>6853</v>
      </c>
      <c r="K290" s="775"/>
      <c r="L290" s="1194" t="s">
        <v>6854</v>
      </c>
      <c r="O290" s="773"/>
    </row>
    <row r="291" spans="1:16">
      <c r="F291" s="776" t="s">
        <v>6855</v>
      </c>
      <c r="G291" s="777"/>
      <c r="H291" s="765" t="s">
        <v>8383</v>
      </c>
      <c r="I291" s="765" t="s">
        <v>8383</v>
      </c>
      <c r="J291" s="765" t="s">
        <v>8383</v>
      </c>
      <c r="K291" s="765"/>
      <c r="L291" s="1195"/>
      <c r="M291" s="780"/>
      <c r="O291" s="773"/>
    </row>
    <row r="292" spans="1:16">
      <c r="F292" s="781" t="s">
        <v>6856</v>
      </c>
      <c r="G292" s="782"/>
      <c r="H292" s="779" t="s">
        <v>8502</v>
      </c>
      <c r="I292" s="779" t="s">
        <v>8547</v>
      </c>
      <c r="J292" s="779" t="s">
        <v>8554</v>
      </c>
      <c r="K292" s="779"/>
      <c r="L292" s="1195"/>
      <c r="M292" s="780"/>
      <c r="O292" s="783"/>
      <c r="P292" s="783"/>
    </row>
    <row r="293" spans="1:16">
      <c r="E293" s="784"/>
      <c r="F293" s="781" t="s">
        <v>6857</v>
      </c>
      <c r="G293" s="782"/>
      <c r="H293" s="785"/>
      <c r="I293" s="786"/>
      <c r="J293" s="786"/>
      <c r="K293" s="786"/>
      <c r="L293" s="1195"/>
      <c r="O293" s="658"/>
      <c r="P293" s="658"/>
    </row>
    <row r="294" spans="1:16" ht="15.75" thickBot="1">
      <c r="E294" s="784"/>
      <c r="F294" s="798" t="s">
        <v>6858</v>
      </c>
      <c r="G294" s="799"/>
      <c r="H294" s="790" t="s">
        <v>8509</v>
      </c>
      <c r="I294" s="790" t="s">
        <v>8555</v>
      </c>
      <c r="J294" s="810" t="s">
        <v>8556</v>
      </c>
      <c r="K294" s="810"/>
      <c r="L294" s="1195"/>
      <c r="O294" s="658"/>
      <c r="P294" s="658"/>
    </row>
    <row r="295" spans="1:16" ht="15.75" thickBot="1">
      <c r="C295" s="792" t="s">
        <v>904</v>
      </c>
      <c r="D295" s="1196" t="s">
        <v>6859</v>
      </c>
      <c r="E295" s="1197"/>
      <c r="F295" s="1198"/>
      <c r="G295" s="793" t="s">
        <v>6860</v>
      </c>
      <c r="H295" s="792" t="s">
        <v>6861</v>
      </c>
      <c r="I295" s="792" t="s">
        <v>6861</v>
      </c>
      <c r="J295" s="792" t="s">
        <v>6861</v>
      </c>
      <c r="K295" s="792"/>
      <c r="L295" s="794"/>
      <c r="O295" s="659"/>
      <c r="P295" s="659"/>
    </row>
    <row r="296" spans="1:16" s="795" customFormat="1" ht="33" customHeight="1" thickBot="1">
      <c r="A296" s="769"/>
      <c r="B296" s="770">
        <f>SUMIF(CPU!$E$11:$E$1943,COTAÇÕES!$C296,CPU!$B$11:$B$1943)</f>
        <v>1</v>
      </c>
      <c r="C296" s="850" t="s">
        <v>9055</v>
      </c>
      <c r="D296" s="1191" t="s">
        <v>8515</v>
      </c>
      <c r="E296" s="1192"/>
      <c r="F296" s="1193"/>
      <c r="G296" s="656" t="s">
        <v>6860</v>
      </c>
      <c r="H296" s="672">
        <v>179.9</v>
      </c>
      <c r="I296" s="672">
        <v>233.9</v>
      </c>
      <c r="J296" s="672">
        <v>234.52</v>
      </c>
      <c r="K296" s="672"/>
      <c r="L296" s="801">
        <f t="shared" ref="L296" si="29">IF(H296&lt;&gt;"",AVERAGE(H296:K296)," ")</f>
        <v>216.10666666666668</v>
      </c>
      <c r="M296" s="770"/>
      <c r="O296" s="796"/>
      <c r="P296" s="797"/>
    </row>
    <row r="297" spans="1:16" ht="15.75" thickBot="1">
      <c r="I297" s="770"/>
      <c r="K297" s="770"/>
      <c r="L297" s="769"/>
      <c r="O297" s="773"/>
    </row>
    <row r="298" spans="1:16" ht="15.75" thickBot="1">
      <c r="H298" s="774" t="s">
        <v>6851</v>
      </c>
      <c r="I298" s="775" t="s">
        <v>6852</v>
      </c>
      <c r="J298" s="775" t="s">
        <v>6853</v>
      </c>
      <c r="K298" s="775"/>
      <c r="L298" s="1194" t="s">
        <v>6854</v>
      </c>
      <c r="O298" s="773"/>
    </row>
    <row r="299" spans="1:16">
      <c r="F299" s="776" t="s">
        <v>6855</v>
      </c>
      <c r="G299" s="777"/>
      <c r="H299" s="765" t="s">
        <v>8383</v>
      </c>
      <c r="I299" s="765" t="s">
        <v>8383</v>
      </c>
      <c r="J299" s="765" t="s">
        <v>8383</v>
      </c>
      <c r="K299" s="765"/>
      <c r="L299" s="1195"/>
      <c r="M299" s="780"/>
      <c r="O299" s="773"/>
    </row>
    <row r="300" spans="1:16">
      <c r="F300" s="781" t="s">
        <v>6856</v>
      </c>
      <c r="G300" s="782"/>
      <c r="H300" s="779" t="s">
        <v>8502</v>
      </c>
      <c r="I300" s="779" t="s">
        <v>8519</v>
      </c>
      <c r="J300" s="779" t="s">
        <v>8547</v>
      </c>
      <c r="K300" s="779"/>
      <c r="L300" s="1195"/>
      <c r="M300" s="780"/>
      <c r="O300" s="783"/>
      <c r="P300" s="783"/>
    </row>
    <row r="301" spans="1:16">
      <c r="E301" s="784"/>
      <c r="F301" s="781" t="s">
        <v>6857</v>
      </c>
      <c r="G301" s="782"/>
      <c r="H301" s="785"/>
      <c r="I301" s="786"/>
      <c r="J301" s="786"/>
      <c r="K301" s="786"/>
      <c r="L301" s="1195"/>
      <c r="O301" s="658"/>
      <c r="P301" s="658"/>
    </row>
    <row r="302" spans="1:16" ht="15.75" thickBot="1">
      <c r="E302" s="784"/>
      <c r="F302" s="798" t="s">
        <v>6858</v>
      </c>
      <c r="G302" s="799"/>
      <c r="H302" s="790" t="s">
        <v>8514</v>
      </c>
      <c r="I302" s="790" t="s">
        <v>8521</v>
      </c>
      <c r="J302" s="810" t="s">
        <v>8557</v>
      </c>
      <c r="K302" s="810"/>
      <c r="L302" s="1195"/>
      <c r="O302" s="658"/>
      <c r="P302" s="658"/>
    </row>
    <row r="303" spans="1:16" ht="15.75" thickBot="1">
      <c r="C303" s="792" t="s">
        <v>904</v>
      </c>
      <c r="D303" s="1196" t="s">
        <v>6859</v>
      </c>
      <c r="E303" s="1197"/>
      <c r="F303" s="1198"/>
      <c r="G303" s="793" t="s">
        <v>6860</v>
      </c>
      <c r="H303" s="792" t="s">
        <v>6861</v>
      </c>
      <c r="I303" s="792" t="s">
        <v>6861</v>
      </c>
      <c r="J303" s="792" t="s">
        <v>6861</v>
      </c>
      <c r="K303" s="792"/>
      <c r="L303" s="794"/>
      <c r="O303" s="659"/>
      <c r="P303" s="659"/>
    </row>
    <row r="304" spans="1:16" s="795" customFormat="1" ht="39" customHeight="1" thickBot="1">
      <c r="A304" s="769"/>
      <c r="B304" s="770">
        <f>SUMIF(CPU!$E$11:$E$1943,COTAÇÕES!$C304,CPU!$B$11:$B$1943)</f>
        <v>11</v>
      </c>
      <c r="C304" s="850" t="s">
        <v>9056</v>
      </c>
      <c r="D304" s="1191" t="s">
        <v>8523</v>
      </c>
      <c r="E304" s="1192"/>
      <c r="F304" s="1193"/>
      <c r="G304" s="656" t="s">
        <v>6860</v>
      </c>
      <c r="H304" s="672">
        <v>399.99</v>
      </c>
      <c r="I304" s="672">
        <v>475</v>
      </c>
      <c r="J304" s="672">
        <v>461.9</v>
      </c>
      <c r="K304" s="672"/>
      <c r="L304" s="801">
        <f t="shared" ref="L304" si="30">IF(H304&lt;&gt;"",AVERAGE(H304:K304)," ")</f>
        <v>445.62999999999994</v>
      </c>
      <c r="M304" s="770"/>
      <c r="O304" s="796"/>
      <c r="P304" s="797"/>
    </row>
    <row r="305" spans="1:16" ht="15.75" thickBot="1"/>
    <row r="306" spans="1:16" ht="15.75" thickBot="1">
      <c r="H306" s="774" t="s">
        <v>6851</v>
      </c>
      <c r="I306" s="775" t="s">
        <v>6852</v>
      </c>
      <c r="J306" s="775" t="s">
        <v>6853</v>
      </c>
      <c r="K306" s="775"/>
      <c r="L306" s="1194" t="s">
        <v>6854</v>
      </c>
      <c r="O306" s="773"/>
    </row>
    <row r="307" spans="1:16">
      <c r="F307" s="776" t="s">
        <v>6855</v>
      </c>
      <c r="G307" s="777"/>
      <c r="H307" s="765" t="s">
        <v>8383</v>
      </c>
      <c r="I307" s="765" t="s">
        <v>8383</v>
      </c>
      <c r="J307" s="765" t="s">
        <v>8383</v>
      </c>
      <c r="K307" s="765"/>
      <c r="L307" s="1195"/>
      <c r="M307" s="780"/>
      <c r="O307" s="773"/>
    </row>
    <row r="308" spans="1:16">
      <c r="F308" s="781" t="s">
        <v>6856</v>
      </c>
      <c r="G308" s="782"/>
      <c r="H308" s="779" t="s">
        <v>8519</v>
      </c>
      <c r="I308" s="779" t="s">
        <v>8547</v>
      </c>
      <c r="J308" s="779" t="s">
        <v>8552</v>
      </c>
      <c r="K308" s="779"/>
      <c r="L308" s="1195"/>
      <c r="M308" s="780"/>
      <c r="O308" s="783"/>
      <c r="P308" s="783"/>
    </row>
    <row r="309" spans="1:16">
      <c r="E309" s="784"/>
      <c r="F309" s="781" t="s">
        <v>6857</v>
      </c>
      <c r="G309" s="782"/>
      <c r="H309" s="785"/>
      <c r="I309" s="786"/>
      <c r="J309" s="786"/>
      <c r="K309" s="786"/>
      <c r="L309" s="1195"/>
      <c r="O309" s="658"/>
      <c r="P309" s="658"/>
    </row>
    <row r="310" spans="1:16" ht="15.75" thickBot="1">
      <c r="E310" s="784"/>
      <c r="F310" s="798" t="s">
        <v>6858</v>
      </c>
      <c r="G310" s="799"/>
      <c r="H310" s="790" t="s">
        <v>8520</v>
      </c>
      <c r="I310" s="790" t="s">
        <v>8558</v>
      </c>
      <c r="J310" s="810" t="s">
        <v>8559</v>
      </c>
      <c r="K310" s="810"/>
      <c r="L310" s="1195"/>
      <c r="O310" s="658"/>
      <c r="P310" s="658"/>
    </row>
    <row r="311" spans="1:16" ht="15.75" thickBot="1">
      <c r="C311" s="792" t="s">
        <v>904</v>
      </c>
      <c r="D311" s="1196" t="s">
        <v>6859</v>
      </c>
      <c r="E311" s="1197"/>
      <c r="F311" s="1198"/>
      <c r="G311" s="793" t="s">
        <v>6860</v>
      </c>
      <c r="H311" s="792" t="s">
        <v>6861</v>
      </c>
      <c r="I311" s="792" t="s">
        <v>6861</v>
      </c>
      <c r="J311" s="792" t="s">
        <v>6861</v>
      </c>
      <c r="K311" s="792"/>
      <c r="L311" s="794"/>
      <c r="O311" s="659"/>
      <c r="P311" s="659"/>
    </row>
    <row r="312" spans="1:16" s="795" customFormat="1" ht="39" customHeight="1" thickBot="1">
      <c r="A312" s="769"/>
      <c r="B312" s="770">
        <f>SUMIF(CPU!$E$11:$E$1943,COTAÇÕES!$C312,CPU!$B$11:$B$1943)</f>
        <v>5</v>
      </c>
      <c r="C312" s="850" t="s">
        <v>9057</v>
      </c>
      <c r="D312" s="1191" t="s">
        <v>8522</v>
      </c>
      <c r="E312" s="1192"/>
      <c r="F312" s="1193"/>
      <c r="G312" s="656" t="s">
        <v>6860</v>
      </c>
      <c r="H312" s="672">
        <v>955</v>
      </c>
      <c r="I312" s="672">
        <v>767.9</v>
      </c>
      <c r="J312" s="672">
        <v>635.54999999999995</v>
      </c>
      <c r="K312" s="672"/>
      <c r="L312" s="801">
        <f t="shared" ref="L312" si="31">IF(H312&lt;&gt;"",AVERAGE(H312:K312)," ")</f>
        <v>786.15</v>
      </c>
      <c r="M312" s="770"/>
      <c r="O312" s="796"/>
      <c r="P312" s="797"/>
    </row>
    <row r="313" spans="1:16" ht="15.75" thickBot="1"/>
    <row r="314" spans="1:16" ht="15.75" thickBot="1">
      <c r="H314" s="774" t="s">
        <v>6851</v>
      </c>
      <c r="I314" s="775" t="s">
        <v>6852</v>
      </c>
      <c r="J314" s="775" t="s">
        <v>6853</v>
      </c>
      <c r="K314" s="775"/>
      <c r="L314" s="1194" t="s">
        <v>6854</v>
      </c>
      <c r="O314" s="773"/>
    </row>
    <row r="315" spans="1:16">
      <c r="F315" s="776" t="s">
        <v>6855</v>
      </c>
      <c r="G315" s="777"/>
      <c r="H315" s="765" t="s">
        <v>8383</v>
      </c>
      <c r="I315" s="765" t="s">
        <v>8383</v>
      </c>
      <c r="J315" s="765" t="s">
        <v>8383</v>
      </c>
      <c r="K315" s="765"/>
      <c r="L315" s="1195"/>
      <c r="M315" s="780"/>
      <c r="O315" s="773"/>
    </row>
    <row r="316" spans="1:16">
      <c r="F316" s="781" t="s">
        <v>6856</v>
      </c>
      <c r="G316" s="782"/>
      <c r="H316" s="779" t="s">
        <v>8547</v>
      </c>
      <c r="I316" s="779" t="s">
        <v>8554</v>
      </c>
      <c r="J316" s="779" t="s">
        <v>8562</v>
      </c>
      <c r="K316" s="779"/>
      <c r="L316" s="1195"/>
      <c r="M316" s="780"/>
      <c r="O316" s="783"/>
      <c r="P316" s="783"/>
    </row>
    <row r="317" spans="1:16">
      <c r="E317" s="784"/>
      <c r="F317" s="781" t="s">
        <v>6857</v>
      </c>
      <c r="G317" s="782"/>
      <c r="H317" s="785"/>
      <c r="I317" s="786"/>
      <c r="J317" s="786"/>
      <c r="K317" s="786"/>
      <c r="L317" s="1195"/>
      <c r="O317" s="658"/>
      <c r="P317" s="658"/>
    </row>
    <row r="318" spans="1:16" ht="15.75" thickBot="1">
      <c r="E318" s="784"/>
      <c r="F318" s="798" t="s">
        <v>6858</v>
      </c>
      <c r="G318" s="799"/>
      <c r="H318" s="790" t="s">
        <v>8560</v>
      </c>
      <c r="I318" s="790" t="s">
        <v>8561</v>
      </c>
      <c r="J318" s="810" t="s">
        <v>8563</v>
      </c>
      <c r="K318" s="810"/>
      <c r="L318" s="1195"/>
      <c r="O318" s="658"/>
      <c r="P318" s="658"/>
    </row>
    <row r="319" spans="1:16" ht="15.75" thickBot="1">
      <c r="C319" s="792" t="s">
        <v>904</v>
      </c>
      <c r="D319" s="1196" t="s">
        <v>6859</v>
      </c>
      <c r="E319" s="1197"/>
      <c r="F319" s="1198"/>
      <c r="G319" s="793" t="s">
        <v>6860</v>
      </c>
      <c r="H319" s="792" t="s">
        <v>6861</v>
      </c>
      <c r="I319" s="792" t="s">
        <v>6861</v>
      </c>
      <c r="J319" s="792" t="s">
        <v>6861</v>
      </c>
      <c r="K319" s="792"/>
      <c r="L319" s="794"/>
      <c r="O319" s="659"/>
      <c r="P319" s="659"/>
    </row>
    <row r="320" spans="1:16" s="795" customFormat="1" ht="39" customHeight="1" thickBot="1">
      <c r="A320" s="769"/>
      <c r="B320" s="770">
        <f>SUMIF(CPU!$E$11:$E$1943,COTAÇÕES!$C320,CPU!$B$11:$B$1943)</f>
        <v>1</v>
      </c>
      <c r="C320" s="850" t="s">
        <v>9058</v>
      </c>
      <c r="D320" s="1191" t="s">
        <v>8528</v>
      </c>
      <c r="E320" s="1192"/>
      <c r="F320" s="1193"/>
      <c r="G320" s="656" t="s">
        <v>6860</v>
      </c>
      <c r="H320" s="672">
        <v>26.9</v>
      </c>
      <c r="I320" s="672">
        <v>13.3</v>
      </c>
      <c r="J320" s="672">
        <v>14.01</v>
      </c>
      <c r="K320" s="672"/>
      <c r="L320" s="801">
        <f t="shared" ref="L320" si="32">IF(H320&lt;&gt;"",AVERAGE(H320:K320)," ")</f>
        <v>18.07</v>
      </c>
      <c r="M320" s="770"/>
      <c r="O320" s="796"/>
      <c r="P320" s="797"/>
    </row>
    <row r="321" spans="1:16" ht="15.75" thickBot="1"/>
    <row r="322" spans="1:16" ht="15.75" thickBot="1">
      <c r="H322" s="774" t="s">
        <v>6851</v>
      </c>
      <c r="I322" s="775" t="s">
        <v>6852</v>
      </c>
      <c r="J322" s="775" t="s">
        <v>6853</v>
      </c>
      <c r="K322" s="775"/>
      <c r="L322" s="1194" t="s">
        <v>6854</v>
      </c>
      <c r="O322" s="773"/>
    </row>
    <row r="323" spans="1:16">
      <c r="F323" s="776" t="s">
        <v>6855</v>
      </c>
      <c r="G323" s="777"/>
      <c r="H323" s="765" t="s">
        <v>8383</v>
      </c>
      <c r="I323" s="765" t="s">
        <v>8383</v>
      </c>
      <c r="J323" s="765" t="s">
        <v>8383</v>
      </c>
      <c r="K323" s="765"/>
      <c r="L323" s="1195"/>
      <c r="M323" s="780"/>
      <c r="O323" s="773"/>
    </row>
    <row r="324" spans="1:16">
      <c r="F324" s="781" t="s">
        <v>6856</v>
      </c>
      <c r="G324" s="782"/>
      <c r="H324" s="779" t="s">
        <v>8547</v>
      </c>
      <c r="I324" s="779" t="s">
        <v>7521</v>
      </c>
      <c r="J324" s="779" t="s">
        <v>8566</v>
      </c>
      <c r="K324" s="779"/>
      <c r="L324" s="1195"/>
      <c r="M324" s="780"/>
      <c r="O324" s="783"/>
      <c r="P324" s="783"/>
    </row>
    <row r="325" spans="1:16">
      <c r="E325" s="784"/>
      <c r="F325" s="781" t="s">
        <v>6857</v>
      </c>
      <c r="G325" s="782"/>
      <c r="H325" s="785"/>
      <c r="I325" s="786"/>
      <c r="J325" s="786"/>
      <c r="K325" s="786"/>
      <c r="L325" s="1195"/>
      <c r="O325" s="658"/>
      <c r="P325" s="658"/>
    </row>
    <row r="326" spans="1:16" ht="15.75" thickBot="1">
      <c r="E326" s="784"/>
      <c r="F326" s="798" t="s">
        <v>6858</v>
      </c>
      <c r="G326" s="799"/>
      <c r="H326" s="790" t="s">
        <v>8564</v>
      </c>
      <c r="I326" s="790" t="s">
        <v>8565</v>
      </c>
      <c r="J326" s="810" t="s">
        <v>8567</v>
      </c>
      <c r="K326" s="810"/>
      <c r="L326" s="1195"/>
      <c r="O326" s="658"/>
      <c r="P326" s="658"/>
    </row>
    <row r="327" spans="1:16" ht="15.75" thickBot="1">
      <c r="C327" s="792" t="s">
        <v>904</v>
      </c>
      <c r="D327" s="1196" t="s">
        <v>6859</v>
      </c>
      <c r="E327" s="1197"/>
      <c r="F327" s="1198"/>
      <c r="G327" s="793" t="s">
        <v>6860</v>
      </c>
      <c r="H327" s="792" t="s">
        <v>6861</v>
      </c>
      <c r="I327" s="792" t="s">
        <v>6861</v>
      </c>
      <c r="J327" s="792" t="s">
        <v>6861</v>
      </c>
      <c r="K327" s="792"/>
      <c r="L327" s="794"/>
      <c r="O327" s="659"/>
      <c r="P327" s="659"/>
    </row>
    <row r="328" spans="1:16" s="795" customFormat="1" ht="39" customHeight="1" thickBot="1">
      <c r="A328" s="769"/>
      <c r="B328" s="770">
        <f>SUMIF(CPU!$E$11:$E$1943,COTAÇÕES!$C328,CPU!$B$11:$B$1943)</f>
        <v>5</v>
      </c>
      <c r="C328" s="850" t="s">
        <v>9059</v>
      </c>
      <c r="D328" s="1191" t="s">
        <v>8529</v>
      </c>
      <c r="E328" s="1192"/>
      <c r="F328" s="1193"/>
      <c r="G328" s="656" t="s">
        <v>6860</v>
      </c>
      <c r="H328" s="672">
        <v>58.9</v>
      </c>
      <c r="I328" s="672">
        <v>66.900000000000006</v>
      </c>
      <c r="J328" s="672">
        <v>32</v>
      </c>
      <c r="K328" s="672"/>
      <c r="L328" s="801">
        <f t="shared" ref="L328" si="33">IF(H328&lt;&gt;"",AVERAGE(H328:K328)," ")</f>
        <v>52.6</v>
      </c>
      <c r="M328" s="770"/>
      <c r="O328" s="796"/>
      <c r="P328" s="797"/>
    </row>
    <row r="329" spans="1:16" ht="15.75" thickBot="1"/>
    <row r="330" spans="1:16" ht="15.75" thickBot="1">
      <c r="H330" s="774" t="s">
        <v>6851</v>
      </c>
      <c r="I330" s="775" t="s">
        <v>6852</v>
      </c>
      <c r="J330" s="775" t="s">
        <v>6853</v>
      </c>
      <c r="K330" s="775"/>
      <c r="L330" s="1194" t="s">
        <v>6854</v>
      </c>
      <c r="O330" s="773"/>
    </row>
    <row r="331" spans="1:16">
      <c r="F331" s="776" t="s">
        <v>6855</v>
      </c>
      <c r="G331" s="777"/>
      <c r="H331" s="765" t="s">
        <v>8383</v>
      </c>
      <c r="I331" s="765" t="s">
        <v>8383</v>
      </c>
      <c r="J331" s="765" t="s">
        <v>8383</v>
      </c>
      <c r="K331" s="765"/>
      <c r="L331" s="1195"/>
      <c r="M331" s="780"/>
      <c r="O331" s="773"/>
    </row>
    <row r="332" spans="1:16">
      <c r="F332" s="781" t="s">
        <v>6856</v>
      </c>
      <c r="G332" s="782"/>
      <c r="H332" s="779" t="s">
        <v>8547</v>
      </c>
      <c r="I332" s="779" t="s">
        <v>8519</v>
      </c>
      <c r="J332" s="779" t="s">
        <v>7521</v>
      </c>
      <c r="K332" s="779"/>
      <c r="L332" s="1195"/>
      <c r="M332" s="780"/>
      <c r="O332" s="783"/>
      <c r="P332" s="783"/>
    </row>
    <row r="333" spans="1:16">
      <c r="E333" s="784"/>
      <c r="F333" s="781" t="s">
        <v>6857</v>
      </c>
      <c r="G333" s="782"/>
      <c r="H333" s="785"/>
      <c r="I333" s="786"/>
      <c r="J333" s="786"/>
      <c r="K333" s="786"/>
      <c r="L333" s="1195"/>
      <c r="O333" s="658"/>
      <c r="P333" s="658"/>
    </row>
    <row r="334" spans="1:16" ht="15.75" thickBot="1">
      <c r="E334" s="784"/>
      <c r="F334" s="798" t="s">
        <v>6858</v>
      </c>
      <c r="G334" s="799"/>
      <c r="H334" s="790" t="s">
        <v>8568</v>
      </c>
      <c r="I334" s="790" t="s">
        <v>8569</v>
      </c>
      <c r="J334" s="810" t="s">
        <v>8570</v>
      </c>
      <c r="K334" s="810"/>
      <c r="L334" s="1195"/>
      <c r="O334" s="658"/>
      <c r="P334" s="658"/>
    </row>
    <row r="335" spans="1:16" ht="15.75" thickBot="1">
      <c r="C335" s="792" t="s">
        <v>904</v>
      </c>
      <c r="D335" s="1196" t="s">
        <v>6859</v>
      </c>
      <c r="E335" s="1197"/>
      <c r="F335" s="1198"/>
      <c r="G335" s="793" t="s">
        <v>6860</v>
      </c>
      <c r="H335" s="792" t="s">
        <v>6861</v>
      </c>
      <c r="I335" s="792" t="s">
        <v>6861</v>
      </c>
      <c r="J335" s="792" t="s">
        <v>6861</v>
      </c>
      <c r="K335" s="792"/>
      <c r="L335" s="794"/>
      <c r="O335" s="659"/>
      <c r="P335" s="659"/>
    </row>
    <row r="336" spans="1:16" s="795" customFormat="1" ht="39" customHeight="1" thickBot="1">
      <c r="A336" s="769"/>
      <c r="B336" s="770">
        <f>SUMIF(CPU!$E$11:$E$1943,COTAÇÕES!$C336,CPU!$B$11:$B$1943)</f>
        <v>5</v>
      </c>
      <c r="C336" s="850" t="s">
        <v>9060</v>
      </c>
      <c r="D336" s="1191" t="s">
        <v>8538</v>
      </c>
      <c r="E336" s="1192"/>
      <c r="F336" s="1193"/>
      <c r="G336" s="656" t="s">
        <v>6860</v>
      </c>
      <c r="H336" s="672">
        <v>169.9</v>
      </c>
      <c r="I336" s="672">
        <v>168.75</v>
      </c>
      <c r="J336" s="672">
        <v>109.9</v>
      </c>
      <c r="K336" s="672"/>
      <c r="L336" s="801">
        <f t="shared" ref="L336" si="34">IF(H336&lt;&gt;"",AVERAGE(H336:K336)," ")</f>
        <v>149.51666666666665</v>
      </c>
      <c r="M336" s="770"/>
      <c r="O336" s="796"/>
      <c r="P336" s="797"/>
    </row>
    <row r="337" spans="1:16" ht="15.75" thickBot="1"/>
    <row r="338" spans="1:16" ht="15.75" thickBot="1">
      <c r="H338" s="774" t="s">
        <v>6851</v>
      </c>
      <c r="I338" s="775" t="s">
        <v>6852</v>
      </c>
      <c r="J338" s="775" t="s">
        <v>6853</v>
      </c>
      <c r="K338" s="775"/>
      <c r="L338" s="1194" t="s">
        <v>6854</v>
      </c>
      <c r="O338" s="773"/>
    </row>
    <row r="339" spans="1:16">
      <c r="F339" s="776" t="s">
        <v>6855</v>
      </c>
      <c r="G339" s="777"/>
      <c r="H339" s="765" t="s">
        <v>8383</v>
      </c>
      <c r="I339" s="765" t="s">
        <v>8383</v>
      </c>
      <c r="J339" s="765" t="s">
        <v>8383</v>
      </c>
      <c r="K339" s="765"/>
      <c r="L339" s="1195"/>
      <c r="M339" s="780"/>
      <c r="O339" s="773"/>
    </row>
    <row r="340" spans="1:16">
      <c r="F340" s="781" t="s">
        <v>6856</v>
      </c>
      <c r="G340" s="782"/>
      <c r="H340" s="779" t="s">
        <v>8554</v>
      </c>
      <c r="I340" s="779" t="s">
        <v>8547</v>
      </c>
      <c r="J340" s="779" t="s">
        <v>8566</v>
      </c>
      <c r="K340" s="779"/>
      <c r="L340" s="1195"/>
      <c r="M340" s="780"/>
      <c r="O340" s="783"/>
      <c r="P340" s="783"/>
    </row>
    <row r="341" spans="1:16">
      <c r="E341" s="784"/>
      <c r="F341" s="781" t="s">
        <v>6857</v>
      </c>
      <c r="G341" s="782"/>
      <c r="H341" s="785"/>
      <c r="I341" s="786"/>
      <c r="J341" s="786"/>
      <c r="K341" s="786"/>
      <c r="L341" s="1195"/>
      <c r="O341" s="658"/>
      <c r="P341" s="658"/>
    </row>
    <row r="342" spans="1:16" ht="15.75" thickBot="1">
      <c r="E342" s="784"/>
      <c r="F342" s="798" t="s">
        <v>6858</v>
      </c>
      <c r="G342" s="799"/>
      <c r="H342" s="790" t="s">
        <v>8571</v>
      </c>
      <c r="I342" s="790" t="s">
        <v>8572</v>
      </c>
      <c r="J342" s="810" t="s">
        <v>8814</v>
      </c>
      <c r="K342" s="810"/>
      <c r="L342" s="1195"/>
      <c r="O342" s="658"/>
      <c r="P342" s="658"/>
    </row>
    <row r="343" spans="1:16" ht="15.75" thickBot="1">
      <c r="C343" s="792" t="s">
        <v>904</v>
      </c>
      <c r="D343" s="1196" t="s">
        <v>6859</v>
      </c>
      <c r="E343" s="1197"/>
      <c r="F343" s="1198"/>
      <c r="G343" s="793" t="s">
        <v>6860</v>
      </c>
      <c r="H343" s="792" t="s">
        <v>6861</v>
      </c>
      <c r="I343" s="792" t="s">
        <v>6861</v>
      </c>
      <c r="J343" s="792" t="s">
        <v>6861</v>
      </c>
      <c r="K343" s="792"/>
      <c r="L343" s="794"/>
      <c r="O343" s="659"/>
      <c r="P343" s="659"/>
    </row>
    <row r="344" spans="1:16" s="795" customFormat="1" ht="39" customHeight="1" thickBot="1">
      <c r="A344" s="769"/>
      <c r="B344" s="770">
        <f>SUMIF(CPU!$E$11:$E$1943,COTAÇÕES!$C344,CPU!$B$11:$B$1943)</f>
        <v>2</v>
      </c>
      <c r="C344" s="850" t="s">
        <v>9061</v>
      </c>
      <c r="D344" s="1191" t="s">
        <v>8543</v>
      </c>
      <c r="E344" s="1192"/>
      <c r="F344" s="1193"/>
      <c r="G344" s="656" t="s">
        <v>648</v>
      </c>
      <c r="H344" s="672">
        <v>4.0599999999999996</v>
      </c>
      <c r="I344" s="672">
        <f>89.9/10</f>
        <v>8.99</v>
      </c>
      <c r="J344" s="672">
        <v>3.49</v>
      </c>
      <c r="K344" s="672"/>
      <c r="L344" s="801">
        <f t="shared" ref="L344" si="35">IF(H344&lt;&gt;"",AVERAGE(H344:K344)," ")</f>
        <v>5.5133333333333328</v>
      </c>
      <c r="M344" s="770"/>
      <c r="O344" s="796"/>
      <c r="P344" s="797"/>
    </row>
    <row r="345" spans="1:16" ht="15.75" thickBot="1"/>
    <row r="346" spans="1:16" ht="15.75" thickBot="1">
      <c r="H346" s="774" t="s">
        <v>6851</v>
      </c>
      <c r="I346" s="775" t="s">
        <v>6852</v>
      </c>
      <c r="J346" s="775" t="s">
        <v>6853</v>
      </c>
      <c r="K346" s="775"/>
      <c r="L346" s="1194" t="s">
        <v>6854</v>
      </c>
      <c r="O346" s="773"/>
    </row>
    <row r="347" spans="1:16">
      <c r="F347" s="776" t="s">
        <v>6855</v>
      </c>
      <c r="G347" s="777"/>
      <c r="H347" s="765" t="s">
        <v>8383</v>
      </c>
      <c r="I347" s="765" t="s">
        <v>8383</v>
      </c>
      <c r="J347" s="765" t="s">
        <v>8383</v>
      </c>
      <c r="K347" s="765"/>
      <c r="L347" s="1195"/>
      <c r="M347" s="780"/>
      <c r="O347" s="773"/>
    </row>
    <row r="348" spans="1:16">
      <c r="F348" s="781" t="s">
        <v>6856</v>
      </c>
      <c r="G348" s="782"/>
      <c r="H348" s="779" t="s">
        <v>8547</v>
      </c>
      <c r="I348" s="779" t="s">
        <v>7521</v>
      </c>
      <c r="J348" s="779"/>
      <c r="K348" s="779"/>
      <c r="L348" s="1195"/>
      <c r="M348" s="780"/>
      <c r="O348" s="783"/>
      <c r="P348" s="783"/>
    </row>
    <row r="349" spans="1:16">
      <c r="E349" s="784"/>
      <c r="F349" s="781" t="s">
        <v>6857</v>
      </c>
      <c r="G349" s="782"/>
      <c r="H349" s="785"/>
      <c r="I349" s="786"/>
      <c r="J349" s="786"/>
      <c r="K349" s="786"/>
      <c r="L349" s="1195"/>
      <c r="O349" s="658"/>
      <c r="P349" s="658"/>
    </row>
    <row r="350" spans="1:16" ht="15.75" thickBot="1">
      <c r="E350" s="784"/>
      <c r="F350" s="798" t="s">
        <v>6858</v>
      </c>
      <c r="G350" s="799"/>
      <c r="H350" s="790" t="s">
        <v>8573</v>
      </c>
      <c r="I350" s="790" t="s">
        <v>8574</v>
      </c>
      <c r="J350" s="810"/>
      <c r="K350" s="810"/>
      <c r="L350" s="1195"/>
      <c r="O350" s="658"/>
      <c r="P350" s="658"/>
    </row>
    <row r="351" spans="1:16" ht="15.75" thickBot="1">
      <c r="C351" s="792" t="s">
        <v>904</v>
      </c>
      <c r="D351" s="1196" t="s">
        <v>6859</v>
      </c>
      <c r="E351" s="1197"/>
      <c r="F351" s="1198"/>
      <c r="G351" s="793" t="s">
        <v>6860</v>
      </c>
      <c r="H351" s="792" t="s">
        <v>6861</v>
      </c>
      <c r="I351" s="792" t="s">
        <v>6861</v>
      </c>
      <c r="J351" s="792" t="s">
        <v>6861</v>
      </c>
      <c r="K351" s="792"/>
      <c r="L351" s="794"/>
      <c r="O351" s="659"/>
      <c r="P351" s="659"/>
    </row>
    <row r="352" spans="1:16" s="795" customFormat="1" ht="39" customHeight="1" thickBot="1">
      <c r="A352" s="769"/>
      <c r="B352" s="770">
        <f>SUMIF(CPU!$E$11:$E$1943,COTAÇÕES!$C352,CPU!$B$11:$B$1943)</f>
        <v>14</v>
      </c>
      <c r="C352" s="850" t="s">
        <v>9062</v>
      </c>
      <c r="D352" s="1191" t="s">
        <v>8545</v>
      </c>
      <c r="E352" s="1192"/>
      <c r="F352" s="1193"/>
      <c r="G352" s="656" t="s">
        <v>648</v>
      </c>
      <c r="H352" s="672">
        <f>87.9/5</f>
        <v>17.580000000000002</v>
      </c>
      <c r="I352" s="672">
        <f>113.9/5</f>
        <v>22.78</v>
      </c>
      <c r="J352" s="672"/>
      <c r="K352" s="672"/>
      <c r="L352" s="801">
        <f t="shared" ref="L352" si="36">IF(H352&lt;&gt;"",AVERAGE(H352:K352)," ")</f>
        <v>20.18</v>
      </c>
      <c r="M352" s="770"/>
      <c r="O352" s="796"/>
      <c r="P352" s="797"/>
    </row>
    <row r="353" spans="1:16" ht="15.75" thickBot="1">
      <c r="L353" s="769"/>
      <c r="O353" s="773"/>
    </row>
    <row r="354" spans="1:16" ht="15.75" thickBot="1">
      <c r="H354" s="774" t="s">
        <v>6851</v>
      </c>
      <c r="I354" s="775" t="s">
        <v>6852</v>
      </c>
      <c r="J354" s="775" t="s">
        <v>6853</v>
      </c>
      <c r="K354" s="775"/>
      <c r="L354" s="1194" t="s">
        <v>6854</v>
      </c>
      <c r="O354" s="773"/>
    </row>
    <row r="355" spans="1:16">
      <c r="F355" s="776" t="s">
        <v>6855</v>
      </c>
      <c r="G355" s="777"/>
      <c r="H355" s="778" t="s">
        <v>8383</v>
      </c>
      <c r="I355" s="778" t="s">
        <v>8383</v>
      </c>
      <c r="J355" s="778"/>
      <c r="K355" s="778"/>
      <c r="L355" s="1195"/>
      <c r="M355" s="780"/>
      <c r="O355" s="773"/>
    </row>
    <row r="356" spans="1:16">
      <c r="F356" s="781" t="s">
        <v>6856</v>
      </c>
      <c r="G356" s="782"/>
      <c r="H356" s="779" t="s">
        <v>9165</v>
      </c>
      <c r="I356" s="779" t="s">
        <v>9168</v>
      </c>
      <c r="J356" s="779"/>
      <c r="K356" s="779"/>
      <c r="L356" s="1195"/>
      <c r="M356" s="780"/>
      <c r="O356" s="783"/>
      <c r="P356" s="783"/>
    </row>
    <row r="357" spans="1:16">
      <c r="E357" s="784"/>
      <c r="F357" s="781" t="s">
        <v>6857</v>
      </c>
      <c r="G357" s="782"/>
      <c r="H357" s="785"/>
      <c r="I357" s="786"/>
      <c r="J357" s="786"/>
      <c r="K357" s="786"/>
      <c r="L357" s="1195"/>
      <c r="O357" s="658"/>
      <c r="P357" s="658"/>
    </row>
    <row r="358" spans="1:16" ht="15.75" thickBot="1">
      <c r="E358" s="784"/>
      <c r="F358" s="798" t="s">
        <v>6858</v>
      </c>
      <c r="G358" s="799"/>
      <c r="H358" s="800" t="s">
        <v>9166</v>
      </c>
      <c r="I358" s="800" t="s">
        <v>9169</v>
      </c>
      <c r="J358" s="802"/>
      <c r="K358" s="802"/>
      <c r="L358" s="1195"/>
      <c r="O358" s="658"/>
      <c r="P358" s="658"/>
    </row>
    <row r="359" spans="1:16" ht="15.75" thickBot="1">
      <c r="C359" s="792" t="s">
        <v>904</v>
      </c>
      <c r="D359" s="1196" t="s">
        <v>6859</v>
      </c>
      <c r="E359" s="1197"/>
      <c r="F359" s="1198"/>
      <c r="G359" s="793" t="s">
        <v>6860</v>
      </c>
      <c r="H359" s="792" t="s">
        <v>6861</v>
      </c>
      <c r="I359" s="792" t="s">
        <v>6861</v>
      </c>
      <c r="J359" s="792" t="s">
        <v>6861</v>
      </c>
      <c r="K359" s="792"/>
      <c r="L359" s="794"/>
      <c r="O359" s="659"/>
      <c r="P359" s="659"/>
    </row>
    <row r="360" spans="1:16" s="795" customFormat="1" ht="27.75" customHeight="1" thickBot="1">
      <c r="A360" s="769"/>
      <c r="B360" s="770">
        <f>SUMIF(CPU!$E$11:$E$1943,COTAÇÕES!$C360,CPU!$B$11:$B$1943)</f>
        <v>0</v>
      </c>
      <c r="C360" s="768" t="s">
        <v>9064</v>
      </c>
      <c r="D360" s="1191" t="s">
        <v>9167</v>
      </c>
      <c r="E360" s="1192"/>
      <c r="F360" s="1193"/>
      <c r="G360" s="656" t="s">
        <v>646</v>
      </c>
      <c r="H360" s="657">
        <v>28.99</v>
      </c>
      <c r="I360" s="657">
        <v>27</v>
      </c>
      <c r="J360" s="657"/>
      <c r="K360" s="657"/>
      <c r="L360" s="801">
        <f t="shared" ref="L360" si="37">IF(H360&lt;&gt;"",AVERAGE(H360:K360)," ")</f>
        <v>27.994999999999997</v>
      </c>
      <c r="O360" s="796"/>
      <c r="P360" s="797"/>
    </row>
    <row r="361" spans="1:16" ht="15.75" thickBot="1">
      <c r="L361" s="769"/>
      <c r="O361" s="773"/>
    </row>
    <row r="362" spans="1:16" ht="15.75" thickBot="1">
      <c r="H362" s="774" t="s">
        <v>6851</v>
      </c>
      <c r="I362" s="775" t="s">
        <v>6852</v>
      </c>
      <c r="J362" s="775" t="s">
        <v>6853</v>
      </c>
      <c r="K362" s="775"/>
      <c r="L362" s="1194" t="s">
        <v>6854</v>
      </c>
      <c r="O362" s="773"/>
    </row>
    <row r="363" spans="1:16">
      <c r="F363" s="776" t="s">
        <v>6855</v>
      </c>
      <c r="G363" s="777"/>
      <c r="H363" s="778" t="s">
        <v>8383</v>
      </c>
      <c r="I363" s="778" t="s">
        <v>8383</v>
      </c>
      <c r="J363" s="778" t="s">
        <v>8383</v>
      </c>
      <c r="K363" s="778"/>
      <c r="L363" s="1195"/>
      <c r="M363" s="780"/>
      <c r="O363" s="773"/>
    </row>
    <row r="364" spans="1:16">
      <c r="F364" s="781" t="s">
        <v>6856</v>
      </c>
      <c r="G364" s="782"/>
      <c r="H364" s="779" t="s">
        <v>9170</v>
      </c>
      <c r="I364" s="779" t="s">
        <v>9165</v>
      </c>
      <c r="J364" s="779" t="s">
        <v>7536</v>
      </c>
      <c r="K364" s="779"/>
      <c r="L364" s="1195"/>
      <c r="M364" s="780"/>
      <c r="O364" s="783"/>
      <c r="P364" s="783"/>
    </row>
    <row r="365" spans="1:16">
      <c r="E365" s="784"/>
      <c r="F365" s="781" t="s">
        <v>6857</v>
      </c>
      <c r="G365" s="782"/>
      <c r="H365" s="785"/>
      <c r="I365" s="786"/>
      <c r="J365" s="786"/>
      <c r="K365" s="786"/>
      <c r="L365" s="1195"/>
      <c r="O365" s="658"/>
      <c r="P365" s="658"/>
    </row>
    <row r="366" spans="1:16" ht="15.75" thickBot="1">
      <c r="E366" s="784"/>
      <c r="F366" s="798" t="s">
        <v>6858</v>
      </c>
      <c r="G366" s="799"/>
      <c r="H366" s="800" t="s">
        <v>9171</v>
      </c>
      <c r="I366" s="800" t="s">
        <v>9172</v>
      </c>
      <c r="J366" s="802" t="s">
        <v>9173</v>
      </c>
      <c r="K366" s="802"/>
      <c r="L366" s="1195"/>
      <c r="O366" s="658"/>
      <c r="P366" s="658"/>
    </row>
    <row r="367" spans="1:16" ht="15.75" thickBot="1">
      <c r="C367" s="792" t="s">
        <v>904</v>
      </c>
      <c r="D367" s="1196" t="s">
        <v>6859</v>
      </c>
      <c r="E367" s="1197"/>
      <c r="F367" s="1198"/>
      <c r="G367" s="793" t="s">
        <v>6860</v>
      </c>
      <c r="H367" s="792" t="s">
        <v>6861</v>
      </c>
      <c r="I367" s="792" t="s">
        <v>6861</v>
      </c>
      <c r="J367" s="792" t="s">
        <v>6861</v>
      </c>
      <c r="K367" s="792"/>
      <c r="L367" s="794"/>
      <c r="O367" s="659"/>
      <c r="P367" s="659"/>
    </row>
    <row r="368" spans="1:16" s="795" customFormat="1" ht="22.5" customHeight="1" thickBot="1">
      <c r="A368" s="769"/>
      <c r="B368" s="770">
        <f>SUMIF(CPU!$E$11:$E$1943,COTAÇÕES!$C368,CPU!$B$11:$B$1943)</f>
        <v>114</v>
      </c>
      <c r="C368" s="768" t="s">
        <v>8943</v>
      </c>
      <c r="D368" s="1191" t="s">
        <v>9065</v>
      </c>
      <c r="E368" s="1192"/>
      <c r="F368" s="1193"/>
      <c r="G368" s="656" t="s">
        <v>648</v>
      </c>
      <c r="H368" s="657">
        <f>64.5/3</f>
        <v>21.5</v>
      </c>
      <c r="I368" s="657">
        <f>117.99/3</f>
        <v>39.33</v>
      </c>
      <c r="J368" s="657">
        <f>98.63/3</f>
        <v>32.876666666666665</v>
      </c>
      <c r="K368" s="657"/>
      <c r="L368" s="801">
        <f t="shared" ref="L368" si="38">IF(H368&lt;&gt;"",AVERAGE(H368:K368)," ")</f>
        <v>31.235555555555553</v>
      </c>
      <c r="O368" s="796"/>
      <c r="P368" s="797"/>
    </row>
    <row r="369" spans="1:16" ht="15.75" thickBot="1">
      <c r="L369" s="769"/>
      <c r="O369" s="773"/>
    </row>
    <row r="370" spans="1:16" ht="15.75" thickBot="1">
      <c r="H370" s="774" t="s">
        <v>6851</v>
      </c>
      <c r="I370" s="775" t="s">
        <v>6852</v>
      </c>
      <c r="J370" s="775" t="s">
        <v>6853</v>
      </c>
      <c r="K370" s="775"/>
      <c r="L370" s="1194" t="s">
        <v>6854</v>
      </c>
      <c r="O370" s="773"/>
    </row>
    <row r="371" spans="1:16">
      <c r="F371" s="776" t="s">
        <v>6855</v>
      </c>
      <c r="G371" s="777"/>
      <c r="H371" s="778" t="s">
        <v>8383</v>
      </c>
      <c r="I371" s="778" t="s">
        <v>8383</v>
      </c>
      <c r="J371" s="778" t="s">
        <v>8383</v>
      </c>
      <c r="K371" s="778"/>
      <c r="L371" s="1195"/>
      <c r="M371" s="780"/>
      <c r="O371" s="773"/>
    </row>
    <row r="372" spans="1:16">
      <c r="F372" s="781" t="s">
        <v>6856</v>
      </c>
      <c r="G372" s="782"/>
      <c r="H372" s="779" t="s">
        <v>9165</v>
      </c>
      <c r="I372" s="779" t="s">
        <v>9176</v>
      </c>
      <c r="J372" s="779" t="s">
        <v>7493</v>
      </c>
      <c r="K372" s="779"/>
      <c r="L372" s="1195"/>
      <c r="M372" s="780"/>
      <c r="O372" s="783"/>
      <c r="P372" s="783"/>
    </row>
    <row r="373" spans="1:16">
      <c r="E373" s="784"/>
      <c r="F373" s="781" t="s">
        <v>6857</v>
      </c>
      <c r="G373" s="782"/>
      <c r="H373" s="785"/>
      <c r="I373" s="786"/>
      <c r="J373" s="786"/>
      <c r="K373" s="786"/>
      <c r="L373" s="1195"/>
      <c r="O373" s="658"/>
      <c r="P373" s="658"/>
    </row>
    <row r="374" spans="1:16" ht="15.75" thickBot="1">
      <c r="E374" s="784"/>
      <c r="F374" s="798" t="s">
        <v>6858</v>
      </c>
      <c r="G374" s="799"/>
      <c r="H374" s="800" t="s">
        <v>9174</v>
      </c>
      <c r="I374" s="800" t="s">
        <v>9175</v>
      </c>
      <c r="J374" s="802" t="s">
        <v>9177</v>
      </c>
      <c r="K374" s="802"/>
      <c r="L374" s="1195"/>
      <c r="O374" s="658"/>
      <c r="P374" s="658"/>
    </row>
    <row r="375" spans="1:16" ht="15.75" thickBot="1">
      <c r="C375" s="792" t="s">
        <v>904</v>
      </c>
      <c r="D375" s="1196" t="s">
        <v>6859</v>
      </c>
      <c r="E375" s="1197"/>
      <c r="F375" s="1198"/>
      <c r="G375" s="793" t="s">
        <v>6860</v>
      </c>
      <c r="H375" s="792" t="s">
        <v>6861</v>
      </c>
      <c r="I375" s="792" t="s">
        <v>6861</v>
      </c>
      <c r="J375" s="792" t="s">
        <v>6861</v>
      </c>
      <c r="K375" s="792"/>
      <c r="L375" s="794"/>
      <c r="O375" s="659"/>
      <c r="P375" s="659"/>
    </row>
    <row r="376" spans="1:16" s="795" customFormat="1" ht="22.5" customHeight="1" thickBot="1">
      <c r="A376" s="769"/>
      <c r="B376" s="770">
        <f>SUMIF(CPU!$E$11:$E$1943,COTAÇÕES!$C376,CPU!$B$11:$B$1943)</f>
        <v>114</v>
      </c>
      <c r="C376" s="768" t="s">
        <v>8945</v>
      </c>
      <c r="D376" s="1191" t="s">
        <v>9066</v>
      </c>
      <c r="E376" s="1192"/>
      <c r="F376" s="1193"/>
      <c r="G376" s="656" t="s">
        <v>646</v>
      </c>
      <c r="H376" s="657">
        <v>5.89</v>
      </c>
      <c r="I376" s="657">
        <v>6.3</v>
      </c>
      <c r="J376" s="657">
        <v>5.57</v>
      </c>
      <c r="K376" s="657"/>
      <c r="L376" s="801">
        <f t="shared" ref="L376" si="39">IF(H376&lt;&gt;"",AVERAGE(H376:K376)," ")</f>
        <v>5.919999999999999</v>
      </c>
      <c r="O376" s="796"/>
      <c r="P376" s="797"/>
    </row>
    <row r="377" spans="1:16" ht="15.75" thickBot="1">
      <c r="L377" s="769"/>
      <c r="O377" s="773"/>
    </row>
    <row r="378" spans="1:16" ht="15.75" thickBot="1">
      <c r="H378" s="774" t="s">
        <v>6851</v>
      </c>
      <c r="I378" s="775" t="s">
        <v>6852</v>
      </c>
      <c r="J378" s="775" t="s">
        <v>6853</v>
      </c>
      <c r="K378" s="775"/>
      <c r="L378" s="1194" t="s">
        <v>6854</v>
      </c>
      <c r="O378" s="773"/>
    </row>
    <row r="379" spans="1:16">
      <c r="F379" s="776" t="s">
        <v>6855</v>
      </c>
      <c r="G379" s="777"/>
      <c r="H379" s="778" t="s">
        <v>8383</v>
      </c>
      <c r="I379" s="778" t="s">
        <v>8383</v>
      </c>
      <c r="J379" s="778" t="s">
        <v>8383</v>
      </c>
      <c r="K379" s="778"/>
      <c r="L379" s="1195"/>
      <c r="M379" s="780"/>
      <c r="O379" s="773"/>
    </row>
    <row r="380" spans="1:16">
      <c r="F380" s="781" t="s">
        <v>6856</v>
      </c>
      <c r="G380" s="782"/>
      <c r="H380" s="779" t="s">
        <v>9178</v>
      </c>
      <c r="I380" s="779" t="s">
        <v>9182</v>
      </c>
      <c r="J380" s="779" t="s">
        <v>6891</v>
      </c>
      <c r="K380" s="779"/>
      <c r="L380" s="1195"/>
      <c r="M380" s="780"/>
      <c r="O380" s="783"/>
      <c r="P380" s="783"/>
    </row>
    <row r="381" spans="1:16">
      <c r="E381" s="784"/>
      <c r="F381" s="781" t="s">
        <v>6857</v>
      </c>
      <c r="G381" s="782"/>
      <c r="H381" s="785"/>
      <c r="I381" s="786"/>
      <c r="J381" s="786"/>
      <c r="K381" s="786"/>
      <c r="L381" s="1195"/>
      <c r="O381" s="658"/>
      <c r="P381" s="658"/>
    </row>
    <row r="382" spans="1:16" ht="15.75" thickBot="1">
      <c r="E382" s="784"/>
      <c r="F382" s="798" t="s">
        <v>6858</v>
      </c>
      <c r="G382" s="799"/>
      <c r="H382" s="800" t="s">
        <v>9179</v>
      </c>
      <c r="I382" s="800" t="s">
        <v>9181</v>
      </c>
      <c r="J382" s="802" t="s">
        <v>9180</v>
      </c>
      <c r="K382" s="802"/>
      <c r="L382" s="1195"/>
      <c r="O382" s="658"/>
      <c r="P382" s="658"/>
    </row>
    <row r="383" spans="1:16" ht="15.75" thickBot="1">
      <c r="C383" s="792" t="s">
        <v>904</v>
      </c>
      <c r="D383" s="1196" t="s">
        <v>6859</v>
      </c>
      <c r="E383" s="1197"/>
      <c r="F383" s="1198"/>
      <c r="G383" s="793" t="s">
        <v>6860</v>
      </c>
      <c r="H383" s="792" t="s">
        <v>6861</v>
      </c>
      <c r="I383" s="792" t="s">
        <v>6861</v>
      </c>
      <c r="J383" s="792" t="s">
        <v>6861</v>
      </c>
      <c r="K383" s="792"/>
      <c r="L383" s="794"/>
      <c r="O383" s="659"/>
      <c r="P383" s="659"/>
    </row>
    <row r="384" spans="1:16" s="795" customFormat="1" ht="22.5" customHeight="1" thickBot="1">
      <c r="A384" s="769"/>
      <c r="B384" s="770">
        <f>SUMIF(CPU!$E$11:$E$1943,COTAÇÕES!$C384,CPU!$B$11:$B$1943)</f>
        <v>6</v>
      </c>
      <c r="C384" s="768" t="s">
        <v>8950</v>
      </c>
      <c r="D384" s="1191" t="s">
        <v>9185</v>
      </c>
      <c r="E384" s="1192"/>
      <c r="F384" s="1193"/>
      <c r="G384" s="656" t="s">
        <v>646</v>
      </c>
      <c r="H384" s="657">
        <v>175.9</v>
      </c>
      <c r="I384" s="657">
        <v>131.38</v>
      </c>
      <c r="J384" s="657">
        <v>183.9</v>
      </c>
      <c r="K384" s="657"/>
      <c r="L384" s="801">
        <f t="shared" ref="L384" si="40">IF(H384&lt;&gt;"",AVERAGE(H384:K384)," ")</f>
        <v>163.72666666666666</v>
      </c>
      <c r="O384" s="796"/>
      <c r="P384" s="797"/>
    </row>
    <row r="385" spans="1:16" ht="15.75" thickBot="1">
      <c r="L385" s="769"/>
      <c r="O385" s="773"/>
    </row>
    <row r="386" spans="1:16" ht="15.75" thickBot="1">
      <c r="H386" s="774" t="s">
        <v>6851</v>
      </c>
      <c r="I386" s="775" t="s">
        <v>6852</v>
      </c>
      <c r="J386" s="775" t="s">
        <v>6853</v>
      </c>
      <c r="K386" s="775"/>
      <c r="L386" s="1194" t="s">
        <v>6854</v>
      </c>
      <c r="O386" s="773"/>
    </row>
    <row r="387" spans="1:16">
      <c r="F387" s="776" t="s">
        <v>6855</v>
      </c>
      <c r="G387" s="777"/>
      <c r="H387" s="778" t="s">
        <v>8383</v>
      </c>
      <c r="I387" s="778" t="s">
        <v>8383</v>
      </c>
      <c r="J387" s="778" t="s">
        <v>8383</v>
      </c>
      <c r="K387" s="778"/>
      <c r="L387" s="1195"/>
      <c r="M387" s="780"/>
      <c r="O387" s="773"/>
    </row>
    <row r="388" spans="1:16">
      <c r="F388" s="781" t="s">
        <v>6856</v>
      </c>
      <c r="G388" s="782"/>
      <c r="H388" s="779" t="s">
        <v>9186</v>
      </c>
      <c r="I388" s="779" t="s">
        <v>9189</v>
      </c>
      <c r="J388" s="779" t="s">
        <v>7515</v>
      </c>
      <c r="K388" s="779"/>
      <c r="L388" s="1195"/>
      <c r="M388" s="780"/>
      <c r="O388" s="783"/>
      <c r="P388" s="783"/>
    </row>
    <row r="389" spans="1:16">
      <c r="E389" s="784"/>
      <c r="F389" s="781" t="s">
        <v>6857</v>
      </c>
      <c r="G389" s="782"/>
      <c r="H389" s="785"/>
      <c r="I389" s="786"/>
      <c r="J389" s="786"/>
      <c r="K389" s="786"/>
      <c r="L389" s="1195"/>
      <c r="O389" s="658"/>
      <c r="P389" s="658"/>
    </row>
    <row r="390" spans="1:16" ht="15.75" thickBot="1">
      <c r="E390" s="784"/>
      <c r="F390" s="798" t="s">
        <v>6858</v>
      </c>
      <c r="G390" s="799"/>
      <c r="H390" s="800" t="s">
        <v>9187</v>
      </c>
      <c r="I390" s="800" t="s">
        <v>9188</v>
      </c>
      <c r="J390" s="802" t="s">
        <v>9191</v>
      </c>
      <c r="K390" s="802"/>
      <c r="L390" s="1195"/>
      <c r="O390" s="658"/>
      <c r="P390" s="658"/>
    </row>
    <row r="391" spans="1:16" ht="15.75" thickBot="1">
      <c r="C391" s="792" t="s">
        <v>904</v>
      </c>
      <c r="D391" s="1196" t="s">
        <v>6859</v>
      </c>
      <c r="E391" s="1197"/>
      <c r="F391" s="1198"/>
      <c r="G391" s="793" t="s">
        <v>6860</v>
      </c>
      <c r="H391" s="792" t="s">
        <v>6861</v>
      </c>
      <c r="I391" s="792" t="s">
        <v>6861</v>
      </c>
      <c r="J391" s="792" t="s">
        <v>6861</v>
      </c>
      <c r="K391" s="792"/>
      <c r="L391" s="794"/>
      <c r="O391" s="659"/>
      <c r="P391" s="659"/>
    </row>
    <row r="392" spans="1:16" s="795" customFormat="1" ht="22.5" customHeight="1" thickBot="1">
      <c r="A392" s="769"/>
      <c r="B392" s="770">
        <f>SUMIF(CPU!$E$11:$E$1943,COTAÇÕES!$C392,CPU!$B$11:$B$1943)</f>
        <v>6</v>
      </c>
      <c r="C392" s="768" t="s">
        <v>9183</v>
      </c>
      <c r="D392" s="1191" t="s">
        <v>9184</v>
      </c>
      <c r="E392" s="1192"/>
      <c r="F392" s="1193"/>
      <c r="G392" s="656" t="s">
        <v>646</v>
      </c>
      <c r="H392" s="657">
        <v>49.9</v>
      </c>
      <c r="I392" s="657">
        <v>108.3</v>
      </c>
      <c r="J392" s="657">
        <v>58.9</v>
      </c>
      <c r="K392" s="657"/>
      <c r="L392" s="801">
        <f t="shared" ref="L392" si="41">IF(H392&lt;&gt;"",AVERAGE(H392:K392)," ")</f>
        <v>72.36666666666666</v>
      </c>
      <c r="O392" s="796"/>
      <c r="P392" s="797"/>
    </row>
    <row r="393" spans="1:16" ht="15.75" thickBot="1">
      <c r="L393" s="769"/>
      <c r="O393" s="773"/>
    </row>
    <row r="394" spans="1:16" ht="15.75" thickBot="1">
      <c r="H394" s="774" t="s">
        <v>6851</v>
      </c>
      <c r="I394" s="775" t="s">
        <v>6852</v>
      </c>
      <c r="J394" s="775" t="s">
        <v>6853</v>
      </c>
      <c r="K394" s="775"/>
      <c r="L394" s="1194" t="s">
        <v>6854</v>
      </c>
      <c r="O394" s="773"/>
    </row>
    <row r="395" spans="1:16">
      <c r="F395" s="776" t="s">
        <v>6855</v>
      </c>
      <c r="G395" s="777"/>
      <c r="H395" s="778" t="s">
        <v>8383</v>
      </c>
      <c r="I395" s="778" t="s">
        <v>8383</v>
      </c>
      <c r="J395" s="778" t="s">
        <v>8383</v>
      </c>
      <c r="K395" s="778"/>
      <c r="L395" s="1195"/>
      <c r="M395" s="780"/>
      <c r="O395" s="773"/>
    </row>
    <row r="396" spans="1:16">
      <c r="F396" s="781" t="s">
        <v>6856</v>
      </c>
      <c r="G396" s="782"/>
      <c r="H396" s="779" t="s">
        <v>9193</v>
      </c>
      <c r="I396" s="779" t="s">
        <v>9196</v>
      </c>
      <c r="J396" s="779" t="s">
        <v>9199</v>
      </c>
      <c r="K396" s="779"/>
      <c r="L396" s="1195"/>
      <c r="M396" s="780"/>
      <c r="O396" s="783"/>
      <c r="P396" s="783"/>
    </row>
    <row r="397" spans="1:16">
      <c r="E397" s="784"/>
      <c r="F397" s="781" t="s">
        <v>6857</v>
      </c>
      <c r="G397" s="782"/>
      <c r="H397" s="785"/>
      <c r="I397" s="786"/>
      <c r="J397" s="786"/>
      <c r="K397" s="786"/>
      <c r="L397" s="1195"/>
      <c r="O397" s="658"/>
      <c r="P397" s="658"/>
    </row>
    <row r="398" spans="1:16" ht="15.75" thickBot="1">
      <c r="E398" s="784"/>
      <c r="F398" s="798" t="s">
        <v>6858</v>
      </c>
      <c r="G398" s="799"/>
      <c r="H398" s="800" t="s">
        <v>9192</v>
      </c>
      <c r="I398" s="800" t="s">
        <v>9195</v>
      </c>
      <c r="J398" s="802" t="s">
        <v>9198</v>
      </c>
      <c r="K398" s="802"/>
      <c r="L398" s="1195"/>
      <c r="O398" s="658"/>
      <c r="P398" s="658"/>
    </row>
    <row r="399" spans="1:16" ht="15.75" thickBot="1">
      <c r="C399" s="792" t="s">
        <v>904</v>
      </c>
      <c r="D399" s="1196" t="s">
        <v>6859</v>
      </c>
      <c r="E399" s="1197"/>
      <c r="F399" s="1198"/>
      <c r="G399" s="793" t="s">
        <v>6860</v>
      </c>
      <c r="H399" s="792" t="s">
        <v>6861</v>
      </c>
      <c r="I399" s="792" t="s">
        <v>6861</v>
      </c>
      <c r="J399" s="792" t="s">
        <v>6861</v>
      </c>
      <c r="K399" s="792"/>
      <c r="L399" s="794"/>
      <c r="O399" s="659"/>
      <c r="P399" s="659"/>
    </row>
    <row r="400" spans="1:16" s="795" customFormat="1" ht="22.5" customHeight="1" thickBot="1">
      <c r="A400" s="769"/>
      <c r="B400" s="770">
        <f>SUMIF(CPU!$E$11:$E$1943,COTAÇÕES!$C400,CPU!$B$11:$B$1943)</f>
        <v>16</v>
      </c>
      <c r="C400" s="768" t="s">
        <v>8954</v>
      </c>
      <c r="D400" s="1191" t="s">
        <v>9197</v>
      </c>
      <c r="E400" s="1192"/>
      <c r="F400" s="1193"/>
      <c r="G400" s="656" t="s">
        <v>646</v>
      </c>
      <c r="H400" s="657">
        <v>23.8</v>
      </c>
      <c r="I400" s="657">
        <v>27.15</v>
      </c>
      <c r="J400" s="657">
        <v>28.29</v>
      </c>
      <c r="K400" s="657"/>
      <c r="L400" s="801">
        <f t="shared" ref="L400" si="42">IF(H400&lt;&gt;"",AVERAGE(H400:K400)," ")</f>
        <v>26.413333333333338</v>
      </c>
      <c r="O400" s="796"/>
      <c r="P400" s="797"/>
    </row>
    <row r="401" spans="1:16" ht="15.75" thickBot="1">
      <c r="L401" s="769"/>
      <c r="O401" s="773"/>
    </row>
    <row r="402" spans="1:16" ht="15.75" thickBot="1">
      <c r="H402" s="774" t="s">
        <v>6851</v>
      </c>
      <c r="I402" s="775" t="s">
        <v>6852</v>
      </c>
      <c r="J402" s="775" t="s">
        <v>6853</v>
      </c>
      <c r="K402" s="775"/>
      <c r="L402" s="1194" t="s">
        <v>6854</v>
      </c>
      <c r="O402" s="773"/>
    </row>
    <row r="403" spans="1:16">
      <c r="F403" s="776" t="s">
        <v>6855</v>
      </c>
      <c r="G403" s="777"/>
      <c r="H403" s="778" t="s">
        <v>8383</v>
      </c>
      <c r="I403" s="778" t="s">
        <v>8383</v>
      </c>
      <c r="J403" s="778" t="s">
        <v>8383</v>
      </c>
      <c r="K403" s="778"/>
      <c r="L403" s="1195"/>
      <c r="M403" s="780"/>
      <c r="O403" s="773"/>
    </row>
    <row r="404" spans="1:16">
      <c r="F404" s="781" t="s">
        <v>6856</v>
      </c>
      <c r="G404" s="782"/>
      <c r="H404" s="779" t="s">
        <v>9199</v>
      </c>
      <c r="I404" s="779" t="s">
        <v>9182</v>
      </c>
      <c r="J404" s="779" t="s">
        <v>9204</v>
      </c>
      <c r="K404" s="779"/>
      <c r="L404" s="1195"/>
      <c r="M404" s="780"/>
      <c r="O404" s="783"/>
      <c r="P404" s="783"/>
    </row>
    <row r="405" spans="1:16">
      <c r="E405" s="784"/>
      <c r="F405" s="781" t="s">
        <v>6857</v>
      </c>
      <c r="G405" s="782"/>
      <c r="H405" s="785"/>
      <c r="I405" s="786"/>
      <c r="J405" s="786"/>
      <c r="K405" s="786"/>
      <c r="L405" s="1195"/>
      <c r="O405" s="658"/>
      <c r="P405" s="658"/>
    </row>
    <row r="406" spans="1:16" ht="15.75" thickBot="1">
      <c r="E406" s="784"/>
      <c r="F406" s="798" t="s">
        <v>6858</v>
      </c>
      <c r="G406" s="799"/>
      <c r="H406" s="800" t="s">
        <v>9201</v>
      </c>
      <c r="I406" s="800" t="s">
        <v>9202</v>
      </c>
      <c r="J406" s="802" t="s">
        <v>9203</v>
      </c>
      <c r="K406" s="802"/>
      <c r="L406" s="1195"/>
      <c r="O406" s="658"/>
      <c r="P406" s="658"/>
    </row>
    <row r="407" spans="1:16" ht="15.75" thickBot="1">
      <c r="C407" s="792" t="s">
        <v>904</v>
      </c>
      <c r="D407" s="1196" t="s">
        <v>6859</v>
      </c>
      <c r="E407" s="1197"/>
      <c r="F407" s="1198"/>
      <c r="G407" s="793" t="s">
        <v>6860</v>
      </c>
      <c r="H407" s="792" t="s">
        <v>6861</v>
      </c>
      <c r="I407" s="792" t="s">
        <v>6861</v>
      </c>
      <c r="J407" s="792" t="s">
        <v>6861</v>
      </c>
      <c r="K407" s="792"/>
      <c r="L407" s="794"/>
      <c r="O407" s="659"/>
      <c r="P407" s="659"/>
    </row>
    <row r="408" spans="1:16" s="795" customFormat="1" ht="22.5" customHeight="1" thickBot="1">
      <c r="A408" s="769"/>
      <c r="B408" s="770">
        <f>SUMIF(CPU!$E$11:$E$1943,COTAÇÕES!$C408,CPU!$B$11:$B$1943)</f>
        <v>16</v>
      </c>
      <c r="C408" s="768" t="s">
        <v>9194</v>
      </c>
      <c r="D408" s="1191" t="s">
        <v>9200</v>
      </c>
      <c r="E408" s="1192"/>
      <c r="F408" s="1193"/>
      <c r="G408" s="656" t="s">
        <v>646</v>
      </c>
      <c r="H408" s="657">
        <v>24.99</v>
      </c>
      <c r="I408" s="657">
        <v>24.11</v>
      </c>
      <c r="J408" s="657">
        <v>26.69</v>
      </c>
      <c r="K408" s="657"/>
      <c r="L408" s="801">
        <f t="shared" ref="L408" si="43">IF(H408&lt;&gt;"",AVERAGE(H408:K408)," ")</f>
        <v>25.263333333333332</v>
      </c>
      <c r="O408" s="796"/>
      <c r="P408" s="797"/>
    </row>
    <row r="409" spans="1:16" ht="15.75" thickBot="1">
      <c r="I409" s="814"/>
      <c r="J409" s="811"/>
      <c r="K409" s="823"/>
      <c r="L409" s="769"/>
      <c r="N409" s="770"/>
      <c r="O409" s="773"/>
      <c r="P409" s="808"/>
    </row>
    <row r="410" spans="1:16" ht="15.75" thickBot="1">
      <c r="H410" s="774" t="s">
        <v>6851</v>
      </c>
      <c r="I410" s="775" t="s">
        <v>6852</v>
      </c>
      <c r="J410" s="775" t="s">
        <v>6853</v>
      </c>
      <c r="K410" s="775"/>
      <c r="L410" s="1194" t="s">
        <v>6854</v>
      </c>
      <c r="O410" s="773"/>
    </row>
    <row r="411" spans="1:16">
      <c r="F411" s="776" t="s">
        <v>6855</v>
      </c>
      <c r="G411" s="777"/>
      <c r="H411" s="778" t="s">
        <v>6948</v>
      </c>
      <c r="I411" s="778" t="s">
        <v>6948</v>
      </c>
      <c r="J411" s="778" t="s">
        <v>7579</v>
      </c>
      <c r="K411" s="778"/>
      <c r="L411" s="1195"/>
      <c r="M411" s="780"/>
      <c r="O411" s="773"/>
    </row>
    <row r="412" spans="1:16">
      <c r="F412" s="781" t="s">
        <v>6856</v>
      </c>
      <c r="G412" s="782"/>
      <c r="H412" s="779" t="s">
        <v>7633</v>
      </c>
      <c r="I412" s="779" t="s">
        <v>7631</v>
      </c>
      <c r="J412" s="779" t="s">
        <v>6985</v>
      </c>
      <c r="K412" s="779"/>
      <c r="L412" s="1195"/>
      <c r="M412" s="780"/>
      <c r="O412" s="783"/>
      <c r="P412" s="783"/>
    </row>
    <row r="413" spans="1:16">
      <c r="E413" s="784"/>
      <c r="F413" s="781" t="s">
        <v>6857</v>
      </c>
      <c r="G413" s="782"/>
      <c r="H413" s="785"/>
      <c r="I413" s="786"/>
      <c r="J413" s="786"/>
      <c r="K413" s="786"/>
      <c r="L413" s="1195"/>
      <c r="O413" s="658"/>
      <c r="P413" s="658"/>
    </row>
    <row r="414" spans="1:16" ht="15.75" thickBot="1">
      <c r="E414" s="784"/>
      <c r="F414" s="798" t="s">
        <v>6858</v>
      </c>
      <c r="G414" s="799"/>
      <c r="H414" s="802" t="s">
        <v>7634</v>
      </c>
      <c r="I414" s="802" t="s">
        <v>7632</v>
      </c>
      <c r="J414" s="802" t="s">
        <v>6986</v>
      </c>
      <c r="K414" s="802"/>
      <c r="L414" s="1195"/>
      <c r="O414" s="658"/>
      <c r="P414" s="658"/>
    </row>
    <row r="415" spans="1:16" ht="15.75" thickBot="1">
      <c r="C415" s="792" t="s">
        <v>904</v>
      </c>
      <c r="D415" s="1196" t="s">
        <v>6859</v>
      </c>
      <c r="E415" s="1197"/>
      <c r="F415" s="1198"/>
      <c r="G415" s="793" t="s">
        <v>6860</v>
      </c>
      <c r="H415" s="792" t="s">
        <v>6861</v>
      </c>
      <c r="I415" s="792" t="s">
        <v>6861</v>
      </c>
      <c r="J415" s="792" t="s">
        <v>6861</v>
      </c>
      <c r="K415" s="792"/>
      <c r="L415" s="794"/>
      <c r="O415" s="659"/>
      <c r="P415" s="659"/>
    </row>
    <row r="416" spans="1:16" s="795" customFormat="1" ht="42.75" customHeight="1" thickBot="1">
      <c r="A416" s="769"/>
      <c r="B416" s="770">
        <f>SUMIF(CPU!$E$11:$E$1943,COTAÇÕES!$C416,CPU!$B$11:$B$1943)</f>
        <v>2</v>
      </c>
      <c r="C416" s="768" t="s">
        <v>8955</v>
      </c>
      <c r="D416" s="1203" t="s">
        <v>6984</v>
      </c>
      <c r="E416" s="1204"/>
      <c r="F416" s="1205"/>
      <c r="G416" s="656" t="s">
        <v>646</v>
      </c>
      <c r="H416" s="657">
        <v>345.9</v>
      </c>
      <c r="I416" s="657">
        <v>273.05</v>
      </c>
      <c r="J416" s="657">
        <v>344.4</v>
      </c>
      <c r="K416" s="657"/>
      <c r="L416" s="801">
        <f t="shared" ref="L416" si="44">IF(H416&lt;&gt;"",AVERAGE(H416:K416)," ")</f>
        <v>321.11666666666667</v>
      </c>
      <c r="O416" s="796"/>
      <c r="P416" s="797"/>
    </row>
    <row r="417" spans="1:16" ht="15.75" thickBot="1">
      <c r="L417" s="769"/>
      <c r="O417" s="773"/>
    </row>
    <row r="418" spans="1:16" ht="15.75" thickBot="1">
      <c r="H418" s="774" t="s">
        <v>6851</v>
      </c>
      <c r="I418" s="775" t="s">
        <v>6852</v>
      </c>
      <c r="J418" s="775" t="s">
        <v>6853</v>
      </c>
      <c r="K418" s="775"/>
      <c r="L418" s="1194" t="s">
        <v>6854</v>
      </c>
      <c r="O418" s="773"/>
    </row>
    <row r="419" spans="1:16">
      <c r="F419" s="776" t="s">
        <v>6855</v>
      </c>
      <c r="G419" s="777"/>
      <c r="H419" s="765" t="s">
        <v>7579</v>
      </c>
      <c r="I419" s="778" t="s">
        <v>7579</v>
      </c>
      <c r="J419" s="778" t="s">
        <v>7579</v>
      </c>
      <c r="K419" s="778"/>
      <c r="L419" s="1195"/>
      <c r="M419" s="780"/>
      <c r="O419" s="773"/>
    </row>
    <row r="420" spans="1:16">
      <c r="F420" s="781" t="s">
        <v>6856</v>
      </c>
      <c r="G420" s="782"/>
      <c r="H420" s="779" t="s">
        <v>7501</v>
      </c>
      <c r="I420" s="779" t="s">
        <v>7500</v>
      </c>
      <c r="J420" s="779" t="s">
        <v>7502</v>
      </c>
      <c r="K420" s="779"/>
      <c r="L420" s="1195"/>
      <c r="M420" s="780"/>
      <c r="O420" s="783"/>
      <c r="P420" s="783"/>
    </row>
    <row r="421" spans="1:16">
      <c r="E421" s="784"/>
      <c r="F421" s="781" t="s">
        <v>6857</v>
      </c>
      <c r="G421" s="782"/>
      <c r="H421" s="785"/>
      <c r="I421" s="786"/>
      <c r="J421" s="786"/>
      <c r="K421" s="786"/>
      <c r="L421" s="1195"/>
      <c r="O421" s="658"/>
      <c r="P421" s="658"/>
    </row>
    <row r="422" spans="1:16" ht="15.75" thickBot="1">
      <c r="E422" s="784"/>
      <c r="F422" s="798" t="s">
        <v>6858</v>
      </c>
      <c r="G422" s="799"/>
      <c r="H422" s="790" t="s">
        <v>7637</v>
      </c>
      <c r="I422" s="790" t="s">
        <v>7638</v>
      </c>
      <c r="J422" s="810" t="s">
        <v>7639</v>
      </c>
      <c r="K422" s="810"/>
      <c r="L422" s="1195"/>
      <c r="O422" s="658"/>
      <c r="P422" s="658"/>
    </row>
    <row r="423" spans="1:16" ht="15.75" thickBot="1">
      <c r="C423" s="792" t="s">
        <v>904</v>
      </c>
      <c r="D423" s="1196" t="s">
        <v>6859</v>
      </c>
      <c r="E423" s="1197"/>
      <c r="F423" s="1198"/>
      <c r="G423" s="793" t="s">
        <v>6860</v>
      </c>
      <c r="H423" s="792" t="s">
        <v>6861</v>
      </c>
      <c r="I423" s="792" t="s">
        <v>6861</v>
      </c>
      <c r="J423" s="792" t="s">
        <v>6861</v>
      </c>
      <c r="K423" s="792"/>
      <c r="L423" s="794"/>
      <c r="O423" s="659"/>
      <c r="P423" s="659"/>
    </row>
    <row r="424" spans="1:16" s="795" customFormat="1" ht="291.75" customHeight="1" thickBot="1">
      <c r="A424" s="769"/>
      <c r="B424" s="770">
        <f>SUMIF(CPU!$E$11:$E$1943,COTAÇÕES!$C424,CPU!$B$11:$B$1943)</f>
        <v>0</v>
      </c>
      <c r="C424" s="850" t="s">
        <v>9067</v>
      </c>
      <c r="D424" s="1207" t="s">
        <v>7664</v>
      </c>
      <c r="E424" s="1208"/>
      <c r="F424" s="1209"/>
      <c r="G424" s="656" t="s">
        <v>646</v>
      </c>
      <c r="H424" s="672">
        <v>715.5</v>
      </c>
      <c r="I424" s="672">
        <v>708.18</v>
      </c>
      <c r="J424" s="672">
        <v>710.5</v>
      </c>
      <c r="K424" s="672"/>
      <c r="L424" s="801">
        <f t="shared" ref="L424" si="45">IF(H424&lt;&gt;"",AVERAGE(H424:K424)," ")</f>
        <v>711.39333333333332</v>
      </c>
      <c r="O424" s="796"/>
      <c r="P424" s="797"/>
    </row>
    <row r="425" spans="1:16" ht="15.75" thickBot="1">
      <c r="L425" s="769"/>
      <c r="O425" s="773"/>
    </row>
    <row r="426" spans="1:16" ht="15.75" thickBot="1">
      <c r="H426" s="774" t="s">
        <v>6851</v>
      </c>
      <c r="I426" s="775" t="s">
        <v>6852</v>
      </c>
      <c r="J426" s="775" t="s">
        <v>6853</v>
      </c>
      <c r="K426" s="775"/>
      <c r="L426" s="1194" t="s">
        <v>6854</v>
      </c>
      <c r="O426" s="773"/>
    </row>
    <row r="427" spans="1:16">
      <c r="F427" s="776" t="s">
        <v>6855</v>
      </c>
      <c r="G427" s="777"/>
      <c r="H427" s="765" t="s">
        <v>7194</v>
      </c>
      <c r="I427" s="778" t="s">
        <v>8383</v>
      </c>
      <c r="J427" s="778" t="s">
        <v>8383</v>
      </c>
      <c r="K427" s="778"/>
      <c r="L427" s="1195"/>
      <c r="M427" s="780"/>
      <c r="O427" s="773"/>
    </row>
    <row r="428" spans="1:16">
      <c r="F428" s="781" t="s">
        <v>6856</v>
      </c>
      <c r="G428" s="782"/>
      <c r="H428" s="779" t="s">
        <v>6960</v>
      </c>
      <c r="I428" s="779" t="s">
        <v>7575</v>
      </c>
      <c r="J428" s="779" t="s">
        <v>7500</v>
      </c>
      <c r="K428" s="779"/>
      <c r="L428" s="1195"/>
      <c r="M428" s="780"/>
      <c r="O428" s="783"/>
      <c r="P428" s="783"/>
    </row>
    <row r="429" spans="1:16">
      <c r="E429" s="784"/>
      <c r="F429" s="781" t="s">
        <v>6857</v>
      </c>
      <c r="G429" s="782"/>
      <c r="H429" s="785"/>
      <c r="I429" s="786"/>
      <c r="J429" s="786"/>
      <c r="K429" s="786"/>
      <c r="L429" s="1195"/>
      <c r="O429" s="658"/>
      <c r="P429" s="658"/>
    </row>
    <row r="430" spans="1:16" ht="15.75" thickBot="1">
      <c r="E430" s="784"/>
      <c r="F430" s="798" t="s">
        <v>6858</v>
      </c>
      <c r="G430" s="799"/>
      <c r="H430" s="790" t="s">
        <v>7573</v>
      </c>
      <c r="I430" s="790" t="s">
        <v>7574</v>
      </c>
      <c r="J430" s="810" t="s">
        <v>7576</v>
      </c>
      <c r="K430" s="810"/>
      <c r="L430" s="1195"/>
      <c r="O430" s="658"/>
      <c r="P430" s="658"/>
    </row>
    <row r="431" spans="1:16" ht="15.75" thickBot="1">
      <c r="C431" s="792" t="s">
        <v>904</v>
      </c>
      <c r="D431" s="1196" t="s">
        <v>6859</v>
      </c>
      <c r="E431" s="1197"/>
      <c r="F431" s="1198"/>
      <c r="G431" s="793" t="s">
        <v>6860</v>
      </c>
      <c r="H431" s="792" t="s">
        <v>6861</v>
      </c>
      <c r="I431" s="792" t="s">
        <v>6861</v>
      </c>
      <c r="J431" s="792" t="s">
        <v>6861</v>
      </c>
      <c r="K431" s="792"/>
      <c r="L431" s="794"/>
      <c r="O431" s="659"/>
      <c r="P431" s="659"/>
    </row>
    <row r="432" spans="1:16" s="795" customFormat="1" ht="15.75" thickBot="1">
      <c r="A432" s="769"/>
      <c r="B432" s="770">
        <f>SUMIF(CPU!$E$11:$E$1943,COTAÇÕES!$C432,CPU!$B$11:$B$1943)</f>
        <v>3</v>
      </c>
      <c r="C432" s="850" t="s">
        <v>9068</v>
      </c>
      <c r="D432" s="1210" t="s">
        <v>7572</v>
      </c>
      <c r="E432" s="1210"/>
      <c r="F432" s="1210"/>
      <c r="G432" s="656" t="s">
        <v>646</v>
      </c>
      <c r="H432" s="672">
        <v>3959</v>
      </c>
      <c r="I432" s="657">
        <v>4789</v>
      </c>
      <c r="J432" s="657">
        <v>5095.3999999999996</v>
      </c>
      <c r="K432" s="657"/>
      <c r="L432" s="801">
        <f t="shared" ref="L432" si="46">IF(H432&lt;&gt;"",AVERAGE(H432:K432)," ")</f>
        <v>4614.4666666666662</v>
      </c>
      <c r="O432" s="796"/>
      <c r="P432" s="797"/>
    </row>
    <row r="433" spans="1:16" ht="15.75" thickBot="1">
      <c r="L433" s="769"/>
      <c r="O433" s="773"/>
    </row>
    <row r="434" spans="1:16" ht="15.75" thickBot="1">
      <c r="H434" s="774" t="s">
        <v>6851</v>
      </c>
      <c r="I434" s="775" t="s">
        <v>6852</v>
      </c>
      <c r="J434" s="775" t="s">
        <v>6853</v>
      </c>
      <c r="K434" s="775"/>
      <c r="L434" s="1194" t="s">
        <v>6854</v>
      </c>
      <c r="O434" s="773"/>
    </row>
    <row r="435" spans="1:16">
      <c r="F435" s="776" t="s">
        <v>6855</v>
      </c>
      <c r="G435" s="777"/>
      <c r="H435" s="778" t="s">
        <v>7579</v>
      </c>
      <c r="I435" s="778" t="s">
        <v>6948</v>
      </c>
      <c r="J435" s="778" t="s">
        <v>7579</v>
      </c>
      <c r="K435" s="778"/>
      <c r="L435" s="1195"/>
      <c r="M435" s="780"/>
      <c r="O435" s="773"/>
    </row>
    <row r="436" spans="1:16">
      <c r="F436" s="781" t="s">
        <v>6856</v>
      </c>
      <c r="G436" s="782"/>
      <c r="H436" s="779" t="s">
        <v>7584</v>
      </c>
      <c r="I436" s="779" t="s">
        <v>6961</v>
      </c>
      <c r="J436" s="779" t="s">
        <v>7583</v>
      </c>
      <c r="K436" s="779"/>
      <c r="L436" s="1195"/>
      <c r="M436" s="780"/>
      <c r="O436" s="783"/>
      <c r="P436" s="783"/>
    </row>
    <row r="437" spans="1:16">
      <c r="E437" s="784"/>
      <c r="F437" s="781" t="s">
        <v>6857</v>
      </c>
      <c r="G437" s="782"/>
      <c r="H437" s="785"/>
      <c r="I437" s="786"/>
      <c r="J437" s="786"/>
      <c r="K437" s="786"/>
      <c r="L437" s="1195"/>
      <c r="O437" s="658"/>
      <c r="P437" s="658"/>
    </row>
    <row r="438" spans="1:16" ht="15.75" thickBot="1">
      <c r="E438" s="784"/>
      <c r="F438" s="798" t="s">
        <v>6858</v>
      </c>
      <c r="G438" s="799"/>
      <c r="H438" s="800" t="s">
        <v>7585</v>
      </c>
      <c r="I438" s="800" t="s">
        <v>6962</v>
      </c>
      <c r="J438" s="802" t="s">
        <v>7582</v>
      </c>
      <c r="K438" s="802"/>
      <c r="L438" s="1195"/>
      <c r="O438" s="658"/>
      <c r="P438" s="658"/>
    </row>
    <row r="439" spans="1:16" ht="15.75" thickBot="1">
      <c r="C439" s="792" t="s">
        <v>904</v>
      </c>
      <c r="D439" s="1196" t="s">
        <v>6859</v>
      </c>
      <c r="E439" s="1197"/>
      <c r="F439" s="1198"/>
      <c r="G439" s="793" t="s">
        <v>6860</v>
      </c>
      <c r="H439" s="792" t="s">
        <v>6861</v>
      </c>
      <c r="I439" s="792" t="s">
        <v>6861</v>
      </c>
      <c r="J439" s="792" t="s">
        <v>6861</v>
      </c>
      <c r="K439" s="792"/>
      <c r="L439" s="794"/>
      <c r="O439" s="659"/>
      <c r="P439" s="659"/>
    </row>
    <row r="440" spans="1:16" s="795" customFormat="1" ht="15.75" customHeight="1" thickBot="1">
      <c r="A440" s="769"/>
      <c r="B440" s="770">
        <f>SUMIF(CPU!$E$11:$E$1943,COTAÇÕES!$C440,CPU!$B$11:$B$1943)</f>
        <v>0</v>
      </c>
      <c r="C440" s="768" t="s">
        <v>9069</v>
      </c>
      <c r="D440" s="1203" t="s">
        <v>6959</v>
      </c>
      <c r="E440" s="1204"/>
      <c r="F440" s="1205"/>
      <c r="G440" s="656" t="s">
        <v>646</v>
      </c>
      <c r="H440" s="657">
        <v>2730</v>
      </c>
      <c r="I440" s="657">
        <v>3212.95</v>
      </c>
      <c r="J440" s="657">
        <v>3273.53</v>
      </c>
      <c r="K440" s="657"/>
      <c r="L440" s="801">
        <f t="shared" ref="L440" si="47">IF(H440&lt;&gt;"",AVERAGE(H440:K440)," ")</f>
        <v>3072.16</v>
      </c>
      <c r="O440" s="796"/>
      <c r="P440" s="797"/>
    </row>
    <row r="441" spans="1:16" ht="15.75" thickBot="1">
      <c r="I441" s="814"/>
      <c r="J441" s="814"/>
      <c r="K441" s="814"/>
      <c r="L441" s="769"/>
      <c r="O441" s="773"/>
    </row>
    <row r="442" spans="1:16" ht="15.75" thickBot="1">
      <c r="H442" s="774" t="s">
        <v>6851</v>
      </c>
      <c r="I442" s="775" t="s">
        <v>6852</v>
      </c>
      <c r="J442" s="775" t="s">
        <v>6853</v>
      </c>
      <c r="K442" s="775"/>
      <c r="L442" s="1194" t="s">
        <v>6854</v>
      </c>
      <c r="M442" s="795"/>
      <c r="O442" s="773"/>
    </row>
    <row r="443" spans="1:16">
      <c r="F443" s="776" t="s">
        <v>6855</v>
      </c>
      <c r="G443" s="777"/>
      <c r="H443" s="778" t="s">
        <v>7194</v>
      </c>
      <c r="I443" s="765" t="s">
        <v>7194</v>
      </c>
      <c r="J443" s="765" t="s">
        <v>7579</v>
      </c>
      <c r="K443" s="765" t="s">
        <v>7579</v>
      </c>
      <c r="L443" s="1195"/>
      <c r="M443" s="795"/>
      <c r="O443" s="773"/>
    </row>
    <row r="444" spans="1:16" ht="24">
      <c r="F444" s="781" t="s">
        <v>6856</v>
      </c>
      <c r="G444" s="782"/>
      <c r="H444" s="779" t="s">
        <v>7526</v>
      </c>
      <c r="I444" s="779" t="s">
        <v>7525</v>
      </c>
      <c r="J444" s="779" t="s">
        <v>7614</v>
      </c>
      <c r="K444" s="822" t="s">
        <v>7641</v>
      </c>
      <c r="L444" s="1195"/>
      <c r="M444" s="795"/>
      <c r="N444" s="779"/>
      <c r="O444" s="783"/>
      <c r="P444" s="783"/>
    </row>
    <row r="445" spans="1:16">
      <c r="E445" s="784"/>
      <c r="F445" s="781" t="s">
        <v>6857</v>
      </c>
      <c r="G445" s="782"/>
      <c r="H445" s="786" t="s">
        <v>7529</v>
      </c>
      <c r="I445" s="785" t="s">
        <v>7527</v>
      </c>
      <c r="J445" s="785"/>
      <c r="K445" s="785" t="s">
        <v>7642</v>
      </c>
      <c r="L445" s="1195"/>
      <c r="M445" s="795"/>
      <c r="N445" s="785"/>
      <c r="O445" s="658"/>
      <c r="P445" s="658"/>
    </row>
    <row r="446" spans="1:16" ht="15.75" thickBot="1">
      <c r="E446" s="784"/>
      <c r="F446" s="798" t="s">
        <v>6858</v>
      </c>
      <c r="G446" s="799"/>
      <c r="H446" s="790" t="s">
        <v>7530</v>
      </c>
      <c r="I446" s="790" t="s">
        <v>7528</v>
      </c>
      <c r="J446" s="790" t="s">
        <v>7620</v>
      </c>
      <c r="K446" s="790" t="s">
        <v>7636</v>
      </c>
      <c r="L446" s="1195"/>
      <c r="M446" s="795"/>
      <c r="N446" s="790"/>
      <c r="O446" s="658"/>
      <c r="P446" s="658"/>
    </row>
    <row r="447" spans="1:16" ht="15.75" thickBot="1">
      <c r="C447" s="792" t="s">
        <v>904</v>
      </c>
      <c r="D447" s="1196" t="s">
        <v>6859</v>
      </c>
      <c r="E447" s="1197"/>
      <c r="F447" s="1198"/>
      <c r="G447" s="793" t="s">
        <v>6860</v>
      </c>
      <c r="H447" s="792" t="s">
        <v>6861</v>
      </c>
      <c r="I447" s="792" t="s">
        <v>6861</v>
      </c>
      <c r="J447" s="792" t="s">
        <v>6861</v>
      </c>
      <c r="K447" s="792" t="s">
        <v>6861</v>
      </c>
      <c r="L447" s="794"/>
      <c r="O447" s="659"/>
      <c r="P447" s="659"/>
    </row>
    <row r="448" spans="1:16" s="795" customFormat="1" ht="15.75" thickBot="1">
      <c r="A448" s="769"/>
      <c r="B448" s="770">
        <f>SUMIF(CPU!$E$11:$E$1943,COTAÇÕES!$C448,CPU!$B$11:$B$1943)</f>
        <v>180</v>
      </c>
      <c r="C448" s="850" t="s">
        <v>8967</v>
      </c>
      <c r="D448" s="1207" t="s">
        <v>7524</v>
      </c>
      <c r="E448" s="1208"/>
      <c r="F448" s="1209"/>
      <c r="G448" s="824" t="s">
        <v>648</v>
      </c>
      <c r="H448" s="672">
        <f>55.5/6</f>
        <v>9.25</v>
      </c>
      <c r="I448" s="657">
        <f>58/6</f>
        <v>9.6666666666666661</v>
      </c>
      <c r="J448" s="657">
        <f>32.52/3</f>
        <v>10.840000000000002</v>
      </c>
      <c r="K448" s="657">
        <f>21.47/3</f>
        <v>7.1566666666666663</v>
      </c>
      <c r="L448" s="801">
        <f t="shared" ref="L448:L453" si="48">IF(H448&lt;&gt;"",AVERAGE(H448:K448)," ")</f>
        <v>9.2283333333333335</v>
      </c>
      <c r="O448" s="796"/>
      <c r="P448" s="797"/>
    </row>
    <row r="449" spans="1:16" s="795" customFormat="1" ht="15.75" thickBot="1">
      <c r="A449" s="769"/>
      <c r="B449" s="770">
        <f>SUMIF(CPU!$E$11:$E$1943,COTAÇÕES!$C449,CPU!$B$11:$B$1943)</f>
        <v>1</v>
      </c>
      <c r="C449" s="850" t="s">
        <v>9070</v>
      </c>
      <c r="D449" s="1207" t="s">
        <v>6988</v>
      </c>
      <c r="E449" s="1208"/>
      <c r="F449" s="1209"/>
      <c r="G449" s="656" t="s">
        <v>646</v>
      </c>
      <c r="H449" s="657">
        <v>483.3</v>
      </c>
      <c r="I449" s="657">
        <v>611.49</v>
      </c>
      <c r="J449" s="657">
        <v>496.63</v>
      </c>
      <c r="K449" s="657">
        <v>567.5</v>
      </c>
      <c r="L449" s="801">
        <f t="shared" si="48"/>
        <v>539.73</v>
      </c>
      <c r="O449" s="796"/>
      <c r="P449" s="797"/>
    </row>
    <row r="450" spans="1:16" s="795" customFormat="1" ht="15.75" thickBot="1">
      <c r="A450" s="769"/>
      <c r="B450" s="770">
        <f>SUMIF(CPU!$E$11:$E$1943,COTAÇÕES!$C450,CPU!$B$11:$B$1943)</f>
        <v>14</v>
      </c>
      <c r="C450" s="850" t="s">
        <v>8980</v>
      </c>
      <c r="D450" s="1207" t="s">
        <v>6987</v>
      </c>
      <c r="E450" s="1208"/>
      <c r="F450" s="1209"/>
      <c r="G450" s="656" t="s">
        <v>646</v>
      </c>
      <c r="H450" s="657">
        <v>45.61</v>
      </c>
      <c r="I450" s="657">
        <v>18.36</v>
      </c>
      <c r="J450" s="851"/>
      <c r="K450" s="657">
        <v>32.4</v>
      </c>
      <c r="L450" s="801">
        <f t="shared" si="48"/>
        <v>32.123333333333335</v>
      </c>
      <c r="O450" s="796"/>
      <c r="P450" s="797"/>
    </row>
    <row r="451" spans="1:16" s="795" customFormat="1" ht="15.75" thickBot="1">
      <c r="A451" s="769"/>
      <c r="B451" s="770">
        <f>SUMIF(CPU!$E$11:$E$1943,COTAÇÕES!$C451,CPU!$B$11:$B$1943)</f>
        <v>12</v>
      </c>
      <c r="C451" s="850" t="s">
        <v>9071</v>
      </c>
      <c r="D451" s="1207" t="s">
        <v>6802</v>
      </c>
      <c r="E451" s="1208"/>
      <c r="F451" s="1209"/>
      <c r="G451" s="656" t="s">
        <v>646</v>
      </c>
      <c r="H451" s="657">
        <v>18</v>
      </c>
      <c r="I451" s="657">
        <v>17.09</v>
      </c>
      <c r="J451" s="657">
        <v>17.21</v>
      </c>
      <c r="K451" s="657">
        <v>18.03</v>
      </c>
      <c r="L451" s="801">
        <f t="shared" si="48"/>
        <v>17.582500000000003</v>
      </c>
      <c r="O451" s="796"/>
      <c r="P451" s="797"/>
    </row>
    <row r="452" spans="1:16" s="795" customFormat="1" ht="15.75" thickBot="1">
      <c r="A452" s="769"/>
      <c r="B452" s="770">
        <f>SUMIF(CPU!$E$11:$E$1943,COTAÇÕES!$C452,CPU!$B$11:$B$1943)</f>
        <v>19</v>
      </c>
      <c r="C452" s="850" t="s">
        <v>9072</v>
      </c>
      <c r="D452" s="1207" t="s">
        <v>6803</v>
      </c>
      <c r="E452" s="1208"/>
      <c r="F452" s="1209"/>
      <c r="G452" s="656" t="s">
        <v>646</v>
      </c>
      <c r="H452" s="657">
        <v>0.63</v>
      </c>
      <c r="I452" s="657"/>
      <c r="J452" s="657">
        <v>1.98</v>
      </c>
      <c r="K452" s="657">
        <v>0.92</v>
      </c>
      <c r="L452" s="801">
        <f t="shared" si="48"/>
        <v>1.1766666666666665</v>
      </c>
      <c r="O452" s="796"/>
      <c r="P452" s="797"/>
    </row>
    <row r="453" spans="1:16" s="795" customFormat="1" ht="15.75" thickBot="1">
      <c r="A453" s="769"/>
      <c r="B453" s="770">
        <f>SUMIF(CPU!$E$11:$E$1943,COTAÇÕES!$C453,CPU!$B$11:$B$1943)</f>
        <v>19</v>
      </c>
      <c r="C453" s="850" t="s">
        <v>9073</v>
      </c>
      <c r="D453" s="1207" t="s">
        <v>6804</v>
      </c>
      <c r="E453" s="1208"/>
      <c r="F453" s="1209"/>
      <c r="G453" s="656" t="s">
        <v>646</v>
      </c>
      <c r="H453" s="657">
        <v>9.2100000000000009</v>
      </c>
      <c r="I453" s="657">
        <v>10.19</v>
      </c>
      <c r="J453" s="657">
        <v>13.98</v>
      </c>
      <c r="K453" s="657">
        <v>10.15</v>
      </c>
      <c r="L453" s="801">
        <f t="shared" si="48"/>
        <v>10.882499999999999</v>
      </c>
      <c r="O453" s="796"/>
      <c r="P453" s="797"/>
    </row>
    <row r="454" spans="1:16" ht="15.75" thickBot="1">
      <c r="L454" s="769"/>
      <c r="O454" s="773"/>
    </row>
    <row r="455" spans="1:16" ht="15.75" thickBot="1">
      <c r="H455" s="774" t="s">
        <v>6851</v>
      </c>
      <c r="I455" s="775" t="s">
        <v>6852</v>
      </c>
      <c r="J455" s="775" t="s">
        <v>6853</v>
      </c>
      <c r="K455" s="775"/>
      <c r="L455" s="1194" t="s">
        <v>6854</v>
      </c>
      <c r="O455" s="773"/>
    </row>
    <row r="456" spans="1:16">
      <c r="F456" s="776" t="s">
        <v>6855</v>
      </c>
      <c r="G456" s="777"/>
      <c r="H456" s="778" t="s">
        <v>8383</v>
      </c>
      <c r="I456" s="778" t="s">
        <v>8383</v>
      </c>
      <c r="J456" s="778" t="s">
        <v>8383</v>
      </c>
      <c r="K456" s="778"/>
      <c r="L456" s="1195"/>
      <c r="M456" s="780"/>
      <c r="O456" s="773"/>
    </row>
    <row r="457" spans="1:16">
      <c r="F457" s="781" t="s">
        <v>6856</v>
      </c>
      <c r="G457" s="782"/>
      <c r="H457" s="779" t="s">
        <v>8386</v>
      </c>
      <c r="I457" s="779" t="s">
        <v>7622</v>
      </c>
      <c r="J457" s="779" t="s">
        <v>8390</v>
      </c>
      <c r="K457" s="779"/>
      <c r="L457" s="1195"/>
      <c r="M457" s="780"/>
      <c r="O457" s="783"/>
      <c r="P457" s="783"/>
    </row>
    <row r="458" spans="1:16">
      <c r="E458" s="784"/>
      <c r="F458" s="781" t="s">
        <v>6857</v>
      </c>
      <c r="G458" s="782"/>
      <c r="H458" s="785" t="s">
        <v>8387</v>
      </c>
      <c r="I458" s="786"/>
      <c r="J458" s="786"/>
      <c r="K458" s="786"/>
      <c r="L458" s="1195"/>
      <c r="O458" s="658"/>
      <c r="P458" s="658"/>
    </row>
    <row r="459" spans="1:16" ht="15.75" thickBot="1">
      <c r="E459" s="784"/>
      <c r="F459" s="798" t="s">
        <v>6858</v>
      </c>
      <c r="G459" s="799"/>
      <c r="H459" s="800" t="s">
        <v>8388</v>
      </c>
      <c r="I459" s="800" t="s">
        <v>8389</v>
      </c>
      <c r="J459" s="802" t="s">
        <v>8391</v>
      </c>
      <c r="K459" s="802"/>
      <c r="L459" s="1195"/>
      <c r="O459" s="658"/>
      <c r="P459" s="658"/>
    </row>
    <row r="460" spans="1:16" ht="15.75" thickBot="1">
      <c r="C460" s="792" t="s">
        <v>904</v>
      </c>
      <c r="D460" s="1196" t="s">
        <v>6859</v>
      </c>
      <c r="E460" s="1197"/>
      <c r="F460" s="1198"/>
      <c r="G460" s="793" t="s">
        <v>6860</v>
      </c>
      <c r="H460" s="792" t="s">
        <v>6861</v>
      </c>
      <c r="I460" s="792" t="s">
        <v>6861</v>
      </c>
      <c r="J460" s="792" t="s">
        <v>6861</v>
      </c>
      <c r="K460" s="792"/>
      <c r="L460" s="794"/>
      <c r="O460" s="659"/>
      <c r="P460" s="659"/>
    </row>
    <row r="461" spans="1:16" s="795" customFormat="1" ht="23.25" customHeight="1" thickBot="1">
      <c r="A461" s="769"/>
      <c r="B461" s="770">
        <f>SUMIF(CPU!$E$11:$E$1943,COTAÇÕES!$C461,CPU!$B$11:$B$1943)</f>
        <v>5</v>
      </c>
      <c r="C461" s="768" t="s">
        <v>9074</v>
      </c>
      <c r="D461" s="1203" t="s">
        <v>8385</v>
      </c>
      <c r="E461" s="1204"/>
      <c r="F461" s="1205"/>
      <c r="G461" s="656" t="s">
        <v>646</v>
      </c>
      <c r="H461" s="657">
        <v>166.99</v>
      </c>
      <c r="I461" s="657">
        <f>99.88+92.4</f>
        <v>192.28</v>
      </c>
      <c r="J461" s="909">
        <v>115</v>
      </c>
      <c r="K461" s="812"/>
      <c r="L461" s="801">
        <f t="shared" ref="L461" si="49">IF(H461&lt;&gt;"",AVERAGE(H461:K461)," ")</f>
        <v>158.09</v>
      </c>
      <c r="M461" s="770"/>
      <c r="N461" s="770"/>
      <c r="O461" s="796"/>
      <c r="P461" s="797"/>
    </row>
    <row r="462" spans="1:16" ht="15.75" thickBot="1">
      <c r="L462" s="769"/>
    </row>
    <row r="463" spans="1:16" ht="15.75" thickBot="1">
      <c r="H463" s="774" t="s">
        <v>6851</v>
      </c>
      <c r="I463" s="775" t="s">
        <v>6852</v>
      </c>
      <c r="J463" s="775" t="s">
        <v>6853</v>
      </c>
      <c r="K463" s="775"/>
      <c r="L463" s="1194" t="s">
        <v>6854</v>
      </c>
      <c r="O463" s="773"/>
    </row>
    <row r="464" spans="1:16">
      <c r="F464" s="776" t="s">
        <v>6855</v>
      </c>
      <c r="G464" s="777"/>
      <c r="H464" s="778" t="s">
        <v>8383</v>
      </c>
      <c r="I464" s="778" t="s">
        <v>8383</v>
      </c>
      <c r="J464" s="778" t="s">
        <v>8383</v>
      </c>
      <c r="K464" s="778"/>
      <c r="L464" s="1195"/>
      <c r="M464" s="780"/>
      <c r="O464" s="773"/>
    </row>
    <row r="465" spans="1:16">
      <c r="F465" s="781" t="s">
        <v>6856</v>
      </c>
      <c r="G465" s="782"/>
      <c r="H465" s="779" t="s">
        <v>6960</v>
      </c>
      <c r="I465" s="779" t="s">
        <v>9206</v>
      </c>
      <c r="J465" s="779" t="s">
        <v>9209</v>
      </c>
      <c r="K465" s="779"/>
      <c r="L465" s="1195"/>
      <c r="M465" s="780"/>
      <c r="O465" s="783"/>
      <c r="P465" s="783"/>
    </row>
    <row r="466" spans="1:16">
      <c r="E466" s="784"/>
      <c r="F466" s="781" t="s">
        <v>6857</v>
      </c>
      <c r="G466" s="782"/>
      <c r="H466" s="785"/>
      <c r="I466" s="786"/>
      <c r="J466" s="786"/>
      <c r="K466" s="786"/>
      <c r="L466" s="1195"/>
      <c r="N466" s="808"/>
      <c r="O466" s="658"/>
      <c r="P466" s="658"/>
    </row>
    <row r="467" spans="1:16" ht="15.75" thickBot="1">
      <c r="E467" s="784"/>
      <c r="F467" s="798" t="s">
        <v>6858</v>
      </c>
      <c r="G467" s="799"/>
      <c r="H467" s="800" t="s">
        <v>9205</v>
      </c>
      <c r="I467" s="800" t="s">
        <v>9207</v>
      </c>
      <c r="J467" s="802" t="s">
        <v>9208</v>
      </c>
      <c r="K467" s="802"/>
      <c r="L467" s="1195"/>
      <c r="N467" s="808"/>
      <c r="O467" s="658"/>
      <c r="P467" s="658"/>
    </row>
    <row r="468" spans="1:16" ht="15.75" thickBot="1">
      <c r="C468" s="792" t="s">
        <v>904</v>
      </c>
      <c r="D468" s="1196" t="s">
        <v>6859</v>
      </c>
      <c r="E468" s="1197"/>
      <c r="F468" s="1198"/>
      <c r="G468" s="793" t="s">
        <v>6860</v>
      </c>
      <c r="H468" s="792" t="s">
        <v>6861</v>
      </c>
      <c r="I468" s="792" t="s">
        <v>6861</v>
      </c>
      <c r="J468" s="792" t="s">
        <v>6861</v>
      </c>
      <c r="K468" s="792"/>
      <c r="L468" s="794"/>
      <c r="N468" s="808"/>
      <c r="O468" s="659"/>
      <c r="P468" s="659"/>
    </row>
    <row r="469" spans="1:16" s="795" customFormat="1" ht="15.75" customHeight="1" thickBot="1">
      <c r="A469" s="769"/>
      <c r="B469" s="770">
        <f>SUMIF(CPU!$E$11:$E$1943,COTAÇÕES!$C469,CPU!$B$11:$B$1943)</f>
        <v>0</v>
      </c>
      <c r="C469" s="768" t="s">
        <v>9075</v>
      </c>
      <c r="D469" s="1191" t="s">
        <v>8938</v>
      </c>
      <c r="E469" s="1192"/>
      <c r="F469" s="1193"/>
      <c r="G469" s="656" t="s">
        <v>646</v>
      </c>
      <c r="H469" s="657">
        <v>56.04</v>
      </c>
      <c r="I469" s="657">
        <v>45.87</v>
      </c>
      <c r="J469" s="657">
        <v>43.69</v>
      </c>
      <c r="K469" s="657"/>
      <c r="L469" s="801">
        <f t="shared" ref="L469" si="50">IF(H469&lt;&gt;"",AVERAGE(H469:K469)," ")</f>
        <v>48.533333333333331</v>
      </c>
      <c r="N469" s="961"/>
      <c r="O469" s="796"/>
      <c r="P469" s="797"/>
    </row>
    <row r="470" spans="1:16" ht="15.75" thickBot="1">
      <c r="I470" s="770"/>
      <c r="J470" s="770"/>
      <c r="K470" s="814"/>
      <c r="L470" s="769"/>
      <c r="N470" s="962"/>
      <c r="O470" s="773"/>
    </row>
    <row r="471" spans="1:16" ht="15.75" thickBot="1">
      <c r="H471" s="774" t="s">
        <v>6851</v>
      </c>
      <c r="I471" s="775" t="s">
        <v>6852</v>
      </c>
      <c r="J471" s="775" t="s">
        <v>6853</v>
      </c>
      <c r="K471" s="775"/>
      <c r="L471" s="1194" t="s">
        <v>6854</v>
      </c>
      <c r="N471" s="957"/>
      <c r="O471" s="773"/>
    </row>
    <row r="472" spans="1:16">
      <c r="F472" s="776" t="s">
        <v>6855</v>
      </c>
      <c r="G472" s="777"/>
      <c r="H472" s="778" t="s">
        <v>8383</v>
      </c>
      <c r="I472" s="778" t="s">
        <v>8383</v>
      </c>
      <c r="J472" s="778" t="s">
        <v>8383</v>
      </c>
      <c r="K472" s="778"/>
      <c r="L472" s="1195"/>
      <c r="M472" s="780"/>
      <c r="N472" s="963"/>
      <c r="O472" s="773"/>
    </row>
    <row r="473" spans="1:16">
      <c r="F473" s="781" t="s">
        <v>6856</v>
      </c>
      <c r="G473" s="782"/>
      <c r="H473" s="779" t="s">
        <v>9182</v>
      </c>
      <c r="I473" s="779" t="s">
        <v>14538</v>
      </c>
      <c r="J473" s="779" t="s">
        <v>14540</v>
      </c>
      <c r="K473" s="779"/>
      <c r="L473" s="1195"/>
      <c r="M473" s="780"/>
      <c r="N473" s="963"/>
      <c r="O473" s="783"/>
      <c r="P473" s="783"/>
    </row>
    <row r="474" spans="1:16">
      <c r="E474" s="784"/>
      <c r="F474" s="781" t="s">
        <v>6857</v>
      </c>
      <c r="G474" s="782"/>
      <c r="H474" s="785"/>
      <c r="I474" s="786"/>
      <c r="J474" s="786"/>
      <c r="K474" s="786"/>
      <c r="L474" s="1195"/>
      <c r="N474" s="818"/>
      <c r="O474" s="658"/>
      <c r="P474" s="658"/>
    </row>
    <row r="475" spans="1:16" ht="15.75" thickBot="1">
      <c r="E475" s="784"/>
      <c r="F475" s="798" t="s">
        <v>6858</v>
      </c>
      <c r="G475" s="799"/>
      <c r="H475" s="790" t="s">
        <v>14537</v>
      </c>
      <c r="I475" s="790" t="s">
        <v>14539</v>
      </c>
      <c r="J475" s="810"/>
      <c r="K475" s="810"/>
      <c r="L475" s="1195"/>
      <c r="N475" s="818"/>
      <c r="O475" s="658"/>
      <c r="P475" s="658"/>
    </row>
    <row r="476" spans="1:16" ht="15.75" thickBot="1">
      <c r="C476" s="792" t="s">
        <v>904</v>
      </c>
      <c r="D476" s="1196" t="s">
        <v>6859</v>
      </c>
      <c r="E476" s="1197"/>
      <c r="F476" s="1198"/>
      <c r="G476" s="793" t="s">
        <v>6860</v>
      </c>
      <c r="H476" s="792" t="s">
        <v>6861</v>
      </c>
      <c r="I476" s="792" t="s">
        <v>6861</v>
      </c>
      <c r="J476" s="792" t="s">
        <v>6861</v>
      </c>
      <c r="K476" s="792"/>
      <c r="L476" s="794"/>
      <c r="N476" s="957"/>
      <c r="O476" s="659"/>
      <c r="P476" s="659"/>
    </row>
    <row r="477" spans="1:16" s="795" customFormat="1" ht="53.25" customHeight="1" thickBot="1">
      <c r="A477" s="769"/>
      <c r="B477" s="770">
        <f>SUMIF(CPU!$E$11:$E$1943,COTAÇÕES!$C477,CPU!$B$11:$B$1943)</f>
        <v>0</v>
      </c>
      <c r="C477" s="850" t="s">
        <v>9076</v>
      </c>
      <c r="D477" s="1191" t="s">
        <v>14536</v>
      </c>
      <c r="E477" s="1192"/>
      <c r="F477" s="1193"/>
      <c r="G477" s="656" t="s">
        <v>6860</v>
      </c>
      <c r="H477" s="672">
        <v>561.14</v>
      </c>
      <c r="I477" s="672">
        <v>495.37</v>
      </c>
      <c r="J477" s="900"/>
      <c r="K477" s="672"/>
      <c r="L477" s="801">
        <f t="shared" ref="L477" si="51">IF(H477&lt;&gt;"",AVERAGE(H477:K477)," ")</f>
        <v>528.255</v>
      </c>
      <c r="N477" s="958"/>
      <c r="O477" s="796"/>
      <c r="P477" s="797"/>
    </row>
    <row r="478" spans="1:16" ht="15.75" thickBot="1">
      <c r="L478" s="769"/>
      <c r="O478" s="773"/>
    </row>
    <row r="479" spans="1:16" ht="15.75" thickBot="1">
      <c r="H479" s="774" t="s">
        <v>6851</v>
      </c>
      <c r="I479" s="775" t="s">
        <v>6852</v>
      </c>
      <c r="J479" s="775" t="s">
        <v>6853</v>
      </c>
      <c r="K479" s="775"/>
      <c r="L479" s="1194" t="s">
        <v>6854</v>
      </c>
      <c r="O479" s="773"/>
    </row>
    <row r="480" spans="1:16">
      <c r="F480" s="776" t="s">
        <v>6855</v>
      </c>
      <c r="G480" s="777"/>
      <c r="H480" s="778" t="s">
        <v>6948</v>
      </c>
      <c r="I480" s="778" t="s">
        <v>6948</v>
      </c>
      <c r="J480" s="778" t="s">
        <v>6948</v>
      </c>
      <c r="K480" s="778"/>
      <c r="L480" s="1195"/>
      <c r="M480" s="780"/>
      <c r="O480" s="773"/>
    </row>
    <row r="481" spans="1:16">
      <c r="F481" s="781" t="s">
        <v>6856</v>
      </c>
      <c r="G481" s="782"/>
      <c r="H481" s="779" t="s">
        <v>6971</v>
      </c>
      <c r="I481" s="779" t="s">
        <v>6974</v>
      </c>
      <c r="J481" s="779" t="s">
        <v>6977</v>
      </c>
      <c r="K481" s="779"/>
      <c r="L481" s="1195"/>
      <c r="M481" s="780"/>
      <c r="O481" s="783"/>
      <c r="P481" s="783"/>
    </row>
    <row r="482" spans="1:16">
      <c r="E482" s="784"/>
      <c r="F482" s="781" t="s">
        <v>6857</v>
      </c>
      <c r="G482" s="782"/>
      <c r="H482" s="785"/>
      <c r="I482" s="786"/>
      <c r="J482" s="786"/>
      <c r="K482" s="786"/>
      <c r="L482" s="1195"/>
      <c r="O482" s="658"/>
      <c r="P482" s="658"/>
    </row>
    <row r="483" spans="1:16" ht="15.75" thickBot="1">
      <c r="E483" s="784"/>
      <c r="F483" s="798" t="s">
        <v>6858</v>
      </c>
      <c r="G483" s="799"/>
      <c r="H483" s="800" t="s">
        <v>6972</v>
      </c>
      <c r="I483" s="800" t="s">
        <v>6975</v>
      </c>
      <c r="J483" s="802" t="s">
        <v>6976</v>
      </c>
      <c r="K483" s="802"/>
      <c r="L483" s="1195"/>
      <c r="O483" s="658"/>
      <c r="P483" s="658"/>
    </row>
    <row r="484" spans="1:16" ht="15.75" thickBot="1">
      <c r="C484" s="792" t="s">
        <v>904</v>
      </c>
      <c r="D484" s="1196" t="s">
        <v>6859</v>
      </c>
      <c r="E484" s="1197"/>
      <c r="F484" s="1198"/>
      <c r="G484" s="793" t="s">
        <v>6860</v>
      </c>
      <c r="H484" s="792" t="s">
        <v>6861</v>
      </c>
      <c r="I484" s="792" t="s">
        <v>6861</v>
      </c>
      <c r="J484" s="792" t="s">
        <v>6861</v>
      </c>
      <c r="K484" s="792"/>
      <c r="L484" s="794"/>
      <c r="O484" s="659"/>
      <c r="P484" s="659"/>
    </row>
    <row r="485" spans="1:16" s="795" customFormat="1" ht="15.75" customHeight="1" thickBot="1">
      <c r="A485" s="769"/>
      <c r="B485" s="770">
        <f>SUMIF(CPU!$E$11:$E$1943,COTAÇÕES!$C485,CPU!$B$11:$B$1943)</f>
        <v>0</v>
      </c>
      <c r="C485" s="768" t="s">
        <v>9077</v>
      </c>
      <c r="D485" s="1203" t="s">
        <v>6973</v>
      </c>
      <c r="E485" s="1204"/>
      <c r="F485" s="1205"/>
      <c r="G485" s="656" t="s">
        <v>646</v>
      </c>
      <c r="H485" s="657">
        <v>2885.89</v>
      </c>
      <c r="I485" s="657">
        <v>3063.49</v>
      </c>
      <c r="J485" s="657">
        <v>1699</v>
      </c>
      <c r="K485" s="657"/>
      <c r="L485" s="801">
        <f t="shared" ref="L485" si="52">IF(H485&lt;&gt;"",AVERAGE(H485:K485)," ")</f>
        <v>2549.4599999999996</v>
      </c>
      <c r="O485" s="796"/>
      <c r="P485" s="797"/>
    </row>
    <row r="486" spans="1:16" ht="15.75" thickBot="1">
      <c r="L486" s="769"/>
      <c r="O486" s="773"/>
    </row>
    <row r="487" spans="1:16" ht="15.75" thickBot="1">
      <c r="H487" s="774" t="s">
        <v>6851</v>
      </c>
      <c r="I487" s="775" t="s">
        <v>6852</v>
      </c>
      <c r="J487" s="775" t="s">
        <v>6853</v>
      </c>
      <c r="K487" s="775"/>
      <c r="L487" s="1194" t="s">
        <v>6854</v>
      </c>
      <c r="O487" s="773"/>
    </row>
    <row r="488" spans="1:16">
      <c r="F488" s="776" t="s">
        <v>6855</v>
      </c>
      <c r="G488" s="777"/>
      <c r="H488" s="765" t="s">
        <v>7579</v>
      </c>
      <c r="I488" s="778" t="s">
        <v>7579</v>
      </c>
      <c r="J488" s="778" t="s">
        <v>7579</v>
      </c>
      <c r="K488" s="778"/>
      <c r="L488" s="1195"/>
      <c r="M488" s="780"/>
      <c r="O488" s="773"/>
    </row>
    <row r="489" spans="1:16">
      <c r="F489" s="781" t="s">
        <v>6856</v>
      </c>
      <c r="G489" s="782"/>
      <c r="H489" s="778" t="s">
        <v>6865</v>
      </c>
      <c r="I489" s="779" t="s">
        <v>6867</v>
      </c>
      <c r="J489" s="779" t="s">
        <v>6979</v>
      </c>
      <c r="K489" s="779"/>
      <c r="L489" s="1195"/>
      <c r="M489" s="780"/>
      <c r="O489" s="783"/>
      <c r="P489" s="783"/>
    </row>
    <row r="490" spans="1:16">
      <c r="E490" s="784"/>
      <c r="F490" s="781" t="s">
        <v>6857</v>
      </c>
      <c r="G490" s="782"/>
      <c r="H490" s="785"/>
      <c r="I490" s="786"/>
      <c r="J490" s="786"/>
      <c r="K490" s="786"/>
      <c r="L490" s="1195"/>
      <c r="O490" s="658"/>
      <c r="P490" s="658"/>
    </row>
    <row r="491" spans="1:16" ht="15.75" thickBot="1">
      <c r="E491" s="784"/>
      <c r="F491" s="798" t="s">
        <v>6858</v>
      </c>
      <c r="G491" s="799"/>
      <c r="H491" s="800" t="s">
        <v>6866</v>
      </c>
      <c r="I491" s="800" t="s">
        <v>6868</v>
      </c>
      <c r="J491" s="802" t="s">
        <v>7581</v>
      </c>
      <c r="K491" s="802"/>
      <c r="L491" s="1195"/>
      <c r="O491" s="658"/>
      <c r="P491" s="658"/>
    </row>
    <row r="492" spans="1:16" ht="15.75" thickBot="1">
      <c r="C492" s="792" t="s">
        <v>904</v>
      </c>
      <c r="D492" s="1196" t="s">
        <v>6859</v>
      </c>
      <c r="E492" s="1197"/>
      <c r="F492" s="1198"/>
      <c r="G492" s="793" t="s">
        <v>6860</v>
      </c>
      <c r="H492" s="792" t="s">
        <v>6861</v>
      </c>
      <c r="I492" s="792" t="s">
        <v>6861</v>
      </c>
      <c r="J492" s="792" t="s">
        <v>6861</v>
      </c>
      <c r="K492" s="792"/>
      <c r="L492" s="794"/>
      <c r="O492" s="659"/>
      <c r="P492" s="659"/>
    </row>
    <row r="493" spans="1:16" s="795" customFormat="1" ht="15.75" thickBot="1">
      <c r="A493" s="769"/>
      <c r="B493" s="770">
        <f>SUMIF(CPU!$E$11:$E$1943,COTAÇÕES!$C493,CPU!$B$11:$B$1943)</f>
        <v>0</v>
      </c>
      <c r="C493" s="768" t="s">
        <v>9078</v>
      </c>
      <c r="D493" s="1210" t="s">
        <v>7580</v>
      </c>
      <c r="E493" s="1210"/>
      <c r="F493" s="1210"/>
      <c r="G493" s="656" t="s">
        <v>646</v>
      </c>
      <c r="H493" s="657">
        <v>215</v>
      </c>
      <c r="I493" s="657">
        <v>163.62</v>
      </c>
      <c r="J493" s="657">
        <v>166.02</v>
      </c>
      <c r="K493" s="812"/>
      <c r="L493" s="801">
        <f t="shared" ref="L493" si="53">IF(H493&lt;&gt;"",AVERAGE(H493:K493)," ")</f>
        <v>181.54666666666665</v>
      </c>
      <c r="O493" s="796"/>
      <c r="P493" s="797"/>
    </row>
    <row r="494" spans="1:16" ht="15.75" thickBot="1">
      <c r="L494" s="769"/>
      <c r="O494" s="773"/>
    </row>
    <row r="495" spans="1:16" ht="15.75" thickBot="1">
      <c r="H495" s="774" t="s">
        <v>6851</v>
      </c>
      <c r="I495" s="775" t="s">
        <v>6852</v>
      </c>
      <c r="J495" s="775" t="s">
        <v>6853</v>
      </c>
      <c r="K495" s="775"/>
      <c r="L495" s="1194" t="s">
        <v>6854</v>
      </c>
      <c r="O495" s="773"/>
    </row>
    <row r="496" spans="1:16">
      <c r="F496" s="776" t="s">
        <v>6855</v>
      </c>
      <c r="G496" s="777"/>
      <c r="H496" s="778" t="s">
        <v>6948</v>
      </c>
      <c r="I496" s="778" t="s">
        <v>7579</v>
      </c>
      <c r="J496" s="778" t="s">
        <v>6948</v>
      </c>
      <c r="K496" s="778"/>
      <c r="L496" s="1195"/>
      <c r="M496" s="780"/>
      <c r="O496" s="773"/>
    </row>
    <row r="497" spans="1:16">
      <c r="F497" s="781" t="s">
        <v>6856</v>
      </c>
      <c r="G497" s="782"/>
      <c r="H497" s="779" t="s">
        <v>7538</v>
      </c>
      <c r="I497" s="779" t="s">
        <v>7586</v>
      </c>
      <c r="J497" s="779" t="s">
        <v>6867</v>
      </c>
      <c r="K497" s="779"/>
      <c r="L497" s="1195"/>
      <c r="M497" s="780"/>
      <c r="O497" s="783"/>
      <c r="P497" s="783"/>
    </row>
    <row r="498" spans="1:16">
      <c r="E498" s="784"/>
      <c r="F498" s="781" t="s">
        <v>6857</v>
      </c>
      <c r="G498" s="782"/>
      <c r="H498" s="785"/>
      <c r="I498" s="786"/>
      <c r="J498" s="786"/>
      <c r="K498" s="786"/>
      <c r="L498" s="1195"/>
      <c r="O498" s="658"/>
      <c r="P498" s="658"/>
    </row>
    <row r="499" spans="1:16" ht="15.75" thickBot="1">
      <c r="E499" s="784"/>
      <c r="F499" s="798" t="s">
        <v>6858</v>
      </c>
      <c r="G499" s="799"/>
      <c r="H499" s="800" t="s">
        <v>7539</v>
      </c>
      <c r="I499" s="800" t="s">
        <v>7587</v>
      </c>
      <c r="J499" s="802" t="s">
        <v>7540</v>
      </c>
      <c r="K499" s="802"/>
      <c r="L499" s="1195"/>
      <c r="O499" s="658"/>
      <c r="P499" s="658"/>
    </row>
    <row r="500" spans="1:16" ht="15.75" thickBot="1">
      <c r="C500" s="792" t="s">
        <v>904</v>
      </c>
      <c r="D500" s="1196" t="s">
        <v>6859</v>
      </c>
      <c r="E500" s="1197"/>
      <c r="F500" s="1198"/>
      <c r="G500" s="793" t="s">
        <v>6860</v>
      </c>
      <c r="H500" s="792" t="s">
        <v>6861</v>
      </c>
      <c r="I500" s="792" t="s">
        <v>6861</v>
      </c>
      <c r="J500" s="792" t="s">
        <v>6861</v>
      </c>
      <c r="K500" s="792"/>
      <c r="L500" s="794"/>
      <c r="O500" s="659"/>
      <c r="P500" s="659"/>
    </row>
    <row r="501" spans="1:16" s="795" customFormat="1" ht="15.75" customHeight="1" thickBot="1">
      <c r="A501" s="769"/>
      <c r="B501" s="770">
        <f>SUMIF(CPU!$E$11:$E$1943,COTAÇÕES!$C501,CPU!$B$11:$B$1943)</f>
        <v>0</v>
      </c>
      <c r="C501" s="768" t="s">
        <v>9079</v>
      </c>
      <c r="D501" s="1203" t="s">
        <v>6978</v>
      </c>
      <c r="E501" s="1204"/>
      <c r="F501" s="1205"/>
      <c r="G501" s="656" t="s">
        <v>646</v>
      </c>
      <c r="H501" s="657">
        <v>20.9</v>
      </c>
      <c r="I501" s="657">
        <v>25</v>
      </c>
      <c r="J501" s="657">
        <v>18.899999999999999</v>
      </c>
      <c r="K501" s="657"/>
      <c r="L501" s="801">
        <f t="shared" ref="L501" si="54">IF(H501&lt;&gt;"",AVERAGE(H501:K501)," ")</f>
        <v>21.599999999999998</v>
      </c>
      <c r="O501" s="796"/>
      <c r="P501" s="797"/>
    </row>
    <row r="502" spans="1:16" ht="15.75" thickBot="1">
      <c r="I502" s="814"/>
      <c r="L502" s="769"/>
      <c r="O502" s="773"/>
    </row>
    <row r="503" spans="1:16" ht="15.75" thickBot="1">
      <c r="H503" s="774" t="s">
        <v>6851</v>
      </c>
      <c r="I503" s="775" t="s">
        <v>6852</v>
      </c>
      <c r="J503" s="775" t="s">
        <v>6853</v>
      </c>
      <c r="K503" s="775"/>
      <c r="L503" s="1194" t="s">
        <v>6854</v>
      </c>
      <c r="O503" s="773"/>
    </row>
    <row r="504" spans="1:16">
      <c r="F504" s="776" t="s">
        <v>6855</v>
      </c>
      <c r="G504" s="777"/>
      <c r="H504" s="778" t="s">
        <v>7651</v>
      </c>
      <c r="I504" s="778" t="s">
        <v>7651</v>
      </c>
      <c r="J504" s="778" t="s">
        <v>7651</v>
      </c>
      <c r="K504" s="778"/>
      <c r="L504" s="1195"/>
      <c r="M504" s="780"/>
      <c r="O504" s="773"/>
    </row>
    <row r="505" spans="1:16">
      <c r="F505" s="781" t="s">
        <v>6856</v>
      </c>
      <c r="G505" s="782"/>
      <c r="H505" s="779" t="s">
        <v>6960</v>
      </c>
      <c r="I505" s="779" t="s">
        <v>6865</v>
      </c>
      <c r="J505" s="779" t="s">
        <v>7502</v>
      </c>
      <c r="K505" s="779"/>
      <c r="L505" s="1195"/>
      <c r="M505" s="780"/>
      <c r="O505" s="783"/>
      <c r="P505" s="783"/>
    </row>
    <row r="506" spans="1:16">
      <c r="E506" s="784"/>
      <c r="F506" s="781" t="s">
        <v>6857</v>
      </c>
      <c r="G506" s="782"/>
      <c r="H506" s="785"/>
      <c r="I506" s="786"/>
      <c r="J506" s="786"/>
      <c r="K506" s="786"/>
      <c r="L506" s="1195"/>
      <c r="O506" s="658"/>
      <c r="P506" s="658"/>
    </row>
    <row r="507" spans="1:16" ht="15.75" thickBot="1">
      <c r="E507" s="784"/>
      <c r="F507" s="798" t="s">
        <v>6858</v>
      </c>
      <c r="G507" s="799"/>
      <c r="H507" s="790" t="s">
        <v>7656</v>
      </c>
      <c r="I507" s="785" t="s">
        <v>7654</v>
      </c>
      <c r="J507" s="810" t="s">
        <v>7655</v>
      </c>
      <c r="K507" s="810"/>
      <c r="L507" s="1195"/>
      <c r="O507" s="658"/>
      <c r="P507" s="658"/>
    </row>
    <row r="508" spans="1:16" ht="15.75" thickBot="1">
      <c r="C508" s="792" t="s">
        <v>904</v>
      </c>
      <c r="D508" s="1196" t="s">
        <v>6859</v>
      </c>
      <c r="E508" s="1197"/>
      <c r="F508" s="1198"/>
      <c r="G508" s="793" t="s">
        <v>6860</v>
      </c>
      <c r="H508" s="792" t="s">
        <v>6861</v>
      </c>
      <c r="I508" s="792" t="s">
        <v>6861</v>
      </c>
      <c r="J508" s="792" t="s">
        <v>6861</v>
      </c>
      <c r="K508" s="792"/>
      <c r="L508" s="794"/>
      <c r="O508" s="659"/>
      <c r="P508" s="659"/>
    </row>
    <row r="509" spans="1:16" s="795" customFormat="1" ht="32.25" customHeight="1" thickBot="1">
      <c r="A509" s="769"/>
      <c r="B509" s="770">
        <f>SUMIF(CPU!$E$11:$E$1943,COTAÇÕES!$C509,CPU!$B$11:$B$1943)</f>
        <v>0</v>
      </c>
      <c r="C509" s="850" t="s">
        <v>9080</v>
      </c>
      <c r="D509" s="1210" t="s">
        <v>7606</v>
      </c>
      <c r="E509" s="1210"/>
      <c r="F509" s="1210"/>
      <c r="G509" s="656" t="s">
        <v>646</v>
      </c>
      <c r="H509" s="672">
        <v>69.39</v>
      </c>
      <c r="I509" s="657">
        <v>79</v>
      </c>
      <c r="J509" s="657">
        <v>55.92</v>
      </c>
      <c r="K509" s="657"/>
      <c r="L509" s="801">
        <f t="shared" ref="L509" si="55">IF(H509&lt;&gt;"",AVERAGE(H509:K509)," ")</f>
        <v>68.103333333333339</v>
      </c>
      <c r="O509" s="796"/>
      <c r="P509" s="797"/>
    </row>
    <row r="510" spans="1:16" ht="15.75" thickBot="1">
      <c r="L510" s="769"/>
      <c r="O510" s="773"/>
    </row>
    <row r="511" spans="1:16" ht="15.75" thickBot="1">
      <c r="H511" s="774" t="s">
        <v>6851</v>
      </c>
      <c r="I511" s="775" t="s">
        <v>6852</v>
      </c>
      <c r="J511" s="775" t="s">
        <v>6853</v>
      </c>
      <c r="K511" s="775"/>
      <c r="L511" s="1194" t="s">
        <v>6854</v>
      </c>
      <c r="O511" s="773"/>
    </row>
    <row r="512" spans="1:16">
      <c r="F512" s="776" t="s">
        <v>6855</v>
      </c>
      <c r="G512" s="777"/>
      <c r="H512" s="765" t="s">
        <v>7579</v>
      </c>
      <c r="I512" s="778" t="s">
        <v>7194</v>
      </c>
      <c r="J512" s="778" t="s">
        <v>7194</v>
      </c>
      <c r="K512" s="778"/>
      <c r="L512" s="1195"/>
      <c r="M512" s="780"/>
      <c r="O512" s="773"/>
    </row>
    <row r="513" spans="1:16">
      <c r="F513" s="781" t="s">
        <v>6856</v>
      </c>
      <c r="G513" s="782"/>
      <c r="H513" s="779" t="s">
        <v>7515</v>
      </c>
      <c r="I513" s="779" t="s">
        <v>7486</v>
      </c>
      <c r="J513" s="779" t="s">
        <v>7590</v>
      </c>
      <c r="K513" s="779"/>
      <c r="L513" s="1195"/>
      <c r="M513" s="780"/>
      <c r="O513" s="783"/>
      <c r="P513" s="783"/>
    </row>
    <row r="514" spans="1:16">
      <c r="E514" s="784"/>
      <c r="F514" s="781" t="s">
        <v>6857</v>
      </c>
      <c r="G514" s="782"/>
      <c r="H514" s="785"/>
      <c r="I514" s="786"/>
      <c r="J514" s="786"/>
      <c r="K514" s="786"/>
      <c r="L514" s="1195"/>
      <c r="O514" s="658"/>
      <c r="P514" s="658"/>
    </row>
    <row r="515" spans="1:16" ht="15.75" thickBot="1">
      <c r="E515" s="784"/>
      <c r="F515" s="798" t="s">
        <v>6858</v>
      </c>
      <c r="G515" s="799"/>
      <c r="H515" s="790" t="s">
        <v>7588</v>
      </c>
      <c r="I515" s="790" t="s">
        <v>7589</v>
      </c>
      <c r="J515" s="810" t="s">
        <v>7591</v>
      </c>
      <c r="K515" s="810"/>
      <c r="L515" s="1195"/>
      <c r="O515" s="658"/>
      <c r="P515" s="658"/>
    </row>
    <row r="516" spans="1:16" ht="15.75" thickBot="1">
      <c r="C516" s="792" t="s">
        <v>904</v>
      </c>
      <c r="D516" s="1196" t="s">
        <v>6859</v>
      </c>
      <c r="E516" s="1197"/>
      <c r="F516" s="1198"/>
      <c r="G516" s="793" t="s">
        <v>6860</v>
      </c>
      <c r="H516" s="792" t="s">
        <v>6861</v>
      </c>
      <c r="I516" s="792" t="s">
        <v>6861</v>
      </c>
      <c r="J516" s="792" t="s">
        <v>6861</v>
      </c>
      <c r="K516" s="792"/>
      <c r="L516" s="794"/>
      <c r="O516" s="659"/>
      <c r="P516" s="659"/>
    </row>
    <row r="517" spans="1:16" s="795" customFormat="1" ht="15.75" thickBot="1">
      <c r="A517" s="769"/>
      <c r="B517" s="770">
        <f>SUMIF(CPU!$E$11:$E$1943,COTAÇÕES!$C517,CPU!$B$11:$B$1943)</f>
        <v>0</v>
      </c>
      <c r="C517" s="850" t="s">
        <v>9081</v>
      </c>
      <c r="D517" s="1207" t="s">
        <v>7551</v>
      </c>
      <c r="E517" s="1208"/>
      <c r="F517" s="1209"/>
      <c r="G517" s="656" t="s">
        <v>646</v>
      </c>
      <c r="H517" s="672">
        <v>24.8</v>
      </c>
      <c r="I517" s="657">
        <v>29</v>
      </c>
      <c r="J517" s="657">
        <v>21.5</v>
      </c>
      <c r="K517" s="657"/>
      <c r="L517" s="801">
        <f t="shared" ref="L517" si="56">IF(H517&lt;&gt;"",AVERAGE(H517:K517)," ")</f>
        <v>25.099999999999998</v>
      </c>
      <c r="O517" s="796"/>
      <c r="P517" s="797"/>
    </row>
    <row r="518" spans="1:16" ht="15.75" thickBot="1">
      <c r="L518" s="769"/>
      <c r="O518" s="773"/>
    </row>
    <row r="519" spans="1:16" ht="15.75" thickBot="1">
      <c r="H519" s="774" t="s">
        <v>6851</v>
      </c>
      <c r="I519" s="775" t="s">
        <v>6852</v>
      </c>
      <c r="J519" s="775" t="s">
        <v>6853</v>
      </c>
      <c r="K519" s="775"/>
      <c r="L519" s="1194" t="s">
        <v>6854</v>
      </c>
      <c r="O519" s="773"/>
    </row>
    <row r="520" spans="1:16">
      <c r="F520" s="776" t="s">
        <v>6855</v>
      </c>
      <c r="G520" s="777"/>
      <c r="H520" s="778" t="s">
        <v>8383</v>
      </c>
      <c r="I520" s="778" t="s">
        <v>8383</v>
      </c>
      <c r="J520" s="778" t="s">
        <v>8383</v>
      </c>
      <c r="K520" s="778"/>
      <c r="L520" s="1195"/>
      <c r="M520" s="780"/>
      <c r="O520" s="773"/>
    </row>
    <row r="521" spans="1:16">
      <c r="F521" s="781" t="s">
        <v>6856</v>
      </c>
      <c r="G521" s="782"/>
      <c r="H521" s="778" t="s">
        <v>9275</v>
      </c>
      <c r="I521" s="779" t="s">
        <v>9277</v>
      </c>
      <c r="J521" s="779" t="s">
        <v>9279</v>
      </c>
      <c r="K521" s="779"/>
      <c r="L521" s="1195"/>
      <c r="M521" s="780"/>
      <c r="O521" s="783"/>
      <c r="P521" s="783"/>
    </row>
    <row r="522" spans="1:16">
      <c r="E522" s="784"/>
      <c r="F522" s="781" t="s">
        <v>6857</v>
      </c>
      <c r="G522" s="782"/>
      <c r="H522" s="785"/>
      <c r="I522" s="786"/>
      <c r="J522" s="786"/>
      <c r="K522" s="786"/>
      <c r="L522" s="1195"/>
      <c r="O522" s="658"/>
      <c r="P522" s="658"/>
    </row>
    <row r="523" spans="1:16" ht="15.75" thickBot="1">
      <c r="E523" s="784"/>
      <c r="F523" s="798" t="s">
        <v>6858</v>
      </c>
      <c r="G523" s="799"/>
      <c r="H523" s="800" t="s">
        <v>9274</v>
      </c>
      <c r="I523" s="800" t="s">
        <v>9276</v>
      </c>
      <c r="J523" s="802" t="s">
        <v>9278</v>
      </c>
      <c r="K523" s="802"/>
      <c r="L523" s="1195"/>
      <c r="O523" s="658"/>
      <c r="P523" s="658"/>
    </row>
    <row r="524" spans="1:16" ht="15.75" thickBot="1">
      <c r="C524" s="792" t="s">
        <v>904</v>
      </c>
      <c r="D524" s="1196" t="s">
        <v>6859</v>
      </c>
      <c r="E524" s="1197"/>
      <c r="F524" s="1198"/>
      <c r="G524" s="793" t="s">
        <v>6860</v>
      </c>
      <c r="H524" s="792" t="s">
        <v>6861</v>
      </c>
      <c r="I524" s="792" t="s">
        <v>6861</v>
      </c>
      <c r="J524" s="792" t="s">
        <v>6861</v>
      </c>
      <c r="K524" s="792"/>
      <c r="L524" s="794"/>
      <c r="O524" s="659"/>
      <c r="P524" s="659"/>
    </row>
    <row r="525" spans="1:16" s="795" customFormat="1" ht="15.75" thickBot="1">
      <c r="A525" s="769"/>
      <c r="B525" s="770">
        <f>SUMIF(CPU!$E$11:$E$1943,COTAÇÕES!$C525,CPU!$B$11:$B$1943)</f>
        <v>0</v>
      </c>
      <c r="C525" s="768" t="s">
        <v>9082</v>
      </c>
      <c r="D525" s="1206" t="s">
        <v>8989</v>
      </c>
      <c r="E525" s="1206"/>
      <c r="F525" s="1206"/>
      <c r="G525" s="967" t="s">
        <v>646</v>
      </c>
      <c r="H525" s="672">
        <v>2519</v>
      </c>
      <c r="I525" s="672">
        <v>2267.1</v>
      </c>
      <c r="J525" s="672">
        <v>2699</v>
      </c>
      <c r="K525" s="813"/>
      <c r="L525" s="801">
        <f t="shared" ref="L525" si="57">IF(H525&lt;&gt;"",AVERAGE(H525:K525)," ")</f>
        <v>2495.0333333333333</v>
      </c>
      <c r="O525" s="796"/>
      <c r="P525" s="797"/>
    </row>
    <row r="526" spans="1:16" ht="15.75" thickBot="1">
      <c r="L526" s="769"/>
      <c r="O526" s="773"/>
    </row>
    <row r="527" spans="1:16" ht="15.75" thickBot="1">
      <c r="H527" s="774" t="s">
        <v>6851</v>
      </c>
      <c r="I527" s="775" t="s">
        <v>6852</v>
      </c>
      <c r="J527" s="775" t="s">
        <v>6853</v>
      </c>
      <c r="K527" s="775"/>
      <c r="L527" s="1194" t="s">
        <v>6854</v>
      </c>
      <c r="O527" s="773"/>
    </row>
    <row r="528" spans="1:16">
      <c r="F528" s="776" t="s">
        <v>6855</v>
      </c>
      <c r="G528" s="777"/>
      <c r="H528" s="778" t="s">
        <v>8383</v>
      </c>
      <c r="I528" s="778" t="s">
        <v>8383</v>
      </c>
      <c r="J528" s="778" t="s">
        <v>8383</v>
      </c>
      <c r="K528" s="778"/>
      <c r="L528" s="1195"/>
      <c r="M528" s="780"/>
      <c r="O528" s="773"/>
    </row>
    <row r="529" spans="1:16">
      <c r="F529" s="781" t="s">
        <v>6856</v>
      </c>
      <c r="G529" s="782"/>
      <c r="H529" s="779" t="s">
        <v>9228</v>
      </c>
      <c r="I529" s="779" t="s">
        <v>9282</v>
      </c>
      <c r="J529" s="779" t="s">
        <v>9284</v>
      </c>
      <c r="K529" s="779"/>
      <c r="L529" s="1195"/>
      <c r="M529" s="780"/>
      <c r="O529" s="783"/>
      <c r="P529" s="783"/>
    </row>
    <row r="530" spans="1:16">
      <c r="E530" s="784"/>
      <c r="F530" s="781" t="s">
        <v>6857</v>
      </c>
      <c r="G530" s="782"/>
      <c r="H530" s="785"/>
      <c r="I530" s="786"/>
      <c r="J530" s="786"/>
      <c r="K530" s="786"/>
      <c r="L530" s="1195"/>
      <c r="O530" s="658"/>
      <c r="P530" s="658"/>
    </row>
    <row r="531" spans="1:16" ht="15.75" thickBot="1">
      <c r="E531" s="784"/>
      <c r="F531" s="798" t="s">
        <v>6858</v>
      </c>
      <c r="G531" s="799"/>
      <c r="H531" s="800" t="s">
        <v>9280</v>
      </c>
      <c r="I531" s="800" t="s">
        <v>9281</v>
      </c>
      <c r="J531" s="802" t="s">
        <v>9283</v>
      </c>
      <c r="K531" s="802"/>
      <c r="L531" s="1195"/>
      <c r="O531" s="658"/>
      <c r="P531" s="658"/>
    </row>
    <row r="532" spans="1:16" ht="15.75" thickBot="1">
      <c r="C532" s="792" t="s">
        <v>904</v>
      </c>
      <c r="D532" s="1196" t="s">
        <v>6859</v>
      </c>
      <c r="E532" s="1197"/>
      <c r="F532" s="1198"/>
      <c r="G532" s="793" t="s">
        <v>6860</v>
      </c>
      <c r="H532" s="792" t="s">
        <v>6861</v>
      </c>
      <c r="I532" s="792" t="s">
        <v>6861</v>
      </c>
      <c r="J532" s="792" t="s">
        <v>6861</v>
      </c>
      <c r="K532" s="792"/>
      <c r="L532" s="794"/>
      <c r="O532" s="659"/>
      <c r="P532" s="659"/>
    </row>
    <row r="533" spans="1:16" s="795" customFormat="1" ht="15.75" customHeight="1" thickBot="1">
      <c r="A533" s="769"/>
      <c r="B533" s="770">
        <f>SUMIF(CPU!$E$11:$E$1943,COTAÇÕES!$C533,CPU!$B$11:$B$1943)</f>
        <v>0</v>
      </c>
      <c r="C533" s="768" t="s">
        <v>9083</v>
      </c>
      <c r="D533" s="1191" t="s">
        <v>8987</v>
      </c>
      <c r="E533" s="1192"/>
      <c r="F533" s="1193"/>
      <c r="G533" s="656" t="s">
        <v>646</v>
      </c>
      <c r="H533" s="657">
        <v>2119</v>
      </c>
      <c r="I533" s="657">
        <v>2097.9899999999998</v>
      </c>
      <c r="J533" s="657">
        <v>2175.3000000000002</v>
      </c>
      <c r="K533" s="812"/>
      <c r="L533" s="801">
        <f t="shared" ref="L533" si="58">IF(H533&lt;&gt;"",AVERAGE(H533:K533)," ")</f>
        <v>2130.7633333333333</v>
      </c>
      <c r="O533" s="796"/>
      <c r="P533" s="797"/>
    </row>
    <row r="534" spans="1:16" ht="15.75" thickBot="1">
      <c r="L534" s="769"/>
    </row>
    <row r="535" spans="1:16" ht="15.75" thickBot="1">
      <c r="H535" s="774" t="s">
        <v>6851</v>
      </c>
      <c r="I535" s="775" t="s">
        <v>6852</v>
      </c>
      <c r="J535" s="775" t="s">
        <v>6853</v>
      </c>
      <c r="K535" s="775"/>
      <c r="L535" s="1194" t="s">
        <v>6854</v>
      </c>
      <c r="O535" s="773"/>
    </row>
    <row r="536" spans="1:16">
      <c r="F536" s="776" t="s">
        <v>6855</v>
      </c>
      <c r="G536" s="777"/>
      <c r="H536" s="778" t="s">
        <v>6948</v>
      </c>
      <c r="I536" s="778" t="s">
        <v>6948</v>
      </c>
      <c r="J536" s="778" t="s">
        <v>6948</v>
      </c>
      <c r="K536" s="778"/>
      <c r="L536" s="1195"/>
      <c r="M536" s="780"/>
      <c r="O536" s="773"/>
    </row>
    <row r="537" spans="1:16">
      <c r="F537" s="781" t="s">
        <v>6856</v>
      </c>
      <c r="G537" s="782"/>
      <c r="H537" s="778" t="s">
        <v>6953</v>
      </c>
      <c r="I537" s="779" t="s">
        <v>6949</v>
      </c>
      <c r="J537" s="779" t="s">
        <v>6951</v>
      </c>
      <c r="K537" s="779"/>
      <c r="L537" s="1195"/>
      <c r="M537" s="780"/>
      <c r="O537" s="783"/>
      <c r="P537" s="783"/>
    </row>
    <row r="538" spans="1:16">
      <c r="E538" s="784"/>
      <c r="F538" s="781" t="s">
        <v>6857</v>
      </c>
      <c r="G538" s="782"/>
      <c r="H538" s="785"/>
      <c r="I538" s="786"/>
      <c r="J538" s="786"/>
      <c r="K538" s="786"/>
      <c r="L538" s="1195"/>
      <c r="O538" s="658"/>
      <c r="P538" s="658"/>
    </row>
    <row r="539" spans="1:16" ht="15.75" thickBot="1">
      <c r="E539" s="784"/>
      <c r="F539" s="798" t="s">
        <v>6858</v>
      </c>
      <c r="G539" s="799"/>
      <c r="H539" s="800" t="s">
        <v>6954</v>
      </c>
      <c r="I539" s="800" t="s">
        <v>6950</v>
      </c>
      <c r="J539" s="802" t="s">
        <v>6952</v>
      </c>
      <c r="K539" s="802"/>
      <c r="L539" s="1195"/>
      <c r="O539" s="658"/>
      <c r="P539" s="658"/>
    </row>
    <row r="540" spans="1:16" ht="15.75" thickBot="1">
      <c r="C540" s="792" t="s">
        <v>904</v>
      </c>
      <c r="D540" s="1196" t="s">
        <v>6859</v>
      </c>
      <c r="E540" s="1197"/>
      <c r="F540" s="1198"/>
      <c r="G540" s="793" t="s">
        <v>6860</v>
      </c>
      <c r="H540" s="792" t="s">
        <v>6861</v>
      </c>
      <c r="I540" s="792" t="s">
        <v>6861</v>
      </c>
      <c r="J540" s="792" t="s">
        <v>6861</v>
      </c>
      <c r="K540" s="792"/>
      <c r="L540" s="794"/>
      <c r="O540" s="659"/>
      <c r="P540" s="659"/>
    </row>
    <row r="541" spans="1:16" s="795" customFormat="1" ht="15.75" thickBot="1">
      <c r="A541" s="769"/>
      <c r="B541" s="770">
        <f>SUMIF(CPU!$E$11:$E$1943,COTAÇÕES!$C541,CPU!$B$11:$B$1943)</f>
        <v>6</v>
      </c>
      <c r="C541" s="768" t="s">
        <v>9084</v>
      </c>
      <c r="D541" s="1210" t="s">
        <v>6955</v>
      </c>
      <c r="E541" s="1210"/>
      <c r="F541" s="1210"/>
      <c r="G541" s="656" t="s">
        <v>646</v>
      </c>
      <c r="H541" s="657">
        <v>33.9</v>
      </c>
      <c r="I541" s="657">
        <v>39.99</v>
      </c>
      <c r="J541" s="657">
        <v>36.19</v>
      </c>
      <c r="K541" s="657"/>
      <c r="L541" s="801">
        <f t="shared" ref="L541" si="59">IF(H541&lt;&gt;"",AVERAGE(H541:K541)," ")</f>
        <v>36.693333333333335</v>
      </c>
      <c r="O541" s="796"/>
      <c r="P541" s="797"/>
    </row>
    <row r="542" spans="1:16" ht="15.75" thickBot="1">
      <c r="L542" s="769"/>
      <c r="O542" s="773"/>
    </row>
    <row r="543" spans="1:16" ht="15.75" thickBot="1">
      <c r="H543" s="774" t="s">
        <v>6851</v>
      </c>
      <c r="I543" s="775" t="s">
        <v>6852</v>
      </c>
      <c r="J543" s="775" t="s">
        <v>6853</v>
      </c>
      <c r="K543" s="775"/>
      <c r="L543" s="1194" t="s">
        <v>6854</v>
      </c>
      <c r="O543" s="773"/>
    </row>
    <row r="544" spans="1:16">
      <c r="F544" s="776" t="s">
        <v>6855</v>
      </c>
      <c r="G544" s="777"/>
      <c r="H544" s="765" t="s">
        <v>7579</v>
      </c>
      <c r="I544" s="778" t="s">
        <v>7579</v>
      </c>
      <c r="J544" s="778" t="s">
        <v>7579</v>
      </c>
      <c r="K544" s="778"/>
      <c r="L544" s="1195"/>
      <c r="M544" s="780"/>
      <c r="O544" s="773"/>
    </row>
    <row r="545" spans="1:16">
      <c r="F545" s="781" t="s">
        <v>6856</v>
      </c>
      <c r="G545" s="782"/>
      <c r="H545" s="779" t="s">
        <v>6965</v>
      </c>
      <c r="I545" s="779" t="s">
        <v>7493</v>
      </c>
      <c r="J545" s="779" t="s">
        <v>7601</v>
      </c>
      <c r="K545" s="779"/>
      <c r="L545" s="1195"/>
      <c r="M545" s="780"/>
      <c r="O545" s="783"/>
      <c r="P545" s="783"/>
    </row>
    <row r="546" spans="1:16">
      <c r="E546" s="784"/>
      <c r="F546" s="781" t="s">
        <v>6857</v>
      </c>
      <c r="G546" s="782"/>
      <c r="H546" s="785"/>
      <c r="I546" s="786"/>
      <c r="J546" s="786"/>
      <c r="K546" s="786"/>
      <c r="L546" s="1195"/>
      <c r="O546" s="658"/>
      <c r="P546" s="658"/>
    </row>
    <row r="547" spans="1:16" ht="15.75" thickBot="1">
      <c r="E547" s="784"/>
      <c r="F547" s="798" t="s">
        <v>6858</v>
      </c>
      <c r="G547" s="799"/>
      <c r="H547" s="790" t="s">
        <v>7598</v>
      </c>
      <c r="I547" s="790" t="s">
        <v>7599</v>
      </c>
      <c r="J547" s="810" t="s">
        <v>7600</v>
      </c>
      <c r="K547" s="810"/>
      <c r="L547" s="1195"/>
      <c r="O547" s="658"/>
      <c r="P547" s="658"/>
    </row>
    <row r="548" spans="1:16" ht="15.75" thickBot="1">
      <c r="C548" s="792" t="s">
        <v>904</v>
      </c>
      <c r="D548" s="1196" t="s">
        <v>6859</v>
      </c>
      <c r="E548" s="1197"/>
      <c r="F548" s="1198"/>
      <c r="G548" s="793" t="s">
        <v>6860</v>
      </c>
      <c r="H548" s="792" t="s">
        <v>6861</v>
      </c>
      <c r="I548" s="792" t="s">
        <v>6861</v>
      </c>
      <c r="J548" s="792" t="s">
        <v>6861</v>
      </c>
      <c r="K548" s="792"/>
      <c r="L548" s="794"/>
      <c r="O548" s="659"/>
      <c r="P548" s="659"/>
    </row>
    <row r="549" spans="1:16" s="795" customFormat="1" ht="15.75" thickBot="1">
      <c r="A549" s="769"/>
      <c r="B549" s="770">
        <f>SUMIF(CPU!$E$11:$E$1943,COTAÇÕES!$C549,CPU!$B$11:$B$1943)</f>
        <v>6</v>
      </c>
      <c r="C549" s="850" t="s">
        <v>9085</v>
      </c>
      <c r="D549" s="1203" t="s">
        <v>7597</v>
      </c>
      <c r="E549" s="1204"/>
      <c r="F549" s="1205"/>
      <c r="G549" s="656" t="s">
        <v>646</v>
      </c>
      <c r="H549" s="672">
        <v>15.79</v>
      </c>
      <c r="I549" s="657">
        <v>16.8</v>
      </c>
      <c r="J549" s="657">
        <v>12.9</v>
      </c>
      <c r="K549" s="657"/>
      <c r="L549" s="801">
        <f t="shared" ref="L549" si="60">IF(H549&lt;&gt;"",AVERAGE(H549:K549)," ")</f>
        <v>15.163333333333334</v>
      </c>
      <c r="O549" s="796"/>
      <c r="P549" s="797"/>
    </row>
    <row r="550" spans="1:16" ht="15.75" thickBot="1">
      <c r="L550" s="769"/>
      <c r="O550" s="773"/>
    </row>
    <row r="551" spans="1:16" ht="15.75" thickBot="1">
      <c r="H551" s="774" t="s">
        <v>6851</v>
      </c>
      <c r="I551" s="775" t="s">
        <v>6852</v>
      </c>
      <c r="J551" s="775" t="s">
        <v>6853</v>
      </c>
      <c r="K551" s="775"/>
      <c r="L551" s="1194" t="s">
        <v>6854</v>
      </c>
      <c r="O551" s="773"/>
    </row>
    <row r="552" spans="1:16">
      <c r="F552" s="776" t="s">
        <v>6855</v>
      </c>
      <c r="G552" s="777"/>
      <c r="H552" s="778" t="s">
        <v>6948</v>
      </c>
      <c r="I552" s="778" t="s">
        <v>6948</v>
      </c>
      <c r="J552" s="778" t="s">
        <v>6948</v>
      </c>
      <c r="K552" s="778"/>
      <c r="L552" s="1195"/>
      <c r="M552" s="780"/>
      <c r="O552" s="773"/>
    </row>
    <row r="553" spans="1:16">
      <c r="F553" s="781" t="s">
        <v>6856</v>
      </c>
      <c r="G553" s="782"/>
      <c r="H553" s="779" t="s">
        <v>6965</v>
      </c>
      <c r="I553" s="779" t="s">
        <v>6967</v>
      </c>
      <c r="J553" s="779" t="s">
        <v>6969</v>
      </c>
      <c r="K553" s="779"/>
      <c r="L553" s="1195"/>
      <c r="M553" s="780"/>
      <c r="O553" s="783"/>
      <c r="P553" s="783"/>
    </row>
    <row r="554" spans="1:16">
      <c r="E554" s="784"/>
      <c r="F554" s="781" t="s">
        <v>6857</v>
      </c>
      <c r="G554" s="782"/>
      <c r="H554" s="785"/>
      <c r="I554" s="786"/>
      <c r="J554" s="786"/>
      <c r="K554" s="786"/>
      <c r="L554" s="1195"/>
      <c r="O554" s="658"/>
      <c r="P554" s="658"/>
    </row>
    <row r="555" spans="1:16" ht="15.75" thickBot="1">
      <c r="E555" s="784"/>
      <c r="F555" s="798" t="s">
        <v>6858</v>
      </c>
      <c r="G555" s="799"/>
      <c r="H555" s="800" t="s">
        <v>6966</v>
      </c>
      <c r="I555" s="800" t="s">
        <v>6968</v>
      </c>
      <c r="J555" s="802" t="s">
        <v>6970</v>
      </c>
      <c r="K555" s="802"/>
      <c r="L555" s="1195"/>
      <c r="O555" s="658"/>
      <c r="P555" s="658"/>
    </row>
    <row r="556" spans="1:16" ht="15.75" thickBot="1">
      <c r="C556" s="792" t="s">
        <v>904</v>
      </c>
      <c r="D556" s="1196" t="s">
        <v>6859</v>
      </c>
      <c r="E556" s="1197"/>
      <c r="F556" s="1198"/>
      <c r="G556" s="793" t="s">
        <v>6860</v>
      </c>
      <c r="H556" s="792" t="s">
        <v>6861</v>
      </c>
      <c r="I556" s="792" t="s">
        <v>6861</v>
      </c>
      <c r="J556" s="792" t="s">
        <v>6861</v>
      </c>
      <c r="K556" s="792"/>
      <c r="L556" s="794"/>
      <c r="O556" s="659"/>
      <c r="P556" s="659"/>
    </row>
    <row r="557" spans="1:16" s="795" customFormat="1" ht="15.75" customHeight="1" thickBot="1">
      <c r="A557" s="769"/>
      <c r="B557" s="770">
        <f>SUMIF(CPU!$E$11:$E$1943,COTAÇÕES!$C557,CPU!$B$11:$B$1943)</f>
        <v>0</v>
      </c>
      <c r="C557" s="768" t="s">
        <v>9086</v>
      </c>
      <c r="D557" s="1203" t="s">
        <v>6964</v>
      </c>
      <c r="E557" s="1204"/>
      <c r="F557" s="1205"/>
      <c r="G557" s="656" t="s">
        <v>646</v>
      </c>
      <c r="H557" s="657">
        <v>8.5399999999999991</v>
      </c>
      <c r="I557" s="657">
        <v>7.7</v>
      </c>
      <c r="J557" s="657">
        <v>8.9</v>
      </c>
      <c r="K557" s="657"/>
      <c r="L557" s="801">
        <f t="shared" ref="L557" si="61">IF(H557&lt;&gt;"",AVERAGE(H557:K557)," ")</f>
        <v>8.3800000000000008</v>
      </c>
      <c r="O557" s="796"/>
      <c r="P557" s="797"/>
    </row>
    <row r="558" spans="1:16" ht="15.75" thickBot="1">
      <c r="L558" s="769"/>
      <c r="O558" s="773"/>
    </row>
    <row r="559" spans="1:16" ht="15.75" thickBot="1">
      <c r="H559" s="774" t="s">
        <v>6851</v>
      </c>
      <c r="I559" s="775" t="s">
        <v>6852</v>
      </c>
      <c r="J559" s="775" t="s">
        <v>6853</v>
      </c>
      <c r="K559" s="775"/>
      <c r="L559" s="1194" t="s">
        <v>6854</v>
      </c>
      <c r="O559" s="773"/>
    </row>
    <row r="560" spans="1:16">
      <c r="F560" s="776" t="s">
        <v>6855</v>
      </c>
      <c r="G560" s="777"/>
      <c r="H560" s="778" t="s">
        <v>7194</v>
      </c>
      <c r="I560" s="778" t="s">
        <v>7194</v>
      </c>
      <c r="J560" s="778" t="s">
        <v>7194</v>
      </c>
      <c r="K560" s="778"/>
      <c r="L560" s="1195"/>
      <c r="M560" s="780"/>
      <c r="O560" s="773"/>
    </row>
    <row r="561" spans="1:16">
      <c r="F561" s="781" t="s">
        <v>6856</v>
      </c>
      <c r="G561" s="782"/>
      <c r="H561" s="779" t="s">
        <v>6965</v>
      </c>
      <c r="I561" s="779" t="s">
        <v>7491</v>
      </c>
      <c r="J561" s="779" t="s">
        <v>7493</v>
      </c>
      <c r="K561" s="779"/>
      <c r="L561" s="1195"/>
      <c r="M561" s="780"/>
      <c r="O561" s="783"/>
      <c r="P561" s="783"/>
    </row>
    <row r="562" spans="1:16">
      <c r="E562" s="784"/>
      <c r="F562" s="781" t="s">
        <v>6857</v>
      </c>
      <c r="G562" s="782"/>
      <c r="H562" s="785"/>
      <c r="I562" s="786"/>
      <c r="J562" s="786"/>
      <c r="K562" s="786"/>
      <c r="L562" s="1195"/>
      <c r="O562" s="658"/>
      <c r="P562" s="658"/>
    </row>
    <row r="563" spans="1:16" ht="15.75" thickBot="1">
      <c r="E563" s="784"/>
      <c r="F563" s="798" t="s">
        <v>6858</v>
      </c>
      <c r="G563" s="799"/>
      <c r="H563" s="800" t="s">
        <v>7490</v>
      </c>
      <c r="I563" s="800" t="s">
        <v>7492</v>
      </c>
      <c r="J563" s="802" t="s">
        <v>7494</v>
      </c>
      <c r="K563" s="802"/>
      <c r="L563" s="1195"/>
      <c r="O563" s="658"/>
      <c r="P563" s="658"/>
    </row>
    <row r="564" spans="1:16" ht="15.75" thickBot="1">
      <c r="C564" s="792" t="s">
        <v>904</v>
      </c>
      <c r="D564" s="1196" t="s">
        <v>6859</v>
      </c>
      <c r="E564" s="1197"/>
      <c r="F564" s="1198"/>
      <c r="G564" s="793" t="s">
        <v>6860</v>
      </c>
      <c r="H564" s="792" t="s">
        <v>6861</v>
      </c>
      <c r="I564" s="792" t="s">
        <v>6861</v>
      </c>
      <c r="J564" s="792" t="s">
        <v>6861</v>
      </c>
      <c r="K564" s="792"/>
      <c r="L564" s="794"/>
      <c r="O564" s="659"/>
      <c r="P564" s="659"/>
    </row>
    <row r="565" spans="1:16" s="795" customFormat="1" ht="15.75" thickBot="1">
      <c r="A565" s="769"/>
      <c r="B565" s="770">
        <f>SUMIF(CPU!$E$11:$E$1943,COTAÇÕES!$C565,CPU!$B$11:$B$1943)</f>
        <v>19</v>
      </c>
      <c r="C565" s="768" t="s">
        <v>9087</v>
      </c>
      <c r="D565" s="1203" t="s">
        <v>7489</v>
      </c>
      <c r="E565" s="1204"/>
      <c r="F565" s="1205"/>
      <c r="G565" s="656" t="s">
        <v>6860</v>
      </c>
      <c r="H565" s="657">
        <v>55.99</v>
      </c>
      <c r="I565" s="657">
        <v>57.83</v>
      </c>
      <c r="J565" s="657">
        <v>50.4</v>
      </c>
      <c r="K565" s="657"/>
      <c r="L565" s="801">
        <f t="shared" ref="L565" si="62">IF(H565&lt;&gt;"",AVERAGE(H565:K565)," ")</f>
        <v>54.74</v>
      </c>
      <c r="O565" s="796"/>
      <c r="P565" s="797"/>
    </row>
    <row r="566" spans="1:16" ht="15.75" thickBot="1">
      <c r="L566" s="769"/>
      <c r="O566" s="773"/>
    </row>
    <row r="567" spans="1:16" ht="15.75" thickBot="1">
      <c r="H567" s="774" t="s">
        <v>6851</v>
      </c>
      <c r="I567" s="775" t="s">
        <v>6852</v>
      </c>
      <c r="J567" s="775" t="s">
        <v>6853</v>
      </c>
      <c r="K567" s="775"/>
      <c r="L567" s="1194" t="s">
        <v>6854</v>
      </c>
      <c r="O567" s="773"/>
    </row>
    <row r="568" spans="1:16">
      <c r="F568" s="776" t="s">
        <v>6855</v>
      </c>
      <c r="G568" s="777"/>
      <c r="H568" s="778" t="s">
        <v>8383</v>
      </c>
      <c r="I568" s="778" t="s">
        <v>8383</v>
      </c>
      <c r="J568" s="778" t="s">
        <v>8383</v>
      </c>
      <c r="K568" s="778"/>
      <c r="L568" s="1195"/>
      <c r="M568" s="780"/>
      <c r="O568" s="773"/>
    </row>
    <row r="569" spans="1:16">
      <c r="F569" s="781" t="s">
        <v>6856</v>
      </c>
      <c r="G569" s="782"/>
      <c r="H569" s="779" t="s">
        <v>9163</v>
      </c>
      <c r="I569" s="779" t="s">
        <v>7521</v>
      </c>
      <c r="J569" s="779" t="s">
        <v>8566</v>
      </c>
      <c r="K569" s="779"/>
      <c r="L569" s="1195"/>
      <c r="M569" s="780"/>
      <c r="O569" s="783"/>
      <c r="P569" s="783"/>
    </row>
    <row r="570" spans="1:16">
      <c r="E570" s="784"/>
      <c r="F570" s="781" t="s">
        <v>6857</v>
      </c>
      <c r="G570" s="782"/>
      <c r="H570" s="785"/>
      <c r="I570" s="786"/>
      <c r="J570" s="786"/>
      <c r="K570" s="786"/>
      <c r="L570" s="1195"/>
      <c r="O570" s="658"/>
      <c r="P570" s="658"/>
    </row>
    <row r="571" spans="1:16" ht="15.75" thickBot="1">
      <c r="E571" s="784"/>
      <c r="F571" s="798" t="s">
        <v>6858</v>
      </c>
      <c r="G571" s="799"/>
      <c r="H571" s="800" t="s">
        <v>9212</v>
      </c>
      <c r="I571" s="800" t="s">
        <v>9210</v>
      </c>
      <c r="J571" s="802" t="s">
        <v>9211</v>
      </c>
      <c r="K571" s="802"/>
      <c r="L571" s="1195"/>
      <c r="O571" s="658"/>
      <c r="P571" s="658"/>
    </row>
    <row r="572" spans="1:16" ht="15.75" thickBot="1">
      <c r="C572" s="792" t="s">
        <v>904</v>
      </c>
      <c r="D572" s="1196" t="s">
        <v>6859</v>
      </c>
      <c r="E572" s="1197"/>
      <c r="F572" s="1198"/>
      <c r="G572" s="793" t="s">
        <v>6860</v>
      </c>
      <c r="H572" s="792" t="s">
        <v>6861</v>
      </c>
      <c r="I572" s="792" t="s">
        <v>6861</v>
      </c>
      <c r="J572" s="792" t="s">
        <v>6861</v>
      </c>
      <c r="K572" s="792"/>
      <c r="L572" s="794"/>
      <c r="O572" s="659"/>
      <c r="P572" s="659"/>
    </row>
    <row r="573" spans="1:16" s="795" customFormat="1" ht="43.5" customHeight="1" thickBot="1">
      <c r="A573" s="769"/>
      <c r="B573" s="770">
        <f>SUMIF(CPU!$E$11:$E$1943,COTAÇÕES!$C573,CPU!$B$11:$B$1943)</f>
        <v>0</v>
      </c>
      <c r="C573" s="768" t="s">
        <v>9088</v>
      </c>
      <c r="D573" s="1191" t="s">
        <v>9089</v>
      </c>
      <c r="E573" s="1192"/>
      <c r="F573" s="1193"/>
      <c r="G573" s="656" t="s">
        <v>646</v>
      </c>
      <c r="H573" s="657">
        <v>39.9</v>
      </c>
      <c r="I573" s="657">
        <v>39.9</v>
      </c>
      <c r="J573" s="657">
        <v>75.39</v>
      </c>
      <c r="K573" s="657"/>
      <c r="L573" s="801">
        <f t="shared" ref="L573" si="63">IF(H573&lt;&gt;"",AVERAGE(H573:K573)," ")</f>
        <v>51.73</v>
      </c>
      <c r="O573" s="796"/>
      <c r="P573" s="797"/>
    </row>
    <row r="574" spans="1:16" ht="15.75" thickBot="1">
      <c r="L574" s="769"/>
      <c r="O574" s="773"/>
    </row>
    <row r="575" spans="1:16" ht="15.75" thickBot="1">
      <c r="H575" s="774" t="s">
        <v>6851</v>
      </c>
      <c r="I575" s="775" t="s">
        <v>6852</v>
      </c>
      <c r="J575" s="775" t="s">
        <v>6853</v>
      </c>
      <c r="K575" s="775"/>
      <c r="L575" s="1194" t="s">
        <v>6854</v>
      </c>
      <c r="O575" s="773"/>
    </row>
    <row r="576" spans="1:16">
      <c r="F576" s="776" t="s">
        <v>6855</v>
      </c>
      <c r="G576" s="777"/>
      <c r="H576" s="778" t="s">
        <v>8383</v>
      </c>
      <c r="I576" s="778" t="s">
        <v>8383</v>
      </c>
      <c r="J576" s="778" t="s">
        <v>8383</v>
      </c>
      <c r="K576" s="778"/>
      <c r="L576" s="1195"/>
      <c r="M576" s="780"/>
      <c r="O576" s="773"/>
    </row>
    <row r="577" spans="1:16">
      <c r="F577" s="781" t="s">
        <v>6856</v>
      </c>
      <c r="G577" s="782"/>
      <c r="H577" s="779" t="s">
        <v>9190</v>
      </c>
      <c r="I577" s="779" t="s">
        <v>6960</v>
      </c>
      <c r="J577" s="779" t="s">
        <v>9216</v>
      </c>
      <c r="K577" s="779"/>
      <c r="L577" s="1195"/>
      <c r="M577" s="780"/>
      <c r="O577" s="783"/>
      <c r="P577" s="783"/>
    </row>
    <row r="578" spans="1:16">
      <c r="E578" s="784"/>
      <c r="F578" s="781" t="s">
        <v>6857</v>
      </c>
      <c r="G578" s="782"/>
      <c r="H578" s="785"/>
      <c r="I578" s="786"/>
      <c r="J578" s="786"/>
      <c r="K578" s="786"/>
      <c r="L578" s="1195"/>
      <c r="O578" s="658"/>
      <c r="P578" s="658"/>
    </row>
    <row r="579" spans="1:16" ht="15.75" thickBot="1">
      <c r="E579" s="784"/>
      <c r="F579" s="798" t="s">
        <v>6858</v>
      </c>
      <c r="G579" s="799"/>
      <c r="H579" s="800" t="s">
        <v>9213</v>
      </c>
      <c r="I579" s="800" t="s">
        <v>9214</v>
      </c>
      <c r="J579" s="802" t="s">
        <v>9215</v>
      </c>
      <c r="K579" s="802"/>
      <c r="L579" s="1195"/>
      <c r="O579" s="658"/>
      <c r="P579" s="658"/>
    </row>
    <row r="580" spans="1:16" ht="15.75" thickBot="1">
      <c r="C580" s="792" t="s">
        <v>904</v>
      </c>
      <c r="D580" s="1196" t="s">
        <v>6859</v>
      </c>
      <c r="E580" s="1197"/>
      <c r="F580" s="1198"/>
      <c r="G580" s="793" t="s">
        <v>6860</v>
      </c>
      <c r="H580" s="792" t="s">
        <v>6861</v>
      </c>
      <c r="I580" s="792" t="s">
        <v>6861</v>
      </c>
      <c r="J580" s="792" t="s">
        <v>6861</v>
      </c>
      <c r="K580" s="792"/>
      <c r="L580" s="794"/>
      <c r="O580" s="659"/>
      <c r="P580" s="659"/>
    </row>
    <row r="581" spans="1:16" s="795" customFormat="1" ht="15.75" thickBot="1">
      <c r="A581" s="769"/>
      <c r="B581" s="770">
        <f>SUMIF(CPU!$E$11:$E$1943,COTAÇÕES!$C581,CPU!$B$11:$B$1943)</f>
        <v>1</v>
      </c>
      <c r="C581" s="768" t="s">
        <v>9090</v>
      </c>
      <c r="D581" s="1191" t="s">
        <v>9091</v>
      </c>
      <c r="E581" s="1192"/>
      <c r="F581" s="1193"/>
      <c r="G581" s="656" t="s">
        <v>646</v>
      </c>
      <c r="H581" s="657">
        <v>84.9</v>
      </c>
      <c r="I581" s="657">
        <v>72</v>
      </c>
      <c r="J581" s="657">
        <v>69.900000000000006</v>
      </c>
      <c r="K581" s="657"/>
      <c r="L581" s="801">
        <f t="shared" ref="L581" si="64">IF(H581&lt;&gt;"",AVERAGE(H581:K581)," ")</f>
        <v>75.600000000000009</v>
      </c>
      <c r="O581" s="796"/>
      <c r="P581" s="797"/>
    </row>
    <row r="582" spans="1:16" ht="15.75" thickBot="1">
      <c r="L582" s="769"/>
      <c r="O582" s="773"/>
    </row>
    <row r="583" spans="1:16" ht="15.75" thickBot="1">
      <c r="H583" s="774" t="s">
        <v>6851</v>
      </c>
      <c r="I583" s="775" t="s">
        <v>6852</v>
      </c>
      <c r="J583" s="775" t="s">
        <v>6853</v>
      </c>
      <c r="K583" s="775"/>
      <c r="L583" s="1194" t="s">
        <v>6854</v>
      </c>
      <c r="O583" s="773"/>
    </row>
    <row r="584" spans="1:16">
      <c r="F584" s="776" t="s">
        <v>6855</v>
      </c>
      <c r="G584" s="777"/>
      <c r="H584" s="778" t="s">
        <v>8383</v>
      </c>
      <c r="I584" s="778" t="s">
        <v>8383</v>
      </c>
      <c r="J584" s="778" t="s">
        <v>8383</v>
      </c>
      <c r="K584" s="778"/>
      <c r="L584" s="1195"/>
      <c r="M584" s="780"/>
      <c r="O584" s="773"/>
    </row>
    <row r="585" spans="1:16">
      <c r="F585" s="781" t="s">
        <v>6856</v>
      </c>
      <c r="G585" s="782"/>
      <c r="H585" s="779" t="s">
        <v>9218</v>
      </c>
      <c r="I585" s="779" t="s">
        <v>9220</v>
      </c>
      <c r="J585" s="779" t="s">
        <v>7486</v>
      </c>
      <c r="K585" s="779"/>
      <c r="L585" s="1195"/>
      <c r="M585" s="780"/>
      <c r="O585" s="783"/>
      <c r="P585" s="783"/>
    </row>
    <row r="586" spans="1:16">
      <c r="E586" s="784"/>
      <c r="F586" s="781" t="s">
        <v>6857</v>
      </c>
      <c r="G586" s="782"/>
      <c r="H586" s="785"/>
      <c r="I586" s="786"/>
      <c r="J586" s="786"/>
      <c r="K586" s="786"/>
      <c r="L586" s="1195"/>
      <c r="O586" s="658"/>
      <c r="P586" s="658"/>
    </row>
    <row r="587" spans="1:16" ht="15.75" thickBot="1">
      <c r="E587" s="784"/>
      <c r="F587" s="798" t="s">
        <v>6858</v>
      </c>
      <c r="G587" s="799"/>
      <c r="H587" s="800" t="s">
        <v>9217</v>
      </c>
      <c r="I587" s="800" t="s">
        <v>9219</v>
      </c>
      <c r="J587" s="802" t="s">
        <v>9221</v>
      </c>
      <c r="K587" s="802"/>
      <c r="L587" s="1195"/>
      <c r="O587" s="658"/>
      <c r="P587" s="658"/>
    </row>
    <row r="588" spans="1:16" ht="15.75" thickBot="1">
      <c r="C588" s="792" t="s">
        <v>904</v>
      </c>
      <c r="D588" s="1196" t="s">
        <v>6859</v>
      </c>
      <c r="E588" s="1197"/>
      <c r="F588" s="1198"/>
      <c r="G588" s="793" t="s">
        <v>6860</v>
      </c>
      <c r="H588" s="792" t="s">
        <v>6861</v>
      </c>
      <c r="I588" s="792" t="s">
        <v>6861</v>
      </c>
      <c r="J588" s="792" t="s">
        <v>6861</v>
      </c>
      <c r="K588" s="792"/>
      <c r="L588" s="794"/>
      <c r="O588" s="659"/>
      <c r="P588" s="659"/>
    </row>
    <row r="589" spans="1:16" s="795" customFormat="1" ht="15.75" customHeight="1" thickBot="1">
      <c r="A589" s="769"/>
      <c r="B589" s="770">
        <f>SUMIF(CPU!$E$11:$E$1943,COTAÇÕES!$C589,CPU!$B$11:$B$1943)</f>
        <v>0</v>
      </c>
      <c r="C589" s="768" t="s">
        <v>9093</v>
      </c>
      <c r="D589" s="1191" t="s">
        <v>8992</v>
      </c>
      <c r="E589" s="1192"/>
      <c r="F589" s="1193"/>
      <c r="G589" s="656" t="s">
        <v>646</v>
      </c>
      <c r="H589" s="657">
        <v>2799</v>
      </c>
      <c r="I589" s="657">
        <v>2529.91</v>
      </c>
      <c r="J589" s="657">
        <v>2351.71</v>
      </c>
      <c r="K589" s="657"/>
      <c r="L589" s="801">
        <f t="shared" ref="L589" si="65">IF(H589&lt;&gt;"",AVERAGE(H589:K589)," ")</f>
        <v>2560.2066666666665</v>
      </c>
      <c r="O589" s="796"/>
      <c r="P589" s="797"/>
    </row>
    <row r="590" spans="1:16" ht="15.75" thickBot="1">
      <c r="L590" s="769"/>
      <c r="O590" s="773"/>
    </row>
    <row r="591" spans="1:16" ht="15.75" thickBot="1">
      <c r="H591" s="774" t="s">
        <v>6851</v>
      </c>
      <c r="I591" s="775" t="s">
        <v>6852</v>
      </c>
      <c r="J591" s="775" t="s">
        <v>6853</v>
      </c>
      <c r="K591" s="775"/>
      <c r="L591" s="1194" t="s">
        <v>6854</v>
      </c>
      <c r="O591" s="773"/>
    </row>
    <row r="592" spans="1:16">
      <c r="F592" s="776" t="s">
        <v>6855</v>
      </c>
      <c r="G592" s="777"/>
      <c r="H592" s="778" t="s">
        <v>8383</v>
      </c>
      <c r="I592" s="778" t="s">
        <v>8383</v>
      </c>
      <c r="J592" s="778" t="s">
        <v>8383</v>
      </c>
      <c r="K592" s="778"/>
      <c r="L592" s="1195"/>
      <c r="M592" s="780"/>
      <c r="O592" s="773"/>
    </row>
    <row r="593" spans="1:16">
      <c r="F593" s="781" t="s">
        <v>6856</v>
      </c>
      <c r="G593" s="782"/>
      <c r="H593" s="779" t="s">
        <v>9263</v>
      </c>
      <c r="I593" s="779" t="s">
        <v>9234</v>
      </c>
      <c r="J593" s="779" t="s">
        <v>9267</v>
      </c>
      <c r="K593" s="779"/>
      <c r="L593" s="1195"/>
      <c r="M593" s="780"/>
      <c r="O593" s="783"/>
      <c r="P593" s="783"/>
    </row>
    <row r="594" spans="1:16">
      <c r="E594" s="784"/>
      <c r="F594" s="781" t="s">
        <v>6857</v>
      </c>
      <c r="G594" s="782"/>
      <c r="H594" s="785"/>
      <c r="I594" s="786"/>
      <c r="J594" s="786"/>
      <c r="K594" s="786"/>
      <c r="L594" s="1195"/>
      <c r="O594" s="658"/>
      <c r="P594" s="658"/>
    </row>
    <row r="595" spans="1:16" ht="15.75" thickBot="1">
      <c r="E595" s="784"/>
      <c r="F595" s="798" t="s">
        <v>6858</v>
      </c>
      <c r="G595" s="799"/>
      <c r="H595" s="800" t="s">
        <v>9264</v>
      </c>
      <c r="I595" s="800" t="s">
        <v>9265</v>
      </c>
      <c r="J595" s="802" t="s">
        <v>9266</v>
      </c>
      <c r="K595" s="802"/>
      <c r="L595" s="1195"/>
      <c r="O595" s="658"/>
      <c r="P595" s="658"/>
    </row>
    <row r="596" spans="1:16" ht="15.75" thickBot="1">
      <c r="C596" s="792" t="s">
        <v>904</v>
      </c>
      <c r="D596" s="1196" t="s">
        <v>6859</v>
      </c>
      <c r="E596" s="1197"/>
      <c r="F596" s="1198"/>
      <c r="G596" s="793" t="s">
        <v>6860</v>
      </c>
      <c r="H596" s="792" t="s">
        <v>6861</v>
      </c>
      <c r="I596" s="792" t="s">
        <v>6861</v>
      </c>
      <c r="J596" s="792" t="s">
        <v>6861</v>
      </c>
      <c r="K596" s="792"/>
      <c r="L596" s="794"/>
      <c r="O596" s="659"/>
      <c r="P596" s="659"/>
    </row>
    <row r="597" spans="1:16" s="795" customFormat="1" ht="15.75" customHeight="1" thickBot="1">
      <c r="A597" s="769"/>
      <c r="B597" s="770">
        <f>SUMIF(CPU!$E$11:$E$1943,COTAÇÕES!$C597,CPU!$B$11:$B$1943)</f>
        <v>0</v>
      </c>
      <c r="C597" s="768" t="s">
        <v>9094</v>
      </c>
      <c r="D597" s="1191" t="s">
        <v>8994</v>
      </c>
      <c r="E597" s="1192"/>
      <c r="F597" s="1193"/>
      <c r="G597" s="656" t="s">
        <v>646</v>
      </c>
      <c r="H597" s="657">
        <f>758/100</f>
        <v>7.58</v>
      </c>
      <c r="I597" s="657">
        <f>309/30</f>
        <v>10.3</v>
      </c>
      <c r="J597" s="657">
        <f>180/100</f>
        <v>1.8</v>
      </c>
      <c r="K597" s="657"/>
      <c r="L597" s="801">
        <f t="shared" ref="L597" si="66">IF(H597&lt;&gt;"",AVERAGE(H597:K597)," ")</f>
        <v>6.5600000000000014</v>
      </c>
      <c r="O597" s="796"/>
      <c r="P597" s="797"/>
    </row>
    <row r="598" spans="1:16" ht="15.75" thickBot="1">
      <c r="L598" s="769"/>
      <c r="O598" s="773"/>
    </row>
    <row r="599" spans="1:16" ht="15.75" thickBot="1">
      <c r="H599" s="774" t="s">
        <v>6851</v>
      </c>
      <c r="I599" s="775" t="s">
        <v>6852</v>
      </c>
      <c r="J599" s="775" t="s">
        <v>6853</v>
      </c>
      <c r="K599" s="775"/>
      <c r="L599" s="1194" t="s">
        <v>6854</v>
      </c>
      <c r="O599" s="773"/>
    </row>
    <row r="600" spans="1:16">
      <c r="F600" s="776" t="s">
        <v>6855</v>
      </c>
      <c r="G600" s="777"/>
      <c r="H600" s="778" t="s">
        <v>8383</v>
      </c>
      <c r="I600" s="778" t="s">
        <v>8383</v>
      </c>
      <c r="J600" s="778" t="s">
        <v>8383</v>
      </c>
      <c r="K600" s="778"/>
      <c r="L600" s="1195"/>
      <c r="M600" s="780"/>
      <c r="O600" s="773"/>
    </row>
    <row r="601" spans="1:16">
      <c r="F601" s="781" t="s">
        <v>6856</v>
      </c>
      <c r="G601" s="782"/>
      <c r="H601" s="779" t="s">
        <v>9234</v>
      </c>
      <c r="I601" s="779" t="s">
        <v>7590</v>
      </c>
      <c r="J601" s="779" t="s">
        <v>9261</v>
      </c>
      <c r="K601" s="779"/>
      <c r="L601" s="1195"/>
      <c r="M601" s="780"/>
      <c r="O601" s="783"/>
      <c r="P601" s="783"/>
    </row>
    <row r="602" spans="1:16">
      <c r="E602" s="784"/>
      <c r="F602" s="781" t="s">
        <v>6857</v>
      </c>
      <c r="G602" s="782"/>
      <c r="H602" s="785"/>
      <c r="I602" s="786"/>
      <c r="J602" s="786"/>
      <c r="K602" s="786"/>
      <c r="L602" s="1195"/>
      <c r="O602" s="658"/>
      <c r="P602" s="658"/>
    </row>
    <row r="603" spans="1:16" ht="15.75" thickBot="1">
      <c r="E603" s="784"/>
      <c r="F603" s="798" t="s">
        <v>6858</v>
      </c>
      <c r="G603" s="799"/>
      <c r="H603" s="800" t="s">
        <v>9259</v>
      </c>
      <c r="I603" s="800" t="s">
        <v>9260</v>
      </c>
      <c r="J603" s="802" t="s">
        <v>9262</v>
      </c>
      <c r="K603" s="802"/>
      <c r="L603" s="1195"/>
      <c r="O603" s="658"/>
      <c r="P603" s="658"/>
    </row>
    <row r="604" spans="1:16" ht="15.75" thickBot="1">
      <c r="C604" s="792" t="s">
        <v>904</v>
      </c>
      <c r="D604" s="1196" t="s">
        <v>6859</v>
      </c>
      <c r="E604" s="1197"/>
      <c r="F604" s="1198"/>
      <c r="G604" s="793" t="s">
        <v>6860</v>
      </c>
      <c r="H604" s="792" t="s">
        <v>6861</v>
      </c>
      <c r="I604" s="792" t="s">
        <v>6861</v>
      </c>
      <c r="J604" s="792" t="s">
        <v>6861</v>
      </c>
      <c r="K604" s="792"/>
      <c r="L604" s="794"/>
      <c r="O604" s="659"/>
      <c r="P604" s="659"/>
    </row>
    <row r="605" spans="1:16" s="795" customFormat="1" ht="15.75" customHeight="1" thickBot="1">
      <c r="A605" s="769"/>
      <c r="B605" s="770">
        <f>SUMIF(CPU!$E$11:$E$1943,COTAÇÕES!$C605,CPU!$B$11:$B$1943)</f>
        <v>0</v>
      </c>
      <c r="C605" s="768" t="s">
        <v>9092</v>
      </c>
      <c r="D605" s="1191" t="s">
        <v>8995</v>
      </c>
      <c r="E605" s="1192"/>
      <c r="F605" s="1193"/>
      <c r="G605" s="656" t="s">
        <v>646</v>
      </c>
      <c r="H605" s="657">
        <v>7</v>
      </c>
      <c r="I605" s="657">
        <v>6</v>
      </c>
      <c r="J605" s="657">
        <f>309/100</f>
        <v>3.09</v>
      </c>
      <c r="K605" s="657"/>
      <c r="L605" s="801">
        <f t="shared" ref="L605" si="67">IF(H605&lt;&gt;"",AVERAGE(H605:K605)," ")</f>
        <v>5.3633333333333333</v>
      </c>
      <c r="O605" s="796"/>
      <c r="P605" s="797"/>
    </row>
    <row r="606" spans="1:16" ht="15.75" thickBot="1">
      <c r="L606" s="769"/>
      <c r="O606" s="773"/>
    </row>
    <row r="607" spans="1:16" ht="15.75" thickBot="1">
      <c r="H607" s="774" t="s">
        <v>6851</v>
      </c>
      <c r="I607" s="775" t="s">
        <v>6852</v>
      </c>
      <c r="J607" s="775" t="s">
        <v>6853</v>
      </c>
      <c r="K607" s="775"/>
      <c r="L607" s="1194" t="s">
        <v>6854</v>
      </c>
      <c r="O607" s="773"/>
    </row>
    <row r="608" spans="1:16">
      <c r="F608" s="776" t="s">
        <v>6855</v>
      </c>
      <c r="G608" s="777"/>
      <c r="H608" s="778" t="s">
        <v>8383</v>
      </c>
      <c r="I608" s="778" t="s">
        <v>8383</v>
      </c>
      <c r="J608" s="778" t="s">
        <v>8383</v>
      </c>
      <c r="K608" s="778"/>
      <c r="L608" s="1195"/>
      <c r="M608" s="780"/>
      <c r="O608" s="773"/>
    </row>
    <row r="609" spans="1:16">
      <c r="F609" s="781" t="s">
        <v>6856</v>
      </c>
      <c r="G609" s="782"/>
      <c r="H609" s="779" t="s">
        <v>7515</v>
      </c>
      <c r="I609" s="779" t="s">
        <v>9224</v>
      </c>
      <c r="J609" s="779" t="s">
        <v>9226</v>
      </c>
      <c r="K609" s="779"/>
      <c r="L609" s="1195"/>
      <c r="M609" s="780"/>
      <c r="O609" s="783"/>
      <c r="P609" s="783"/>
    </row>
    <row r="610" spans="1:16">
      <c r="E610" s="784"/>
      <c r="F610" s="781" t="s">
        <v>6857</v>
      </c>
      <c r="G610" s="782"/>
      <c r="H610" s="785"/>
      <c r="I610" s="786"/>
      <c r="J610" s="786"/>
      <c r="K610" s="786"/>
      <c r="L610" s="1195"/>
      <c r="O610" s="658"/>
      <c r="P610" s="658"/>
    </row>
    <row r="611" spans="1:16" ht="15.75" thickBot="1">
      <c r="E611" s="784"/>
      <c r="F611" s="798" t="s">
        <v>6858</v>
      </c>
      <c r="G611" s="799"/>
      <c r="H611" s="800" t="s">
        <v>9222</v>
      </c>
      <c r="I611" s="800" t="s">
        <v>9223</v>
      </c>
      <c r="J611" s="802" t="s">
        <v>9225</v>
      </c>
      <c r="K611" s="802"/>
      <c r="L611" s="1195"/>
      <c r="O611" s="658"/>
      <c r="P611" s="658"/>
    </row>
    <row r="612" spans="1:16" ht="15.75" thickBot="1">
      <c r="C612" s="792" t="s">
        <v>904</v>
      </c>
      <c r="D612" s="1196" t="s">
        <v>6859</v>
      </c>
      <c r="E612" s="1197"/>
      <c r="F612" s="1198"/>
      <c r="G612" s="793" t="s">
        <v>6860</v>
      </c>
      <c r="H612" s="792" t="s">
        <v>6861</v>
      </c>
      <c r="I612" s="792" t="s">
        <v>6861</v>
      </c>
      <c r="J612" s="792" t="s">
        <v>6861</v>
      </c>
      <c r="K612" s="792"/>
      <c r="L612" s="794"/>
      <c r="O612" s="659"/>
      <c r="P612" s="659"/>
    </row>
    <row r="613" spans="1:16" s="795" customFormat="1" ht="15.75" customHeight="1" thickBot="1">
      <c r="A613" s="769"/>
      <c r="B613" s="770">
        <f>SUMIF(CPU!$E$11:$E$1943,COTAÇÕES!$C613,CPU!$B$11:$B$1943)</f>
        <v>0</v>
      </c>
      <c r="C613" s="768" t="s">
        <v>9095</v>
      </c>
      <c r="D613" s="1191" t="s">
        <v>9001</v>
      </c>
      <c r="E613" s="1192"/>
      <c r="F613" s="1193"/>
      <c r="G613" s="656" t="s">
        <v>646</v>
      </c>
      <c r="H613" s="657">
        <f>18/2</f>
        <v>9</v>
      </c>
      <c r="I613" s="657">
        <v>9.98</v>
      </c>
      <c r="J613" s="657">
        <v>10</v>
      </c>
      <c r="K613" s="657"/>
      <c r="L613" s="801">
        <f t="shared" ref="L613" si="68">IF(H613&lt;&gt;"",AVERAGE(H613:K613)," ")</f>
        <v>9.66</v>
      </c>
      <c r="O613" s="796"/>
      <c r="P613" s="797"/>
    </row>
    <row r="614" spans="1:16" ht="15.75" thickBot="1">
      <c r="L614" s="769"/>
      <c r="O614" s="773"/>
    </row>
    <row r="615" spans="1:16" ht="15.75" thickBot="1">
      <c r="H615" s="774" t="s">
        <v>6851</v>
      </c>
      <c r="I615" s="775" t="s">
        <v>6852</v>
      </c>
      <c r="J615" s="775" t="s">
        <v>6853</v>
      </c>
      <c r="K615" s="775"/>
      <c r="L615" s="1194" t="s">
        <v>6854</v>
      </c>
      <c r="O615" s="773"/>
    </row>
    <row r="616" spans="1:16">
      <c r="F616" s="776" t="s">
        <v>6855</v>
      </c>
      <c r="G616" s="777"/>
      <c r="H616" s="778" t="s">
        <v>8383</v>
      </c>
      <c r="I616" s="778" t="s">
        <v>8383</v>
      </c>
      <c r="J616" s="778" t="s">
        <v>8383</v>
      </c>
      <c r="K616" s="778"/>
      <c r="L616" s="1195"/>
      <c r="M616" s="780"/>
      <c r="O616" s="773"/>
    </row>
    <row r="617" spans="1:16">
      <c r="F617" s="781" t="s">
        <v>6856</v>
      </c>
      <c r="G617" s="782"/>
      <c r="H617" s="779" t="s">
        <v>9228</v>
      </c>
      <c r="I617" s="779" t="s">
        <v>9226</v>
      </c>
      <c r="J617" s="779" t="s">
        <v>9230</v>
      </c>
      <c r="K617" s="779"/>
      <c r="L617" s="1195"/>
      <c r="M617" s="780"/>
      <c r="O617" s="783"/>
      <c r="P617" s="783"/>
    </row>
    <row r="618" spans="1:16">
      <c r="E618" s="784"/>
      <c r="F618" s="781" t="s">
        <v>6857</v>
      </c>
      <c r="G618" s="782"/>
      <c r="H618" s="785"/>
      <c r="I618" s="786"/>
      <c r="J618" s="786"/>
      <c r="K618" s="786"/>
      <c r="L618" s="1195"/>
      <c r="O618" s="658"/>
      <c r="P618" s="658"/>
    </row>
    <row r="619" spans="1:16" ht="15.75" thickBot="1">
      <c r="E619" s="784"/>
      <c r="F619" s="798" t="s">
        <v>6858</v>
      </c>
      <c r="G619" s="799"/>
      <c r="H619" s="800" t="s">
        <v>9227</v>
      </c>
      <c r="I619" s="800" t="s">
        <v>9229</v>
      </c>
      <c r="J619" s="802" t="s">
        <v>9231</v>
      </c>
      <c r="K619" s="802"/>
      <c r="L619" s="1195"/>
      <c r="O619" s="658"/>
      <c r="P619" s="658"/>
    </row>
    <row r="620" spans="1:16" ht="15.75" thickBot="1">
      <c r="C620" s="792" t="s">
        <v>904</v>
      </c>
      <c r="D620" s="1196" t="s">
        <v>6859</v>
      </c>
      <c r="E620" s="1197"/>
      <c r="F620" s="1198"/>
      <c r="G620" s="793" t="s">
        <v>6860</v>
      </c>
      <c r="H620" s="792" t="s">
        <v>6861</v>
      </c>
      <c r="I620" s="792" t="s">
        <v>6861</v>
      </c>
      <c r="J620" s="792" t="s">
        <v>6861</v>
      </c>
      <c r="K620" s="792"/>
      <c r="L620" s="794"/>
      <c r="O620" s="659"/>
      <c r="P620" s="659"/>
    </row>
    <row r="621" spans="1:16" s="795" customFormat="1" ht="15.75" customHeight="1" thickBot="1">
      <c r="A621" s="769"/>
      <c r="B621" s="770">
        <f>SUMIF(CPU!$E$11:$E$1943,COTAÇÕES!$C621,CPU!$B$11:$B$1943)</f>
        <v>12</v>
      </c>
      <c r="C621" s="768" t="s">
        <v>9096</v>
      </c>
      <c r="D621" s="1191" t="s">
        <v>9003</v>
      </c>
      <c r="E621" s="1192"/>
      <c r="F621" s="1193"/>
      <c r="G621" s="656" t="s">
        <v>646</v>
      </c>
      <c r="H621" s="657">
        <v>17.2</v>
      </c>
      <c r="I621" s="657">
        <v>14.5</v>
      </c>
      <c r="J621" s="657">
        <v>22.8</v>
      </c>
      <c r="K621" s="657"/>
      <c r="L621" s="801">
        <f t="shared" ref="L621" si="69">IF(H621&lt;&gt;"",AVERAGE(H621:K621)," ")</f>
        <v>18.166666666666668</v>
      </c>
      <c r="O621" s="796"/>
      <c r="P621" s="797"/>
    </row>
    <row r="622" spans="1:16" ht="15.75" thickBot="1">
      <c r="L622" s="769"/>
      <c r="O622" s="773"/>
    </row>
    <row r="623" spans="1:16" ht="15.75" thickBot="1">
      <c r="H623" s="774" t="s">
        <v>6851</v>
      </c>
      <c r="I623" s="775" t="s">
        <v>6852</v>
      </c>
      <c r="J623" s="775" t="s">
        <v>6853</v>
      </c>
      <c r="K623" s="775"/>
      <c r="L623" s="1194" t="s">
        <v>6854</v>
      </c>
      <c r="O623" s="773"/>
    </row>
    <row r="624" spans="1:16">
      <c r="F624" s="776" t="s">
        <v>6855</v>
      </c>
      <c r="G624" s="777"/>
      <c r="H624" s="778" t="s">
        <v>8383</v>
      </c>
      <c r="I624" s="778" t="s">
        <v>8383</v>
      </c>
      <c r="J624" s="778" t="s">
        <v>8383</v>
      </c>
      <c r="K624" s="778"/>
      <c r="L624" s="1195"/>
      <c r="M624" s="780"/>
      <c r="O624" s="773"/>
    </row>
    <row r="625" spans="1:16">
      <c r="F625" s="781" t="s">
        <v>6856</v>
      </c>
      <c r="G625" s="782"/>
      <c r="H625" s="779" t="s">
        <v>9228</v>
      </c>
      <c r="I625" s="779" t="s">
        <v>9226</v>
      </c>
      <c r="J625" s="779" t="s">
        <v>9234</v>
      </c>
      <c r="K625" s="779"/>
      <c r="L625" s="1195"/>
      <c r="M625" s="780"/>
      <c r="O625" s="783"/>
      <c r="P625" s="783"/>
    </row>
    <row r="626" spans="1:16">
      <c r="E626" s="784"/>
      <c r="F626" s="781" t="s">
        <v>6857</v>
      </c>
      <c r="G626" s="782"/>
      <c r="H626" s="785"/>
      <c r="I626" s="786"/>
      <c r="J626" s="786"/>
      <c r="K626" s="786"/>
      <c r="L626" s="1195"/>
      <c r="O626" s="658"/>
      <c r="P626" s="658"/>
    </row>
    <row r="627" spans="1:16" ht="15.75" thickBot="1">
      <c r="E627" s="784"/>
      <c r="F627" s="798" t="s">
        <v>6858</v>
      </c>
      <c r="G627" s="799"/>
      <c r="H627" s="800" t="s">
        <v>9232</v>
      </c>
      <c r="I627" s="800" t="s">
        <v>9233</v>
      </c>
      <c r="J627" s="802" t="s">
        <v>9235</v>
      </c>
      <c r="K627" s="802"/>
      <c r="L627" s="1195"/>
      <c r="O627" s="658"/>
      <c r="P627" s="658"/>
    </row>
    <row r="628" spans="1:16" ht="15.75" thickBot="1">
      <c r="C628" s="792" t="s">
        <v>904</v>
      </c>
      <c r="D628" s="1196" t="s">
        <v>6859</v>
      </c>
      <c r="E628" s="1197"/>
      <c r="F628" s="1198"/>
      <c r="G628" s="793" t="s">
        <v>6860</v>
      </c>
      <c r="H628" s="792" t="s">
        <v>6861</v>
      </c>
      <c r="I628" s="792" t="s">
        <v>6861</v>
      </c>
      <c r="J628" s="792" t="s">
        <v>6861</v>
      </c>
      <c r="K628" s="792"/>
      <c r="L628" s="794"/>
      <c r="O628" s="659"/>
      <c r="P628" s="659"/>
    </row>
    <row r="629" spans="1:16" s="795" customFormat="1" ht="15.75" customHeight="1" thickBot="1">
      <c r="A629" s="769"/>
      <c r="B629" s="770">
        <f>SUMIF(CPU!$E$11:$E$1943,COTAÇÕES!$C629,CPU!$B$11:$B$1943)</f>
        <v>0</v>
      </c>
      <c r="C629" s="768" t="s">
        <v>9097</v>
      </c>
      <c r="D629" s="1191" t="s">
        <v>9100</v>
      </c>
      <c r="E629" s="1192"/>
      <c r="F629" s="1193"/>
      <c r="G629" s="656" t="s">
        <v>646</v>
      </c>
      <c r="H629" s="657">
        <v>8.3699999999999992</v>
      </c>
      <c r="I629" s="657">
        <v>13</v>
      </c>
      <c r="J629" s="657">
        <v>10</v>
      </c>
      <c r="K629" s="657"/>
      <c r="L629" s="801">
        <f t="shared" ref="L629" si="70">IF(H629&lt;&gt;"",AVERAGE(H629:K629)," ")</f>
        <v>10.456666666666665</v>
      </c>
      <c r="O629" s="796"/>
      <c r="P629" s="797"/>
    </row>
    <row r="630" spans="1:16" ht="15.75" thickBot="1">
      <c r="L630" s="769"/>
      <c r="O630" s="773"/>
    </row>
    <row r="631" spans="1:16" ht="15.75" thickBot="1">
      <c r="H631" s="774" t="s">
        <v>6851</v>
      </c>
      <c r="I631" s="775" t="s">
        <v>6852</v>
      </c>
      <c r="J631" s="775" t="s">
        <v>6853</v>
      </c>
      <c r="K631" s="775"/>
      <c r="L631" s="1194" t="s">
        <v>6854</v>
      </c>
      <c r="O631" s="773"/>
    </row>
    <row r="632" spans="1:16">
      <c r="F632" s="776" t="s">
        <v>6855</v>
      </c>
      <c r="G632" s="777"/>
      <c r="H632" s="778" t="s">
        <v>8383</v>
      </c>
      <c r="I632" s="778" t="s">
        <v>8383</v>
      </c>
      <c r="J632" s="778" t="s">
        <v>8383</v>
      </c>
      <c r="K632" s="778"/>
      <c r="L632" s="1195"/>
      <c r="M632" s="780"/>
      <c r="O632" s="773"/>
    </row>
    <row r="633" spans="1:16">
      <c r="F633" s="781" t="s">
        <v>6856</v>
      </c>
      <c r="G633" s="782"/>
      <c r="H633" s="779" t="s">
        <v>9290</v>
      </c>
      <c r="I633" s="779" t="s">
        <v>9275</v>
      </c>
      <c r="J633" s="779" t="s">
        <v>9239</v>
      </c>
      <c r="K633" s="779"/>
      <c r="L633" s="1195"/>
      <c r="M633" s="780"/>
      <c r="O633" s="783"/>
      <c r="P633" s="783"/>
    </row>
    <row r="634" spans="1:16">
      <c r="E634" s="784"/>
      <c r="F634" s="781" t="s">
        <v>6857</v>
      </c>
      <c r="G634" s="782"/>
      <c r="H634" s="785"/>
      <c r="I634" s="786"/>
      <c r="J634" s="786"/>
      <c r="K634" s="786"/>
      <c r="L634" s="1195"/>
      <c r="O634" s="658"/>
      <c r="P634" s="658"/>
    </row>
    <row r="635" spans="1:16" ht="15.75" thickBot="1">
      <c r="E635" s="784"/>
      <c r="F635" s="798" t="s">
        <v>6858</v>
      </c>
      <c r="G635" s="799"/>
      <c r="H635" s="800" t="s">
        <v>9289</v>
      </c>
      <c r="I635" s="800" t="s">
        <v>9291</v>
      </c>
      <c r="J635" s="802" t="s">
        <v>9292</v>
      </c>
      <c r="K635" s="802"/>
      <c r="L635" s="1195"/>
      <c r="O635" s="658"/>
      <c r="P635" s="658"/>
    </row>
    <row r="636" spans="1:16" ht="15.75" thickBot="1">
      <c r="C636" s="792" t="s">
        <v>904</v>
      </c>
      <c r="D636" s="1196" t="s">
        <v>6859</v>
      </c>
      <c r="E636" s="1197"/>
      <c r="F636" s="1198"/>
      <c r="G636" s="793" t="s">
        <v>6860</v>
      </c>
      <c r="H636" s="792" t="s">
        <v>6861</v>
      </c>
      <c r="I636" s="792" t="s">
        <v>6861</v>
      </c>
      <c r="J636" s="792" t="s">
        <v>6861</v>
      </c>
      <c r="K636" s="792"/>
      <c r="L636" s="794"/>
      <c r="O636" s="659"/>
      <c r="P636" s="659"/>
    </row>
    <row r="637" spans="1:16" s="795" customFormat="1" ht="15.75" customHeight="1" thickBot="1">
      <c r="A637" s="769"/>
      <c r="B637" s="770">
        <f>SUMIF(CPU!$E$11:$E$1943,COTAÇÕES!$C637,CPU!$B$11:$B$1943)</f>
        <v>0</v>
      </c>
      <c r="C637" s="768" t="s">
        <v>9098</v>
      </c>
      <c r="D637" s="1191" t="s">
        <v>9007</v>
      </c>
      <c r="E637" s="1192"/>
      <c r="F637" s="1193"/>
      <c r="G637" s="656" t="s">
        <v>646</v>
      </c>
      <c r="H637" s="657">
        <v>496.98</v>
      </c>
      <c r="I637" s="657">
        <v>604.79999999999995</v>
      </c>
      <c r="J637" s="657">
        <v>575.45000000000005</v>
      </c>
      <c r="K637" s="657"/>
      <c r="L637" s="801">
        <f t="shared" ref="L637:L645" si="71">IF(H637&lt;&gt;"",AVERAGE(H637:K637)," ")</f>
        <v>559.07666666666671</v>
      </c>
      <c r="O637" s="796"/>
      <c r="P637" s="797"/>
    </row>
    <row r="638" spans="1:16" ht="15.75" thickBot="1">
      <c r="L638" s="769"/>
      <c r="O638" s="773"/>
    </row>
    <row r="639" spans="1:16" ht="15.75" thickBot="1">
      <c r="H639" s="774" t="s">
        <v>6851</v>
      </c>
      <c r="I639" s="775" t="s">
        <v>6852</v>
      </c>
      <c r="J639" s="775" t="s">
        <v>6853</v>
      </c>
      <c r="K639" s="775"/>
      <c r="L639" s="1194" t="s">
        <v>6854</v>
      </c>
      <c r="O639" s="773"/>
    </row>
    <row r="640" spans="1:16">
      <c r="F640" s="776" t="s">
        <v>6855</v>
      </c>
      <c r="G640" s="777"/>
      <c r="H640" s="778" t="s">
        <v>8383</v>
      </c>
      <c r="I640" s="778" t="s">
        <v>8383</v>
      </c>
      <c r="J640" s="778" t="s">
        <v>8383</v>
      </c>
      <c r="K640" s="778"/>
      <c r="L640" s="1195"/>
      <c r="M640" s="780"/>
      <c r="O640" s="773"/>
    </row>
    <row r="641" spans="1:16">
      <c r="F641" s="781" t="s">
        <v>6856</v>
      </c>
      <c r="G641" s="782"/>
      <c r="H641" s="779" t="s">
        <v>9285</v>
      </c>
      <c r="I641" s="779" t="s">
        <v>6981</v>
      </c>
      <c r="J641" s="779" t="s">
        <v>9230</v>
      </c>
      <c r="K641" s="779"/>
      <c r="L641" s="1195"/>
      <c r="M641" s="780"/>
      <c r="O641" s="783"/>
      <c r="P641" s="783"/>
    </row>
    <row r="642" spans="1:16">
      <c r="E642" s="784"/>
      <c r="F642" s="781" t="s">
        <v>6857</v>
      </c>
      <c r="G642" s="782"/>
      <c r="H642" s="785"/>
      <c r="I642" s="786"/>
      <c r="J642" s="786"/>
      <c r="K642" s="786"/>
      <c r="L642" s="1195"/>
      <c r="O642" s="658"/>
      <c r="P642" s="658"/>
    </row>
    <row r="643" spans="1:16" ht="15.75" thickBot="1">
      <c r="E643" s="784"/>
      <c r="F643" s="798" t="s">
        <v>6858</v>
      </c>
      <c r="G643" s="799"/>
      <c r="H643" s="800" t="s">
        <v>9286</v>
      </c>
      <c r="I643" s="800" t="s">
        <v>9287</v>
      </c>
      <c r="J643" s="802" t="s">
        <v>9288</v>
      </c>
      <c r="K643" s="802"/>
      <c r="L643" s="1195"/>
      <c r="O643" s="658"/>
      <c r="P643" s="658"/>
    </row>
    <row r="644" spans="1:16" ht="15.75" thickBot="1">
      <c r="C644" s="792" t="s">
        <v>904</v>
      </c>
      <c r="D644" s="1196" t="s">
        <v>6859</v>
      </c>
      <c r="E644" s="1197"/>
      <c r="F644" s="1198"/>
      <c r="G644" s="793" t="s">
        <v>6860</v>
      </c>
      <c r="H644" s="792" t="s">
        <v>6861</v>
      </c>
      <c r="I644" s="792" t="s">
        <v>6861</v>
      </c>
      <c r="J644" s="792" t="s">
        <v>6861</v>
      </c>
      <c r="K644" s="792"/>
      <c r="L644" s="794"/>
      <c r="O644" s="659"/>
      <c r="P644" s="659"/>
    </row>
    <row r="645" spans="1:16" s="795" customFormat="1" ht="15.75" customHeight="1" thickBot="1">
      <c r="A645" s="769"/>
      <c r="B645" s="770">
        <f>SUMIF(CPU!$E$11:$E$1943,COTAÇÕES!$C645,CPU!$B$11:$B$1943)</f>
        <v>0</v>
      </c>
      <c r="C645" s="768" t="s">
        <v>9099</v>
      </c>
      <c r="D645" s="1191" t="s">
        <v>9008</v>
      </c>
      <c r="E645" s="1192"/>
      <c r="F645" s="1193"/>
      <c r="G645" s="656" t="s">
        <v>646</v>
      </c>
      <c r="H645" s="657">
        <v>182.99</v>
      </c>
      <c r="I645" s="657">
        <v>144</v>
      </c>
      <c r="J645" s="657">
        <v>145.1</v>
      </c>
      <c r="K645" s="657"/>
      <c r="L645" s="801">
        <f t="shared" si="71"/>
        <v>157.36333333333334</v>
      </c>
      <c r="O645" s="796"/>
      <c r="P645" s="797"/>
    </row>
    <row r="646" spans="1:16" ht="15.75" thickBot="1">
      <c r="L646" s="769"/>
      <c r="O646" s="773"/>
    </row>
    <row r="647" spans="1:16" ht="15.75" thickBot="1">
      <c r="H647" s="774" t="s">
        <v>6851</v>
      </c>
      <c r="I647" s="775" t="s">
        <v>6852</v>
      </c>
      <c r="J647" s="775" t="s">
        <v>6853</v>
      </c>
      <c r="K647" s="775"/>
      <c r="L647" s="1194" t="s">
        <v>6854</v>
      </c>
      <c r="O647" s="773"/>
    </row>
    <row r="648" spans="1:16">
      <c r="F648" s="776" t="s">
        <v>6855</v>
      </c>
      <c r="G648" s="777"/>
      <c r="H648" s="778" t="s">
        <v>8383</v>
      </c>
      <c r="I648" s="778" t="s">
        <v>8383</v>
      </c>
      <c r="J648" s="778" t="s">
        <v>8383</v>
      </c>
      <c r="K648" s="778"/>
      <c r="L648" s="1195"/>
      <c r="M648" s="780"/>
      <c r="O648" s="773"/>
    </row>
    <row r="649" spans="1:16">
      <c r="F649" s="781" t="s">
        <v>6856</v>
      </c>
      <c r="G649" s="782"/>
      <c r="H649" s="779" t="s">
        <v>9239</v>
      </c>
      <c r="I649" s="779" t="s">
        <v>8566</v>
      </c>
      <c r="J649" s="779" t="s">
        <v>7521</v>
      </c>
      <c r="K649" s="779"/>
      <c r="L649" s="1195"/>
      <c r="M649" s="780"/>
      <c r="O649" s="783"/>
      <c r="P649" s="783"/>
    </row>
    <row r="650" spans="1:16">
      <c r="E650" s="784"/>
      <c r="F650" s="781" t="s">
        <v>6857</v>
      </c>
      <c r="G650" s="782"/>
      <c r="H650" s="785"/>
      <c r="I650" s="786"/>
      <c r="J650" s="786"/>
      <c r="K650" s="786"/>
      <c r="L650" s="1195"/>
      <c r="O650" s="658"/>
      <c r="P650" s="658"/>
    </row>
    <row r="651" spans="1:16" ht="15.75" thickBot="1">
      <c r="E651" s="784"/>
      <c r="F651" s="798" t="s">
        <v>6858</v>
      </c>
      <c r="G651" s="799"/>
      <c r="H651" s="800" t="s">
        <v>9238</v>
      </c>
      <c r="I651" s="800" t="s">
        <v>9237</v>
      </c>
      <c r="J651" s="802" t="s">
        <v>9236</v>
      </c>
      <c r="K651" s="802"/>
      <c r="L651" s="1195"/>
      <c r="O651" s="658"/>
      <c r="P651" s="658"/>
    </row>
    <row r="652" spans="1:16" ht="15.75" thickBot="1">
      <c r="C652" s="792" t="s">
        <v>904</v>
      </c>
      <c r="D652" s="1196" t="s">
        <v>6859</v>
      </c>
      <c r="E652" s="1197"/>
      <c r="F652" s="1198"/>
      <c r="G652" s="793" t="s">
        <v>6860</v>
      </c>
      <c r="H652" s="792" t="s">
        <v>6861</v>
      </c>
      <c r="I652" s="792" t="s">
        <v>6861</v>
      </c>
      <c r="J652" s="792" t="s">
        <v>6861</v>
      </c>
      <c r="K652" s="792"/>
      <c r="L652" s="794"/>
      <c r="O652" s="659"/>
      <c r="P652" s="659"/>
    </row>
    <row r="653" spans="1:16" s="795" customFormat="1" ht="15.75" customHeight="1" thickBot="1">
      <c r="A653" s="769"/>
      <c r="B653" s="770">
        <f>SUMIF(CPU!$E$11:$E$1943,COTAÇÕES!$C653,CPU!$B$11:$B$1943)</f>
        <v>83</v>
      </c>
      <c r="C653" s="768" t="s">
        <v>9101</v>
      </c>
      <c r="D653" s="1191" t="s">
        <v>8940</v>
      </c>
      <c r="E653" s="1192"/>
      <c r="F653" s="1193"/>
      <c r="G653" s="656" t="s">
        <v>646</v>
      </c>
      <c r="H653" s="657">
        <v>230.75</v>
      </c>
      <c r="I653" s="657">
        <v>219.21</v>
      </c>
      <c r="J653" s="657">
        <v>198.49</v>
      </c>
      <c r="K653" s="657"/>
      <c r="L653" s="801">
        <f t="shared" ref="L653" si="72">IF(H653&lt;&gt;"",AVERAGE(H653:K653)," ")</f>
        <v>216.15</v>
      </c>
      <c r="O653" s="796"/>
      <c r="P653" s="797"/>
    </row>
    <row r="654" spans="1:16" ht="15.75" thickBot="1">
      <c r="L654" s="769"/>
      <c r="O654" s="773"/>
    </row>
    <row r="655" spans="1:16" ht="15.75" thickBot="1">
      <c r="H655" s="774" t="s">
        <v>6851</v>
      </c>
      <c r="I655" s="775" t="s">
        <v>6852</v>
      </c>
      <c r="J655" s="775" t="s">
        <v>6853</v>
      </c>
      <c r="K655" s="775"/>
      <c r="L655" s="1194" t="s">
        <v>6854</v>
      </c>
      <c r="O655" s="773"/>
    </row>
    <row r="656" spans="1:16">
      <c r="F656" s="776" t="s">
        <v>6855</v>
      </c>
      <c r="G656" s="777"/>
      <c r="H656" s="778" t="s">
        <v>8383</v>
      </c>
      <c r="I656" s="778" t="s">
        <v>8383</v>
      </c>
      <c r="J656" s="778" t="s">
        <v>8383</v>
      </c>
      <c r="K656" s="778"/>
      <c r="L656" s="1195"/>
      <c r="M656" s="780"/>
      <c r="O656" s="773"/>
    </row>
    <row r="657" spans="1:16">
      <c r="F657" s="781" t="s">
        <v>6856</v>
      </c>
      <c r="G657" s="782"/>
      <c r="H657" s="779" t="s">
        <v>9199</v>
      </c>
      <c r="I657" s="779" t="s">
        <v>9163</v>
      </c>
      <c r="J657" s="779" t="s">
        <v>9244</v>
      </c>
      <c r="K657" s="779"/>
      <c r="L657" s="1195"/>
      <c r="M657" s="780"/>
      <c r="O657" s="783"/>
      <c r="P657" s="783"/>
    </row>
    <row r="658" spans="1:16">
      <c r="E658" s="784"/>
      <c r="F658" s="781" t="s">
        <v>6857</v>
      </c>
      <c r="G658" s="782"/>
      <c r="H658" s="785"/>
      <c r="I658" s="786"/>
      <c r="J658" s="786"/>
      <c r="K658" s="786"/>
      <c r="L658" s="1195"/>
      <c r="O658" s="658"/>
      <c r="P658" s="658"/>
    </row>
    <row r="659" spans="1:16" ht="15.75" thickBot="1">
      <c r="E659" s="784"/>
      <c r="F659" s="798" t="s">
        <v>6858</v>
      </c>
      <c r="G659" s="799"/>
      <c r="H659" s="800" t="s">
        <v>9240</v>
      </c>
      <c r="I659" s="800" t="s">
        <v>9241</v>
      </c>
      <c r="J659" s="802" t="s">
        <v>9243</v>
      </c>
      <c r="K659" s="802"/>
      <c r="L659" s="1195"/>
      <c r="O659" s="658"/>
      <c r="P659" s="658"/>
    </row>
    <row r="660" spans="1:16" ht="15.75" thickBot="1">
      <c r="C660" s="792" t="s">
        <v>904</v>
      </c>
      <c r="D660" s="1196" t="s">
        <v>6859</v>
      </c>
      <c r="E660" s="1197"/>
      <c r="F660" s="1198"/>
      <c r="G660" s="793" t="s">
        <v>6860</v>
      </c>
      <c r="H660" s="792" t="s">
        <v>6861</v>
      </c>
      <c r="I660" s="792" t="s">
        <v>6861</v>
      </c>
      <c r="J660" s="792" t="s">
        <v>6861</v>
      </c>
      <c r="K660" s="792"/>
      <c r="L660" s="794"/>
      <c r="O660" s="659"/>
      <c r="P660" s="659"/>
    </row>
    <row r="661" spans="1:16" s="795" customFormat="1" ht="15.75" customHeight="1" thickBot="1">
      <c r="A661" s="769"/>
      <c r="B661" s="770">
        <f>SUMIF(CPU!$E$11:$E$1943,COTAÇÕES!$C661,CPU!$B$11:$B$1943)</f>
        <v>15</v>
      </c>
      <c r="C661" s="768" t="s">
        <v>9102</v>
      </c>
      <c r="D661" s="1191" t="s">
        <v>9242</v>
      </c>
      <c r="E661" s="1192"/>
      <c r="F661" s="1193"/>
      <c r="G661" s="656" t="s">
        <v>646</v>
      </c>
      <c r="H661" s="657">
        <v>78.27</v>
      </c>
      <c r="I661" s="657">
        <v>64.97</v>
      </c>
      <c r="J661" s="657">
        <v>56.91</v>
      </c>
      <c r="K661" s="657"/>
      <c r="L661" s="801">
        <f t="shared" ref="L661" si="73">IF(H661&lt;&gt;"",AVERAGE(H661:K661)," ")</f>
        <v>66.716666666666669</v>
      </c>
      <c r="O661" s="796"/>
      <c r="P661" s="797"/>
    </row>
    <row r="662" spans="1:16" ht="15.75" thickBot="1">
      <c r="L662" s="769"/>
      <c r="O662" s="773"/>
    </row>
    <row r="663" spans="1:16" ht="15.75" thickBot="1">
      <c r="H663" s="774" t="s">
        <v>6851</v>
      </c>
      <c r="I663" s="775" t="s">
        <v>6852</v>
      </c>
      <c r="J663" s="775" t="s">
        <v>6853</v>
      </c>
      <c r="K663" s="775"/>
      <c r="L663" s="1194" t="s">
        <v>6854</v>
      </c>
      <c r="O663" s="773"/>
    </row>
    <row r="664" spans="1:16">
      <c r="F664" s="776" t="s">
        <v>6855</v>
      </c>
      <c r="G664" s="777"/>
      <c r="H664" s="778" t="s">
        <v>8383</v>
      </c>
      <c r="I664" s="778" t="s">
        <v>8383</v>
      </c>
      <c r="J664" s="778" t="s">
        <v>8383</v>
      </c>
      <c r="K664" s="778"/>
      <c r="L664" s="1195"/>
      <c r="M664" s="780"/>
      <c r="O664" s="773"/>
    </row>
    <row r="665" spans="1:16">
      <c r="F665" s="781" t="s">
        <v>6856</v>
      </c>
      <c r="G665" s="782"/>
      <c r="H665" s="779" t="s">
        <v>9199</v>
      </c>
      <c r="I665" s="779" t="s">
        <v>9182</v>
      </c>
      <c r="J665" s="779" t="s">
        <v>9247</v>
      </c>
      <c r="K665" s="779"/>
      <c r="L665" s="1195"/>
      <c r="M665" s="780"/>
      <c r="O665" s="783"/>
      <c r="P665" s="783"/>
    </row>
    <row r="666" spans="1:16">
      <c r="E666" s="784"/>
      <c r="F666" s="781" t="s">
        <v>6857</v>
      </c>
      <c r="G666" s="782"/>
      <c r="H666" s="785"/>
      <c r="I666" s="786"/>
      <c r="J666" s="786"/>
      <c r="K666" s="786"/>
      <c r="L666" s="1195"/>
      <c r="O666" s="658"/>
      <c r="P666" s="658"/>
    </row>
    <row r="667" spans="1:16" ht="15.75" thickBot="1">
      <c r="E667" s="784"/>
      <c r="F667" s="798" t="s">
        <v>6858</v>
      </c>
      <c r="G667" s="799"/>
      <c r="H667" s="800" t="s">
        <v>9245</v>
      </c>
      <c r="I667" s="800" t="s">
        <v>9246</v>
      </c>
      <c r="J667" s="802" t="s">
        <v>9248</v>
      </c>
      <c r="K667" s="802"/>
      <c r="L667" s="1195"/>
      <c r="O667" s="658"/>
      <c r="P667" s="658"/>
    </row>
    <row r="668" spans="1:16" ht="15.75" thickBot="1">
      <c r="C668" s="792" t="s">
        <v>904</v>
      </c>
      <c r="D668" s="1196" t="s">
        <v>6859</v>
      </c>
      <c r="E668" s="1197"/>
      <c r="F668" s="1198"/>
      <c r="G668" s="793" t="s">
        <v>6860</v>
      </c>
      <c r="H668" s="792" t="s">
        <v>6861</v>
      </c>
      <c r="I668" s="792" t="s">
        <v>6861</v>
      </c>
      <c r="J668" s="792" t="s">
        <v>6861</v>
      </c>
      <c r="K668" s="792"/>
      <c r="L668" s="794"/>
      <c r="O668" s="659"/>
      <c r="P668" s="659"/>
    </row>
    <row r="669" spans="1:16" s="795" customFormat="1" ht="15.75" customHeight="1" thickBot="1">
      <c r="A669" s="769"/>
      <c r="B669" s="770">
        <f>SUMIF(CPU!$E$11:$E$1943,COTAÇÕES!$C669,CPU!$B$11:$B$1943)</f>
        <v>4</v>
      </c>
      <c r="C669" s="768" t="s">
        <v>9103</v>
      </c>
      <c r="D669" s="1191" t="s">
        <v>8948</v>
      </c>
      <c r="E669" s="1192"/>
      <c r="F669" s="1193"/>
      <c r="G669" s="656" t="s">
        <v>646</v>
      </c>
      <c r="H669" s="657">
        <v>198.45</v>
      </c>
      <c r="I669" s="657">
        <v>187.42</v>
      </c>
      <c r="J669" s="657">
        <v>198.99</v>
      </c>
      <c r="K669" s="657"/>
      <c r="L669" s="801">
        <f t="shared" ref="L669" si="74">IF(H669&lt;&gt;"",AVERAGE(H669:K669)," ")</f>
        <v>194.95333333333335</v>
      </c>
      <c r="O669" s="796"/>
      <c r="P669" s="797"/>
    </row>
    <row r="670" spans="1:16" ht="15.75" thickBot="1">
      <c r="L670" s="769"/>
      <c r="O670" s="773"/>
    </row>
    <row r="671" spans="1:16" ht="15.75" thickBot="1">
      <c r="H671" s="774" t="s">
        <v>6851</v>
      </c>
      <c r="I671" s="775" t="s">
        <v>6852</v>
      </c>
      <c r="J671" s="775" t="s">
        <v>6853</v>
      </c>
      <c r="K671" s="775"/>
      <c r="L671" s="1194" t="s">
        <v>6854</v>
      </c>
      <c r="O671" s="773"/>
    </row>
    <row r="672" spans="1:16">
      <c r="F672" s="776" t="s">
        <v>6855</v>
      </c>
      <c r="G672" s="777"/>
      <c r="H672" s="778" t="s">
        <v>8383</v>
      </c>
      <c r="I672" s="778" t="s">
        <v>8383</v>
      </c>
      <c r="J672" s="778" t="s">
        <v>8383</v>
      </c>
      <c r="K672" s="778"/>
      <c r="L672" s="1195"/>
      <c r="M672" s="780"/>
      <c r="O672" s="773"/>
    </row>
    <row r="673" spans="1:16">
      <c r="F673" s="781" t="s">
        <v>6856</v>
      </c>
      <c r="G673" s="782"/>
      <c r="H673" s="779" t="s">
        <v>9251</v>
      </c>
      <c r="I673" s="779" t="s">
        <v>9199</v>
      </c>
      <c r="J673" s="779" t="s">
        <v>9182</v>
      </c>
      <c r="K673" s="779"/>
      <c r="L673" s="1195"/>
      <c r="M673" s="780"/>
      <c r="O673" s="783"/>
      <c r="P673" s="783"/>
    </row>
    <row r="674" spans="1:16">
      <c r="E674" s="784"/>
      <c r="F674" s="781" t="s">
        <v>6857</v>
      </c>
      <c r="G674" s="782"/>
      <c r="H674" s="785"/>
      <c r="I674" s="786"/>
      <c r="J674" s="786"/>
      <c r="K674" s="786"/>
      <c r="L674" s="1195"/>
      <c r="O674" s="658"/>
      <c r="P674" s="658"/>
    </row>
    <row r="675" spans="1:16" ht="15.75" thickBot="1">
      <c r="E675" s="784"/>
      <c r="F675" s="798" t="s">
        <v>6858</v>
      </c>
      <c r="G675" s="799"/>
      <c r="H675" s="800" t="s">
        <v>9250</v>
      </c>
      <c r="I675" s="800" t="s">
        <v>9252</v>
      </c>
      <c r="J675" s="802" t="s">
        <v>9253</v>
      </c>
      <c r="K675" s="802"/>
      <c r="L675" s="1195"/>
      <c r="O675" s="658"/>
      <c r="P675" s="658"/>
    </row>
    <row r="676" spans="1:16" ht="15.75" thickBot="1">
      <c r="C676" s="792" t="s">
        <v>904</v>
      </c>
      <c r="D676" s="1196" t="s">
        <v>6859</v>
      </c>
      <c r="E676" s="1197"/>
      <c r="F676" s="1198"/>
      <c r="G676" s="793" t="s">
        <v>6860</v>
      </c>
      <c r="H676" s="792" t="s">
        <v>6861</v>
      </c>
      <c r="I676" s="792" t="s">
        <v>6861</v>
      </c>
      <c r="J676" s="792" t="s">
        <v>6861</v>
      </c>
      <c r="K676" s="792"/>
      <c r="L676" s="794"/>
      <c r="O676" s="659"/>
      <c r="P676" s="659"/>
    </row>
    <row r="677" spans="1:16" s="795" customFormat="1" ht="15.75" customHeight="1" thickBot="1">
      <c r="A677" s="769"/>
      <c r="B677" s="770">
        <f>SUMIF(CPU!$E$11:$E$1943,COTAÇÕES!$C677,CPU!$B$11:$B$1943)</f>
        <v>37</v>
      </c>
      <c r="C677" s="768" t="s">
        <v>9104</v>
      </c>
      <c r="D677" s="1191" t="s">
        <v>9249</v>
      </c>
      <c r="E677" s="1192"/>
      <c r="F677" s="1193"/>
      <c r="G677" s="656" t="s">
        <v>648</v>
      </c>
      <c r="H677" s="657">
        <v>218.41</v>
      </c>
      <c r="I677" s="657">
        <v>216.93</v>
      </c>
      <c r="J677" s="657">
        <v>227.78</v>
      </c>
      <c r="K677" s="657"/>
      <c r="L677" s="801">
        <f t="shared" ref="L677" si="75">IF(H677&lt;&gt;"",AVERAGE(H677:K677)," ")</f>
        <v>221.04</v>
      </c>
      <c r="O677" s="796"/>
      <c r="P677" s="797"/>
    </row>
    <row r="678" spans="1:16" ht="15.75" thickBot="1">
      <c r="L678" s="769"/>
      <c r="O678" s="773"/>
    </row>
    <row r="679" spans="1:16" ht="15.75" thickBot="1">
      <c r="H679" s="774" t="s">
        <v>6851</v>
      </c>
      <c r="I679" s="775" t="s">
        <v>6852</v>
      </c>
      <c r="J679" s="775" t="s">
        <v>6853</v>
      </c>
      <c r="K679" s="775"/>
      <c r="L679" s="1194" t="s">
        <v>6854</v>
      </c>
      <c r="O679" s="773"/>
    </row>
    <row r="680" spans="1:16">
      <c r="F680" s="776" t="s">
        <v>6855</v>
      </c>
      <c r="G680" s="777"/>
      <c r="H680" s="778" t="s">
        <v>8383</v>
      </c>
      <c r="I680" s="778" t="s">
        <v>8383</v>
      </c>
      <c r="J680" s="778" t="s">
        <v>8383</v>
      </c>
      <c r="K680" s="778"/>
      <c r="L680" s="1195"/>
      <c r="M680" s="780"/>
      <c r="O680" s="773"/>
    </row>
    <row r="681" spans="1:16">
      <c r="F681" s="781" t="s">
        <v>6856</v>
      </c>
      <c r="G681" s="782"/>
      <c r="H681" s="779" t="s">
        <v>9199</v>
      </c>
      <c r="I681" s="779" t="s">
        <v>9182</v>
      </c>
      <c r="J681" s="779" t="s">
        <v>9257</v>
      </c>
      <c r="K681" s="779"/>
      <c r="L681" s="1195"/>
      <c r="M681" s="780"/>
      <c r="O681" s="783"/>
      <c r="P681" s="783"/>
    </row>
    <row r="682" spans="1:16">
      <c r="E682" s="784"/>
      <c r="F682" s="781" t="s">
        <v>6857</v>
      </c>
      <c r="G682" s="782"/>
      <c r="H682" s="785"/>
      <c r="I682" s="786"/>
      <c r="J682" s="786"/>
      <c r="K682" s="786"/>
      <c r="L682" s="1195"/>
      <c r="O682" s="658"/>
      <c r="P682" s="658"/>
    </row>
    <row r="683" spans="1:16" ht="15.75" thickBot="1">
      <c r="E683" s="784"/>
      <c r="F683" s="798" t="s">
        <v>6858</v>
      </c>
      <c r="G683" s="799"/>
      <c r="H683" s="800" t="s">
        <v>9254</v>
      </c>
      <c r="I683" s="800" t="s">
        <v>9256</v>
      </c>
      <c r="J683" s="802" t="s">
        <v>9258</v>
      </c>
      <c r="K683" s="802"/>
      <c r="L683" s="1195"/>
      <c r="O683" s="658"/>
      <c r="P683" s="658"/>
    </row>
    <row r="684" spans="1:16" ht="15.75" thickBot="1">
      <c r="C684" s="792" t="s">
        <v>904</v>
      </c>
      <c r="D684" s="1196" t="s">
        <v>6859</v>
      </c>
      <c r="E684" s="1197"/>
      <c r="F684" s="1198"/>
      <c r="G684" s="793" t="s">
        <v>6860</v>
      </c>
      <c r="H684" s="792" t="s">
        <v>6861</v>
      </c>
      <c r="I684" s="792" t="s">
        <v>6861</v>
      </c>
      <c r="J684" s="792" t="s">
        <v>6861</v>
      </c>
      <c r="K684" s="792"/>
      <c r="L684" s="794"/>
      <c r="O684" s="659"/>
      <c r="P684" s="659"/>
    </row>
    <row r="685" spans="1:16" s="795" customFormat="1" ht="15.75" customHeight="1" thickBot="1">
      <c r="A685" s="769"/>
      <c r="B685" s="770">
        <f>SUMIF(CPU!$E$11:$E$1943,COTAÇÕES!$C685,CPU!$B$11:$B$1943)</f>
        <v>37</v>
      </c>
      <c r="C685" s="768" t="s">
        <v>9105</v>
      </c>
      <c r="D685" s="1191" t="s">
        <v>9255</v>
      </c>
      <c r="E685" s="1192"/>
      <c r="F685" s="1193"/>
      <c r="G685" s="656" t="s">
        <v>648</v>
      </c>
      <c r="H685" s="657">
        <f>299.12/5</f>
        <v>59.823999999999998</v>
      </c>
      <c r="I685" s="657">
        <f>299.12/5</f>
        <v>59.823999999999998</v>
      </c>
      <c r="J685" s="657">
        <v>47.03</v>
      </c>
      <c r="K685" s="657"/>
      <c r="L685" s="801">
        <f t="shared" ref="L685" si="76">IF(H685&lt;&gt;"",AVERAGE(H685:K685)," ")</f>
        <v>55.559333333333335</v>
      </c>
      <c r="O685" s="796"/>
      <c r="P685" s="797"/>
    </row>
    <row r="686" spans="1:16" ht="15.75" thickBot="1">
      <c r="I686" s="814"/>
      <c r="J686" s="814"/>
      <c r="K686" s="770"/>
      <c r="L686" s="769"/>
      <c r="O686" s="773"/>
    </row>
    <row r="687" spans="1:16" ht="15.75" thickBot="1">
      <c r="H687" s="774" t="s">
        <v>6851</v>
      </c>
      <c r="I687" s="775" t="s">
        <v>6852</v>
      </c>
      <c r="J687" s="775" t="s">
        <v>6853</v>
      </c>
      <c r="K687" s="775"/>
      <c r="L687" s="1194" t="s">
        <v>6854</v>
      </c>
      <c r="O687" s="773"/>
    </row>
    <row r="688" spans="1:16">
      <c r="F688" s="776" t="s">
        <v>6855</v>
      </c>
      <c r="G688" s="777"/>
      <c r="H688" s="765" t="s">
        <v>8383</v>
      </c>
      <c r="I688" s="765" t="s">
        <v>8383</v>
      </c>
      <c r="J688" s="765" t="s">
        <v>8383</v>
      </c>
      <c r="K688" s="765"/>
      <c r="L688" s="1195"/>
      <c r="M688" s="780"/>
      <c r="O688" s="773"/>
    </row>
    <row r="689" spans="1:16">
      <c r="F689" s="781" t="s">
        <v>6856</v>
      </c>
      <c r="G689" s="782"/>
      <c r="H689" s="779" t="s">
        <v>9271</v>
      </c>
      <c r="I689" s="779"/>
      <c r="J689" s="779"/>
      <c r="K689" s="779"/>
      <c r="L689" s="1195"/>
      <c r="M689" s="780"/>
      <c r="O689" s="783"/>
      <c r="P689" s="783"/>
    </row>
    <row r="690" spans="1:16">
      <c r="E690" s="784"/>
      <c r="F690" s="781" t="s">
        <v>6857</v>
      </c>
      <c r="G690" s="782"/>
      <c r="H690" s="785" t="s">
        <v>9272</v>
      </c>
      <c r="I690" s="786"/>
      <c r="J690" s="786"/>
      <c r="K690" s="786"/>
      <c r="L690" s="1195"/>
      <c r="O690" s="658"/>
      <c r="P690" s="658"/>
    </row>
    <row r="691" spans="1:16" ht="15.75" thickBot="1">
      <c r="E691" s="784"/>
      <c r="F691" s="798" t="s">
        <v>6858</v>
      </c>
      <c r="G691" s="799"/>
      <c r="H691" s="790" t="s">
        <v>9273</v>
      </c>
      <c r="I691" s="810"/>
      <c r="J691" s="790"/>
      <c r="K691" s="790"/>
      <c r="L691" s="1195"/>
      <c r="O691" s="658"/>
      <c r="P691" s="658"/>
    </row>
    <row r="692" spans="1:16" ht="15.75" thickBot="1">
      <c r="C692" s="792" t="s">
        <v>904</v>
      </c>
      <c r="D692" s="1196" t="s">
        <v>6859</v>
      </c>
      <c r="E692" s="1197"/>
      <c r="F692" s="1198"/>
      <c r="G692" s="793" t="s">
        <v>6860</v>
      </c>
      <c r="H692" s="792" t="s">
        <v>6861</v>
      </c>
      <c r="I692" s="792" t="s">
        <v>6861</v>
      </c>
      <c r="J692" s="792" t="s">
        <v>6861</v>
      </c>
      <c r="K692" s="792"/>
      <c r="L692" s="794"/>
      <c r="O692" s="659"/>
      <c r="P692" s="659"/>
    </row>
    <row r="693" spans="1:16" s="795" customFormat="1" ht="39" customHeight="1" thickBot="1">
      <c r="A693" s="769"/>
      <c r="B693" s="770">
        <f>SUMIF(CPU!$E$11:$E$1943,COTAÇÕES!$C693,CPU!$B$11:$B$1943)</f>
        <v>1</v>
      </c>
      <c r="C693" s="850" t="s">
        <v>9135</v>
      </c>
      <c r="D693" s="1191" t="s">
        <v>8963</v>
      </c>
      <c r="E693" s="1192"/>
      <c r="F693" s="1193"/>
      <c r="G693" s="656" t="s">
        <v>6860</v>
      </c>
      <c r="H693" s="672">
        <v>1990</v>
      </c>
      <c r="I693" s="672"/>
      <c r="J693" s="900"/>
      <c r="K693" s="672"/>
      <c r="L693" s="801">
        <f t="shared" ref="L693:L694" si="77">IF(H693&lt;&gt;"",AVERAGE(H693:K693)," ")</f>
        <v>1990</v>
      </c>
      <c r="M693" s="770"/>
      <c r="O693" s="796"/>
      <c r="P693" s="797"/>
    </row>
    <row r="694" spans="1:16" s="795" customFormat="1" ht="39" customHeight="1" thickBot="1">
      <c r="A694" s="769"/>
      <c r="B694" s="770">
        <f>SUMIF(CPU!$E$11:$E$1943,COTAÇÕES!$C694,CPU!$B$11:$B$1943)</f>
        <v>1</v>
      </c>
      <c r="C694" s="850" t="s">
        <v>9136</v>
      </c>
      <c r="D694" s="1191" t="s">
        <v>8964</v>
      </c>
      <c r="E694" s="1192"/>
      <c r="F694" s="1193"/>
      <c r="G694" s="656" t="s">
        <v>6860</v>
      </c>
      <c r="H694" s="672">
        <v>960</v>
      </c>
      <c r="I694" s="672"/>
      <c r="J694" s="900"/>
      <c r="K694" s="672"/>
      <c r="L694" s="801">
        <f t="shared" si="77"/>
        <v>960</v>
      </c>
      <c r="M694" s="770"/>
      <c r="O694" s="796"/>
      <c r="P694" s="797"/>
    </row>
    <row r="695" spans="1:16" ht="15.75" thickBot="1">
      <c r="L695" s="769"/>
      <c r="O695" s="773"/>
    </row>
    <row r="696" spans="1:16" ht="15.75" thickBot="1">
      <c r="H696" s="774" t="s">
        <v>6851</v>
      </c>
      <c r="I696" s="775" t="s">
        <v>6852</v>
      </c>
      <c r="J696" s="775" t="s">
        <v>6853</v>
      </c>
      <c r="K696" s="775"/>
      <c r="L696" s="1194" t="s">
        <v>6854</v>
      </c>
      <c r="O696" s="773"/>
    </row>
    <row r="697" spans="1:16">
      <c r="F697" s="776" t="s">
        <v>6855</v>
      </c>
      <c r="G697" s="777"/>
      <c r="H697" s="1004" t="s">
        <v>7194</v>
      </c>
      <c r="I697" s="1004" t="s">
        <v>7194</v>
      </c>
      <c r="J697" s="1004" t="s">
        <v>7194</v>
      </c>
      <c r="K697" s="778"/>
      <c r="L697" s="1195"/>
      <c r="M697" s="780"/>
      <c r="O697" s="773"/>
    </row>
    <row r="698" spans="1:16">
      <c r="F698" s="781" t="s">
        <v>6856</v>
      </c>
      <c r="G698" s="782"/>
      <c r="H698" s="820" t="s">
        <v>7501</v>
      </c>
      <c r="I698" s="820" t="s">
        <v>7500</v>
      </c>
      <c r="J698" s="820" t="s">
        <v>14556</v>
      </c>
      <c r="K698" s="779"/>
      <c r="L698" s="1195"/>
      <c r="M698" s="780"/>
      <c r="O698" s="783"/>
      <c r="P698" s="783"/>
    </row>
    <row r="699" spans="1:16">
      <c r="E699" s="784"/>
      <c r="F699" s="781" t="s">
        <v>6857</v>
      </c>
      <c r="G699" s="782"/>
      <c r="H699" s="817"/>
      <c r="I699" s="809"/>
      <c r="J699" s="809"/>
      <c r="K699" s="786"/>
      <c r="L699" s="1195"/>
      <c r="O699" s="658"/>
      <c r="P699" s="658"/>
    </row>
    <row r="700" spans="1:16" ht="15.75" thickBot="1">
      <c r="E700" s="784"/>
      <c r="F700" s="798" t="s">
        <v>6858</v>
      </c>
      <c r="G700" s="799"/>
      <c r="H700" s="800" t="s">
        <v>14557</v>
      </c>
      <c r="I700" s="800" t="s">
        <v>14558</v>
      </c>
      <c r="J700" s="802" t="s">
        <v>14559</v>
      </c>
      <c r="K700" s="802"/>
      <c r="L700" s="1195"/>
      <c r="O700" s="658"/>
      <c r="P700" s="658"/>
    </row>
    <row r="701" spans="1:16" ht="15.75" thickBot="1">
      <c r="C701" s="792" t="s">
        <v>904</v>
      </c>
      <c r="D701" s="1196" t="s">
        <v>6859</v>
      </c>
      <c r="E701" s="1197"/>
      <c r="F701" s="1198"/>
      <c r="G701" s="793" t="s">
        <v>6860</v>
      </c>
      <c r="H701" s="792" t="s">
        <v>6861</v>
      </c>
      <c r="I701" s="792" t="s">
        <v>6861</v>
      </c>
      <c r="J701" s="792" t="s">
        <v>6861</v>
      </c>
      <c r="K701" s="792"/>
      <c r="L701" s="794"/>
      <c r="O701" s="659"/>
      <c r="P701" s="659"/>
    </row>
    <row r="702" spans="1:16" s="795" customFormat="1" ht="15.75" customHeight="1" thickBot="1">
      <c r="A702" s="769"/>
      <c r="B702" s="770">
        <f>SUMIF(CPU!$E$11:$E$1943,COTAÇÕES!$C702,CPU!$B$11:$B$1943)</f>
        <v>1</v>
      </c>
      <c r="C702" s="768" t="s">
        <v>14554</v>
      </c>
      <c r="D702" s="1191" t="s">
        <v>14555</v>
      </c>
      <c r="E702" s="1192"/>
      <c r="F702" s="1193"/>
      <c r="G702" s="656" t="s">
        <v>6860</v>
      </c>
      <c r="H702" s="657">
        <v>465.41</v>
      </c>
      <c r="I702" s="657">
        <v>493.74</v>
      </c>
      <c r="J702" s="657">
        <v>465.9</v>
      </c>
      <c r="K702" s="657"/>
      <c r="L702" s="801">
        <f t="shared" ref="L702" si="78">IF(H702&lt;&gt;"",AVERAGE(H702:K702)," ")</f>
        <v>475.01666666666671</v>
      </c>
      <c r="O702" s="796"/>
      <c r="P702" s="797"/>
    </row>
    <row r="703" spans="1:16" ht="15.75" thickBot="1">
      <c r="L703" s="769"/>
      <c r="O703" s="773"/>
    </row>
    <row r="704" spans="1:16" ht="15.75" thickBot="1">
      <c r="H704" s="774" t="s">
        <v>6851</v>
      </c>
      <c r="I704" s="775" t="s">
        <v>6852</v>
      </c>
      <c r="J704" s="775" t="s">
        <v>6853</v>
      </c>
      <c r="K704" s="775"/>
      <c r="L704" s="1194" t="s">
        <v>6854</v>
      </c>
      <c r="O704" s="773"/>
    </row>
    <row r="705" spans="1:16">
      <c r="F705" s="776" t="s">
        <v>6855</v>
      </c>
      <c r="G705" s="777"/>
      <c r="H705" s="778" t="s">
        <v>8383</v>
      </c>
      <c r="I705" s="778" t="s">
        <v>8383</v>
      </c>
      <c r="J705" s="778" t="s">
        <v>8383</v>
      </c>
      <c r="K705" s="778"/>
      <c r="L705" s="1195"/>
      <c r="M705" s="780"/>
      <c r="O705" s="773"/>
    </row>
    <row r="706" spans="1:16">
      <c r="F706" s="781" t="s">
        <v>6856</v>
      </c>
      <c r="G706" s="782"/>
      <c r="H706" s="820" t="s">
        <v>7502</v>
      </c>
      <c r="I706" s="820" t="s">
        <v>6969</v>
      </c>
      <c r="J706" s="820" t="s">
        <v>7501</v>
      </c>
      <c r="K706" s="820"/>
      <c r="L706" s="1195"/>
      <c r="M706" s="780"/>
      <c r="O706" s="783"/>
      <c r="P706" s="783"/>
    </row>
    <row r="707" spans="1:16">
      <c r="E707" s="784"/>
      <c r="F707" s="781" t="s">
        <v>6857</v>
      </c>
      <c r="G707" s="782"/>
      <c r="H707" s="817"/>
      <c r="I707" s="809"/>
      <c r="J707" s="809"/>
      <c r="K707" s="809"/>
      <c r="L707" s="1195"/>
      <c r="O707" s="658"/>
      <c r="P707" s="658"/>
    </row>
    <row r="708" spans="1:16" ht="15.75" thickBot="1">
      <c r="E708" s="784"/>
      <c r="F708" s="798" t="s">
        <v>6858</v>
      </c>
      <c r="G708" s="799"/>
      <c r="H708" s="800" t="s">
        <v>14563</v>
      </c>
      <c r="I708" s="800" t="s">
        <v>14564</v>
      </c>
      <c r="J708" s="802" t="s">
        <v>14565</v>
      </c>
      <c r="K708" s="802"/>
      <c r="L708" s="1195"/>
      <c r="O708" s="658"/>
      <c r="P708" s="658"/>
    </row>
    <row r="709" spans="1:16" ht="15.75" thickBot="1">
      <c r="C709" s="792" t="s">
        <v>904</v>
      </c>
      <c r="D709" s="1196" t="s">
        <v>6859</v>
      </c>
      <c r="E709" s="1197"/>
      <c r="F709" s="1198"/>
      <c r="G709" s="793" t="s">
        <v>6860</v>
      </c>
      <c r="H709" s="792" t="s">
        <v>6861</v>
      </c>
      <c r="I709" s="792" t="s">
        <v>6861</v>
      </c>
      <c r="J709" s="792" t="s">
        <v>6861</v>
      </c>
      <c r="K709" s="792"/>
      <c r="L709" s="794"/>
      <c r="O709" s="659"/>
      <c r="P709" s="659"/>
    </row>
    <row r="710" spans="1:16" s="795" customFormat="1" ht="15.75" customHeight="1" thickBot="1">
      <c r="A710" s="769"/>
      <c r="B710" s="770">
        <f>SUMIF(CPU!$E$11:$E$1943,COTAÇÕES!$C710,CPU!$B$11:$B$1943)</f>
        <v>21</v>
      </c>
      <c r="C710" s="768" t="s">
        <v>14566</v>
      </c>
      <c r="D710" s="1203" t="s">
        <v>14562</v>
      </c>
      <c r="E710" s="1204"/>
      <c r="F710" s="1205"/>
      <c r="G710" s="656" t="s">
        <v>6860</v>
      </c>
      <c r="H710" s="657">
        <v>133.30000000000001</v>
      </c>
      <c r="I710" s="657">
        <v>137.9</v>
      </c>
      <c r="J710" s="657">
        <v>134.9</v>
      </c>
      <c r="K710" s="657"/>
      <c r="L710" s="801">
        <f t="shared" ref="L710" si="79">IF(H710&lt;&gt;"",AVERAGE(H710:K710)," ")</f>
        <v>135.36666666666667</v>
      </c>
      <c r="O710" s="796"/>
      <c r="P710" s="797"/>
    </row>
    <row r="711" spans="1:16" ht="15.75" thickBot="1">
      <c r="L711" s="769"/>
      <c r="O711" s="773"/>
    </row>
    <row r="712" spans="1:16" ht="15.75" thickBot="1">
      <c r="H712" s="774" t="s">
        <v>6851</v>
      </c>
      <c r="I712" s="775" t="s">
        <v>6852</v>
      </c>
      <c r="J712" s="775" t="s">
        <v>6853</v>
      </c>
      <c r="K712" s="775"/>
      <c r="L712" s="1194" t="s">
        <v>6854</v>
      </c>
      <c r="O712" s="773"/>
    </row>
    <row r="713" spans="1:16">
      <c r="F713" s="776" t="s">
        <v>6855</v>
      </c>
      <c r="G713" s="777"/>
      <c r="H713" s="765" t="s">
        <v>8383</v>
      </c>
      <c r="I713" s="765" t="s">
        <v>8383</v>
      </c>
      <c r="J713" s="765" t="s">
        <v>8383</v>
      </c>
      <c r="K713" s="778"/>
      <c r="L713" s="1195"/>
      <c r="M713" s="780"/>
      <c r="O713" s="773"/>
    </row>
    <row r="714" spans="1:16">
      <c r="F714" s="781" t="s">
        <v>6856</v>
      </c>
      <c r="G714" s="782"/>
      <c r="H714" s="779" t="s">
        <v>7493</v>
      </c>
      <c r="I714" s="779" t="s">
        <v>9165</v>
      </c>
      <c r="J714" s="779" t="s">
        <v>9163</v>
      </c>
      <c r="K714" s="779"/>
      <c r="L714" s="1195"/>
      <c r="M714" s="780"/>
      <c r="O714" s="783"/>
      <c r="P714" s="783"/>
    </row>
    <row r="715" spans="1:16">
      <c r="E715" s="784"/>
      <c r="F715" s="781" t="s">
        <v>6857</v>
      </c>
      <c r="G715" s="782"/>
      <c r="H715" s="785"/>
      <c r="I715" s="786"/>
      <c r="J715" s="786"/>
      <c r="K715" s="786"/>
      <c r="L715" s="1195"/>
      <c r="O715" s="658"/>
      <c r="P715" s="658"/>
    </row>
    <row r="716" spans="1:16" ht="15.75" thickBot="1">
      <c r="E716" s="784"/>
      <c r="F716" s="798" t="s">
        <v>6858</v>
      </c>
      <c r="G716" s="799"/>
      <c r="H716" s="790" t="s">
        <v>14571</v>
      </c>
      <c r="I716" s="790" t="s">
        <v>14572</v>
      </c>
      <c r="J716" s="810" t="s">
        <v>14573</v>
      </c>
      <c r="K716" s="802"/>
      <c r="L716" s="1195"/>
      <c r="O716" s="658"/>
      <c r="P716" s="658"/>
    </row>
    <row r="717" spans="1:16" ht="15.75" thickBot="1">
      <c r="C717" s="792" t="s">
        <v>904</v>
      </c>
      <c r="D717" s="1196" t="s">
        <v>6859</v>
      </c>
      <c r="E717" s="1197"/>
      <c r="F717" s="1198"/>
      <c r="G717" s="793" t="s">
        <v>6860</v>
      </c>
      <c r="H717" s="792" t="s">
        <v>6861</v>
      </c>
      <c r="I717" s="792" t="s">
        <v>6861</v>
      </c>
      <c r="J717" s="792" t="s">
        <v>6861</v>
      </c>
      <c r="K717" s="792"/>
      <c r="L717" s="794"/>
      <c r="O717" s="659"/>
      <c r="P717" s="659"/>
    </row>
    <row r="718" spans="1:16" s="795" customFormat="1" ht="15.75" customHeight="1" thickBot="1">
      <c r="A718" s="769"/>
      <c r="B718" s="770">
        <f>SUMIF(CPU!$E$11:$E$1943,COTAÇÕES!$C718,CPU!$B$11:$B$1943)</f>
        <v>20</v>
      </c>
      <c r="C718" s="768" t="s">
        <v>14569</v>
      </c>
      <c r="D718" s="1203" t="s">
        <v>14570</v>
      </c>
      <c r="E718" s="1204"/>
      <c r="F718" s="1205"/>
      <c r="G718" s="656" t="s">
        <v>648</v>
      </c>
      <c r="H718" s="657">
        <f>37.5/10</f>
        <v>3.75</v>
      </c>
      <c r="I718" s="657">
        <v>3.19</v>
      </c>
      <c r="J718" s="657">
        <v>2.96</v>
      </c>
      <c r="K718" s="657"/>
      <c r="L718" s="801">
        <f t="shared" ref="L718" si="80">IF(H718&lt;&gt;"",AVERAGE(H718:K718)," ")</f>
        <v>3.2999999999999994</v>
      </c>
      <c r="O718" s="796"/>
      <c r="P718" s="797"/>
    </row>
    <row r="719" spans="1:16" ht="15.75" thickBot="1">
      <c r="I719" s="814"/>
      <c r="J719" s="814"/>
      <c r="K719" s="770"/>
      <c r="L719" s="769"/>
      <c r="O719" s="773"/>
    </row>
    <row r="720" spans="1:16" ht="15.75" thickBot="1">
      <c r="H720" s="774" t="s">
        <v>6851</v>
      </c>
      <c r="I720" s="775" t="s">
        <v>6852</v>
      </c>
      <c r="J720" s="775" t="s">
        <v>6853</v>
      </c>
      <c r="K720" s="775"/>
      <c r="L720" s="1194" t="s">
        <v>6854</v>
      </c>
      <c r="O720" s="773"/>
    </row>
    <row r="721" spans="1:16">
      <c r="F721" s="776" t="s">
        <v>6855</v>
      </c>
      <c r="G721" s="777"/>
      <c r="H721" s="765" t="s">
        <v>8383</v>
      </c>
      <c r="I721" s="765" t="s">
        <v>8383</v>
      </c>
      <c r="J721" s="765" t="s">
        <v>8383</v>
      </c>
      <c r="K721" s="765"/>
      <c r="L721" s="1195"/>
      <c r="M721" s="780"/>
      <c r="O721" s="773"/>
    </row>
    <row r="722" spans="1:16">
      <c r="F722" s="781" t="s">
        <v>6856</v>
      </c>
      <c r="G722" s="782"/>
      <c r="H722" s="779" t="s">
        <v>8815</v>
      </c>
      <c r="I722" s="779" t="s">
        <v>7521</v>
      </c>
      <c r="J722" s="779" t="s">
        <v>8823</v>
      </c>
      <c r="K722" s="779"/>
      <c r="L722" s="1195"/>
      <c r="M722" s="780"/>
      <c r="O722" s="783"/>
      <c r="P722" s="783"/>
    </row>
    <row r="723" spans="1:16">
      <c r="E723" s="784"/>
      <c r="F723" s="781" t="s">
        <v>6857</v>
      </c>
      <c r="G723" s="782"/>
      <c r="H723" s="785"/>
      <c r="I723" s="786"/>
      <c r="J723" s="786"/>
      <c r="K723" s="786"/>
      <c r="L723" s="1195"/>
      <c r="O723" s="658"/>
      <c r="P723" s="658"/>
    </row>
    <row r="724" spans="1:16" ht="15.75" thickBot="1">
      <c r="E724" s="784"/>
      <c r="F724" s="798" t="s">
        <v>6858</v>
      </c>
      <c r="G724" s="799"/>
      <c r="H724" s="790" t="s">
        <v>8817</v>
      </c>
      <c r="I724" s="790" t="s">
        <v>8822</v>
      </c>
      <c r="J724" s="810" t="s">
        <v>8826</v>
      </c>
      <c r="K724" s="810"/>
      <c r="L724" s="1195"/>
      <c r="O724" s="658"/>
      <c r="P724" s="658"/>
    </row>
    <row r="725" spans="1:16" ht="15.75" thickBot="1">
      <c r="C725" s="792" t="s">
        <v>904</v>
      </c>
      <c r="D725" s="1196" t="s">
        <v>6859</v>
      </c>
      <c r="E725" s="1197"/>
      <c r="F725" s="1198"/>
      <c r="G725" s="793" t="s">
        <v>6860</v>
      </c>
      <c r="H725" s="792" t="s">
        <v>6861</v>
      </c>
      <c r="I725" s="792" t="s">
        <v>6861</v>
      </c>
      <c r="J725" s="792" t="s">
        <v>6861</v>
      </c>
      <c r="K725" s="792"/>
      <c r="L725" s="794"/>
      <c r="O725" s="659"/>
      <c r="P725" s="659"/>
    </row>
    <row r="726" spans="1:16" s="795" customFormat="1" ht="15.75" thickBot="1">
      <c r="A726" s="769"/>
      <c r="B726" s="770">
        <f>SUMIF(CPU!$E$11:$E$1943,COTAÇÕES!$C726,CPU!$B$11:$B$1943)</f>
        <v>1</v>
      </c>
      <c r="C726" s="850" t="s">
        <v>9106</v>
      </c>
      <c r="D726" s="1191" t="s">
        <v>8816</v>
      </c>
      <c r="E726" s="1192"/>
      <c r="F726" s="1193"/>
      <c r="G726" s="656" t="s">
        <v>6860</v>
      </c>
      <c r="H726" s="672">
        <v>44</v>
      </c>
      <c r="I726" s="672">
        <v>66</v>
      </c>
      <c r="J726" s="672">
        <v>45</v>
      </c>
      <c r="K726" s="672"/>
      <c r="L726" s="801">
        <f t="shared" ref="L726" si="81">IF(H726&lt;&gt;"",AVERAGE(H726:K726)," ")</f>
        <v>51.666666666666664</v>
      </c>
      <c r="M726" s="770"/>
      <c r="O726" s="796"/>
      <c r="P726" s="797"/>
    </row>
    <row r="727" spans="1:16" ht="15.75" thickBot="1">
      <c r="I727" s="770"/>
      <c r="K727" s="770"/>
      <c r="L727" s="769"/>
      <c r="O727" s="773"/>
    </row>
    <row r="728" spans="1:16" ht="15.75" thickBot="1">
      <c r="H728" s="774" t="s">
        <v>6851</v>
      </c>
      <c r="I728" s="775" t="s">
        <v>6852</v>
      </c>
      <c r="J728" s="775" t="s">
        <v>6853</v>
      </c>
      <c r="K728" s="775"/>
      <c r="L728" s="1194" t="s">
        <v>6854</v>
      </c>
      <c r="O728" s="773"/>
    </row>
    <row r="729" spans="1:16">
      <c r="F729" s="776" t="s">
        <v>6855</v>
      </c>
      <c r="G729" s="777"/>
      <c r="H729" s="765" t="s">
        <v>8383</v>
      </c>
      <c r="I729" s="765" t="s">
        <v>8383</v>
      </c>
      <c r="J729" s="765" t="s">
        <v>8383</v>
      </c>
      <c r="K729" s="765"/>
      <c r="L729" s="1195"/>
      <c r="M729" s="780"/>
      <c r="O729" s="773"/>
    </row>
    <row r="730" spans="1:16">
      <c r="F730" s="781" t="s">
        <v>6856</v>
      </c>
      <c r="G730" s="782"/>
      <c r="H730" s="779" t="s">
        <v>8815</v>
      </c>
      <c r="I730" s="779" t="s">
        <v>7521</v>
      </c>
      <c r="J730" s="779" t="s">
        <v>8823</v>
      </c>
      <c r="K730" s="779"/>
      <c r="L730" s="1195"/>
      <c r="M730" s="780"/>
      <c r="O730" s="783"/>
      <c r="P730" s="783"/>
    </row>
    <row r="731" spans="1:16">
      <c r="E731" s="784"/>
      <c r="F731" s="781" t="s">
        <v>6857</v>
      </c>
      <c r="G731" s="782"/>
      <c r="H731" s="785"/>
      <c r="I731" s="786"/>
      <c r="J731" s="786"/>
      <c r="K731" s="786"/>
      <c r="L731" s="1195"/>
      <c r="O731" s="658"/>
      <c r="P731" s="658"/>
    </row>
    <row r="732" spans="1:16" ht="15.75" thickBot="1">
      <c r="E732" s="784"/>
      <c r="F732" s="798" t="s">
        <v>6858</v>
      </c>
      <c r="G732" s="799"/>
      <c r="H732" s="790" t="s">
        <v>8821</v>
      </c>
      <c r="I732" s="790" t="s">
        <v>8822</v>
      </c>
      <c r="J732" s="810" t="s">
        <v>8825</v>
      </c>
      <c r="K732" s="810"/>
      <c r="L732" s="1195"/>
      <c r="O732" s="658"/>
      <c r="P732" s="658"/>
    </row>
    <row r="733" spans="1:16" ht="15.75" thickBot="1">
      <c r="C733" s="792" t="s">
        <v>904</v>
      </c>
      <c r="D733" s="1196" t="s">
        <v>6859</v>
      </c>
      <c r="E733" s="1197"/>
      <c r="F733" s="1198"/>
      <c r="G733" s="793" t="s">
        <v>6860</v>
      </c>
      <c r="H733" s="792" t="s">
        <v>6861</v>
      </c>
      <c r="I733" s="792" t="s">
        <v>6861</v>
      </c>
      <c r="J733" s="792" t="s">
        <v>6861</v>
      </c>
      <c r="K733" s="792"/>
      <c r="L733" s="794"/>
      <c r="O733" s="659"/>
      <c r="P733" s="659"/>
    </row>
    <row r="734" spans="1:16" s="795" customFormat="1" ht="15.75" thickBot="1">
      <c r="A734" s="769"/>
      <c r="B734" s="770">
        <f>SUMIF(CPU!$E$11:$E$1943,COTAÇÕES!$C734,CPU!$B$11:$B$1943)</f>
        <v>2</v>
      </c>
      <c r="C734" s="850" t="s">
        <v>9107</v>
      </c>
      <c r="D734" s="1191" t="s">
        <v>8818</v>
      </c>
      <c r="E734" s="1192"/>
      <c r="F734" s="1193"/>
      <c r="G734" s="656" t="s">
        <v>6860</v>
      </c>
      <c r="H734" s="672">
        <v>24</v>
      </c>
      <c r="I734" s="672">
        <v>33</v>
      </c>
      <c r="J734" s="672">
        <v>22</v>
      </c>
      <c r="K734" s="672"/>
      <c r="L734" s="801">
        <f t="shared" ref="L734" si="82">IF(H734&lt;&gt;"",AVERAGE(H734:K734)," ")</f>
        <v>26.333333333333332</v>
      </c>
      <c r="M734" s="770"/>
      <c r="O734" s="796"/>
      <c r="P734" s="797"/>
    </row>
    <row r="735" spans="1:16" ht="15.75" thickBot="1">
      <c r="I735" s="770"/>
      <c r="K735" s="770"/>
      <c r="L735" s="769"/>
      <c r="O735" s="773"/>
    </row>
    <row r="736" spans="1:16" ht="15.75" thickBot="1">
      <c r="H736" s="774" t="s">
        <v>6851</v>
      </c>
      <c r="I736" s="775" t="s">
        <v>6852</v>
      </c>
      <c r="J736" s="775" t="s">
        <v>6853</v>
      </c>
      <c r="K736" s="775"/>
      <c r="L736" s="1194" t="s">
        <v>6854</v>
      </c>
      <c r="O736" s="773"/>
    </row>
    <row r="737" spans="1:20">
      <c r="F737" s="776" t="s">
        <v>6855</v>
      </c>
      <c r="G737" s="777"/>
      <c r="H737" s="765" t="s">
        <v>8383</v>
      </c>
      <c r="I737" s="765" t="s">
        <v>8383</v>
      </c>
      <c r="J737" s="765" t="s">
        <v>8383</v>
      </c>
      <c r="K737" s="765"/>
      <c r="L737" s="1195"/>
      <c r="M737" s="780"/>
      <c r="O737" s="773"/>
    </row>
    <row r="738" spans="1:20">
      <c r="F738" s="781" t="s">
        <v>6856</v>
      </c>
      <c r="G738" s="782"/>
      <c r="H738" s="779" t="s">
        <v>8815</v>
      </c>
      <c r="I738" s="779" t="s">
        <v>7521</v>
      </c>
      <c r="J738" s="779" t="s">
        <v>8823</v>
      </c>
      <c r="K738" s="779"/>
      <c r="L738" s="1195"/>
      <c r="M738" s="780"/>
      <c r="O738" s="783"/>
      <c r="P738" s="783"/>
    </row>
    <row r="739" spans="1:20">
      <c r="E739" s="784"/>
      <c r="F739" s="781" t="s">
        <v>6857</v>
      </c>
      <c r="G739" s="782"/>
      <c r="H739" s="785"/>
      <c r="I739" s="786"/>
      <c r="J739" s="786"/>
      <c r="K739" s="786"/>
      <c r="L739" s="1195"/>
      <c r="O739" s="658"/>
      <c r="P739" s="658"/>
    </row>
    <row r="740" spans="1:20" ht="15.75" thickBot="1">
      <c r="E740" s="784"/>
      <c r="F740" s="798" t="s">
        <v>6858</v>
      </c>
      <c r="G740" s="799"/>
      <c r="H740" s="790" t="s">
        <v>8820</v>
      </c>
      <c r="I740" s="790" t="s">
        <v>8822</v>
      </c>
      <c r="J740" s="810" t="s">
        <v>8824</v>
      </c>
      <c r="K740" s="810"/>
      <c r="L740" s="1195"/>
      <c r="O740" s="658"/>
      <c r="P740" s="658"/>
    </row>
    <row r="741" spans="1:20" ht="15.75" thickBot="1">
      <c r="C741" s="792" t="s">
        <v>904</v>
      </c>
      <c r="D741" s="1196" t="s">
        <v>6859</v>
      </c>
      <c r="E741" s="1197"/>
      <c r="F741" s="1198"/>
      <c r="G741" s="793" t="s">
        <v>6860</v>
      </c>
      <c r="H741" s="792" t="s">
        <v>6861</v>
      </c>
      <c r="I741" s="792" t="s">
        <v>6861</v>
      </c>
      <c r="J741" s="792" t="s">
        <v>6861</v>
      </c>
      <c r="K741" s="792"/>
      <c r="L741" s="794"/>
      <c r="O741" s="659"/>
      <c r="P741" s="659"/>
    </row>
    <row r="742" spans="1:20" s="795" customFormat="1" ht="15.75" thickBot="1">
      <c r="A742" s="769"/>
      <c r="B742" s="770">
        <f>SUMIF(CPU!$E$11:$E$1943,COTAÇÕES!$C742,CPU!$B$11:$B$1943)</f>
        <v>2</v>
      </c>
      <c r="C742" s="850" t="s">
        <v>9108</v>
      </c>
      <c r="D742" s="1191" t="s">
        <v>8819</v>
      </c>
      <c r="E742" s="1192"/>
      <c r="F742" s="1193"/>
      <c r="G742" s="656" t="s">
        <v>6860</v>
      </c>
      <c r="H742" s="672">
        <v>37.5</v>
      </c>
      <c r="I742" s="672">
        <v>55</v>
      </c>
      <c r="J742" s="672">
        <v>35</v>
      </c>
      <c r="K742" s="672"/>
      <c r="L742" s="801">
        <f t="shared" ref="L742" si="83">IF(H742&lt;&gt;"",AVERAGE(H742:K742)," ")</f>
        <v>42.5</v>
      </c>
      <c r="M742" s="770"/>
      <c r="O742" s="796"/>
      <c r="P742" s="797"/>
    </row>
    <row r="743" spans="1:20" ht="15.75" thickBot="1">
      <c r="J743" s="814"/>
    </row>
    <row r="744" spans="1:20" ht="15.75" thickBot="1">
      <c r="H744" s="774" t="s">
        <v>6851</v>
      </c>
      <c r="I744" s="775" t="s">
        <v>6852</v>
      </c>
      <c r="J744" s="775" t="s">
        <v>6853</v>
      </c>
      <c r="K744" s="775"/>
      <c r="L744" s="1194" t="s">
        <v>6854</v>
      </c>
      <c r="M744" s="773"/>
      <c r="N744" s="773"/>
      <c r="O744" s="773"/>
      <c r="P744" s="808"/>
      <c r="R744" s="804"/>
      <c r="S744" s="804"/>
      <c r="T744" s="804"/>
    </row>
    <row r="745" spans="1:20">
      <c r="F745" s="776" t="s">
        <v>6855</v>
      </c>
      <c r="G745" s="777"/>
      <c r="H745" s="778" t="s">
        <v>7579</v>
      </c>
      <c r="I745" s="778" t="s">
        <v>7579</v>
      </c>
      <c r="J745" s="778" t="s">
        <v>7579</v>
      </c>
      <c r="K745" s="778"/>
      <c r="L745" s="1195"/>
      <c r="M745" s="783"/>
      <c r="N745" s="778" t="s">
        <v>7579</v>
      </c>
      <c r="O745" s="773"/>
      <c r="P745" s="963"/>
      <c r="R745" s="804"/>
      <c r="S745" s="805"/>
      <c r="T745" s="805"/>
    </row>
    <row r="746" spans="1:20">
      <c r="F746" s="781" t="s">
        <v>6856</v>
      </c>
      <c r="G746" s="782"/>
      <c r="H746" s="779" t="s">
        <v>6892</v>
      </c>
      <c r="I746" s="779" t="s">
        <v>6893</v>
      </c>
      <c r="J746" s="779" t="s">
        <v>6895</v>
      </c>
      <c r="K746" s="779"/>
      <c r="L746" s="1195"/>
      <c r="M746" s="783"/>
      <c r="N746" s="779" t="s">
        <v>6899</v>
      </c>
      <c r="O746" s="964"/>
      <c r="P746" s="965"/>
      <c r="R746" s="804"/>
      <c r="S746" s="805"/>
      <c r="T746" s="805"/>
    </row>
    <row r="747" spans="1:20">
      <c r="E747" s="784"/>
      <c r="F747" s="781" t="s">
        <v>6857</v>
      </c>
      <c r="G747" s="782"/>
      <c r="H747" s="786" t="s">
        <v>6905</v>
      </c>
      <c r="I747" s="786" t="s">
        <v>6894</v>
      </c>
      <c r="J747" s="786" t="s">
        <v>6896</v>
      </c>
      <c r="K747" s="786"/>
      <c r="L747" s="1195"/>
      <c r="M747" s="783"/>
      <c r="N747" s="786"/>
      <c r="O747" s="964"/>
      <c r="P747" s="966"/>
      <c r="R747" s="804"/>
      <c r="S747" s="806"/>
      <c r="T747" s="806"/>
    </row>
    <row r="748" spans="1:20" ht="15.75" thickBot="1">
      <c r="E748" s="784"/>
      <c r="F748" s="798" t="s">
        <v>6858</v>
      </c>
      <c r="G748" s="799"/>
      <c r="H748" s="807" t="s">
        <v>6904</v>
      </c>
      <c r="I748" s="802" t="s">
        <v>6898</v>
      </c>
      <c r="J748" s="802" t="s">
        <v>6897</v>
      </c>
      <c r="K748" s="802"/>
      <c r="L748" s="1195"/>
      <c r="M748" s="783"/>
      <c r="N748" s="802" t="s">
        <v>6900</v>
      </c>
      <c r="O748" s="773"/>
      <c r="P748" s="818"/>
      <c r="R748" s="804"/>
      <c r="S748" s="806"/>
      <c r="T748" s="818"/>
    </row>
    <row r="749" spans="1:20" ht="15.75" thickBot="1">
      <c r="C749" s="792" t="s">
        <v>904</v>
      </c>
      <c r="D749" s="1196" t="s">
        <v>6859</v>
      </c>
      <c r="E749" s="1197"/>
      <c r="F749" s="1198"/>
      <c r="G749" s="793" t="s">
        <v>6860</v>
      </c>
      <c r="H749" s="792" t="s">
        <v>6861</v>
      </c>
      <c r="I749" s="792" t="s">
        <v>6861</v>
      </c>
      <c r="J749" s="792" t="s">
        <v>6861</v>
      </c>
      <c r="K749" s="792"/>
      <c r="L749" s="794"/>
      <c r="M749" s="773"/>
      <c r="N749" s="773"/>
      <c r="O749" s="659"/>
      <c r="P749" s="957"/>
      <c r="R749" s="804"/>
      <c r="S749" s="808"/>
      <c r="T749" s="804"/>
    </row>
    <row r="750" spans="1:20" s="795" customFormat="1" ht="42.75" customHeight="1" thickBot="1">
      <c r="A750" s="769"/>
      <c r="B750" s="770">
        <f>SUMIF(CPU!$E$11:$E$1943,COTAÇÕES!$C750,CPU!$B$11:$B$1943)</f>
        <v>30</v>
      </c>
      <c r="C750" s="850" t="s">
        <v>9109</v>
      </c>
      <c r="D750" s="1206" t="s">
        <v>8689</v>
      </c>
      <c r="E750" s="1206"/>
      <c r="F750" s="1206"/>
      <c r="G750" s="656" t="s">
        <v>646</v>
      </c>
      <c r="H750" s="672">
        <f>2000/40</f>
        <v>50</v>
      </c>
      <c r="I750" s="672">
        <f>3101.54/40</f>
        <v>77.538499999999999</v>
      </c>
      <c r="J750" s="657">
        <v>42</v>
      </c>
      <c r="K750" s="657"/>
      <c r="L750" s="801">
        <f t="shared" ref="L750" si="84">IF(H750&lt;&gt;"",AVERAGE(H750:K750)," ")</f>
        <v>56.512833333333333</v>
      </c>
      <c r="M750" s="675"/>
      <c r="N750" s="960"/>
      <c r="O750" s="797"/>
      <c r="P750" s="958"/>
      <c r="R750" s="803"/>
      <c r="S750" s="803"/>
      <c r="T750" s="819"/>
    </row>
    <row r="751" spans="1:20" ht="15.75" thickBot="1">
      <c r="L751" s="769"/>
      <c r="O751" s="773"/>
    </row>
    <row r="752" spans="1:20" ht="15.75" thickBot="1">
      <c r="H752" s="774" t="s">
        <v>6851</v>
      </c>
      <c r="I752" s="775" t="s">
        <v>6852</v>
      </c>
      <c r="J752" s="775" t="s">
        <v>6853</v>
      </c>
      <c r="K752" s="775"/>
      <c r="L752" s="1194" t="s">
        <v>6854</v>
      </c>
      <c r="O752" s="773"/>
    </row>
    <row r="753" spans="1:16">
      <c r="F753" s="776" t="s">
        <v>6855</v>
      </c>
      <c r="G753" s="777"/>
      <c r="H753" s="765" t="s">
        <v>7194</v>
      </c>
      <c r="I753" s="778" t="s">
        <v>7194</v>
      </c>
      <c r="J753" s="778" t="s">
        <v>7194</v>
      </c>
      <c r="K753" s="778"/>
      <c r="L753" s="1195"/>
      <c r="M753" s="780"/>
      <c r="O753" s="773"/>
    </row>
    <row r="754" spans="1:16">
      <c r="F754" s="781" t="s">
        <v>6856</v>
      </c>
      <c r="G754" s="782"/>
      <c r="H754" s="779" t="s">
        <v>6891</v>
      </c>
      <c r="I754" s="779" t="s">
        <v>7486</v>
      </c>
      <c r="J754" s="779" t="s">
        <v>7569</v>
      </c>
      <c r="K754" s="779"/>
      <c r="L754" s="1195"/>
      <c r="M754" s="780"/>
      <c r="O754" s="783"/>
      <c r="P754" s="783"/>
    </row>
    <row r="755" spans="1:16">
      <c r="E755" s="784"/>
      <c r="F755" s="781" t="s">
        <v>6857</v>
      </c>
      <c r="G755" s="782"/>
      <c r="H755" s="785"/>
      <c r="I755" s="786"/>
      <c r="J755" s="786"/>
      <c r="K755" s="786"/>
      <c r="L755" s="1195"/>
      <c r="O755" s="658"/>
      <c r="P755" s="658"/>
    </row>
    <row r="756" spans="1:16" ht="15.75" thickBot="1">
      <c r="E756" s="784"/>
      <c r="F756" s="798" t="s">
        <v>6858</v>
      </c>
      <c r="G756" s="799"/>
      <c r="H756" s="790" t="s">
        <v>7568</v>
      </c>
      <c r="I756" s="790" t="s">
        <v>7571</v>
      </c>
      <c r="J756" s="810" t="s">
        <v>7570</v>
      </c>
      <c r="K756" s="810"/>
      <c r="L756" s="1195"/>
      <c r="O756" s="658"/>
      <c r="P756" s="658"/>
    </row>
    <row r="757" spans="1:16" ht="15.75" thickBot="1">
      <c r="C757" s="792" t="s">
        <v>904</v>
      </c>
      <c r="D757" s="1196" t="s">
        <v>6859</v>
      </c>
      <c r="E757" s="1197"/>
      <c r="F757" s="1198"/>
      <c r="G757" s="793" t="s">
        <v>6860</v>
      </c>
      <c r="H757" s="792" t="s">
        <v>6861</v>
      </c>
      <c r="I757" s="792" t="s">
        <v>6861</v>
      </c>
      <c r="J757" s="792" t="s">
        <v>6861</v>
      </c>
      <c r="K757" s="792"/>
      <c r="L757" s="794"/>
      <c r="O757" s="659"/>
      <c r="P757" s="659"/>
    </row>
    <row r="758" spans="1:16" s="795" customFormat="1" ht="15.75" thickBot="1">
      <c r="A758" s="769"/>
      <c r="B758" s="770">
        <f>SUMIF(CPU!$E$11:$E$1943,COTAÇÕES!$C758,CPU!$B$11:$B$1943)</f>
        <v>70</v>
      </c>
      <c r="C758" s="850" t="s">
        <v>9110</v>
      </c>
      <c r="D758" s="1210" t="s">
        <v>7567</v>
      </c>
      <c r="E758" s="1210"/>
      <c r="F758" s="1210"/>
      <c r="G758" s="656" t="s">
        <v>646</v>
      </c>
      <c r="H758" s="672">
        <v>67.23</v>
      </c>
      <c r="I758" s="657">
        <v>60.28</v>
      </c>
      <c r="J758" s="657">
        <v>74.69</v>
      </c>
      <c r="K758" s="657"/>
      <c r="L758" s="801">
        <f t="shared" ref="L758" si="85">IF(H758&lt;&gt;"",AVERAGE(H758:K758)," ")</f>
        <v>67.399999999999991</v>
      </c>
      <c r="O758" s="796"/>
      <c r="P758" s="797"/>
    </row>
    <row r="759" spans="1:16" ht="15.75" thickBot="1">
      <c r="I759" s="770"/>
      <c r="L759" s="769"/>
      <c r="O759" s="773"/>
    </row>
    <row r="760" spans="1:16" ht="15.75" thickBot="1">
      <c r="H760" s="774" t="s">
        <v>6851</v>
      </c>
      <c r="I760" s="775" t="s">
        <v>6852</v>
      </c>
      <c r="J760" s="775" t="s">
        <v>6853</v>
      </c>
      <c r="K760" s="775"/>
      <c r="L760" s="1194" t="s">
        <v>6854</v>
      </c>
      <c r="O760" s="773"/>
    </row>
    <row r="761" spans="1:16">
      <c r="F761" s="776" t="s">
        <v>6855</v>
      </c>
      <c r="G761" s="777"/>
      <c r="H761" s="765" t="s">
        <v>7194</v>
      </c>
      <c r="I761" s="778" t="s">
        <v>7651</v>
      </c>
      <c r="J761" s="778" t="s">
        <v>7194</v>
      </c>
      <c r="K761" s="778"/>
      <c r="L761" s="1195"/>
      <c r="M761" s="780"/>
      <c r="O761" s="773"/>
    </row>
    <row r="762" spans="1:16">
      <c r="F762" s="781" t="s">
        <v>6856</v>
      </c>
      <c r="G762" s="782"/>
      <c r="H762" s="779" t="s">
        <v>7511</v>
      </c>
      <c r="I762" s="779" t="s">
        <v>7652</v>
      </c>
      <c r="J762" s="779" t="s">
        <v>7513</v>
      </c>
      <c r="K762" s="779"/>
      <c r="L762" s="1195"/>
      <c r="M762" s="780"/>
      <c r="O762" s="783"/>
      <c r="P762" s="783"/>
    </row>
    <row r="763" spans="1:16">
      <c r="E763" s="784"/>
      <c r="F763" s="781" t="s">
        <v>6857</v>
      </c>
      <c r="G763" s="782"/>
      <c r="H763" s="785"/>
      <c r="I763" s="786"/>
      <c r="J763" s="786"/>
      <c r="K763" s="786"/>
      <c r="L763" s="1195"/>
      <c r="O763" s="658"/>
      <c r="P763" s="658"/>
    </row>
    <row r="764" spans="1:16" ht="15.75" thickBot="1">
      <c r="E764" s="784"/>
      <c r="F764" s="798" t="s">
        <v>6858</v>
      </c>
      <c r="G764" s="799"/>
      <c r="H764" s="790" t="s">
        <v>7512</v>
      </c>
      <c r="I764" s="790" t="s">
        <v>7653</v>
      </c>
      <c r="J764" s="810" t="s">
        <v>7514</v>
      </c>
      <c r="K764" s="810"/>
      <c r="L764" s="1195"/>
      <c r="O764" s="658"/>
      <c r="P764" s="658"/>
    </row>
    <row r="765" spans="1:16" ht="15.75" thickBot="1">
      <c r="C765" s="792" t="s">
        <v>904</v>
      </c>
      <c r="D765" s="1196" t="s">
        <v>6859</v>
      </c>
      <c r="E765" s="1197"/>
      <c r="F765" s="1198"/>
      <c r="G765" s="793" t="s">
        <v>6860</v>
      </c>
      <c r="H765" s="792" t="s">
        <v>6861</v>
      </c>
      <c r="I765" s="792" t="s">
        <v>6861</v>
      </c>
      <c r="J765" s="792" t="s">
        <v>6861</v>
      </c>
      <c r="K765" s="792"/>
      <c r="L765" s="794"/>
      <c r="O765" s="659"/>
      <c r="P765" s="659"/>
    </row>
    <row r="766" spans="1:16" s="795" customFormat="1" ht="15.75" thickBot="1">
      <c r="A766" s="769"/>
      <c r="B766" s="770">
        <f>SUMIF(CPU!$E$11:$E$1943,COTAÇÕES!$C766,CPU!$B$11:$B$1943)</f>
        <v>40</v>
      </c>
      <c r="C766" s="850" t="s">
        <v>9111</v>
      </c>
      <c r="D766" s="1207" t="s">
        <v>7510</v>
      </c>
      <c r="E766" s="1208"/>
      <c r="F766" s="1209"/>
      <c r="G766" s="656" t="s">
        <v>646</v>
      </c>
      <c r="H766" s="657">
        <v>13.5</v>
      </c>
      <c r="I766" s="657">
        <v>10</v>
      </c>
      <c r="J766" s="657">
        <v>8.99</v>
      </c>
      <c r="K766" s="657"/>
      <c r="L766" s="801">
        <f t="shared" ref="L766" si="86">IF(H766&lt;&gt;"",AVERAGE(H766:K766)," ")</f>
        <v>10.83</v>
      </c>
      <c r="O766" s="796"/>
      <c r="P766" s="797"/>
    </row>
    <row r="767" spans="1:16">
      <c r="L767" s="769"/>
      <c r="O767" s="773"/>
    </row>
    <row r="768" spans="1:16" ht="15.75" thickBot="1">
      <c r="L768" s="769"/>
      <c r="O768" s="773"/>
    </row>
    <row r="769" spans="1:20" ht="15.75" thickBot="1">
      <c r="H769" s="774" t="s">
        <v>6851</v>
      </c>
      <c r="I769" s="775" t="s">
        <v>6852</v>
      </c>
      <c r="J769" s="775" t="s">
        <v>6853</v>
      </c>
      <c r="K769" s="775"/>
      <c r="L769" s="1194" t="s">
        <v>6854</v>
      </c>
      <c r="O769" s="773"/>
    </row>
    <row r="770" spans="1:20">
      <c r="F770" s="776" t="s">
        <v>6855</v>
      </c>
      <c r="G770" s="777"/>
      <c r="H770" s="765" t="s">
        <v>8383</v>
      </c>
      <c r="I770" s="778" t="s">
        <v>8383</v>
      </c>
      <c r="J770" s="778" t="s">
        <v>8383</v>
      </c>
      <c r="K770" s="778"/>
      <c r="L770" s="1195"/>
      <c r="M770" s="780"/>
      <c r="O770" s="773"/>
    </row>
    <row r="771" spans="1:20">
      <c r="F771" s="781" t="s">
        <v>6856</v>
      </c>
      <c r="G771" s="782"/>
      <c r="H771" s="779" t="s">
        <v>8427</v>
      </c>
      <c r="I771" s="779" t="s">
        <v>7521</v>
      </c>
      <c r="J771" s="779" t="s">
        <v>8430</v>
      </c>
      <c r="K771" s="779"/>
      <c r="L771" s="1195"/>
      <c r="M771" s="780"/>
      <c r="O771" s="783"/>
      <c r="P771" s="783"/>
    </row>
    <row r="772" spans="1:20">
      <c r="E772" s="784"/>
      <c r="F772" s="781" t="s">
        <v>6857</v>
      </c>
      <c r="G772" s="782"/>
      <c r="H772" s="785"/>
      <c r="I772" s="786"/>
      <c r="J772" s="786"/>
      <c r="K772" s="786"/>
      <c r="L772" s="1195"/>
      <c r="O772" s="658"/>
      <c r="P772" s="658"/>
    </row>
    <row r="773" spans="1:20" ht="15.75" thickBot="1">
      <c r="E773" s="784"/>
      <c r="F773" s="798" t="s">
        <v>6858</v>
      </c>
      <c r="G773" s="799"/>
      <c r="H773" s="790" t="s">
        <v>8428</v>
      </c>
      <c r="I773" s="790" t="s">
        <v>8429</v>
      </c>
      <c r="J773" s="810" t="s">
        <v>8431</v>
      </c>
      <c r="K773" s="810"/>
      <c r="L773" s="1195"/>
      <c r="O773" s="658"/>
      <c r="P773" s="658"/>
    </row>
    <row r="774" spans="1:20" ht="15.75" thickBot="1">
      <c r="C774" s="792" t="s">
        <v>904</v>
      </c>
      <c r="D774" s="1196" t="s">
        <v>6859</v>
      </c>
      <c r="E774" s="1197"/>
      <c r="F774" s="1198"/>
      <c r="G774" s="793" t="s">
        <v>6860</v>
      </c>
      <c r="H774" s="792" t="s">
        <v>6861</v>
      </c>
      <c r="I774" s="792" t="s">
        <v>6861</v>
      </c>
      <c r="J774" s="792" t="s">
        <v>6861</v>
      </c>
      <c r="K774" s="792"/>
      <c r="L774" s="794"/>
      <c r="O774" s="659"/>
      <c r="P774" s="659"/>
    </row>
    <row r="775" spans="1:20" s="795" customFormat="1" ht="42.75" customHeight="1" thickBot="1">
      <c r="A775" s="769"/>
      <c r="B775" s="770">
        <f>SUMIF(CPU!$E$11:$E$1943,COTAÇÕES!$C775,CPU!$B$11:$B$1943)</f>
        <v>1</v>
      </c>
      <c r="C775" s="850" t="s">
        <v>9112</v>
      </c>
      <c r="D775" s="1210" t="s">
        <v>6881</v>
      </c>
      <c r="E775" s="1210"/>
      <c r="F775" s="1210"/>
      <c r="G775" s="656" t="s">
        <v>646</v>
      </c>
      <c r="H775" s="672">
        <v>540</v>
      </c>
      <c r="I775" s="657">
        <v>600</v>
      </c>
      <c r="J775" s="657">
        <v>685</v>
      </c>
      <c r="K775" s="657"/>
      <c r="L775" s="801">
        <f t="shared" ref="L775" si="87">IF(H775&lt;&gt;"",AVERAGE(H775:K775)," ")</f>
        <v>608.33333333333337</v>
      </c>
      <c r="O775" s="796"/>
      <c r="P775" s="819"/>
      <c r="R775" s="803"/>
      <c r="S775" s="803"/>
      <c r="T775" s="819"/>
    </row>
    <row r="776" spans="1:20" ht="15.75" thickBot="1"/>
    <row r="777" spans="1:20" ht="15.75" thickBot="1">
      <c r="H777" s="774" t="s">
        <v>6851</v>
      </c>
      <c r="I777" s="775" t="s">
        <v>6852</v>
      </c>
      <c r="J777" s="775" t="s">
        <v>6853</v>
      </c>
      <c r="K777" s="775"/>
      <c r="L777" s="1194" t="s">
        <v>6854</v>
      </c>
      <c r="O777" s="773"/>
    </row>
    <row r="778" spans="1:20">
      <c r="F778" s="776" t="s">
        <v>6855</v>
      </c>
      <c r="G778" s="777"/>
      <c r="H778" s="765" t="s">
        <v>8383</v>
      </c>
      <c r="I778" s="765" t="s">
        <v>8383</v>
      </c>
      <c r="J778" s="765" t="s">
        <v>8383</v>
      </c>
      <c r="K778" s="765"/>
      <c r="L778" s="1195"/>
      <c r="M778" s="780"/>
      <c r="O778" s="773"/>
    </row>
    <row r="779" spans="1:20">
      <c r="F779" s="781" t="s">
        <v>6856</v>
      </c>
      <c r="G779" s="782"/>
      <c r="H779" s="779" t="s">
        <v>8741</v>
      </c>
      <c r="I779" s="779"/>
      <c r="J779" s="779"/>
      <c r="K779" s="779"/>
      <c r="L779" s="1195"/>
      <c r="M779" s="780"/>
      <c r="O779" s="783"/>
      <c r="P779" s="783"/>
    </row>
    <row r="780" spans="1:20">
      <c r="E780" s="784"/>
      <c r="F780" s="781" t="s">
        <v>6857</v>
      </c>
      <c r="G780" s="782"/>
      <c r="H780" s="785"/>
      <c r="I780" s="786"/>
      <c r="J780" s="786"/>
      <c r="K780" s="786"/>
      <c r="L780" s="1195"/>
      <c r="O780" s="658"/>
      <c r="P780" s="658"/>
    </row>
    <row r="781" spans="1:20" ht="15.75" thickBot="1">
      <c r="E781" s="784"/>
      <c r="F781" s="798" t="s">
        <v>6858</v>
      </c>
      <c r="G781" s="799"/>
      <c r="H781" s="785" t="s">
        <v>8742</v>
      </c>
      <c r="I781" s="790"/>
      <c r="J781" s="810"/>
      <c r="K781" s="810"/>
      <c r="L781" s="1195"/>
      <c r="O781" s="658"/>
      <c r="P781" s="658"/>
    </row>
    <row r="782" spans="1:20" ht="15.75" thickBot="1">
      <c r="C782" s="792" t="s">
        <v>904</v>
      </c>
      <c r="D782" s="1196" t="s">
        <v>6859</v>
      </c>
      <c r="E782" s="1197"/>
      <c r="F782" s="1198"/>
      <c r="G782" s="793" t="s">
        <v>6860</v>
      </c>
      <c r="H782" s="792" t="s">
        <v>6861</v>
      </c>
      <c r="I782" s="792" t="s">
        <v>6861</v>
      </c>
      <c r="J782" s="792" t="s">
        <v>6861</v>
      </c>
      <c r="K782" s="792"/>
      <c r="L782" s="794"/>
      <c r="O782" s="659"/>
      <c r="P782" s="659"/>
    </row>
    <row r="783" spans="1:20" s="795" customFormat="1" ht="29.25" customHeight="1" thickBot="1">
      <c r="A783" s="769"/>
      <c r="B783" s="770">
        <f>SUMIF(CPU!$E$11:$E$1943,COTAÇÕES!$C783,CPU!$B$11:$B$1943)</f>
        <v>0</v>
      </c>
      <c r="C783" s="850" t="s">
        <v>9113</v>
      </c>
      <c r="D783" s="1191" t="s">
        <v>8703</v>
      </c>
      <c r="E783" s="1192"/>
      <c r="F783" s="1193"/>
      <c r="G783" s="656" t="s">
        <v>6860</v>
      </c>
      <c r="H783" s="672">
        <v>3650</v>
      </c>
      <c r="I783" s="672"/>
      <c r="J783" s="672"/>
      <c r="K783" s="672"/>
      <c r="L783" s="801">
        <f t="shared" ref="L783:L797" si="88">IF(H783&lt;&gt;"",AVERAGE(H783:K783)," ")</f>
        <v>3650</v>
      </c>
      <c r="M783" s="770"/>
      <c r="O783" s="796"/>
      <c r="P783" s="797"/>
    </row>
    <row r="784" spans="1:20" s="795" customFormat="1" ht="29.25" customHeight="1" thickBot="1">
      <c r="A784" s="769"/>
      <c r="B784" s="770">
        <f>SUMIF(CPU!$E$11:$E$1943,COTAÇÕES!$C784,CPU!$B$11:$B$1943)</f>
        <v>0</v>
      </c>
      <c r="C784" s="850" t="s">
        <v>9114</v>
      </c>
      <c r="D784" s="1191" t="s">
        <v>8704</v>
      </c>
      <c r="E784" s="1192"/>
      <c r="F784" s="1193"/>
      <c r="G784" s="656" t="s">
        <v>6860</v>
      </c>
      <c r="H784" s="672">
        <v>2005</v>
      </c>
      <c r="I784" s="672"/>
      <c r="J784" s="672"/>
      <c r="K784" s="672"/>
      <c r="L784" s="801">
        <f t="shared" si="88"/>
        <v>2005</v>
      </c>
      <c r="M784" s="770"/>
      <c r="O784" s="796"/>
      <c r="P784" s="797"/>
    </row>
    <row r="785" spans="1:16" s="795" customFormat="1" ht="29.25" customHeight="1" thickBot="1">
      <c r="A785" s="769"/>
      <c r="B785" s="770">
        <f>SUMIF(CPU!$E$11:$E$1943,COTAÇÕES!$C785,CPU!$B$11:$B$1943)</f>
        <v>0</v>
      </c>
      <c r="C785" s="850" t="s">
        <v>9115</v>
      </c>
      <c r="D785" s="1191" t="s">
        <v>8705</v>
      </c>
      <c r="E785" s="1192"/>
      <c r="F785" s="1193"/>
      <c r="G785" s="656" t="s">
        <v>6860</v>
      </c>
      <c r="H785" s="672">
        <v>1750</v>
      </c>
      <c r="I785" s="672"/>
      <c r="J785" s="672"/>
      <c r="K785" s="672"/>
      <c r="L785" s="801">
        <f t="shared" si="88"/>
        <v>1750</v>
      </c>
      <c r="M785" s="770"/>
      <c r="O785" s="796"/>
      <c r="P785" s="797"/>
    </row>
    <row r="786" spans="1:16" s="795" customFormat="1" ht="29.25" customHeight="1" thickBot="1">
      <c r="A786" s="769"/>
      <c r="B786" s="770">
        <f>SUMIF(CPU!$E$11:$E$1943,COTAÇÕES!$C786,CPU!$B$11:$B$1943)</f>
        <v>0</v>
      </c>
      <c r="C786" s="850" t="s">
        <v>9116</v>
      </c>
      <c r="D786" s="1191" t="s">
        <v>8706</v>
      </c>
      <c r="E786" s="1192"/>
      <c r="F786" s="1193"/>
      <c r="G786" s="656" t="s">
        <v>6860</v>
      </c>
      <c r="H786" s="672">
        <f>16895/4</f>
        <v>4223.75</v>
      </c>
      <c r="I786" s="672"/>
      <c r="J786" s="672"/>
      <c r="K786" s="672"/>
      <c r="L786" s="801">
        <f t="shared" si="88"/>
        <v>4223.75</v>
      </c>
      <c r="M786" s="770"/>
      <c r="O786" s="796"/>
      <c r="P786" s="797"/>
    </row>
    <row r="787" spans="1:16" s="795" customFormat="1" ht="29.25" customHeight="1" thickBot="1">
      <c r="A787" s="769"/>
      <c r="B787" s="770">
        <f>SUMIF(CPU!$E$11:$E$1943,COTAÇÕES!$C787,CPU!$B$11:$B$1943)</f>
        <v>0</v>
      </c>
      <c r="C787" s="850" t="s">
        <v>9117</v>
      </c>
      <c r="D787" s="1191" t="s">
        <v>8707</v>
      </c>
      <c r="E787" s="1192"/>
      <c r="F787" s="1193"/>
      <c r="G787" s="656" t="s">
        <v>6860</v>
      </c>
      <c r="H787" s="672">
        <v>8110</v>
      </c>
      <c r="I787" s="672"/>
      <c r="J787" s="672"/>
      <c r="K787" s="672"/>
      <c r="L787" s="801">
        <f t="shared" si="88"/>
        <v>8110</v>
      </c>
      <c r="M787" s="770"/>
      <c r="O787" s="796"/>
      <c r="P787" s="797"/>
    </row>
    <row r="788" spans="1:16" s="795" customFormat="1" ht="29.25" customHeight="1" thickBot="1">
      <c r="A788" s="769"/>
      <c r="B788" s="770">
        <f>SUMIF(CPU!$E$11:$E$1943,COTAÇÕES!$C788,CPU!$B$11:$B$1943)</f>
        <v>0</v>
      </c>
      <c r="C788" s="850" t="s">
        <v>9118</v>
      </c>
      <c r="D788" s="1191" t="s">
        <v>8708</v>
      </c>
      <c r="E788" s="1192"/>
      <c r="F788" s="1193"/>
      <c r="G788" s="656" t="s">
        <v>6860</v>
      </c>
      <c r="H788" s="672">
        <f>17805/8</f>
        <v>2225.625</v>
      </c>
      <c r="I788" s="672"/>
      <c r="J788" s="672"/>
      <c r="K788" s="672"/>
      <c r="L788" s="801">
        <f t="shared" si="88"/>
        <v>2225.625</v>
      </c>
      <c r="M788" s="770"/>
      <c r="O788" s="796"/>
      <c r="P788" s="797"/>
    </row>
    <row r="789" spans="1:16" s="795" customFormat="1" ht="29.25" customHeight="1" thickBot="1">
      <c r="A789" s="769"/>
      <c r="B789" s="770">
        <f>SUMIF(CPU!$E$11:$E$1943,COTAÇÕES!$C789,CPU!$B$11:$B$1943)</f>
        <v>0</v>
      </c>
      <c r="C789" s="850" t="s">
        <v>9119</v>
      </c>
      <c r="D789" s="1191" t="s">
        <v>8709</v>
      </c>
      <c r="E789" s="1192"/>
      <c r="F789" s="1193"/>
      <c r="G789" s="656" t="s">
        <v>6860</v>
      </c>
      <c r="H789" s="672">
        <v>2555</v>
      </c>
      <c r="I789" s="672"/>
      <c r="J789" s="672"/>
      <c r="K789" s="672"/>
      <c r="L789" s="801">
        <f t="shared" si="88"/>
        <v>2555</v>
      </c>
      <c r="M789" s="770"/>
      <c r="O789" s="796"/>
      <c r="P789" s="797"/>
    </row>
    <row r="790" spans="1:16" s="795" customFormat="1" ht="29.25" customHeight="1" thickBot="1">
      <c r="A790" s="769"/>
      <c r="B790" s="770">
        <f>SUMIF(CPU!$E$11:$E$1943,COTAÇÕES!$C790,CPU!$B$11:$B$1943)</f>
        <v>0</v>
      </c>
      <c r="C790" s="850" t="s">
        <v>9120</v>
      </c>
      <c r="D790" s="1191" t="s">
        <v>8710</v>
      </c>
      <c r="E790" s="1192"/>
      <c r="F790" s="1193"/>
      <c r="G790" s="656" t="s">
        <v>6860</v>
      </c>
      <c r="H790" s="672">
        <v>1810</v>
      </c>
      <c r="I790" s="672"/>
      <c r="J790" s="672"/>
      <c r="K790" s="672"/>
      <c r="L790" s="801">
        <f t="shared" si="88"/>
        <v>1810</v>
      </c>
      <c r="M790" s="770"/>
      <c r="O790" s="796"/>
      <c r="P790" s="797"/>
    </row>
    <row r="791" spans="1:16" s="795" customFormat="1" ht="29.25" customHeight="1" thickBot="1">
      <c r="A791" s="769"/>
      <c r="B791" s="770">
        <f>SUMIF(CPU!$E$11:$E$1943,COTAÇÕES!$C791,CPU!$B$11:$B$1943)</f>
        <v>0</v>
      </c>
      <c r="C791" s="850" t="s">
        <v>9121</v>
      </c>
      <c r="D791" s="1191" t="s">
        <v>8711</v>
      </c>
      <c r="E791" s="1192"/>
      <c r="F791" s="1193"/>
      <c r="G791" s="656" t="s">
        <v>6860</v>
      </c>
      <c r="H791" s="672">
        <f>21440/7</f>
        <v>3062.8571428571427</v>
      </c>
      <c r="I791" s="672"/>
      <c r="J791" s="672"/>
      <c r="K791" s="672"/>
      <c r="L791" s="801">
        <f t="shared" si="88"/>
        <v>3062.8571428571427</v>
      </c>
      <c r="M791" s="770"/>
      <c r="O791" s="796"/>
      <c r="P791" s="797"/>
    </row>
    <row r="792" spans="1:16" s="795" customFormat="1" ht="29.25" customHeight="1" thickBot="1">
      <c r="A792" s="769"/>
      <c r="B792" s="770">
        <f>SUMIF(CPU!$E$11:$E$1943,COTAÇÕES!$C792,CPU!$B$11:$B$1943)</f>
        <v>0</v>
      </c>
      <c r="C792" s="850" t="s">
        <v>9122</v>
      </c>
      <c r="D792" s="1191" t="s">
        <v>8712</v>
      </c>
      <c r="E792" s="1192"/>
      <c r="F792" s="1193"/>
      <c r="G792" s="656" t="s">
        <v>6860</v>
      </c>
      <c r="H792" s="672">
        <v>860</v>
      </c>
      <c r="I792" s="672"/>
      <c r="J792" s="672"/>
      <c r="K792" s="672"/>
      <c r="L792" s="801">
        <f t="shared" si="88"/>
        <v>860</v>
      </c>
      <c r="M792" s="770"/>
      <c r="O792" s="796"/>
      <c r="P792" s="797"/>
    </row>
    <row r="793" spans="1:16" s="795" customFormat="1" ht="29.25" customHeight="1" thickBot="1">
      <c r="A793" s="769"/>
      <c r="B793" s="770">
        <f>SUMIF(CPU!$E$11:$E$1943,COTAÇÕES!$C793,CPU!$B$11:$B$1943)</f>
        <v>0</v>
      </c>
      <c r="C793" s="850" t="s">
        <v>9123</v>
      </c>
      <c r="D793" s="1191" t="s">
        <v>8713</v>
      </c>
      <c r="E793" s="1192"/>
      <c r="F793" s="1193"/>
      <c r="G793" s="656" t="s">
        <v>6860</v>
      </c>
      <c r="H793" s="672">
        <f>9160/9</f>
        <v>1017.7777777777778</v>
      </c>
      <c r="I793" s="672"/>
      <c r="J793" s="672"/>
      <c r="K793" s="672"/>
      <c r="L793" s="801">
        <f t="shared" si="88"/>
        <v>1017.7777777777778</v>
      </c>
      <c r="M793" s="770"/>
      <c r="O793" s="796"/>
      <c r="P793" s="797"/>
    </row>
    <row r="794" spans="1:16" s="795" customFormat="1" ht="29.25" customHeight="1" thickBot="1">
      <c r="A794" s="769"/>
      <c r="B794" s="770">
        <f>SUMIF(CPU!$E$11:$E$1943,COTAÇÕES!$C794,CPU!$B$11:$B$1943)</f>
        <v>0</v>
      </c>
      <c r="C794" s="850" t="s">
        <v>9124</v>
      </c>
      <c r="D794" s="1191" t="s">
        <v>8714</v>
      </c>
      <c r="E794" s="1192"/>
      <c r="F794" s="1193"/>
      <c r="G794" s="656" t="s">
        <v>6860</v>
      </c>
      <c r="H794" s="672">
        <f>2290/18</f>
        <v>127.22222222222223</v>
      </c>
      <c r="I794" s="672"/>
      <c r="J794" s="672"/>
      <c r="K794" s="672"/>
      <c r="L794" s="801">
        <f t="shared" si="88"/>
        <v>127.22222222222223</v>
      </c>
      <c r="M794" s="770"/>
      <c r="O794" s="796"/>
      <c r="P794" s="797"/>
    </row>
    <row r="795" spans="1:16" s="795" customFormat="1" ht="38.25" customHeight="1" thickBot="1">
      <c r="A795" s="769"/>
      <c r="B795" s="770">
        <f>SUMIF(CPU!$E$11:$E$1943,COTAÇÕES!$C795,CPU!$B$11:$B$1943)</f>
        <v>0</v>
      </c>
      <c r="C795" s="850" t="s">
        <v>9125</v>
      </c>
      <c r="D795" s="1191" t="s">
        <v>8715</v>
      </c>
      <c r="E795" s="1192"/>
      <c r="F795" s="1193"/>
      <c r="G795" s="656" t="s">
        <v>6860</v>
      </c>
      <c r="H795" s="672">
        <v>3195</v>
      </c>
      <c r="I795" s="672"/>
      <c r="J795" s="672"/>
      <c r="K795" s="672"/>
      <c r="L795" s="801">
        <f t="shared" si="88"/>
        <v>3195</v>
      </c>
      <c r="M795" s="770"/>
      <c r="O795" s="796"/>
      <c r="P795" s="797"/>
    </row>
    <row r="796" spans="1:16" s="795" customFormat="1" ht="29.25" customHeight="1" thickBot="1">
      <c r="A796" s="769"/>
      <c r="B796" s="770">
        <f>SUMIF(CPU!$E$11:$E$1943,COTAÇÕES!$C796,CPU!$B$11:$B$1943)</f>
        <v>0</v>
      </c>
      <c r="C796" s="850" t="s">
        <v>9126</v>
      </c>
      <c r="D796" s="1191" t="s">
        <v>8716</v>
      </c>
      <c r="E796" s="1192"/>
      <c r="F796" s="1193"/>
      <c r="G796" s="656" t="s">
        <v>6860</v>
      </c>
      <c r="H796" s="672">
        <v>3105</v>
      </c>
      <c r="I796" s="672"/>
      <c r="J796" s="672"/>
      <c r="K796" s="672"/>
      <c r="L796" s="801">
        <f t="shared" si="88"/>
        <v>3105</v>
      </c>
      <c r="M796" s="770"/>
      <c r="O796" s="796"/>
      <c r="P796" s="797"/>
    </row>
    <row r="797" spans="1:16" s="795" customFormat="1" ht="29.25" customHeight="1" thickBot="1">
      <c r="A797" s="769"/>
      <c r="B797" s="770">
        <f>SUMIF(CPU!$E$11:$E$1943,COTAÇÕES!$C797,CPU!$B$11:$B$1943)</f>
        <v>0</v>
      </c>
      <c r="C797" s="850" t="s">
        <v>9127</v>
      </c>
      <c r="D797" s="1191" t="s">
        <v>8717</v>
      </c>
      <c r="E797" s="1192"/>
      <c r="F797" s="1193"/>
      <c r="G797" s="656" t="s">
        <v>6860</v>
      </c>
      <c r="H797" s="672">
        <v>3065</v>
      </c>
      <c r="I797" s="672"/>
      <c r="J797" s="672"/>
      <c r="K797" s="672"/>
      <c r="L797" s="801">
        <f t="shared" si="88"/>
        <v>3065</v>
      </c>
      <c r="M797" s="770"/>
      <c r="O797" s="796"/>
      <c r="P797" s="797"/>
    </row>
    <row r="798" spans="1:16" ht="15.75" thickBot="1"/>
    <row r="799" spans="1:16" ht="15.75" thickBot="1">
      <c r="H799" s="774" t="s">
        <v>6851</v>
      </c>
      <c r="I799" s="775" t="s">
        <v>6852</v>
      </c>
      <c r="J799" s="775" t="s">
        <v>6853</v>
      </c>
      <c r="K799" s="775"/>
      <c r="L799" s="1194" t="s">
        <v>6854</v>
      </c>
      <c r="O799" s="773"/>
    </row>
    <row r="800" spans="1:16">
      <c r="F800" s="776" t="s">
        <v>6855</v>
      </c>
      <c r="G800" s="777"/>
      <c r="H800" s="765" t="s">
        <v>8383</v>
      </c>
      <c r="I800" s="765" t="s">
        <v>8383</v>
      </c>
      <c r="J800" s="765" t="s">
        <v>8383</v>
      </c>
      <c r="K800" s="765"/>
      <c r="L800" s="1195"/>
      <c r="M800" s="780"/>
      <c r="O800" s="773"/>
    </row>
    <row r="801" spans="1:16">
      <c r="F801" s="781" t="s">
        <v>6856</v>
      </c>
      <c r="G801" s="782"/>
      <c r="H801" s="779" t="s">
        <v>8736</v>
      </c>
      <c r="I801" s="779" t="s">
        <v>14545</v>
      </c>
      <c r="J801" s="779" t="s">
        <v>14547</v>
      </c>
      <c r="K801" s="779"/>
      <c r="L801" s="1195"/>
      <c r="M801" s="780"/>
      <c r="O801" s="783"/>
      <c r="P801" s="783"/>
    </row>
    <row r="802" spans="1:16">
      <c r="E802" s="784"/>
      <c r="F802" s="781" t="s">
        <v>6857</v>
      </c>
      <c r="G802" s="782"/>
      <c r="H802" s="785" t="s">
        <v>8737</v>
      </c>
      <c r="I802" s="786" t="s">
        <v>14546</v>
      </c>
      <c r="J802" s="786"/>
      <c r="K802" s="786"/>
      <c r="L802" s="1195"/>
      <c r="O802" s="658"/>
      <c r="P802" s="658"/>
    </row>
    <row r="803" spans="1:16" ht="15.75" thickBot="1">
      <c r="E803" s="784"/>
      <c r="F803" s="798" t="s">
        <v>6858</v>
      </c>
      <c r="G803" s="799"/>
      <c r="H803" s="790" t="s">
        <v>8738</v>
      </c>
      <c r="I803" s="790" t="s">
        <v>14544</v>
      </c>
      <c r="J803" s="810"/>
      <c r="K803" s="810"/>
      <c r="L803" s="1195"/>
      <c r="O803" s="658"/>
      <c r="P803" s="658"/>
    </row>
    <row r="804" spans="1:16" ht="15.75" thickBot="1">
      <c r="C804" s="792" t="s">
        <v>904</v>
      </c>
      <c r="D804" s="1196" t="s">
        <v>6859</v>
      </c>
      <c r="E804" s="1197"/>
      <c r="F804" s="1198"/>
      <c r="G804" s="793" t="s">
        <v>6860</v>
      </c>
      <c r="H804" s="792" t="s">
        <v>6861</v>
      </c>
      <c r="I804" s="792" t="s">
        <v>6861</v>
      </c>
      <c r="J804" s="792" t="s">
        <v>6861</v>
      </c>
      <c r="K804" s="792"/>
      <c r="L804" s="794"/>
      <c r="O804" s="659"/>
      <c r="P804" s="659"/>
    </row>
    <row r="805" spans="1:16" s="795" customFormat="1" ht="57" customHeight="1" thickBot="1">
      <c r="A805" s="769"/>
      <c r="B805" s="770">
        <f>SUMIF(CPU!$E$11:$E$1943,COTAÇÕES!$C805,CPU!$B$11:$B$1943)</f>
        <v>0</v>
      </c>
      <c r="C805" s="850" t="s">
        <v>9128</v>
      </c>
      <c r="D805" s="1191" t="s">
        <v>14543</v>
      </c>
      <c r="E805" s="1192"/>
      <c r="F805" s="1193"/>
      <c r="G805" s="656" t="s">
        <v>6860</v>
      </c>
      <c r="H805" s="672">
        <f>213239.28/101</f>
        <v>2111.2800000000002</v>
      </c>
      <c r="I805" s="672">
        <v>2573.1</v>
      </c>
      <c r="J805" s="672">
        <f>231864/101</f>
        <v>2295.6831683168316</v>
      </c>
      <c r="K805" s="672"/>
      <c r="L805" s="801">
        <f t="shared" ref="L805:L806" si="89">IF(H805&lt;&gt;"",AVERAGE(H805:K805)," ")</f>
        <v>2326.6877227722775</v>
      </c>
      <c r="M805" s="770"/>
      <c r="O805" s="796"/>
      <c r="P805" s="797"/>
    </row>
    <row r="806" spans="1:16" s="795" customFormat="1" ht="15.75" thickBot="1">
      <c r="A806" s="769"/>
      <c r="B806" s="770">
        <f>SUMIF(CPU!$E$11:$E$1943,COTAÇÕES!$C806,CPU!$B$11:$B$1943)</f>
        <v>0</v>
      </c>
      <c r="C806" s="850" t="s">
        <v>9129</v>
      </c>
      <c r="D806" s="1191" t="s">
        <v>8739</v>
      </c>
      <c r="E806" s="1192"/>
      <c r="F806" s="1193"/>
      <c r="G806" s="656" t="s">
        <v>6860</v>
      </c>
      <c r="H806" s="672">
        <f>H805*0.09</f>
        <v>190.01520000000002</v>
      </c>
      <c r="I806" s="672"/>
      <c r="J806" s="672"/>
      <c r="K806" s="672"/>
      <c r="L806" s="801">
        <f t="shared" si="89"/>
        <v>190.01520000000002</v>
      </c>
      <c r="M806" s="770"/>
      <c r="O806" s="796"/>
      <c r="P806" s="797"/>
    </row>
    <row r="807" spans="1:16" ht="15.75" thickBot="1">
      <c r="I807" s="770"/>
      <c r="K807" s="770"/>
      <c r="L807" s="769"/>
      <c r="O807" s="773"/>
    </row>
    <row r="808" spans="1:16" ht="15.75" thickBot="1">
      <c r="H808" s="774" t="s">
        <v>6851</v>
      </c>
      <c r="I808" s="775" t="s">
        <v>6852</v>
      </c>
      <c r="J808" s="775" t="s">
        <v>6853</v>
      </c>
      <c r="K808" s="775" t="s">
        <v>7635</v>
      </c>
      <c r="L808" s="1194" t="s">
        <v>6854</v>
      </c>
      <c r="O808" s="773"/>
    </row>
    <row r="809" spans="1:16">
      <c r="F809" s="776" t="s">
        <v>6855</v>
      </c>
      <c r="G809" s="777"/>
      <c r="H809" s="765" t="s">
        <v>8383</v>
      </c>
      <c r="I809" s="765" t="s">
        <v>8383</v>
      </c>
      <c r="J809" s="765" t="s">
        <v>8383</v>
      </c>
      <c r="K809" s="765" t="s">
        <v>8383</v>
      </c>
      <c r="L809" s="1195"/>
      <c r="M809" s="780"/>
      <c r="O809" s="773"/>
    </row>
    <row r="810" spans="1:16">
      <c r="F810" s="781" t="s">
        <v>6856</v>
      </c>
      <c r="G810" s="782"/>
      <c r="H810" s="779" t="s">
        <v>8827</v>
      </c>
      <c r="I810" s="779" t="s">
        <v>8899</v>
      </c>
      <c r="J810" s="779"/>
      <c r="K810" s="779"/>
      <c r="L810" s="1195"/>
      <c r="M810" s="780"/>
      <c r="O810" s="783"/>
      <c r="P810" s="783"/>
    </row>
    <row r="811" spans="1:16">
      <c r="E811" s="784"/>
      <c r="F811" s="781" t="s">
        <v>6857</v>
      </c>
      <c r="G811" s="782"/>
      <c r="H811" s="785" t="s">
        <v>8828</v>
      </c>
      <c r="I811" s="786" t="s">
        <v>8900</v>
      </c>
      <c r="J811" s="786"/>
      <c r="K811" s="786"/>
      <c r="L811" s="1195"/>
      <c r="O811" s="658"/>
      <c r="P811" s="658"/>
    </row>
    <row r="812" spans="1:16" ht="15.75" thickBot="1">
      <c r="E812" s="784"/>
      <c r="F812" s="798" t="s">
        <v>6858</v>
      </c>
      <c r="G812" s="799"/>
      <c r="H812" s="790" t="s">
        <v>8829</v>
      </c>
      <c r="I812" s="790" t="s">
        <v>8901</v>
      </c>
      <c r="J812" s="810"/>
      <c r="K812" s="810"/>
      <c r="L812" s="1195"/>
      <c r="O812" s="658"/>
      <c r="P812" s="658"/>
    </row>
    <row r="813" spans="1:16" ht="15.75" thickBot="1">
      <c r="C813" s="792" t="s">
        <v>904</v>
      </c>
      <c r="D813" s="1196" t="s">
        <v>6859</v>
      </c>
      <c r="E813" s="1197"/>
      <c r="F813" s="1198"/>
      <c r="G813" s="793" t="s">
        <v>6860</v>
      </c>
      <c r="H813" s="792" t="s">
        <v>6861</v>
      </c>
      <c r="I813" s="792" t="s">
        <v>6861</v>
      </c>
      <c r="J813" s="792" t="s">
        <v>6861</v>
      </c>
      <c r="K813" s="792"/>
      <c r="L813" s="794"/>
      <c r="O813" s="659"/>
      <c r="P813" s="659"/>
    </row>
    <row r="814" spans="1:16" s="795" customFormat="1" ht="80.25" customHeight="1" thickBot="1">
      <c r="A814" s="769"/>
      <c r="B814" s="770">
        <f>SUMIF(CPU!$E$11:$E$1943,COTAÇÕES!$C814,CPU!$B$11:$B$1943)</f>
        <v>0</v>
      </c>
      <c r="C814" s="850" t="s">
        <v>9130</v>
      </c>
      <c r="D814" s="1191" t="s">
        <v>8902</v>
      </c>
      <c r="E814" s="1192"/>
      <c r="F814" s="1193"/>
      <c r="G814" s="656" t="s">
        <v>6860</v>
      </c>
      <c r="H814" s="672">
        <v>6000</v>
      </c>
      <c r="I814" s="672">
        <v>5800</v>
      </c>
      <c r="J814" s="672"/>
      <c r="K814" s="672"/>
      <c r="L814" s="801">
        <f t="shared" ref="L814" si="90">IF(H814&lt;&gt;"",AVERAGE(H814:K814)," ")</f>
        <v>5900</v>
      </c>
      <c r="M814" s="770"/>
      <c r="O814" s="796"/>
      <c r="P814" s="797"/>
    </row>
    <row r="815" spans="1:16" ht="15.75" thickBot="1"/>
    <row r="816" spans="1:16" ht="15.75" thickBot="1">
      <c r="H816" s="774" t="s">
        <v>6851</v>
      </c>
      <c r="I816" s="775" t="s">
        <v>6852</v>
      </c>
      <c r="J816" s="775" t="s">
        <v>6853</v>
      </c>
      <c r="K816" s="775" t="s">
        <v>7635</v>
      </c>
      <c r="L816" s="1194" t="s">
        <v>6854</v>
      </c>
      <c r="O816" s="773"/>
    </row>
    <row r="817" spans="1:16">
      <c r="F817" s="776" t="s">
        <v>6855</v>
      </c>
      <c r="G817" s="777"/>
      <c r="H817" s="765" t="s">
        <v>8383</v>
      </c>
      <c r="I817" s="765" t="s">
        <v>8383</v>
      </c>
      <c r="J817" s="765" t="s">
        <v>8383</v>
      </c>
      <c r="K817" s="765" t="s">
        <v>8383</v>
      </c>
      <c r="L817" s="1195"/>
      <c r="M817" s="780"/>
      <c r="O817" s="773"/>
    </row>
    <row r="818" spans="1:16">
      <c r="F818" s="781" t="s">
        <v>6856</v>
      </c>
      <c r="G818" s="782"/>
      <c r="H818" s="779" t="s">
        <v>8699</v>
      </c>
      <c r="I818" s="779" t="s">
        <v>8892</v>
      </c>
      <c r="J818" s="779"/>
      <c r="K818" s="779"/>
      <c r="L818" s="1195"/>
      <c r="M818" s="780"/>
      <c r="O818" s="783"/>
      <c r="P818" s="783"/>
    </row>
    <row r="819" spans="1:16">
      <c r="E819" s="784"/>
      <c r="F819" s="781" t="s">
        <v>6857</v>
      </c>
      <c r="G819" s="782"/>
      <c r="H819" s="785"/>
      <c r="I819" s="786"/>
      <c r="J819" s="786"/>
      <c r="K819" s="786"/>
      <c r="L819" s="1195"/>
      <c r="O819" s="658"/>
      <c r="P819" s="658"/>
    </row>
    <row r="820" spans="1:16" ht="15.75" thickBot="1">
      <c r="E820" s="784"/>
      <c r="F820" s="798" t="s">
        <v>6858</v>
      </c>
      <c r="G820" s="799"/>
      <c r="H820" s="790"/>
      <c r="I820" s="790" t="s">
        <v>8893</v>
      </c>
      <c r="J820" s="810"/>
      <c r="K820" s="810"/>
      <c r="L820" s="1195"/>
      <c r="O820" s="658"/>
      <c r="P820" s="658"/>
    </row>
    <row r="821" spans="1:16" ht="15.75" thickBot="1">
      <c r="C821" s="792" t="s">
        <v>904</v>
      </c>
      <c r="D821" s="1196" t="s">
        <v>6859</v>
      </c>
      <c r="E821" s="1197"/>
      <c r="F821" s="1198"/>
      <c r="G821" s="793" t="s">
        <v>6860</v>
      </c>
      <c r="H821" s="792" t="s">
        <v>6861</v>
      </c>
      <c r="I821" s="792" t="s">
        <v>6861</v>
      </c>
      <c r="J821" s="792" t="s">
        <v>6861</v>
      </c>
      <c r="K821" s="792"/>
      <c r="L821" s="794"/>
      <c r="O821" s="659"/>
      <c r="P821" s="659"/>
    </row>
    <row r="822" spans="1:16" s="795" customFormat="1" ht="66" customHeight="1" thickBot="1">
      <c r="A822" s="769"/>
      <c r="B822" s="770">
        <f>SUMIF(CPU!$E$11:$E$1943,COTAÇÕES!$C822,CPU!$B$11:$B$1943)</f>
        <v>1</v>
      </c>
      <c r="C822" s="850" t="s">
        <v>9132</v>
      </c>
      <c r="D822" s="1191" t="s">
        <v>8700</v>
      </c>
      <c r="E822" s="1192"/>
      <c r="F822" s="1193"/>
      <c r="G822" s="656" t="s">
        <v>6860</v>
      </c>
      <c r="H822" s="672">
        <v>48900</v>
      </c>
      <c r="I822" s="672">
        <v>52960</v>
      </c>
      <c r="J822" s="672"/>
      <c r="K822" s="672"/>
      <c r="L822" s="801">
        <f t="shared" ref="L822" si="91">IF(H822&lt;&gt;"",AVERAGE(H822:K822)," ")</f>
        <v>50930</v>
      </c>
      <c r="M822" s="770"/>
      <c r="O822" s="796"/>
      <c r="P822" s="797"/>
    </row>
    <row r="823" spans="1:16" ht="15.75" thickBot="1">
      <c r="I823" s="770"/>
      <c r="K823" s="770"/>
      <c r="L823" s="769"/>
      <c r="O823" s="773"/>
    </row>
    <row r="824" spans="1:16" ht="15.75" thickBot="1">
      <c r="H824" s="774" t="s">
        <v>6851</v>
      </c>
      <c r="I824" s="775" t="s">
        <v>6852</v>
      </c>
      <c r="J824" s="775" t="s">
        <v>6853</v>
      </c>
      <c r="K824" s="775" t="s">
        <v>7635</v>
      </c>
      <c r="L824" s="1194" t="s">
        <v>6854</v>
      </c>
      <c r="O824" s="773"/>
    </row>
    <row r="825" spans="1:16">
      <c r="F825" s="776" t="s">
        <v>6855</v>
      </c>
      <c r="G825" s="777"/>
      <c r="H825" s="765" t="s">
        <v>8383</v>
      </c>
      <c r="I825" s="765" t="s">
        <v>8383</v>
      </c>
      <c r="J825" s="765" t="s">
        <v>8383</v>
      </c>
      <c r="K825" s="765" t="s">
        <v>8383</v>
      </c>
      <c r="L825" s="1195"/>
      <c r="M825" s="780"/>
      <c r="O825" s="773"/>
    </row>
    <row r="826" spans="1:16">
      <c r="F826" s="781" t="s">
        <v>6856</v>
      </c>
      <c r="G826" s="782"/>
      <c r="H826" s="959" t="s">
        <v>8493</v>
      </c>
      <c r="I826" s="779"/>
      <c r="J826" s="779"/>
      <c r="K826" s="779"/>
      <c r="L826" s="1195"/>
      <c r="M826" s="780"/>
      <c r="O826" s="783"/>
      <c r="P826" s="783"/>
    </row>
    <row r="827" spans="1:16">
      <c r="E827" s="784"/>
      <c r="F827" s="781" t="s">
        <v>6857</v>
      </c>
      <c r="G827" s="782"/>
      <c r="H827" s="785"/>
      <c r="I827" s="786"/>
      <c r="J827" s="786"/>
      <c r="K827" s="786"/>
      <c r="L827" s="1195"/>
      <c r="O827" s="658"/>
      <c r="P827" s="658"/>
    </row>
    <row r="828" spans="1:16" ht="15.75" thickBot="1">
      <c r="E828" s="784"/>
      <c r="F828" s="798" t="s">
        <v>6858</v>
      </c>
      <c r="G828" s="799"/>
      <c r="H828" s="790"/>
      <c r="I828" s="790"/>
      <c r="J828" s="810"/>
      <c r="K828" s="810"/>
      <c r="L828" s="1195"/>
      <c r="O828" s="658"/>
      <c r="P828" s="658"/>
    </row>
    <row r="829" spans="1:16" ht="15.75" thickBot="1">
      <c r="C829" s="792" t="s">
        <v>904</v>
      </c>
      <c r="D829" s="1196" t="s">
        <v>6859</v>
      </c>
      <c r="E829" s="1197"/>
      <c r="F829" s="1198"/>
      <c r="G829" s="793" t="s">
        <v>6860</v>
      </c>
      <c r="H829" s="792" t="s">
        <v>6861</v>
      </c>
      <c r="I829" s="792" t="s">
        <v>6861</v>
      </c>
      <c r="J829" s="792" t="s">
        <v>6861</v>
      </c>
      <c r="K829" s="792"/>
      <c r="L829" s="794"/>
      <c r="O829" s="659"/>
      <c r="P829" s="659"/>
    </row>
    <row r="830" spans="1:16" s="795" customFormat="1" ht="47.25" customHeight="1" thickBot="1">
      <c r="A830" s="769"/>
      <c r="B830" s="770">
        <f>SUMIF(CPU!$E$11:$E$1943,COTAÇÕES!$C830,CPU!$B$11:$B$1943)</f>
        <v>0</v>
      </c>
      <c r="C830" s="850" t="s">
        <v>8659</v>
      </c>
      <c r="D830" s="1191" t="s">
        <v>8660</v>
      </c>
      <c r="E830" s="1192"/>
      <c r="F830" s="1193"/>
      <c r="G830" s="656" t="s">
        <v>649</v>
      </c>
      <c r="H830" s="672">
        <v>1406.91</v>
      </c>
      <c r="I830" s="672"/>
      <c r="J830" s="672"/>
      <c r="K830" s="672"/>
      <c r="L830" s="801">
        <f t="shared" ref="L830:L831" si="92">IF(H830&lt;&gt;"",AVERAGE(H830:K830)," ")</f>
        <v>1406.91</v>
      </c>
      <c r="M830" s="770"/>
      <c r="O830" s="796"/>
      <c r="P830" s="797"/>
    </row>
    <row r="831" spans="1:16" s="795" customFormat="1" ht="26.25" customHeight="1" thickBot="1">
      <c r="A831" s="769"/>
      <c r="B831" s="770">
        <f>SUMIF(CPU!$E$11:$E$1943,COTAÇÕES!$C831,CPU!$B$11:$B$1943)</f>
        <v>1</v>
      </c>
      <c r="C831" s="850" t="s">
        <v>8694</v>
      </c>
      <c r="D831" s="1191" t="s">
        <v>8695</v>
      </c>
      <c r="E831" s="1192"/>
      <c r="F831" s="1193"/>
      <c r="G831" s="656" t="s">
        <v>6860</v>
      </c>
      <c r="H831" s="672">
        <v>1359.64</v>
      </c>
      <c r="I831" s="672"/>
      <c r="J831" s="672"/>
      <c r="K831" s="672"/>
      <c r="L831" s="801">
        <f t="shared" si="92"/>
        <v>1359.64</v>
      </c>
      <c r="M831" s="770"/>
      <c r="O831" s="796"/>
      <c r="P831" s="797"/>
    </row>
    <row r="832" spans="1:16" ht="15.75" thickBot="1">
      <c r="I832" s="770"/>
      <c r="K832" s="770"/>
      <c r="L832" s="769"/>
      <c r="O832" s="773"/>
    </row>
    <row r="833" spans="1:16" ht="15.75" thickBot="1">
      <c r="H833" s="774" t="s">
        <v>6851</v>
      </c>
      <c r="I833" s="775" t="s">
        <v>6852</v>
      </c>
      <c r="J833" s="775" t="s">
        <v>6853</v>
      </c>
      <c r="K833" s="775" t="s">
        <v>7635</v>
      </c>
      <c r="L833" s="1194" t="s">
        <v>6854</v>
      </c>
      <c r="O833" s="773"/>
    </row>
    <row r="834" spans="1:16">
      <c r="F834" s="776" t="s">
        <v>6855</v>
      </c>
      <c r="G834" s="777"/>
      <c r="H834" s="765" t="s">
        <v>6862</v>
      </c>
      <c r="I834" s="765"/>
      <c r="J834" s="765"/>
      <c r="K834" s="765"/>
      <c r="L834" s="1195"/>
      <c r="M834" s="780"/>
      <c r="O834" s="773"/>
    </row>
    <row r="835" spans="1:16">
      <c r="F835" s="781" t="s">
        <v>6856</v>
      </c>
      <c r="G835" s="782"/>
      <c r="H835" s="959" t="s">
        <v>9159</v>
      </c>
      <c r="I835" s="779"/>
      <c r="J835" s="779"/>
      <c r="K835" s="779"/>
      <c r="L835" s="1195"/>
      <c r="M835" s="780"/>
      <c r="O835" s="783"/>
      <c r="P835" s="783"/>
    </row>
    <row r="836" spans="1:16">
      <c r="E836" s="784"/>
      <c r="F836" s="781" t="s">
        <v>6857</v>
      </c>
      <c r="G836" s="782"/>
      <c r="H836" s="785"/>
      <c r="I836" s="786"/>
      <c r="J836" s="786"/>
      <c r="K836" s="786"/>
      <c r="L836" s="1195"/>
      <c r="O836" s="658"/>
      <c r="P836" s="658"/>
    </row>
    <row r="837" spans="1:16" ht="15.75" thickBot="1">
      <c r="E837" s="784"/>
      <c r="F837" s="798" t="s">
        <v>6858</v>
      </c>
      <c r="G837" s="799"/>
      <c r="H837" s="790"/>
      <c r="I837" s="790"/>
      <c r="J837" s="810"/>
      <c r="K837" s="810"/>
      <c r="L837" s="1195"/>
      <c r="O837" s="658"/>
      <c r="P837" s="658"/>
    </row>
    <row r="838" spans="1:16" ht="15.75" thickBot="1">
      <c r="C838" s="792" t="s">
        <v>904</v>
      </c>
      <c r="D838" s="1196" t="s">
        <v>6859</v>
      </c>
      <c r="E838" s="1197"/>
      <c r="F838" s="1198"/>
      <c r="G838" s="793" t="s">
        <v>6860</v>
      </c>
      <c r="H838" s="792" t="s">
        <v>6861</v>
      </c>
      <c r="I838" s="792" t="s">
        <v>6861</v>
      </c>
      <c r="J838" s="792" t="s">
        <v>6861</v>
      </c>
      <c r="K838" s="792"/>
      <c r="L838" s="794"/>
      <c r="O838" s="659"/>
      <c r="P838" s="659"/>
    </row>
    <row r="839" spans="1:16" s="795" customFormat="1" ht="15.75" thickBot="1">
      <c r="A839" s="769"/>
      <c r="B839" s="770">
        <f>SUMIF(CPU!$E$11:$E$1943,COTAÇÕES!$C839,CPU!$B$11:$B$1943)</f>
        <v>54.64</v>
      </c>
      <c r="C839" s="850">
        <v>78875</v>
      </c>
      <c r="D839" s="1191" t="s">
        <v>9158</v>
      </c>
      <c r="E839" s="1192"/>
      <c r="F839" s="1193"/>
      <c r="G839" s="656" t="s">
        <v>649</v>
      </c>
      <c r="H839" s="672">
        <v>47.14</v>
      </c>
      <c r="I839" s="672"/>
      <c r="J839" s="672"/>
      <c r="K839" s="672"/>
      <c r="L839" s="801">
        <f t="shared" ref="L839" si="93">IF(H839&lt;&gt;"",AVERAGE(H839:K839)," ")</f>
        <v>47.14</v>
      </c>
      <c r="M839" s="770"/>
      <c r="O839" s="796"/>
      <c r="P839" s="797"/>
    </row>
    <row r="840" spans="1:16" s="968" customFormat="1">
      <c r="B840" s="969"/>
      <c r="L840" s="846"/>
    </row>
    <row r="841" spans="1:16" s="968" customFormat="1">
      <c r="B841" s="969"/>
      <c r="L841" s="846"/>
    </row>
    <row r="842" spans="1:16" s="968" customFormat="1">
      <c r="B842" s="969"/>
      <c r="L842" s="846"/>
    </row>
    <row r="843" spans="1:16" s="968" customFormat="1">
      <c r="B843" s="969"/>
      <c r="J843" s="1173"/>
      <c r="K843" s="1173"/>
      <c r="L843" s="1173"/>
    </row>
    <row r="844" spans="1:16" s="968" customFormat="1">
      <c r="B844" s="969"/>
      <c r="J844" s="1172" t="s">
        <v>2691</v>
      </c>
      <c r="K844" s="1172"/>
      <c r="L844" s="1172"/>
    </row>
    <row r="845" spans="1:16" s="968" customFormat="1">
      <c r="B845" s="969"/>
      <c r="J845" s="1172" t="s">
        <v>2692</v>
      </c>
      <c r="K845" s="1172"/>
      <c r="L845" s="1172"/>
    </row>
    <row r="846" spans="1:16" s="968" customFormat="1">
      <c r="B846" s="969"/>
      <c r="L846" s="846"/>
    </row>
  </sheetData>
  <autoFilter ref="A3:N834" xr:uid="{00000000-0001-0000-1400-000000000000}"/>
  <mergeCells count="351">
    <mergeCell ref="J843:L843"/>
    <mergeCell ref="J844:L844"/>
    <mergeCell ref="J845:L845"/>
    <mergeCell ref="L833:L837"/>
    <mergeCell ref="D838:F838"/>
    <mergeCell ref="D839:F839"/>
    <mergeCell ref="L386:L390"/>
    <mergeCell ref="D391:F391"/>
    <mergeCell ref="D392:F392"/>
    <mergeCell ref="L402:L406"/>
    <mergeCell ref="D407:F407"/>
    <mergeCell ref="D408:F408"/>
    <mergeCell ref="L591:L595"/>
    <mergeCell ref="D596:F596"/>
    <mergeCell ref="L599:L603"/>
    <mergeCell ref="D604:F604"/>
    <mergeCell ref="L607:L611"/>
    <mergeCell ref="D612:F612"/>
    <mergeCell ref="L615:L619"/>
    <mergeCell ref="D620:F620"/>
    <mergeCell ref="L623:L627"/>
    <mergeCell ref="D636:F636"/>
    <mergeCell ref="D829:F829"/>
    <mergeCell ref="D789:F789"/>
    <mergeCell ref="L21:L25"/>
    <mergeCell ref="D26:F26"/>
    <mergeCell ref="D27:F27"/>
    <mergeCell ref="D831:F831"/>
    <mergeCell ref="D296:F296"/>
    <mergeCell ref="L274:L278"/>
    <mergeCell ref="D279:F279"/>
    <mergeCell ref="D280:F280"/>
    <mergeCell ref="L338:L342"/>
    <mergeCell ref="D343:F343"/>
    <mergeCell ref="D344:F344"/>
    <mergeCell ref="L346:L350"/>
    <mergeCell ref="D351:F351"/>
    <mergeCell ref="L314:L318"/>
    <mergeCell ref="D288:F288"/>
    <mergeCell ref="L290:L294"/>
    <mergeCell ref="D295:F295"/>
    <mergeCell ref="L282:L286"/>
    <mergeCell ref="D287:F287"/>
    <mergeCell ref="D311:F311"/>
    <mergeCell ref="D644:F644"/>
    <mergeCell ref="L114:L118"/>
    <mergeCell ref="D790:F790"/>
    <mergeCell ref="L298:L302"/>
    <mergeCell ref="L139:L143"/>
    <mergeCell ref="D144:F144"/>
    <mergeCell ref="L824:L828"/>
    <mergeCell ref="D383:F383"/>
    <mergeCell ref="D384:F384"/>
    <mergeCell ref="L394:L398"/>
    <mergeCell ref="D399:F399"/>
    <mergeCell ref="D400:F400"/>
    <mergeCell ref="L426:L430"/>
    <mergeCell ref="D431:F431"/>
    <mergeCell ref="L559:L563"/>
    <mergeCell ref="D564:F564"/>
    <mergeCell ref="L687:L691"/>
    <mergeCell ref="D692:F692"/>
    <mergeCell ref="D693:F693"/>
    <mergeCell ref="L575:L579"/>
    <mergeCell ref="D580:F580"/>
    <mergeCell ref="D581:F581"/>
    <mergeCell ref="L583:L587"/>
    <mergeCell ref="L647:L651"/>
    <mergeCell ref="L655:L659"/>
    <mergeCell ref="L233:L237"/>
    <mergeCell ref="D238:F238"/>
    <mergeCell ref="D239:F239"/>
    <mergeCell ref="D830:F830"/>
    <mergeCell ref="L225:L229"/>
    <mergeCell ref="D231:F231"/>
    <mergeCell ref="L257:L261"/>
    <mergeCell ref="D262:F262"/>
    <mergeCell ref="D263:F263"/>
    <mergeCell ref="L354:L358"/>
    <mergeCell ref="D359:F359"/>
    <mergeCell ref="D360:F360"/>
    <mergeCell ref="L362:L366"/>
    <mergeCell ref="D367:F367"/>
    <mergeCell ref="D368:F368"/>
    <mergeCell ref="L370:L374"/>
    <mergeCell ref="D375:F375"/>
    <mergeCell ref="D376:F376"/>
    <mergeCell ref="L378:L382"/>
    <mergeCell ref="D628:F628"/>
    <mergeCell ref="L567:L571"/>
    <mergeCell ref="D572:F572"/>
    <mergeCell ref="D573:F573"/>
    <mergeCell ref="L471:L475"/>
    <mergeCell ref="L696:L700"/>
    <mergeCell ref="L704:L708"/>
    <mergeCell ref="L29:L33"/>
    <mergeCell ref="L37:L41"/>
    <mergeCell ref="D42:F42"/>
    <mergeCell ref="D43:F43"/>
    <mergeCell ref="D35:F35"/>
    <mergeCell ref="D34:F34"/>
    <mergeCell ref="L217:L221"/>
    <mergeCell ref="D222:F222"/>
    <mergeCell ref="D51:F51"/>
    <mergeCell ref="D121:F121"/>
    <mergeCell ref="D153:F153"/>
    <mergeCell ref="D57:F57"/>
    <mergeCell ref="D58:F58"/>
    <mergeCell ref="D59:F59"/>
    <mergeCell ref="D60:F60"/>
    <mergeCell ref="D52:F52"/>
    <mergeCell ref="D54:F54"/>
    <mergeCell ref="D56:F56"/>
    <mergeCell ref="D170:F170"/>
    <mergeCell ref="D119:F119"/>
    <mergeCell ref="D120:F120"/>
    <mergeCell ref="D61:F61"/>
    <mergeCell ref="D66:F66"/>
    <mergeCell ref="D55:F55"/>
    <mergeCell ref="L639:L643"/>
    <mergeCell ref="L671:L675"/>
    <mergeCell ref="L679:L683"/>
    <mergeCell ref="L712:L716"/>
    <mergeCell ref="D215:F215"/>
    <mergeCell ref="L173:L177"/>
    <mergeCell ref="D178:F178"/>
    <mergeCell ref="D432:F432"/>
    <mergeCell ref="D304:F304"/>
    <mergeCell ref="L306:L310"/>
    <mergeCell ref="D660:F660"/>
    <mergeCell ref="D661:F661"/>
    <mergeCell ref="L663:L667"/>
    <mergeCell ref="D668:F668"/>
    <mergeCell ref="D669:F669"/>
    <mergeCell ref="L631:L635"/>
    <mergeCell ref="L535:L539"/>
    <mergeCell ref="L463:L467"/>
    <mergeCell ref="D468:F468"/>
    <mergeCell ref="D469:F469"/>
    <mergeCell ref="D439:F439"/>
    <mergeCell ref="D508:F508"/>
    <mergeCell ref="L519:L523"/>
    <mergeCell ref="D629:F629"/>
    <mergeCell ref="D637:F637"/>
    <mergeCell ref="L249:L253"/>
    <mergeCell ref="D254:F254"/>
    <mergeCell ref="D255:F255"/>
    <mergeCell ref="L503:L507"/>
    <mergeCell ref="D565:F565"/>
    <mergeCell ref="D509:F509"/>
    <mergeCell ref="D516:F516"/>
    <mergeCell ref="D517:F517"/>
    <mergeCell ref="L418:L422"/>
    <mergeCell ref="D423:F423"/>
    <mergeCell ref="D424:F424"/>
    <mergeCell ref="D476:F476"/>
    <mergeCell ref="D477:F477"/>
    <mergeCell ref="L551:L555"/>
    <mergeCell ref="D303:F303"/>
    <mergeCell ref="C2:K2"/>
    <mergeCell ref="D540:F540"/>
    <mergeCell ref="D541:F541"/>
    <mergeCell ref="D461:F461"/>
    <mergeCell ref="D493:F493"/>
    <mergeCell ref="D19:F19"/>
    <mergeCell ref="D449:F449"/>
    <mergeCell ref="D450:F450"/>
    <mergeCell ref="D451:F451"/>
    <mergeCell ref="D452:F452"/>
    <mergeCell ref="D415:F415"/>
    <mergeCell ref="D169:F169"/>
    <mergeCell ref="D485:F485"/>
    <mergeCell ref="D500:F500"/>
    <mergeCell ref="D501:F501"/>
    <mergeCell ref="D111:F111"/>
    <mergeCell ref="D112:F112"/>
    <mergeCell ref="D492:F492"/>
    <mergeCell ref="D416:F416"/>
    <mergeCell ref="D532:F532"/>
    <mergeCell ref="D447:F447"/>
    <mergeCell ref="D448:F448"/>
    <mergeCell ref="D453:F453"/>
    <mergeCell ref="D533:F533"/>
    <mergeCell ref="L5:L9"/>
    <mergeCell ref="D10:F10"/>
    <mergeCell ref="D11:F11"/>
    <mergeCell ref="L13:L17"/>
    <mergeCell ref="D18:F18"/>
    <mergeCell ref="L147:L151"/>
    <mergeCell ref="D152:F152"/>
    <mergeCell ref="L769:L773"/>
    <mergeCell ref="D774:F774"/>
    <mergeCell ref="L45:L49"/>
    <mergeCell ref="D50:F50"/>
    <mergeCell ref="D53:F53"/>
    <mergeCell ref="D68:F68"/>
    <mergeCell ref="D72:F72"/>
    <mergeCell ref="D74:F74"/>
    <mergeCell ref="D62:F62"/>
    <mergeCell ref="D63:F63"/>
    <mergeCell ref="D64:F64"/>
    <mergeCell ref="D65:F65"/>
    <mergeCell ref="D557:F557"/>
    <mergeCell ref="D652:F652"/>
    <mergeCell ref="D653:F653"/>
    <mergeCell ref="L442:L446"/>
    <mergeCell ref="L511:L515"/>
    <mergeCell ref="D821:F821"/>
    <mergeCell ref="D822:F822"/>
    <mergeCell ref="L777:L781"/>
    <mergeCell ref="D782:F782"/>
    <mergeCell ref="D783:F783"/>
    <mergeCell ref="D784:F784"/>
    <mergeCell ref="D785:F785"/>
    <mergeCell ref="L181:L185"/>
    <mergeCell ref="D186:F186"/>
    <mergeCell ref="D187:F187"/>
    <mergeCell ref="D775:F775"/>
    <mergeCell ref="L543:L547"/>
    <mergeCell ref="D548:F548"/>
    <mergeCell ref="D549:F549"/>
    <mergeCell ref="D319:F319"/>
    <mergeCell ref="D320:F320"/>
    <mergeCell ref="L322:L326"/>
    <mergeCell ref="D327:F327"/>
    <mergeCell ref="D328:F328"/>
    <mergeCell ref="L330:L334"/>
    <mergeCell ref="D335:F335"/>
    <mergeCell ref="D336:F336"/>
    <mergeCell ref="D352:F352"/>
    <mergeCell ref="L720:L724"/>
    <mergeCell ref="L816:L820"/>
    <mergeCell ref="L90:L94"/>
    <mergeCell ref="D95:F95"/>
    <mergeCell ref="D96:F96"/>
    <mergeCell ref="L123:L127"/>
    <mergeCell ref="L728:L732"/>
    <mergeCell ref="L736:L740"/>
    <mergeCell ref="D230:F230"/>
    <mergeCell ref="L760:L764"/>
    <mergeCell ref="D765:F765"/>
    <mergeCell ref="D766:F766"/>
    <mergeCell ref="L487:L491"/>
    <mergeCell ref="D460:F460"/>
    <mergeCell ref="L479:L483"/>
    <mergeCell ref="L495:L499"/>
    <mergeCell ref="L527:L531"/>
    <mergeCell ref="D750:F750"/>
    <mergeCell ref="L744:L748"/>
    <mergeCell ref="D758:F758"/>
    <mergeCell ref="D223:F223"/>
    <mergeCell ref="L106:L110"/>
    <mergeCell ref="L434:L438"/>
    <mergeCell ref="L164:L168"/>
    <mergeCell ref="L410:L414"/>
    <mergeCell ref="D813:F813"/>
    <mergeCell ref="D814:F814"/>
    <mergeCell ref="L98:L102"/>
    <mergeCell ref="D103:F103"/>
    <mergeCell ref="D104:F104"/>
    <mergeCell ref="L78:L82"/>
    <mergeCell ref="D83:F83"/>
    <mergeCell ref="D84:F84"/>
    <mergeCell ref="D85:F85"/>
    <mergeCell ref="D271:F271"/>
    <mergeCell ref="D796:F796"/>
    <mergeCell ref="D797:F797"/>
    <mergeCell ref="D786:F786"/>
    <mergeCell ref="D86:F86"/>
    <mergeCell ref="D87:F87"/>
    <mergeCell ref="D734:F734"/>
    <mergeCell ref="D741:F741"/>
    <mergeCell ref="D742:F742"/>
    <mergeCell ref="L799:L803"/>
    <mergeCell ref="D804:F804"/>
    <mergeCell ref="D806:F806"/>
    <mergeCell ref="L156:L160"/>
    <mergeCell ref="D725:F725"/>
    <mergeCell ref="D589:F589"/>
    <mergeCell ref="L131:L135"/>
    <mergeCell ref="D136:F136"/>
    <mergeCell ref="L808:L812"/>
    <mergeCell ref="D726:F726"/>
    <mergeCell ref="D733:F733"/>
    <mergeCell ref="D161:F161"/>
    <mergeCell ref="D162:F162"/>
    <mergeCell ref="D484:F484"/>
    <mergeCell ref="D556:F556"/>
    <mergeCell ref="D525:F525"/>
    <mergeCell ref="D524:F524"/>
    <mergeCell ref="D677:F677"/>
    <mergeCell ref="D684:F684"/>
    <mergeCell ref="D685:F685"/>
    <mergeCell ref="D694:F694"/>
    <mergeCell ref="D676:F676"/>
    <mergeCell ref="D440:F440"/>
    <mergeCell ref="D312:F312"/>
    <mergeCell ref="D791:F791"/>
    <mergeCell ref="L265:L269"/>
    <mergeCell ref="D270:F270"/>
    <mergeCell ref="L455:L459"/>
    <mergeCell ref="D597:F597"/>
    <mergeCell ref="D605:F605"/>
    <mergeCell ref="D71:F71"/>
    <mergeCell ref="D73:F73"/>
    <mergeCell ref="D145:F145"/>
    <mergeCell ref="D805:F805"/>
    <mergeCell ref="D792:F792"/>
    <mergeCell ref="D787:F787"/>
    <mergeCell ref="D788:F788"/>
    <mergeCell ref="D793:F793"/>
    <mergeCell ref="D794:F794"/>
    <mergeCell ref="D795:F795"/>
    <mergeCell ref="D749:F749"/>
    <mergeCell ref="D645:F645"/>
    <mergeCell ref="D701:F701"/>
    <mergeCell ref="D702:F702"/>
    <mergeCell ref="D709:F709"/>
    <mergeCell ref="D710:F710"/>
    <mergeCell ref="D717:F717"/>
    <mergeCell ref="D718:F718"/>
    <mergeCell ref="D128:F128"/>
    <mergeCell ref="D129:F129"/>
    <mergeCell ref="D75:F75"/>
    <mergeCell ref="D613:F613"/>
    <mergeCell ref="D621:F621"/>
    <mergeCell ref="D757:F757"/>
    <mergeCell ref="D137:F137"/>
    <mergeCell ref="D179:F179"/>
    <mergeCell ref="L752:L756"/>
    <mergeCell ref="L241:L245"/>
    <mergeCell ref="D246:F246"/>
    <mergeCell ref="D247:F247"/>
    <mergeCell ref="D588:F588"/>
    <mergeCell ref="D67:F67"/>
    <mergeCell ref="D69:F69"/>
    <mergeCell ref="D70:F70"/>
    <mergeCell ref="L205:L209"/>
    <mergeCell ref="D210:F210"/>
    <mergeCell ref="D211:F211"/>
    <mergeCell ref="D212:F212"/>
    <mergeCell ref="D213:F213"/>
    <mergeCell ref="D214:F214"/>
    <mergeCell ref="L197:L201"/>
    <mergeCell ref="D202:F202"/>
    <mergeCell ref="D203:F203"/>
    <mergeCell ref="L189:L193"/>
    <mergeCell ref="D194:F194"/>
    <mergeCell ref="D195:F195"/>
    <mergeCell ref="D88:F88"/>
    <mergeCell ref="D76:F76"/>
  </mergeCells>
  <phoneticPr fontId="108" type="noConversion"/>
  <hyperlinks>
    <hyperlink ref="H764" r:id="rId1" xr:uid="{68B9512B-E0DF-480C-86B2-36DAA844B39E}"/>
    <hyperlink ref="H491" r:id="rId2" xr:uid="{60B35D0F-F348-401D-9FFB-A6E43A523B01}"/>
    <hyperlink ref="J499" r:id="rId3" xr:uid="{9E0ACDC0-A81B-489B-BC57-A98618CF69EA}"/>
    <hyperlink ref="H563" r:id="rId4" display="https://www.eletrotrafo.com.br/haste-cobreada-5-8-x-240m-ntc-normatizada-intelli-similar-02010097/p?idsku=9431&amp;https://www.eletrotrafo.com.br/?utm_source=google&amp;utm_medium=Shopping_inteligente&amp;gclid=CjwKCAjw4ayUBhA4EiwATWyBrref4DVW3uPKj3XU1NF47fqD7aMUjaLdCXK4w1w5vzQH76D68DhScxoCtr8QAvD_BwE" xr:uid="{86CE0F76-7BE1-41AA-B8DB-62F4AF6A3DC4}"/>
    <hyperlink ref="J414" r:id="rId5" xr:uid="{7C0777CA-3C09-4FC1-A3D8-EE85BD4F06A4}"/>
    <hyperlink ref="I414" r:id="rId6" xr:uid="{10487FD4-61E9-4CFE-8201-82B0E37083D2}"/>
    <hyperlink ref="H414" r:id="rId7" xr:uid="{0E50A5FB-5E3D-4532-AC85-3583A3CD91BD}"/>
    <hyperlink ref="H118" r:id="rId8" xr:uid="{71E2C5C2-4A8E-44DA-BF54-FD83A0B81C63}"/>
    <hyperlink ref="H302" r:id="rId9" xr:uid="{3162B64B-11A5-4EF1-8E6E-562AEFD54C70}"/>
    <hyperlink ref="H151" r:id="rId10" xr:uid="{DC62DE00-B4C8-4A9A-8B96-E985E3FA3EA3}"/>
    <hyperlink ref="H651" r:id="rId11" xr:uid="{F183A6F6-8EAE-4BF9-9D1D-7AE84E9C6FBD}"/>
  </hyperlinks>
  <pageMargins left="0.51181102362204722" right="0.51181102362204722" top="0.78740157480314965" bottom="0.78740157480314965" header="0.31496062992125984" footer="0.31496062992125984"/>
  <pageSetup paperSize="9" scale="52" orientation="portrait" r:id="rId12"/>
  <headerFooter>
    <oddFooter>&amp;R&amp;P</oddFooter>
  </headerFooter>
  <rowBreaks count="6" manualBreakCount="6">
    <brk id="297" min="2" max="11" man="1"/>
    <brk id="377" min="2" max="11" man="1"/>
    <brk id="534" min="2" max="11" man="1"/>
    <brk id="622" min="2" max="11" man="1"/>
    <brk id="735" min="2" max="11" man="1"/>
    <brk id="807" min="2"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dimension ref="A1:K24"/>
  <sheetViews>
    <sheetView view="pageBreakPreview" zoomScale="90" zoomScaleNormal="100" zoomScaleSheetLayoutView="90" workbookViewId="0">
      <selection activeCell="C32" sqref="C32"/>
    </sheetView>
  </sheetViews>
  <sheetFormatPr defaultRowHeight="15"/>
  <cols>
    <col min="1" max="1" width="11" customWidth="1"/>
    <col min="2" max="2" width="5.140625" style="59" customWidth="1"/>
    <col min="3" max="3" width="48.85546875" bestFit="1" customWidth="1"/>
    <col min="5" max="5" width="9.140625" style="61"/>
    <col min="7" max="7" width="9.140625" style="62"/>
    <col min="9" max="9" width="9.140625" style="61"/>
  </cols>
  <sheetData>
    <row r="1" spans="2:11" ht="18.75">
      <c r="C1" s="60" t="s">
        <v>2702</v>
      </c>
    </row>
    <row r="2" spans="2:11">
      <c r="G2"/>
    </row>
    <row r="3" spans="2:11" ht="23.25">
      <c r="B3" s="1028" t="s">
        <v>546</v>
      </c>
      <c r="C3" s="1028"/>
      <c r="D3" s="1028"/>
      <c r="E3" s="1028"/>
      <c r="G3"/>
    </row>
    <row r="4" spans="2:11">
      <c r="G4"/>
    </row>
    <row r="5" spans="2:11">
      <c r="G5"/>
    </row>
    <row r="6" spans="2:11">
      <c r="G6"/>
    </row>
    <row r="7" spans="2:11" s="65" customFormat="1" ht="15.75">
      <c r="B7" s="71"/>
      <c r="E7" s="72" t="s">
        <v>2703</v>
      </c>
      <c r="H7" s="72"/>
      <c r="I7" s="83" t="s">
        <v>3049</v>
      </c>
    </row>
    <row r="8" spans="2:11" s="65" customFormat="1" ht="15.75">
      <c r="B8" s="73">
        <v>1</v>
      </c>
      <c r="C8" s="74" t="s">
        <v>2684</v>
      </c>
      <c r="D8" s="74"/>
      <c r="E8" s="75">
        <v>3</v>
      </c>
      <c r="I8" s="82">
        <v>1</v>
      </c>
    </row>
    <row r="9" spans="2:11" s="65" customFormat="1" ht="15.75">
      <c r="B9" s="73">
        <v>2</v>
      </c>
      <c r="C9" s="74" t="s">
        <v>2704</v>
      </c>
      <c r="D9" s="74"/>
      <c r="E9" s="75">
        <f t="shared" ref="E9:E15" si="0">E8+I8</f>
        <v>4</v>
      </c>
      <c r="I9" s="82">
        <v>4</v>
      </c>
    </row>
    <row r="10" spans="2:11" s="65" customFormat="1" ht="15.75">
      <c r="B10" s="73">
        <v>3</v>
      </c>
      <c r="C10" s="74" t="s">
        <v>2697</v>
      </c>
      <c r="D10" s="74"/>
      <c r="E10" s="75">
        <f t="shared" si="0"/>
        <v>8</v>
      </c>
      <c r="I10" s="82">
        <v>1</v>
      </c>
    </row>
    <row r="11" spans="2:11" s="65" customFormat="1" ht="15.75">
      <c r="B11" s="73">
        <v>4</v>
      </c>
      <c r="C11" s="74" t="s">
        <v>2698</v>
      </c>
      <c r="D11" s="74"/>
      <c r="E11" s="75">
        <f t="shared" si="0"/>
        <v>9</v>
      </c>
      <c r="I11" s="82">
        <v>1</v>
      </c>
    </row>
    <row r="12" spans="2:11" s="65" customFormat="1" ht="15.75">
      <c r="B12" s="73">
        <v>5</v>
      </c>
      <c r="C12" s="74" t="s">
        <v>2689</v>
      </c>
      <c r="D12" s="74"/>
      <c r="E12" s="75">
        <f t="shared" si="0"/>
        <v>10</v>
      </c>
      <c r="I12" s="82">
        <v>1</v>
      </c>
    </row>
    <row r="13" spans="2:11" s="65" customFormat="1" ht="15.75">
      <c r="B13" s="73">
        <v>6</v>
      </c>
      <c r="C13" s="74" t="s">
        <v>2693</v>
      </c>
      <c r="D13" s="74"/>
      <c r="E13" s="75">
        <f t="shared" si="0"/>
        <v>11</v>
      </c>
      <c r="I13" s="82">
        <v>1</v>
      </c>
    </row>
    <row r="14" spans="2:11" s="65" customFormat="1" ht="15.75">
      <c r="B14" s="73">
        <v>7</v>
      </c>
      <c r="C14" s="74" t="s">
        <v>2695</v>
      </c>
      <c r="D14" s="74"/>
      <c r="E14" s="75">
        <f t="shared" si="0"/>
        <v>12</v>
      </c>
      <c r="I14" s="82">
        <v>2</v>
      </c>
      <c r="K14" s="66"/>
    </row>
    <row r="15" spans="2:11" s="65" customFormat="1" ht="15.75">
      <c r="B15" s="73">
        <v>8</v>
      </c>
      <c r="C15" s="74" t="s">
        <v>3050</v>
      </c>
      <c r="D15" s="74"/>
      <c r="E15" s="75">
        <f t="shared" si="0"/>
        <v>14</v>
      </c>
      <c r="I15" s="115">
        <v>18</v>
      </c>
    </row>
    <row r="16" spans="2:11" s="65" customFormat="1" ht="15.75">
      <c r="B16" s="73">
        <v>9</v>
      </c>
      <c r="C16" s="74" t="s">
        <v>2229</v>
      </c>
      <c r="D16" s="74"/>
      <c r="E16" s="75">
        <f>E15+I15</f>
        <v>32</v>
      </c>
      <c r="I16" s="115">
        <v>17</v>
      </c>
    </row>
    <row r="17" spans="1:9" s="65" customFormat="1" ht="15.75">
      <c r="B17" s="73">
        <v>10</v>
      </c>
      <c r="C17" s="74" t="s">
        <v>3110</v>
      </c>
      <c r="D17" s="74"/>
      <c r="E17" s="75">
        <f>E16+I16</f>
        <v>49</v>
      </c>
      <c r="I17" s="144">
        <v>1</v>
      </c>
    </row>
    <row r="18" spans="1:9" ht="15.75">
      <c r="B18" s="73">
        <v>11</v>
      </c>
      <c r="C18" s="74" t="s">
        <v>3109</v>
      </c>
      <c r="D18" s="74"/>
      <c r="E18" s="75">
        <f>E17+I17</f>
        <v>50</v>
      </c>
      <c r="G18"/>
      <c r="I18" s="144">
        <v>1</v>
      </c>
    </row>
    <row r="19" spans="1:9" ht="15.75">
      <c r="B19" s="73">
        <v>12</v>
      </c>
      <c r="C19" s="74" t="s">
        <v>2683</v>
      </c>
      <c r="D19" s="74"/>
      <c r="E19" s="75">
        <f>E18+I18</f>
        <v>51</v>
      </c>
      <c r="G19"/>
      <c r="I19" s="115"/>
    </row>
    <row r="20" spans="1:9">
      <c r="G20"/>
    </row>
    <row r="21" spans="1:9">
      <c r="A21" s="62"/>
      <c r="B21" s="63"/>
      <c r="C21" s="62"/>
      <c r="D21" s="62"/>
      <c r="E21" s="64"/>
      <c r="F21" s="62"/>
    </row>
    <row r="22" spans="1:9">
      <c r="A22" s="62"/>
      <c r="B22" s="63"/>
      <c r="C22" s="62"/>
      <c r="D22" s="62"/>
      <c r="E22" s="64"/>
      <c r="F22" s="62"/>
    </row>
    <row r="23" spans="1:9">
      <c r="A23" s="62"/>
      <c r="B23" s="63"/>
      <c r="C23" s="62"/>
      <c r="D23" s="62"/>
      <c r="E23" s="64"/>
      <c r="F23" s="62"/>
    </row>
    <row r="24" spans="1:9">
      <c r="A24" s="62"/>
      <c r="B24" s="63"/>
      <c r="C24" s="62"/>
      <c r="D24" s="62"/>
      <c r="E24" s="64"/>
      <c r="F24" s="62"/>
    </row>
  </sheetData>
  <mergeCells count="1">
    <mergeCell ref="B3:E3"/>
  </mergeCells>
  <pageMargins left="0.98425196850393704" right="0.59055118110236227" top="0.78740157480314965" bottom="1.1811023622047245" header="0.31496062992125984" footer="0.31496062992125984"/>
  <pageSetup paperSize="9" scale="82" orientation="portrait" r:id="rId1"/>
  <headerFooter>
    <oddHeader>&amp;L&amp;G</oddHeader>
    <oddFooter>&amp;C&amp;8MEP – Arquitetura e Planejamento LTDA – CNPJ 06.164.906/0001-28 Rua Milton Gavetti, 369 - Londrina/PR CEP: 86.050-720 
Fone (43) 3328 1020 - mep@meparquitetura.arq.br – www.meparquitetura.arq.br</oddFooter>
  </headerFooter>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dimension ref="A3:Q84"/>
  <sheetViews>
    <sheetView showGridLines="0" view="pageBreakPreview" zoomScale="85" zoomScaleNormal="100" zoomScaleSheetLayoutView="85" zoomScalePageLayoutView="40" workbookViewId="0">
      <selection activeCell="M20" sqref="M20"/>
    </sheetView>
  </sheetViews>
  <sheetFormatPr defaultRowHeight="15"/>
  <cols>
    <col min="1" max="1" width="6.42578125" style="37" customWidth="1"/>
    <col min="2" max="2" width="9" style="37" customWidth="1"/>
    <col min="3" max="3" width="11.28515625" style="37" customWidth="1"/>
    <col min="4" max="4" width="9" style="37" customWidth="1"/>
    <col min="5" max="6" width="9" style="36" customWidth="1"/>
    <col min="7" max="7" width="12.85546875" style="36" customWidth="1"/>
    <col min="8" max="8" width="3.5703125" style="36" customWidth="1"/>
    <col min="9" max="9" width="2.85546875" style="36" customWidth="1"/>
    <col min="10" max="10" width="3.5703125" style="36" customWidth="1"/>
    <col min="11" max="11" width="3.5703125" style="37" customWidth="1"/>
    <col min="12" max="12" width="3.85546875" style="37" customWidth="1"/>
    <col min="13" max="15" width="3.5703125" style="37" customWidth="1"/>
    <col min="16" max="16" width="9" style="37" customWidth="1"/>
    <col min="17" max="17" width="9" style="5" customWidth="1"/>
  </cols>
  <sheetData>
    <row r="3" spans="1:17">
      <c r="A3" s="76"/>
      <c r="P3" s="76"/>
    </row>
    <row r="4" spans="1:17" ht="23.25">
      <c r="A4" s="76"/>
      <c r="B4" s="1039" t="s">
        <v>2684</v>
      </c>
      <c r="C4" s="1039"/>
      <c r="D4" s="1039"/>
      <c r="E4" s="1039"/>
      <c r="F4" s="1039"/>
      <c r="G4" s="1039"/>
      <c r="H4" s="1039"/>
      <c r="I4" s="1039"/>
      <c r="J4" s="1039"/>
      <c r="K4" s="1039"/>
      <c r="L4" s="1039"/>
      <c r="M4" s="1039"/>
      <c r="N4" s="1039"/>
      <c r="O4" s="1039"/>
      <c r="P4" s="76"/>
    </row>
    <row r="5" spans="1:17" ht="12" customHeight="1">
      <c r="A5" s="76"/>
      <c r="B5" s="76"/>
      <c r="C5" s="76"/>
      <c r="D5" s="76"/>
      <c r="E5" s="76"/>
      <c r="F5" s="76"/>
      <c r="G5" s="76"/>
      <c r="H5" s="77"/>
      <c r="I5" s="77"/>
      <c r="J5" s="77"/>
      <c r="K5" s="78"/>
      <c r="L5" s="78"/>
      <c r="M5" s="78"/>
      <c r="N5" s="78"/>
      <c r="O5" s="78"/>
      <c r="P5" s="78"/>
    </row>
    <row r="6" spans="1:17" ht="12" customHeight="1">
      <c r="A6" s="76"/>
      <c r="B6" s="76"/>
      <c r="C6" s="76"/>
      <c r="D6" s="76"/>
      <c r="E6" s="76"/>
      <c r="F6" s="76"/>
      <c r="G6" s="76"/>
      <c r="H6" s="77"/>
      <c r="I6" s="77"/>
      <c r="J6" s="77"/>
      <c r="K6" s="78"/>
      <c r="L6" s="78"/>
      <c r="M6" s="78"/>
      <c r="N6" s="78"/>
      <c r="O6" s="78"/>
      <c r="P6" s="78"/>
    </row>
    <row r="7" spans="1:17">
      <c r="A7" s="38"/>
      <c r="B7" s="105" t="s">
        <v>773</v>
      </c>
      <c r="C7" s="99"/>
      <c r="D7" s="99"/>
      <c r="E7" s="100"/>
      <c r="F7" s="100"/>
      <c r="G7" s="100"/>
      <c r="H7" s="100"/>
      <c r="I7" s="100"/>
      <c r="J7" s="100"/>
      <c r="K7" s="99" t="s">
        <v>4880</v>
      </c>
      <c r="L7" s="99"/>
      <c r="M7" s="43"/>
      <c r="N7" s="1033">
        <v>81</v>
      </c>
      <c r="O7" s="1033"/>
      <c r="P7" s="38"/>
    </row>
    <row r="8" spans="1:17" ht="6.95" customHeight="1">
      <c r="A8" s="38"/>
      <c r="B8" s="105"/>
      <c r="C8" s="99"/>
      <c r="D8" s="99"/>
      <c r="E8" s="100"/>
      <c r="F8" s="100"/>
      <c r="G8" s="100"/>
      <c r="H8" s="100"/>
      <c r="I8" s="100"/>
      <c r="J8" s="100"/>
      <c r="K8" s="99"/>
      <c r="L8" s="99"/>
      <c r="M8" s="99"/>
      <c r="N8" s="99"/>
      <c r="O8" s="99"/>
      <c r="P8" s="38"/>
    </row>
    <row r="9" spans="1:17" s="58" customFormat="1">
      <c r="A9" s="56"/>
      <c r="B9" s="106" t="s">
        <v>2699</v>
      </c>
      <c r="C9" s="98"/>
      <c r="D9" s="1049" t="s">
        <v>8461</v>
      </c>
      <c r="E9" s="1049"/>
      <c r="F9" s="1049"/>
      <c r="G9" s="1049"/>
      <c r="H9" s="1049"/>
      <c r="I9" s="1049"/>
      <c r="J9" s="1049"/>
      <c r="K9" s="1049"/>
      <c r="L9" s="1049"/>
      <c r="M9" s="1049"/>
      <c r="N9" s="1049"/>
      <c r="O9" s="1049"/>
      <c r="P9" s="98"/>
      <c r="Q9" s="57"/>
    </row>
    <row r="10" spans="1:17" ht="6.95" customHeight="1">
      <c r="A10" s="38"/>
      <c r="B10" s="99"/>
      <c r="C10" s="99"/>
      <c r="D10" s="99"/>
      <c r="E10" s="100"/>
      <c r="F10" s="100"/>
      <c r="G10" s="100"/>
      <c r="H10" s="100"/>
      <c r="I10" s="100"/>
      <c r="J10" s="100"/>
      <c r="K10" s="99"/>
      <c r="L10" s="99"/>
      <c r="M10" s="99"/>
      <c r="N10" s="99"/>
      <c r="O10" s="99"/>
      <c r="P10" s="99"/>
    </row>
    <row r="11" spans="1:17">
      <c r="A11" s="38"/>
      <c r="B11" s="106" t="s">
        <v>3716</v>
      </c>
      <c r="C11" s="99"/>
      <c r="D11" s="1046" t="s">
        <v>8462</v>
      </c>
      <c r="E11" s="1046"/>
      <c r="F11" s="1046"/>
      <c r="G11" s="1046"/>
      <c r="H11" s="1046"/>
      <c r="I11" s="1046"/>
      <c r="J11" s="1046"/>
      <c r="K11" s="1046"/>
      <c r="L11" s="1046"/>
      <c r="M11" s="1046"/>
      <c r="N11" s="1046"/>
      <c r="O11" s="1046"/>
      <c r="P11" s="99"/>
    </row>
    <row r="12" spans="1:17" ht="6.95" customHeight="1">
      <c r="A12" s="44"/>
      <c r="B12" s="44"/>
      <c r="C12" s="44"/>
      <c r="D12" s="44"/>
      <c r="E12" s="44"/>
      <c r="F12" s="44"/>
      <c r="G12" s="44"/>
      <c r="H12" s="100"/>
      <c r="I12" s="100"/>
      <c r="J12" s="100"/>
      <c r="K12" s="99"/>
      <c r="L12" s="99"/>
      <c r="M12" s="99"/>
      <c r="N12" s="99"/>
      <c r="O12" s="99"/>
      <c r="P12" s="99"/>
    </row>
    <row r="13" spans="1:17" s="35" customFormat="1">
      <c r="A13" s="107"/>
      <c r="B13" s="106" t="s">
        <v>5330</v>
      </c>
      <c r="C13" s="106"/>
      <c r="D13" s="355" t="s">
        <v>8461</v>
      </c>
      <c r="E13" s="355"/>
      <c r="F13" s="355"/>
      <c r="G13" s="355"/>
      <c r="H13" s="1031"/>
      <c r="I13" s="1031"/>
      <c r="J13" s="1030"/>
      <c r="K13" s="1030"/>
      <c r="L13" s="1030"/>
      <c r="M13" s="1030"/>
      <c r="N13" s="1030"/>
      <c r="O13" s="1030"/>
      <c r="P13" s="106"/>
      <c r="Q13" s="26"/>
    </row>
    <row r="14" spans="1:17" ht="6.95" customHeight="1">
      <c r="A14" s="38"/>
      <c r="B14" s="99"/>
      <c r="C14" s="99"/>
      <c r="D14" s="101"/>
      <c r="E14" s="102"/>
      <c r="F14" s="102"/>
      <c r="G14" s="102"/>
      <c r="H14" s="102"/>
      <c r="I14" s="102"/>
      <c r="J14" s="102"/>
      <c r="K14" s="103"/>
      <c r="L14" s="103"/>
      <c r="M14" s="103"/>
      <c r="N14" s="99"/>
      <c r="O14" s="99"/>
      <c r="P14" s="99"/>
    </row>
    <row r="15" spans="1:17">
      <c r="A15" s="38"/>
      <c r="B15" s="99" t="s">
        <v>2685</v>
      </c>
      <c r="C15" s="99"/>
      <c r="D15" s="1037" t="s">
        <v>8463</v>
      </c>
      <c r="E15" s="1037"/>
      <c r="F15" s="1037"/>
      <c r="G15" s="43"/>
      <c r="H15" s="1035" t="s">
        <v>2686</v>
      </c>
      <c r="I15" s="1035"/>
      <c r="J15" s="1035"/>
      <c r="K15" s="1035"/>
      <c r="L15" s="1035"/>
      <c r="M15" s="1047">
        <f>RESUMO_FASES!H35</f>
        <v>2110539.7200000002</v>
      </c>
      <c r="N15" s="1047"/>
      <c r="O15" s="1047"/>
      <c r="P15" s="1047"/>
    </row>
    <row r="16" spans="1:17" ht="6.95" customHeight="1">
      <c r="A16" s="38"/>
      <c r="B16" s="99"/>
      <c r="C16" s="99"/>
      <c r="D16" s="99"/>
      <c r="E16" s="100"/>
      <c r="F16" s="100"/>
      <c r="G16" s="100"/>
      <c r="H16" s="100"/>
      <c r="I16" s="100"/>
      <c r="J16" s="100"/>
      <c r="K16" s="99"/>
      <c r="L16" s="99"/>
      <c r="M16" s="99"/>
      <c r="N16" s="99"/>
      <c r="O16" s="99"/>
      <c r="P16" s="99"/>
    </row>
    <row r="17" spans="1:16">
      <c r="A17" s="38"/>
      <c r="B17" s="99" t="s">
        <v>769</v>
      </c>
      <c r="C17" s="99"/>
      <c r="D17" s="1038">
        <v>713.26</v>
      </c>
      <c r="E17" s="1038"/>
      <c r="F17" s="104"/>
      <c r="G17" s="99"/>
      <c r="H17" s="1048" t="s">
        <v>650</v>
      </c>
      <c r="I17" s="1048"/>
      <c r="J17" s="1048"/>
      <c r="K17" s="1048"/>
      <c r="L17" s="1048"/>
      <c r="M17" s="1036">
        <f>IF(D17&lt;&gt;"",M15/D17," ")</f>
        <v>2959.0047388049243</v>
      </c>
      <c r="N17" s="1036"/>
      <c r="O17" s="1036"/>
      <c r="P17" s="1036"/>
    </row>
    <row r="18" spans="1:16" ht="6.95" customHeight="1">
      <c r="A18" s="38"/>
      <c r="B18" s="99"/>
      <c r="C18" s="99"/>
      <c r="D18" s="99"/>
      <c r="E18" s="100"/>
      <c r="F18" s="100"/>
      <c r="G18" s="100"/>
      <c r="H18" s="100"/>
      <c r="I18" s="100"/>
      <c r="J18" s="100"/>
      <c r="K18" s="99"/>
      <c r="L18" s="99"/>
      <c r="M18" s="99"/>
      <c r="N18" s="99"/>
      <c r="O18" s="99"/>
      <c r="P18" s="99"/>
    </row>
    <row r="19" spans="1:16">
      <c r="A19" s="38"/>
      <c r="B19" s="99" t="s">
        <v>45</v>
      </c>
      <c r="C19" s="99"/>
      <c r="D19" s="1034">
        <f ca="1">TODAY()</f>
        <v>44860</v>
      </c>
      <c r="E19" s="1034"/>
      <c r="F19" s="1034"/>
      <c r="G19" s="100"/>
      <c r="H19" s="1035" t="s">
        <v>4882</v>
      </c>
      <c r="I19" s="1035"/>
      <c r="J19" s="1035"/>
      <c r="K19" s="1035"/>
      <c r="L19" s="1035"/>
      <c r="M19" s="1032" t="s">
        <v>14583</v>
      </c>
      <c r="N19" s="1032"/>
      <c r="O19" s="1032"/>
      <c r="P19" s="356"/>
    </row>
    <row r="20" spans="1:16" ht="8.25" customHeight="1">
      <c r="A20" s="38"/>
      <c r="B20" s="99"/>
      <c r="C20" s="99"/>
      <c r="D20" s="99"/>
      <c r="E20" s="100"/>
      <c r="F20" s="100"/>
      <c r="G20" s="100"/>
      <c r="H20" s="100"/>
      <c r="I20" s="100"/>
      <c r="J20" s="100"/>
      <c r="K20" s="99"/>
      <c r="L20" s="99"/>
      <c r="M20" s="99"/>
      <c r="N20" s="99"/>
      <c r="O20" s="99"/>
      <c r="P20" s="99"/>
    </row>
    <row r="21" spans="1:16">
      <c r="A21" s="38"/>
      <c r="B21" s="99" t="s">
        <v>4881</v>
      </c>
      <c r="C21" s="99"/>
      <c r="D21" s="359" t="str">
        <f>SERVIÇOS!D2</f>
        <v>SINAPI PR - JULHO 2022 - NÃO DESONERADO</v>
      </c>
      <c r="E21" s="359"/>
      <c r="F21" s="359"/>
      <c r="G21" s="357"/>
      <c r="H21" s="1029"/>
      <c r="I21" s="1029"/>
      <c r="J21" s="1029"/>
      <c r="K21" s="1029"/>
      <c r="L21" s="1029"/>
      <c r="M21" s="358"/>
      <c r="N21" s="358"/>
      <c r="O21" s="358"/>
      <c r="P21" s="356"/>
    </row>
    <row r="22" spans="1:16" ht="8.25" customHeight="1">
      <c r="A22" s="38"/>
      <c r="B22" s="99"/>
      <c r="C22" s="99"/>
      <c r="D22" s="99"/>
      <c r="E22" s="242"/>
      <c r="F22" s="242"/>
      <c r="G22" s="242"/>
      <c r="H22" s="242"/>
      <c r="I22" s="242"/>
      <c r="J22" s="242"/>
      <c r="K22" s="99"/>
      <c r="L22" s="99"/>
      <c r="M22" s="99"/>
      <c r="N22" s="99"/>
      <c r="O22" s="99"/>
      <c r="P22" s="99"/>
    </row>
    <row r="23" spans="1:16">
      <c r="A23" s="38"/>
      <c r="B23" s="105" t="s">
        <v>774</v>
      </c>
      <c r="C23" s="105"/>
      <c r="D23" s="105"/>
      <c r="E23" s="100"/>
      <c r="F23" s="100"/>
      <c r="G23" s="100"/>
      <c r="H23" s="100"/>
      <c r="I23" s="100"/>
      <c r="J23" s="100"/>
      <c r="K23" s="99"/>
      <c r="L23" s="99"/>
      <c r="M23" s="99"/>
      <c r="N23" s="99"/>
      <c r="O23" s="99"/>
      <c r="P23" s="99"/>
    </row>
    <row r="24" spans="1:16" ht="6.95" customHeight="1">
      <c r="A24" s="38"/>
      <c r="B24" s="99"/>
      <c r="C24" s="99"/>
      <c r="D24" s="99"/>
      <c r="E24" s="100"/>
      <c r="F24" s="100"/>
      <c r="G24" s="100"/>
      <c r="H24" s="100"/>
      <c r="I24" s="100"/>
      <c r="J24" s="100"/>
      <c r="K24" s="99"/>
      <c r="L24" s="99"/>
      <c r="M24" s="99"/>
      <c r="N24" s="99"/>
      <c r="O24" s="99"/>
      <c r="P24" s="99"/>
    </row>
    <row r="25" spans="1:16">
      <c r="A25" s="38"/>
      <c r="B25" s="99" t="s">
        <v>771</v>
      </c>
      <c r="C25" s="99"/>
      <c r="D25" s="1041" t="s">
        <v>5331</v>
      </c>
      <c r="E25" s="1041"/>
      <c r="F25" s="1041"/>
      <c r="G25" s="1041"/>
      <c r="H25" s="1041"/>
      <c r="I25" s="1041"/>
      <c r="J25" s="1041"/>
      <c r="K25" s="1041"/>
      <c r="L25" s="1041"/>
      <c r="M25" s="1041"/>
      <c r="N25" s="1041"/>
      <c r="O25" s="1041"/>
      <c r="P25" s="99"/>
    </row>
    <row r="26" spans="1:16" ht="6.95" customHeight="1">
      <c r="A26" s="38"/>
      <c r="B26" s="99"/>
      <c r="C26" s="99"/>
      <c r="D26" s="99"/>
      <c r="E26" s="100"/>
      <c r="F26" s="100"/>
      <c r="G26" s="100"/>
      <c r="H26" s="100"/>
      <c r="I26" s="100"/>
      <c r="J26" s="100"/>
      <c r="K26" s="99"/>
      <c r="L26" s="99"/>
      <c r="M26" s="99"/>
      <c r="N26" s="99"/>
      <c r="O26" s="99"/>
      <c r="P26" s="99"/>
    </row>
    <row r="27" spans="1:16">
      <c r="A27" s="38"/>
      <c r="B27" s="99" t="s">
        <v>772</v>
      </c>
      <c r="C27" s="99"/>
      <c r="D27" s="1041" t="s">
        <v>5332</v>
      </c>
      <c r="E27" s="1041"/>
      <c r="F27" s="1041"/>
      <c r="G27" s="1041"/>
      <c r="H27" s="1041"/>
      <c r="I27" s="1041"/>
      <c r="J27" s="1041"/>
      <c r="K27" s="1041"/>
      <c r="L27" s="1041"/>
      <c r="M27" s="1041"/>
      <c r="N27" s="1041"/>
      <c r="O27" s="1041"/>
      <c r="P27" s="99"/>
    </row>
    <row r="28" spans="1:16" ht="6.95" customHeight="1">
      <c r="A28" s="38"/>
      <c r="B28" s="99"/>
      <c r="C28" s="99"/>
      <c r="D28" s="99"/>
      <c r="E28" s="100"/>
      <c r="F28" s="100"/>
      <c r="G28" s="100"/>
      <c r="H28" s="100"/>
      <c r="I28" s="100"/>
      <c r="J28" s="100"/>
      <c r="K28" s="99"/>
      <c r="L28" s="99"/>
      <c r="M28" s="99"/>
      <c r="N28" s="99"/>
      <c r="O28" s="99"/>
      <c r="P28" s="99"/>
    </row>
    <row r="29" spans="1:16">
      <c r="A29" s="38"/>
      <c r="B29" s="99" t="s">
        <v>2687</v>
      </c>
      <c r="C29" s="99"/>
      <c r="D29" s="1041" t="s">
        <v>6828</v>
      </c>
      <c r="E29" s="1041"/>
      <c r="F29" s="1041"/>
      <c r="G29" s="1041"/>
      <c r="H29" s="1041"/>
      <c r="I29" s="1041"/>
      <c r="J29" s="1041"/>
      <c r="K29" s="1041"/>
      <c r="L29" s="1041"/>
      <c r="M29" s="1041"/>
      <c r="N29" s="1041"/>
      <c r="O29" s="1041"/>
      <c r="P29" s="99"/>
    </row>
    <row r="30" spans="1:16" ht="6.95" customHeight="1">
      <c r="A30" s="38"/>
      <c r="B30" s="99"/>
      <c r="C30" s="99"/>
      <c r="D30" s="99"/>
      <c r="E30" s="102"/>
      <c r="F30" s="102"/>
      <c r="G30" s="102"/>
      <c r="H30" s="102"/>
      <c r="I30" s="102"/>
      <c r="J30" s="102"/>
      <c r="K30" s="103"/>
      <c r="L30" s="103"/>
      <c r="M30" s="103"/>
      <c r="N30" s="99"/>
      <c r="O30" s="99"/>
      <c r="P30" s="99"/>
    </row>
    <row r="31" spans="1:16">
      <c r="A31" s="38"/>
      <c r="B31" s="99" t="s">
        <v>2688</v>
      </c>
      <c r="C31" s="99"/>
      <c r="D31" s="1043">
        <v>11600594</v>
      </c>
      <c r="E31" s="1043"/>
      <c r="F31" s="1043"/>
      <c r="G31" s="1043"/>
      <c r="H31" s="1043"/>
      <c r="I31" s="1043"/>
      <c r="J31" s="1043"/>
      <c r="K31" s="1043"/>
      <c r="L31" s="1043"/>
      <c r="M31" s="1043"/>
      <c r="N31" s="1043"/>
      <c r="O31" s="1043"/>
      <c r="P31" s="99"/>
    </row>
    <row r="32" spans="1:16" ht="6.95" customHeight="1">
      <c r="A32" s="38"/>
      <c r="B32" s="99"/>
      <c r="C32" s="99"/>
      <c r="D32" s="99"/>
      <c r="E32" s="100"/>
      <c r="F32" s="100"/>
      <c r="G32" s="100"/>
      <c r="H32" s="100"/>
      <c r="I32" s="100"/>
      <c r="J32" s="100"/>
      <c r="K32" s="99"/>
      <c r="L32" s="99"/>
      <c r="M32" s="99"/>
      <c r="N32" s="99"/>
      <c r="O32" s="99"/>
      <c r="P32" s="99"/>
    </row>
    <row r="33" spans="1:17">
      <c r="A33" s="38"/>
      <c r="B33" s="99" t="s">
        <v>770</v>
      </c>
      <c r="C33" s="99"/>
      <c r="D33" s="1041" t="s">
        <v>5333</v>
      </c>
      <c r="E33" s="1041"/>
      <c r="F33" s="1041"/>
      <c r="G33" s="1041"/>
      <c r="H33" s="1041"/>
      <c r="I33" s="1041"/>
      <c r="J33" s="1041"/>
      <c r="K33" s="1041"/>
      <c r="L33" s="1041"/>
      <c r="M33" s="1041"/>
      <c r="N33" s="1041"/>
      <c r="O33" s="1041"/>
      <c r="P33" s="99"/>
    </row>
    <row r="34" spans="1:17" ht="6.95" customHeight="1">
      <c r="A34" s="38"/>
      <c r="B34" s="99"/>
      <c r="C34" s="99"/>
      <c r="D34" s="99"/>
      <c r="E34" s="100"/>
      <c r="F34" s="100"/>
      <c r="G34" s="100"/>
      <c r="H34" s="100"/>
      <c r="I34" s="100"/>
      <c r="J34" s="100"/>
      <c r="K34" s="99"/>
      <c r="L34" s="99"/>
      <c r="M34" s="99"/>
      <c r="N34" s="99"/>
      <c r="O34" s="99"/>
      <c r="P34" s="99"/>
    </row>
    <row r="35" spans="1:17">
      <c r="A35" s="38"/>
      <c r="B35" s="99" t="s">
        <v>575</v>
      </c>
      <c r="C35" s="99"/>
      <c r="D35" s="1041"/>
      <c r="E35" s="1041"/>
      <c r="F35" s="1041"/>
      <c r="G35" s="1041"/>
      <c r="H35" s="1041"/>
      <c r="I35" s="1041"/>
      <c r="J35" s="1041"/>
      <c r="K35" s="1041"/>
      <c r="L35" s="1041"/>
      <c r="M35" s="1041"/>
      <c r="N35" s="1041"/>
      <c r="O35" s="1041"/>
      <c r="P35" s="99"/>
    </row>
    <row r="36" spans="1:17" ht="6.95" customHeight="1">
      <c r="A36" s="38"/>
      <c r="B36" s="99"/>
      <c r="C36" s="99"/>
      <c r="D36" s="99"/>
      <c r="E36" s="102"/>
      <c r="F36" s="102"/>
      <c r="G36" s="102"/>
      <c r="H36" s="102"/>
      <c r="I36" s="102"/>
      <c r="J36" s="102"/>
      <c r="K36" s="103"/>
      <c r="L36" s="103"/>
      <c r="M36" s="103"/>
      <c r="N36" s="99"/>
      <c r="O36" s="99"/>
      <c r="P36" s="99"/>
    </row>
    <row r="37" spans="1:17">
      <c r="A37" s="38"/>
      <c r="B37" s="99" t="s">
        <v>651</v>
      </c>
      <c r="C37" s="99"/>
      <c r="D37" s="1042" t="s">
        <v>6944</v>
      </c>
      <c r="E37" s="1041"/>
      <c r="F37" s="1041"/>
      <c r="G37" s="1041"/>
      <c r="H37" s="1041"/>
      <c r="I37" s="1041"/>
      <c r="J37" s="1041"/>
      <c r="K37" s="1041"/>
      <c r="L37" s="1041"/>
      <c r="M37" s="1041"/>
      <c r="N37" s="1041"/>
      <c r="O37" s="1041"/>
      <c r="P37" s="99"/>
    </row>
    <row r="38" spans="1:17" ht="12" customHeight="1">
      <c r="A38" s="38"/>
      <c r="B38" s="38"/>
      <c r="C38" s="38"/>
      <c r="D38" s="38"/>
      <c r="E38" s="42"/>
      <c r="F38" s="42"/>
      <c r="G38" s="42"/>
      <c r="H38" s="42"/>
      <c r="I38" s="42"/>
      <c r="J38" s="42"/>
      <c r="K38" s="38"/>
      <c r="L38" s="38"/>
      <c r="M38" s="38"/>
      <c r="N38" s="38"/>
      <c r="O38" s="38"/>
      <c r="P38" s="38"/>
    </row>
    <row r="39" spans="1:17">
      <c r="A39" s="38"/>
      <c r="B39" s="105" t="s">
        <v>2866</v>
      </c>
      <c r="C39" s="38"/>
      <c r="D39" s="38"/>
      <c r="E39" s="42"/>
      <c r="F39" s="42"/>
      <c r="G39" s="42"/>
      <c r="H39" s="42"/>
      <c r="I39" s="42"/>
      <c r="J39" s="42"/>
      <c r="K39" s="38"/>
      <c r="L39" s="38"/>
      <c r="M39" s="38"/>
      <c r="N39" s="38"/>
      <c r="O39" s="38"/>
      <c r="P39" s="38"/>
    </row>
    <row r="40" spans="1:17" ht="6" customHeight="1">
      <c r="A40" s="38"/>
      <c r="C40" s="38"/>
      <c r="D40" s="38"/>
      <c r="E40" s="42"/>
      <c r="F40" s="42"/>
      <c r="G40" s="42"/>
      <c r="H40" s="42"/>
      <c r="I40" s="42"/>
      <c r="J40" s="42"/>
      <c r="K40" s="38"/>
      <c r="L40" s="38"/>
      <c r="M40" s="38"/>
      <c r="N40" s="38"/>
      <c r="O40" s="38"/>
      <c r="P40" s="38"/>
    </row>
    <row r="41" spans="1:17">
      <c r="A41" s="38"/>
      <c r="B41" s="105" t="s">
        <v>775</v>
      </c>
      <c r="C41" s="40"/>
      <c r="D41" s="40"/>
      <c r="E41" s="41"/>
      <c r="F41" s="41"/>
      <c r="G41" s="41"/>
      <c r="H41" s="41" t="s">
        <v>776</v>
      </c>
      <c r="I41" s="41"/>
      <c r="J41" s="41"/>
      <c r="K41" s="41" t="s">
        <v>777</v>
      </c>
      <c r="L41" s="41"/>
      <c r="M41" s="41"/>
      <c r="N41" s="41" t="s">
        <v>778</v>
      </c>
      <c r="O41" s="41"/>
      <c r="P41" s="38"/>
    </row>
    <row r="42" spans="1:17" ht="6.95" customHeight="1">
      <c r="A42" s="38"/>
      <c r="B42" s="39"/>
      <c r="C42" s="38"/>
      <c r="D42" s="38"/>
      <c r="E42" s="42"/>
      <c r="F42" s="42"/>
      <c r="G42" s="42"/>
      <c r="H42" s="42"/>
      <c r="I42" s="42"/>
      <c r="J42" s="42"/>
      <c r="K42" s="38"/>
      <c r="L42" s="38"/>
      <c r="M42" s="38"/>
      <c r="N42" s="38"/>
      <c r="O42" s="38"/>
      <c r="P42" s="38"/>
    </row>
    <row r="43" spans="1:17" s="9" customFormat="1">
      <c r="A43" s="40"/>
      <c r="B43" s="38" t="s">
        <v>779</v>
      </c>
      <c r="C43" s="38"/>
      <c r="D43" s="38"/>
      <c r="E43" s="42"/>
      <c r="F43" s="42"/>
      <c r="G43" s="42"/>
      <c r="H43" s="84" t="s">
        <v>2879</v>
      </c>
      <c r="I43" s="42"/>
      <c r="J43" s="42"/>
      <c r="K43" s="84"/>
      <c r="L43" s="42"/>
      <c r="M43" s="42"/>
      <c r="N43" s="84"/>
      <c r="O43" s="38"/>
      <c r="P43" s="40"/>
      <c r="Q43" s="45"/>
    </row>
    <row r="44" spans="1:17" ht="6" customHeight="1">
      <c r="A44" s="38"/>
      <c r="B44" s="38"/>
      <c r="C44" s="38"/>
      <c r="D44" s="38"/>
      <c r="E44" s="42"/>
      <c r="F44" s="42"/>
      <c r="G44" s="42"/>
      <c r="H44" s="42"/>
      <c r="I44" s="42"/>
      <c r="J44" s="42"/>
      <c r="K44" s="42"/>
      <c r="L44" s="42"/>
      <c r="M44" s="42"/>
      <c r="N44" s="42"/>
      <c r="O44" s="38"/>
      <c r="P44" s="38"/>
    </row>
    <row r="45" spans="1:17">
      <c r="A45" s="38"/>
      <c r="B45" s="38" t="s">
        <v>780</v>
      </c>
      <c r="C45" s="38"/>
      <c r="D45" s="38"/>
      <c r="E45" s="42"/>
      <c r="F45" s="42"/>
      <c r="G45" s="42"/>
      <c r="H45" s="84" t="s">
        <v>2879</v>
      </c>
      <c r="I45" s="42"/>
      <c r="J45" s="42"/>
      <c r="K45" s="84"/>
      <c r="L45" s="42"/>
      <c r="M45" s="42"/>
      <c r="N45" s="84"/>
      <c r="O45" s="38"/>
      <c r="P45" s="38"/>
    </row>
    <row r="46" spans="1:17" ht="6" customHeight="1">
      <c r="A46" s="38"/>
      <c r="B46" s="38"/>
      <c r="C46" s="38"/>
      <c r="D46" s="38"/>
      <c r="E46" s="42"/>
      <c r="F46" s="42"/>
      <c r="G46" s="42"/>
      <c r="H46" s="42"/>
      <c r="I46" s="42"/>
      <c r="J46" s="42"/>
      <c r="K46" s="42"/>
      <c r="L46" s="42"/>
      <c r="M46" s="42"/>
      <c r="N46" s="42"/>
      <c r="O46" s="38"/>
      <c r="P46" s="38"/>
    </row>
    <row r="47" spans="1:17">
      <c r="A47" s="38"/>
      <c r="B47" s="67" t="s">
        <v>2705</v>
      </c>
      <c r="C47" s="38"/>
      <c r="D47" s="38"/>
      <c r="E47" s="42"/>
      <c r="F47" s="42"/>
      <c r="G47" s="42"/>
      <c r="H47" s="84" t="s">
        <v>2879</v>
      </c>
      <c r="I47" s="42"/>
      <c r="J47" s="42"/>
      <c r="K47" s="84"/>
      <c r="L47" s="42"/>
      <c r="M47" s="42"/>
      <c r="N47" s="84"/>
      <c r="O47" s="38"/>
      <c r="P47" s="38"/>
    </row>
    <row r="48" spans="1:17" ht="6" customHeight="1">
      <c r="A48" s="38"/>
      <c r="B48" s="46"/>
      <c r="C48" s="46"/>
      <c r="D48" s="46"/>
      <c r="E48" s="47"/>
      <c r="F48" s="47"/>
      <c r="G48" s="47"/>
      <c r="H48" s="47"/>
      <c r="I48" s="47"/>
      <c r="J48" s="47"/>
      <c r="K48" s="46"/>
      <c r="L48" s="46"/>
      <c r="M48" s="46"/>
      <c r="N48" s="46"/>
      <c r="O48" s="46"/>
      <c r="P48" s="38"/>
    </row>
    <row r="49" spans="1:16">
      <c r="A49" s="38"/>
      <c r="B49" s="38" t="s">
        <v>781</v>
      </c>
      <c r="C49" s="38"/>
      <c r="D49" s="38"/>
      <c r="E49" s="42"/>
      <c r="F49" s="42"/>
      <c r="G49" s="42"/>
      <c r="H49" s="84" t="s">
        <v>2879</v>
      </c>
      <c r="I49" s="42"/>
      <c r="J49" s="42"/>
      <c r="K49" s="84"/>
      <c r="L49" s="42"/>
      <c r="M49" s="42"/>
      <c r="N49" s="84"/>
      <c r="O49" s="38"/>
      <c r="P49" s="38"/>
    </row>
    <row r="50" spans="1:16" ht="6" customHeight="1">
      <c r="A50" s="38"/>
      <c r="B50" s="38"/>
      <c r="C50" s="38"/>
      <c r="D50" s="38"/>
      <c r="E50" s="42"/>
      <c r="F50" s="42"/>
      <c r="G50" s="42"/>
      <c r="H50" s="42"/>
      <c r="I50" s="42"/>
      <c r="J50" s="42"/>
      <c r="K50" s="42"/>
      <c r="L50" s="42"/>
      <c r="M50" s="42"/>
      <c r="N50" s="42"/>
      <c r="O50" s="38"/>
      <c r="P50" s="38"/>
    </row>
    <row r="51" spans="1:16">
      <c r="A51" s="38"/>
      <c r="B51" s="38" t="s">
        <v>1893</v>
      </c>
      <c r="C51" s="38"/>
      <c r="D51" s="38"/>
      <c r="E51" s="42"/>
      <c r="F51" s="42"/>
      <c r="G51" s="42"/>
      <c r="H51" s="84" t="s">
        <v>2879</v>
      </c>
      <c r="I51" s="42"/>
      <c r="J51" s="42"/>
      <c r="K51" s="84"/>
      <c r="L51" s="42"/>
      <c r="M51" s="42"/>
      <c r="N51" s="84"/>
      <c r="O51" s="38"/>
      <c r="P51" s="38"/>
    </row>
    <row r="52" spans="1:16" ht="6" customHeight="1">
      <c r="A52" s="38"/>
      <c r="B52" s="46"/>
      <c r="C52" s="46"/>
      <c r="D52" s="46"/>
      <c r="E52" s="47"/>
      <c r="F52" s="47"/>
      <c r="G52" s="47"/>
      <c r="H52" s="47"/>
      <c r="I52" s="47"/>
      <c r="J52" s="47"/>
      <c r="K52" s="46"/>
      <c r="L52" s="46"/>
      <c r="M52" s="46"/>
      <c r="N52" s="46"/>
      <c r="O52" s="46"/>
      <c r="P52" s="38"/>
    </row>
    <row r="53" spans="1:16">
      <c r="A53" s="38"/>
      <c r="B53" s="38" t="s">
        <v>784</v>
      </c>
      <c r="C53" s="38"/>
      <c r="D53" s="38"/>
      <c r="E53" s="42"/>
      <c r="F53" s="42"/>
      <c r="G53" s="42"/>
      <c r="H53" s="84" t="s">
        <v>2879</v>
      </c>
      <c r="I53" s="42"/>
      <c r="J53" s="42"/>
      <c r="K53" s="84"/>
      <c r="L53" s="42"/>
      <c r="M53" s="42"/>
      <c r="N53" s="84"/>
      <c r="O53" s="38"/>
      <c r="P53" s="38"/>
    </row>
    <row r="54" spans="1:16" ht="6" customHeight="1">
      <c r="A54" s="38"/>
      <c r="B54" s="38"/>
      <c r="C54" s="38"/>
      <c r="D54" s="38"/>
      <c r="E54" s="42"/>
      <c r="F54" s="42"/>
      <c r="G54" s="42"/>
      <c r="H54" s="42"/>
      <c r="I54" s="42"/>
      <c r="J54" s="42"/>
      <c r="K54" s="42"/>
      <c r="L54" s="42"/>
      <c r="M54" s="42"/>
      <c r="N54" s="42"/>
      <c r="O54" s="38"/>
      <c r="P54" s="38"/>
    </row>
    <row r="55" spans="1:16">
      <c r="A55" s="38"/>
      <c r="B55" s="38" t="s">
        <v>1894</v>
      </c>
      <c r="C55" s="38"/>
      <c r="D55" s="38"/>
      <c r="E55" s="42"/>
      <c r="F55" s="42"/>
      <c r="G55" s="42"/>
      <c r="H55" s="84" t="s">
        <v>2879</v>
      </c>
      <c r="I55" s="42"/>
      <c r="J55" s="42"/>
      <c r="K55" s="84"/>
      <c r="L55" s="42"/>
      <c r="M55" s="42"/>
      <c r="N55" s="84"/>
      <c r="O55" s="38"/>
      <c r="P55" s="38"/>
    </row>
    <row r="56" spans="1:16" ht="6" customHeight="1">
      <c r="A56" s="38"/>
      <c r="B56" s="38"/>
      <c r="C56" s="38"/>
      <c r="D56" s="38"/>
      <c r="E56" s="42"/>
      <c r="F56" s="42"/>
      <c r="G56" s="42"/>
      <c r="H56" s="42"/>
      <c r="I56" s="42"/>
      <c r="J56" s="42"/>
      <c r="K56" s="42"/>
      <c r="L56" s="42"/>
      <c r="M56" s="42"/>
      <c r="N56" s="42"/>
      <c r="O56" s="38"/>
      <c r="P56" s="38"/>
    </row>
    <row r="57" spans="1:16">
      <c r="A57" s="38"/>
      <c r="B57" s="38" t="s">
        <v>1890</v>
      </c>
      <c r="C57" s="38"/>
      <c r="D57" s="38"/>
      <c r="E57" s="42"/>
      <c r="F57" s="42"/>
      <c r="G57" s="42"/>
      <c r="H57" s="84" t="s">
        <v>2879</v>
      </c>
      <c r="I57" s="42"/>
      <c r="J57" s="42"/>
      <c r="K57" s="84"/>
      <c r="L57" s="42"/>
      <c r="M57" s="42"/>
      <c r="N57" s="84"/>
      <c r="O57" s="38"/>
      <c r="P57" s="38"/>
    </row>
    <row r="58" spans="1:16" ht="6" customHeight="1">
      <c r="A58" s="38"/>
      <c r="B58" s="38"/>
      <c r="C58" s="38"/>
      <c r="D58" s="38"/>
      <c r="E58" s="42"/>
      <c r="F58" s="42"/>
      <c r="G58" s="42"/>
      <c r="H58" s="42"/>
      <c r="I58" s="42"/>
      <c r="J58" s="42"/>
      <c r="K58" s="42"/>
      <c r="L58" s="42"/>
      <c r="M58" s="42"/>
      <c r="N58" s="42"/>
      <c r="O58" s="38"/>
      <c r="P58" s="38"/>
    </row>
    <row r="59" spans="1:16">
      <c r="A59" s="38"/>
      <c r="B59" s="38" t="s">
        <v>2864</v>
      </c>
      <c r="C59" s="38"/>
      <c r="D59" s="38"/>
      <c r="E59" s="42"/>
      <c r="F59" s="42"/>
      <c r="G59" s="42"/>
      <c r="H59" s="84" t="s">
        <v>2879</v>
      </c>
      <c r="I59" s="42"/>
      <c r="J59" s="42"/>
      <c r="K59" s="84"/>
      <c r="L59" s="42"/>
      <c r="M59" s="42"/>
      <c r="N59" s="84"/>
      <c r="O59" s="38"/>
      <c r="P59" s="38"/>
    </row>
    <row r="60" spans="1:16" ht="6" customHeight="1">
      <c r="A60" s="38"/>
      <c r="B60" s="38"/>
      <c r="C60" s="38"/>
      <c r="D60" s="38"/>
      <c r="E60" s="42"/>
      <c r="F60" s="42"/>
      <c r="G60" s="42"/>
      <c r="H60" s="42"/>
      <c r="I60" s="42"/>
      <c r="J60" s="42"/>
      <c r="K60" s="42"/>
      <c r="L60" s="42"/>
      <c r="M60" s="42"/>
      <c r="N60" s="42"/>
      <c r="O60" s="38"/>
      <c r="P60" s="38"/>
    </row>
    <row r="61" spans="1:16">
      <c r="A61" s="38"/>
      <c r="B61" s="38" t="s">
        <v>1895</v>
      </c>
      <c r="C61" s="38"/>
      <c r="D61" s="38"/>
      <c r="E61" s="42"/>
      <c r="F61" s="42"/>
      <c r="G61" s="42"/>
      <c r="H61" s="84" t="s">
        <v>2879</v>
      </c>
      <c r="I61" s="42"/>
      <c r="J61" s="42"/>
      <c r="K61" s="84"/>
      <c r="L61" s="42"/>
      <c r="M61" s="42"/>
      <c r="N61" s="84"/>
      <c r="O61" s="38"/>
      <c r="P61" s="38"/>
    </row>
    <row r="62" spans="1:16" ht="6" customHeight="1">
      <c r="A62" s="38"/>
      <c r="B62" s="38"/>
      <c r="C62" s="38"/>
      <c r="D62" s="38"/>
      <c r="E62" s="42"/>
      <c r="F62" s="42"/>
      <c r="G62" s="42"/>
      <c r="H62" s="42"/>
      <c r="I62" s="42"/>
      <c r="J62" s="42"/>
      <c r="K62" s="42"/>
      <c r="L62" s="42"/>
      <c r="M62" s="42"/>
      <c r="N62" s="85"/>
      <c r="O62" s="38"/>
      <c r="P62" s="38"/>
    </row>
    <row r="63" spans="1:16">
      <c r="A63" s="38"/>
      <c r="B63" s="38" t="s">
        <v>1892</v>
      </c>
      <c r="C63" s="38"/>
      <c r="D63" s="38"/>
      <c r="E63" s="42"/>
      <c r="F63" s="42"/>
      <c r="G63" s="42"/>
      <c r="H63" s="84" t="s">
        <v>2879</v>
      </c>
      <c r="I63" s="42"/>
      <c r="J63" s="42"/>
      <c r="K63" s="84"/>
      <c r="L63" s="42"/>
      <c r="M63" s="42"/>
      <c r="N63" s="84"/>
      <c r="O63" s="38"/>
      <c r="P63" s="38"/>
    </row>
    <row r="64" spans="1:16" ht="6" customHeight="1">
      <c r="A64" s="38"/>
      <c r="B64" s="38"/>
      <c r="C64" s="38"/>
      <c r="D64" s="38"/>
      <c r="E64" s="42"/>
      <c r="F64" s="42"/>
      <c r="G64" s="42"/>
      <c r="H64" s="42"/>
      <c r="I64" s="42"/>
      <c r="J64" s="42"/>
      <c r="K64" s="42"/>
      <c r="L64" s="42"/>
      <c r="M64" s="42"/>
      <c r="N64" s="42"/>
      <c r="O64" s="38"/>
      <c r="P64" s="38"/>
    </row>
    <row r="65" spans="1:17">
      <c r="A65" s="38"/>
      <c r="B65" s="38" t="s">
        <v>1891</v>
      </c>
      <c r="C65" s="38"/>
      <c r="D65" s="38"/>
      <c r="E65" s="42"/>
      <c r="F65" s="42"/>
      <c r="G65" s="42"/>
      <c r="H65" s="84"/>
      <c r="I65" s="42"/>
      <c r="J65" s="42"/>
      <c r="K65" s="84" t="s">
        <v>2879</v>
      </c>
      <c r="L65" s="42"/>
      <c r="M65" s="42"/>
      <c r="N65" s="84"/>
      <c r="O65" s="38"/>
      <c r="P65" s="38"/>
    </row>
    <row r="66" spans="1:17" ht="6" customHeight="1">
      <c r="A66" s="38"/>
      <c r="B66" s="38"/>
      <c r="C66" s="38"/>
      <c r="D66" s="38"/>
      <c r="E66" s="42"/>
      <c r="F66" s="42"/>
      <c r="G66" s="42"/>
      <c r="H66" s="42"/>
      <c r="I66" s="42"/>
      <c r="J66" s="42"/>
      <c r="K66" s="42"/>
      <c r="L66" s="42"/>
      <c r="M66" s="42"/>
      <c r="N66" s="42"/>
      <c r="O66" s="38"/>
      <c r="P66" s="38"/>
    </row>
    <row r="67" spans="1:17">
      <c r="A67" s="38"/>
      <c r="B67" s="38" t="s">
        <v>1896</v>
      </c>
      <c r="C67" s="38"/>
      <c r="D67" s="38"/>
      <c r="E67" s="42"/>
      <c r="F67" s="42"/>
      <c r="G67" s="42"/>
      <c r="H67" s="84" t="s">
        <v>2879</v>
      </c>
      <c r="I67" s="42"/>
      <c r="J67" s="42"/>
      <c r="K67" s="84"/>
      <c r="L67" s="42"/>
      <c r="M67" s="42"/>
      <c r="N67" s="84"/>
      <c r="O67" s="38"/>
      <c r="P67" s="38"/>
    </row>
    <row r="68" spans="1:17" ht="6" customHeight="1">
      <c r="A68" s="38"/>
      <c r="B68" s="38"/>
      <c r="C68" s="38"/>
      <c r="D68" s="38"/>
      <c r="E68" s="42"/>
      <c r="F68" s="42"/>
      <c r="G68" s="42"/>
      <c r="H68" s="42"/>
      <c r="I68" s="42"/>
      <c r="J68" s="42"/>
      <c r="K68" s="42"/>
      <c r="L68" s="42"/>
      <c r="M68" s="42"/>
      <c r="N68" s="42"/>
      <c r="O68" s="38"/>
      <c r="P68" s="38"/>
    </row>
    <row r="69" spans="1:17">
      <c r="A69" s="38"/>
      <c r="B69" s="38" t="s">
        <v>782</v>
      </c>
      <c r="C69" s="38"/>
      <c r="D69" s="38"/>
      <c r="E69" s="42"/>
      <c r="F69" s="42"/>
      <c r="G69" s="42"/>
      <c r="H69" s="84"/>
      <c r="I69" s="42"/>
      <c r="J69" s="42"/>
      <c r="K69" s="84"/>
      <c r="L69" s="42"/>
      <c r="M69" s="42"/>
      <c r="N69" s="84" t="s">
        <v>2879</v>
      </c>
      <c r="O69" s="38"/>
      <c r="P69" s="38"/>
    </row>
    <row r="70" spans="1:17" ht="6.95" customHeight="1">
      <c r="A70" s="38"/>
      <c r="B70" s="38"/>
      <c r="C70" s="38"/>
      <c r="D70" s="38"/>
      <c r="E70" s="42"/>
      <c r="F70" s="42"/>
      <c r="G70" s="42"/>
      <c r="H70" s="42"/>
      <c r="I70" s="42"/>
      <c r="J70" s="42"/>
      <c r="K70" s="42"/>
      <c r="L70" s="42"/>
      <c r="M70" s="42"/>
      <c r="N70" s="42"/>
      <c r="O70" s="38"/>
      <c r="P70" s="38"/>
    </row>
    <row r="71" spans="1:17">
      <c r="A71" s="38"/>
      <c r="B71" s="38" t="s">
        <v>783</v>
      </c>
      <c r="C71" s="38"/>
      <c r="D71" s="38"/>
      <c r="E71" s="42"/>
      <c r="F71" s="42"/>
      <c r="G71" s="42"/>
      <c r="H71" s="84"/>
      <c r="I71" s="42"/>
      <c r="J71" s="42"/>
      <c r="K71" s="84"/>
      <c r="L71" s="42"/>
      <c r="M71" s="42"/>
      <c r="N71" s="84" t="s">
        <v>2879</v>
      </c>
      <c r="O71" s="38"/>
      <c r="P71" s="38"/>
    </row>
    <row r="72" spans="1:17" ht="6" customHeight="1">
      <c r="A72" s="38"/>
      <c r="B72" s="38"/>
      <c r="C72" s="38"/>
      <c r="D72" s="38"/>
      <c r="E72" s="42"/>
      <c r="F72" s="42"/>
      <c r="G72" s="42"/>
      <c r="H72" s="42"/>
      <c r="I72" s="42"/>
      <c r="J72" s="42"/>
      <c r="K72" s="42"/>
      <c r="L72" s="42"/>
      <c r="M72" s="42"/>
      <c r="N72" s="42"/>
      <c r="O72" s="38"/>
      <c r="P72" s="38"/>
    </row>
    <row r="73" spans="1:17">
      <c r="A73" s="38"/>
      <c r="B73" s="38" t="s">
        <v>2865</v>
      </c>
      <c r="C73" s="38"/>
      <c r="D73" s="38"/>
      <c r="E73" s="42"/>
      <c r="F73" s="42"/>
      <c r="G73" s="42"/>
      <c r="H73" s="84"/>
      <c r="I73" s="42"/>
      <c r="J73" s="42"/>
      <c r="K73" s="84" t="s">
        <v>2879</v>
      </c>
      <c r="L73" s="42"/>
      <c r="M73" s="42"/>
      <c r="N73" s="84"/>
      <c r="O73" s="38"/>
      <c r="P73" s="38"/>
    </row>
    <row r="74" spans="1:17">
      <c r="A74" s="38"/>
      <c r="B74" s="38"/>
      <c r="C74" s="38"/>
      <c r="D74" s="38"/>
      <c r="E74" s="142"/>
      <c r="F74" s="142"/>
      <c r="G74" s="142"/>
      <c r="H74" s="85"/>
      <c r="I74" s="142"/>
      <c r="J74" s="142"/>
      <c r="K74" s="85"/>
      <c r="L74" s="142"/>
      <c r="M74" s="142"/>
      <c r="N74" s="85"/>
      <c r="O74" s="38"/>
      <c r="P74" s="38"/>
    </row>
    <row r="75" spans="1:17">
      <c r="A75" s="38"/>
      <c r="B75" s="38"/>
      <c r="C75" s="38"/>
      <c r="D75" s="38"/>
      <c r="E75" s="142"/>
      <c r="F75" s="142"/>
      <c r="G75" s="142"/>
      <c r="H75" s="85"/>
      <c r="I75" s="142"/>
      <c r="J75" s="142"/>
      <c r="K75" s="85"/>
      <c r="L75" s="142"/>
      <c r="M75" s="142"/>
      <c r="N75" s="85"/>
      <c r="O75" s="38"/>
      <c r="P75" s="38"/>
    </row>
    <row r="76" spans="1:17">
      <c r="A76" s="38"/>
      <c r="B76" s="38"/>
      <c r="C76" s="38"/>
      <c r="D76" s="38"/>
      <c r="E76" s="42"/>
      <c r="F76" s="42"/>
      <c r="G76" s="42"/>
      <c r="H76" s="42"/>
      <c r="I76" s="42"/>
      <c r="J76" s="42"/>
      <c r="K76" s="42"/>
      <c r="L76" s="42"/>
      <c r="M76" s="42"/>
      <c r="N76" s="42"/>
      <c r="O76" s="38"/>
      <c r="P76" s="38"/>
    </row>
    <row r="77" spans="1:17">
      <c r="A77" s="38"/>
      <c r="B77" s="38"/>
      <c r="C77" s="38"/>
      <c r="D77" s="38"/>
      <c r="E77" s="42"/>
      <c r="F77" s="42"/>
      <c r="G77" s="42"/>
      <c r="H77" s="42"/>
      <c r="I77" s="42"/>
      <c r="J77" s="42"/>
      <c r="K77" s="42"/>
      <c r="L77" s="42"/>
      <c r="M77" s="42"/>
      <c r="N77" s="42"/>
      <c r="O77" s="38"/>
      <c r="P77" s="38"/>
    </row>
    <row r="78" spans="1:17">
      <c r="A78" s="38"/>
      <c r="B78" s="38"/>
      <c r="C78" s="38"/>
      <c r="D78" s="38"/>
      <c r="E78" s="1045"/>
      <c r="F78" s="1045"/>
      <c r="G78" s="1045"/>
      <c r="H78" s="42"/>
      <c r="I78" s="42"/>
      <c r="J78" s="42"/>
      <c r="K78" s="38"/>
      <c r="L78" s="38"/>
      <c r="M78" s="38"/>
      <c r="N78" s="38"/>
      <c r="O78" s="38"/>
      <c r="P78" s="38"/>
    </row>
    <row r="79" spans="1:17" s="54" customFormat="1" ht="12">
      <c r="A79" s="51"/>
      <c r="B79" s="51"/>
      <c r="C79" s="51"/>
      <c r="D79" s="51"/>
      <c r="E79" s="1044" t="s">
        <v>2691</v>
      </c>
      <c r="F79" s="1044"/>
      <c r="G79" s="1044"/>
      <c r="H79" s="52"/>
      <c r="I79" s="52"/>
      <c r="J79" s="52"/>
      <c r="K79" s="51"/>
      <c r="L79" s="51"/>
      <c r="M79" s="51"/>
      <c r="N79" s="51"/>
      <c r="O79" s="51"/>
      <c r="P79" s="51"/>
      <c r="Q79" s="53"/>
    </row>
    <row r="80" spans="1:17" s="54" customFormat="1" ht="12">
      <c r="A80" s="51"/>
      <c r="B80" s="51"/>
      <c r="C80" s="51"/>
      <c r="D80" s="51"/>
      <c r="E80" s="1044" t="s">
        <v>2692</v>
      </c>
      <c r="F80" s="1044"/>
      <c r="G80" s="1044"/>
      <c r="H80" s="52"/>
      <c r="I80" s="52"/>
      <c r="J80" s="52"/>
      <c r="K80" s="51"/>
      <c r="L80" s="51"/>
      <c r="M80" s="51"/>
      <c r="N80" s="51"/>
      <c r="O80" s="51"/>
      <c r="P80" s="51"/>
      <c r="Q80" s="53"/>
    </row>
    <row r="81" spans="1:17">
      <c r="A81" s="78"/>
      <c r="B81" s="78"/>
      <c r="C81" s="78"/>
      <c r="D81" s="78"/>
      <c r="E81" s="77"/>
      <c r="F81" s="77"/>
      <c r="G81" s="77"/>
      <c r="H81" s="77"/>
      <c r="I81" s="77"/>
      <c r="J81" s="77"/>
      <c r="K81" s="78"/>
      <c r="L81" s="78"/>
      <c r="M81" s="78"/>
      <c r="N81" s="78"/>
      <c r="O81" s="78"/>
      <c r="P81" s="78"/>
      <c r="Q81"/>
    </row>
    <row r="82" spans="1:17">
      <c r="A82" s="38"/>
      <c r="B82" s="38"/>
      <c r="C82" s="38"/>
      <c r="D82" s="38"/>
      <c r="E82" s="42"/>
      <c r="F82" s="42"/>
      <c r="G82" s="42"/>
      <c r="H82" s="1040"/>
      <c r="I82" s="1040"/>
      <c r="J82" s="1040"/>
      <c r="K82" s="1040"/>
      <c r="L82" s="1040"/>
      <c r="M82" s="1040"/>
      <c r="N82" s="1040"/>
      <c r="O82" s="1040"/>
      <c r="P82" s="38"/>
    </row>
    <row r="83" spans="1:17">
      <c r="A83" s="38"/>
      <c r="B83" s="38"/>
      <c r="C83" s="38"/>
      <c r="D83" s="38"/>
      <c r="E83" s="42"/>
      <c r="F83" s="42"/>
      <c r="G83" s="42"/>
      <c r="H83" s="1040"/>
      <c r="I83" s="1040"/>
      <c r="J83" s="1040"/>
      <c r="K83" s="1040"/>
      <c r="L83" s="1040"/>
      <c r="M83" s="1040"/>
      <c r="N83" s="1040"/>
      <c r="O83" s="1040"/>
      <c r="P83" s="38"/>
    </row>
    <row r="84" spans="1:17">
      <c r="A84" s="38"/>
      <c r="B84" s="38"/>
      <c r="C84" s="38"/>
      <c r="D84" s="38"/>
      <c r="E84" s="42"/>
      <c r="F84" s="42"/>
      <c r="G84" s="42"/>
      <c r="H84" s="42"/>
      <c r="I84" s="42"/>
      <c r="J84" s="42"/>
      <c r="K84" s="38"/>
      <c r="L84" s="38"/>
      <c r="M84" s="38"/>
      <c r="N84" s="38"/>
      <c r="O84" s="38"/>
      <c r="P84" s="38"/>
    </row>
  </sheetData>
  <mergeCells count="27">
    <mergeCell ref="B4:O4"/>
    <mergeCell ref="H82:O83"/>
    <mergeCell ref="D27:O27"/>
    <mergeCell ref="D29:O29"/>
    <mergeCell ref="D35:O35"/>
    <mergeCell ref="D37:O37"/>
    <mergeCell ref="D31:O31"/>
    <mergeCell ref="D33:O33"/>
    <mergeCell ref="E79:G79"/>
    <mergeCell ref="E80:G80"/>
    <mergeCell ref="E78:G78"/>
    <mergeCell ref="D11:O11"/>
    <mergeCell ref="M15:P15"/>
    <mergeCell ref="H17:L17"/>
    <mergeCell ref="D9:O9"/>
    <mergeCell ref="D25:O25"/>
    <mergeCell ref="D19:F19"/>
    <mergeCell ref="H15:L15"/>
    <mergeCell ref="M17:P17"/>
    <mergeCell ref="H19:L19"/>
    <mergeCell ref="D15:F15"/>
    <mergeCell ref="D17:E17"/>
    <mergeCell ref="H21:L21"/>
    <mergeCell ref="J13:O13"/>
    <mergeCell ref="H13:I13"/>
    <mergeCell ref="M19:O19"/>
    <mergeCell ref="N7:O7"/>
  </mergeCells>
  <pageMargins left="0.98425196850393704" right="0.39370078740157483" top="0.39370078740157483" bottom="0.98425196850393704" header="0.39370078740157483" footer="0.39370078740157483"/>
  <pageSetup paperSize="9" scale="82" orientation="portrait" r:id="rId1"/>
  <headerFooter alignWithMargins="0">
    <oddFooter>&amp;R&amp;P</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view="pageBreakPreview" zoomScale="60" zoomScaleNormal="100" workbookViewId="0">
      <selection activeCell="P13" sqref="P13"/>
    </sheetView>
  </sheetViews>
  <sheetFormatPr defaultRowHeight="15"/>
  <sheetData/>
  <pageMargins left="0.511811024" right="0.511811024" top="0.78740157499999996" bottom="0.78740157499999996" header="0.31496062000000002" footer="0.31496062000000002"/>
  <pageSetup paperSize="9" orientation="portrait" r:id="rId1"/>
  <rowBreaks count="3" manualBreakCount="3">
    <brk id="5" max="5" man="1"/>
    <brk id="11" max="5" man="1"/>
    <brk id="17" max="5"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dimension ref="A1:K43"/>
  <sheetViews>
    <sheetView showZeros="0" showWhiteSpace="0" view="pageBreakPreview" topLeftCell="A7" zoomScaleNormal="100" zoomScaleSheetLayoutView="100" zoomScalePageLayoutView="70" workbookViewId="0">
      <selection activeCell="C40" sqref="C40"/>
    </sheetView>
  </sheetViews>
  <sheetFormatPr defaultColWidth="9.140625" defaultRowHeight="12.75"/>
  <cols>
    <col min="1" max="1" width="18.7109375" style="86" customWidth="1"/>
    <col min="2" max="2" width="33.85546875" style="86" customWidth="1"/>
    <col min="3" max="3" width="15.140625" style="86" bestFit="1" customWidth="1"/>
    <col min="4" max="4" width="11" style="86" bestFit="1" customWidth="1"/>
    <col min="5" max="5" width="13.28515625" style="87" customWidth="1"/>
    <col min="6" max="6" width="23.42578125" style="86" customWidth="1"/>
    <col min="7" max="9" width="13.7109375" style="86" customWidth="1"/>
    <col min="10" max="10" width="9.140625" style="326"/>
    <col min="11" max="11" width="25.140625" style="326" bestFit="1" customWidth="1"/>
    <col min="12" max="16384" width="9.140625" style="326"/>
  </cols>
  <sheetData>
    <row r="1" spans="1:11" s="367" customFormat="1">
      <c r="A1" s="360" t="s">
        <v>2690</v>
      </c>
      <c r="B1" s="361" t="str">
        <f>IF(DADOS!$D$9&lt;&gt;"",DADOS!$D$9,"")</f>
        <v>CÂMARA MUNICIPAL DE TAMARANA</v>
      </c>
      <c r="C1" s="362"/>
      <c r="D1" s="362"/>
      <c r="E1" s="362"/>
      <c r="F1" s="363"/>
      <c r="G1" s="364" t="s">
        <v>29</v>
      </c>
      <c r="H1" s="365"/>
      <c r="I1" s="366">
        <f>IF(BDI!D24&lt;&gt;"",BDI!D24,"")</f>
        <v>0.2354</v>
      </c>
    </row>
    <row r="2" spans="1:11" s="367" customFormat="1">
      <c r="A2" s="368" t="s">
        <v>3714</v>
      </c>
      <c r="B2" s="446">
        <f>IF(DADOS!N7&lt;&gt;"",DADOS!N7)</f>
        <v>81</v>
      </c>
      <c r="C2" s="369"/>
      <c r="D2" s="369"/>
      <c r="E2" s="369"/>
      <c r="F2" s="370"/>
      <c r="G2" s="364" t="s">
        <v>2237</v>
      </c>
      <c r="H2" s="365"/>
      <c r="I2" s="366"/>
    </row>
    <row r="3" spans="1:11" s="376" customFormat="1">
      <c r="A3" s="368" t="s">
        <v>5330</v>
      </c>
      <c r="B3" s="361" t="str">
        <f>IF(DADOS!$D$13&lt;&gt;"",DADOS!$D$13,"")</f>
        <v>CÂMARA MUNICIPAL DE TAMARANA</v>
      </c>
      <c r="C3" s="371"/>
      <c r="D3" s="372"/>
      <c r="E3" s="373"/>
      <c r="F3" s="374"/>
      <c r="G3" s="373" t="s">
        <v>3717</v>
      </c>
      <c r="H3" s="372"/>
      <c r="I3" s="375">
        <f>IF(DADOS!D17&lt;&gt;"",DADOS!D17,0)</f>
        <v>713.26</v>
      </c>
    </row>
    <row r="4" spans="1:11" s="367" customFormat="1">
      <c r="A4" s="368" t="s">
        <v>6829</v>
      </c>
      <c r="B4" s="377" t="str">
        <f>IF(DADOS!$D$11&lt;&gt;"",DADOS!$D$11,"")</f>
        <v>RUA UBALDINO DE SÁ BITERNCOURT, S/N. - PRAÇA "A-B-3"</v>
      </c>
      <c r="C4" s="371"/>
      <c r="D4" s="371"/>
      <c r="E4" s="371"/>
      <c r="F4" s="374"/>
      <c r="G4" s="373" t="s">
        <v>903</v>
      </c>
      <c r="H4" s="365"/>
      <c r="I4" s="330">
        <f ca="1">IF(DADOS!$D$19&lt;&gt;"",DADOS!$D$19,"")</f>
        <v>44860</v>
      </c>
    </row>
    <row r="5" spans="1:11" s="367" customFormat="1">
      <c r="A5" s="378" t="s">
        <v>4877</v>
      </c>
      <c r="B5" s="379" t="str">
        <f>SERVIÇOS!D2</f>
        <v>SINAPI PR - JULHO 2022 - NÃO DESONERADO</v>
      </c>
      <c r="C5" s="380"/>
      <c r="D5" s="380"/>
      <c r="E5" s="380"/>
      <c r="F5" s="381"/>
      <c r="G5" s="382" t="s">
        <v>4879</v>
      </c>
      <c r="H5" s="365"/>
      <c r="I5" s="393" t="str">
        <f>IF(DADOS!M19&lt;&gt;"",DADOS!M19)</f>
        <v>R01</v>
      </c>
    </row>
    <row r="6" spans="1:11" s="367" customFormat="1">
      <c r="A6" s="383"/>
      <c r="B6" s="384"/>
      <c r="C6" s="385"/>
      <c r="D6" s="385"/>
      <c r="E6" s="385"/>
      <c r="F6" s="385"/>
      <c r="G6" s="386"/>
      <c r="H6" s="387"/>
      <c r="I6" s="388"/>
    </row>
    <row r="7" spans="1:11" s="327" customFormat="1" ht="15.75" customHeight="1">
      <c r="A7" s="1053" t="s">
        <v>2697</v>
      </c>
      <c r="B7" s="1053"/>
      <c r="C7" s="1053"/>
      <c r="D7" s="1053"/>
      <c r="E7" s="1053"/>
      <c r="F7" s="1053"/>
      <c r="G7" s="1053"/>
      <c r="H7" s="1053"/>
      <c r="I7" s="1053"/>
      <c r="J7" s="326"/>
      <c r="K7" s="326"/>
    </row>
    <row r="8" spans="1:11" s="367" customFormat="1">
      <c r="A8" s="389"/>
      <c r="B8" s="93"/>
      <c r="C8" s="389"/>
      <c r="D8" s="93"/>
      <c r="E8" s="390"/>
      <c r="F8" s="93"/>
      <c r="G8" s="93"/>
      <c r="H8" s="93"/>
      <c r="I8" s="93"/>
    </row>
    <row r="9" spans="1:11">
      <c r="A9" s="1050" t="s">
        <v>1897</v>
      </c>
      <c r="B9" s="1051"/>
      <c r="C9" s="1051"/>
      <c r="D9" s="1051"/>
      <c r="E9" s="1051"/>
      <c r="F9" s="1051"/>
      <c r="G9" s="1051"/>
      <c r="H9" s="1052"/>
      <c r="I9" s="324"/>
    </row>
    <row r="10" spans="1:11" s="328" customFormat="1" ht="18" customHeight="1" thickBot="1">
      <c r="A10" s="1060" t="s">
        <v>904</v>
      </c>
      <c r="B10" s="1060" t="s">
        <v>1898</v>
      </c>
      <c r="C10" s="1060" t="s">
        <v>1899</v>
      </c>
      <c r="D10" s="1060" t="s">
        <v>1900</v>
      </c>
      <c r="E10" s="1062" t="s">
        <v>1901</v>
      </c>
      <c r="F10" s="1062" t="s">
        <v>1902</v>
      </c>
      <c r="G10" s="1056" t="s">
        <v>1903</v>
      </c>
      <c r="H10" s="1057"/>
      <c r="I10" s="1058"/>
    </row>
    <row r="11" spans="1:11" s="328" customFormat="1" ht="30" customHeight="1">
      <c r="A11" s="1061"/>
      <c r="B11" s="1061"/>
      <c r="C11" s="1061"/>
      <c r="D11" s="1061"/>
      <c r="E11" s="1063"/>
      <c r="F11" s="1063"/>
      <c r="G11" s="325" t="s">
        <v>1904</v>
      </c>
      <c r="H11" s="325" t="s">
        <v>1905</v>
      </c>
      <c r="I11" s="325" t="s">
        <v>1906</v>
      </c>
    </row>
    <row r="12" spans="1:11" ht="15.95" customHeight="1">
      <c r="A12" s="331">
        <v>1</v>
      </c>
      <c r="B12" s="333" t="s">
        <v>1907</v>
      </c>
      <c r="C12" s="334">
        <f>D12*$I$9</f>
        <v>0</v>
      </c>
      <c r="D12" s="335">
        <v>0.04</v>
      </c>
      <c r="E12" s="331"/>
      <c r="F12" s="331" t="str">
        <f>IF(AND(D12&gt;=G12,D12&lt;=I12),"OK","DIFERE")</f>
        <v>OK</v>
      </c>
      <c r="G12" s="339">
        <v>0.03</v>
      </c>
      <c r="H12" s="339">
        <v>0.04</v>
      </c>
      <c r="I12" s="339">
        <v>5.5E-2</v>
      </c>
      <c r="J12" s="326" t="s">
        <v>1908</v>
      </c>
      <c r="K12" s="326" t="s">
        <v>1909</v>
      </c>
    </row>
    <row r="13" spans="1:11" ht="15.95" customHeight="1">
      <c r="A13" s="331">
        <v>2</v>
      </c>
      <c r="B13" s="333" t="s">
        <v>1910</v>
      </c>
      <c r="C13" s="334">
        <f>D13*$I$9</f>
        <v>0</v>
      </c>
      <c r="D13" s="336">
        <v>8.0000000000000002E-3</v>
      </c>
      <c r="E13" s="331"/>
      <c r="F13" s="331" t="str">
        <f>IF(AND(D13&gt;=G13,D13&lt;=I13),"OK","DIFERE")</f>
        <v>OK</v>
      </c>
      <c r="G13" s="339">
        <v>8.0000000000000002E-3</v>
      </c>
      <c r="H13" s="339">
        <v>8.0000000000000002E-3</v>
      </c>
      <c r="I13" s="339">
        <v>0.01</v>
      </c>
      <c r="J13" s="326" t="s">
        <v>1911</v>
      </c>
      <c r="K13" s="326" t="s">
        <v>1912</v>
      </c>
    </row>
    <row r="14" spans="1:11" ht="15.95" customHeight="1">
      <c r="A14" s="331">
        <v>3</v>
      </c>
      <c r="B14" s="333" t="s">
        <v>1913</v>
      </c>
      <c r="C14" s="334">
        <f>D14*$I$9</f>
        <v>0</v>
      </c>
      <c r="D14" s="336">
        <v>1.2699999999999999E-2</v>
      </c>
      <c r="E14" s="331"/>
      <c r="F14" s="331" t="str">
        <f>IF(AND(D14&gt;=G14,D14&lt;=I14),"OK","DIFERE")</f>
        <v>OK</v>
      </c>
      <c r="G14" s="339">
        <v>9.7000000000000003E-3</v>
      </c>
      <c r="H14" s="339">
        <v>1.2699999999999999E-2</v>
      </c>
      <c r="I14" s="339">
        <v>1.2699999999999999E-2</v>
      </c>
      <c r="J14" s="326" t="s">
        <v>1914</v>
      </c>
      <c r="K14" s="326" t="s">
        <v>1915</v>
      </c>
    </row>
    <row r="15" spans="1:11" ht="15.95" customHeight="1">
      <c r="A15" s="331">
        <v>4</v>
      </c>
      <c r="B15" s="333" t="s">
        <v>1916</v>
      </c>
      <c r="C15" s="334">
        <f>D15*($I$9+C12+C13+C14)</f>
        <v>0</v>
      </c>
      <c r="D15" s="336">
        <v>1.23E-2</v>
      </c>
      <c r="E15" s="331"/>
      <c r="F15" s="331" t="str">
        <f>IF(AND(D15&gt;=G15,D15&lt;=I15),"OK","DIFERE")</f>
        <v>OK</v>
      </c>
      <c r="G15" s="339">
        <v>5.8999999999999999E-3</v>
      </c>
      <c r="H15" s="339">
        <v>1.23E-2</v>
      </c>
      <c r="I15" s="339">
        <v>1.3899999999999999E-2</v>
      </c>
      <c r="J15" s="326" t="s">
        <v>1917</v>
      </c>
      <c r="K15" s="326" t="s">
        <v>1918</v>
      </c>
    </row>
    <row r="16" spans="1:11" ht="15.95" customHeight="1">
      <c r="A16" s="331">
        <v>5</v>
      </c>
      <c r="B16" s="333" t="s">
        <v>1919</v>
      </c>
      <c r="C16" s="334">
        <f>D16*($I$9+C12+C13+C14+C15)</f>
        <v>0</v>
      </c>
      <c r="D16" s="336">
        <v>7.3999999999999996E-2</v>
      </c>
      <c r="E16" s="331"/>
      <c r="F16" s="331" t="str">
        <f>IF(AND(D16&gt;=G16,D16&lt;=I16),"OK","DIFERE")</f>
        <v>OK</v>
      </c>
      <c r="G16" s="339">
        <v>6.1600000000000002E-2</v>
      </c>
      <c r="H16" s="339">
        <v>7.3999999999999996E-2</v>
      </c>
      <c r="I16" s="339">
        <v>8.9599999999999999E-2</v>
      </c>
      <c r="J16" s="326" t="s">
        <v>924</v>
      </c>
      <c r="K16" s="326" t="s">
        <v>1920</v>
      </c>
    </row>
    <row r="17" spans="1:11" ht="15.95" customHeight="1">
      <c r="A17" s="331">
        <v>6</v>
      </c>
      <c r="B17" s="337" t="s">
        <v>1921</v>
      </c>
      <c r="C17" s="338">
        <f>D17*$I$9*(1+D24)</f>
        <v>0</v>
      </c>
      <c r="D17" s="336">
        <f>SUM(D18:D21)</f>
        <v>6.6500000000000004E-2</v>
      </c>
      <c r="E17" s="332"/>
      <c r="F17" s="88"/>
      <c r="G17" s="89"/>
      <c r="H17" s="89"/>
      <c r="I17" s="90"/>
      <c r="J17" s="326" t="s">
        <v>1922</v>
      </c>
      <c r="K17" s="326" t="s">
        <v>1923</v>
      </c>
    </row>
    <row r="18" spans="1:11" ht="15.95" customHeight="1">
      <c r="A18" s="394" t="s">
        <v>1924</v>
      </c>
      <c r="B18" s="1059" t="s">
        <v>1925</v>
      </c>
      <c r="C18" s="1059"/>
      <c r="D18" s="336">
        <v>6.4999999999999997E-3</v>
      </c>
      <c r="E18" s="332"/>
      <c r="F18" s="88"/>
      <c r="G18" s="88"/>
      <c r="H18" s="88"/>
      <c r="I18" s="91"/>
    </row>
    <row r="19" spans="1:11" ht="15.95" customHeight="1">
      <c r="A19" s="394" t="s">
        <v>1926</v>
      </c>
      <c r="B19" s="1059" t="s">
        <v>1927</v>
      </c>
      <c r="C19" s="1059"/>
      <c r="D19" s="336">
        <v>0.03</v>
      </c>
      <c r="E19" s="332"/>
      <c r="F19" s="88"/>
      <c r="G19" s="88"/>
      <c r="H19" s="88"/>
      <c r="I19" s="91"/>
    </row>
    <row r="20" spans="1:11" ht="15.95" customHeight="1">
      <c r="A20" s="394" t="s">
        <v>1928</v>
      </c>
      <c r="B20" s="1059" t="s">
        <v>1929</v>
      </c>
      <c r="C20" s="1059"/>
      <c r="D20" s="336">
        <v>0.03</v>
      </c>
      <c r="E20" s="332"/>
      <c r="F20" s="88"/>
      <c r="G20" s="88"/>
      <c r="H20" s="88"/>
      <c r="I20" s="91"/>
    </row>
    <row r="21" spans="1:11" ht="15.95" customHeight="1">
      <c r="A21" s="394" t="s">
        <v>1930</v>
      </c>
      <c r="B21" s="1059" t="s">
        <v>1931</v>
      </c>
      <c r="C21" s="1059"/>
      <c r="D21" s="336"/>
      <c r="E21" s="332"/>
      <c r="F21" s="88"/>
      <c r="G21" s="88"/>
      <c r="H21" s="88"/>
      <c r="I21" s="91"/>
    </row>
    <row r="22" spans="1:11" ht="15.95" customHeight="1" thickBot="1">
      <c r="A22" s="1055" t="s">
        <v>1932</v>
      </c>
      <c r="B22" s="1055"/>
      <c r="C22" s="340">
        <f>SUM(C12:C17)</f>
        <v>0</v>
      </c>
      <c r="D22" s="331"/>
      <c r="E22" s="331"/>
      <c r="F22" s="1055" t="s">
        <v>1933</v>
      </c>
      <c r="G22" s="1055"/>
      <c r="H22" s="1055"/>
      <c r="I22" s="1055"/>
    </row>
    <row r="23" spans="1:11" ht="15.95" customHeight="1" thickBot="1">
      <c r="A23" s="1055" t="s">
        <v>1934</v>
      </c>
      <c r="B23" s="1055"/>
      <c r="C23" s="340">
        <f>C22+I9</f>
        <v>0</v>
      </c>
      <c r="D23" s="331"/>
      <c r="E23" s="331"/>
      <c r="F23" s="342" t="s">
        <v>1935</v>
      </c>
      <c r="G23" s="339">
        <v>0.2034</v>
      </c>
      <c r="H23" s="339">
        <v>0.22120000000000001</v>
      </c>
      <c r="I23" s="339">
        <v>0.25</v>
      </c>
      <c r="K23" s="329"/>
    </row>
    <row r="24" spans="1:11" ht="15.95" customHeight="1">
      <c r="A24" s="1055" t="s">
        <v>1936</v>
      </c>
      <c r="B24" s="1055"/>
      <c r="C24" s="1055"/>
      <c r="D24" s="341">
        <f>ROUND((((1+$D12+$D13+$D14)*(1+$D15)*(1+$D16)/(1-$D17)))-1,4)</f>
        <v>0.2354</v>
      </c>
      <c r="E24" s="331" t="str">
        <f>IF(AND($D24&gt;=$G24,$D24&lt;=$I24),"OK","DIFERE")</f>
        <v>OK</v>
      </c>
      <c r="F24" s="342" t="s">
        <v>1937</v>
      </c>
      <c r="G24" s="339">
        <f>((G23+1)*(1-E27))/((1-E27)-D21)-1</f>
        <v>0.20340000000000003</v>
      </c>
      <c r="H24" s="339">
        <f>((H23+1)*(1-E27))/((1-E27)-D21)-1</f>
        <v>0.22120000000000006</v>
      </c>
      <c r="I24" s="339">
        <f>((I23+1)*(1-E27))/((1-E27)-D21)-1</f>
        <v>0.25</v>
      </c>
    </row>
    <row r="25" spans="1:11" ht="5.0999999999999996" customHeight="1">
      <c r="A25" s="88"/>
      <c r="B25" s="88"/>
      <c r="C25" s="88"/>
      <c r="D25" s="88"/>
      <c r="E25" s="92"/>
      <c r="F25" s="88"/>
      <c r="G25" s="88"/>
      <c r="H25" s="88"/>
      <c r="I25" s="88"/>
    </row>
    <row r="26" spans="1:11">
      <c r="A26" s="88" t="s">
        <v>1939</v>
      </c>
      <c r="B26" s="88"/>
      <c r="C26" s="88"/>
      <c r="D26" s="88"/>
      <c r="E26" s="92"/>
      <c r="F26" s="343" t="s">
        <v>1938</v>
      </c>
      <c r="G26" s="344"/>
      <c r="H26" s="344"/>
      <c r="I26" s="345"/>
    </row>
    <row r="27" spans="1:11">
      <c r="A27" s="88" t="s">
        <v>1940</v>
      </c>
      <c r="B27" s="88"/>
      <c r="C27" s="88"/>
      <c r="D27" s="88"/>
      <c r="E27" s="92"/>
      <c r="F27" s="346"/>
      <c r="G27" s="347"/>
      <c r="H27" s="347"/>
      <c r="I27" s="348"/>
    </row>
    <row r="28" spans="1:11">
      <c r="A28" s="93" t="s">
        <v>1941</v>
      </c>
      <c r="B28" s="93"/>
      <c r="C28" s="88"/>
      <c r="D28" s="88"/>
      <c r="E28" s="92"/>
      <c r="F28" s="346"/>
      <c r="G28" s="347"/>
      <c r="H28" s="347"/>
      <c r="I28" s="348"/>
    </row>
    <row r="29" spans="1:11">
      <c r="A29" s="93" t="s">
        <v>1942</v>
      </c>
      <c r="B29" s="93"/>
      <c r="C29" s="88"/>
      <c r="D29" s="88"/>
      <c r="E29" s="92"/>
      <c r="F29" s="346"/>
      <c r="G29" s="347"/>
      <c r="H29" s="347"/>
      <c r="I29" s="348"/>
    </row>
    <row r="30" spans="1:11">
      <c r="A30" s="93" t="s">
        <v>1943</v>
      </c>
      <c r="B30" s="93"/>
      <c r="C30" s="88"/>
      <c r="D30" s="88"/>
      <c r="E30" s="92"/>
      <c r="F30" s="346"/>
      <c r="G30" s="347"/>
      <c r="H30" s="347"/>
      <c r="I30" s="348"/>
    </row>
    <row r="31" spans="1:11">
      <c r="A31" s="93" t="s">
        <v>1944</v>
      </c>
      <c r="B31" s="93"/>
      <c r="C31" s="88"/>
      <c r="D31" s="88"/>
      <c r="E31" s="92"/>
      <c r="F31" s="346"/>
      <c r="G31" s="347"/>
      <c r="H31" s="347"/>
      <c r="I31" s="348"/>
    </row>
    <row r="32" spans="1:11">
      <c r="A32" s="93" t="s">
        <v>1945</v>
      </c>
      <c r="B32" s="93"/>
      <c r="C32" s="88"/>
      <c r="D32" s="88"/>
      <c r="E32" s="92"/>
      <c r="F32" s="346"/>
      <c r="G32" s="347"/>
      <c r="H32" s="347"/>
      <c r="I32" s="348"/>
    </row>
    <row r="33" spans="1:9">
      <c r="A33" s="93" t="s">
        <v>1946</v>
      </c>
      <c r="B33" s="93"/>
      <c r="C33" s="88"/>
      <c r="D33" s="88"/>
      <c r="E33" s="92"/>
      <c r="F33" s="349"/>
      <c r="G33" s="350"/>
      <c r="H33" s="350"/>
      <c r="I33" s="351"/>
    </row>
    <row r="34" spans="1:9">
      <c r="A34" s="93"/>
      <c r="B34" s="93"/>
      <c r="C34" s="88"/>
      <c r="D34" s="88"/>
      <c r="E34" s="92"/>
      <c r="F34" s="347"/>
      <c r="G34" s="347"/>
      <c r="H34" s="347"/>
      <c r="I34" s="347"/>
    </row>
    <row r="35" spans="1:9">
      <c r="A35" s="93"/>
      <c r="B35" s="93"/>
      <c r="C35" s="88"/>
      <c r="D35" s="88"/>
      <c r="E35" s="92"/>
      <c r="F35" s="347"/>
      <c r="G35" s="347"/>
      <c r="H35" s="347"/>
      <c r="I35" s="347"/>
    </row>
    <row r="36" spans="1:9">
      <c r="A36" s="93"/>
      <c r="B36" s="93"/>
      <c r="C36" s="88"/>
      <c r="D36" s="88"/>
      <c r="E36" s="92"/>
      <c r="F36" s="347"/>
      <c r="G36" s="347"/>
      <c r="H36" s="347"/>
      <c r="I36" s="347"/>
    </row>
    <row r="37" spans="1:9">
      <c r="A37" s="93"/>
      <c r="B37" s="93"/>
      <c r="C37" s="88"/>
      <c r="D37" s="88"/>
      <c r="E37" s="92"/>
      <c r="F37" s="88"/>
      <c r="G37" s="88"/>
      <c r="H37" s="88"/>
      <c r="I37" s="88"/>
    </row>
    <row r="38" spans="1:9">
      <c r="A38" s="93"/>
      <c r="B38" s="93"/>
      <c r="C38" s="88"/>
      <c r="D38" s="88"/>
      <c r="E38" s="92"/>
      <c r="F38" s="88"/>
      <c r="G38" s="88"/>
      <c r="H38" s="88"/>
      <c r="I38" s="88"/>
    </row>
    <row r="39" spans="1:9" ht="13.5" thickBot="1">
      <c r="A39" s="93"/>
      <c r="B39" s="94" t="s">
        <v>1947</v>
      </c>
      <c r="C39" s="117">
        <f>CRONO_FASES!BC8</f>
        <v>300</v>
      </c>
      <c r="D39" s="88" t="s">
        <v>909</v>
      </c>
      <c r="E39" s="92"/>
      <c r="F39" s="95"/>
      <c r="G39" s="95"/>
      <c r="H39" s="95"/>
      <c r="I39" s="88"/>
    </row>
    <row r="40" spans="1:9">
      <c r="A40" s="88"/>
      <c r="B40" s="88"/>
      <c r="C40" s="88"/>
      <c r="D40" s="88"/>
      <c r="E40" s="92"/>
      <c r="F40" s="1054" t="s">
        <v>2691</v>
      </c>
      <c r="G40" s="1054"/>
      <c r="H40" s="1054"/>
      <c r="I40" s="88"/>
    </row>
    <row r="41" spans="1:9">
      <c r="A41" s="88"/>
      <c r="B41" s="88"/>
      <c r="C41" s="88"/>
      <c r="D41" s="88"/>
      <c r="E41" s="92"/>
      <c r="F41" s="1040" t="s">
        <v>2692</v>
      </c>
      <c r="G41" s="1040"/>
      <c r="H41" s="1040"/>
      <c r="I41" s="88"/>
    </row>
    <row r="42" spans="1:9">
      <c r="A42" s="88"/>
      <c r="F42" s="88"/>
      <c r="G42" s="88"/>
      <c r="H42" s="88"/>
      <c r="I42" s="88"/>
    </row>
    <row r="43" spans="1:9">
      <c r="A43" s="88"/>
      <c r="B43" s="88"/>
      <c r="C43" s="88"/>
      <c r="D43" s="88"/>
      <c r="E43" s="92"/>
      <c r="F43" s="88"/>
      <c r="G43" s="88"/>
      <c r="H43" s="88"/>
      <c r="I43" s="88"/>
    </row>
  </sheetData>
  <mergeCells count="19">
    <mergeCell ref="D10:D11"/>
    <mergeCell ref="E10:E11"/>
    <mergeCell ref="F10:F11"/>
    <mergeCell ref="A9:H9"/>
    <mergeCell ref="A7:I7"/>
    <mergeCell ref="F40:H40"/>
    <mergeCell ref="F41:H41"/>
    <mergeCell ref="A23:B23"/>
    <mergeCell ref="A24:C24"/>
    <mergeCell ref="G10:I10"/>
    <mergeCell ref="F22:I22"/>
    <mergeCell ref="B18:C18"/>
    <mergeCell ref="B19:C19"/>
    <mergeCell ref="B20:C20"/>
    <mergeCell ref="B21:C21"/>
    <mergeCell ref="A22:B22"/>
    <mergeCell ref="A10:A11"/>
    <mergeCell ref="B10:B11"/>
    <mergeCell ref="C10:C11"/>
  </mergeCells>
  <printOptions horizontalCentered="1"/>
  <pageMargins left="0.19685039370078741" right="0.19685039370078741" top="1.1811023622047245" bottom="0.98425196850393704" header="0.59055118110236227" footer="0.19685039370078741"/>
  <pageSetup paperSize="9" scale="66" orientation="landscape" r:id="rId1"/>
  <headerFooter>
    <oddFooter>&amp;R&amp;P</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dimension ref="A1:L40"/>
  <sheetViews>
    <sheetView showZeros="0" view="pageBreakPreview" zoomScaleNormal="100" zoomScaleSheetLayoutView="100" workbookViewId="0">
      <selection activeCell="D498" sqref="D498"/>
    </sheetView>
  </sheetViews>
  <sheetFormatPr defaultColWidth="9.140625" defaultRowHeight="12.75"/>
  <cols>
    <col min="1" max="1" width="18.28515625" style="86" customWidth="1"/>
    <col min="2" max="2" width="33.85546875" style="86" customWidth="1"/>
    <col min="3" max="3" width="16" style="86" customWidth="1"/>
    <col min="4" max="4" width="11" style="86" bestFit="1" customWidth="1"/>
    <col min="5" max="5" width="13.28515625" style="87" customWidth="1"/>
    <col min="6" max="6" width="23.42578125" style="86" customWidth="1"/>
    <col min="7" max="9" width="13.7109375" style="86" customWidth="1"/>
    <col min="10" max="10" width="9.140625" style="326"/>
    <col min="11" max="11" width="25.140625" style="326" bestFit="1" customWidth="1"/>
    <col min="12" max="16384" width="9.140625" style="326"/>
  </cols>
  <sheetData>
    <row r="1" spans="1:12" s="367" customFormat="1">
      <c r="A1" s="360" t="s">
        <v>2690</v>
      </c>
      <c r="B1" s="361" t="str">
        <f>IF(DADOS!$D$9&lt;&gt;"",DADOS!$D$9,"")</f>
        <v>CÂMARA MUNICIPAL DE TAMARANA</v>
      </c>
      <c r="C1" s="362"/>
      <c r="D1" s="362"/>
      <c r="E1" s="362"/>
      <c r="F1" s="363"/>
      <c r="G1" s="364" t="s">
        <v>29</v>
      </c>
      <c r="H1" s="365"/>
      <c r="I1" s="366">
        <f>IF(BDI!D24&lt;&gt;"",BDI!D24,"")</f>
        <v>0.2354</v>
      </c>
    </row>
    <row r="2" spans="1:12" s="367" customFormat="1">
      <c r="A2" s="368" t="s">
        <v>3714</v>
      </c>
      <c r="B2" s="446">
        <f>IF(DADOS!N7&lt;&gt;"",DADOS!N7)</f>
        <v>81</v>
      </c>
      <c r="C2" s="369"/>
      <c r="D2" s="369"/>
      <c r="E2" s="369"/>
      <c r="F2" s="370"/>
      <c r="G2" s="364" t="s">
        <v>2237</v>
      </c>
      <c r="H2" s="365"/>
      <c r="I2" s="366">
        <f>IF('BDI equip'!D24&lt;&gt;"",'BDI equip'!D24,"")</f>
        <v>0.2555</v>
      </c>
    </row>
    <row r="3" spans="1:12" s="376" customFormat="1">
      <c r="A3" s="368" t="s">
        <v>3715</v>
      </c>
      <c r="B3" s="361" t="str">
        <f>IF(DADOS!$D$13&lt;&gt;"",DADOS!$D$13,"")</f>
        <v>CÂMARA MUNICIPAL DE TAMARANA</v>
      </c>
      <c r="C3" s="371"/>
      <c r="D3" s="372"/>
      <c r="E3" s="373" t="s">
        <v>3718</v>
      </c>
      <c r="F3" s="374" t="b">
        <f>IF(DADOS!J13&lt;&gt;"",DADOS!J13)</f>
        <v>0</v>
      </c>
      <c r="G3" s="373" t="s">
        <v>3717</v>
      </c>
      <c r="H3" s="372"/>
      <c r="I3" s="375">
        <f>IF(DADOS!D17&lt;&gt;"",DADOS!D17,0)</f>
        <v>713.26</v>
      </c>
    </row>
    <row r="4" spans="1:12" s="367" customFormat="1">
      <c r="A4" s="368" t="s">
        <v>3716</v>
      </c>
      <c r="B4" s="377" t="str">
        <f>IF(DADOS!$D$11&lt;&gt;"",DADOS!$D$11,"")</f>
        <v>RUA UBALDINO DE SÁ BITERNCOURT, S/N. - PRAÇA "A-B-3"</v>
      </c>
      <c r="C4" s="371"/>
      <c r="D4" s="371"/>
      <c r="E4" s="371"/>
      <c r="F4" s="374"/>
      <c r="G4" s="373" t="s">
        <v>903</v>
      </c>
      <c r="H4" s="365"/>
      <c r="I4" s="330">
        <f ca="1">IF(DADOS!$D$19&lt;&gt;"",DADOS!$D$19,"")</f>
        <v>44860</v>
      </c>
    </row>
    <row r="5" spans="1:12" s="367" customFormat="1">
      <c r="A5" s="378" t="s">
        <v>4877</v>
      </c>
      <c r="B5" s="379" t="s">
        <v>5324</v>
      </c>
      <c r="C5" s="380"/>
      <c r="D5" s="380"/>
      <c r="E5" s="380"/>
      <c r="F5" s="381"/>
      <c r="G5" s="382" t="s">
        <v>4879</v>
      </c>
      <c r="H5" s="365"/>
      <c r="I5" s="393" t="str">
        <f>IF(DADOS!M19&lt;&gt;"",DADOS!M19)</f>
        <v>R01</v>
      </c>
      <c r="K5" s="391"/>
      <c r="L5" s="392"/>
    </row>
    <row r="6" spans="1:12" s="367" customFormat="1">
      <c r="A6" s="383"/>
      <c r="B6" s="384"/>
      <c r="C6" s="385"/>
      <c r="D6" s="385"/>
      <c r="E6" s="385"/>
      <c r="F6" s="385"/>
      <c r="G6" s="386"/>
      <c r="H6" s="387"/>
      <c r="I6" s="388"/>
      <c r="K6" s="391"/>
      <c r="L6" s="389"/>
    </row>
    <row r="7" spans="1:12" s="327" customFormat="1">
      <c r="A7" s="1053" t="s">
        <v>2697</v>
      </c>
      <c r="B7" s="1053"/>
      <c r="C7" s="1053"/>
      <c r="D7" s="1053"/>
      <c r="E7" s="1053"/>
      <c r="F7" s="1053"/>
      <c r="G7" s="1053"/>
      <c r="H7" s="1053"/>
      <c r="I7" s="1053"/>
      <c r="K7" s="94"/>
      <c r="L7" s="352"/>
    </row>
    <row r="8" spans="1:12" s="327" customFormat="1">
      <c r="A8" s="352"/>
      <c r="B8" s="88"/>
      <c r="C8" s="352"/>
      <c r="D8" s="88"/>
      <c r="E8" s="92"/>
      <c r="F8" s="88"/>
      <c r="G8" s="88"/>
      <c r="H8" s="88"/>
      <c r="I8" s="88"/>
    </row>
    <row r="9" spans="1:12">
      <c r="A9" s="1066" t="s">
        <v>1897</v>
      </c>
      <c r="B9" s="1066"/>
      <c r="C9" s="1066"/>
      <c r="D9" s="1066"/>
      <c r="E9" s="1066"/>
      <c r="F9" s="1066"/>
      <c r="G9" s="1066"/>
      <c r="H9" s="1066"/>
      <c r="I9" s="353"/>
    </row>
    <row r="10" spans="1:12" s="328" customFormat="1" ht="18" customHeight="1">
      <c r="A10" s="1064" t="s">
        <v>904</v>
      </c>
      <c r="B10" s="1064" t="s">
        <v>1898</v>
      </c>
      <c r="C10" s="1064" t="s">
        <v>1899</v>
      </c>
      <c r="D10" s="1064" t="s">
        <v>1900</v>
      </c>
      <c r="E10" s="1065" t="s">
        <v>1901</v>
      </c>
      <c r="F10" s="1065" t="s">
        <v>1902</v>
      </c>
      <c r="G10" s="1064" t="s">
        <v>1903</v>
      </c>
      <c r="H10" s="1064"/>
      <c r="I10" s="1064"/>
    </row>
    <row r="11" spans="1:12" s="328" customFormat="1" ht="30" customHeight="1">
      <c r="A11" s="1064"/>
      <c r="B11" s="1064"/>
      <c r="C11" s="1064"/>
      <c r="D11" s="1064"/>
      <c r="E11" s="1065"/>
      <c r="F11" s="1065"/>
      <c r="G11" s="354" t="s">
        <v>1904</v>
      </c>
      <c r="H11" s="354" t="s">
        <v>1905</v>
      </c>
      <c r="I11" s="354" t="s">
        <v>1906</v>
      </c>
    </row>
    <row r="12" spans="1:12" ht="15.95" customHeight="1">
      <c r="A12" s="331">
        <v>1</v>
      </c>
      <c r="B12" s="333" t="s">
        <v>1907</v>
      </c>
      <c r="C12" s="334">
        <f>D12*$I$9</f>
        <v>0</v>
      </c>
      <c r="D12" s="335">
        <v>0.04</v>
      </c>
      <c r="E12" s="331"/>
      <c r="F12" s="331" t="str">
        <f>IF(AND(D12&gt;=G12,D12&lt;=I12),"OK","DIFERE")</f>
        <v>OK</v>
      </c>
      <c r="G12" s="339">
        <v>0.03</v>
      </c>
      <c r="H12" s="339">
        <v>0.04</v>
      </c>
      <c r="I12" s="339">
        <v>5.5E-2</v>
      </c>
      <c r="J12" s="326" t="s">
        <v>1908</v>
      </c>
      <c r="K12" s="326" t="s">
        <v>1909</v>
      </c>
    </row>
    <row r="13" spans="1:12" ht="15.95" customHeight="1">
      <c r="A13" s="331">
        <v>2</v>
      </c>
      <c r="B13" s="333" t="s">
        <v>1910</v>
      </c>
      <c r="C13" s="334">
        <f>D13*$I$9</f>
        <v>0</v>
      </c>
      <c r="D13" s="336">
        <v>8.0000000000000002E-3</v>
      </c>
      <c r="E13" s="331"/>
      <c r="F13" s="331" t="str">
        <f>IF(AND(D13&gt;=G13,D13&lt;=I13),"OK","DIFERE")</f>
        <v>OK</v>
      </c>
      <c r="G13" s="339">
        <v>8.0000000000000002E-3</v>
      </c>
      <c r="H13" s="339">
        <v>8.0000000000000002E-3</v>
      </c>
      <c r="I13" s="339">
        <v>0.01</v>
      </c>
      <c r="J13" s="326" t="s">
        <v>1911</v>
      </c>
      <c r="K13" s="326" t="s">
        <v>1912</v>
      </c>
    </row>
    <row r="14" spans="1:12" ht="15.95" customHeight="1">
      <c r="A14" s="331">
        <v>3</v>
      </c>
      <c r="B14" s="333" t="s">
        <v>1913</v>
      </c>
      <c r="C14" s="334">
        <f>D14*$I$9</f>
        <v>0</v>
      </c>
      <c r="D14" s="336">
        <v>1.2699999999999999E-2</v>
      </c>
      <c r="E14" s="331"/>
      <c r="F14" s="331" t="str">
        <f>IF(AND(D14&gt;=G14,D14&lt;=I14),"OK","DIFERE")</f>
        <v>OK</v>
      </c>
      <c r="G14" s="339">
        <v>9.7000000000000003E-3</v>
      </c>
      <c r="H14" s="339">
        <v>1.2699999999999999E-2</v>
      </c>
      <c r="I14" s="339">
        <v>1.2699999999999999E-2</v>
      </c>
      <c r="J14" s="326" t="s">
        <v>1914</v>
      </c>
      <c r="K14" s="326" t="s">
        <v>1915</v>
      </c>
    </row>
    <row r="15" spans="1:12" ht="15.95" customHeight="1">
      <c r="A15" s="331">
        <v>4</v>
      </c>
      <c r="B15" s="333" t="s">
        <v>1916</v>
      </c>
      <c r="C15" s="334">
        <f>D15*($I$9+C12+C13+C14)</f>
        <v>0</v>
      </c>
      <c r="D15" s="336">
        <v>1.23E-2</v>
      </c>
      <c r="E15" s="331"/>
      <c r="F15" s="331" t="str">
        <f>IF(AND(D15&gt;=G15,D15&lt;=I15),"OK","DIFERE")</f>
        <v>OK</v>
      </c>
      <c r="G15" s="339">
        <v>5.8999999999999999E-3</v>
      </c>
      <c r="H15" s="339">
        <v>1.23E-2</v>
      </c>
      <c r="I15" s="339">
        <v>1.3899999999999999E-2</v>
      </c>
      <c r="J15" s="326" t="s">
        <v>1917</v>
      </c>
      <c r="K15" s="326" t="s">
        <v>1918</v>
      </c>
    </row>
    <row r="16" spans="1:12" ht="15.95" customHeight="1">
      <c r="A16" s="331">
        <v>5</v>
      </c>
      <c r="B16" s="333" t="s">
        <v>1919</v>
      </c>
      <c r="C16" s="334">
        <f>D16*($I$9+C12+C13+C14+C15)</f>
        <v>0</v>
      </c>
      <c r="D16" s="336">
        <v>7.3999999999999996E-2</v>
      </c>
      <c r="E16" s="331"/>
      <c r="F16" s="331" t="str">
        <f>IF(AND(D16&gt;=G16,D16&lt;=I16),"OK","DIFERE")</f>
        <v>OK</v>
      </c>
      <c r="G16" s="339">
        <v>6.1600000000000002E-2</v>
      </c>
      <c r="H16" s="339">
        <v>7.3999999999999996E-2</v>
      </c>
      <c r="I16" s="339">
        <v>8.9599999999999999E-2</v>
      </c>
      <c r="J16" s="326" t="s">
        <v>924</v>
      </c>
      <c r="K16" s="326" t="s">
        <v>1920</v>
      </c>
    </row>
    <row r="17" spans="1:11" ht="15.95" customHeight="1">
      <c r="A17" s="331">
        <v>6</v>
      </c>
      <c r="B17" s="337" t="s">
        <v>1921</v>
      </c>
      <c r="C17" s="338">
        <f>D17*$I$9*(1+D24)</f>
        <v>0</v>
      </c>
      <c r="D17" s="336">
        <f>SUM(D18:D21)</f>
        <v>8.1499999999999989E-2</v>
      </c>
      <c r="E17" s="332"/>
      <c r="F17" s="88"/>
      <c r="G17" s="89"/>
      <c r="H17" s="89"/>
      <c r="I17" s="90"/>
      <c r="J17" s="326" t="s">
        <v>1922</v>
      </c>
      <c r="K17" s="326" t="s">
        <v>1923</v>
      </c>
    </row>
    <row r="18" spans="1:11" ht="15.95" customHeight="1">
      <c r="A18" s="394" t="s">
        <v>1924</v>
      </c>
      <c r="B18" s="1059" t="s">
        <v>1925</v>
      </c>
      <c r="C18" s="1059"/>
      <c r="D18" s="336">
        <v>6.4999999999999997E-3</v>
      </c>
      <c r="E18" s="332"/>
      <c r="F18" s="88"/>
      <c r="G18" s="88"/>
      <c r="H18" s="88"/>
      <c r="I18" s="91"/>
    </row>
    <row r="19" spans="1:11" ht="15.95" customHeight="1">
      <c r="A19" s="394" t="s">
        <v>1926</v>
      </c>
      <c r="B19" s="1059" t="s">
        <v>1927</v>
      </c>
      <c r="C19" s="1059"/>
      <c r="D19" s="336">
        <v>0.03</v>
      </c>
      <c r="E19" s="332"/>
      <c r="F19" s="88"/>
      <c r="G19" s="88"/>
      <c r="H19" s="88"/>
      <c r="I19" s="91"/>
    </row>
    <row r="20" spans="1:11" ht="15.95" customHeight="1">
      <c r="A20" s="394" t="s">
        <v>1928</v>
      </c>
      <c r="B20" s="1059" t="s">
        <v>1929</v>
      </c>
      <c r="C20" s="1059"/>
      <c r="D20" s="336"/>
      <c r="E20" s="332"/>
      <c r="F20" s="88"/>
      <c r="G20" s="88"/>
      <c r="H20" s="88"/>
      <c r="I20" s="91"/>
    </row>
    <row r="21" spans="1:11" ht="15.95" customHeight="1">
      <c r="A21" s="394" t="s">
        <v>1930</v>
      </c>
      <c r="B21" s="1059" t="s">
        <v>1931</v>
      </c>
      <c r="C21" s="1059"/>
      <c r="D21" s="336">
        <v>4.4999999999999998E-2</v>
      </c>
      <c r="E21" s="332"/>
      <c r="F21" s="88"/>
      <c r="G21" s="88"/>
      <c r="H21" s="88"/>
      <c r="I21" s="91"/>
    </row>
    <row r="22" spans="1:11" ht="15.95" customHeight="1" thickBot="1">
      <c r="A22" s="1055" t="s">
        <v>1932</v>
      </c>
      <c r="B22" s="1055"/>
      <c r="C22" s="340">
        <f>SUM(C12:C17)</f>
        <v>0</v>
      </c>
      <c r="D22" s="331"/>
      <c r="E22" s="331"/>
      <c r="F22" s="1055" t="s">
        <v>1933</v>
      </c>
      <c r="G22" s="1055"/>
      <c r="H22" s="1055"/>
      <c r="I22" s="1055"/>
    </row>
    <row r="23" spans="1:11" ht="15.95" customHeight="1" thickBot="1">
      <c r="A23" s="1055" t="s">
        <v>1934</v>
      </c>
      <c r="B23" s="1055"/>
      <c r="C23" s="340">
        <f>C22+I9</f>
        <v>0</v>
      </c>
      <c r="D23" s="331"/>
      <c r="E23" s="331"/>
      <c r="F23" s="342" t="s">
        <v>1935</v>
      </c>
      <c r="G23" s="339">
        <v>0.2034</v>
      </c>
      <c r="H23" s="339">
        <v>0.22120000000000001</v>
      </c>
      <c r="I23" s="339">
        <v>0.25</v>
      </c>
      <c r="K23" s="329"/>
    </row>
    <row r="24" spans="1:11" ht="15.95" customHeight="1">
      <c r="A24" s="1055" t="s">
        <v>1936</v>
      </c>
      <c r="B24" s="1055"/>
      <c r="C24" s="1055"/>
      <c r="D24" s="341">
        <f>ROUND((((1+$D12+$D13+$D14)*(1+$D15)*(1+$D16)/(1-$D17)))-1,4)</f>
        <v>0.2555</v>
      </c>
      <c r="E24" s="331" t="str">
        <f>IF(AND($D24&gt;=$G24,$D24&lt;=$I24),"OK","DIFERE")</f>
        <v>DIFERE</v>
      </c>
      <c r="F24" s="342" t="s">
        <v>1937</v>
      </c>
      <c r="G24" s="339">
        <f>((G23+1)*(1-E27))/((1-E27)-D21)-1</f>
        <v>0.2601047120418849</v>
      </c>
      <c r="H24" s="339">
        <f>((H23+1)*(1-E27))/((1-E27)-D21)-1</f>
        <v>0.27874345549738222</v>
      </c>
      <c r="I24" s="339">
        <f>((I23+1)*(1-E27))/((1-E27)-D21)-1</f>
        <v>0.30890052356020958</v>
      </c>
    </row>
    <row r="25" spans="1:11" ht="5.0999999999999996" customHeight="1">
      <c r="A25" s="88"/>
      <c r="B25" s="88"/>
      <c r="C25" s="88"/>
      <c r="D25" s="88"/>
      <c r="E25" s="92"/>
      <c r="F25" s="88"/>
      <c r="G25" s="88"/>
      <c r="H25" s="88"/>
      <c r="I25" s="88"/>
    </row>
    <row r="26" spans="1:11">
      <c r="A26" s="88" t="s">
        <v>1939</v>
      </c>
      <c r="B26" s="88"/>
      <c r="C26" s="88"/>
      <c r="D26" s="88"/>
      <c r="E26" s="92"/>
      <c r="F26" s="343" t="s">
        <v>1938</v>
      </c>
      <c r="G26" s="344"/>
      <c r="H26" s="344"/>
      <c r="I26" s="345"/>
    </row>
    <row r="27" spans="1:11">
      <c r="A27" s="88" t="s">
        <v>1940</v>
      </c>
      <c r="B27" s="88"/>
      <c r="C27" s="88"/>
      <c r="D27" s="88"/>
      <c r="E27" s="92"/>
      <c r="F27" s="346"/>
      <c r="G27" s="347"/>
      <c r="H27" s="347"/>
      <c r="I27" s="348"/>
    </row>
    <row r="28" spans="1:11">
      <c r="A28" s="93" t="s">
        <v>1941</v>
      </c>
      <c r="B28" s="93"/>
      <c r="C28" s="88"/>
      <c r="D28" s="88"/>
      <c r="E28" s="92"/>
      <c r="F28" s="346"/>
      <c r="G28" s="347"/>
      <c r="H28" s="347"/>
      <c r="I28" s="348"/>
    </row>
    <row r="29" spans="1:11">
      <c r="A29" s="93" t="s">
        <v>1942</v>
      </c>
      <c r="B29" s="93"/>
      <c r="C29" s="88"/>
      <c r="D29" s="88"/>
      <c r="E29" s="92"/>
      <c r="F29" s="346"/>
      <c r="G29" s="347"/>
      <c r="H29" s="347"/>
      <c r="I29" s="348"/>
    </row>
    <row r="30" spans="1:11">
      <c r="A30" s="93" t="s">
        <v>1943</v>
      </c>
      <c r="B30" s="93"/>
      <c r="C30" s="88"/>
      <c r="D30" s="88"/>
      <c r="E30" s="92"/>
      <c r="F30" s="346"/>
      <c r="G30" s="347"/>
      <c r="H30" s="347"/>
      <c r="I30" s="348"/>
    </row>
    <row r="31" spans="1:11">
      <c r="A31" s="93" t="s">
        <v>1944</v>
      </c>
      <c r="B31" s="93"/>
      <c r="C31" s="88"/>
      <c r="D31" s="88"/>
      <c r="E31" s="92"/>
      <c r="F31" s="346"/>
      <c r="G31" s="347"/>
      <c r="H31" s="347"/>
      <c r="I31" s="348"/>
    </row>
    <row r="32" spans="1:11">
      <c r="A32" s="93" t="s">
        <v>1945</v>
      </c>
      <c r="B32" s="93"/>
      <c r="C32" s="88"/>
      <c r="D32" s="88"/>
      <c r="E32" s="92"/>
      <c r="F32" s="346"/>
      <c r="G32" s="347"/>
      <c r="H32" s="347"/>
      <c r="I32" s="348"/>
    </row>
    <row r="33" spans="1:9">
      <c r="A33" s="93" t="s">
        <v>1946</v>
      </c>
      <c r="B33" s="93"/>
      <c r="C33" s="88"/>
      <c r="D33" s="88"/>
      <c r="E33" s="92"/>
      <c r="F33" s="349"/>
      <c r="G33" s="350"/>
      <c r="H33" s="350"/>
      <c r="I33" s="351"/>
    </row>
    <row r="34" spans="1:9">
      <c r="A34" s="93"/>
      <c r="B34" s="93"/>
      <c r="C34" s="88"/>
      <c r="D34" s="88"/>
      <c r="E34" s="92"/>
      <c r="F34" s="88"/>
      <c r="G34" s="88"/>
      <c r="H34" s="88"/>
      <c r="I34" s="88"/>
    </row>
    <row r="35" spans="1:9">
      <c r="A35" s="93"/>
      <c r="B35" s="93"/>
      <c r="C35" s="88"/>
      <c r="D35" s="88"/>
      <c r="E35" s="92"/>
      <c r="F35" s="88"/>
      <c r="G35" s="88"/>
      <c r="H35" s="88"/>
      <c r="I35" s="88"/>
    </row>
    <row r="36" spans="1:9" ht="13.5" thickBot="1">
      <c r="A36" s="93"/>
      <c r="B36" s="94" t="s">
        <v>1947</v>
      </c>
      <c r="C36" s="117">
        <f>CRONOGRAMA!BC9</f>
        <v>360</v>
      </c>
      <c r="D36" s="88" t="s">
        <v>909</v>
      </c>
      <c r="E36" s="92"/>
      <c r="F36" s="96"/>
      <c r="G36" s="96"/>
      <c r="H36" s="96"/>
      <c r="I36" s="88"/>
    </row>
    <row r="37" spans="1:9">
      <c r="A37" s="88"/>
      <c r="B37" s="88"/>
      <c r="C37" s="88"/>
      <c r="D37" s="88"/>
      <c r="E37" s="92"/>
      <c r="F37" s="1067" t="s">
        <v>2691</v>
      </c>
      <c r="G37" s="1067"/>
      <c r="H37" s="1067"/>
      <c r="I37" s="88"/>
    </row>
    <row r="38" spans="1:9">
      <c r="A38" s="88"/>
      <c r="B38" s="88"/>
      <c r="C38" s="88"/>
      <c r="D38" s="88"/>
      <c r="E38" s="92"/>
      <c r="F38" s="1068" t="s">
        <v>2692</v>
      </c>
      <c r="G38" s="1068"/>
      <c r="H38" s="1068"/>
      <c r="I38" s="88"/>
    </row>
    <row r="39" spans="1:9">
      <c r="A39" s="88"/>
      <c r="F39" s="88"/>
      <c r="G39" s="88"/>
      <c r="H39" s="88"/>
      <c r="I39" s="88"/>
    </row>
    <row r="40" spans="1:9">
      <c r="A40" s="88"/>
      <c r="B40" s="88"/>
      <c r="C40" s="88"/>
      <c r="D40" s="88"/>
      <c r="E40" s="92"/>
      <c r="F40" s="88"/>
      <c r="G40" s="88"/>
      <c r="H40" s="88"/>
      <c r="I40" s="88"/>
    </row>
  </sheetData>
  <mergeCells count="19">
    <mergeCell ref="A23:B23"/>
    <mergeCell ref="A24:C24"/>
    <mergeCell ref="F37:H37"/>
    <mergeCell ref="F38:H38"/>
    <mergeCell ref="G10:I10"/>
    <mergeCell ref="B18:C18"/>
    <mergeCell ref="B19:C19"/>
    <mergeCell ref="B20:C20"/>
    <mergeCell ref="B21:C21"/>
    <mergeCell ref="A22:B22"/>
    <mergeCell ref="F22:I22"/>
    <mergeCell ref="A10:A11"/>
    <mergeCell ref="B10:B11"/>
    <mergeCell ref="A7:I7"/>
    <mergeCell ref="C10:C11"/>
    <mergeCell ref="D10:D11"/>
    <mergeCell ref="E10:E11"/>
    <mergeCell ref="F10:F11"/>
    <mergeCell ref="A9:H9"/>
  </mergeCells>
  <printOptions horizontalCentered="1"/>
  <pageMargins left="0.19685039370078741" right="0.19685039370078741" top="1.1811023622047245" bottom="0.98425196850393704" header="0.59055118110236227" footer="0.19685039370078741"/>
  <pageSetup paperSize="9" scale="66" orientation="landscape" r:id="rId1"/>
  <headerFooter>
    <oddFooter>&amp;R&amp;P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tabColor rgb="FFFF0000"/>
  </sheetPr>
  <dimension ref="A1:T103"/>
  <sheetViews>
    <sheetView view="pageBreakPreview" zoomScaleNormal="85" zoomScaleSheetLayoutView="100" zoomScalePageLayoutView="70" workbookViewId="0">
      <selection activeCell="B31" sqref="B31:E31"/>
    </sheetView>
  </sheetViews>
  <sheetFormatPr defaultColWidth="9.140625" defaultRowHeight="12.75"/>
  <cols>
    <col min="1" max="1" width="6" style="176" customWidth="1"/>
    <col min="2" max="2" width="7.5703125" style="176" customWidth="1"/>
    <col min="3" max="3" width="10.85546875" style="176" customWidth="1"/>
    <col min="4" max="4" width="12.140625" style="176" customWidth="1"/>
    <col min="5" max="5" width="9.28515625" style="176" customWidth="1"/>
    <col min="6" max="6" width="14.5703125" style="176" customWidth="1"/>
    <col min="7" max="7" width="10.42578125" style="176" customWidth="1"/>
    <col min="8" max="8" width="14.5703125" style="176" customWidth="1"/>
    <col min="9" max="9" width="10.5703125" style="199" customWidth="1"/>
    <col min="10" max="11" width="9.140625" style="162"/>
    <col min="12" max="12" width="13.42578125" style="162" customWidth="1"/>
    <col min="13" max="15" width="9.140625" style="162"/>
    <col min="16" max="17" width="11.7109375" style="162" bestFit="1" customWidth="1"/>
    <col min="18" max="19" width="9.140625" style="162"/>
    <col min="20" max="20" width="11.42578125" style="163" customWidth="1"/>
    <col min="21" max="16384" width="9.140625" style="162"/>
  </cols>
  <sheetData>
    <row r="1" spans="1:20" s="167" customFormat="1">
      <c r="A1" s="145" t="s">
        <v>2690</v>
      </c>
      <c r="B1" s="213" t="str">
        <f>IF(DADOS!$D$9&lt;&gt;"",DADOS!$D$9,"")</f>
        <v>CÂMARA MUNICIPAL DE TAMARANA</v>
      </c>
      <c r="C1" s="212"/>
      <c r="D1" s="213"/>
      <c r="E1" s="213"/>
      <c r="F1" s="220"/>
      <c r="G1" s="224" t="s">
        <v>29</v>
      </c>
      <c r="H1" s="221"/>
      <c r="I1" s="396">
        <f>BDI!D24</f>
        <v>0.2354</v>
      </c>
      <c r="J1" s="207"/>
      <c r="T1" s="168"/>
    </row>
    <row r="2" spans="1:20" s="167" customFormat="1">
      <c r="A2" s="146" t="s">
        <v>3714</v>
      </c>
      <c r="B2" s="445">
        <f>IF(DADOS!N7&lt;&gt;"",DADOS!N7)</f>
        <v>81</v>
      </c>
      <c r="C2" s="212"/>
      <c r="D2" s="213"/>
      <c r="E2" s="215"/>
      <c r="F2" s="214"/>
      <c r="G2" s="241" t="s">
        <v>4878</v>
      </c>
      <c r="H2" s="222"/>
      <c r="I2" s="396">
        <f>'BDI equip'!D24</f>
        <v>0.2555</v>
      </c>
      <c r="J2" s="207"/>
      <c r="T2" s="168"/>
    </row>
    <row r="3" spans="1:20" s="167" customFormat="1">
      <c r="A3" s="224" t="s">
        <v>3715</v>
      </c>
      <c r="B3" s="395" t="str">
        <f>IF(DADOS!D13&lt;&gt;"",DADOS!D13)</f>
        <v>CÂMARA MUNICIPAL DE TAMARANA</v>
      </c>
      <c r="C3" s="212"/>
      <c r="D3" s="213"/>
      <c r="E3" s="215"/>
      <c r="F3" s="214"/>
      <c r="G3" s="224" t="s">
        <v>3718</v>
      </c>
      <c r="H3" s="225"/>
      <c r="I3" s="397" t="b">
        <f>IF(DADOS!J13&lt;&gt;"",DADOS!J13)</f>
        <v>0</v>
      </c>
      <c r="J3" s="207"/>
      <c r="T3" s="168"/>
    </row>
    <row r="4" spans="1:20" s="164" customFormat="1">
      <c r="A4" s="146" t="s">
        <v>3716</v>
      </c>
      <c r="B4" s="213" t="str">
        <f>IF(DADOS!D11&lt;&gt;"",DADOS!D11,"")</f>
        <v>RUA UBALDINO DE SÁ BITERNCOURT, S/N. - PRAÇA "A-B-3"</v>
      </c>
      <c r="C4" s="212"/>
      <c r="D4" s="213"/>
      <c r="E4" s="216"/>
      <c r="F4" s="223"/>
      <c r="G4" s="209" t="s">
        <v>3721</v>
      </c>
      <c r="H4" s="222"/>
      <c r="I4" s="398">
        <f>DADOS!D17</f>
        <v>713.26</v>
      </c>
      <c r="K4" s="152"/>
      <c r="L4" s="152"/>
      <c r="M4" s="152"/>
      <c r="N4" s="152"/>
      <c r="O4" s="152"/>
      <c r="P4" s="152"/>
      <c r="Q4" s="152"/>
      <c r="R4" s="152"/>
      <c r="S4" s="152"/>
      <c r="T4" s="152"/>
    </row>
    <row r="5" spans="1:20" s="164" customFormat="1">
      <c r="A5" s="218" t="s">
        <v>4877</v>
      </c>
      <c r="B5" s="228" t="str">
        <f>IF(DADOS!D21&lt;&gt;"",DADOS!D21)</f>
        <v>SINAPI PR - JULHO 2022 - NÃO DESONERADO</v>
      </c>
      <c r="C5" s="212"/>
      <c r="D5" s="219"/>
      <c r="E5" s="216"/>
      <c r="F5" s="217"/>
      <c r="G5" s="224" t="s">
        <v>903</v>
      </c>
      <c r="H5" s="399"/>
      <c r="I5" s="226">
        <f ca="1">IF(DADOS!D19&lt;&gt;"",DADOS!D19,"")</f>
        <v>44860</v>
      </c>
      <c r="T5" s="165"/>
    </row>
    <row r="6" spans="1:20" s="164" customFormat="1">
      <c r="A6" s="201"/>
      <c r="B6" s="170"/>
      <c r="C6" s="166"/>
      <c r="D6" s="170"/>
      <c r="E6" s="150"/>
      <c r="F6" s="150"/>
      <c r="G6" s="150"/>
      <c r="H6" s="150"/>
      <c r="I6" s="169"/>
      <c r="T6" s="165"/>
    </row>
    <row r="7" spans="1:20" s="164" customFormat="1">
      <c r="A7" s="1075" t="s">
        <v>3720</v>
      </c>
      <c r="B7" s="1076"/>
      <c r="C7" s="1076"/>
      <c r="D7" s="1076"/>
      <c r="E7" s="1076"/>
      <c r="F7" s="1076"/>
      <c r="G7" s="1076"/>
      <c r="H7" s="1076"/>
      <c r="I7" s="1077"/>
      <c r="T7" s="165"/>
    </row>
    <row r="8" spans="1:20" s="164" customFormat="1" ht="13.5" thickBot="1">
      <c r="A8" s="171"/>
      <c r="F8" s="172"/>
      <c r="G8" s="172"/>
      <c r="H8" s="172"/>
      <c r="I8" s="173"/>
      <c r="T8" s="165"/>
    </row>
    <row r="9" spans="1:20" s="158" customFormat="1">
      <c r="A9" s="1081" t="s">
        <v>904</v>
      </c>
      <c r="B9" s="1085" t="s">
        <v>791</v>
      </c>
      <c r="C9" s="1085"/>
      <c r="D9" s="1085"/>
      <c r="E9" s="1086"/>
      <c r="F9" s="592"/>
      <c r="G9" s="1091" t="s">
        <v>543</v>
      </c>
      <c r="H9" s="1086" t="s">
        <v>4876</v>
      </c>
      <c r="I9" s="1083" t="s">
        <v>30</v>
      </c>
      <c r="J9" s="174"/>
      <c r="K9" s="174"/>
      <c r="L9" s="174"/>
      <c r="M9" s="174"/>
      <c r="N9" s="174"/>
      <c r="O9" s="174"/>
      <c r="P9" s="174"/>
      <c r="Q9" s="174"/>
      <c r="R9" s="174"/>
      <c r="S9" s="174"/>
    </row>
    <row r="10" spans="1:20" s="158" customFormat="1" ht="13.5" thickBot="1">
      <c r="A10" s="1082"/>
      <c r="B10" s="1087"/>
      <c r="C10" s="1087"/>
      <c r="D10" s="1087"/>
      <c r="E10" s="1088"/>
      <c r="F10" s="175" t="s">
        <v>3732</v>
      </c>
      <c r="G10" s="1092"/>
      <c r="H10" s="1088"/>
      <c r="I10" s="1084"/>
    </row>
    <row r="11" spans="1:20" s="158" customFormat="1">
      <c r="A11" s="414"/>
      <c r="B11" s="1072" t="s">
        <v>6516</v>
      </c>
      <c r="C11" s="1073"/>
      <c r="D11" s="1073"/>
      <c r="E11" s="1074"/>
      <c r="F11" s="427"/>
      <c r="G11" s="427"/>
      <c r="H11" s="427"/>
      <c r="I11" s="415"/>
    </row>
    <row r="12" spans="1:20" s="159" customFormat="1">
      <c r="A12" s="97">
        <v>1</v>
      </c>
      <c r="B12" s="1069" t="e">
        <f>IF($A12&lt;&gt;"",VLOOKUP($A12,#REF!,4,0),"")</f>
        <v>#REF!</v>
      </c>
      <c r="C12" s="1070"/>
      <c r="D12" s="1070"/>
      <c r="E12" s="1071"/>
      <c r="F12" s="79" t="e">
        <f>IF($A12&lt;&gt;"",VLOOKUP($A12,#REF!,9,0),"")</f>
        <v>#REF!</v>
      </c>
      <c r="G12" s="432">
        <f>I$1</f>
        <v>0.2354</v>
      </c>
      <c r="H12" s="79" t="e">
        <f>IF($A12&lt;&gt;"",VLOOKUP($A12,#REF!,10,0),"")</f>
        <v>#REF!</v>
      </c>
      <c r="I12" s="434" t="e">
        <f t="shared" ref="I12:I31" si="0">+H12/H$83</f>
        <v>#REF!</v>
      </c>
      <c r="K12" s="131"/>
      <c r="L12" s="132"/>
      <c r="M12" s="133"/>
      <c r="N12" s="134"/>
      <c r="O12" s="134"/>
      <c r="P12" s="134"/>
      <c r="Q12" s="134"/>
      <c r="S12" s="435"/>
      <c r="T12" s="436"/>
    </row>
    <row r="13" spans="1:20" s="159" customFormat="1">
      <c r="A13" s="437">
        <v>2</v>
      </c>
      <c r="B13" s="1069" t="e">
        <f>IF($A13&lt;&gt;"",VLOOKUP($A13,#REF!,4,0),"")</f>
        <v>#REF!</v>
      </c>
      <c r="C13" s="1070"/>
      <c r="D13" s="1070"/>
      <c r="E13" s="1071"/>
      <c r="F13" s="79" t="e">
        <f>IF($A13&lt;&gt;"",VLOOKUP($A13,#REF!,9,0),"")</f>
        <v>#REF!</v>
      </c>
      <c r="G13" s="432">
        <f t="shared" ref="G13:G42" si="1">I$1</f>
        <v>0.2354</v>
      </c>
      <c r="H13" s="79" t="e">
        <f>IF($A13&lt;&gt;"",VLOOKUP($A13,#REF!,10,0),"")</f>
        <v>#REF!</v>
      </c>
      <c r="I13" s="434" t="e">
        <f t="shared" si="0"/>
        <v>#REF!</v>
      </c>
      <c r="K13" s="131"/>
      <c r="L13" s="132"/>
      <c r="M13" s="133"/>
      <c r="N13" s="134"/>
      <c r="O13" s="134"/>
      <c r="P13" s="134"/>
      <c r="Q13" s="134"/>
      <c r="S13" s="435"/>
      <c r="T13" s="436"/>
    </row>
    <row r="14" spans="1:20" s="159" customFormat="1">
      <c r="A14" s="97">
        <v>3</v>
      </c>
      <c r="B14" s="1069" t="e">
        <f>IF($A14&lt;&gt;"",VLOOKUP($A14,#REF!,4,0),"")</f>
        <v>#REF!</v>
      </c>
      <c r="C14" s="1070"/>
      <c r="D14" s="1070"/>
      <c r="E14" s="1071"/>
      <c r="F14" s="79" t="e">
        <f>IF($A14&lt;&gt;"",VLOOKUP($A14,#REF!,9,0),"")</f>
        <v>#REF!</v>
      </c>
      <c r="G14" s="432">
        <f t="shared" si="1"/>
        <v>0.2354</v>
      </c>
      <c r="H14" s="79" t="e">
        <f>IF($A14&lt;&gt;"",VLOOKUP($A14,#REF!,10,0),"")</f>
        <v>#REF!</v>
      </c>
      <c r="I14" s="434" t="e">
        <f t="shared" si="0"/>
        <v>#REF!</v>
      </c>
      <c r="K14" s="131"/>
      <c r="L14" s="132"/>
      <c r="M14" s="133"/>
      <c r="N14" s="134"/>
      <c r="O14" s="134"/>
      <c r="P14" s="134"/>
      <c r="Q14" s="134"/>
      <c r="S14" s="435"/>
      <c r="T14" s="436"/>
    </row>
    <row r="15" spans="1:20" s="159" customFormat="1">
      <c r="A15" s="437">
        <v>4</v>
      </c>
      <c r="B15" s="1069" t="e">
        <f>IF($A15&lt;&gt;"",VLOOKUP($A15,#REF!,4,0),"")</f>
        <v>#REF!</v>
      </c>
      <c r="C15" s="1070"/>
      <c r="D15" s="1070"/>
      <c r="E15" s="1071"/>
      <c r="F15" s="79" t="e">
        <f>IF($A15&lt;&gt;"",VLOOKUP($A15,#REF!,9,0),"")</f>
        <v>#REF!</v>
      </c>
      <c r="G15" s="432">
        <f t="shared" si="1"/>
        <v>0.2354</v>
      </c>
      <c r="H15" s="79" t="e">
        <f>IF($A15&lt;&gt;"",VLOOKUP($A15,#REF!,10,0),"")</f>
        <v>#REF!</v>
      </c>
      <c r="I15" s="434" t="e">
        <f t="shared" si="0"/>
        <v>#REF!</v>
      </c>
      <c r="K15" s="131"/>
      <c r="L15" s="132"/>
      <c r="M15" s="133"/>
      <c r="N15" s="134"/>
      <c r="O15" s="134"/>
      <c r="P15" s="134"/>
      <c r="Q15" s="134"/>
      <c r="S15" s="435"/>
      <c r="T15" s="436"/>
    </row>
    <row r="16" spans="1:20" s="159" customFormat="1">
      <c r="A16" s="437">
        <v>5</v>
      </c>
      <c r="B16" s="1069" t="e">
        <f>IF($A16&lt;&gt;"",VLOOKUP($A16,#REF!,4,0),"")</f>
        <v>#REF!</v>
      </c>
      <c r="C16" s="1070"/>
      <c r="D16" s="1070"/>
      <c r="E16" s="1071"/>
      <c r="F16" s="79" t="e">
        <f>IF($A16&lt;&gt;"",VLOOKUP($A16,#REF!,9,0),"")</f>
        <v>#REF!</v>
      </c>
      <c r="G16" s="432">
        <f t="shared" si="1"/>
        <v>0.2354</v>
      </c>
      <c r="H16" s="79" t="e">
        <f>IF($A16&lt;&gt;"",VLOOKUP($A16,#REF!,10,0),"")</f>
        <v>#REF!</v>
      </c>
      <c r="I16" s="434" t="e">
        <f t="shared" si="0"/>
        <v>#REF!</v>
      </c>
      <c r="K16" s="131"/>
      <c r="L16" s="132"/>
      <c r="M16" s="133"/>
      <c r="N16" s="134"/>
      <c r="O16" s="134"/>
      <c r="P16" s="134"/>
      <c r="Q16" s="134"/>
      <c r="S16" s="435"/>
      <c r="T16" s="436"/>
    </row>
    <row r="17" spans="1:20" s="159" customFormat="1">
      <c r="A17" s="437">
        <v>6</v>
      </c>
      <c r="B17" s="1069" t="e">
        <f>IF($A17&lt;&gt;"",VLOOKUP($A17,#REF!,4,0),"")</f>
        <v>#REF!</v>
      </c>
      <c r="C17" s="1070"/>
      <c r="D17" s="1070"/>
      <c r="E17" s="1071"/>
      <c r="F17" s="79" t="e">
        <f>IF($A17&lt;&gt;"",VLOOKUP($A17,#REF!,9,0),"")</f>
        <v>#REF!</v>
      </c>
      <c r="G17" s="432">
        <f t="shared" si="1"/>
        <v>0.2354</v>
      </c>
      <c r="H17" s="79" t="e">
        <f>IF($A17&lt;&gt;"",VLOOKUP($A17,#REF!,10,0),"")</f>
        <v>#REF!</v>
      </c>
      <c r="I17" s="434" t="e">
        <f t="shared" si="0"/>
        <v>#REF!</v>
      </c>
      <c r="K17" s="131"/>
      <c r="L17" s="132"/>
      <c r="M17" s="133"/>
      <c r="N17" s="134"/>
      <c r="O17" s="134"/>
      <c r="P17" s="134"/>
      <c r="Q17" s="134"/>
      <c r="S17" s="435"/>
      <c r="T17" s="436"/>
    </row>
    <row r="18" spans="1:20" s="159" customFormat="1">
      <c r="A18" s="437">
        <v>7</v>
      </c>
      <c r="B18" s="1069" t="e">
        <f>IF($A18&lt;&gt;"",VLOOKUP($A18,#REF!,4,0),"")</f>
        <v>#REF!</v>
      </c>
      <c r="C18" s="1070"/>
      <c r="D18" s="1070"/>
      <c r="E18" s="1071"/>
      <c r="F18" s="79" t="e">
        <f>IF($A18&lt;&gt;"",VLOOKUP($A18,#REF!,9,0),"")</f>
        <v>#REF!</v>
      </c>
      <c r="G18" s="432">
        <f t="shared" si="1"/>
        <v>0.2354</v>
      </c>
      <c r="H18" s="79" t="e">
        <f>IF($A18&lt;&gt;"",VLOOKUP($A18,#REF!,10,0),"")</f>
        <v>#REF!</v>
      </c>
      <c r="I18" s="434" t="e">
        <f t="shared" si="0"/>
        <v>#REF!</v>
      </c>
      <c r="K18" s="131"/>
      <c r="L18" s="132"/>
      <c r="M18" s="133"/>
      <c r="N18" s="134"/>
      <c r="O18" s="134"/>
      <c r="P18" s="134"/>
      <c r="Q18" s="134"/>
      <c r="S18" s="435"/>
      <c r="T18" s="436"/>
    </row>
    <row r="19" spans="1:20" s="159" customFormat="1">
      <c r="A19" s="437">
        <v>8</v>
      </c>
      <c r="B19" s="1069" t="e">
        <f>IF($A19&lt;&gt;"",VLOOKUP($A19,#REF!,4,0),"")</f>
        <v>#REF!</v>
      </c>
      <c r="C19" s="1070"/>
      <c r="D19" s="1070"/>
      <c r="E19" s="1071"/>
      <c r="F19" s="79" t="e">
        <f>IF($A19&lt;&gt;"",VLOOKUP($A19,#REF!,9,0),"")</f>
        <v>#REF!</v>
      </c>
      <c r="G19" s="432">
        <f t="shared" si="1"/>
        <v>0.2354</v>
      </c>
      <c r="H19" s="79" t="e">
        <f>IF($A19&lt;&gt;"",VLOOKUP($A19,#REF!,10,0),"")</f>
        <v>#REF!</v>
      </c>
      <c r="I19" s="434" t="e">
        <f t="shared" si="0"/>
        <v>#REF!</v>
      </c>
      <c r="K19" s="131"/>
      <c r="L19" s="132"/>
      <c r="M19" s="133"/>
      <c r="N19" s="134"/>
      <c r="O19" s="134"/>
      <c r="P19" s="134"/>
      <c r="Q19" s="134"/>
      <c r="S19" s="435"/>
      <c r="T19" s="436"/>
    </row>
    <row r="20" spans="1:20" s="159" customFormat="1">
      <c r="A20" s="437">
        <v>9</v>
      </c>
      <c r="B20" s="1069" t="e">
        <f>IF($A20&lt;&gt;"",VLOOKUP($A20,#REF!,4,0),"")</f>
        <v>#REF!</v>
      </c>
      <c r="C20" s="1070"/>
      <c r="D20" s="1070"/>
      <c r="E20" s="1071"/>
      <c r="F20" s="79" t="e">
        <f>IF($A20&lt;&gt;"",VLOOKUP($A20,#REF!,9,0),"")</f>
        <v>#REF!</v>
      </c>
      <c r="G20" s="432">
        <f t="shared" si="1"/>
        <v>0.2354</v>
      </c>
      <c r="H20" s="79" t="e">
        <f>IF($A20&lt;&gt;"",VLOOKUP($A20,#REF!,10,0),"")</f>
        <v>#REF!</v>
      </c>
      <c r="I20" s="434" t="e">
        <f t="shared" si="0"/>
        <v>#REF!</v>
      </c>
      <c r="K20" s="131"/>
      <c r="L20" s="132"/>
      <c r="M20" s="133"/>
      <c r="N20" s="134"/>
      <c r="O20" s="134"/>
      <c r="P20" s="134"/>
      <c r="Q20" s="134"/>
      <c r="S20" s="435"/>
      <c r="T20" s="436"/>
    </row>
    <row r="21" spans="1:20" s="159" customFormat="1">
      <c r="A21" s="437">
        <v>10</v>
      </c>
      <c r="B21" s="1069" t="e">
        <f>IF($A21&lt;&gt;"",VLOOKUP($A21,#REF!,4,0),"")</f>
        <v>#REF!</v>
      </c>
      <c r="C21" s="1070"/>
      <c r="D21" s="1070"/>
      <c r="E21" s="1071"/>
      <c r="F21" s="79" t="e">
        <f>IF($A21&lt;&gt;"",VLOOKUP($A21,#REF!,9,0),"")</f>
        <v>#REF!</v>
      </c>
      <c r="G21" s="432">
        <f t="shared" si="1"/>
        <v>0.2354</v>
      </c>
      <c r="H21" s="79" t="e">
        <f>IF($A21&lt;&gt;"",VLOOKUP($A21,#REF!,10,0),"")</f>
        <v>#REF!</v>
      </c>
      <c r="I21" s="434" t="e">
        <f t="shared" si="0"/>
        <v>#REF!</v>
      </c>
      <c r="K21" s="131"/>
      <c r="L21" s="132"/>
      <c r="M21" s="133"/>
      <c r="N21" s="134"/>
      <c r="O21" s="134"/>
      <c r="P21" s="134"/>
      <c r="Q21" s="134"/>
      <c r="S21" s="435"/>
      <c r="T21" s="436"/>
    </row>
    <row r="22" spans="1:20" s="159" customFormat="1">
      <c r="A22" s="437">
        <v>11</v>
      </c>
      <c r="B22" s="1069" t="e">
        <f>IF($A22&lt;&gt;"",VLOOKUP($A22,#REF!,4,0),"")</f>
        <v>#REF!</v>
      </c>
      <c r="C22" s="1070"/>
      <c r="D22" s="1070"/>
      <c r="E22" s="1071"/>
      <c r="F22" s="79" t="e">
        <f>IF($A22&lt;&gt;"",VLOOKUP($A22,#REF!,9,0),"")</f>
        <v>#REF!</v>
      </c>
      <c r="G22" s="432">
        <f t="shared" si="1"/>
        <v>0.2354</v>
      </c>
      <c r="H22" s="79" t="e">
        <f>IF($A22&lt;&gt;"",VLOOKUP($A22,#REF!,10,0),"")</f>
        <v>#REF!</v>
      </c>
      <c r="I22" s="434" t="e">
        <f t="shared" si="0"/>
        <v>#REF!</v>
      </c>
      <c r="K22" s="131"/>
      <c r="L22" s="132"/>
      <c r="M22" s="133"/>
      <c r="N22" s="134"/>
      <c r="O22" s="134"/>
      <c r="P22" s="134"/>
      <c r="Q22" s="134"/>
      <c r="S22" s="435"/>
      <c r="T22" s="436"/>
    </row>
    <row r="23" spans="1:20" s="159" customFormat="1">
      <c r="A23" s="437">
        <v>12</v>
      </c>
      <c r="B23" s="1069" t="e">
        <f>IF($A23&lt;&gt;"",VLOOKUP($A23,#REF!,4,0),"")</f>
        <v>#REF!</v>
      </c>
      <c r="C23" s="1070"/>
      <c r="D23" s="1070"/>
      <c r="E23" s="1071"/>
      <c r="F23" s="79" t="e">
        <f>IF($A23&lt;&gt;"",VLOOKUP($A23,#REF!,9,0),"")</f>
        <v>#REF!</v>
      </c>
      <c r="G23" s="432">
        <f t="shared" si="1"/>
        <v>0.2354</v>
      </c>
      <c r="H23" s="79" t="e">
        <f>IF($A23&lt;&gt;"",VLOOKUP($A23,#REF!,10,0),"")</f>
        <v>#REF!</v>
      </c>
      <c r="I23" s="434" t="e">
        <f t="shared" si="0"/>
        <v>#REF!</v>
      </c>
      <c r="K23" s="131"/>
      <c r="L23" s="132"/>
      <c r="M23" s="133"/>
      <c r="N23" s="134"/>
      <c r="O23" s="134"/>
      <c r="P23" s="134"/>
      <c r="Q23" s="134"/>
      <c r="S23" s="435"/>
      <c r="T23" s="436"/>
    </row>
    <row r="24" spans="1:20" s="159" customFormat="1">
      <c r="A24" s="437">
        <v>13</v>
      </c>
      <c r="B24" s="1069" t="e">
        <f>IF($A24&lt;&gt;"",VLOOKUP($A24,#REF!,4,0),"")</f>
        <v>#REF!</v>
      </c>
      <c r="C24" s="1070"/>
      <c r="D24" s="1070"/>
      <c r="E24" s="1071"/>
      <c r="F24" s="79" t="e">
        <f>IF($A24&lt;&gt;"",VLOOKUP($A24,#REF!,9,0),"")</f>
        <v>#REF!</v>
      </c>
      <c r="G24" s="432">
        <f t="shared" si="1"/>
        <v>0.2354</v>
      </c>
      <c r="H24" s="79" t="e">
        <f>IF($A24&lt;&gt;"",VLOOKUP($A24,#REF!,10,0),"")</f>
        <v>#REF!</v>
      </c>
      <c r="I24" s="434" t="e">
        <f t="shared" si="0"/>
        <v>#REF!</v>
      </c>
      <c r="K24" s="131"/>
      <c r="L24" s="132"/>
      <c r="M24" s="133"/>
      <c r="N24" s="134"/>
      <c r="O24" s="134"/>
      <c r="P24" s="134"/>
      <c r="Q24" s="134"/>
      <c r="S24" s="435"/>
      <c r="T24" s="436"/>
    </row>
    <row r="25" spans="1:20" s="159" customFormat="1">
      <c r="A25" s="437">
        <v>14</v>
      </c>
      <c r="B25" s="1069" t="e">
        <f>IF($A25&lt;&gt;"",VLOOKUP($A25,#REF!,4,0),"")</f>
        <v>#REF!</v>
      </c>
      <c r="C25" s="1070"/>
      <c r="D25" s="1070"/>
      <c r="E25" s="1071"/>
      <c r="F25" s="79" t="e">
        <f>IF($A25&lt;&gt;"",VLOOKUP($A25,#REF!,9,0),"")</f>
        <v>#REF!</v>
      </c>
      <c r="G25" s="432">
        <f t="shared" si="1"/>
        <v>0.2354</v>
      </c>
      <c r="H25" s="79" t="e">
        <f>IF($A25&lt;&gt;"",VLOOKUP($A25,#REF!,10,0),"")</f>
        <v>#REF!</v>
      </c>
      <c r="I25" s="434" t="e">
        <f t="shared" si="0"/>
        <v>#REF!</v>
      </c>
      <c r="K25" s="131"/>
      <c r="L25" s="132"/>
      <c r="M25" s="133"/>
      <c r="N25" s="134"/>
      <c r="O25" s="134"/>
      <c r="P25" s="134"/>
      <c r="Q25" s="134"/>
      <c r="S25" s="435"/>
      <c r="T25" s="436"/>
    </row>
    <row r="26" spans="1:20" s="159" customFormat="1">
      <c r="A26" s="437">
        <v>15</v>
      </c>
      <c r="B26" s="1069" t="e">
        <f>IF($A26&lt;&gt;"",VLOOKUP($A26,#REF!,4,0),"")</f>
        <v>#REF!</v>
      </c>
      <c r="C26" s="1070"/>
      <c r="D26" s="1070"/>
      <c r="E26" s="1071"/>
      <c r="F26" s="79" t="e">
        <f>IF($A26&lt;&gt;"",VLOOKUP($A26,#REF!,9,0),"")</f>
        <v>#REF!</v>
      </c>
      <c r="G26" s="432">
        <f t="shared" si="1"/>
        <v>0.2354</v>
      </c>
      <c r="H26" s="79" t="e">
        <f>IF($A26&lt;&gt;"",VLOOKUP($A26,#REF!,10,0),"")</f>
        <v>#REF!</v>
      </c>
      <c r="I26" s="434" t="e">
        <f t="shared" si="0"/>
        <v>#REF!</v>
      </c>
      <c r="K26" s="131"/>
      <c r="L26" s="132"/>
      <c r="M26" s="133"/>
      <c r="N26" s="134"/>
      <c r="O26" s="134"/>
      <c r="P26" s="134"/>
      <c r="Q26" s="134"/>
      <c r="S26" s="435"/>
      <c r="T26" s="436"/>
    </row>
    <row r="27" spans="1:20" s="159" customFormat="1">
      <c r="A27" s="437">
        <v>16</v>
      </c>
      <c r="B27" s="1069" t="e">
        <f>IF($A27&lt;&gt;"",VLOOKUP($A27,#REF!,4,0),"")</f>
        <v>#REF!</v>
      </c>
      <c r="C27" s="1070"/>
      <c r="D27" s="1070"/>
      <c r="E27" s="1071"/>
      <c r="F27" s="79" t="e">
        <f>IF($A27&lt;&gt;"",VLOOKUP($A27,#REF!,9,0),"")</f>
        <v>#REF!</v>
      </c>
      <c r="G27" s="432">
        <f t="shared" si="1"/>
        <v>0.2354</v>
      </c>
      <c r="H27" s="79" t="e">
        <f>IF($A27&lt;&gt;"",VLOOKUP($A27,#REF!,10,0),"")</f>
        <v>#REF!</v>
      </c>
      <c r="I27" s="434" t="e">
        <f t="shared" si="0"/>
        <v>#REF!</v>
      </c>
      <c r="K27" s="131"/>
      <c r="L27" s="132"/>
      <c r="M27" s="133"/>
      <c r="N27" s="134"/>
      <c r="O27" s="134"/>
      <c r="P27" s="134"/>
      <c r="Q27" s="134"/>
      <c r="S27" s="435"/>
      <c r="T27" s="436"/>
    </row>
    <row r="28" spans="1:20" s="159" customFormat="1">
      <c r="A28" s="437">
        <v>17</v>
      </c>
      <c r="B28" s="1069" t="e">
        <f>IF($A28&lt;&gt;"",VLOOKUP($A28,#REF!,4,0),"")</f>
        <v>#REF!</v>
      </c>
      <c r="C28" s="1070"/>
      <c r="D28" s="1070"/>
      <c r="E28" s="1071"/>
      <c r="F28" s="79" t="e">
        <f>IF($A28&lt;&gt;"",VLOOKUP($A28,#REF!,9,0),"")</f>
        <v>#REF!</v>
      </c>
      <c r="G28" s="432">
        <f t="shared" si="1"/>
        <v>0.2354</v>
      </c>
      <c r="H28" s="79" t="e">
        <f>IF($A28&lt;&gt;"",VLOOKUP($A28,#REF!,10,0),"")</f>
        <v>#REF!</v>
      </c>
      <c r="I28" s="434" t="e">
        <f t="shared" si="0"/>
        <v>#REF!</v>
      </c>
      <c r="K28" s="131"/>
      <c r="L28" s="132"/>
      <c r="M28" s="133"/>
      <c r="N28" s="134"/>
      <c r="O28" s="134"/>
      <c r="P28" s="134"/>
      <c r="Q28" s="134"/>
      <c r="S28" s="435"/>
      <c r="T28" s="436"/>
    </row>
    <row r="29" spans="1:20" s="159" customFormat="1">
      <c r="A29" s="437">
        <v>18</v>
      </c>
      <c r="B29" s="1069" t="e">
        <f>IF($A29&lt;&gt;"",VLOOKUP($A29,#REF!,4,0),"")</f>
        <v>#REF!</v>
      </c>
      <c r="C29" s="1070"/>
      <c r="D29" s="1070"/>
      <c r="E29" s="1071"/>
      <c r="F29" s="79" t="e">
        <f>IF($A29&lt;&gt;"",VLOOKUP($A29,#REF!,9,0),"")</f>
        <v>#REF!</v>
      </c>
      <c r="G29" s="432">
        <f t="shared" si="1"/>
        <v>0.2354</v>
      </c>
      <c r="H29" s="79" t="e">
        <f>IF($A29&lt;&gt;"",VLOOKUP($A29,#REF!,10,0),"")</f>
        <v>#REF!</v>
      </c>
      <c r="I29" s="434" t="e">
        <f t="shared" si="0"/>
        <v>#REF!</v>
      </c>
      <c r="K29" s="131"/>
      <c r="L29" s="132"/>
      <c r="M29" s="133"/>
      <c r="N29" s="134"/>
      <c r="O29" s="134"/>
      <c r="P29" s="134"/>
      <c r="Q29" s="134"/>
      <c r="S29" s="435"/>
      <c r="T29" s="436"/>
    </row>
    <row r="30" spans="1:20" s="176" customFormat="1">
      <c r="A30" s="97">
        <v>19</v>
      </c>
      <c r="B30" s="1069" t="e">
        <f>IF($A30&lt;&gt;"",VLOOKUP($A30,#REF!,4,0),"")</f>
        <v>#REF!</v>
      </c>
      <c r="C30" s="1070"/>
      <c r="D30" s="1070"/>
      <c r="E30" s="1071"/>
      <c r="F30" s="79" t="e">
        <f>IF($A30&lt;&gt;"",VLOOKUP($A30,#REF!,9,0),"")</f>
        <v>#REF!</v>
      </c>
      <c r="G30" s="432">
        <f t="shared" si="1"/>
        <v>0.2354</v>
      </c>
      <c r="H30" s="79" t="e">
        <f>IF($A30&lt;&gt;"",VLOOKUP($A30,#REF!,10,0),"")</f>
        <v>#REF!</v>
      </c>
      <c r="I30" s="434" t="e">
        <f t="shared" si="0"/>
        <v>#REF!</v>
      </c>
      <c r="K30" s="131"/>
      <c r="L30" s="132"/>
      <c r="M30" s="133"/>
      <c r="N30" s="134"/>
      <c r="O30" s="134"/>
      <c r="P30" s="134"/>
      <c r="Q30" s="134"/>
      <c r="S30" s="435"/>
      <c r="T30" s="436"/>
    </row>
    <row r="31" spans="1:20" s="176" customFormat="1" ht="13.5" thickBot="1">
      <c r="A31" s="97">
        <v>20</v>
      </c>
      <c r="B31" s="1069" t="e">
        <f>IF($A31&lt;&gt;"",VLOOKUP($A31,#REF!,4,0),"")</f>
        <v>#REF!</v>
      </c>
      <c r="C31" s="1070"/>
      <c r="D31" s="1070"/>
      <c r="E31" s="1071"/>
      <c r="F31" s="79" t="e">
        <f>IF($A31&lt;&gt;"",VLOOKUP($A31,#REF!,9,0),"")</f>
        <v>#REF!</v>
      </c>
      <c r="G31" s="432">
        <f>I$1</f>
        <v>0.2354</v>
      </c>
      <c r="H31" s="79" t="e">
        <f>IF($A31&lt;&gt;"",VLOOKUP($A31,#REF!,10,0),"")</f>
        <v>#REF!</v>
      </c>
      <c r="I31" s="434" t="e">
        <f t="shared" si="0"/>
        <v>#REF!</v>
      </c>
      <c r="K31" s="131"/>
      <c r="L31" s="132"/>
      <c r="M31" s="133"/>
      <c r="N31" s="134"/>
      <c r="O31" s="134"/>
      <c r="P31" s="134"/>
      <c r="Q31" s="134"/>
      <c r="S31" s="435"/>
      <c r="T31" s="436"/>
    </row>
    <row r="32" spans="1:20" s="176" customFormat="1">
      <c r="A32" s="414"/>
      <c r="B32" s="1072" t="s">
        <v>6517</v>
      </c>
      <c r="C32" s="1073"/>
      <c r="D32" s="1073"/>
      <c r="E32" s="1074"/>
      <c r="F32" s="447"/>
      <c r="G32" s="447"/>
      <c r="H32" s="447"/>
      <c r="I32" s="415"/>
      <c r="K32" s="131"/>
      <c r="L32" s="132"/>
      <c r="M32" s="133"/>
      <c r="N32" s="134"/>
      <c r="O32" s="134"/>
      <c r="P32" s="134"/>
      <c r="Q32" s="134"/>
      <c r="S32" s="435"/>
      <c r="T32" s="436"/>
    </row>
    <row r="33" spans="1:20" s="159" customFormat="1">
      <c r="A33" s="437"/>
      <c r="B33" s="1069" t="str">
        <f>IF($A33&lt;&gt;"",VLOOKUP($A33,#REF!,5,0),"")</f>
        <v/>
      </c>
      <c r="C33" s="1070"/>
      <c r="D33" s="1070"/>
      <c r="E33" s="1071"/>
      <c r="F33" s="79" t="str">
        <f>IF($A33&lt;&gt;"",VLOOKUP($A33,#REF!,9,0),"")</f>
        <v/>
      </c>
      <c r="G33" s="432">
        <f t="shared" si="1"/>
        <v>0.2354</v>
      </c>
      <c r="H33" s="79" t="str">
        <f>IF($A33&lt;&gt;"",VLOOKUP($A33,#REF!,10,0),"")</f>
        <v/>
      </c>
      <c r="I33" s="434" t="e">
        <f t="shared" ref="I33:I42" si="2">+H33/H$83</f>
        <v>#VALUE!</v>
      </c>
      <c r="K33" s="131"/>
      <c r="L33" s="132"/>
      <c r="M33" s="133"/>
      <c r="N33" s="134"/>
      <c r="O33" s="134"/>
      <c r="P33" s="134"/>
      <c r="Q33" s="134"/>
      <c r="S33" s="435"/>
      <c r="T33" s="436"/>
    </row>
    <row r="34" spans="1:20" s="159" customFormat="1">
      <c r="A34" s="437"/>
      <c r="B34" s="1069" t="str">
        <f>IF($A34&lt;&gt;"",VLOOKUP($A34,#REF!,5,0),"")</f>
        <v/>
      </c>
      <c r="C34" s="1070"/>
      <c r="D34" s="1070"/>
      <c r="E34" s="1071"/>
      <c r="F34" s="79" t="str">
        <f>IF($A34&lt;&gt;"",VLOOKUP($A34,#REF!,9,0),"")</f>
        <v/>
      </c>
      <c r="G34" s="432">
        <f t="shared" si="1"/>
        <v>0.2354</v>
      </c>
      <c r="H34" s="79" t="str">
        <f>IF($A34&lt;&gt;"",VLOOKUP($A34,#REF!,10,0),"")</f>
        <v/>
      </c>
      <c r="I34" s="434" t="e">
        <f t="shared" si="2"/>
        <v>#VALUE!</v>
      </c>
      <c r="K34" s="131"/>
      <c r="L34" s="132"/>
      <c r="M34" s="133"/>
      <c r="N34" s="134"/>
      <c r="O34" s="134"/>
      <c r="P34" s="134"/>
      <c r="Q34" s="134"/>
      <c r="S34" s="435"/>
      <c r="T34" s="436"/>
    </row>
    <row r="35" spans="1:20" s="159" customFormat="1">
      <c r="A35" s="437"/>
      <c r="B35" s="1069" t="str">
        <f>IF($A35&lt;&gt;"",VLOOKUP($A35,#REF!,5,0),"")</f>
        <v/>
      </c>
      <c r="C35" s="1070"/>
      <c r="D35" s="1070"/>
      <c r="E35" s="1071"/>
      <c r="F35" s="79" t="str">
        <f>IF($A35&lt;&gt;"",VLOOKUP($A35,#REF!,9,0),"")</f>
        <v/>
      </c>
      <c r="G35" s="432">
        <f t="shared" si="1"/>
        <v>0.2354</v>
      </c>
      <c r="H35" s="79" t="str">
        <f>IF($A35&lt;&gt;"",VLOOKUP($A35,#REF!,10,0),"")</f>
        <v/>
      </c>
      <c r="I35" s="434" t="e">
        <f t="shared" si="2"/>
        <v>#VALUE!</v>
      </c>
      <c r="K35" s="131"/>
      <c r="L35" s="132"/>
      <c r="M35" s="133"/>
      <c r="N35" s="134"/>
      <c r="O35" s="134"/>
      <c r="P35" s="134"/>
      <c r="Q35" s="134"/>
      <c r="S35" s="435"/>
      <c r="T35" s="436"/>
    </row>
    <row r="36" spans="1:20" s="176" customFormat="1">
      <c r="A36" s="437"/>
      <c r="B36" s="1069" t="str">
        <f>IF($A36&lt;&gt;"",VLOOKUP($A36,#REF!,5,0),"")</f>
        <v/>
      </c>
      <c r="C36" s="1070"/>
      <c r="D36" s="1070"/>
      <c r="E36" s="1071"/>
      <c r="F36" s="79" t="str">
        <f>IF($A36&lt;&gt;"",VLOOKUP($A36,#REF!,9,0),"")</f>
        <v/>
      </c>
      <c r="G36" s="432">
        <f>I$2</f>
        <v>0.2555</v>
      </c>
      <c r="H36" s="79" t="str">
        <f>IF($A36&lt;&gt;"",VLOOKUP($A36,#REF!,10,0),"")</f>
        <v/>
      </c>
      <c r="I36" s="434" t="e">
        <f t="shared" si="2"/>
        <v>#VALUE!</v>
      </c>
      <c r="K36" s="131"/>
      <c r="L36" s="132"/>
      <c r="M36" s="133"/>
      <c r="N36" s="134"/>
      <c r="O36" s="134"/>
      <c r="P36" s="134"/>
      <c r="Q36" s="134"/>
      <c r="S36" s="435"/>
      <c r="T36" s="436"/>
    </row>
    <row r="37" spans="1:20" s="159" customFormat="1">
      <c r="A37" s="437"/>
      <c r="B37" s="1069" t="str">
        <f>IF($A37&lt;&gt;"",VLOOKUP($A37,#REF!,5,0),"")</f>
        <v/>
      </c>
      <c r="C37" s="1070"/>
      <c r="D37" s="1070"/>
      <c r="E37" s="1071"/>
      <c r="F37" s="79" t="str">
        <f>IF($A37&lt;&gt;"",VLOOKUP($A37,#REF!,9,0),"")</f>
        <v/>
      </c>
      <c r="G37" s="432">
        <f t="shared" si="1"/>
        <v>0.2354</v>
      </c>
      <c r="H37" s="79" t="str">
        <f>IF($A37&lt;&gt;"",VLOOKUP($A37,#REF!,10,0),"")</f>
        <v/>
      </c>
      <c r="I37" s="434" t="e">
        <f t="shared" si="2"/>
        <v>#VALUE!</v>
      </c>
      <c r="K37" s="131"/>
      <c r="L37" s="132"/>
      <c r="M37" s="133"/>
      <c r="N37" s="134"/>
      <c r="O37" s="134"/>
      <c r="P37" s="134"/>
      <c r="Q37" s="134"/>
      <c r="S37" s="435"/>
      <c r="T37" s="436"/>
    </row>
    <row r="38" spans="1:20" s="159" customFormat="1">
      <c r="A38" s="437"/>
      <c r="B38" s="1069" t="str">
        <f>IF($A38&lt;&gt;"",VLOOKUP($A38,#REF!,5,0),"")</f>
        <v/>
      </c>
      <c r="C38" s="1070"/>
      <c r="D38" s="1070"/>
      <c r="E38" s="1071"/>
      <c r="F38" s="79" t="str">
        <f>IF($A38&lt;&gt;"",VLOOKUP($A38,#REF!,9,0),"")</f>
        <v/>
      </c>
      <c r="G38" s="432">
        <f t="shared" si="1"/>
        <v>0.2354</v>
      </c>
      <c r="H38" s="79" t="str">
        <f>IF($A38&lt;&gt;"",VLOOKUP($A38,#REF!,10,0),"")</f>
        <v/>
      </c>
      <c r="I38" s="434" t="e">
        <f t="shared" si="2"/>
        <v>#VALUE!</v>
      </c>
      <c r="K38" s="131"/>
      <c r="L38" s="132"/>
      <c r="M38" s="133"/>
      <c r="N38" s="134"/>
      <c r="O38" s="134"/>
      <c r="P38" s="134"/>
      <c r="Q38" s="134"/>
      <c r="S38" s="435"/>
      <c r="T38" s="436"/>
    </row>
    <row r="39" spans="1:20" s="159" customFormat="1">
      <c r="A39" s="437"/>
      <c r="B39" s="1069" t="str">
        <f>IF($A39&lt;&gt;"",VLOOKUP($A39,#REF!,5,0),"")</f>
        <v/>
      </c>
      <c r="C39" s="1070"/>
      <c r="D39" s="1070"/>
      <c r="E39" s="1071"/>
      <c r="F39" s="79" t="str">
        <f>IF($A39&lt;&gt;"",VLOOKUP($A39,#REF!,9,0),"")</f>
        <v/>
      </c>
      <c r="G39" s="432">
        <f t="shared" si="1"/>
        <v>0.2354</v>
      </c>
      <c r="H39" s="79" t="str">
        <f>IF($A39&lt;&gt;"",VLOOKUP($A39,#REF!,10,0),"")</f>
        <v/>
      </c>
      <c r="I39" s="434" t="e">
        <f t="shared" si="2"/>
        <v>#VALUE!</v>
      </c>
      <c r="K39" s="131"/>
      <c r="L39" s="132"/>
      <c r="M39" s="133"/>
      <c r="N39" s="134"/>
      <c r="O39" s="134"/>
      <c r="P39" s="134"/>
      <c r="Q39" s="134"/>
      <c r="S39" s="435"/>
      <c r="T39" s="436"/>
    </row>
    <row r="40" spans="1:20" s="176" customFormat="1">
      <c r="A40" s="437"/>
      <c r="B40" s="1069" t="str">
        <f>IF($A40&lt;&gt;"",VLOOKUP($A40,#REF!,5,0),"")</f>
        <v/>
      </c>
      <c r="C40" s="1070"/>
      <c r="D40" s="1070"/>
      <c r="E40" s="1071"/>
      <c r="F40" s="79" t="str">
        <f>IF($A40&lt;&gt;"",VLOOKUP($A40,#REF!,9,0),"")</f>
        <v/>
      </c>
      <c r="G40" s="432">
        <f t="shared" si="1"/>
        <v>0.2354</v>
      </c>
      <c r="H40" s="79" t="str">
        <f>IF($A40&lt;&gt;"",VLOOKUP($A40,#REF!,10,0),"")</f>
        <v/>
      </c>
      <c r="I40" s="434" t="e">
        <f t="shared" si="2"/>
        <v>#VALUE!</v>
      </c>
      <c r="K40" s="131"/>
      <c r="L40" s="132"/>
      <c r="M40" s="133"/>
      <c r="N40" s="134"/>
      <c r="O40" s="134"/>
      <c r="P40" s="134"/>
      <c r="Q40" s="134"/>
      <c r="S40" s="435"/>
      <c r="T40" s="436"/>
    </row>
    <row r="41" spans="1:20" s="176" customFormat="1">
      <c r="A41" s="97"/>
      <c r="B41" s="1069" t="str">
        <f>IF($A41&lt;&gt;"",VLOOKUP($A41,#REF!,5,0),"")</f>
        <v/>
      </c>
      <c r="C41" s="1070"/>
      <c r="D41" s="1070"/>
      <c r="E41" s="1071"/>
      <c r="F41" s="79" t="str">
        <f>IF($A41&lt;&gt;"",VLOOKUP($A41,#REF!,9,0),"")</f>
        <v/>
      </c>
      <c r="G41" s="432">
        <f t="shared" si="1"/>
        <v>0.2354</v>
      </c>
      <c r="H41" s="79" t="str">
        <f>IF($A41&lt;&gt;"",VLOOKUP($A41,#REF!,10,0),"")</f>
        <v/>
      </c>
      <c r="I41" s="434" t="e">
        <f t="shared" si="2"/>
        <v>#VALUE!</v>
      </c>
      <c r="K41" s="131"/>
      <c r="L41" s="132"/>
      <c r="M41" s="133"/>
      <c r="N41" s="134"/>
      <c r="O41" s="134"/>
      <c r="P41" s="134"/>
      <c r="Q41" s="134"/>
      <c r="S41" s="435"/>
      <c r="T41" s="436"/>
    </row>
    <row r="42" spans="1:20" s="159" customFormat="1" ht="13.5" thickBot="1">
      <c r="A42" s="437"/>
      <c r="B42" s="1069" t="str">
        <f>IF($A42&lt;&gt;"",VLOOKUP($A42,#REF!,5,0),"")</f>
        <v/>
      </c>
      <c r="C42" s="1070"/>
      <c r="D42" s="1070"/>
      <c r="E42" s="1071"/>
      <c r="F42" s="79" t="str">
        <f>IF($A42&lt;&gt;"",VLOOKUP($A42,#REF!,9,0),"")</f>
        <v/>
      </c>
      <c r="G42" s="432">
        <f t="shared" si="1"/>
        <v>0.2354</v>
      </c>
      <c r="H42" s="79" t="str">
        <f>IF($A42&lt;&gt;"",VLOOKUP($A42,#REF!,10,0),"")</f>
        <v/>
      </c>
      <c r="I42" s="434" t="e">
        <f t="shared" si="2"/>
        <v>#VALUE!</v>
      </c>
      <c r="K42" s="131"/>
      <c r="L42" s="132"/>
      <c r="M42" s="133"/>
      <c r="N42" s="134"/>
      <c r="O42" s="134"/>
      <c r="P42" s="134"/>
      <c r="Q42" s="134"/>
      <c r="S42" s="435"/>
      <c r="T42" s="436"/>
    </row>
    <row r="43" spans="1:20" s="176" customFormat="1">
      <c r="A43" s="414"/>
      <c r="B43" s="1072" t="s">
        <v>6518</v>
      </c>
      <c r="C43" s="1073"/>
      <c r="D43" s="1073"/>
      <c r="E43" s="1074"/>
      <c r="F43" s="427"/>
      <c r="G43" s="427"/>
      <c r="H43" s="427"/>
      <c r="I43" s="415"/>
      <c r="K43" s="131"/>
      <c r="L43" s="132"/>
      <c r="M43" s="133"/>
      <c r="N43" s="134"/>
      <c r="O43" s="134"/>
      <c r="P43" s="134"/>
      <c r="Q43" s="134"/>
      <c r="S43" s="435"/>
      <c r="T43" s="436"/>
    </row>
    <row r="44" spans="1:20" s="159" customFormat="1">
      <c r="A44" s="97"/>
      <c r="B44" s="1069" t="str">
        <f>IF($A44&lt;&gt;"",VLOOKUP($A44,#REF!,5,0),"")</f>
        <v/>
      </c>
      <c r="C44" s="1070"/>
      <c r="D44" s="1070"/>
      <c r="E44" s="1071"/>
      <c r="F44" s="79" t="str">
        <f>IF($A44&lt;&gt;"",VLOOKUP($A44,#REF!,9,0),"")</f>
        <v/>
      </c>
      <c r="G44" s="432">
        <f>I$1</f>
        <v>0.2354</v>
      </c>
      <c r="H44" s="79" t="str">
        <f>IF($A44&lt;&gt;"",VLOOKUP($A44,#REF!,10,0),"")</f>
        <v/>
      </c>
      <c r="I44" s="434" t="e">
        <f t="shared" ref="I44:I73" si="3">+H44/H$83</f>
        <v>#VALUE!</v>
      </c>
      <c r="K44" s="131"/>
      <c r="L44" s="132"/>
      <c r="M44" s="133"/>
      <c r="N44" s="134"/>
      <c r="O44" s="134"/>
      <c r="P44" s="134"/>
      <c r="Q44" s="134"/>
      <c r="S44" s="435"/>
      <c r="T44" s="436"/>
    </row>
    <row r="45" spans="1:20" s="159" customFormat="1">
      <c r="A45" s="437"/>
      <c r="B45" s="1069" t="str">
        <f>IF($A45&lt;&gt;"",VLOOKUP($A45,#REF!,5,0),"")</f>
        <v/>
      </c>
      <c r="C45" s="1070"/>
      <c r="D45" s="1070"/>
      <c r="E45" s="1071"/>
      <c r="F45" s="79" t="str">
        <f>IF($A45&lt;&gt;"",VLOOKUP($A45,#REF!,9,0),"")</f>
        <v/>
      </c>
      <c r="G45" s="432">
        <f t="shared" ref="G45:G73" si="4">I$1</f>
        <v>0.2354</v>
      </c>
      <c r="H45" s="79" t="str">
        <f>IF($A45&lt;&gt;"",VLOOKUP($A45,#REF!,10,0),"")</f>
        <v/>
      </c>
      <c r="I45" s="434" t="e">
        <f t="shared" si="3"/>
        <v>#VALUE!</v>
      </c>
      <c r="K45" s="131"/>
      <c r="L45" s="132"/>
      <c r="M45" s="133"/>
      <c r="N45" s="134"/>
      <c r="O45" s="134"/>
      <c r="P45" s="134"/>
      <c r="Q45" s="134"/>
      <c r="S45" s="435"/>
      <c r="T45" s="436"/>
    </row>
    <row r="46" spans="1:20" s="159" customFormat="1">
      <c r="A46" s="97"/>
      <c r="B46" s="1069" t="str">
        <f>IF($A46&lt;&gt;"",VLOOKUP($A46,#REF!,5,0),"")</f>
        <v/>
      </c>
      <c r="C46" s="1070"/>
      <c r="D46" s="1070"/>
      <c r="E46" s="1071"/>
      <c r="F46" s="79" t="str">
        <f>IF($A46&lt;&gt;"",VLOOKUP($A46,#REF!,9,0),"")</f>
        <v/>
      </c>
      <c r="G46" s="432">
        <f t="shared" si="4"/>
        <v>0.2354</v>
      </c>
      <c r="H46" s="79" t="str">
        <f>IF($A46&lt;&gt;"",VLOOKUP($A46,#REF!,10,0),"")</f>
        <v/>
      </c>
      <c r="I46" s="434" t="e">
        <f t="shared" si="3"/>
        <v>#VALUE!</v>
      </c>
      <c r="K46" s="131"/>
      <c r="L46" s="132"/>
      <c r="M46" s="133"/>
      <c r="N46" s="134"/>
      <c r="O46" s="134"/>
      <c r="P46" s="134"/>
      <c r="Q46" s="134"/>
      <c r="S46" s="435"/>
      <c r="T46" s="436"/>
    </row>
    <row r="47" spans="1:20" s="159" customFormat="1">
      <c r="A47" s="437"/>
      <c r="B47" s="1069" t="str">
        <f>IF($A47&lt;&gt;"",VLOOKUP($A47,#REF!,5,0),"")</f>
        <v/>
      </c>
      <c r="C47" s="1070"/>
      <c r="D47" s="1070"/>
      <c r="E47" s="1071"/>
      <c r="F47" s="79" t="str">
        <f>IF($A47&lt;&gt;"",VLOOKUP($A47,#REF!,9,0),"")</f>
        <v/>
      </c>
      <c r="G47" s="432">
        <f t="shared" si="4"/>
        <v>0.2354</v>
      </c>
      <c r="H47" s="79" t="str">
        <f>IF($A47&lt;&gt;"",VLOOKUP($A47,#REF!,10,0),"")</f>
        <v/>
      </c>
      <c r="I47" s="434" t="e">
        <f t="shared" si="3"/>
        <v>#VALUE!</v>
      </c>
      <c r="K47" s="131"/>
      <c r="L47" s="132"/>
      <c r="M47" s="133"/>
      <c r="N47" s="134"/>
      <c r="O47" s="134"/>
      <c r="P47" s="134"/>
      <c r="Q47" s="134"/>
      <c r="S47" s="435"/>
      <c r="T47" s="436"/>
    </row>
    <row r="48" spans="1:20" s="159" customFormat="1">
      <c r="A48" s="437"/>
      <c r="B48" s="1069" t="str">
        <f>IF($A48&lt;&gt;"",VLOOKUP($A48,#REF!,5,0),"")</f>
        <v/>
      </c>
      <c r="C48" s="1070"/>
      <c r="D48" s="1070"/>
      <c r="E48" s="1071"/>
      <c r="F48" s="79" t="str">
        <f>IF($A48&lt;&gt;"",VLOOKUP($A48,#REF!,9,0),"")</f>
        <v/>
      </c>
      <c r="G48" s="432">
        <f t="shared" si="4"/>
        <v>0.2354</v>
      </c>
      <c r="H48" s="79" t="str">
        <f>IF($A48&lt;&gt;"",VLOOKUP($A48,#REF!,10,0),"")</f>
        <v/>
      </c>
      <c r="I48" s="434" t="e">
        <f t="shared" si="3"/>
        <v>#VALUE!</v>
      </c>
      <c r="K48" s="131"/>
      <c r="L48" s="132"/>
      <c r="M48" s="133"/>
      <c r="N48" s="134"/>
      <c r="O48" s="134"/>
      <c r="P48" s="134"/>
      <c r="Q48" s="134"/>
      <c r="S48" s="435"/>
      <c r="T48" s="436"/>
    </row>
    <row r="49" spans="1:20" s="159" customFormat="1">
      <c r="A49" s="437"/>
      <c r="B49" s="1069" t="str">
        <f>IF($A49&lt;&gt;"",VLOOKUP($A49,#REF!,5,0),"")</f>
        <v/>
      </c>
      <c r="C49" s="1070"/>
      <c r="D49" s="1070"/>
      <c r="E49" s="1071"/>
      <c r="F49" s="79" t="str">
        <f>IF($A49&lt;&gt;"",VLOOKUP($A49,#REF!,9,0),"")</f>
        <v/>
      </c>
      <c r="G49" s="432">
        <f t="shared" si="4"/>
        <v>0.2354</v>
      </c>
      <c r="H49" s="79" t="str">
        <f>IF($A49&lt;&gt;"",VLOOKUP($A49,#REF!,10,0),"")</f>
        <v/>
      </c>
      <c r="I49" s="434" t="e">
        <f t="shared" si="3"/>
        <v>#VALUE!</v>
      </c>
      <c r="K49" s="131"/>
      <c r="L49" s="132"/>
      <c r="M49" s="133"/>
      <c r="N49" s="134"/>
      <c r="O49" s="134"/>
      <c r="P49" s="134"/>
      <c r="Q49" s="134"/>
      <c r="S49" s="435"/>
      <c r="T49" s="436"/>
    </row>
    <row r="50" spans="1:20" s="159" customFormat="1">
      <c r="A50" s="437"/>
      <c r="B50" s="1069" t="str">
        <f>IF($A50&lt;&gt;"",VLOOKUP($A50,#REF!,5,0),"")</f>
        <v/>
      </c>
      <c r="C50" s="1070"/>
      <c r="D50" s="1070"/>
      <c r="E50" s="1071"/>
      <c r="F50" s="79" t="str">
        <f>IF($A50&lt;&gt;"",VLOOKUP($A50,#REF!,9,0),"")</f>
        <v/>
      </c>
      <c r="G50" s="432">
        <f t="shared" si="4"/>
        <v>0.2354</v>
      </c>
      <c r="H50" s="79" t="str">
        <f>IF($A50&lt;&gt;"",VLOOKUP($A50,#REF!,10,0),"")</f>
        <v/>
      </c>
      <c r="I50" s="434" t="e">
        <f t="shared" si="3"/>
        <v>#VALUE!</v>
      </c>
      <c r="K50" s="131"/>
      <c r="L50" s="132"/>
      <c r="M50" s="133"/>
      <c r="N50" s="134"/>
      <c r="O50" s="134"/>
      <c r="P50" s="134"/>
      <c r="Q50" s="134"/>
      <c r="S50" s="435"/>
      <c r="T50" s="436"/>
    </row>
    <row r="51" spans="1:20" s="159" customFormat="1">
      <c r="A51" s="437"/>
      <c r="B51" s="1069" t="str">
        <f>IF($A51&lt;&gt;"",VLOOKUP($A51,#REF!,5,0),"")</f>
        <v/>
      </c>
      <c r="C51" s="1070"/>
      <c r="D51" s="1070"/>
      <c r="E51" s="1071"/>
      <c r="F51" s="79" t="str">
        <f>IF($A51&lt;&gt;"",VLOOKUP($A51,#REF!,9,0),"")</f>
        <v/>
      </c>
      <c r="G51" s="432">
        <f t="shared" si="4"/>
        <v>0.2354</v>
      </c>
      <c r="H51" s="79" t="str">
        <f>IF($A51&lt;&gt;"",VLOOKUP($A51,#REF!,10,0),"")</f>
        <v/>
      </c>
      <c r="I51" s="434" t="e">
        <f t="shared" si="3"/>
        <v>#VALUE!</v>
      </c>
      <c r="K51" s="131"/>
      <c r="L51" s="132"/>
      <c r="M51" s="133"/>
      <c r="N51" s="134"/>
      <c r="O51" s="134"/>
      <c r="P51" s="134"/>
      <c r="Q51" s="134"/>
      <c r="S51" s="435"/>
      <c r="T51" s="436"/>
    </row>
    <row r="52" spans="1:20" s="159" customFormat="1">
      <c r="A52" s="437"/>
      <c r="B52" s="1069" t="str">
        <f>IF($A52&lt;&gt;"",VLOOKUP($A52,#REF!,5,0),"")</f>
        <v/>
      </c>
      <c r="C52" s="1070"/>
      <c r="D52" s="1070"/>
      <c r="E52" s="1071"/>
      <c r="F52" s="79" t="str">
        <f>IF($A52&lt;&gt;"",VLOOKUP($A52,#REF!,9,0),"")</f>
        <v/>
      </c>
      <c r="G52" s="432">
        <f t="shared" si="4"/>
        <v>0.2354</v>
      </c>
      <c r="H52" s="79" t="str">
        <f>IF($A52&lt;&gt;"",VLOOKUP($A52,#REF!,10,0),"")</f>
        <v/>
      </c>
      <c r="I52" s="434" t="e">
        <f t="shared" si="3"/>
        <v>#VALUE!</v>
      </c>
      <c r="K52" s="131"/>
      <c r="L52" s="132"/>
      <c r="M52" s="133"/>
      <c r="N52" s="134"/>
      <c r="O52" s="134"/>
      <c r="P52" s="134"/>
      <c r="Q52" s="134"/>
      <c r="S52" s="435"/>
      <c r="T52" s="436"/>
    </row>
    <row r="53" spans="1:20" s="159" customFormat="1">
      <c r="A53" s="437"/>
      <c r="B53" s="1069" t="str">
        <f>IF($A53&lt;&gt;"",VLOOKUP($A53,#REF!,5,0),"")</f>
        <v/>
      </c>
      <c r="C53" s="1070"/>
      <c r="D53" s="1070"/>
      <c r="E53" s="1071"/>
      <c r="F53" s="79" t="str">
        <f>IF($A53&lt;&gt;"",VLOOKUP($A53,#REF!,9,0),"")</f>
        <v/>
      </c>
      <c r="G53" s="432">
        <f t="shared" si="4"/>
        <v>0.2354</v>
      </c>
      <c r="H53" s="79" t="str">
        <f>IF($A53&lt;&gt;"",VLOOKUP($A53,#REF!,10,0),"")</f>
        <v/>
      </c>
      <c r="I53" s="434" t="e">
        <f t="shared" si="3"/>
        <v>#VALUE!</v>
      </c>
      <c r="K53" s="131"/>
      <c r="L53" s="132"/>
      <c r="M53" s="133"/>
      <c r="N53" s="134"/>
      <c r="O53" s="134"/>
      <c r="P53" s="134"/>
      <c r="Q53" s="134"/>
      <c r="S53" s="435"/>
      <c r="T53" s="436"/>
    </row>
    <row r="54" spans="1:20" s="159" customFormat="1">
      <c r="A54" s="437"/>
      <c r="B54" s="1069" t="str">
        <f>IF($A54&lt;&gt;"",VLOOKUP($A54,#REF!,5,0),"")</f>
        <v/>
      </c>
      <c r="C54" s="1070"/>
      <c r="D54" s="1070"/>
      <c r="E54" s="1071"/>
      <c r="F54" s="79" t="str">
        <f>IF($A54&lt;&gt;"",VLOOKUP($A54,#REF!,9,0),"")</f>
        <v/>
      </c>
      <c r="G54" s="432">
        <f t="shared" si="4"/>
        <v>0.2354</v>
      </c>
      <c r="H54" s="79" t="str">
        <f>IF($A54&lt;&gt;"",VLOOKUP($A54,#REF!,10,0),"")</f>
        <v/>
      </c>
      <c r="I54" s="434" t="e">
        <f t="shared" si="3"/>
        <v>#VALUE!</v>
      </c>
      <c r="K54" s="131"/>
      <c r="L54" s="132"/>
      <c r="M54" s="133"/>
      <c r="N54" s="134"/>
      <c r="O54" s="134"/>
      <c r="P54" s="134"/>
      <c r="Q54" s="134"/>
      <c r="S54" s="435"/>
      <c r="T54" s="436"/>
    </row>
    <row r="55" spans="1:20" s="159" customFormat="1">
      <c r="A55" s="437"/>
      <c r="B55" s="1069" t="str">
        <f>IF($A55&lt;&gt;"",VLOOKUP($A55,#REF!,5,0),"")</f>
        <v/>
      </c>
      <c r="C55" s="1070"/>
      <c r="D55" s="1070"/>
      <c r="E55" s="1071"/>
      <c r="F55" s="79" t="str">
        <f>IF($A55&lt;&gt;"",VLOOKUP($A55,#REF!,9,0),"")</f>
        <v/>
      </c>
      <c r="G55" s="432">
        <f t="shared" si="4"/>
        <v>0.2354</v>
      </c>
      <c r="H55" s="79" t="str">
        <f>IF($A55&lt;&gt;"",VLOOKUP($A55,#REF!,10,0),"")</f>
        <v/>
      </c>
      <c r="I55" s="434" t="e">
        <f t="shared" si="3"/>
        <v>#VALUE!</v>
      </c>
      <c r="K55" s="131"/>
      <c r="L55" s="132"/>
      <c r="M55" s="133"/>
      <c r="N55" s="134"/>
      <c r="O55" s="134"/>
      <c r="P55" s="134"/>
      <c r="Q55" s="134"/>
      <c r="S55" s="435"/>
      <c r="T55" s="436"/>
    </row>
    <row r="56" spans="1:20" s="159" customFormat="1">
      <c r="A56" s="437"/>
      <c r="B56" s="1069" t="str">
        <f>IF($A56&lt;&gt;"",VLOOKUP($A56,#REF!,5,0),"")</f>
        <v/>
      </c>
      <c r="C56" s="1070"/>
      <c r="D56" s="1070"/>
      <c r="E56" s="1071"/>
      <c r="F56" s="79" t="str">
        <f>IF($A56&lt;&gt;"",VLOOKUP($A56,#REF!,9,0),"")</f>
        <v/>
      </c>
      <c r="G56" s="432">
        <f t="shared" si="4"/>
        <v>0.2354</v>
      </c>
      <c r="H56" s="79" t="str">
        <f>IF($A56&lt;&gt;"",VLOOKUP($A56,#REF!,10,0),"")</f>
        <v/>
      </c>
      <c r="I56" s="434" t="e">
        <f t="shared" si="3"/>
        <v>#VALUE!</v>
      </c>
      <c r="K56" s="131"/>
      <c r="L56" s="132"/>
      <c r="M56" s="133"/>
      <c r="N56" s="134"/>
      <c r="O56" s="134"/>
      <c r="P56" s="134"/>
      <c r="Q56" s="134"/>
      <c r="S56" s="435"/>
      <c r="T56" s="436"/>
    </row>
    <row r="57" spans="1:20" s="159" customFormat="1">
      <c r="A57" s="437"/>
      <c r="B57" s="1069" t="str">
        <f>IF($A57&lt;&gt;"",VLOOKUP($A57,#REF!,5,0),"")</f>
        <v/>
      </c>
      <c r="C57" s="1070"/>
      <c r="D57" s="1070"/>
      <c r="E57" s="1071"/>
      <c r="F57" s="79" t="str">
        <f>IF($A57&lt;&gt;"",VLOOKUP($A57,#REF!,9,0),"")</f>
        <v/>
      </c>
      <c r="G57" s="432">
        <f t="shared" si="4"/>
        <v>0.2354</v>
      </c>
      <c r="H57" s="79" t="str">
        <f>IF($A57&lt;&gt;"",VLOOKUP($A57,#REF!,10,0),"")</f>
        <v/>
      </c>
      <c r="I57" s="434" t="e">
        <f t="shared" si="3"/>
        <v>#VALUE!</v>
      </c>
      <c r="K57" s="131"/>
      <c r="L57" s="132"/>
      <c r="M57" s="133"/>
      <c r="N57" s="134"/>
      <c r="O57" s="134"/>
      <c r="P57" s="134"/>
      <c r="Q57" s="134"/>
      <c r="S57" s="435"/>
      <c r="T57" s="436"/>
    </row>
    <row r="58" spans="1:20" s="159" customFormat="1">
      <c r="A58" s="437"/>
      <c r="B58" s="1069" t="str">
        <f>IF($A58&lt;&gt;"",VLOOKUP($A58,#REF!,5,0),"")</f>
        <v/>
      </c>
      <c r="C58" s="1070"/>
      <c r="D58" s="1070"/>
      <c r="E58" s="1071"/>
      <c r="F58" s="79" t="str">
        <f>IF($A58&lt;&gt;"",VLOOKUP($A58,#REF!,9,0),"")</f>
        <v/>
      </c>
      <c r="G58" s="432">
        <f t="shared" si="4"/>
        <v>0.2354</v>
      </c>
      <c r="H58" s="79" t="str">
        <f>IF($A58&lt;&gt;"",VLOOKUP($A58,#REF!,10,0),"")</f>
        <v/>
      </c>
      <c r="I58" s="434" t="e">
        <f t="shared" si="3"/>
        <v>#VALUE!</v>
      </c>
      <c r="K58" s="131"/>
      <c r="L58" s="132"/>
      <c r="M58" s="133"/>
      <c r="N58" s="134"/>
      <c r="O58" s="134"/>
      <c r="P58" s="134"/>
      <c r="Q58" s="134"/>
      <c r="S58" s="435"/>
      <c r="T58" s="436"/>
    </row>
    <row r="59" spans="1:20" s="159" customFormat="1">
      <c r="A59" s="437"/>
      <c r="B59" s="1069" t="str">
        <f>IF($A59&lt;&gt;"",VLOOKUP($A59,#REF!,5,0),"")</f>
        <v/>
      </c>
      <c r="C59" s="1070"/>
      <c r="D59" s="1070"/>
      <c r="E59" s="1071"/>
      <c r="F59" s="79" t="str">
        <f>IF($A59&lt;&gt;"",VLOOKUP($A59,#REF!,9,0),"")</f>
        <v/>
      </c>
      <c r="G59" s="432">
        <f t="shared" si="4"/>
        <v>0.2354</v>
      </c>
      <c r="H59" s="79" t="str">
        <f>IF($A59&lt;&gt;"",VLOOKUP($A59,#REF!,10,0),"")</f>
        <v/>
      </c>
      <c r="I59" s="434" t="e">
        <f t="shared" si="3"/>
        <v>#VALUE!</v>
      </c>
      <c r="K59" s="131"/>
      <c r="L59" s="132"/>
      <c r="M59" s="133"/>
      <c r="N59" s="134"/>
      <c r="O59" s="134"/>
      <c r="P59" s="134"/>
      <c r="Q59" s="134"/>
      <c r="S59" s="435"/>
      <c r="T59" s="436"/>
    </row>
    <row r="60" spans="1:20" s="159" customFormat="1">
      <c r="A60" s="437"/>
      <c r="B60" s="1069" t="str">
        <f>IF($A60&lt;&gt;"",VLOOKUP($A60,#REF!,5,0),"")</f>
        <v/>
      </c>
      <c r="C60" s="1070"/>
      <c r="D60" s="1070"/>
      <c r="E60" s="1071"/>
      <c r="F60" s="79" t="str">
        <f>IF($A60&lt;&gt;"",VLOOKUP($A60,#REF!,9,0),"")</f>
        <v/>
      </c>
      <c r="G60" s="432">
        <f t="shared" si="4"/>
        <v>0.2354</v>
      </c>
      <c r="H60" s="79" t="str">
        <f>IF($A60&lt;&gt;"",VLOOKUP($A60,#REF!,10,0),"")</f>
        <v/>
      </c>
      <c r="I60" s="434" t="e">
        <f t="shared" si="3"/>
        <v>#VALUE!</v>
      </c>
      <c r="K60" s="131"/>
      <c r="L60" s="132"/>
      <c r="M60" s="133"/>
      <c r="N60" s="134"/>
      <c r="O60" s="134"/>
      <c r="P60" s="134"/>
      <c r="Q60" s="134"/>
      <c r="S60" s="435"/>
      <c r="T60" s="436"/>
    </row>
    <row r="61" spans="1:20" s="159" customFormat="1">
      <c r="A61" s="437"/>
      <c r="B61" s="1069" t="str">
        <f>IF($A61&lt;&gt;"",VLOOKUP($A61,#REF!,5,0),"")</f>
        <v/>
      </c>
      <c r="C61" s="1070"/>
      <c r="D61" s="1070"/>
      <c r="E61" s="1071"/>
      <c r="F61" s="79" t="str">
        <f>IF($A61&lt;&gt;"",VLOOKUP($A61,#REF!,9,0),"")</f>
        <v/>
      </c>
      <c r="G61" s="432">
        <f t="shared" si="4"/>
        <v>0.2354</v>
      </c>
      <c r="H61" s="79" t="str">
        <f>IF($A61&lt;&gt;"",VLOOKUP($A61,#REF!,10,0),"")</f>
        <v/>
      </c>
      <c r="I61" s="434" t="e">
        <f t="shared" si="3"/>
        <v>#VALUE!</v>
      </c>
      <c r="K61" s="131"/>
      <c r="L61" s="132"/>
      <c r="M61" s="133"/>
      <c r="N61" s="134"/>
      <c r="O61" s="134"/>
      <c r="P61" s="134"/>
      <c r="Q61" s="134"/>
      <c r="S61" s="435"/>
      <c r="T61" s="436"/>
    </row>
    <row r="62" spans="1:20" s="176" customFormat="1">
      <c r="A62" s="97"/>
      <c r="B62" s="1069" t="str">
        <f>IF($A62&lt;&gt;"",VLOOKUP($A62,#REF!,5,0),"")</f>
        <v/>
      </c>
      <c r="C62" s="1070"/>
      <c r="D62" s="1070"/>
      <c r="E62" s="1071"/>
      <c r="F62" s="79" t="str">
        <f>IF($A62&lt;&gt;"",VLOOKUP($A62,#REF!,9,0),"")</f>
        <v/>
      </c>
      <c r="G62" s="432">
        <f t="shared" si="4"/>
        <v>0.2354</v>
      </c>
      <c r="H62" s="79" t="str">
        <f>IF($A62&lt;&gt;"",VLOOKUP($A62,#REF!,10,0),"")</f>
        <v/>
      </c>
      <c r="I62" s="434" t="e">
        <f t="shared" si="3"/>
        <v>#VALUE!</v>
      </c>
      <c r="K62" s="131"/>
      <c r="L62" s="132"/>
      <c r="M62" s="133"/>
      <c r="N62" s="134"/>
      <c r="O62" s="134"/>
      <c r="P62" s="134"/>
      <c r="Q62" s="134"/>
      <c r="S62" s="435"/>
      <c r="T62" s="436"/>
    </row>
    <row r="63" spans="1:20" s="159" customFormat="1">
      <c r="A63" s="437"/>
      <c r="B63" s="1069" t="str">
        <f>IF($A63&lt;&gt;"",VLOOKUP($A63,#REF!,5,0),"")</f>
        <v/>
      </c>
      <c r="C63" s="1070"/>
      <c r="D63" s="1070"/>
      <c r="E63" s="1071"/>
      <c r="F63" s="79" t="str">
        <f>IF($A63&lt;&gt;"",VLOOKUP($A63,#REF!,9,0),"")</f>
        <v/>
      </c>
      <c r="G63" s="432">
        <f t="shared" si="4"/>
        <v>0.2354</v>
      </c>
      <c r="H63" s="79" t="str">
        <f>IF($A63&lt;&gt;"",VLOOKUP($A63,#REF!,10,0),"")</f>
        <v/>
      </c>
      <c r="I63" s="434" t="e">
        <f t="shared" si="3"/>
        <v>#VALUE!</v>
      </c>
      <c r="K63" s="131"/>
      <c r="L63" s="132"/>
      <c r="M63" s="133"/>
      <c r="N63" s="134"/>
      <c r="O63" s="134"/>
      <c r="P63" s="134"/>
      <c r="Q63" s="134"/>
      <c r="S63" s="435"/>
      <c r="T63" s="436"/>
    </row>
    <row r="64" spans="1:20" s="159" customFormat="1">
      <c r="A64" s="437"/>
      <c r="B64" s="1069" t="str">
        <f>IF($A64&lt;&gt;"",VLOOKUP($A64,#REF!,5,0),"")</f>
        <v/>
      </c>
      <c r="C64" s="1070"/>
      <c r="D64" s="1070"/>
      <c r="E64" s="1071"/>
      <c r="F64" s="79" t="str">
        <f>IF($A64&lt;&gt;"",VLOOKUP($A64,#REF!,9,0),"")</f>
        <v/>
      </c>
      <c r="G64" s="432">
        <f t="shared" si="4"/>
        <v>0.2354</v>
      </c>
      <c r="H64" s="79" t="str">
        <f>IF($A64&lt;&gt;"",VLOOKUP($A64,#REF!,10,0),"")</f>
        <v/>
      </c>
      <c r="I64" s="434" t="e">
        <f t="shared" si="3"/>
        <v>#VALUE!</v>
      </c>
      <c r="K64" s="131"/>
      <c r="L64" s="132"/>
      <c r="M64" s="133"/>
      <c r="N64" s="134"/>
      <c r="O64" s="134"/>
      <c r="P64" s="134"/>
      <c r="Q64" s="134"/>
      <c r="S64" s="435"/>
      <c r="T64" s="436"/>
    </row>
    <row r="65" spans="1:20" s="159" customFormat="1">
      <c r="A65" s="437"/>
      <c r="B65" s="1069" t="str">
        <f>IF($A65&lt;&gt;"",VLOOKUP($A65,#REF!,5,0),"")</f>
        <v/>
      </c>
      <c r="C65" s="1070"/>
      <c r="D65" s="1070"/>
      <c r="E65" s="1071"/>
      <c r="F65" s="79" t="str">
        <f>IF($A65&lt;&gt;"",VLOOKUP($A65,#REF!,9,0),"")</f>
        <v/>
      </c>
      <c r="G65" s="432">
        <f t="shared" si="4"/>
        <v>0.2354</v>
      </c>
      <c r="H65" s="79" t="str">
        <f>IF($A65&lt;&gt;"",VLOOKUP($A65,#REF!,10,0),"")</f>
        <v/>
      </c>
      <c r="I65" s="434" t="e">
        <f t="shared" si="3"/>
        <v>#VALUE!</v>
      </c>
      <c r="K65" s="131"/>
      <c r="L65" s="132"/>
      <c r="M65" s="133"/>
      <c r="N65" s="134"/>
      <c r="O65" s="134"/>
      <c r="P65" s="134"/>
      <c r="Q65" s="134"/>
      <c r="S65" s="435"/>
      <c r="T65" s="436"/>
    </row>
    <row r="66" spans="1:20" s="159" customFormat="1">
      <c r="A66" s="437"/>
      <c r="B66" s="1069" t="str">
        <f>IF($A66&lt;&gt;"",VLOOKUP($A66,#REF!,5,0),"")</f>
        <v/>
      </c>
      <c r="C66" s="1070"/>
      <c r="D66" s="1070"/>
      <c r="E66" s="1071"/>
      <c r="F66" s="79" t="str">
        <f>IF($A66&lt;&gt;"",VLOOKUP($A66,#REF!,9,0),"")</f>
        <v/>
      </c>
      <c r="G66" s="432">
        <f t="shared" si="4"/>
        <v>0.2354</v>
      </c>
      <c r="H66" s="79" t="str">
        <f>IF($A66&lt;&gt;"",VLOOKUP($A66,#REF!,10,0),"")</f>
        <v/>
      </c>
      <c r="I66" s="434" t="e">
        <f t="shared" si="3"/>
        <v>#VALUE!</v>
      </c>
      <c r="K66" s="131"/>
      <c r="L66" s="132"/>
      <c r="M66" s="133"/>
      <c r="N66" s="134"/>
      <c r="O66" s="134"/>
      <c r="P66" s="134"/>
      <c r="Q66" s="134"/>
      <c r="S66" s="435"/>
      <c r="T66" s="436"/>
    </row>
    <row r="67" spans="1:20" s="176" customFormat="1">
      <c r="A67" s="437"/>
      <c r="B67" s="1069" t="str">
        <f>IF($A67&lt;&gt;"",VLOOKUP($A67,#REF!,5,0),"")</f>
        <v/>
      </c>
      <c r="C67" s="1070"/>
      <c r="D67" s="1070"/>
      <c r="E67" s="1071"/>
      <c r="F67" s="79" t="str">
        <f>IF($A67&lt;&gt;"",VLOOKUP($A67,#REF!,9,0),"")</f>
        <v/>
      </c>
      <c r="G67" s="432">
        <f>I$2</f>
        <v>0.2555</v>
      </c>
      <c r="H67" s="79" t="str">
        <f>IF($A67&lt;&gt;"",VLOOKUP($A67,#REF!,10,0),"")</f>
        <v/>
      </c>
      <c r="I67" s="434" t="e">
        <f t="shared" si="3"/>
        <v>#VALUE!</v>
      </c>
      <c r="K67" s="131"/>
      <c r="L67" s="132"/>
      <c r="M67" s="133"/>
      <c r="N67" s="134"/>
      <c r="O67" s="134"/>
      <c r="P67" s="134"/>
      <c r="Q67" s="134"/>
      <c r="S67" s="435"/>
      <c r="T67" s="436"/>
    </row>
    <row r="68" spans="1:20" s="159" customFormat="1">
      <c r="A68" s="437"/>
      <c r="B68" s="1069" t="str">
        <f>IF($A68&lt;&gt;"",VLOOKUP($A68,#REF!,5,0),"")</f>
        <v/>
      </c>
      <c r="C68" s="1070"/>
      <c r="D68" s="1070"/>
      <c r="E68" s="1071"/>
      <c r="F68" s="79" t="str">
        <f>IF($A68&lt;&gt;"",VLOOKUP($A68,#REF!,9,0),"")</f>
        <v/>
      </c>
      <c r="G68" s="432">
        <f t="shared" si="4"/>
        <v>0.2354</v>
      </c>
      <c r="H68" s="79" t="str">
        <f>IF($A68&lt;&gt;"",VLOOKUP($A68,#REF!,10,0),"")</f>
        <v/>
      </c>
      <c r="I68" s="434" t="e">
        <f t="shared" si="3"/>
        <v>#VALUE!</v>
      </c>
      <c r="K68" s="131"/>
      <c r="L68" s="132"/>
      <c r="M68" s="133"/>
      <c r="N68" s="134"/>
      <c r="O68" s="134"/>
      <c r="P68" s="134"/>
      <c r="Q68" s="134"/>
      <c r="S68" s="435"/>
      <c r="T68" s="436"/>
    </row>
    <row r="69" spans="1:20" s="159" customFormat="1">
      <c r="A69" s="437"/>
      <c r="B69" s="1069" t="str">
        <f>IF($A69&lt;&gt;"",VLOOKUP($A69,#REF!,5,0),"")</f>
        <v/>
      </c>
      <c r="C69" s="1070"/>
      <c r="D69" s="1070"/>
      <c r="E69" s="1071"/>
      <c r="F69" s="79" t="str">
        <f>IF($A69&lt;&gt;"",VLOOKUP($A69,#REF!,9,0),"")</f>
        <v/>
      </c>
      <c r="G69" s="432">
        <f t="shared" si="4"/>
        <v>0.2354</v>
      </c>
      <c r="H69" s="79" t="str">
        <f>IF($A69&lt;&gt;"",VLOOKUP($A69,#REF!,10,0),"")</f>
        <v/>
      </c>
      <c r="I69" s="434" t="e">
        <f t="shared" si="3"/>
        <v>#VALUE!</v>
      </c>
      <c r="K69" s="131"/>
      <c r="L69" s="132"/>
      <c r="M69" s="133"/>
      <c r="N69" s="134"/>
      <c r="O69" s="134"/>
      <c r="P69" s="134"/>
      <c r="Q69" s="134"/>
      <c r="S69" s="435"/>
      <c r="T69" s="436"/>
    </row>
    <row r="70" spans="1:20" s="159" customFormat="1">
      <c r="A70" s="437"/>
      <c r="B70" s="1069" t="str">
        <f>IF($A70&lt;&gt;"",VLOOKUP($A70,#REF!,5,0),"")</f>
        <v/>
      </c>
      <c r="C70" s="1070"/>
      <c r="D70" s="1070"/>
      <c r="E70" s="1071"/>
      <c r="F70" s="79" t="str">
        <f>IF($A70&lt;&gt;"",VLOOKUP($A70,#REF!,9,0),"")</f>
        <v/>
      </c>
      <c r="G70" s="432">
        <f t="shared" si="4"/>
        <v>0.2354</v>
      </c>
      <c r="H70" s="79" t="str">
        <f>IF($A70&lt;&gt;"",VLOOKUP($A70,#REF!,10,0),"")</f>
        <v/>
      </c>
      <c r="I70" s="434" t="e">
        <f t="shared" si="3"/>
        <v>#VALUE!</v>
      </c>
      <c r="K70" s="131"/>
      <c r="L70" s="132"/>
      <c r="M70" s="133"/>
      <c r="N70" s="134"/>
      <c r="O70" s="134"/>
      <c r="P70" s="134"/>
      <c r="Q70" s="134"/>
      <c r="S70" s="435"/>
      <c r="T70" s="436"/>
    </row>
    <row r="71" spans="1:20" s="176" customFormat="1">
      <c r="A71" s="437"/>
      <c r="B71" s="1069" t="str">
        <f>IF($A71&lt;&gt;"",VLOOKUP($A71,#REF!,5,0),"")</f>
        <v/>
      </c>
      <c r="C71" s="1070"/>
      <c r="D71" s="1070"/>
      <c r="E71" s="1071"/>
      <c r="F71" s="79" t="str">
        <f>IF($A71&lt;&gt;"",VLOOKUP($A71,#REF!,9,0),"")</f>
        <v/>
      </c>
      <c r="G71" s="432">
        <f t="shared" si="4"/>
        <v>0.2354</v>
      </c>
      <c r="H71" s="79" t="str">
        <f>IF($A71&lt;&gt;"",VLOOKUP($A71,#REF!,10,0),"")</f>
        <v/>
      </c>
      <c r="I71" s="434" t="e">
        <f t="shared" si="3"/>
        <v>#VALUE!</v>
      </c>
      <c r="K71" s="131"/>
      <c r="L71" s="132"/>
      <c r="M71" s="133"/>
      <c r="N71" s="134"/>
      <c r="O71" s="134"/>
      <c r="P71" s="134"/>
      <c r="Q71" s="134"/>
      <c r="S71" s="435"/>
      <c r="T71" s="436"/>
    </row>
    <row r="72" spans="1:20" s="176" customFormat="1">
      <c r="A72" s="97"/>
      <c r="B72" s="1069" t="str">
        <f>IF($A72&lt;&gt;"",VLOOKUP($A72,#REF!,5,0),"")</f>
        <v/>
      </c>
      <c r="C72" s="1070"/>
      <c r="D72" s="1070"/>
      <c r="E72" s="1071"/>
      <c r="F72" s="79" t="str">
        <f>IF($A72&lt;&gt;"",VLOOKUP($A72,#REF!,9,0),"")</f>
        <v/>
      </c>
      <c r="G72" s="432">
        <f t="shared" si="4"/>
        <v>0.2354</v>
      </c>
      <c r="H72" s="79" t="str">
        <f>IF($A72&lt;&gt;"",VLOOKUP($A72,#REF!,10,0),"")</f>
        <v/>
      </c>
      <c r="I72" s="434" t="e">
        <f t="shared" si="3"/>
        <v>#VALUE!</v>
      </c>
      <c r="K72" s="131"/>
      <c r="L72" s="132"/>
      <c r="M72" s="133"/>
      <c r="N72" s="134"/>
      <c r="O72" s="134"/>
      <c r="P72" s="134"/>
      <c r="Q72" s="134"/>
      <c r="S72" s="435"/>
      <c r="T72" s="436"/>
    </row>
    <row r="73" spans="1:20" s="159" customFormat="1">
      <c r="A73" s="437"/>
      <c r="B73" s="1069" t="str">
        <f>IF($A73&lt;&gt;"",VLOOKUP($A73,#REF!,5,0),"")</f>
        <v/>
      </c>
      <c r="C73" s="1070"/>
      <c r="D73" s="1070"/>
      <c r="E73" s="1071"/>
      <c r="F73" s="79" t="str">
        <f>IF($A73&lt;&gt;"",VLOOKUP($A73,#REF!,9,0),"")</f>
        <v/>
      </c>
      <c r="G73" s="432">
        <f t="shared" si="4"/>
        <v>0.2354</v>
      </c>
      <c r="H73" s="79" t="str">
        <f>IF($A73&lt;&gt;"",VLOOKUP($A73,#REF!,10,0),"")</f>
        <v/>
      </c>
      <c r="I73" s="434" t="e">
        <f t="shared" si="3"/>
        <v>#VALUE!</v>
      </c>
      <c r="K73" s="131"/>
      <c r="L73" s="132"/>
      <c r="M73" s="133"/>
      <c r="N73" s="134"/>
      <c r="O73" s="134"/>
      <c r="P73" s="134"/>
      <c r="Q73" s="134"/>
      <c r="S73" s="435"/>
      <c r="T73" s="436"/>
    </row>
    <row r="74" spans="1:20" s="159" customFormat="1">
      <c r="A74" s="157"/>
      <c r="B74" s="1079" t="s">
        <v>3722</v>
      </c>
      <c r="C74" s="1079"/>
      <c r="D74" s="1079"/>
      <c r="E74" s="1080"/>
      <c r="F74" s="79"/>
      <c r="G74" s="79"/>
      <c r="H74" s="79"/>
      <c r="I74" s="80"/>
      <c r="K74" s="131"/>
      <c r="L74" s="135"/>
      <c r="M74" s="133"/>
      <c r="N74" s="136"/>
      <c r="O74" s="138"/>
      <c r="P74" s="126"/>
      <c r="Q74" s="126"/>
      <c r="T74" s="158"/>
    </row>
    <row r="75" spans="1:20" s="159" customFormat="1" ht="12.75" customHeight="1">
      <c r="A75" s="151" t="s">
        <v>525</v>
      </c>
      <c r="B75" s="460" t="s">
        <v>3727</v>
      </c>
      <c r="C75" s="461"/>
      <c r="D75" s="461"/>
      <c r="E75" s="462"/>
      <c r="F75" s="79" t="e">
        <f>+#REF!+#REF!+#REF!+#REF!+#REF!+#REF!+F44+F45+F46+F47+F48+F49</f>
        <v>#REF!</v>
      </c>
      <c r="G75" s="79"/>
      <c r="H75" s="79"/>
      <c r="I75" s="80"/>
      <c r="K75" s="131"/>
      <c r="L75" s="135"/>
      <c r="M75" s="133"/>
      <c r="N75" s="136"/>
      <c r="O75" s="138"/>
      <c r="P75" s="126"/>
      <c r="Q75" s="126"/>
      <c r="T75" s="158"/>
    </row>
    <row r="76" spans="1:20" s="159" customFormat="1" ht="12.75" customHeight="1">
      <c r="A76" s="97" t="s">
        <v>537</v>
      </c>
      <c r="B76" s="463" t="s">
        <v>3726</v>
      </c>
      <c r="C76" s="464"/>
      <c r="D76" s="464"/>
      <c r="E76" s="465"/>
      <c r="F76" s="79" t="e">
        <f>SUM(F32:F42)+#REF!+SUM(F52:F73)+F50</f>
        <v>#REF!</v>
      </c>
      <c r="G76" s="79"/>
      <c r="H76" s="79"/>
      <c r="I76" s="80"/>
      <c r="K76" s="131"/>
      <c r="L76" s="135"/>
      <c r="M76" s="133"/>
      <c r="N76" s="136"/>
      <c r="O76" s="138"/>
      <c r="P76" s="126"/>
      <c r="Q76" s="126"/>
      <c r="T76" s="158"/>
    </row>
    <row r="77" spans="1:20" s="159" customFormat="1" ht="12.75" customHeight="1">
      <c r="A77" s="97" t="s">
        <v>886</v>
      </c>
      <c r="B77" s="463" t="s">
        <v>3728</v>
      </c>
      <c r="C77" s="464"/>
      <c r="D77" s="464"/>
      <c r="E77" s="465"/>
      <c r="F77" s="79" t="e">
        <f>+F51+#REF!</f>
        <v>#VALUE!</v>
      </c>
      <c r="G77" s="79"/>
      <c r="H77" s="79"/>
      <c r="I77" s="80"/>
      <c r="K77" s="131"/>
      <c r="L77" s="135"/>
      <c r="M77" s="133"/>
      <c r="N77" s="136"/>
      <c r="O77" s="138"/>
      <c r="P77" s="126"/>
      <c r="Q77" s="126"/>
      <c r="T77" s="158"/>
    </row>
    <row r="78" spans="1:20" s="159" customFormat="1" ht="12.75" customHeight="1">
      <c r="A78" s="97" t="s">
        <v>898</v>
      </c>
      <c r="B78" s="463" t="s">
        <v>3729</v>
      </c>
      <c r="C78" s="464"/>
      <c r="D78" s="464"/>
      <c r="E78" s="465"/>
      <c r="F78" s="79" t="e">
        <f>SUM(F12:F73)</f>
        <v>#REF!</v>
      </c>
      <c r="G78" s="79"/>
      <c r="H78" s="79"/>
      <c r="I78" s="80"/>
      <c r="K78" s="131"/>
      <c r="L78" s="135"/>
      <c r="M78" s="133"/>
      <c r="N78" s="136"/>
      <c r="O78" s="138"/>
      <c r="P78" s="126"/>
      <c r="Q78" s="126"/>
      <c r="T78" s="158"/>
    </row>
    <row r="79" spans="1:20" s="159" customFormat="1" ht="12.75" customHeight="1">
      <c r="A79" s="97" t="s">
        <v>3723</v>
      </c>
      <c r="B79" s="463" t="s">
        <v>3730</v>
      </c>
      <c r="C79" s="464"/>
      <c r="D79" s="464"/>
      <c r="E79" s="465"/>
      <c r="F79" s="79"/>
      <c r="G79" s="79"/>
      <c r="H79" s="79" t="e">
        <f>+H83-F78</f>
        <v>#REF!</v>
      </c>
      <c r="I79" s="80"/>
      <c r="K79" s="131"/>
      <c r="L79" s="135"/>
      <c r="M79" s="133"/>
      <c r="N79" s="136"/>
      <c r="O79" s="138"/>
      <c r="P79" s="126"/>
      <c r="Q79" s="126"/>
      <c r="T79" s="158"/>
    </row>
    <row r="80" spans="1:20" s="159" customFormat="1" ht="12.75" customHeight="1">
      <c r="A80" s="97" t="s">
        <v>3724</v>
      </c>
      <c r="B80" s="463" t="s">
        <v>3731</v>
      </c>
      <c r="C80" s="464"/>
      <c r="D80" s="464"/>
      <c r="E80" s="465"/>
      <c r="F80" s="79"/>
      <c r="G80" s="79"/>
      <c r="H80" s="79" t="e">
        <f>+H79+F78</f>
        <v>#REF!</v>
      </c>
      <c r="I80" s="80"/>
      <c r="K80" s="131"/>
      <c r="L80" s="135"/>
      <c r="M80" s="133"/>
      <c r="N80" s="136"/>
      <c r="O80" s="138"/>
      <c r="P80" s="126"/>
      <c r="Q80" s="126"/>
      <c r="T80" s="158"/>
    </row>
    <row r="81" spans="1:20" s="159" customFormat="1">
      <c r="A81" s="153"/>
      <c r="B81" s="200"/>
      <c r="C81" s="153"/>
      <c r="D81" s="153"/>
      <c r="E81" s="154"/>
      <c r="F81" s="155"/>
      <c r="G81" s="155"/>
      <c r="H81" s="155"/>
      <c r="I81" s="156"/>
      <c r="K81" s="131"/>
      <c r="L81" s="135"/>
      <c r="M81" s="133"/>
      <c r="N81" s="136"/>
      <c r="O81" s="138"/>
      <c r="P81" s="126"/>
      <c r="Q81" s="126"/>
      <c r="T81" s="158"/>
    </row>
    <row r="82" spans="1:20" s="159" customFormat="1" ht="12.75" customHeight="1">
      <c r="A82" s="97" t="s">
        <v>3725</v>
      </c>
      <c r="B82" s="466" t="s">
        <v>4871</v>
      </c>
      <c r="C82" s="467"/>
      <c r="D82" s="467"/>
      <c r="E82" s="467"/>
      <c r="F82" s="79"/>
      <c r="G82" s="79"/>
      <c r="H82" s="79"/>
      <c r="I82" s="80"/>
      <c r="K82" s="131"/>
      <c r="L82" s="135"/>
      <c r="M82" s="133"/>
      <c r="N82" s="136"/>
      <c r="O82" s="138"/>
      <c r="P82" s="126"/>
      <c r="Q82" s="126"/>
      <c r="T82" s="158"/>
    </row>
    <row r="83" spans="1:20" s="159" customFormat="1" ht="15.75">
      <c r="A83" s="468" t="s">
        <v>31</v>
      </c>
      <c r="B83" s="469"/>
      <c r="C83" s="469"/>
      <c r="D83" s="469"/>
      <c r="E83" s="470"/>
      <c r="F83" s="177">
        <f>SUMIF(F12:F73,"&gt;0",F12:F73)</f>
        <v>0</v>
      </c>
      <c r="G83" s="177">
        <f>SUMIF(G12:G73,"&gt;0",G12:G73)</f>
        <v>14.16420000000001</v>
      </c>
      <c r="H83" s="177">
        <f>SUMIF(H12:H73,"&gt;0",H12:H73)</f>
        <v>0</v>
      </c>
      <c r="I83" s="178" t="e">
        <f>SUM(I12:I82)</f>
        <v>#REF!</v>
      </c>
      <c r="K83" s="131"/>
      <c r="L83" s="135"/>
      <c r="M83" s="133"/>
      <c r="N83" s="137"/>
      <c r="O83" s="126"/>
      <c r="P83" s="126"/>
      <c r="Q83" s="126"/>
      <c r="T83" s="158"/>
    </row>
    <row r="84" spans="1:20">
      <c r="A84" s="179"/>
      <c r="B84" s="180"/>
      <c r="C84" s="180"/>
      <c r="D84" s="181"/>
      <c r="E84" s="181"/>
      <c r="F84" s="182"/>
      <c r="G84" s="182"/>
      <c r="H84" s="182"/>
      <c r="I84" s="183"/>
    </row>
    <row r="85" spans="1:20">
      <c r="A85" s="202" t="s">
        <v>2706</v>
      </c>
      <c r="B85" s="203">
        <f>CRONOGRAMA!BC9</f>
        <v>360</v>
      </c>
      <c r="C85" s="184" t="str">
        <f>IF(CRONOGRAMA!BB9&lt;&gt;"",CRONOGRAMA!BB9,"")</f>
        <v>PRAZO EXEC:</v>
      </c>
      <c r="D85" s="185" t="s">
        <v>909</v>
      </c>
      <c r="E85" s="186"/>
      <c r="F85" s="187"/>
      <c r="G85" s="187"/>
      <c r="H85" s="187"/>
      <c r="I85" s="188"/>
    </row>
    <row r="86" spans="1:20">
      <c r="A86" s="189"/>
      <c r="B86" s="189"/>
      <c r="C86" s="190"/>
      <c r="D86" s="191"/>
      <c r="E86" s="192"/>
      <c r="F86" s="193"/>
      <c r="G86" s="193"/>
      <c r="H86" s="193"/>
      <c r="I86" s="194"/>
    </row>
    <row r="87" spans="1:20" s="205" customFormat="1">
      <c r="A87" s="189"/>
      <c r="B87" s="189"/>
      <c r="C87" s="190"/>
      <c r="D87" s="191"/>
      <c r="E87" s="192"/>
      <c r="F87" s="193"/>
      <c r="G87" s="193"/>
      <c r="H87" s="193"/>
      <c r="I87" s="204"/>
      <c r="T87" s="206"/>
    </row>
    <row r="88" spans="1:20" s="205" customFormat="1">
      <c r="A88" s="189"/>
      <c r="B88" s="189"/>
      <c r="C88" s="190"/>
      <c r="D88" s="191"/>
      <c r="E88" s="192"/>
      <c r="F88" s="193"/>
      <c r="G88" s="193"/>
      <c r="H88" s="193"/>
      <c r="I88" s="204"/>
      <c r="T88" s="206"/>
    </row>
    <row r="89" spans="1:20" s="205" customFormat="1">
      <c r="A89" s="189"/>
      <c r="B89" s="189"/>
      <c r="C89" s="190"/>
      <c r="D89" s="191"/>
      <c r="E89" s="192"/>
      <c r="F89" s="193"/>
      <c r="G89" s="193"/>
      <c r="H89" s="193"/>
      <c r="I89" s="204"/>
      <c r="T89" s="206"/>
    </row>
    <row r="90" spans="1:20" s="205" customFormat="1">
      <c r="A90" s="160"/>
      <c r="B90" s="160"/>
      <c r="C90" s="160"/>
      <c r="D90" s="160"/>
      <c r="E90" s="160"/>
      <c r="F90" s="160"/>
      <c r="G90" s="160"/>
      <c r="H90" s="160"/>
      <c r="I90" s="161"/>
      <c r="T90" s="206"/>
    </row>
    <row r="91" spans="1:20" s="205" customFormat="1">
      <c r="D91" s="160"/>
      <c r="E91" s="160"/>
      <c r="F91" s="160"/>
      <c r="G91" s="160"/>
      <c r="H91" s="160"/>
      <c r="I91" s="161"/>
      <c r="T91" s="206"/>
    </row>
    <row r="92" spans="1:20" s="205" customFormat="1">
      <c r="D92" s="196"/>
      <c r="E92" s="196"/>
      <c r="F92" s="197"/>
      <c r="G92" s="210"/>
      <c r="H92" s="210"/>
      <c r="I92" s="161"/>
      <c r="T92" s="206"/>
    </row>
    <row r="93" spans="1:20" s="205" customFormat="1">
      <c r="D93" s="1089" t="s">
        <v>2691</v>
      </c>
      <c r="E93" s="1090"/>
      <c r="F93" s="1089"/>
      <c r="G93" s="211"/>
      <c r="H93" s="211"/>
      <c r="I93" s="161"/>
      <c r="T93" s="206"/>
    </row>
    <row r="94" spans="1:20" s="205" customFormat="1">
      <c r="D94" s="1078" t="s">
        <v>2692</v>
      </c>
      <c r="E94" s="1078"/>
      <c r="F94" s="1078"/>
      <c r="G94" s="208"/>
      <c r="H94" s="208"/>
      <c r="I94" s="161"/>
      <c r="T94" s="206"/>
    </row>
    <row r="95" spans="1:20">
      <c r="A95" s="198"/>
      <c r="B95" s="198"/>
      <c r="C95" s="198"/>
      <c r="D95" s="198"/>
      <c r="E95" s="198"/>
      <c r="F95" s="198"/>
      <c r="G95" s="198"/>
      <c r="H95" s="198"/>
      <c r="I95" s="195"/>
    </row>
    <row r="96" spans="1:20">
      <c r="A96" s="198"/>
      <c r="B96" s="198"/>
      <c r="C96" s="198"/>
      <c r="D96" s="198"/>
      <c r="E96" s="198"/>
      <c r="F96" s="198"/>
      <c r="G96" s="198"/>
      <c r="H96" s="198"/>
      <c r="I96" s="195"/>
    </row>
    <row r="97" spans="1:9">
      <c r="A97" s="198"/>
      <c r="B97" s="198"/>
      <c r="C97" s="198"/>
      <c r="D97" s="198"/>
      <c r="E97" s="198"/>
      <c r="F97" s="198"/>
      <c r="G97" s="198"/>
      <c r="H97" s="198"/>
      <c r="I97" s="195"/>
    </row>
    <row r="98" spans="1:9">
      <c r="A98" s="198"/>
      <c r="B98" s="198"/>
      <c r="C98" s="198"/>
      <c r="D98" s="198"/>
      <c r="E98" s="198"/>
      <c r="F98" s="198"/>
      <c r="G98" s="198"/>
      <c r="H98" s="198"/>
      <c r="I98" s="195"/>
    </row>
    <row r="99" spans="1:9">
      <c r="A99" s="198"/>
      <c r="B99" s="198"/>
      <c r="C99" s="198"/>
      <c r="D99" s="198"/>
      <c r="E99" s="198"/>
      <c r="F99" s="198"/>
      <c r="G99" s="198"/>
      <c r="H99" s="198"/>
      <c r="I99" s="195"/>
    </row>
    <row r="100" spans="1:9">
      <c r="A100" s="198"/>
      <c r="B100" s="198"/>
      <c r="C100" s="198"/>
      <c r="D100" s="198"/>
      <c r="E100" s="198"/>
      <c r="F100" s="198"/>
      <c r="G100" s="198"/>
      <c r="H100" s="198"/>
      <c r="I100" s="195"/>
    </row>
    <row r="101" spans="1:9">
      <c r="A101" s="198"/>
      <c r="B101" s="198"/>
      <c r="C101" s="198"/>
      <c r="D101" s="198"/>
      <c r="E101" s="198"/>
      <c r="F101" s="198"/>
      <c r="G101" s="198"/>
      <c r="H101" s="198"/>
      <c r="I101" s="195"/>
    </row>
    <row r="102" spans="1:9">
      <c r="A102" s="198"/>
      <c r="B102" s="198"/>
      <c r="C102" s="198"/>
      <c r="D102" s="198"/>
      <c r="E102" s="198"/>
      <c r="F102" s="198"/>
      <c r="G102" s="198"/>
      <c r="H102" s="198"/>
      <c r="I102" s="195"/>
    </row>
    <row r="103" spans="1:9">
      <c r="A103" s="198"/>
      <c r="B103" s="198"/>
      <c r="C103" s="198"/>
      <c r="D103" s="198"/>
      <c r="E103" s="198"/>
      <c r="F103" s="198"/>
      <c r="G103" s="198"/>
      <c r="H103" s="198"/>
      <c r="I103" s="195"/>
    </row>
  </sheetData>
  <mergeCells count="72">
    <mergeCell ref="A7:I7"/>
    <mergeCell ref="D94:F94"/>
    <mergeCell ref="B74:E74"/>
    <mergeCell ref="B11:E11"/>
    <mergeCell ref="A9:A10"/>
    <mergeCell ref="I9:I10"/>
    <mergeCell ref="B9:E10"/>
    <mergeCell ref="D93:F93"/>
    <mergeCell ref="G9:G10"/>
    <mergeCell ref="H9:H10"/>
    <mergeCell ref="B43:E43"/>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32:E32"/>
    <mergeCell ref="B31:E31"/>
    <mergeCell ref="B33:E33"/>
    <mergeCell ref="B34:E34"/>
    <mergeCell ref="B35:E35"/>
    <mergeCell ref="B36:E36"/>
    <mergeCell ref="B37:E37"/>
    <mergeCell ref="B38:E38"/>
    <mergeCell ref="B39:E39"/>
    <mergeCell ref="B40:E40"/>
    <mergeCell ref="B41:E41"/>
    <mergeCell ref="B42:E42"/>
    <mergeCell ref="B44:E44"/>
    <mergeCell ref="B45:E45"/>
    <mergeCell ref="B46:E46"/>
    <mergeCell ref="B47:E47"/>
    <mergeCell ref="B48:E48"/>
    <mergeCell ref="B49:E49"/>
    <mergeCell ref="B50:E50"/>
    <mergeCell ref="B51:E51"/>
    <mergeCell ref="B52:E52"/>
    <mergeCell ref="B53:E53"/>
    <mergeCell ref="B54:E54"/>
    <mergeCell ref="B55:E55"/>
    <mergeCell ref="B56:E56"/>
    <mergeCell ref="B57:E57"/>
    <mergeCell ref="B58:E58"/>
    <mergeCell ref="B59:E59"/>
    <mergeCell ref="B60:E60"/>
    <mergeCell ref="B61:E61"/>
    <mergeCell ref="B62:E62"/>
    <mergeCell ref="B63:E63"/>
    <mergeCell ref="B64:E64"/>
    <mergeCell ref="B70:E70"/>
    <mergeCell ref="B71:E71"/>
    <mergeCell ref="B72:E72"/>
    <mergeCell ref="B73:E73"/>
    <mergeCell ref="B65:E65"/>
    <mergeCell ref="B66:E66"/>
    <mergeCell ref="B67:E67"/>
    <mergeCell ref="B68:E68"/>
    <mergeCell ref="B69:E69"/>
  </mergeCells>
  <conditionalFormatting sqref="A85:A89">
    <cfRule type="cellIs" dxfId="5" priority="3" operator="equal">
      <formula>"PREENCHER PRAZO NA FOLHA DE FECHAMENTO!"</formula>
    </cfRule>
  </conditionalFormatting>
  <conditionalFormatting sqref="I83">
    <cfRule type="cellIs" dxfId="4" priority="1" operator="greaterThan">
      <formula>1</formula>
    </cfRule>
    <cfRule type="cellIs" dxfId="3" priority="2" operator="lessThan">
      <formula>1</formula>
    </cfRule>
  </conditionalFormatting>
  <printOptions horizontalCentered="1"/>
  <pageMargins left="0.19685039370078741" right="0.19685039370078741" top="1.1811023622047245" bottom="0.98425196850393704" header="0.59055118110236227" footer="0.19685039370078741"/>
  <pageSetup paperSize="9" scale="66" orientation="landscape" r:id="rId1"/>
  <headerFooter>
    <oddFooter>&amp;R&amp;P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tabColor rgb="FFFF0000"/>
  </sheetPr>
  <dimension ref="A1:BH148"/>
  <sheetViews>
    <sheetView showGridLines="0" view="pageBreakPreview" topLeftCell="M1" zoomScale="70" zoomScaleNormal="55" zoomScaleSheetLayoutView="70" zoomScalePageLayoutView="55" workbookViewId="0">
      <selection activeCell="BC10" sqref="BC10"/>
    </sheetView>
  </sheetViews>
  <sheetFormatPr defaultColWidth="11.42578125" defaultRowHeight="12.75"/>
  <cols>
    <col min="1" max="1" width="11.42578125" style="256"/>
    <col min="2" max="2" width="4.7109375" style="319" customWidth="1"/>
    <col min="3" max="3" width="38.42578125" style="317" customWidth="1"/>
    <col min="4" max="4" width="9.140625" style="276" customWidth="1"/>
    <col min="5" max="7" width="13.28515625" style="269" customWidth="1"/>
    <col min="8" max="28" width="13.28515625" style="315" customWidth="1"/>
    <col min="29" max="54" width="13.28515625" style="315" hidden="1" customWidth="1"/>
    <col min="55" max="55" width="14" style="303" bestFit="1" customWidth="1"/>
    <col min="56" max="56" width="14.28515625" style="304" customWidth="1"/>
    <col min="57" max="57" width="8.85546875" style="256" customWidth="1"/>
    <col min="58" max="58" width="16.28515625" style="256" customWidth="1"/>
    <col min="59" max="59" width="13" style="439" customWidth="1"/>
    <col min="60" max="60" width="10.42578125" style="256" customWidth="1"/>
    <col min="61" max="63" width="11.42578125" style="256"/>
    <col min="64" max="64" width="24.140625" style="256" customWidth="1"/>
    <col min="65" max="16384" width="11.42578125" style="256"/>
  </cols>
  <sheetData>
    <row r="1" spans="1:60" s="251" customFormat="1">
      <c r="B1" s="145" t="s">
        <v>2690</v>
      </c>
      <c r="C1" s="247"/>
      <c r="D1" s="229" t="str">
        <f>IF(DADOS!$D$9&lt;&gt;"",DADOS!$D$9,"")</f>
        <v>CÂMARA MUNICIPAL DE TAMARANA</v>
      </c>
      <c r="E1" s="247"/>
      <c r="F1" s="248"/>
      <c r="G1" s="248"/>
      <c r="H1" s="248"/>
      <c r="I1" s="248"/>
      <c r="J1" s="248"/>
      <c r="K1" s="248"/>
      <c r="L1" s="249"/>
      <c r="M1" s="249"/>
      <c r="N1" s="249"/>
      <c r="O1" s="249"/>
      <c r="P1" s="249"/>
      <c r="Q1" s="249"/>
      <c r="R1" s="249"/>
      <c r="S1" s="249"/>
      <c r="T1" s="249"/>
      <c r="U1" s="249"/>
      <c r="V1" s="249"/>
      <c r="W1" s="419"/>
      <c r="X1" s="419"/>
      <c r="Y1" s="419"/>
      <c r="Z1" s="419"/>
      <c r="AA1" s="419"/>
      <c r="AB1" s="235" t="s">
        <v>29</v>
      </c>
      <c r="AC1" s="419"/>
      <c r="AD1" s="419"/>
      <c r="AE1" s="419"/>
      <c r="AF1" s="419"/>
      <c r="AG1" s="419"/>
      <c r="AH1" s="419"/>
      <c r="AI1" s="419"/>
      <c r="AJ1" s="419"/>
      <c r="AK1" s="419"/>
      <c r="AL1" s="419"/>
      <c r="AM1" s="419"/>
      <c r="AN1" s="419"/>
      <c r="AO1" s="419"/>
      <c r="AP1" s="419"/>
      <c r="AQ1" s="419"/>
      <c r="AR1" s="419"/>
      <c r="AS1" s="419"/>
      <c r="AT1" s="249"/>
      <c r="AU1" s="249"/>
      <c r="AV1" s="419"/>
      <c r="AW1" s="419"/>
      <c r="AX1" s="419"/>
      <c r="AY1" s="247"/>
      <c r="AZ1" s="247"/>
      <c r="BA1" s="250"/>
      <c r="BC1" s="233"/>
      <c r="BD1" s="236">
        <f>BDI!D24</f>
        <v>0.2354</v>
      </c>
      <c r="BG1" s="438"/>
    </row>
    <row r="2" spans="1:60">
      <c r="B2" s="146" t="s">
        <v>3714</v>
      </c>
      <c r="C2" s="252"/>
      <c r="D2" s="444">
        <f>IF(DADOS!N7&lt;&gt;"",DADOS!N7)</f>
        <v>81</v>
      </c>
      <c r="E2" s="253"/>
      <c r="F2" s="254"/>
      <c r="G2" s="254"/>
      <c r="H2" s="254"/>
      <c r="I2" s="254"/>
      <c r="J2" s="254"/>
      <c r="K2" s="254"/>
      <c r="L2" s="253"/>
      <c r="M2" s="253"/>
      <c r="N2" s="253"/>
      <c r="O2" s="253"/>
      <c r="P2" s="253"/>
      <c r="Q2" s="253"/>
      <c r="R2" s="253"/>
      <c r="S2" s="253"/>
      <c r="T2" s="253"/>
      <c r="U2" s="253"/>
      <c r="V2" s="253"/>
      <c r="W2" s="420"/>
      <c r="X2" s="420"/>
      <c r="Y2" s="420"/>
      <c r="Z2" s="420"/>
      <c r="AA2" s="420"/>
      <c r="AB2" s="147" t="s">
        <v>2237</v>
      </c>
      <c r="AC2" s="420"/>
      <c r="AD2" s="420"/>
      <c r="AE2" s="420"/>
      <c r="AF2" s="420"/>
      <c r="AG2" s="420"/>
      <c r="AH2" s="420"/>
      <c r="AI2" s="420"/>
      <c r="AJ2" s="420"/>
      <c r="AK2" s="420"/>
      <c r="AL2" s="420"/>
      <c r="AM2" s="420"/>
      <c r="AN2" s="420"/>
      <c r="AO2" s="420"/>
      <c r="AP2" s="420"/>
      <c r="AQ2" s="420"/>
      <c r="AR2" s="420"/>
      <c r="AS2" s="420"/>
      <c r="AT2" s="253"/>
      <c r="AU2" s="253"/>
      <c r="AV2" s="420"/>
      <c r="AW2" s="420"/>
      <c r="AX2" s="420"/>
      <c r="AY2" s="252"/>
      <c r="AZ2" s="252"/>
      <c r="BA2" s="255"/>
      <c r="BC2" s="233"/>
      <c r="BD2" s="234">
        <f>'BDI equip'!D24</f>
        <v>0.2555</v>
      </c>
    </row>
    <row r="3" spans="1:60">
      <c r="B3" s="244" t="s">
        <v>3715</v>
      </c>
      <c r="C3" s="252"/>
      <c r="D3" s="245" t="str">
        <f>IF(DADOS!$D$13&lt;&gt;"",DADOS!$D$13,"")</f>
        <v>CÂMARA MUNICIPAL DE TAMARANA</v>
      </c>
      <c r="E3" s="257"/>
      <c r="F3" s="258"/>
      <c r="G3" s="258"/>
      <c r="H3" s="258"/>
      <c r="I3" s="259"/>
      <c r="J3" s="149"/>
      <c r="K3" s="400"/>
      <c r="L3" s="261"/>
      <c r="M3" s="262"/>
      <c r="N3" s="252"/>
      <c r="O3" s="252"/>
      <c r="P3" s="252"/>
      <c r="Q3" s="263"/>
      <c r="R3" s="263"/>
      <c r="S3" s="263"/>
      <c r="T3" s="263"/>
      <c r="U3" s="263"/>
      <c r="V3" s="263"/>
      <c r="W3" s="421"/>
      <c r="X3" s="421"/>
      <c r="Y3" s="421"/>
      <c r="Z3" s="421"/>
      <c r="AA3" s="421"/>
      <c r="AB3" s="149" t="s">
        <v>3717</v>
      </c>
      <c r="AC3" s="421"/>
      <c r="AD3" s="421"/>
      <c r="AE3" s="421"/>
      <c r="AF3" s="421"/>
      <c r="AG3" s="421"/>
      <c r="AH3" s="421"/>
      <c r="AI3" s="421"/>
      <c r="AJ3" s="421"/>
      <c r="AK3" s="421"/>
      <c r="AL3" s="421"/>
      <c r="AM3" s="421"/>
      <c r="AN3" s="421"/>
      <c r="AO3" s="421"/>
      <c r="AP3" s="421"/>
      <c r="AQ3" s="421"/>
      <c r="AR3" s="421"/>
      <c r="AS3" s="421"/>
      <c r="AT3" s="263"/>
      <c r="AU3" s="263"/>
      <c r="AV3" s="421"/>
      <c r="AW3" s="421"/>
      <c r="AX3" s="421"/>
      <c r="AY3" s="252"/>
      <c r="AZ3" s="252"/>
      <c r="BA3" s="255"/>
      <c r="BC3" s="230"/>
      <c r="BD3" s="237">
        <f>IF(DADOS!D17&lt;&gt;"",DADOS!D17,0)</f>
        <v>713.26</v>
      </c>
    </row>
    <row r="4" spans="1:60" s="267" customFormat="1" ht="15.75" customHeight="1">
      <c r="B4" s="146" t="s">
        <v>3716</v>
      </c>
      <c r="C4" s="263"/>
      <c r="D4" s="246" t="str">
        <f>IF(DADOS!$D$11&lt;&gt;"",DADOS!$D$11,"")</f>
        <v>RUA UBALDINO DE SÁ BITERNCOURT, S/N. - PRAÇA "A-B-3"</v>
      </c>
      <c r="E4" s="253"/>
      <c r="F4" s="264"/>
      <c r="G4" s="253"/>
      <c r="H4" s="253"/>
      <c r="I4" s="253"/>
      <c r="J4" s="253"/>
      <c r="K4" s="260"/>
      <c r="L4" s="265"/>
      <c r="M4" s="253"/>
      <c r="N4" s="253"/>
      <c r="O4" s="249"/>
      <c r="P4" s="249"/>
      <c r="Q4" s="249"/>
      <c r="R4" s="249"/>
      <c r="S4" s="249"/>
      <c r="T4" s="249"/>
      <c r="U4" s="249"/>
      <c r="V4" s="249"/>
      <c r="W4" s="419"/>
      <c r="X4" s="419"/>
      <c r="Y4" s="419"/>
      <c r="Z4" s="419"/>
      <c r="AA4" s="419"/>
      <c r="AB4" s="239" t="s">
        <v>903</v>
      </c>
      <c r="AC4" s="419"/>
      <c r="AD4" s="419"/>
      <c r="AE4" s="419"/>
      <c r="AF4" s="419"/>
      <c r="AG4" s="419"/>
      <c r="AH4" s="419"/>
      <c r="AI4" s="419"/>
      <c r="AJ4" s="419"/>
      <c r="AK4" s="419"/>
      <c r="AL4" s="419"/>
      <c r="AM4" s="419"/>
      <c r="AN4" s="419"/>
      <c r="AO4" s="419"/>
      <c r="AP4" s="419"/>
      <c r="AQ4" s="419"/>
      <c r="AR4" s="419"/>
      <c r="AS4" s="419"/>
      <c r="AT4" s="249"/>
      <c r="AU4" s="249"/>
      <c r="AV4" s="419"/>
      <c r="AW4" s="419"/>
      <c r="AX4" s="419"/>
      <c r="AY4" s="263"/>
      <c r="AZ4" s="263"/>
      <c r="BA4" s="266"/>
      <c r="BC4" s="231"/>
      <c r="BD4" s="240">
        <f ca="1">IF(DADOS!$D$19&lt;&gt;"",DADOS!$D$19,"")</f>
        <v>44860</v>
      </c>
      <c r="BG4" s="440"/>
    </row>
    <row r="5" spans="1:60" s="267" customFormat="1" ht="15.75" customHeight="1">
      <c r="B5" s="148" t="s">
        <v>4877</v>
      </c>
      <c r="C5" s="263"/>
      <c r="D5" s="228" t="str">
        <f>SERVIÇOS!D2</f>
        <v>SINAPI PR - JULHO 2022 - NÃO DESONERADO</v>
      </c>
      <c r="E5" s="253"/>
      <c r="F5" s="264"/>
      <c r="G5" s="253"/>
      <c r="H5" s="253"/>
      <c r="I5" s="253"/>
      <c r="J5" s="253"/>
      <c r="K5" s="260"/>
      <c r="L5" s="265"/>
      <c r="M5" s="253"/>
      <c r="N5" s="253"/>
      <c r="O5" s="249"/>
      <c r="P5" s="249"/>
      <c r="Q5" s="249"/>
      <c r="R5" s="249"/>
      <c r="S5" s="249"/>
      <c r="T5" s="249"/>
      <c r="U5" s="249"/>
      <c r="V5" s="249"/>
      <c r="W5" s="419"/>
      <c r="X5" s="419"/>
      <c r="Y5" s="419"/>
      <c r="Z5" s="419"/>
      <c r="AA5" s="419"/>
      <c r="AB5" s="243" t="s">
        <v>4879</v>
      </c>
      <c r="AC5" s="419"/>
      <c r="AD5" s="419"/>
      <c r="AE5" s="419"/>
      <c r="AF5" s="419"/>
      <c r="AG5" s="419"/>
      <c r="AH5" s="419"/>
      <c r="AI5" s="419"/>
      <c r="AJ5" s="419"/>
      <c r="AK5" s="419"/>
      <c r="AL5" s="419"/>
      <c r="AM5" s="419"/>
      <c r="AN5" s="419"/>
      <c r="AO5" s="419"/>
      <c r="AP5" s="419"/>
      <c r="AQ5" s="419"/>
      <c r="AR5" s="419"/>
      <c r="AS5" s="419"/>
      <c r="AT5" s="249"/>
      <c r="AU5" s="249"/>
      <c r="AV5" s="419"/>
      <c r="AW5" s="419"/>
      <c r="AX5" s="419"/>
      <c r="AY5" s="263"/>
      <c r="AZ5" s="263"/>
      <c r="BA5" s="266"/>
      <c r="BC5" s="230"/>
      <c r="BD5" s="228" t="str">
        <f>IF(DADOS!M19&lt;&gt;"",DADOS!M19)</f>
        <v>R01</v>
      </c>
      <c r="BG5" s="440"/>
    </row>
    <row r="6" spans="1:60" s="267" customFormat="1" ht="15.75" customHeight="1">
      <c r="B6" s="268"/>
      <c r="C6" s="227"/>
      <c r="D6" s="232"/>
      <c r="E6" s="269"/>
      <c r="F6" s="270"/>
      <c r="G6" s="269"/>
      <c r="H6" s="269"/>
      <c r="I6" s="269"/>
      <c r="J6" s="269"/>
      <c r="K6" s="271"/>
      <c r="L6" s="272"/>
      <c r="M6" s="269"/>
      <c r="N6" s="269"/>
      <c r="O6" s="273"/>
      <c r="P6" s="273"/>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4"/>
      <c r="BD6" s="275"/>
      <c r="BG6" s="440"/>
    </row>
    <row r="7" spans="1:60" s="267" customFormat="1" ht="15.75" customHeight="1">
      <c r="B7" s="1109" t="s">
        <v>2695</v>
      </c>
      <c r="C7" s="1110"/>
      <c r="D7" s="1110"/>
      <c r="E7" s="1110"/>
      <c r="F7" s="1110"/>
      <c r="G7" s="1110"/>
      <c r="H7" s="1110"/>
      <c r="I7" s="1110"/>
      <c r="J7" s="1110"/>
      <c r="K7" s="1110"/>
      <c r="L7" s="1110"/>
      <c r="M7" s="1110"/>
      <c r="N7" s="1110"/>
      <c r="O7" s="1110"/>
      <c r="P7" s="1110"/>
      <c r="Q7" s="1110"/>
      <c r="R7" s="1110"/>
      <c r="S7" s="1110"/>
      <c r="T7" s="1110"/>
      <c r="U7" s="1110"/>
      <c r="V7" s="1110"/>
      <c r="W7" s="1111"/>
      <c r="X7" s="1111"/>
      <c r="Y7" s="1111"/>
      <c r="Z7" s="1111"/>
      <c r="AA7" s="1111"/>
      <c r="AB7" s="1111"/>
      <c r="AC7" s="1111"/>
      <c r="AD7" s="1111"/>
      <c r="AE7" s="1111"/>
      <c r="AF7" s="1111"/>
      <c r="AG7" s="1111"/>
      <c r="AH7" s="1111"/>
      <c r="AI7" s="1111"/>
      <c r="AJ7" s="1111"/>
      <c r="AK7" s="1111"/>
      <c r="AL7" s="1111"/>
      <c r="AM7" s="1111"/>
      <c r="AN7" s="1111"/>
      <c r="AO7" s="1111"/>
      <c r="AP7" s="1111"/>
      <c r="AQ7" s="1111"/>
      <c r="AR7" s="1111"/>
      <c r="AS7" s="1111"/>
      <c r="AT7" s="1110"/>
      <c r="AU7" s="1110"/>
      <c r="AV7" s="1111"/>
      <c r="AW7" s="1111"/>
      <c r="AX7" s="1111"/>
      <c r="AY7" s="1110"/>
      <c r="AZ7" s="1110"/>
      <c r="BA7" s="1110"/>
      <c r="BB7" s="1110"/>
      <c r="BC7" s="1110"/>
      <c r="BD7" s="1112"/>
      <c r="BG7" s="440"/>
    </row>
    <row r="8" spans="1:60" s="267" customFormat="1" ht="15.75" customHeight="1">
      <c r="B8" s="320"/>
      <c r="C8" s="320"/>
      <c r="D8" s="320"/>
      <c r="E8" s="320"/>
      <c r="F8" s="320"/>
      <c r="G8" s="320"/>
      <c r="H8" s="320"/>
      <c r="I8" s="320"/>
      <c r="J8" s="320"/>
      <c r="K8" s="320"/>
      <c r="L8" s="320"/>
      <c r="M8" s="320"/>
      <c r="N8" s="321"/>
      <c r="R8" s="320"/>
      <c r="S8" s="320"/>
      <c r="T8" s="320"/>
      <c r="U8" s="320"/>
      <c r="V8" s="320"/>
      <c r="W8" s="320"/>
      <c r="X8" s="320"/>
      <c r="Y8" s="320"/>
      <c r="Z8" s="320"/>
      <c r="AA8" s="320"/>
      <c r="AB8" s="320"/>
      <c r="AC8" s="320"/>
      <c r="AD8" s="320"/>
      <c r="AE8" s="320"/>
      <c r="AF8" s="320"/>
      <c r="AG8" s="320"/>
      <c r="AH8" s="320"/>
      <c r="AI8" s="320"/>
      <c r="AJ8" s="320"/>
      <c r="AK8" s="320"/>
      <c r="AL8" s="320"/>
      <c r="AM8" s="320"/>
      <c r="AN8" s="320"/>
      <c r="AO8" s="320"/>
      <c r="AP8" s="320"/>
      <c r="AQ8" s="320"/>
      <c r="AR8" s="320"/>
      <c r="AS8" s="320"/>
      <c r="AT8" s="320"/>
      <c r="AU8" s="320"/>
      <c r="AV8" s="320"/>
      <c r="AW8" s="320"/>
      <c r="AX8" s="320"/>
      <c r="AY8" s="320"/>
      <c r="AZ8" s="320"/>
      <c r="BA8" s="320"/>
      <c r="BB8" s="320"/>
      <c r="BC8" s="320"/>
      <c r="BD8" s="320"/>
      <c r="BG8" s="440"/>
    </row>
    <row r="9" spans="1:60" s="267" customFormat="1" ht="15.75" customHeight="1" thickBot="1">
      <c r="B9" s="268"/>
      <c r="C9" s="271"/>
      <c r="E9" s="276"/>
      <c r="F9" s="270"/>
      <c r="G9" s="269"/>
      <c r="H9" s="269"/>
      <c r="I9" s="269"/>
      <c r="J9" s="269"/>
      <c r="K9" s="271"/>
      <c r="L9" s="272"/>
      <c r="M9" s="269"/>
      <c r="N9" s="269"/>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429" t="s">
        <v>2700</v>
      </c>
      <c r="BC9" s="323">
        <f>12*30</f>
        <v>360</v>
      </c>
      <c r="BD9" s="322" t="s">
        <v>909</v>
      </c>
      <c r="BG9" s="440"/>
    </row>
    <row r="10" spans="1:60" s="267" customFormat="1" ht="15.75" customHeight="1" thickBot="1">
      <c r="B10" s="268"/>
      <c r="C10" s="277"/>
      <c r="D10" s="278" t="s">
        <v>2701</v>
      </c>
      <c r="E10" s="1098" t="s">
        <v>3108</v>
      </c>
      <c r="F10" s="1099"/>
      <c r="G10" s="1099"/>
      <c r="H10" s="1099"/>
      <c r="I10" s="1099"/>
      <c r="J10" s="1099"/>
      <c r="K10" s="1099"/>
      <c r="L10" s="1099"/>
      <c r="M10" s="1099"/>
      <c r="N10" s="1099"/>
      <c r="O10" s="1099"/>
      <c r="P10" s="1100"/>
      <c r="Q10" s="1098" t="s">
        <v>3107</v>
      </c>
      <c r="R10" s="1099"/>
      <c r="S10" s="1099"/>
      <c r="T10" s="1099"/>
      <c r="U10" s="1099"/>
      <c r="V10" s="1099"/>
      <c r="W10" s="1099"/>
      <c r="X10" s="1099"/>
      <c r="Y10" s="1099"/>
      <c r="Z10" s="1099"/>
      <c r="AA10" s="1099"/>
      <c r="AB10" s="1100"/>
      <c r="AC10" s="1098" t="s">
        <v>5318</v>
      </c>
      <c r="AD10" s="1099"/>
      <c r="AE10" s="1099"/>
      <c r="AF10" s="1099"/>
      <c r="AG10" s="1099"/>
      <c r="AH10" s="1099"/>
      <c r="AI10" s="1099"/>
      <c r="AJ10" s="1099"/>
      <c r="AK10" s="1099"/>
      <c r="AL10" s="1099"/>
      <c r="AM10" s="1099"/>
      <c r="AN10" s="1100"/>
      <c r="AO10" s="1098" t="s">
        <v>5319</v>
      </c>
      <c r="AP10" s="1099"/>
      <c r="AQ10" s="1099"/>
      <c r="AR10" s="1099"/>
      <c r="AS10" s="1099"/>
      <c r="AT10" s="1099"/>
      <c r="AU10" s="1099"/>
      <c r="AV10" s="1099"/>
      <c r="AW10" s="1099"/>
      <c r="AX10" s="1099"/>
      <c r="AY10" s="1099"/>
      <c r="AZ10" s="1100"/>
      <c r="BA10" s="1104"/>
      <c r="BB10" s="1105"/>
      <c r="BC10" s="279"/>
      <c r="BD10" s="279"/>
      <c r="BG10" s="440"/>
    </row>
    <row r="11" spans="1:60" s="284" customFormat="1">
      <c r="B11" s="280"/>
      <c r="C11" s="1106" t="s">
        <v>544</v>
      </c>
      <c r="D11" s="281"/>
      <c r="E11" s="1095" t="s">
        <v>5288</v>
      </c>
      <c r="F11" s="1095" t="s">
        <v>5289</v>
      </c>
      <c r="G11" s="1095" t="s">
        <v>5290</v>
      </c>
      <c r="H11" s="1095" t="s">
        <v>5291</v>
      </c>
      <c r="I11" s="1095" t="s">
        <v>5292</v>
      </c>
      <c r="J11" s="1095" t="s">
        <v>5293</v>
      </c>
      <c r="K11" s="1095" t="s">
        <v>5294</v>
      </c>
      <c r="L11" s="1095" t="s">
        <v>5295</v>
      </c>
      <c r="M11" s="1095" t="s">
        <v>5296</v>
      </c>
      <c r="N11" s="1095" t="s">
        <v>5297</v>
      </c>
      <c r="O11" s="1095" t="s">
        <v>5298</v>
      </c>
      <c r="P11" s="1095" t="s">
        <v>5299</v>
      </c>
      <c r="Q11" s="1095" t="s">
        <v>5300</v>
      </c>
      <c r="R11" s="1095" t="s">
        <v>5301</v>
      </c>
      <c r="S11" s="1095" t="s">
        <v>5302</v>
      </c>
      <c r="T11" s="1095" t="s">
        <v>5303</v>
      </c>
      <c r="U11" s="1095" t="s">
        <v>5304</v>
      </c>
      <c r="V11" s="1095" t="s">
        <v>5305</v>
      </c>
      <c r="W11" s="1095" t="s">
        <v>5306</v>
      </c>
      <c r="X11" s="1095" t="s">
        <v>5307</v>
      </c>
      <c r="Y11" s="1095" t="s">
        <v>5308</v>
      </c>
      <c r="Z11" s="1095" t="s">
        <v>5309</v>
      </c>
      <c r="AA11" s="1095" t="s">
        <v>5310</v>
      </c>
      <c r="AB11" s="1095" t="s">
        <v>5311</v>
      </c>
      <c r="AC11" s="1095" t="s">
        <v>5312</v>
      </c>
      <c r="AD11" s="1095" t="s">
        <v>5313</v>
      </c>
      <c r="AE11" s="1095" t="s">
        <v>5314</v>
      </c>
      <c r="AF11" s="1095" t="s">
        <v>5315</v>
      </c>
      <c r="AG11" s="1095" t="s">
        <v>5316</v>
      </c>
      <c r="AH11" s="1095" t="s">
        <v>5317</v>
      </c>
      <c r="AI11" s="1101"/>
      <c r="AJ11" s="1101"/>
      <c r="AK11" s="1095" t="s">
        <v>5288</v>
      </c>
      <c r="AL11" s="1095" t="s">
        <v>5289</v>
      </c>
      <c r="AM11" s="1095" t="s">
        <v>5290</v>
      </c>
      <c r="AN11" s="1095" t="s">
        <v>5291</v>
      </c>
      <c r="AO11" s="1095" t="s">
        <v>5292</v>
      </c>
      <c r="AP11" s="1095" t="s">
        <v>5293</v>
      </c>
      <c r="AQ11" s="1095" t="s">
        <v>5294</v>
      </c>
      <c r="AR11" s="1095" t="s">
        <v>5295</v>
      </c>
      <c r="AS11" s="1095" t="s">
        <v>5296</v>
      </c>
      <c r="AT11" s="1095" t="s">
        <v>5297</v>
      </c>
      <c r="AU11" s="1095" t="s">
        <v>5298</v>
      </c>
      <c r="AV11" s="1095" t="s">
        <v>5299</v>
      </c>
      <c r="AW11" s="1095" t="s">
        <v>5300</v>
      </c>
      <c r="AX11" s="1095" t="s">
        <v>5301</v>
      </c>
      <c r="AY11" s="1095" t="s">
        <v>5302</v>
      </c>
      <c r="AZ11" s="1095" t="s">
        <v>5303</v>
      </c>
      <c r="BA11" s="1095" t="s">
        <v>5304</v>
      </c>
      <c r="BB11" s="1095" t="s">
        <v>5305</v>
      </c>
      <c r="BC11" s="282" t="s">
        <v>545</v>
      </c>
      <c r="BD11" s="283" t="s">
        <v>545</v>
      </c>
      <c r="BG11" s="439"/>
    </row>
    <row r="12" spans="1:60" s="30" customFormat="1">
      <c r="B12" s="285" t="s">
        <v>904</v>
      </c>
      <c r="C12" s="1107"/>
      <c r="D12" s="286" t="s">
        <v>546</v>
      </c>
      <c r="E12" s="1096"/>
      <c r="F12" s="1096"/>
      <c r="G12" s="1096"/>
      <c r="H12" s="1096"/>
      <c r="I12" s="1096"/>
      <c r="J12" s="1096"/>
      <c r="K12" s="1096"/>
      <c r="L12" s="1096"/>
      <c r="M12" s="1096"/>
      <c r="N12" s="1096"/>
      <c r="O12" s="1096"/>
      <c r="P12" s="1096"/>
      <c r="Q12" s="1096"/>
      <c r="R12" s="1096"/>
      <c r="S12" s="1096"/>
      <c r="T12" s="1096"/>
      <c r="U12" s="1096"/>
      <c r="V12" s="1096"/>
      <c r="W12" s="1096"/>
      <c r="X12" s="1096"/>
      <c r="Y12" s="1096"/>
      <c r="Z12" s="1096"/>
      <c r="AA12" s="1096"/>
      <c r="AB12" s="1096"/>
      <c r="AC12" s="1096"/>
      <c r="AD12" s="1096"/>
      <c r="AE12" s="1096"/>
      <c r="AF12" s="1096"/>
      <c r="AG12" s="1096"/>
      <c r="AH12" s="1096"/>
      <c r="AI12" s="1102"/>
      <c r="AJ12" s="1102"/>
      <c r="AK12" s="1096"/>
      <c r="AL12" s="1096"/>
      <c r="AM12" s="1096"/>
      <c r="AN12" s="1096"/>
      <c r="AO12" s="1096"/>
      <c r="AP12" s="1096"/>
      <c r="AQ12" s="1096"/>
      <c r="AR12" s="1096"/>
      <c r="AS12" s="1096"/>
      <c r="AT12" s="1096"/>
      <c r="AU12" s="1096"/>
      <c r="AV12" s="1096"/>
      <c r="AW12" s="1096"/>
      <c r="AX12" s="1096"/>
      <c r="AY12" s="1096"/>
      <c r="AZ12" s="1096"/>
      <c r="BA12" s="1096"/>
      <c r="BB12" s="1096"/>
      <c r="BC12" s="287" t="s">
        <v>542</v>
      </c>
      <c r="BD12" s="286" t="s">
        <v>547</v>
      </c>
      <c r="BG12" s="1113" t="s">
        <v>2696</v>
      </c>
    </row>
    <row r="13" spans="1:60" s="31" customFormat="1" ht="13.5" thickBot="1">
      <c r="B13" s="288"/>
      <c r="C13" s="1108"/>
      <c r="D13" s="289"/>
      <c r="E13" s="1097"/>
      <c r="F13" s="1097"/>
      <c r="G13" s="1097"/>
      <c r="H13" s="1097"/>
      <c r="I13" s="1097"/>
      <c r="J13" s="1097"/>
      <c r="K13" s="1097"/>
      <c r="L13" s="1097"/>
      <c r="M13" s="1097"/>
      <c r="N13" s="1097"/>
      <c r="O13" s="1097"/>
      <c r="P13" s="1097"/>
      <c r="Q13" s="1097"/>
      <c r="R13" s="1097"/>
      <c r="S13" s="1097"/>
      <c r="T13" s="1097"/>
      <c r="U13" s="1097"/>
      <c r="V13" s="1097"/>
      <c r="W13" s="1097"/>
      <c r="X13" s="1097"/>
      <c r="Y13" s="1097"/>
      <c r="Z13" s="1097"/>
      <c r="AA13" s="1097"/>
      <c r="AB13" s="1097"/>
      <c r="AC13" s="1097"/>
      <c r="AD13" s="1097"/>
      <c r="AE13" s="1097"/>
      <c r="AF13" s="1097"/>
      <c r="AG13" s="1097"/>
      <c r="AH13" s="1097"/>
      <c r="AI13" s="1103"/>
      <c r="AJ13" s="1103"/>
      <c r="AK13" s="1097"/>
      <c r="AL13" s="1097"/>
      <c r="AM13" s="1097"/>
      <c r="AN13" s="1097"/>
      <c r="AO13" s="1097"/>
      <c r="AP13" s="1097"/>
      <c r="AQ13" s="1097"/>
      <c r="AR13" s="1097"/>
      <c r="AS13" s="1097"/>
      <c r="AT13" s="1097"/>
      <c r="AU13" s="1097"/>
      <c r="AV13" s="1097"/>
      <c r="AW13" s="1097"/>
      <c r="AX13" s="1097"/>
      <c r="AY13" s="1097"/>
      <c r="AZ13" s="1097"/>
      <c r="BA13" s="1097"/>
      <c r="BB13" s="1097"/>
      <c r="BC13" s="290" t="s">
        <v>548</v>
      </c>
      <c r="BD13" s="289" t="s">
        <v>549</v>
      </c>
      <c r="BG13" s="1113"/>
    </row>
    <row r="14" spans="1:60" s="295" customFormat="1">
      <c r="A14" s="295">
        <v>1</v>
      </c>
      <c r="B14" s="294"/>
      <c r="C14" s="418" t="s">
        <v>6516</v>
      </c>
      <c r="D14" s="416"/>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22"/>
      <c r="AJ14" s="422"/>
      <c r="AK14" s="417"/>
      <c r="AL14" s="417"/>
      <c r="AM14" s="417"/>
      <c r="AN14" s="417"/>
      <c r="AO14" s="417"/>
      <c r="AP14" s="417"/>
      <c r="AQ14" s="417"/>
      <c r="AR14" s="417"/>
      <c r="AS14" s="417"/>
      <c r="AT14" s="417"/>
      <c r="AU14" s="417"/>
      <c r="AV14" s="417"/>
      <c r="AW14" s="417"/>
      <c r="AX14" s="417"/>
      <c r="AY14" s="417"/>
      <c r="AZ14" s="417"/>
      <c r="BA14" s="417"/>
      <c r="BB14" s="417"/>
      <c r="BC14" s="140"/>
      <c r="BD14" s="140"/>
      <c r="BF14" s="424"/>
      <c r="BG14" s="441"/>
      <c r="BH14" s="296"/>
    </row>
    <row r="15" spans="1:60" s="292" customFormat="1">
      <c r="A15" s="292">
        <v>2</v>
      </c>
      <c r="B15" s="291">
        <v>1</v>
      </c>
      <c r="C15" s="55" t="str">
        <f>IF($B15&lt;&gt;"",VLOOKUP($B15,ORC!$E:$N,4,0),"")</f>
        <v>SERVIÇOS PRELIMINARES</v>
      </c>
      <c r="D15" s="49" t="e">
        <f>+BC15/BC$136</f>
        <v>#REF!</v>
      </c>
      <c r="E15" s="50">
        <f t="shared" ref="E15:AH15" si="0">IF(E16&lt;&gt;"",E16*$BC15,0)</f>
        <v>0</v>
      </c>
      <c r="F15" s="50">
        <f t="shared" si="0"/>
        <v>0</v>
      </c>
      <c r="G15" s="50">
        <f t="shared" si="0"/>
        <v>0</v>
      </c>
      <c r="H15" s="50">
        <f t="shared" si="0"/>
        <v>0</v>
      </c>
      <c r="I15" s="50">
        <f t="shared" si="0"/>
        <v>0</v>
      </c>
      <c r="J15" s="50">
        <f t="shared" si="0"/>
        <v>0</v>
      </c>
      <c r="K15" s="50">
        <f t="shared" si="0"/>
        <v>0</v>
      </c>
      <c r="L15" s="50">
        <f t="shared" si="0"/>
        <v>0</v>
      </c>
      <c r="M15" s="50">
        <f t="shared" si="0"/>
        <v>0</v>
      </c>
      <c r="N15" s="50">
        <f t="shared" si="0"/>
        <v>0</v>
      </c>
      <c r="O15" s="50">
        <f t="shared" si="0"/>
        <v>0</v>
      </c>
      <c r="P15" s="50">
        <f t="shared" si="0"/>
        <v>0</v>
      </c>
      <c r="Q15" s="50">
        <f t="shared" si="0"/>
        <v>0</v>
      </c>
      <c r="R15" s="50">
        <f t="shared" si="0"/>
        <v>0</v>
      </c>
      <c r="S15" s="50">
        <f t="shared" si="0"/>
        <v>0</v>
      </c>
      <c r="T15" s="50">
        <f t="shared" si="0"/>
        <v>0</v>
      </c>
      <c r="U15" s="50">
        <f t="shared" si="0"/>
        <v>0</v>
      </c>
      <c r="V15" s="50">
        <f t="shared" si="0"/>
        <v>0</v>
      </c>
      <c r="W15" s="50">
        <f t="shared" si="0"/>
        <v>0</v>
      </c>
      <c r="X15" s="50">
        <f t="shared" si="0"/>
        <v>0</v>
      </c>
      <c r="Y15" s="50">
        <f t="shared" si="0"/>
        <v>0</v>
      </c>
      <c r="Z15" s="50">
        <f t="shared" si="0"/>
        <v>0</v>
      </c>
      <c r="AA15" s="50">
        <f t="shared" si="0"/>
        <v>0</v>
      </c>
      <c r="AB15" s="50">
        <f t="shared" si="0"/>
        <v>0</v>
      </c>
      <c r="AC15" s="50">
        <f t="shared" si="0"/>
        <v>0</v>
      </c>
      <c r="AD15" s="50">
        <f t="shared" si="0"/>
        <v>0</v>
      </c>
      <c r="AE15" s="50">
        <f t="shared" si="0"/>
        <v>0</v>
      </c>
      <c r="AF15" s="50">
        <f t="shared" si="0"/>
        <v>0</v>
      </c>
      <c r="AG15" s="50">
        <f t="shared" si="0"/>
        <v>0</v>
      </c>
      <c r="AH15" s="50">
        <f t="shared" si="0"/>
        <v>0</v>
      </c>
      <c r="AI15" s="423"/>
      <c r="AJ15" s="423"/>
      <c r="AK15" s="50">
        <f t="shared" ref="AK15:BB15" si="1">IF(AK16&lt;&gt;"",AK16*$BC15,0)</f>
        <v>0</v>
      </c>
      <c r="AL15" s="50">
        <f t="shared" si="1"/>
        <v>0</v>
      </c>
      <c r="AM15" s="50">
        <f t="shared" si="1"/>
        <v>0</v>
      </c>
      <c r="AN15" s="50">
        <f t="shared" si="1"/>
        <v>0</v>
      </c>
      <c r="AO15" s="50">
        <f t="shared" si="1"/>
        <v>0</v>
      </c>
      <c r="AP15" s="50">
        <f t="shared" si="1"/>
        <v>0</v>
      </c>
      <c r="AQ15" s="50">
        <f t="shared" si="1"/>
        <v>0</v>
      </c>
      <c r="AR15" s="50">
        <f t="shared" si="1"/>
        <v>0</v>
      </c>
      <c r="AS15" s="50">
        <f t="shared" si="1"/>
        <v>0</v>
      </c>
      <c r="AT15" s="50">
        <f t="shared" si="1"/>
        <v>0</v>
      </c>
      <c r="AU15" s="50">
        <f t="shared" si="1"/>
        <v>0</v>
      </c>
      <c r="AV15" s="50">
        <f t="shared" si="1"/>
        <v>0</v>
      </c>
      <c r="AW15" s="50">
        <f t="shared" si="1"/>
        <v>0</v>
      </c>
      <c r="AX15" s="50">
        <f t="shared" si="1"/>
        <v>0</v>
      </c>
      <c r="AY15" s="50">
        <f t="shared" si="1"/>
        <v>0</v>
      </c>
      <c r="AZ15" s="50">
        <f t="shared" si="1"/>
        <v>0</v>
      </c>
      <c r="BA15" s="50">
        <f t="shared" si="1"/>
        <v>0</v>
      </c>
      <c r="BB15" s="50">
        <f t="shared" si="1"/>
        <v>0</v>
      </c>
      <c r="BC15" s="443" t="e">
        <f>IF($B15&lt;&gt;"",VLOOKUP($B15,RESUMO!$A$11:$H$42,8),"")</f>
        <v>#REF!</v>
      </c>
      <c r="BD15" s="443" t="e">
        <f>IF($B15&lt;&gt;"",VLOOKUP($B15,RESUMO!$A$11:$H$42,6),"")</f>
        <v>#REF!</v>
      </c>
      <c r="BF15" s="424" t="e">
        <f>SUM(E15:BB15)-BC15</f>
        <v>#REF!</v>
      </c>
      <c r="BG15" s="441"/>
      <c r="BH15" s="293"/>
    </row>
    <row r="16" spans="1:60" s="295" customFormat="1">
      <c r="A16" s="295">
        <v>3</v>
      </c>
      <c r="B16" s="294"/>
      <c r="C16" s="141" t="s">
        <v>3051</v>
      </c>
      <c r="D16" s="139"/>
      <c r="E16" s="425"/>
      <c r="F16" s="425"/>
      <c r="G16" s="425"/>
      <c r="H16" s="425"/>
      <c r="I16" s="425"/>
      <c r="J16" s="425"/>
      <c r="K16" s="425"/>
      <c r="L16" s="425"/>
      <c r="M16" s="425"/>
      <c r="N16" s="425"/>
      <c r="O16" s="425"/>
      <c r="P16" s="425"/>
      <c r="Q16" s="425"/>
      <c r="R16" s="425"/>
      <c r="S16" s="425"/>
      <c r="T16" s="425"/>
      <c r="U16" s="425"/>
      <c r="V16" s="425"/>
      <c r="W16" s="425"/>
      <c r="X16" s="425"/>
      <c r="Y16" s="425"/>
      <c r="Z16" s="425"/>
      <c r="AA16" s="425"/>
      <c r="AB16" s="425"/>
      <c r="AC16" s="425"/>
      <c r="AD16" s="425"/>
      <c r="AE16" s="425"/>
      <c r="AF16" s="425"/>
      <c r="AG16" s="425"/>
      <c r="AH16" s="425"/>
      <c r="AI16" s="422"/>
      <c r="AJ16" s="422"/>
      <c r="AK16" s="425"/>
      <c r="AL16" s="425"/>
      <c r="AM16" s="425"/>
      <c r="AN16" s="425"/>
      <c r="AO16" s="425"/>
      <c r="AP16" s="425"/>
      <c r="AQ16" s="425"/>
      <c r="AR16" s="425"/>
      <c r="AS16" s="425"/>
      <c r="AT16" s="425"/>
      <c r="AU16" s="425"/>
      <c r="AV16" s="425"/>
      <c r="AW16" s="425"/>
      <c r="AX16" s="425"/>
      <c r="AY16" s="425"/>
      <c r="AZ16" s="425"/>
      <c r="BA16" s="425"/>
      <c r="BB16" s="425"/>
      <c r="BC16" s="140"/>
      <c r="BD16" s="140"/>
      <c r="BF16" s="424"/>
      <c r="BG16" s="442">
        <f>SUM(E16:BB16)</f>
        <v>0</v>
      </c>
      <c r="BH16" s="296"/>
    </row>
    <row r="17" spans="1:60" s="292" customFormat="1">
      <c r="A17" s="292">
        <v>4</v>
      </c>
      <c r="B17" s="291">
        <v>2</v>
      </c>
      <c r="C17" s="55" t="str">
        <f>IF($B17&lt;&gt;"",VLOOKUP($B17,ORC!$E:$N,4,0),"")</f>
        <v>SERVIÇOS INICIAIS</v>
      </c>
      <c r="D17" s="49" t="e">
        <f>+BC17/BC$136</f>
        <v>#REF!</v>
      </c>
      <c r="E17" s="50">
        <f t="shared" ref="E17:AH17" si="2">IF(E18&lt;&gt;"",E18*$BC17,0)</f>
        <v>0</v>
      </c>
      <c r="F17" s="50">
        <f t="shared" si="2"/>
        <v>0</v>
      </c>
      <c r="G17" s="50">
        <f t="shared" si="2"/>
        <v>0</v>
      </c>
      <c r="H17" s="50">
        <f t="shared" si="2"/>
        <v>0</v>
      </c>
      <c r="I17" s="50">
        <f t="shared" si="2"/>
        <v>0</v>
      </c>
      <c r="J17" s="50">
        <f t="shared" si="2"/>
        <v>0</v>
      </c>
      <c r="K17" s="50">
        <f t="shared" si="2"/>
        <v>0</v>
      </c>
      <c r="L17" s="50">
        <f t="shared" si="2"/>
        <v>0</v>
      </c>
      <c r="M17" s="50">
        <f t="shared" si="2"/>
        <v>0</v>
      </c>
      <c r="N17" s="50">
        <f t="shared" si="2"/>
        <v>0</v>
      </c>
      <c r="O17" s="50">
        <f t="shared" si="2"/>
        <v>0</v>
      </c>
      <c r="P17" s="50">
        <f t="shared" si="2"/>
        <v>0</v>
      </c>
      <c r="Q17" s="50">
        <f t="shared" si="2"/>
        <v>0</v>
      </c>
      <c r="R17" s="50">
        <f t="shared" si="2"/>
        <v>0</v>
      </c>
      <c r="S17" s="50">
        <f t="shared" si="2"/>
        <v>0</v>
      </c>
      <c r="T17" s="50">
        <f t="shared" si="2"/>
        <v>0</v>
      </c>
      <c r="U17" s="50">
        <f t="shared" si="2"/>
        <v>0</v>
      </c>
      <c r="V17" s="50">
        <f t="shared" si="2"/>
        <v>0</v>
      </c>
      <c r="W17" s="50">
        <f t="shared" si="2"/>
        <v>0</v>
      </c>
      <c r="X17" s="50">
        <f t="shared" si="2"/>
        <v>0</v>
      </c>
      <c r="Y17" s="50">
        <f t="shared" si="2"/>
        <v>0</v>
      </c>
      <c r="Z17" s="50">
        <f t="shared" si="2"/>
        <v>0</v>
      </c>
      <c r="AA17" s="50">
        <f t="shared" si="2"/>
        <v>0</v>
      </c>
      <c r="AB17" s="50">
        <f t="shared" si="2"/>
        <v>0</v>
      </c>
      <c r="AC17" s="50">
        <f t="shared" si="2"/>
        <v>0</v>
      </c>
      <c r="AD17" s="50">
        <f t="shared" si="2"/>
        <v>0</v>
      </c>
      <c r="AE17" s="50">
        <f t="shared" si="2"/>
        <v>0</v>
      </c>
      <c r="AF17" s="50">
        <f t="shared" si="2"/>
        <v>0</v>
      </c>
      <c r="AG17" s="50">
        <f t="shared" si="2"/>
        <v>0</v>
      </c>
      <c r="AH17" s="50">
        <f t="shared" si="2"/>
        <v>0</v>
      </c>
      <c r="AI17" s="423"/>
      <c r="AJ17" s="423"/>
      <c r="AK17" s="50"/>
      <c r="AL17" s="50"/>
      <c r="AM17" s="50"/>
      <c r="AN17" s="50"/>
      <c r="AO17" s="50"/>
      <c r="AP17" s="50"/>
      <c r="AQ17" s="50"/>
      <c r="AR17" s="50"/>
      <c r="AS17" s="50"/>
      <c r="AT17" s="50"/>
      <c r="AU17" s="50"/>
      <c r="AV17" s="50"/>
      <c r="AW17" s="50"/>
      <c r="AX17" s="50"/>
      <c r="AY17" s="50"/>
      <c r="AZ17" s="50"/>
      <c r="BA17" s="50"/>
      <c r="BB17" s="50"/>
      <c r="BC17" s="443" t="e">
        <f>IF($B17&lt;&gt;"",VLOOKUP($B17,RESUMO!$A$11:$H$42,8),"")</f>
        <v>#REF!</v>
      </c>
      <c r="BD17" s="443" t="e">
        <f>IF($B17&lt;&gt;"",VLOOKUP($B17,RESUMO!$A$11:$H$42,6),"")</f>
        <v>#REF!</v>
      </c>
      <c r="BF17" s="424" t="e">
        <f t="shared" ref="BF17:BF78" si="3">SUM(E17:BB17)-BC17</f>
        <v>#REF!</v>
      </c>
      <c r="BG17" s="441"/>
      <c r="BH17" s="297"/>
    </row>
    <row r="18" spans="1:60" s="295" customFormat="1">
      <c r="A18" s="295">
        <v>5</v>
      </c>
      <c r="B18" s="294"/>
      <c r="C18" s="141" t="s">
        <v>3051</v>
      </c>
      <c r="D18" s="139"/>
      <c r="E18" s="425"/>
      <c r="F18" s="425"/>
      <c r="G18" s="425"/>
      <c r="H18" s="425"/>
      <c r="I18" s="425"/>
      <c r="J18" s="425"/>
      <c r="K18" s="425"/>
      <c r="L18" s="425"/>
      <c r="M18" s="425"/>
      <c r="N18" s="425"/>
      <c r="O18" s="425"/>
      <c r="P18" s="425"/>
      <c r="Q18" s="425"/>
      <c r="R18" s="425"/>
      <c r="S18" s="425"/>
      <c r="T18" s="425"/>
      <c r="U18" s="425"/>
      <c r="V18" s="425"/>
      <c r="W18" s="425"/>
      <c r="X18" s="425"/>
      <c r="Y18" s="425"/>
      <c r="Z18" s="425"/>
      <c r="AA18" s="425"/>
      <c r="AB18" s="425"/>
      <c r="AC18" s="425"/>
      <c r="AD18" s="425"/>
      <c r="AE18" s="425"/>
      <c r="AF18" s="425"/>
      <c r="AG18" s="425"/>
      <c r="AH18" s="425"/>
      <c r="AI18" s="425"/>
      <c r="AJ18" s="425"/>
      <c r="AK18" s="425"/>
      <c r="AL18" s="425"/>
      <c r="AM18" s="425"/>
      <c r="AN18" s="425"/>
      <c r="AO18" s="425"/>
      <c r="AP18" s="425"/>
      <c r="AQ18" s="425"/>
      <c r="AR18" s="425"/>
      <c r="AS18" s="425"/>
      <c r="AT18" s="425"/>
      <c r="AU18" s="425"/>
      <c r="AV18" s="425"/>
      <c r="AW18" s="425"/>
      <c r="AX18" s="425"/>
      <c r="AY18" s="425"/>
      <c r="AZ18" s="425"/>
      <c r="BA18" s="425"/>
      <c r="BB18" s="425"/>
      <c r="BC18" s="140"/>
      <c r="BD18" s="140"/>
      <c r="BF18" s="424"/>
      <c r="BG18" s="442">
        <f>SUM(E18:BB18)</f>
        <v>0</v>
      </c>
      <c r="BH18" s="296"/>
    </row>
    <row r="19" spans="1:60" s="292" customFormat="1">
      <c r="A19" s="292">
        <v>6</v>
      </c>
      <c r="B19" s="291">
        <v>3</v>
      </c>
      <c r="C19" s="55" t="str">
        <f>IF($B19&lt;&gt;"",VLOOKUP($B19,ORC!$E:$N,4,0),"")</f>
        <v>INFRA-ESTRUTURA</v>
      </c>
      <c r="D19" s="49" t="e">
        <f>+BC19/BC$136</f>
        <v>#REF!</v>
      </c>
      <c r="E19" s="50">
        <f t="shared" ref="E19:AH19" si="4">IF(E20&lt;&gt;"",E20*$BC19,0)</f>
        <v>0</v>
      </c>
      <c r="F19" s="50">
        <f t="shared" si="4"/>
        <v>0</v>
      </c>
      <c r="G19" s="50">
        <f t="shared" si="4"/>
        <v>0</v>
      </c>
      <c r="H19" s="50">
        <f t="shared" si="4"/>
        <v>0</v>
      </c>
      <c r="I19" s="50">
        <f t="shared" si="4"/>
        <v>0</v>
      </c>
      <c r="J19" s="50">
        <f t="shared" si="4"/>
        <v>0</v>
      </c>
      <c r="K19" s="50">
        <f t="shared" si="4"/>
        <v>0</v>
      </c>
      <c r="L19" s="50">
        <f t="shared" si="4"/>
        <v>0</v>
      </c>
      <c r="M19" s="50">
        <f t="shared" si="4"/>
        <v>0</v>
      </c>
      <c r="N19" s="50">
        <f t="shared" si="4"/>
        <v>0</v>
      </c>
      <c r="O19" s="50">
        <f t="shared" si="4"/>
        <v>0</v>
      </c>
      <c r="P19" s="50">
        <f t="shared" si="4"/>
        <v>0</v>
      </c>
      <c r="Q19" s="50">
        <f t="shared" si="4"/>
        <v>0</v>
      </c>
      <c r="R19" s="50">
        <f t="shared" si="4"/>
        <v>0</v>
      </c>
      <c r="S19" s="50">
        <f t="shared" si="4"/>
        <v>0</v>
      </c>
      <c r="T19" s="50">
        <f t="shared" si="4"/>
        <v>0</v>
      </c>
      <c r="U19" s="50">
        <f t="shared" si="4"/>
        <v>0</v>
      </c>
      <c r="V19" s="50">
        <f t="shared" si="4"/>
        <v>0</v>
      </c>
      <c r="W19" s="50">
        <f t="shared" si="4"/>
        <v>0</v>
      </c>
      <c r="X19" s="50">
        <f t="shared" si="4"/>
        <v>0</v>
      </c>
      <c r="Y19" s="50">
        <f t="shared" si="4"/>
        <v>0</v>
      </c>
      <c r="Z19" s="50">
        <f t="shared" si="4"/>
        <v>0</v>
      </c>
      <c r="AA19" s="50">
        <f t="shared" si="4"/>
        <v>0</v>
      </c>
      <c r="AB19" s="50">
        <f t="shared" si="4"/>
        <v>0</v>
      </c>
      <c r="AC19" s="50">
        <f t="shared" si="4"/>
        <v>0</v>
      </c>
      <c r="AD19" s="50">
        <f t="shared" si="4"/>
        <v>0</v>
      </c>
      <c r="AE19" s="50">
        <f t="shared" si="4"/>
        <v>0</v>
      </c>
      <c r="AF19" s="50">
        <f t="shared" si="4"/>
        <v>0</v>
      </c>
      <c r="AG19" s="50">
        <f t="shared" si="4"/>
        <v>0</v>
      </c>
      <c r="AH19" s="50">
        <f t="shared" si="4"/>
        <v>0</v>
      </c>
      <c r="AI19" s="423"/>
      <c r="AJ19" s="423"/>
      <c r="AK19" s="50"/>
      <c r="AL19" s="50"/>
      <c r="AM19" s="50"/>
      <c r="AN19" s="50"/>
      <c r="AO19" s="50"/>
      <c r="AP19" s="50"/>
      <c r="AQ19" s="50"/>
      <c r="AR19" s="50"/>
      <c r="AS19" s="50"/>
      <c r="AT19" s="50"/>
      <c r="AU19" s="50"/>
      <c r="AV19" s="50"/>
      <c r="AW19" s="50"/>
      <c r="AX19" s="50"/>
      <c r="AY19" s="50"/>
      <c r="AZ19" s="50"/>
      <c r="BA19" s="50"/>
      <c r="BB19" s="50"/>
      <c r="BC19" s="443" t="e">
        <f>IF($B19&lt;&gt;"",VLOOKUP($B19,RESUMO!$A$11:$H$42,8),"")</f>
        <v>#REF!</v>
      </c>
      <c r="BD19" s="443" t="e">
        <f>IF($B19&lt;&gt;"",VLOOKUP($B19,RESUMO!$A$11:$H$42,6),"")</f>
        <v>#REF!</v>
      </c>
      <c r="BF19" s="424" t="e">
        <f t="shared" si="3"/>
        <v>#REF!</v>
      </c>
      <c r="BG19" s="441"/>
      <c r="BH19" s="297"/>
    </row>
    <row r="20" spans="1:60" s="295" customFormat="1">
      <c r="A20" s="295">
        <v>7</v>
      </c>
      <c r="B20" s="294"/>
      <c r="C20" s="141" t="s">
        <v>3051</v>
      </c>
      <c r="D20" s="139"/>
      <c r="E20" s="425"/>
      <c r="F20" s="425"/>
      <c r="G20" s="425"/>
      <c r="H20" s="425"/>
      <c r="I20" s="425"/>
      <c r="J20" s="425"/>
      <c r="K20" s="425"/>
      <c r="L20" s="425"/>
      <c r="M20" s="425"/>
      <c r="N20" s="425"/>
      <c r="O20" s="425"/>
      <c r="P20" s="425"/>
      <c r="Q20" s="425"/>
      <c r="R20" s="425"/>
      <c r="S20" s="425"/>
      <c r="T20" s="425"/>
      <c r="U20" s="425"/>
      <c r="V20" s="425"/>
      <c r="W20" s="425"/>
      <c r="X20" s="425"/>
      <c r="Y20" s="425"/>
      <c r="Z20" s="425"/>
      <c r="AA20" s="425"/>
      <c r="AB20" s="425"/>
      <c r="AC20" s="425"/>
      <c r="AD20" s="425"/>
      <c r="AE20" s="425"/>
      <c r="AF20" s="425"/>
      <c r="AG20" s="425"/>
      <c r="AH20" s="425"/>
      <c r="AI20" s="422"/>
      <c r="AJ20" s="422"/>
      <c r="AK20" s="425"/>
      <c r="AL20" s="425"/>
      <c r="AM20" s="425"/>
      <c r="AN20" s="425"/>
      <c r="AO20" s="425"/>
      <c r="AP20" s="425"/>
      <c r="AQ20" s="425"/>
      <c r="AR20" s="425"/>
      <c r="AS20" s="425"/>
      <c r="AT20" s="425"/>
      <c r="AU20" s="425"/>
      <c r="AV20" s="425"/>
      <c r="AW20" s="425"/>
      <c r="AX20" s="425"/>
      <c r="AY20" s="425"/>
      <c r="AZ20" s="425"/>
      <c r="BA20" s="425"/>
      <c r="BB20" s="425"/>
      <c r="BC20" s="140"/>
      <c r="BD20" s="140"/>
      <c r="BF20" s="424"/>
      <c r="BG20" s="442">
        <f>SUM(E20:BB20)</f>
        <v>0</v>
      </c>
      <c r="BH20" s="296"/>
    </row>
    <row r="21" spans="1:60" s="292" customFormat="1">
      <c r="A21" s="292">
        <v>8</v>
      </c>
      <c r="B21" s="291">
        <v>4</v>
      </c>
      <c r="C21" s="55" t="str">
        <f>IF($B21&lt;&gt;"",VLOOKUP($B21,ORC!$E:$N,4,0),"")</f>
        <v>SUPRA ESTRUTURA</v>
      </c>
      <c r="D21" s="49" t="e">
        <f>+BC21/BC$136</f>
        <v>#REF!</v>
      </c>
      <c r="E21" s="50">
        <f t="shared" ref="E21:AH21" si="5">IF(E22&lt;&gt;"",E22*$BC21,0)</f>
        <v>0</v>
      </c>
      <c r="F21" s="50">
        <f t="shared" si="5"/>
        <v>0</v>
      </c>
      <c r="G21" s="50">
        <f t="shared" si="5"/>
        <v>0</v>
      </c>
      <c r="H21" s="50">
        <f t="shared" si="5"/>
        <v>0</v>
      </c>
      <c r="I21" s="50">
        <f t="shared" si="5"/>
        <v>0</v>
      </c>
      <c r="J21" s="50">
        <f t="shared" si="5"/>
        <v>0</v>
      </c>
      <c r="K21" s="50">
        <f t="shared" si="5"/>
        <v>0</v>
      </c>
      <c r="L21" s="50">
        <f t="shared" si="5"/>
        <v>0</v>
      </c>
      <c r="M21" s="50">
        <f t="shared" si="5"/>
        <v>0</v>
      </c>
      <c r="N21" s="50">
        <f t="shared" si="5"/>
        <v>0</v>
      </c>
      <c r="O21" s="50">
        <f t="shared" si="5"/>
        <v>0</v>
      </c>
      <c r="P21" s="50">
        <f t="shared" si="5"/>
        <v>0</v>
      </c>
      <c r="Q21" s="50">
        <f t="shared" si="5"/>
        <v>0</v>
      </c>
      <c r="R21" s="50">
        <f t="shared" si="5"/>
        <v>0</v>
      </c>
      <c r="S21" s="50">
        <f t="shared" si="5"/>
        <v>0</v>
      </c>
      <c r="T21" s="50">
        <f t="shared" si="5"/>
        <v>0</v>
      </c>
      <c r="U21" s="50">
        <f t="shared" si="5"/>
        <v>0</v>
      </c>
      <c r="V21" s="50">
        <f t="shared" si="5"/>
        <v>0</v>
      </c>
      <c r="W21" s="50">
        <f t="shared" si="5"/>
        <v>0</v>
      </c>
      <c r="X21" s="50">
        <f t="shared" si="5"/>
        <v>0</v>
      </c>
      <c r="Y21" s="50">
        <f t="shared" si="5"/>
        <v>0</v>
      </c>
      <c r="Z21" s="50">
        <f t="shared" si="5"/>
        <v>0</v>
      </c>
      <c r="AA21" s="50">
        <f t="shared" si="5"/>
        <v>0</v>
      </c>
      <c r="AB21" s="50">
        <f t="shared" si="5"/>
        <v>0</v>
      </c>
      <c r="AC21" s="50">
        <f t="shared" si="5"/>
        <v>0</v>
      </c>
      <c r="AD21" s="50">
        <f t="shared" si="5"/>
        <v>0</v>
      </c>
      <c r="AE21" s="50">
        <f t="shared" si="5"/>
        <v>0</v>
      </c>
      <c r="AF21" s="50">
        <f t="shared" si="5"/>
        <v>0</v>
      </c>
      <c r="AG21" s="50">
        <f t="shared" si="5"/>
        <v>0</v>
      </c>
      <c r="AH21" s="50">
        <f t="shared" si="5"/>
        <v>0</v>
      </c>
      <c r="AI21" s="423"/>
      <c r="AJ21" s="423"/>
      <c r="AK21" s="50"/>
      <c r="AL21" s="50"/>
      <c r="AM21" s="50"/>
      <c r="AN21" s="50"/>
      <c r="AO21" s="50"/>
      <c r="AP21" s="50"/>
      <c r="AQ21" s="50"/>
      <c r="AR21" s="50"/>
      <c r="AS21" s="50"/>
      <c r="AT21" s="50"/>
      <c r="AU21" s="50"/>
      <c r="AV21" s="50"/>
      <c r="AW21" s="50"/>
      <c r="AX21" s="50"/>
      <c r="AY21" s="50"/>
      <c r="AZ21" s="50"/>
      <c r="BA21" s="50"/>
      <c r="BB21" s="50"/>
      <c r="BC21" s="443" t="e">
        <f>IF($B21&lt;&gt;"",VLOOKUP($B21,RESUMO!$A$11:$H$42,8),"")</f>
        <v>#REF!</v>
      </c>
      <c r="BD21" s="443" t="e">
        <f>IF($B21&lt;&gt;"",VLOOKUP($B21,RESUMO!$A$11:$H$42,6),"")</f>
        <v>#REF!</v>
      </c>
      <c r="BF21" s="424" t="e">
        <f t="shared" si="3"/>
        <v>#REF!</v>
      </c>
      <c r="BG21" s="441"/>
      <c r="BH21" s="297"/>
    </row>
    <row r="22" spans="1:60" s="295" customFormat="1">
      <c r="A22" s="295">
        <v>9</v>
      </c>
      <c r="B22" s="294"/>
      <c r="C22" s="141" t="s">
        <v>3051</v>
      </c>
      <c r="D22" s="139"/>
      <c r="E22" s="425"/>
      <c r="F22" s="425"/>
      <c r="G22" s="425"/>
      <c r="H22" s="425"/>
      <c r="I22" s="425"/>
      <c r="J22" s="425"/>
      <c r="K22" s="425"/>
      <c r="L22" s="425"/>
      <c r="M22" s="425"/>
      <c r="N22" s="425"/>
      <c r="O22" s="425"/>
      <c r="P22" s="425"/>
      <c r="Q22" s="425"/>
      <c r="R22" s="425"/>
      <c r="S22" s="425"/>
      <c r="T22" s="425"/>
      <c r="U22" s="425"/>
      <c r="V22" s="425"/>
      <c r="W22" s="425"/>
      <c r="X22" s="425"/>
      <c r="Y22" s="425"/>
      <c r="Z22" s="425"/>
      <c r="AA22" s="425"/>
      <c r="AB22" s="425"/>
      <c r="AC22" s="425"/>
      <c r="AD22" s="425"/>
      <c r="AE22" s="425"/>
      <c r="AF22" s="425"/>
      <c r="AG22" s="425"/>
      <c r="AH22" s="425"/>
      <c r="AI22" s="422"/>
      <c r="AJ22" s="422"/>
      <c r="AK22" s="425"/>
      <c r="AL22" s="425"/>
      <c r="AM22" s="425"/>
      <c r="AN22" s="425"/>
      <c r="AO22" s="425"/>
      <c r="AP22" s="425"/>
      <c r="AQ22" s="425"/>
      <c r="AR22" s="425"/>
      <c r="AS22" s="425"/>
      <c r="AT22" s="425"/>
      <c r="AU22" s="425"/>
      <c r="AV22" s="425"/>
      <c r="AW22" s="425"/>
      <c r="AX22" s="425"/>
      <c r="AY22" s="425"/>
      <c r="AZ22" s="425"/>
      <c r="BA22" s="425"/>
      <c r="BB22" s="425"/>
      <c r="BC22" s="140"/>
      <c r="BD22" s="140"/>
      <c r="BF22" s="424"/>
      <c r="BG22" s="442">
        <f>SUM(E22:BB22)</f>
        <v>0</v>
      </c>
      <c r="BH22" s="296"/>
    </row>
    <row r="23" spans="1:60" s="292" customFormat="1">
      <c r="A23" s="292">
        <v>10</v>
      </c>
      <c r="B23" s="291">
        <v>5</v>
      </c>
      <c r="C23" s="55" t="str">
        <f>IF($B23&lt;&gt;"",VLOOKUP($B23,ORC!$E:$N,4,0),"")</f>
        <v>PAREDES E PAINÉIS</v>
      </c>
      <c r="D23" s="49" t="e">
        <f>+BC23/BC$136</f>
        <v>#REF!</v>
      </c>
      <c r="E23" s="50">
        <f t="shared" ref="E23:AH23" si="6">IF(E24&lt;&gt;"",E24*$BC23,0)</f>
        <v>0</v>
      </c>
      <c r="F23" s="50">
        <f t="shared" si="6"/>
        <v>0</v>
      </c>
      <c r="G23" s="50">
        <f t="shared" si="6"/>
        <v>0</v>
      </c>
      <c r="H23" s="50">
        <f t="shared" si="6"/>
        <v>0</v>
      </c>
      <c r="I23" s="50">
        <f t="shared" si="6"/>
        <v>0</v>
      </c>
      <c r="J23" s="50">
        <f t="shared" si="6"/>
        <v>0</v>
      </c>
      <c r="K23" s="50">
        <f t="shared" si="6"/>
        <v>0</v>
      </c>
      <c r="L23" s="50">
        <f t="shared" si="6"/>
        <v>0</v>
      </c>
      <c r="M23" s="50">
        <f t="shared" si="6"/>
        <v>0</v>
      </c>
      <c r="N23" s="50">
        <f t="shared" si="6"/>
        <v>0</v>
      </c>
      <c r="O23" s="50">
        <f t="shared" si="6"/>
        <v>0</v>
      </c>
      <c r="P23" s="50">
        <f t="shared" si="6"/>
        <v>0</v>
      </c>
      <c r="Q23" s="50">
        <f t="shared" si="6"/>
        <v>0</v>
      </c>
      <c r="R23" s="50">
        <f t="shared" si="6"/>
        <v>0</v>
      </c>
      <c r="S23" s="50">
        <f t="shared" si="6"/>
        <v>0</v>
      </c>
      <c r="T23" s="50">
        <f t="shared" si="6"/>
        <v>0</v>
      </c>
      <c r="U23" s="50">
        <f t="shared" si="6"/>
        <v>0</v>
      </c>
      <c r="V23" s="50">
        <f t="shared" si="6"/>
        <v>0</v>
      </c>
      <c r="W23" s="50">
        <f t="shared" si="6"/>
        <v>0</v>
      </c>
      <c r="X23" s="50">
        <f t="shared" si="6"/>
        <v>0</v>
      </c>
      <c r="Y23" s="50">
        <f t="shared" si="6"/>
        <v>0</v>
      </c>
      <c r="Z23" s="50">
        <f t="shared" si="6"/>
        <v>0</v>
      </c>
      <c r="AA23" s="50">
        <f t="shared" si="6"/>
        <v>0</v>
      </c>
      <c r="AB23" s="50">
        <f t="shared" si="6"/>
        <v>0</v>
      </c>
      <c r="AC23" s="50">
        <f t="shared" si="6"/>
        <v>0</v>
      </c>
      <c r="AD23" s="50">
        <f t="shared" si="6"/>
        <v>0</v>
      </c>
      <c r="AE23" s="50">
        <f t="shared" si="6"/>
        <v>0</v>
      </c>
      <c r="AF23" s="50">
        <f t="shared" si="6"/>
        <v>0</v>
      </c>
      <c r="AG23" s="50">
        <f t="shared" si="6"/>
        <v>0</v>
      </c>
      <c r="AH23" s="50">
        <f t="shared" si="6"/>
        <v>0</v>
      </c>
      <c r="AI23" s="423"/>
      <c r="AJ23" s="423"/>
      <c r="AK23" s="50"/>
      <c r="AL23" s="50"/>
      <c r="AM23" s="50"/>
      <c r="AN23" s="50"/>
      <c r="AO23" s="50"/>
      <c r="AP23" s="50"/>
      <c r="AQ23" s="50"/>
      <c r="AR23" s="50"/>
      <c r="AS23" s="50"/>
      <c r="AT23" s="50"/>
      <c r="AU23" s="50"/>
      <c r="AV23" s="50"/>
      <c r="AW23" s="50"/>
      <c r="AX23" s="50"/>
      <c r="AY23" s="50"/>
      <c r="AZ23" s="50"/>
      <c r="BA23" s="50"/>
      <c r="BB23" s="50"/>
      <c r="BC23" s="443" t="e">
        <f>IF($B23&lt;&gt;"",VLOOKUP($B23,RESUMO!$A$11:$H$42,8),"")</f>
        <v>#REF!</v>
      </c>
      <c r="BD23" s="443" t="e">
        <f>IF($B23&lt;&gt;"",VLOOKUP($B23,RESUMO!$A$11:$H$42,6),"")</f>
        <v>#REF!</v>
      </c>
      <c r="BF23" s="424" t="e">
        <f t="shared" si="3"/>
        <v>#REF!</v>
      </c>
      <c r="BG23" s="441"/>
      <c r="BH23" s="297"/>
    </row>
    <row r="24" spans="1:60" s="295" customFormat="1">
      <c r="A24" s="295">
        <v>11</v>
      </c>
      <c r="B24" s="294"/>
      <c r="C24" s="141" t="s">
        <v>3051</v>
      </c>
      <c r="D24" s="139"/>
      <c r="E24" s="425"/>
      <c r="F24" s="425"/>
      <c r="G24" s="425"/>
      <c r="H24" s="425"/>
      <c r="I24" s="425"/>
      <c r="J24" s="425"/>
      <c r="K24" s="425"/>
      <c r="L24" s="425"/>
      <c r="M24" s="425"/>
      <c r="N24" s="425"/>
      <c r="O24" s="425"/>
      <c r="P24" s="425"/>
      <c r="Q24" s="425"/>
      <c r="R24" s="425"/>
      <c r="S24" s="425"/>
      <c r="T24" s="425"/>
      <c r="U24" s="425"/>
      <c r="V24" s="425"/>
      <c r="W24" s="425"/>
      <c r="X24" s="425"/>
      <c r="Y24" s="425"/>
      <c r="Z24" s="425"/>
      <c r="AA24" s="425"/>
      <c r="AB24" s="425"/>
      <c r="AC24" s="425"/>
      <c r="AD24" s="425"/>
      <c r="AE24" s="425"/>
      <c r="AF24" s="425"/>
      <c r="AG24" s="425"/>
      <c r="AH24" s="425"/>
      <c r="AI24" s="422"/>
      <c r="AJ24" s="422"/>
      <c r="AK24" s="425"/>
      <c r="AL24" s="425"/>
      <c r="AM24" s="425"/>
      <c r="AN24" s="425"/>
      <c r="AO24" s="425"/>
      <c r="AP24" s="425"/>
      <c r="AQ24" s="425"/>
      <c r="AR24" s="425"/>
      <c r="AS24" s="425"/>
      <c r="AT24" s="425"/>
      <c r="AU24" s="425"/>
      <c r="AV24" s="425"/>
      <c r="AW24" s="425"/>
      <c r="AX24" s="425"/>
      <c r="AY24" s="425"/>
      <c r="AZ24" s="425"/>
      <c r="BA24" s="425"/>
      <c r="BB24" s="425"/>
      <c r="BC24" s="140"/>
      <c r="BD24" s="140"/>
      <c r="BF24" s="424"/>
      <c r="BG24" s="442">
        <f>SUM(E24:BB24)</f>
        <v>0</v>
      </c>
      <c r="BH24" s="296"/>
    </row>
    <row r="25" spans="1:60" s="292" customFormat="1">
      <c r="A25" s="292">
        <v>12</v>
      </c>
      <c r="B25" s="291">
        <v>6</v>
      </c>
      <c r="C25" s="55" t="str">
        <f>IF($B25&lt;&gt;"",VLOOKUP($B25,ORC!$E:$N,4,0),"")</f>
        <v>ESQUADRIAS, FERRAGENS E VIDROS</v>
      </c>
      <c r="D25" s="49" t="e">
        <f>+BC25/BC$136</f>
        <v>#REF!</v>
      </c>
      <c r="E25" s="50">
        <f t="shared" ref="E25:AH25" si="7">IF(E26&lt;&gt;"",E26*$BC25,0)</f>
        <v>0</v>
      </c>
      <c r="F25" s="50">
        <f t="shared" si="7"/>
        <v>0</v>
      </c>
      <c r="G25" s="50">
        <f t="shared" si="7"/>
        <v>0</v>
      </c>
      <c r="H25" s="50">
        <f t="shared" si="7"/>
        <v>0</v>
      </c>
      <c r="I25" s="50">
        <f t="shared" si="7"/>
        <v>0</v>
      </c>
      <c r="J25" s="50">
        <f t="shared" si="7"/>
        <v>0</v>
      </c>
      <c r="K25" s="50">
        <f t="shared" si="7"/>
        <v>0</v>
      </c>
      <c r="L25" s="50">
        <f t="shared" si="7"/>
        <v>0</v>
      </c>
      <c r="M25" s="50">
        <f t="shared" si="7"/>
        <v>0</v>
      </c>
      <c r="N25" s="50">
        <f t="shared" si="7"/>
        <v>0</v>
      </c>
      <c r="O25" s="50">
        <f t="shared" si="7"/>
        <v>0</v>
      </c>
      <c r="P25" s="50">
        <f t="shared" si="7"/>
        <v>0</v>
      </c>
      <c r="Q25" s="50">
        <f t="shared" si="7"/>
        <v>0</v>
      </c>
      <c r="R25" s="50">
        <f t="shared" si="7"/>
        <v>0</v>
      </c>
      <c r="S25" s="50">
        <f t="shared" si="7"/>
        <v>0</v>
      </c>
      <c r="T25" s="50">
        <f t="shared" si="7"/>
        <v>0</v>
      </c>
      <c r="U25" s="50">
        <f t="shared" si="7"/>
        <v>0</v>
      </c>
      <c r="V25" s="50">
        <f t="shared" si="7"/>
        <v>0</v>
      </c>
      <c r="W25" s="50">
        <f t="shared" si="7"/>
        <v>0</v>
      </c>
      <c r="X25" s="50">
        <f t="shared" si="7"/>
        <v>0</v>
      </c>
      <c r="Y25" s="50">
        <f t="shared" si="7"/>
        <v>0</v>
      </c>
      <c r="Z25" s="50">
        <f t="shared" si="7"/>
        <v>0</v>
      </c>
      <c r="AA25" s="50">
        <f t="shared" si="7"/>
        <v>0</v>
      </c>
      <c r="AB25" s="50">
        <f t="shared" si="7"/>
        <v>0</v>
      </c>
      <c r="AC25" s="50">
        <f t="shared" si="7"/>
        <v>0</v>
      </c>
      <c r="AD25" s="50">
        <f t="shared" si="7"/>
        <v>0</v>
      </c>
      <c r="AE25" s="50">
        <f t="shared" si="7"/>
        <v>0</v>
      </c>
      <c r="AF25" s="50">
        <f t="shared" si="7"/>
        <v>0</v>
      </c>
      <c r="AG25" s="50">
        <f t="shared" si="7"/>
        <v>0</v>
      </c>
      <c r="AH25" s="50">
        <f t="shared" si="7"/>
        <v>0</v>
      </c>
      <c r="AI25" s="423"/>
      <c r="AJ25" s="423"/>
      <c r="AK25" s="50"/>
      <c r="AL25" s="50"/>
      <c r="AM25" s="50"/>
      <c r="AN25" s="50"/>
      <c r="AO25" s="50"/>
      <c r="AP25" s="50"/>
      <c r="AQ25" s="50"/>
      <c r="AR25" s="50"/>
      <c r="AS25" s="50"/>
      <c r="AT25" s="50"/>
      <c r="AU25" s="50"/>
      <c r="AV25" s="50"/>
      <c r="AW25" s="50"/>
      <c r="AX25" s="50"/>
      <c r="AY25" s="50"/>
      <c r="AZ25" s="50"/>
      <c r="BA25" s="50"/>
      <c r="BB25" s="50"/>
      <c r="BC25" s="443" t="e">
        <f>IF($B25&lt;&gt;"",VLOOKUP($B25,RESUMO!$A$11:$H$42,8),"")</f>
        <v>#REF!</v>
      </c>
      <c r="BD25" s="443" t="e">
        <f>IF($B25&lt;&gt;"",VLOOKUP($B25,RESUMO!$A$11:$H$42,6),"")</f>
        <v>#REF!</v>
      </c>
      <c r="BF25" s="424" t="e">
        <f t="shared" si="3"/>
        <v>#REF!</v>
      </c>
      <c r="BG25" s="441"/>
      <c r="BH25" s="297"/>
    </row>
    <row r="26" spans="1:60" s="295" customFormat="1">
      <c r="A26" s="295">
        <v>13</v>
      </c>
      <c r="B26" s="294"/>
      <c r="C26" s="141" t="s">
        <v>3051</v>
      </c>
      <c r="D26" s="139"/>
      <c r="E26" s="425"/>
      <c r="F26" s="425"/>
      <c r="G26" s="425"/>
      <c r="H26" s="425"/>
      <c r="I26" s="425"/>
      <c r="J26" s="425"/>
      <c r="K26" s="425"/>
      <c r="L26" s="425"/>
      <c r="M26" s="425"/>
      <c r="N26" s="425"/>
      <c r="O26" s="425"/>
      <c r="P26" s="425"/>
      <c r="Q26" s="425"/>
      <c r="R26" s="425"/>
      <c r="S26" s="425"/>
      <c r="T26" s="425"/>
      <c r="U26" s="425"/>
      <c r="V26" s="425"/>
      <c r="W26" s="425"/>
      <c r="X26" s="425"/>
      <c r="Y26" s="425"/>
      <c r="Z26" s="425"/>
      <c r="AA26" s="425"/>
      <c r="AB26" s="425"/>
      <c r="AC26" s="425"/>
      <c r="AD26" s="425"/>
      <c r="AE26" s="425"/>
      <c r="AF26" s="425"/>
      <c r="AG26" s="425"/>
      <c r="AH26" s="425"/>
      <c r="AI26" s="422"/>
      <c r="AJ26" s="422"/>
      <c r="AK26" s="425"/>
      <c r="AL26" s="425"/>
      <c r="AM26" s="425"/>
      <c r="AN26" s="425"/>
      <c r="AO26" s="425"/>
      <c r="AP26" s="425"/>
      <c r="AQ26" s="425"/>
      <c r="AR26" s="425"/>
      <c r="AS26" s="425"/>
      <c r="AT26" s="425"/>
      <c r="AU26" s="425"/>
      <c r="AV26" s="425"/>
      <c r="AW26" s="425"/>
      <c r="AX26" s="425"/>
      <c r="AY26" s="425"/>
      <c r="AZ26" s="425"/>
      <c r="BA26" s="425"/>
      <c r="BB26" s="425"/>
      <c r="BC26" s="140"/>
      <c r="BD26" s="140"/>
      <c r="BF26" s="424"/>
      <c r="BG26" s="442">
        <f>SUM(E26:BB26)</f>
        <v>0</v>
      </c>
      <c r="BH26" s="296"/>
    </row>
    <row r="27" spans="1:60" s="292" customFormat="1">
      <c r="A27" s="292">
        <v>14</v>
      </c>
      <c r="B27" s="291">
        <v>7</v>
      </c>
      <c r="C27" s="55" t="str">
        <f>IF($B27&lt;&gt;"",VLOOKUP($B27,ORC!$E:$N,4,0),"")</f>
        <v>COBERTURA</v>
      </c>
      <c r="D27" s="49" t="e">
        <f>+BC27/BC$136</f>
        <v>#REF!</v>
      </c>
      <c r="E27" s="50">
        <f t="shared" ref="E27:AH27" si="8">IF(E28&lt;&gt;"",E28*$BC27,0)</f>
        <v>0</v>
      </c>
      <c r="F27" s="50">
        <f t="shared" si="8"/>
        <v>0</v>
      </c>
      <c r="G27" s="50">
        <f t="shared" si="8"/>
        <v>0</v>
      </c>
      <c r="H27" s="50">
        <f t="shared" si="8"/>
        <v>0</v>
      </c>
      <c r="I27" s="50">
        <f t="shared" si="8"/>
        <v>0</v>
      </c>
      <c r="J27" s="50">
        <f t="shared" si="8"/>
        <v>0</v>
      </c>
      <c r="K27" s="50">
        <f t="shared" si="8"/>
        <v>0</v>
      </c>
      <c r="L27" s="50">
        <f t="shared" si="8"/>
        <v>0</v>
      </c>
      <c r="M27" s="50">
        <f t="shared" si="8"/>
        <v>0</v>
      </c>
      <c r="N27" s="50">
        <f t="shared" si="8"/>
        <v>0</v>
      </c>
      <c r="O27" s="50">
        <f t="shared" si="8"/>
        <v>0</v>
      </c>
      <c r="P27" s="50">
        <f t="shared" si="8"/>
        <v>0</v>
      </c>
      <c r="Q27" s="50">
        <f t="shared" si="8"/>
        <v>0</v>
      </c>
      <c r="R27" s="50">
        <f t="shared" si="8"/>
        <v>0</v>
      </c>
      <c r="S27" s="50">
        <f t="shared" si="8"/>
        <v>0</v>
      </c>
      <c r="T27" s="50">
        <f t="shared" si="8"/>
        <v>0</v>
      </c>
      <c r="U27" s="50">
        <f t="shared" si="8"/>
        <v>0</v>
      </c>
      <c r="V27" s="50">
        <f t="shared" si="8"/>
        <v>0</v>
      </c>
      <c r="W27" s="50">
        <f t="shared" si="8"/>
        <v>0</v>
      </c>
      <c r="X27" s="50">
        <f t="shared" si="8"/>
        <v>0</v>
      </c>
      <c r="Y27" s="50">
        <f t="shared" si="8"/>
        <v>0</v>
      </c>
      <c r="Z27" s="50">
        <f t="shared" si="8"/>
        <v>0</v>
      </c>
      <c r="AA27" s="50">
        <f t="shared" si="8"/>
        <v>0</v>
      </c>
      <c r="AB27" s="50">
        <f t="shared" si="8"/>
        <v>0</v>
      </c>
      <c r="AC27" s="50">
        <f t="shared" si="8"/>
        <v>0</v>
      </c>
      <c r="AD27" s="50">
        <f t="shared" si="8"/>
        <v>0</v>
      </c>
      <c r="AE27" s="50">
        <f t="shared" si="8"/>
        <v>0</v>
      </c>
      <c r="AF27" s="50">
        <f t="shared" si="8"/>
        <v>0</v>
      </c>
      <c r="AG27" s="50">
        <f t="shared" si="8"/>
        <v>0</v>
      </c>
      <c r="AH27" s="50">
        <f t="shared" si="8"/>
        <v>0</v>
      </c>
      <c r="AI27" s="423"/>
      <c r="AJ27" s="423"/>
      <c r="AK27" s="50">
        <f t="shared" ref="AK27:BB27" si="9">IF(AK28&lt;&gt;"",AK28*$BC27,0)</f>
        <v>0</v>
      </c>
      <c r="AL27" s="50">
        <f t="shared" si="9"/>
        <v>0</v>
      </c>
      <c r="AM27" s="50">
        <f t="shared" si="9"/>
        <v>0</v>
      </c>
      <c r="AN27" s="50">
        <f t="shared" si="9"/>
        <v>0</v>
      </c>
      <c r="AO27" s="50">
        <f t="shared" si="9"/>
        <v>0</v>
      </c>
      <c r="AP27" s="50">
        <f t="shared" si="9"/>
        <v>0</v>
      </c>
      <c r="AQ27" s="50">
        <f t="shared" si="9"/>
        <v>0</v>
      </c>
      <c r="AR27" s="50">
        <f t="shared" si="9"/>
        <v>0</v>
      </c>
      <c r="AS27" s="50">
        <f t="shared" si="9"/>
        <v>0</v>
      </c>
      <c r="AT27" s="50">
        <f t="shared" si="9"/>
        <v>0</v>
      </c>
      <c r="AU27" s="50">
        <f t="shared" si="9"/>
        <v>0</v>
      </c>
      <c r="AV27" s="50">
        <f t="shared" si="9"/>
        <v>0</v>
      </c>
      <c r="AW27" s="50">
        <f t="shared" si="9"/>
        <v>0</v>
      </c>
      <c r="AX27" s="50">
        <f t="shared" si="9"/>
        <v>0</v>
      </c>
      <c r="AY27" s="50">
        <f t="shared" si="9"/>
        <v>0</v>
      </c>
      <c r="AZ27" s="50">
        <f t="shared" si="9"/>
        <v>0</v>
      </c>
      <c r="BA27" s="50">
        <f t="shared" si="9"/>
        <v>0</v>
      </c>
      <c r="BB27" s="50">
        <f t="shared" si="9"/>
        <v>0</v>
      </c>
      <c r="BC27" s="443" t="e">
        <f>IF($B27&lt;&gt;"",VLOOKUP($B27,RESUMO!$A$11:$H$42,8),"")</f>
        <v>#REF!</v>
      </c>
      <c r="BD27" s="443" t="e">
        <f>IF($B27&lt;&gt;"",VLOOKUP($B27,RESUMO!$A$11:$H$42,6),"")</f>
        <v>#REF!</v>
      </c>
      <c r="BF27" s="424" t="e">
        <f t="shared" si="3"/>
        <v>#REF!</v>
      </c>
      <c r="BG27" s="441"/>
      <c r="BH27" s="297"/>
    </row>
    <row r="28" spans="1:60" s="295" customFormat="1">
      <c r="A28" s="295">
        <v>15</v>
      </c>
      <c r="B28" s="294"/>
      <c r="C28" s="141" t="s">
        <v>3051</v>
      </c>
      <c r="D28" s="139"/>
      <c r="E28" s="425"/>
      <c r="F28" s="425"/>
      <c r="G28" s="425"/>
      <c r="H28" s="425"/>
      <c r="I28" s="425"/>
      <c r="J28" s="425"/>
      <c r="K28" s="425"/>
      <c r="L28" s="425"/>
      <c r="M28" s="425"/>
      <c r="N28" s="425"/>
      <c r="O28" s="425"/>
      <c r="P28" s="425"/>
      <c r="Q28" s="425"/>
      <c r="R28" s="425"/>
      <c r="S28" s="425"/>
      <c r="T28" s="425"/>
      <c r="U28" s="425"/>
      <c r="V28" s="425"/>
      <c r="W28" s="425"/>
      <c r="X28" s="425"/>
      <c r="Y28" s="425"/>
      <c r="Z28" s="425"/>
      <c r="AA28" s="425"/>
      <c r="AB28" s="425"/>
      <c r="AC28" s="425"/>
      <c r="AD28" s="425"/>
      <c r="AE28" s="425"/>
      <c r="AF28" s="425"/>
      <c r="AG28" s="425"/>
      <c r="AH28" s="425"/>
      <c r="AI28" s="422"/>
      <c r="AJ28" s="422"/>
      <c r="AK28" s="425"/>
      <c r="AL28" s="425"/>
      <c r="AM28" s="425"/>
      <c r="AN28" s="425"/>
      <c r="AO28" s="425"/>
      <c r="AP28" s="425"/>
      <c r="AQ28" s="425"/>
      <c r="AR28" s="425"/>
      <c r="AS28" s="425"/>
      <c r="AT28" s="425"/>
      <c r="AU28" s="425"/>
      <c r="AV28" s="425"/>
      <c r="AW28" s="425"/>
      <c r="AX28" s="425"/>
      <c r="AY28" s="425"/>
      <c r="AZ28" s="425"/>
      <c r="BA28" s="425"/>
      <c r="BB28" s="425"/>
      <c r="BC28" s="140"/>
      <c r="BD28" s="140"/>
      <c r="BF28" s="424"/>
      <c r="BG28" s="442">
        <f>SUM(E28:BB28)</f>
        <v>0</v>
      </c>
      <c r="BH28" s="296"/>
    </row>
    <row r="29" spans="1:60" s="292" customFormat="1">
      <c r="A29" s="292">
        <v>16</v>
      </c>
      <c r="B29" s="291">
        <v>8</v>
      </c>
      <c r="C29" s="55" t="str">
        <f>IF($B29&lt;&gt;"",VLOOKUP($B29,ORC!$E:$N,4,0),"")</f>
        <v>REVESTIMENTOS EM TETO</v>
      </c>
      <c r="D29" s="49" t="e">
        <f>+BC29/BC$136</f>
        <v>#REF!</v>
      </c>
      <c r="E29" s="50">
        <f t="shared" ref="E29:AH29" si="10">IF(E30&lt;&gt;"",E30*$BC29,0)</f>
        <v>0</v>
      </c>
      <c r="F29" s="50">
        <f t="shared" si="10"/>
        <v>0</v>
      </c>
      <c r="G29" s="50">
        <f t="shared" si="10"/>
        <v>0</v>
      </c>
      <c r="H29" s="50">
        <f t="shared" si="10"/>
        <v>0</v>
      </c>
      <c r="I29" s="50">
        <f t="shared" si="10"/>
        <v>0</v>
      </c>
      <c r="J29" s="50">
        <f t="shared" si="10"/>
        <v>0</v>
      </c>
      <c r="K29" s="50">
        <f t="shared" si="10"/>
        <v>0</v>
      </c>
      <c r="L29" s="50">
        <f t="shared" si="10"/>
        <v>0</v>
      </c>
      <c r="M29" s="50">
        <f t="shared" si="10"/>
        <v>0</v>
      </c>
      <c r="N29" s="50">
        <f t="shared" si="10"/>
        <v>0</v>
      </c>
      <c r="O29" s="50">
        <f t="shared" si="10"/>
        <v>0</v>
      </c>
      <c r="P29" s="50">
        <f t="shared" si="10"/>
        <v>0</v>
      </c>
      <c r="Q29" s="50">
        <f t="shared" si="10"/>
        <v>0</v>
      </c>
      <c r="R29" s="50">
        <f t="shared" si="10"/>
        <v>0</v>
      </c>
      <c r="S29" s="50">
        <f t="shared" si="10"/>
        <v>0</v>
      </c>
      <c r="T29" s="50">
        <f t="shared" si="10"/>
        <v>0</v>
      </c>
      <c r="U29" s="50">
        <f t="shared" si="10"/>
        <v>0</v>
      </c>
      <c r="V29" s="50">
        <f t="shared" si="10"/>
        <v>0</v>
      </c>
      <c r="W29" s="50">
        <f t="shared" si="10"/>
        <v>0</v>
      </c>
      <c r="X29" s="50">
        <f t="shared" si="10"/>
        <v>0</v>
      </c>
      <c r="Y29" s="50">
        <f t="shared" si="10"/>
        <v>0</v>
      </c>
      <c r="Z29" s="50">
        <f t="shared" si="10"/>
        <v>0</v>
      </c>
      <c r="AA29" s="50">
        <f t="shared" si="10"/>
        <v>0</v>
      </c>
      <c r="AB29" s="50">
        <f t="shared" si="10"/>
        <v>0</v>
      </c>
      <c r="AC29" s="50">
        <f t="shared" si="10"/>
        <v>0</v>
      </c>
      <c r="AD29" s="50">
        <f t="shared" si="10"/>
        <v>0</v>
      </c>
      <c r="AE29" s="50">
        <f t="shared" si="10"/>
        <v>0</v>
      </c>
      <c r="AF29" s="50">
        <f t="shared" si="10"/>
        <v>0</v>
      </c>
      <c r="AG29" s="50">
        <f t="shared" si="10"/>
        <v>0</v>
      </c>
      <c r="AH29" s="50">
        <f t="shared" si="10"/>
        <v>0</v>
      </c>
      <c r="AI29" s="423"/>
      <c r="AJ29" s="423"/>
      <c r="AK29" s="50">
        <f t="shared" ref="AK29:BB29" si="11">IF(AK30&lt;&gt;"",AK30*$BC29,0)</f>
        <v>0</v>
      </c>
      <c r="AL29" s="50">
        <f t="shared" si="11"/>
        <v>0</v>
      </c>
      <c r="AM29" s="50">
        <f t="shared" si="11"/>
        <v>0</v>
      </c>
      <c r="AN29" s="50">
        <f t="shared" si="11"/>
        <v>0</v>
      </c>
      <c r="AO29" s="50">
        <f t="shared" si="11"/>
        <v>0</v>
      </c>
      <c r="AP29" s="50">
        <f t="shared" si="11"/>
        <v>0</v>
      </c>
      <c r="AQ29" s="50">
        <f t="shared" si="11"/>
        <v>0</v>
      </c>
      <c r="AR29" s="50">
        <f t="shared" si="11"/>
        <v>0</v>
      </c>
      <c r="AS29" s="50">
        <f t="shared" si="11"/>
        <v>0</v>
      </c>
      <c r="AT29" s="50">
        <f t="shared" si="11"/>
        <v>0</v>
      </c>
      <c r="AU29" s="50">
        <f t="shared" si="11"/>
        <v>0</v>
      </c>
      <c r="AV29" s="50">
        <f t="shared" si="11"/>
        <v>0</v>
      </c>
      <c r="AW29" s="50">
        <f t="shared" si="11"/>
        <v>0</v>
      </c>
      <c r="AX29" s="50">
        <f t="shared" si="11"/>
        <v>0</v>
      </c>
      <c r="AY29" s="50">
        <f t="shared" si="11"/>
        <v>0</v>
      </c>
      <c r="AZ29" s="50">
        <f t="shared" si="11"/>
        <v>0</v>
      </c>
      <c r="BA29" s="50">
        <f t="shared" si="11"/>
        <v>0</v>
      </c>
      <c r="BB29" s="50">
        <f t="shared" si="11"/>
        <v>0</v>
      </c>
      <c r="BC29" s="443" t="e">
        <f>IF($B29&lt;&gt;"",VLOOKUP($B29,RESUMO!$A$11:$H$42,8),"")</f>
        <v>#REF!</v>
      </c>
      <c r="BD29" s="443" t="e">
        <f>IF($B29&lt;&gt;"",VLOOKUP($B29,RESUMO!$A$11:$H$42,6),"")</f>
        <v>#REF!</v>
      </c>
      <c r="BF29" s="424" t="e">
        <f t="shared" si="3"/>
        <v>#REF!</v>
      </c>
      <c r="BG29" s="441"/>
      <c r="BH29" s="297"/>
    </row>
    <row r="30" spans="1:60" s="295" customFormat="1">
      <c r="A30" s="295">
        <v>17</v>
      </c>
      <c r="B30" s="294"/>
      <c r="C30" s="141" t="s">
        <v>3051</v>
      </c>
      <c r="D30" s="139"/>
      <c r="E30" s="425"/>
      <c r="F30" s="425"/>
      <c r="G30" s="428"/>
      <c r="H30" s="428"/>
      <c r="I30" s="428"/>
      <c r="J30" s="428"/>
      <c r="K30" s="428"/>
      <c r="L30" s="428"/>
      <c r="M30" s="425"/>
      <c r="N30" s="425"/>
      <c r="O30" s="425"/>
      <c r="P30" s="425"/>
      <c r="Q30" s="425"/>
      <c r="R30" s="425"/>
      <c r="S30" s="425"/>
      <c r="T30" s="425"/>
      <c r="U30" s="425"/>
      <c r="V30" s="425"/>
      <c r="W30" s="425"/>
      <c r="X30" s="425"/>
      <c r="Y30" s="425"/>
      <c r="Z30" s="425"/>
      <c r="AA30" s="425"/>
      <c r="AB30" s="425"/>
      <c r="AC30" s="425"/>
      <c r="AD30" s="425"/>
      <c r="AE30" s="425"/>
      <c r="AF30" s="425"/>
      <c r="AG30" s="425"/>
      <c r="AH30" s="425"/>
      <c r="AI30" s="422"/>
      <c r="AJ30" s="422"/>
      <c r="AK30" s="425"/>
      <c r="AL30" s="425"/>
      <c r="AM30" s="425"/>
      <c r="AN30" s="425"/>
      <c r="AO30" s="425"/>
      <c r="AP30" s="425"/>
      <c r="AQ30" s="425"/>
      <c r="AR30" s="425"/>
      <c r="AS30" s="425"/>
      <c r="AT30" s="425"/>
      <c r="AU30" s="425"/>
      <c r="AV30" s="425"/>
      <c r="AW30" s="425"/>
      <c r="AX30" s="425"/>
      <c r="AY30" s="425"/>
      <c r="AZ30" s="425"/>
      <c r="BA30" s="425"/>
      <c r="BB30" s="425"/>
      <c r="BC30" s="140"/>
      <c r="BD30" s="140"/>
      <c r="BF30" s="424"/>
      <c r="BG30" s="442">
        <f>SUM(E30:BB30)</f>
        <v>0</v>
      </c>
      <c r="BH30" s="296"/>
    </row>
    <row r="31" spans="1:60" s="292" customFormat="1">
      <c r="A31" s="292">
        <v>18</v>
      </c>
      <c r="B31" s="291">
        <v>9</v>
      </c>
      <c r="C31" s="55" t="str">
        <f>IF($B31&lt;&gt;"",VLOOKUP($B31,ORC!$E:$N,4,0),"")</f>
        <v>REVESTIMENTOS EM PAREDES</v>
      </c>
      <c r="D31" s="49" t="e">
        <f>+BC31/BC$136</f>
        <v>#REF!</v>
      </c>
      <c r="E31" s="50">
        <f t="shared" ref="E31:AH31" si="12">IF(E32&lt;&gt;"",E32*$BC31,0)</f>
        <v>0</v>
      </c>
      <c r="F31" s="50">
        <f t="shared" si="12"/>
        <v>0</v>
      </c>
      <c r="G31" s="50">
        <f t="shared" si="12"/>
        <v>0</v>
      </c>
      <c r="H31" s="50">
        <f t="shared" si="12"/>
        <v>0</v>
      </c>
      <c r="I31" s="50">
        <f t="shared" si="12"/>
        <v>0</v>
      </c>
      <c r="J31" s="50">
        <f t="shared" si="12"/>
        <v>0</v>
      </c>
      <c r="K31" s="50">
        <f t="shared" si="12"/>
        <v>0</v>
      </c>
      <c r="L31" s="50">
        <f t="shared" si="12"/>
        <v>0</v>
      </c>
      <c r="M31" s="50">
        <f t="shared" si="12"/>
        <v>0</v>
      </c>
      <c r="N31" s="50">
        <f t="shared" si="12"/>
        <v>0</v>
      </c>
      <c r="O31" s="50">
        <f t="shared" si="12"/>
        <v>0</v>
      </c>
      <c r="P31" s="50">
        <f t="shared" si="12"/>
        <v>0</v>
      </c>
      <c r="Q31" s="50">
        <f t="shared" si="12"/>
        <v>0</v>
      </c>
      <c r="R31" s="50">
        <f t="shared" si="12"/>
        <v>0</v>
      </c>
      <c r="S31" s="50">
        <f t="shared" si="12"/>
        <v>0</v>
      </c>
      <c r="T31" s="50">
        <f t="shared" si="12"/>
        <v>0</v>
      </c>
      <c r="U31" s="50">
        <f t="shared" si="12"/>
        <v>0</v>
      </c>
      <c r="V31" s="50">
        <f t="shared" si="12"/>
        <v>0</v>
      </c>
      <c r="W31" s="50">
        <f t="shared" si="12"/>
        <v>0</v>
      </c>
      <c r="X31" s="50">
        <f t="shared" si="12"/>
        <v>0</v>
      </c>
      <c r="Y31" s="50">
        <f t="shared" si="12"/>
        <v>0</v>
      </c>
      <c r="Z31" s="50">
        <f t="shared" si="12"/>
        <v>0</v>
      </c>
      <c r="AA31" s="50">
        <f t="shared" si="12"/>
        <v>0</v>
      </c>
      <c r="AB31" s="50">
        <f t="shared" si="12"/>
        <v>0</v>
      </c>
      <c r="AC31" s="50">
        <f t="shared" si="12"/>
        <v>0</v>
      </c>
      <c r="AD31" s="50">
        <f t="shared" si="12"/>
        <v>0</v>
      </c>
      <c r="AE31" s="50">
        <f t="shared" si="12"/>
        <v>0</v>
      </c>
      <c r="AF31" s="50">
        <f t="shared" si="12"/>
        <v>0</v>
      </c>
      <c r="AG31" s="50">
        <f t="shared" si="12"/>
        <v>0</v>
      </c>
      <c r="AH31" s="50">
        <f t="shared" si="12"/>
        <v>0</v>
      </c>
      <c r="AI31" s="423"/>
      <c r="AJ31" s="423"/>
      <c r="AK31" s="50">
        <f t="shared" ref="AK31:BB31" si="13">IF(AK32&lt;&gt;"",AK32*$BC31,0)</f>
        <v>0</v>
      </c>
      <c r="AL31" s="50">
        <f t="shared" si="13"/>
        <v>0</v>
      </c>
      <c r="AM31" s="50">
        <f t="shared" si="13"/>
        <v>0</v>
      </c>
      <c r="AN31" s="50">
        <f t="shared" si="13"/>
        <v>0</v>
      </c>
      <c r="AO31" s="50">
        <f t="shared" si="13"/>
        <v>0</v>
      </c>
      <c r="AP31" s="50">
        <f t="shared" si="13"/>
        <v>0</v>
      </c>
      <c r="AQ31" s="50">
        <f t="shared" si="13"/>
        <v>0</v>
      </c>
      <c r="AR31" s="50">
        <f t="shared" si="13"/>
        <v>0</v>
      </c>
      <c r="AS31" s="50">
        <f t="shared" si="13"/>
        <v>0</v>
      </c>
      <c r="AT31" s="50">
        <f t="shared" si="13"/>
        <v>0</v>
      </c>
      <c r="AU31" s="50">
        <f t="shared" si="13"/>
        <v>0</v>
      </c>
      <c r="AV31" s="50">
        <f t="shared" si="13"/>
        <v>0</v>
      </c>
      <c r="AW31" s="50">
        <f t="shared" si="13"/>
        <v>0</v>
      </c>
      <c r="AX31" s="50">
        <f t="shared" si="13"/>
        <v>0</v>
      </c>
      <c r="AY31" s="50">
        <f t="shared" si="13"/>
        <v>0</v>
      </c>
      <c r="AZ31" s="50">
        <f t="shared" si="13"/>
        <v>0</v>
      </c>
      <c r="BA31" s="50">
        <f t="shared" si="13"/>
        <v>0</v>
      </c>
      <c r="BB31" s="50">
        <f t="shared" si="13"/>
        <v>0</v>
      </c>
      <c r="BC31" s="443" t="e">
        <f>IF($B31&lt;&gt;"",VLOOKUP($B31,RESUMO!$A$11:$H$42,8),"")</f>
        <v>#REF!</v>
      </c>
      <c r="BD31" s="443" t="e">
        <f>IF($B31&lt;&gt;"",VLOOKUP($B31,RESUMO!$A$11:$H$42,6),"")</f>
        <v>#REF!</v>
      </c>
      <c r="BF31" s="424" t="e">
        <f t="shared" si="3"/>
        <v>#REF!</v>
      </c>
      <c r="BG31" s="441"/>
      <c r="BH31" s="297"/>
    </row>
    <row r="32" spans="1:60" s="295" customFormat="1">
      <c r="A32" s="295">
        <v>19</v>
      </c>
      <c r="B32" s="294"/>
      <c r="C32" s="141" t="s">
        <v>3051</v>
      </c>
      <c r="D32" s="139"/>
      <c r="E32" s="425"/>
      <c r="F32" s="425"/>
      <c r="G32" s="425"/>
      <c r="H32" s="425"/>
      <c r="I32" s="425"/>
      <c r="J32" s="425"/>
      <c r="K32" s="425"/>
      <c r="L32" s="425"/>
      <c r="M32" s="425"/>
      <c r="N32" s="425"/>
      <c r="O32" s="425"/>
      <c r="P32" s="425"/>
      <c r="Q32" s="425"/>
      <c r="R32" s="425"/>
      <c r="S32" s="425"/>
      <c r="T32" s="425"/>
      <c r="U32" s="425"/>
      <c r="V32" s="425"/>
      <c r="W32" s="425"/>
      <c r="X32" s="425"/>
      <c r="Y32" s="425"/>
      <c r="Z32" s="425"/>
      <c r="AA32" s="425"/>
      <c r="AB32" s="425"/>
      <c r="AC32" s="425"/>
      <c r="AD32" s="425"/>
      <c r="AE32" s="425"/>
      <c r="AF32" s="425"/>
      <c r="AG32" s="425"/>
      <c r="AH32" s="425"/>
      <c r="AI32" s="422"/>
      <c r="AJ32" s="422"/>
      <c r="AK32" s="425"/>
      <c r="AL32" s="425"/>
      <c r="AM32" s="425"/>
      <c r="AN32" s="425"/>
      <c r="AO32" s="425"/>
      <c r="AP32" s="425"/>
      <c r="AQ32" s="425"/>
      <c r="AR32" s="425"/>
      <c r="AS32" s="425"/>
      <c r="AT32" s="425"/>
      <c r="AU32" s="425"/>
      <c r="AV32" s="425"/>
      <c r="AW32" s="425"/>
      <c r="AX32" s="425"/>
      <c r="AY32" s="425"/>
      <c r="AZ32" s="425"/>
      <c r="BA32" s="425"/>
      <c r="BB32" s="425"/>
      <c r="BC32" s="140"/>
      <c r="BD32" s="140"/>
      <c r="BF32" s="424"/>
      <c r="BG32" s="442">
        <f>SUM(E32:BB32)</f>
        <v>0</v>
      </c>
      <c r="BH32" s="296"/>
    </row>
    <row r="33" spans="1:60" s="292" customFormat="1">
      <c r="A33" s="292">
        <v>20</v>
      </c>
      <c r="B33" s="291">
        <v>10</v>
      </c>
      <c r="C33" s="55" t="str">
        <f>IF($B33&lt;&gt;"",VLOOKUP($B33,ORC!$E:$N,4,0),"")</f>
        <v>PISOS</v>
      </c>
      <c r="D33" s="49" t="e">
        <f>+BC33/BC$136</f>
        <v>#REF!</v>
      </c>
      <c r="E33" s="50">
        <f t="shared" ref="E33:AH33" si="14">IF(E34&lt;&gt;"",E34*$BC33,0)</f>
        <v>0</v>
      </c>
      <c r="F33" s="50">
        <f t="shared" si="14"/>
        <v>0</v>
      </c>
      <c r="G33" s="50">
        <f t="shared" si="14"/>
        <v>0</v>
      </c>
      <c r="H33" s="50">
        <f t="shared" si="14"/>
        <v>0</v>
      </c>
      <c r="I33" s="50">
        <f t="shared" si="14"/>
        <v>0</v>
      </c>
      <c r="J33" s="50">
        <f t="shared" si="14"/>
        <v>0</v>
      </c>
      <c r="K33" s="50">
        <f t="shared" si="14"/>
        <v>0</v>
      </c>
      <c r="L33" s="50">
        <f t="shared" si="14"/>
        <v>0</v>
      </c>
      <c r="M33" s="50">
        <f t="shared" si="14"/>
        <v>0</v>
      </c>
      <c r="N33" s="50">
        <f t="shared" si="14"/>
        <v>0</v>
      </c>
      <c r="O33" s="50">
        <f t="shared" si="14"/>
        <v>0</v>
      </c>
      <c r="P33" s="50">
        <f t="shared" si="14"/>
        <v>0</v>
      </c>
      <c r="Q33" s="50">
        <f t="shared" si="14"/>
        <v>0</v>
      </c>
      <c r="R33" s="50">
        <f t="shared" si="14"/>
        <v>0</v>
      </c>
      <c r="S33" s="50">
        <f t="shared" si="14"/>
        <v>0</v>
      </c>
      <c r="T33" s="50">
        <f t="shared" si="14"/>
        <v>0</v>
      </c>
      <c r="U33" s="50">
        <f t="shared" si="14"/>
        <v>0</v>
      </c>
      <c r="V33" s="50">
        <f t="shared" si="14"/>
        <v>0</v>
      </c>
      <c r="W33" s="50">
        <f t="shared" si="14"/>
        <v>0</v>
      </c>
      <c r="X33" s="50">
        <f t="shared" si="14"/>
        <v>0</v>
      </c>
      <c r="Y33" s="50">
        <f t="shared" si="14"/>
        <v>0</v>
      </c>
      <c r="Z33" s="50">
        <f t="shared" si="14"/>
        <v>0</v>
      </c>
      <c r="AA33" s="50">
        <f t="shared" si="14"/>
        <v>0</v>
      </c>
      <c r="AB33" s="50">
        <f t="shared" si="14"/>
        <v>0</v>
      </c>
      <c r="AC33" s="50">
        <f t="shared" si="14"/>
        <v>0</v>
      </c>
      <c r="AD33" s="50">
        <f t="shared" si="14"/>
        <v>0</v>
      </c>
      <c r="AE33" s="50">
        <f t="shared" si="14"/>
        <v>0</v>
      </c>
      <c r="AF33" s="50">
        <f t="shared" si="14"/>
        <v>0</v>
      </c>
      <c r="AG33" s="50">
        <f t="shared" si="14"/>
        <v>0</v>
      </c>
      <c r="AH33" s="50">
        <f t="shared" si="14"/>
        <v>0</v>
      </c>
      <c r="AI33" s="423"/>
      <c r="AJ33" s="423"/>
      <c r="AK33" s="50">
        <f t="shared" ref="AK33:BB33" si="15">IF(AK34&lt;&gt;"",AK34*$BC33,0)</f>
        <v>0</v>
      </c>
      <c r="AL33" s="50">
        <f t="shared" si="15"/>
        <v>0</v>
      </c>
      <c r="AM33" s="50">
        <f t="shared" si="15"/>
        <v>0</v>
      </c>
      <c r="AN33" s="50">
        <f t="shared" si="15"/>
        <v>0</v>
      </c>
      <c r="AO33" s="50">
        <f t="shared" si="15"/>
        <v>0</v>
      </c>
      <c r="AP33" s="50">
        <f t="shared" si="15"/>
        <v>0</v>
      </c>
      <c r="AQ33" s="50">
        <f t="shared" si="15"/>
        <v>0</v>
      </c>
      <c r="AR33" s="50">
        <f t="shared" si="15"/>
        <v>0</v>
      </c>
      <c r="AS33" s="50">
        <f t="shared" si="15"/>
        <v>0</v>
      </c>
      <c r="AT33" s="50">
        <f t="shared" si="15"/>
        <v>0</v>
      </c>
      <c r="AU33" s="50">
        <f t="shared" si="15"/>
        <v>0</v>
      </c>
      <c r="AV33" s="50">
        <f t="shared" si="15"/>
        <v>0</v>
      </c>
      <c r="AW33" s="50">
        <f t="shared" si="15"/>
        <v>0</v>
      </c>
      <c r="AX33" s="50">
        <f t="shared" si="15"/>
        <v>0</v>
      </c>
      <c r="AY33" s="50">
        <f t="shared" si="15"/>
        <v>0</v>
      </c>
      <c r="AZ33" s="50">
        <f t="shared" si="15"/>
        <v>0</v>
      </c>
      <c r="BA33" s="50">
        <f t="shared" si="15"/>
        <v>0</v>
      </c>
      <c r="BB33" s="50">
        <f t="shared" si="15"/>
        <v>0</v>
      </c>
      <c r="BC33" s="443" t="e">
        <f>IF($B33&lt;&gt;"",VLOOKUP($B33,RESUMO!$A$11:$H$42,8),"")</f>
        <v>#REF!</v>
      </c>
      <c r="BD33" s="443" t="e">
        <f>IF($B33&lt;&gt;"",VLOOKUP($B33,RESUMO!$A$11:$H$42,6),"")</f>
        <v>#REF!</v>
      </c>
      <c r="BF33" s="424" t="e">
        <f t="shared" si="3"/>
        <v>#REF!</v>
      </c>
      <c r="BG33" s="441"/>
      <c r="BH33" s="297"/>
    </row>
    <row r="34" spans="1:60" s="295" customFormat="1">
      <c r="A34" s="295">
        <v>21</v>
      </c>
      <c r="B34" s="294"/>
      <c r="C34" s="141" t="s">
        <v>3051</v>
      </c>
      <c r="D34" s="139"/>
      <c r="E34" s="425"/>
      <c r="F34" s="425"/>
      <c r="G34" s="425"/>
      <c r="H34" s="425"/>
      <c r="I34" s="425"/>
      <c r="J34" s="425"/>
      <c r="K34" s="425"/>
      <c r="L34" s="425"/>
      <c r="M34" s="425"/>
      <c r="N34" s="425"/>
      <c r="O34" s="425"/>
      <c r="P34" s="425"/>
      <c r="Q34" s="425"/>
      <c r="R34" s="425"/>
      <c r="S34" s="425"/>
      <c r="T34" s="425"/>
      <c r="U34" s="425"/>
      <c r="V34" s="425"/>
      <c r="W34" s="425"/>
      <c r="X34" s="425"/>
      <c r="Y34" s="425"/>
      <c r="Z34" s="425"/>
      <c r="AA34" s="425"/>
      <c r="AB34" s="425"/>
      <c r="AC34" s="425"/>
      <c r="AD34" s="425"/>
      <c r="AE34" s="425"/>
      <c r="AF34" s="425"/>
      <c r="AG34" s="425"/>
      <c r="AH34" s="425"/>
      <c r="AI34" s="422"/>
      <c r="AJ34" s="422"/>
      <c r="AK34" s="425"/>
      <c r="AL34" s="425"/>
      <c r="AM34" s="425"/>
      <c r="AN34" s="425"/>
      <c r="AO34" s="425"/>
      <c r="AP34" s="425"/>
      <c r="AQ34" s="425"/>
      <c r="AR34" s="425"/>
      <c r="AS34" s="425"/>
      <c r="AT34" s="425"/>
      <c r="AU34" s="425"/>
      <c r="AV34" s="425"/>
      <c r="AW34" s="425"/>
      <c r="AX34" s="425"/>
      <c r="AY34" s="425"/>
      <c r="AZ34" s="425"/>
      <c r="BA34" s="425"/>
      <c r="BB34" s="425"/>
      <c r="BC34" s="140"/>
      <c r="BD34" s="140"/>
      <c r="BF34" s="424"/>
      <c r="BG34" s="442">
        <f>SUM(E34:BB34)</f>
        <v>0</v>
      </c>
      <c r="BH34" s="296"/>
    </row>
    <row r="35" spans="1:60" s="292" customFormat="1">
      <c r="A35" s="292">
        <v>22</v>
      </c>
      <c r="B35" s="291">
        <v>11</v>
      </c>
      <c r="C35" s="55" t="str">
        <f>IF($B35&lt;&gt;"",VLOOKUP($B35,ORC!$E:$N,4,0),"")</f>
        <v>INSTALAÇÕES HIDROSSANITÁRIAS</v>
      </c>
      <c r="D35" s="49" t="e">
        <f>+BC35/BC$136</f>
        <v>#REF!</v>
      </c>
      <c r="E35" s="50">
        <f t="shared" ref="E35:AH35" si="16">IF(E36&lt;&gt;"",E36*$BC35,0)</f>
        <v>0</v>
      </c>
      <c r="F35" s="50">
        <f t="shared" si="16"/>
        <v>0</v>
      </c>
      <c r="G35" s="50">
        <f t="shared" si="16"/>
        <v>0</v>
      </c>
      <c r="H35" s="50">
        <f t="shared" si="16"/>
        <v>0</v>
      </c>
      <c r="I35" s="50">
        <f t="shared" si="16"/>
        <v>0</v>
      </c>
      <c r="J35" s="50">
        <f t="shared" si="16"/>
        <v>0</v>
      </c>
      <c r="K35" s="50">
        <f t="shared" si="16"/>
        <v>0</v>
      </c>
      <c r="L35" s="50">
        <f t="shared" si="16"/>
        <v>0</v>
      </c>
      <c r="M35" s="50">
        <f t="shared" si="16"/>
        <v>0</v>
      </c>
      <c r="N35" s="50">
        <f t="shared" si="16"/>
        <v>0</v>
      </c>
      <c r="O35" s="50">
        <f t="shared" si="16"/>
        <v>0</v>
      </c>
      <c r="P35" s="50">
        <f t="shared" si="16"/>
        <v>0</v>
      </c>
      <c r="Q35" s="50">
        <f t="shared" si="16"/>
        <v>0</v>
      </c>
      <c r="R35" s="50">
        <f t="shared" si="16"/>
        <v>0</v>
      </c>
      <c r="S35" s="50">
        <f t="shared" si="16"/>
        <v>0</v>
      </c>
      <c r="T35" s="50">
        <f t="shared" si="16"/>
        <v>0</v>
      </c>
      <c r="U35" s="50">
        <f t="shared" si="16"/>
        <v>0</v>
      </c>
      <c r="V35" s="50">
        <f t="shared" si="16"/>
        <v>0</v>
      </c>
      <c r="W35" s="50">
        <f t="shared" si="16"/>
        <v>0</v>
      </c>
      <c r="X35" s="50">
        <f t="shared" si="16"/>
        <v>0</v>
      </c>
      <c r="Y35" s="50">
        <f t="shared" si="16"/>
        <v>0</v>
      </c>
      <c r="Z35" s="50">
        <f t="shared" si="16"/>
        <v>0</v>
      </c>
      <c r="AA35" s="50">
        <f t="shared" si="16"/>
        <v>0</v>
      </c>
      <c r="AB35" s="50">
        <f t="shared" si="16"/>
        <v>0</v>
      </c>
      <c r="AC35" s="50">
        <f t="shared" si="16"/>
        <v>0</v>
      </c>
      <c r="AD35" s="50">
        <f t="shared" si="16"/>
        <v>0</v>
      </c>
      <c r="AE35" s="50">
        <f t="shared" si="16"/>
        <v>0</v>
      </c>
      <c r="AF35" s="50">
        <f t="shared" si="16"/>
        <v>0</v>
      </c>
      <c r="AG35" s="50">
        <f t="shared" si="16"/>
        <v>0</v>
      </c>
      <c r="AH35" s="50">
        <f t="shared" si="16"/>
        <v>0</v>
      </c>
      <c r="AI35" s="423"/>
      <c r="AJ35" s="423"/>
      <c r="AK35" s="50">
        <f t="shared" ref="AK35:BB35" si="17">IF(AK36&lt;&gt;"",AK36*$BC35,0)</f>
        <v>0</v>
      </c>
      <c r="AL35" s="50">
        <f t="shared" si="17"/>
        <v>0</v>
      </c>
      <c r="AM35" s="50">
        <f t="shared" si="17"/>
        <v>0</v>
      </c>
      <c r="AN35" s="50">
        <f t="shared" si="17"/>
        <v>0</v>
      </c>
      <c r="AO35" s="50">
        <f t="shared" si="17"/>
        <v>0</v>
      </c>
      <c r="AP35" s="50">
        <f t="shared" si="17"/>
        <v>0</v>
      </c>
      <c r="AQ35" s="50">
        <f t="shared" si="17"/>
        <v>0</v>
      </c>
      <c r="AR35" s="50">
        <f t="shared" si="17"/>
        <v>0</v>
      </c>
      <c r="AS35" s="50">
        <f t="shared" si="17"/>
        <v>0</v>
      </c>
      <c r="AT35" s="50">
        <f t="shared" si="17"/>
        <v>0</v>
      </c>
      <c r="AU35" s="50">
        <f t="shared" si="17"/>
        <v>0</v>
      </c>
      <c r="AV35" s="50">
        <f t="shared" si="17"/>
        <v>0</v>
      </c>
      <c r="AW35" s="50">
        <f t="shared" si="17"/>
        <v>0</v>
      </c>
      <c r="AX35" s="50">
        <f t="shared" si="17"/>
        <v>0</v>
      </c>
      <c r="AY35" s="50">
        <f t="shared" si="17"/>
        <v>0</v>
      </c>
      <c r="AZ35" s="50">
        <f t="shared" si="17"/>
        <v>0</v>
      </c>
      <c r="BA35" s="50">
        <f t="shared" si="17"/>
        <v>0</v>
      </c>
      <c r="BB35" s="50">
        <f t="shared" si="17"/>
        <v>0</v>
      </c>
      <c r="BC35" s="443" t="e">
        <f>IF($B35&lt;&gt;"",VLOOKUP($B35,RESUMO!$A$11:$H$42,8),"")</f>
        <v>#REF!</v>
      </c>
      <c r="BD35" s="443" t="e">
        <f>IF($B35&lt;&gt;"",VLOOKUP($B35,RESUMO!$A$11:$H$42,6),"")</f>
        <v>#REF!</v>
      </c>
      <c r="BF35" s="424" t="e">
        <f t="shared" si="3"/>
        <v>#REF!</v>
      </c>
      <c r="BG35" s="441"/>
      <c r="BH35" s="297"/>
    </row>
    <row r="36" spans="1:60" s="295" customFormat="1">
      <c r="A36" s="295">
        <v>23</v>
      </c>
      <c r="B36" s="294"/>
      <c r="C36" s="141" t="s">
        <v>3051</v>
      </c>
      <c r="D36" s="139"/>
      <c r="E36" s="425"/>
      <c r="F36" s="425"/>
      <c r="G36" s="425"/>
      <c r="H36" s="425"/>
      <c r="I36" s="425"/>
      <c r="J36" s="425"/>
      <c r="K36" s="425"/>
      <c r="L36" s="425"/>
      <c r="M36" s="425"/>
      <c r="N36" s="425"/>
      <c r="O36" s="425"/>
      <c r="P36" s="425"/>
      <c r="Q36" s="425"/>
      <c r="R36" s="425"/>
      <c r="S36" s="425"/>
      <c r="T36" s="425"/>
      <c r="U36" s="425"/>
      <c r="V36" s="425"/>
      <c r="W36" s="425"/>
      <c r="X36" s="425"/>
      <c r="Y36" s="425"/>
      <c r="Z36" s="425"/>
      <c r="AA36" s="425"/>
      <c r="AB36" s="425"/>
      <c r="AC36" s="425"/>
      <c r="AD36" s="425"/>
      <c r="AE36" s="425"/>
      <c r="AF36" s="425"/>
      <c r="AG36" s="425"/>
      <c r="AH36" s="425"/>
      <c r="AI36" s="422"/>
      <c r="AJ36" s="422"/>
      <c r="AK36" s="425"/>
      <c r="AL36" s="425"/>
      <c r="AM36" s="425"/>
      <c r="AN36" s="425"/>
      <c r="AO36" s="425"/>
      <c r="AP36" s="425"/>
      <c r="AQ36" s="425"/>
      <c r="AR36" s="425"/>
      <c r="AS36" s="425"/>
      <c r="AT36" s="425"/>
      <c r="AU36" s="425"/>
      <c r="AV36" s="425"/>
      <c r="AW36" s="425"/>
      <c r="AX36" s="425"/>
      <c r="AY36" s="425"/>
      <c r="AZ36" s="425"/>
      <c r="BA36" s="425"/>
      <c r="BB36" s="425"/>
      <c r="BC36" s="140"/>
      <c r="BD36" s="140"/>
      <c r="BF36" s="424"/>
      <c r="BG36" s="442">
        <f>SUM(E36:BB36)</f>
        <v>0</v>
      </c>
      <c r="BH36" s="296"/>
    </row>
    <row r="37" spans="1:60" s="292" customFormat="1">
      <c r="A37" s="292">
        <v>24</v>
      </c>
      <c r="B37" s="291">
        <v>12</v>
      </c>
      <c r="C37" s="55" t="str">
        <f>IF($B37&lt;&gt;"",VLOOKUP($B37,ORC!$E:$N,4,0),"")</f>
        <v>PREVENÇÃO E COMBATE A INCÊNDIO</v>
      </c>
      <c r="D37" s="49" t="e">
        <f>+BC37/BC$136</f>
        <v>#REF!</v>
      </c>
      <c r="E37" s="50">
        <f t="shared" ref="E37:AH37" si="18">IF(E38&lt;&gt;"",E38*$BC37,0)</f>
        <v>0</v>
      </c>
      <c r="F37" s="50">
        <f t="shared" si="18"/>
        <v>0</v>
      </c>
      <c r="G37" s="50">
        <f t="shared" si="18"/>
        <v>0</v>
      </c>
      <c r="H37" s="50">
        <f t="shared" si="18"/>
        <v>0</v>
      </c>
      <c r="I37" s="50">
        <f t="shared" si="18"/>
        <v>0</v>
      </c>
      <c r="J37" s="50">
        <f t="shared" si="18"/>
        <v>0</v>
      </c>
      <c r="K37" s="50">
        <f t="shared" si="18"/>
        <v>0</v>
      </c>
      <c r="L37" s="50">
        <f t="shared" si="18"/>
        <v>0</v>
      </c>
      <c r="M37" s="50">
        <f t="shared" si="18"/>
        <v>0</v>
      </c>
      <c r="N37" s="50">
        <f t="shared" si="18"/>
        <v>0</v>
      </c>
      <c r="O37" s="50">
        <f t="shared" si="18"/>
        <v>0</v>
      </c>
      <c r="P37" s="50">
        <f t="shared" si="18"/>
        <v>0</v>
      </c>
      <c r="Q37" s="50">
        <f t="shared" si="18"/>
        <v>0</v>
      </c>
      <c r="R37" s="50">
        <f t="shared" si="18"/>
        <v>0</v>
      </c>
      <c r="S37" s="50">
        <f t="shared" si="18"/>
        <v>0</v>
      </c>
      <c r="T37" s="50">
        <f t="shared" si="18"/>
        <v>0</v>
      </c>
      <c r="U37" s="50">
        <f t="shared" si="18"/>
        <v>0</v>
      </c>
      <c r="V37" s="50">
        <f t="shared" si="18"/>
        <v>0</v>
      </c>
      <c r="W37" s="50">
        <f t="shared" si="18"/>
        <v>0</v>
      </c>
      <c r="X37" s="50">
        <f t="shared" si="18"/>
        <v>0</v>
      </c>
      <c r="Y37" s="50">
        <f t="shared" si="18"/>
        <v>0</v>
      </c>
      <c r="Z37" s="50">
        <f t="shared" si="18"/>
        <v>0</v>
      </c>
      <c r="AA37" s="50">
        <f t="shared" si="18"/>
        <v>0</v>
      </c>
      <c r="AB37" s="50">
        <f t="shared" si="18"/>
        <v>0</v>
      </c>
      <c r="AC37" s="50">
        <f t="shared" si="18"/>
        <v>0</v>
      </c>
      <c r="AD37" s="50">
        <f t="shared" si="18"/>
        <v>0</v>
      </c>
      <c r="AE37" s="50">
        <f t="shared" si="18"/>
        <v>0</v>
      </c>
      <c r="AF37" s="50">
        <f t="shared" si="18"/>
        <v>0</v>
      </c>
      <c r="AG37" s="50">
        <f t="shared" si="18"/>
        <v>0</v>
      </c>
      <c r="AH37" s="50">
        <f t="shared" si="18"/>
        <v>0</v>
      </c>
      <c r="AI37" s="423"/>
      <c r="AJ37" s="423"/>
      <c r="AK37" s="50">
        <f t="shared" ref="AK37:BB37" si="19">IF(AK38&lt;&gt;"",AK38*$BC37,0)</f>
        <v>0</v>
      </c>
      <c r="AL37" s="50">
        <f t="shared" si="19"/>
        <v>0</v>
      </c>
      <c r="AM37" s="50">
        <f t="shared" si="19"/>
        <v>0</v>
      </c>
      <c r="AN37" s="50">
        <f t="shared" si="19"/>
        <v>0</v>
      </c>
      <c r="AO37" s="50">
        <f t="shared" si="19"/>
        <v>0</v>
      </c>
      <c r="AP37" s="50">
        <f t="shared" si="19"/>
        <v>0</v>
      </c>
      <c r="AQ37" s="50">
        <f t="shared" si="19"/>
        <v>0</v>
      </c>
      <c r="AR37" s="50">
        <f t="shared" si="19"/>
        <v>0</v>
      </c>
      <c r="AS37" s="50">
        <f t="shared" si="19"/>
        <v>0</v>
      </c>
      <c r="AT37" s="50">
        <f t="shared" si="19"/>
        <v>0</v>
      </c>
      <c r="AU37" s="50">
        <f t="shared" si="19"/>
        <v>0</v>
      </c>
      <c r="AV37" s="50">
        <f t="shared" si="19"/>
        <v>0</v>
      </c>
      <c r="AW37" s="50">
        <f t="shared" si="19"/>
        <v>0</v>
      </c>
      <c r="AX37" s="50">
        <f t="shared" si="19"/>
        <v>0</v>
      </c>
      <c r="AY37" s="50">
        <f t="shared" si="19"/>
        <v>0</v>
      </c>
      <c r="AZ37" s="50">
        <f t="shared" si="19"/>
        <v>0</v>
      </c>
      <c r="BA37" s="50">
        <f t="shared" si="19"/>
        <v>0</v>
      </c>
      <c r="BB37" s="50">
        <f t="shared" si="19"/>
        <v>0</v>
      </c>
      <c r="BC37" s="443" t="e">
        <f>IF($B37&lt;&gt;"",VLOOKUP($B37,RESUMO!$A$11:$H$42,8),"")</f>
        <v>#REF!</v>
      </c>
      <c r="BD37" s="443" t="e">
        <f>IF($B37&lt;&gt;"",VLOOKUP($B37,RESUMO!$A$11:$H$42,6),"")</f>
        <v>#REF!</v>
      </c>
      <c r="BF37" s="424" t="e">
        <f t="shared" si="3"/>
        <v>#REF!</v>
      </c>
      <c r="BG37" s="441"/>
      <c r="BH37" s="297"/>
    </row>
    <row r="38" spans="1:60" s="295" customFormat="1">
      <c r="A38" s="295">
        <v>25</v>
      </c>
      <c r="B38" s="294"/>
      <c r="C38" s="141" t="s">
        <v>3051</v>
      </c>
      <c r="D38" s="139"/>
      <c r="E38" s="425"/>
      <c r="F38" s="425"/>
      <c r="G38" s="425"/>
      <c r="H38" s="425"/>
      <c r="I38" s="425"/>
      <c r="J38" s="425"/>
      <c r="K38" s="425"/>
      <c r="L38" s="425"/>
      <c r="M38" s="425"/>
      <c r="N38" s="425"/>
      <c r="O38" s="425"/>
      <c r="P38" s="425"/>
      <c r="Q38" s="425"/>
      <c r="R38" s="425"/>
      <c r="S38" s="425"/>
      <c r="T38" s="425"/>
      <c r="U38" s="425"/>
      <c r="V38" s="425"/>
      <c r="W38" s="425"/>
      <c r="X38" s="425"/>
      <c r="Y38" s="425"/>
      <c r="Z38" s="425"/>
      <c r="AA38" s="425"/>
      <c r="AB38" s="425"/>
      <c r="AC38" s="425"/>
      <c r="AD38" s="425"/>
      <c r="AE38" s="425"/>
      <c r="AF38" s="425"/>
      <c r="AG38" s="425"/>
      <c r="AH38" s="425"/>
      <c r="AI38" s="422"/>
      <c r="AJ38" s="422"/>
      <c r="AK38" s="425"/>
      <c r="AL38" s="425"/>
      <c r="AM38" s="425"/>
      <c r="AN38" s="425"/>
      <c r="AO38" s="425"/>
      <c r="AP38" s="425"/>
      <c r="AQ38" s="425"/>
      <c r="AR38" s="425"/>
      <c r="AS38" s="425"/>
      <c r="AT38" s="425"/>
      <c r="AU38" s="425"/>
      <c r="AV38" s="425"/>
      <c r="AW38" s="425"/>
      <c r="AX38" s="425"/>
      <c r="AY38" s="425"/>
      <c r="AZ38" s="425"/>
      <c r="BA38" s="425"/>
      <c r="BB38" s="425"/>
      <c r="BC38" s="140"/>
      <c r="BD38" s="140"/>
      <c r="BF38" s="424"/>
      <c r="BG38" s="442">
        <f>SUM(E38:BB38)</f>
        <v>0</v>
      </c>
      <c r="BH38" s="296"/>
    </row>
    <row r="39" spans="1:60" s="292" customFormat="1" ht="25.5">
      <c r="A39" s="292">
        <v>26</v>
      </c>
      <c r="B39" s="291">
        <v>13</v>
      </c>
      <c r="C39" s="55" t="str">
        <f>IF($B39&lt;&gt;"",VLOOKUP($B39,ORC!$E:$N,4,0),"")</f>
        <v>INSTALAÇÕES ELÉTRICAS / ELETRIFICAÇÃO E ILUMINAÇÃO EXTERNA</v>
      </c>
      <c r="D39" s="49" t="e">
        <f>+BC39/BC$136</f>
        <v>#REF!</v>
      </c>
      <c r="E39" s="50">
        <f t="shared" ref="E39:AH39" si="20">IF(E40&lt;&gt;"",E40*$BC39,0)</f>
        <v>0</v>
      </c>
      <c r="F39" s="50">
        <f t="shared" si="20"/>
        <v>0</v>
      </c>
      <c r="G39" s="50">
        <f t="shared" si="20"/>
        <v>0</v>
      </c>
      <c r="H39" s="50">
        <f t="shared" si="20"/>
        <v>0</v>
      </c>
      <c r="I39" s="50">
        <f t="shared" si="20"/>
        <v>0</v>
      </c>
      <c r="J39" s="50">
        <f t="shared" si="20"/>
        <v>0</v>
      </c>
      <c r="K39" s="50">
        <f t="shared" si="20"/>
        <v>0</v>
      </c>
      <c r="L39" s="50">
        <f t="shared" si="20"/>
        <v>0</v>
      </c>
      <c r="M39" s="50">
        <f t="shared" si="20"/>
        <v>0</v>
      </c>
      <c r="N39" s="50">
        <f t="shared" si="20"/>
        <v>0</v>
      </c>
      <c r="O39" s="50">
        <f t="shared" si="20"/>
        <v>0</v>
      </c>
      <c r="P39" s="50">
        <f t="shared" si="20"/>
        <v>0</v>
      </c>
      <c r="Q39" s="50">
        <f t="shared" si="20"/>
        <v>0</v>
      </c>
      <c r="R39" s="50">
        <f t="shared" si="20"/>
        <v>0</v>
      </c>
      <c r="S39" s="50">
        <f t="shared" si="20"/>
        <v>0</v>
      </c>
      <c r="T39" s="50">
        <f t="shared" si="20"/>
        <v>0</v>
      </c>
      <c r="U39" s="50">
        <f t="shared" si="20"/>
        <v>0</v>
      </c>
      <c r="V39" s="50">
        <f t="shared" si="20"/>
        <v>0</v>
      </c>
      <c r="W39" s="50">
        <f t="shared" si="20"/>
        <v>0</v>
      </c>
      <c r="X39" s="50">
        <f t="shared" si="20"/>
        <v>0</v>
      </c>
      <c r="Y39" s="50">
        <f t="shared" si="20"/>
        <v>0</v>
      </c>
      <c r="Z39" s="50">
        <f t="shared" si="20"/>
        <v>0</v>
      </c>
      <c r="AA39" s="50">
        <f t="shared" si="20"/>
        <v>0</v>
      </c>
      <c r="AB39" s="50">
        <f t="shared" si="20"/>
        <v>0</v>
      </c>
      <c r="AC39" s="50">
        <f t="shared" si="20"/>
        <v>0</v>
      </c>
      <c r="AD39" s="50">
        <f t="shared" si="20"/>
        <v>0</v>
      </c>
      <c r="AE39" s="50">
        <f t="shared" si="20"/>
        <v>0</v>
      </c>
      <c r="AF39" s="50">
        <f t="shared" si="20"/>
        <v>0</v>
      </c>
      <c r="AG39" s="50">
        <f t="shared" si="20"/>
        <v>0</v>
      </c>
      <c r="AH39" s="50">
        <f t="shared" si="20"/>
        <v>0</v>
      </c>
      <c r="AI39" s="423"/>
      <c r="AJ39" s="423"/>
      <c r="AK39" s="50">
        <f t="shared" ref="AK39:BB39" si="21">IF(AK40&lt;&gt;"",AK40*$BC39,0)</f>
        <v>0</v>
      </c>
      <c r="AL39" s="50">
        <f t="shared" si="21"/>
        <v>0</v>
      </c>
      <c r="AM39" s="50">
        <f t="shared" si="21"/>
        <v>0</v>
      </c>
      <c r="AN39" s="50">
        <f t="shared" si="21"/>
        <v>0</v>
      </c>
      <c r="AO39" s="50">
        <f t="shared" si="21"/>
        <v>0</v>
      </c>
      <c r="AP39" s="50">
        <f t="shared" si="21"/>
        <v>0</v>
      </c>
      <c r="AQ39" s="50">
        <f t="shared" si="21"/>
        <v>0</v>
      </c>
      <c r="AR39" s="50">
        <f t="shared" si="21"/>
        <v>0</v>
      </c>
      <c r="AS39" s="50">
        <f t="shared" si="21"/>
        <v>0</v>
      </c>
      <c r="AT39" s="50">
        <f t="shared" si="21"/>
        <v>0</v>
      </c>
      <c r="AU39" s="50">
        <f t="shared" si="21"/>
        <v>0</v>
      </c>
      <c r="AV39" s="50">
        <f t="shared" si="21"/>
        <v>0</v>
      </c>
      <c r="AW39" s="50">
        <f t="shared" si="21"/>
        <v>0</v>
      </c>
      <c r="AX39" s="50">
        <f t="shared" si="21"/>
        <v>0</v>
      </c>
      <c r="AY39" s="50">
        <f t="shared" si="21"/>
        <v>0</v>
      </c>
      <c r="AZ39" s="50">
        <f t="shared" si="21"/>
        <v>0</v>
      </c>
      <c r="BA39" s="50">
        <f t="shared" si="21"/>
        <v>0</v>
      </c>
      <c r="BB39" s="50">
        <f t="shared" si="21"/>
        <v>0</v>
      </c>
      <c r="BC39" s="443" t="e">
        <f>IF($B39&lt;&gt;"",VLOOKUP($B39,RESUMO!$A$11:$H$42,8),"")</f>
        <v>#REF!</v>
      </c>
      <c r="BD39" s="443" t="e">
        <f>IF($B39&lt;&gt;"",VLOOKUP($B39,RESUMO!$A$11:$H$42,6),"")</f>
        <v>#REF!</v>
      </c>
      <c r="BF39" s="424" t="e">
        <f t="shared" si="3"/>
        <v>#REF!</v>
      </c>
      <c r="BG39" s="441"/>
      <c r="BH39" s="297"/>
    </row>
    <row r="40" spans="1:60" s="295" customFormat="1">
      <c r="A40" s="295">
        <v>27</v>
      </c>
      <c r="B40" s="294"/>
      <c r="C40" s="141" t="s">
        <v>3051</v>
      </c>
      <c r="D40" s="139"/>
      <c r="E40" s="425"/>
      <c r="F40" s="425"/>
      <c r="G40" s="425"/>
      <c r="H40" s="425"/>
      <c r="I40" s="425"/>
      <c r="J40" s="425"/>
      <c r="K40" s="425"/>
      <c r="L40" s="425"/>
      <c r="M40" s="425"/>
      <c r="N40" s="425"/>
      <c r="O40" s="425"/>
      <c r="P40" s="425"/>
      <c r="Q40" s="425"/>
      <c r="R40" s="425"/>
      <c r="S40" s="425"/>
      <c r="T40" s="425"/>
      <c r="U40" s="425"/>
      <c r="V40" s="425"/>
      <c r="W40" s="425"/>
      <c r="X40" s="425"/>
      <c r="Y40" s="425"/>
      <c r="Z40" s="425"/>
      <c r="AA40" s="425"/>
      <c r="AB40" s="425"/>
      <c r="AC40" s="425"/>
      <c r="AD40" s="425"/>
      <c r="AE40" s="425"/>
      <c r="AF40" s="425"/>
      <c r="AG40" s="425"/>
      <c r="AH40" s="425"/>
      <c r="AI40" s="422"/>
      <c r="AJ40" s="422"/>
      <c r="AK40" s="425"/>
      <c r="AL40" s="425"/>
      <c r="AM40" s="425"/>
      <c r="AN40" s="425"/>
      <c r="AO40" s="425"/>
      <c r="AP40" s="425"/>
      <c r="AQ40" s="425"/>
      <c r="AR40" s="425"/>
      <c r="AS40" s="425"/>
      <c r="AT40" s="425"/>
      <c r="AU40" s="425"/>
      <c r="AV40" s="425"/>
      <c r="AW40" s="425"/>
      <c r="AX40" s="425"/>
      <c r="AY40" s="425"/>
      <c r="AZ40" s="425"/>
      <c r="BA40" s="425"/>
      <c r="BB40" s="425"/>
      <c r="BC40" s="140"/>
      <c r="BD40" s="140"/>
      <c r="BF40" s="424"/>
      <c r="BG40" s="442">
        <f>SUM(E40:BB40)</f>
        <v>0</v>
      </c>
      <c r="BH40" s="296"/>
    </row>
    <row r="41" spans="1:60" s="292" customFormat="1">
      <c r="A41" s="292">
        <v>28</v>
      </c>
      <c r="B41" s="291">
        <v>14</v>
      </c>
      <c r="C41" s="55" t="str">
        <f>IF($B41&lt;&gt;"",VLOOKUP($B41,ORC!$E:$N,4,0),"")</f>
        <v>AR CONDICIONADO E EXAUSTÃO</v>
      </c>
      <c r="D41" s="49" t="e">
        <f>+BC41/BC$136</f>
        <v>#REF!</v>
      </c>
      <c r="E41" s="50">
        <f t="shared" ref="E41:AH41" si="22">IF(E42&lt;&gt;"",E42*$BC41,0)</f>
        <v>0</v>
      </c>
      <c r="F41" s="50">
        <f t="shared" si="22"/>
        <v>0</v>
      </c>
      <c r="G41" s="50">
        <f t="shared" si="22"/>
        <v>0</v>
      </c>
      <c r="H41" s="50">
        <f t="shared" si="22"/>
        <v>0</v>
      </c>
      <c r="I41" s="50">
        <f t="shared" si="22"/>
        <v>0</v>
      </c>
      <c r="J41" s="50">
        <f t="shared" si="22"/>
        <v>0</v>
      </c>
      <c r="K41" s="50">
        <f t="shared" si="22"/>
        <v>0</v>
      </c>
      <c r="L41" s="50">
        <f t="shared" si="22"/>
        <v>0</v>
      </c>
      <c r="M41" s="50">
        <f t="shared" si="22"/>
        <v>0</v>
      </c>
      <c r="N41" s="50">
        <f t="shared" si="22"/>
        <v>0</v>
      </c>
      <c r="O41" s="50">
        <f t="shared" si="22"/>
        <v>0</v>
      </c>
      <c r="P41" s="50">
        <f t="shared" si="22"/>
        <v>0</v>
      </c>
      <c r="Q41" s="50">
        <f t="shared" si="22"/>
        <v>0</v>
      </c>
      <c r="R41" s="50">
        <f t="shared" si="22"/>
        <v>0</v>
      </c>
      <c r="S41" s="50">
        <f t="shared" si="22"/>
        <v>0</v>
      </c>
      <c r="T41" s="50">
        <f t="shared" si="22"/>
        <v>0</v>
      </c>
      <c r="U41" s="50">
        <f t="shared" si="22"/>
        <v>0</v>
      </c>
      <c r="V41" s="50">
        <f t="shared" si="22"/>
        <v>0</v>
      </c>
      <c r="W41" s="50">
        <f t="shared" si="22"/>
        <v>0</v>
      </c>
      <c r="X41" s="50">
        <f t="shared" si="22"/>
        <v>0</v>
      </c>
      <c r="Y41" s="50">
        <f t="shared" si="22"/>
        <v>0</v>
      </c>
      <c r="Z41" s="50">
        <f t="shared" si="22"/>
        <v>0</v>
      </c>
      <c r="AA41" s="50">
        <f t="shared" si="22"/>
        <v>0</v>
      </c>
      <c r="AB41" s="50">
        <f t="shared" si="22"/>
        <v>0</v>
      </c>
      <c r="AC41" s="50">
        <f t="shared" si="22"/>
        <v>0</v>
      </c>
      <c r="AD41" s="50">
        <f t="shared" si="22"/>
        <v>0</v>
      </c>
      <c r="AE41" s="50">
        <f t="shared" si="22"/>
        <v>0</v>
      </c>
      <c r="AF41" s="50">
        <f t="shared" si="22"/>
        <v>0</v>
      </c>
      <c r="AG41" s="50">
        <f t="shared" si="22"/>
        <v>0</v>
      </c>
      <c r="AH41" s="50">
        <f t="shared" si="22"/>
        <v>0</v>
      </c>
      <c r="AI41" s="423"/>
      <c r="AJ41" s="423"/>
      <c r="AK41" s="50">
        <f t="shared" ref="AK41:BB41" si="23">IF(AK42&lt;&gt;"",AK42*$BC41,0)</f>
        <v>0</v>
      </c>
      <c r="AL41" s="50">
        <f t="shared" si="23"/>
        <v>0</v>
      </c>
      <c r="AM41" s="50">
        <f t="shared" si="23"/>
        <v>0</v>
      </c>
      <c r="AN41" s="50">
        <f t="shared" si="23"/>
        <v>0</v>
      </c>
      <c r="AO41" s="50">
        <f t="shared" si="23"/>
        <v>0</v>
      </c>
      <c r="AP41" s="50">
        <f t="shared" si="23"/>
        <v>0</v>
      </c>
      <c r="AQ41" s="50">
        <f t="shared" si="23"/>
        <v>0</v>
      </c>
      <c r="AR41" s="50">
        <f t="shared" si="23"/>
        <v>0</v>
      </c>
      <c r="AS41" s="50">
        <f t="shared" si="23"/>
        <v>0</v>
      </c>
      <c r="AT41" s="50">
        <f t="shared" si="23"/>
        <v>0</v>
      </c>
      <c r="AU41" s="50">
        <f t="shared" si="23"/>
        <v>0</v>
      </c>
      <c r="AV41" s="50">
        <f t="shared" si="23"/>
        <v>0</v>
      </c>
      <c r="AW41" s="50">
        <f t="shared" si="23"/>
        <v>0</v>
      </c>
      <c r="AX41" s="50">
        <f t="shared" si="23"/>
        <v>0</v>
      </c>
      <c r="AY41" s="50">
        <f t="shared" si="23"/>
        <v>0</v>
      </c>
      <c r="AZ41" s="50">
        <f t="shared" si="23"/>
        <v>0</v>
      </c>
      <c r="BA41" s="50">
        <f t="shared" si="23"/>
        <v>0</v>
      </c>
      <c r="BB41" s="50">
        <f t="shared" si="23"/>
        <v>0</v>
      </c>
      <c r="BC41" s="443" t="e">
        <f>IF($B41&lt;&gt;"",VLOOKUP($B41,RESUMO!$A$11:$H$42,8),"")</f>
        <v>#REF!</v>
      </c>
      <c r="BD41" s="443" t="e">
        <f>IF($B41&lt;&gt;"",VLOOKUP($B41,RESUMO!$A$11:$H$42,6),"")</f>
        <v>#REF!</v>
      </c>
      <c r="BF41" s="424" t="e">
        <f t="shared" si="3"/>
        <v>#REF!</v>
      </c>
      <c r="BG41" s="441"/>
      <c r="BH41" s="297"/>
    </row>
    <row r="42" spans="1:60" s="295" customFormat="1">
      <c r="A42" s="295">
        <v>29</v>
      </c>
      <c r="B42" s="294"/>
      <c r="C42" s="141" t="s">
        <v>3051</v>
      </c>
      <c r="D42" s="139"/>
      <c r="E42" s="425"/>
      <c r="F42" s="425"/>
      <c r="G42" s="425"/>
      <c r="H42" s="425"/>
      <c r="I42" s="425"/>
      <c r="J42" s="425"/>
      <c r="K42" s="425"/>
      <c r="L42" s="425"/>
      <c r="M42" s="425"/>
      <c r="N42" s="425"/>
      <c r="O42" s="425"/>
      <c r="P42" s="425"/>
      <c r="Q42" s="425"/>
      <c r="R42" s="425"/>
      <c r="S42" s="425"/>
      <c r="T42" s="425"/>
      <c r="U42" s="425"/>
      <c r="V42" s="425"/>
      <c r="W42" s="425"/>
      <c r="X42" s="425"/>
      <c r="Y42" s="425"/>
      <c r="Z42" s="425"/>
      <c r="AA42" s="425"/>
      <c r="AB42" s="425"/>
      <c r="AC42" s="425"/>
      <c r="AD42" s="425"/>
      <c r="AE42" s="425"/>
      <c r="AF42" s="425"/>
      <c r="AG42" s="425"/>
      <c r="AH42" s="425"/>
      <c r="AI42" s="422"/>
      <c r="AJ42" s="422"/>
      <c r="AK42" s="425"/>
      <c r="AL42" s="425"/>
      <c r="AM42" s="425"/>
      <c r="AN42" s="425"/>
      <c r="AO42" s="425"/>
      <c r="AP42" s="425"/>
      <c r="AQ42" s="425"/>
      <c r="AR42" s="425"/>
      <c r="AS42" s="425"/>
      <c r="AT42" s="425"/>
      <c r="AU42" s="425"/>
      <c r="AV42" s="425"/>
      <c r="AW42" s="425"/>
      <c r="AX42" s="425"/>
      <c r="AY42" s="425"/>
      <c r="AZ42" s="425"/>
      <c r="BA42" s="425"/>
      <c r="BB42" s="425"/>
      <c r="BC42" s="140"/>
      <c r="BD42" s="140"/>
      <c r="BF42" s="424"/>
      <c r="BG42" s="442">
        <f>SUM(E42:BB42)</f>
        <v>0</v>
      </c>
      <c r="BH42" s="296"/>
    </row>
    <row r="43" spans="1:60" s="292" customFormat="1">
      <c r="A43" s="292">
        <v>30</v>
      </c>
      <c r="B43" s="291">
        <v>15</v>
      </c>
      <c r="C43" s="55" t="str">
        <f>IF($B43&lt;&gt;"",VLOOKUP($B43,ORC!$E:$N,4,0),"")</f>
        <v>PINTURA</v>
      </c>
      <c r="D43" s="49" t="e">
        <f>+BC43/BC$136</f>
        <v>#REF!</v>
      </c>
      <c r="E43" s="50">
        <f t="shared" ref="E43:AH43" si="24">IF(E44&lt;&gt;"",E44*$BC43,0)</f>
        <v>0</v>
      </c>
      <c r="F43" s="50">
        <f t="shared" si="24"/>
        <v>0</v>
      </c>
      <c r="G43" s="50">
        <f t="shared" si="24"/>
        <v>0</v>
      </c>
      <c r="H43" s="50">
        <f t="shared" si="24"/>
        <v>0</v>
      </c>
      <c r="I43" s="50">
        <f t="shared" si="24"/>
        <v>0</v>
      </c>
      <c r="J43" s="50">
        <f t="shared" si="24"/>
        <v>0</v>
      </c>
      <c r="K43" s="50">
        <f t="shared" si="24"/>
        <v>0</v>
      </c>
      <c r="L43" s="50">
        <f t="shared" si="24"/>
        <v>0</v>
      </c>
      <c r="M43" s="50">
        <f t="shared" si="24"/>
        <v>0</v>
      </c>
      <c r="N43" s="50">
        <f t="shared" si="24"/>
        <v>0</v>
      </c>
      <c r="O43" s="50">
        <f t="shared" si="24"/>
        <v>0</v>
      </c>
      <c r="P43" s="50">
        <f t="shared" si="24"/>
        <v>0</v>
      </c>
      <c r="Q43" s="50">
        <f t="shared" si="24"/>
        <v>0</v>
      </c>
      <c r="R43" s="50">
        <f t="shared" si="24"/>
        <v>0</v>
      </c>
      <c r="S43" s="50">
        <f t="shared" si="24"/>
        <v>0</v>
      </c>
      <c r="T43" s="50">
        <f t="shared" si="24"/>
        <v>0</v>
      </c>
      <c r="U43" s="50">
        <f t="shared" si="24"/>
        <v>0</v>
      </c>
      <c r="V43" s="50">
        <f t="shared" si="24"/>
        <v>0</v>
      </c>
      <c r="W43" s="50">
        <f t="shared" si="24"/>
        <v>0</v>
      </c>
      <c r="X43" s="50">
        <f t="shared" si="24"/>
        <v>0</v>
      </c>
      <c r="Y43" s="50">
        <f t="shared" si="24"/>
        <v>0</v>
      </c>
      <c r="Z43" s="50">
        <f t="shared" si="24"/>
        <v>0</v>
      </c>
      <c r="AA43" s="50">
        <f t="shared" si="24"/>
        <v>0</v>
      </c>
      <c r="AB43" s="50">
        <f t="shared" si="24"/>
        <v>0</v>
      </c>
      <c r="AC43" s="50">
        <f t="shared" si="24"/>
        <v>0</v>
      </c>
      <c r="AD43" s="50">
        <f t="shared" si="24"/>
        <v>0</v>
      </c>
      <c r="AE43" s="50">
        <f t="shared" si="24"/>
        <v>0</v>
      </c>
      <c r="AF43" s="50">
        <f t="shared" si="24"/>
        <v>0</v>
      </c>
      <c r="AG43" s="50">
        <f t="shared" si="24"/>
        <v>0</v>
      </c>
      <c r="AH43" s="50">
        <f t="shared" si="24"/>
        <v>0</v>
      </c>
      <c r="AI43" s="423"/>
      <c r="AJ43" s="423"/>
      <c r="AK43" s="50">
        <f t="shared" ref="AK43:BB43" si="25">IF(AK44&lt;&gt;"",AK44*$BC43,0)</f>
        <v>0</v>
      </c>
      <c r="AL43" s="50">
        <f t="shared" si="25"/>
        <v>0</v>
      </c>
      <c r="AM43" s="50">
        <f t="shared" si="25"/>
        <v>0</v>
      </c>
      <c r="AN43" s="50">
        <f t="shared" si="25"/>
        <v>0</v>
      </c>
      <c r="AO43" s="50">
        <f t="shared" si="25"/>
        <v>0</v>
      </c>
      <c r="AP43" s="50">
        <f t="shared" si="25"/>
        <v>0</v>
      </c>
      <c r="AQ43" s="50">
        <f t="shared" si="25"/>
        <v>0</v>
      </c>
      <c r="AR43" s="50">
        <f t="shared" si="25"/>
        <v>0</v>
      </c>
      <c r="AS43" s="50">
        <f t="shared" si="25"/>
        <v>0</v>
      </c>
      <c r="AT43" s="50">
        <f t="shared" si="25"/>
        <v>0</v>
      </c>
      <c r="AU43" s="50">
        <f t="shared" si="25"/>
        <v>0</v>
      </c>
      <c r="AV43" s="50">
        <f t="shared" si="25"/>
        <v>0</v>
      </c>
      <c r="AW43" s="50">
        <f t="shared" si="25"/>
        <v>0</v>
      </c>
      <c r="AX43" s="50">
        <f t="shared" si="25"/>
        <v>0</v>
      </c>
      <c r="AY43" s="50">
        <f t="shared" si="25"/>
        <v>0</v>
      </c>
      <c r="AZ43" s="50">
        <f t="shared" si="25"/>
        <v>0</v>
      </c>
      <c r="BA43" s="50">
        <f t="shared" si="25"/>
        <v>0</v>
      </c>
      <c r="BB43" s="50">
        <f t="shared" si="25"/>
        <v>0</v>
      </c>
      <c r="BC43" s="443" t="e">
        <f>IF($B43&lt;&gt;"",VLOOKUP($B43,RESUMO!$A$11:$H$42,8),"")</f>
        <v>#REF!</v>
      </c>
      <c r="BD43" s="443" t="e">
        <f>IF($B43&lt;&gt;"",VLOOKUP($B43,RESUMO!$A$11:$H$42,6),"")</f>
        <v>#REF!</v>
      </c>
      <c r="BF43" s="424" t="e">
        <f t="shared" si="3"/>
        <v>#REF!</v>
      </c>
      <c r="BG43" s="441"/>
      <c r="BH43" s="297"/>
    </row>
    <row r="44" spans="1:60" s="295" customFormat="1">
      <c r="A44" s="295">
        <v>31</v>
      </c>
      <c r="B44" s="294"/>
      <c r="C44" s="141" t="s">
        <v>3051</v>
      </c>
      <c r="D44" s="139"/>
      <c r="E44" s="425"/>
      <c r="F44" s="425"/>
      <c r="G44" s="425"/>
      <c r="H44" s="425"/>
      <c r="I44" s="425"/>
      <c r="J44" s="425"/>
      <c r="K44" s="425"/>
      <c r="L44" s="425"/>
      <c r="M44" s="425"/>
      <c r="N44" s="425"/>
      <c r="O44" s="425"/>
      <c r="P44" s="425"/>
      <c r="Q44" s="425"/>
      <c r="R44" s="425"/>
      <c r="S44" s="425"/>
      <c r="T44" s="425"/>
      <c r="U44" s="425"/>
      <c r="V44" s="425"/>
      <c r="W44" s="425"/>
      <c r="X44" s="425"/>
      <c r="Y44" s="425"/>
      <c r="Z44" s="425"/>
      <c r="AA44" s="425"/>
      <c r="AB44" s="425"/>
      <c r="AC44" s="425"/>
      <c r="AD44" s="425"/>
      <c r="AE44" s="425"/>
      <c r="AF44" s="425"/>
      <c r="AG44" s="425"/>
      <c r="AH44" s="425"/>
      <c r="AI44" s="422"/>
      <c r="AJ44" s="422"/>
      <c r="AK44" s="425"/>
      <c r="AL44" s="425"/>
      <c r="AM44" s="425"/>
      <c r="AN44" s="425"/>
      <c r="AO44" s="425"/>
      <c r="AP44" s="425"/>
      <c r="AQ44" s="425"/>
      <c r="AR44" s="425"/>
      <c r="AS44" s="425"/>
      <c r="AT44" s="425"/>
      <c r="AU44" s="425"/>
      <c r="AV44" s="425"/>
      <c r="AW44" s="425"/>
      <c r="AX44" s="425"/>
      <c r="AY44" s="425"/>
      <c r="AZ44" s="425"/>
      <c r="BA44" s="425"/>
      <c r="BB44" s="425"/>
      <c r="BC44" s="140"/>
      <c r="BD44" s="140"/>
      <c r="BF44" s="424"/>
      <c r="BG44" s="442">
        <f>SUM(E44:BB44)</f>
        <v>0</v>
      </c>
      <c r="BH44" s="296"/>
    </row>
    <row r="45" spans="1:60" s="292" customFormat="1">
      <c r="A45" s="292">
        <v>32</v>
      </c>
      <c r="B45" s="291">
        <v>16</v>
      </c>
      <c r="C45" s="55" t="str">
        <f>IF($B45&lt;&gt;"",VLOOKUP($B45,ORC!$E:$N,4,0),"")</f>
        <v>SERVIÇOS DIVERSOS</v>
      </c>
      <c r="D45" s="49" t="e">
        <f>+BC45/BC$136</f>
        <v>#REF!</v>
      </c>
      <c r="E45" s="50">
        <f t="shared" ref="E45:AH45" si="26">IF(E46&lt;&gt;"",E46*$BC45,0)</f>
        <v>0</v>
      </c>
      <c r="F45" s="50">
        <f t="shared" si="26"/>
        <v>0</v>
      </c>
      <c r="G45" s="50">
        <f t="shared" si="26"/>
        <v>0</v>
      </c>
      <c r="H45" s="50">
        <f t="shared" si="26"/>
        <v>0</v>
      </c>
      <c r="I45" s="50">
        <f t="shared" si="26"/>
        <v>0</v>
      </c>
      <c r="J45" s="50">
        <f t="shared" si="26"/>
        <v>0</v>
      </c>
      <c r="K45" s="50">
        <f t="shared" si="26"/>
        <v>0</v>
      </c>
      <c r="L45" s="50">
        <f t="shared" si="26"/>
        <v>0</v>
      </c>
      <c r="M45" s="50">
        <f t="shared" si="26"/>
        <v>0</v>
      </c>
      <c r="N45" s="50">
        <f t="shared" si="26"/>
        <v>0</v>
      </c>
      <c r="O45" s="50">
        <f t="shared" si="26"/>
        <v>0</v>
      </c>
      <c r="P45" s="50">
        <f t="shared" si="26"/>
        <v>0</v>
      </c>
      <c r="Q45" s="50">
        <f t="shared" si="26"/>
        <v>0</v>
      </c>
      <c r="R45" s="50">
        <f t="shared" si="26"/>
        <v>0</v>
      </c>
      <c r="S45" s="50">
        <f t="shared" si="26"/>
        <v>0</v>
      </c>
      <c r="T45" s="50">
        <f t="shared" si="26"/>
        <v>0</v>
      </c>
      <c r="U45" s="50">
        <f t="shared" si="26"/>
        <v>0</v>
      </c>
      <c r="V45" s="50">
        <f t="shared" si="26"/>
        <v>0</v>
      </c>
      <c r="W45" s="50">
        <f t="shared" si="26"/>
        <v>0</v>
      </c>
      <c r="X45" s="50">
        <f t="shared" si="26"/>
        <v>0</v>
      </c>
      <c r="Y45" s="50">
        <f t="shared" si="26"/>
        <v>0</v>
      </c>
      <c r="Z45" s="50">
        <f t="shared" si="26"/>
        <v>0</v>
      </c>
      <c r="AA45" s="50">
        <f t="shared" si="26"/>
        <v>0</v>
      </c>
      <c r="AB45" s="50">
        <f t="shared" si="26"/>
        <v>0</v>
      </c>
      <c r="AC45" s="50">
        <f t="shared" si="26"/>
        <v>0</v>
      </c>
      <c r="AD45" s="50">
        <f t="shared" si="26"/>
        <v>0</v>
      </c>
      <c r="AE45" s="50">
        <f t="shared" si="26"/>
        <v>0</v>
      </c>
      <c r="AF45" s="50">
        <f t="shared" si="26"/>
        <v>0</v>
      </c>
      <c r="AG45" s="50">
        <f t="shared" si="26"/>
        <v>0</v>
      </c>
      <c r="AH45" s="50">
        <f t="shared" si="26"/>
        <v>0</v>
      </c>
      <c r="AI45" s="423"/>
      <c r="AJ45" s="423"/>
      <c r="AK45" s="50">
        <f t="shared" ref="AK45:BB45" si="27">IF(AK46&lt;&gt;"",AK46*$BC45,0)</f>
        <v>0</v>
      </c>
      <c r="AL45" s="50">
        <f t="shared" si="27"/>
        <v>0</v>
      </c>
      <c r="AM45" s="50">
        <f t="shared" si="27"/>
        <v>0</v>
      </c>
      <c r="AN45" s="50">
        <f t="shared" si="27"/>
        <v>0</v>
      </c>
      <c r="AO45" s="50">
        <f t="shared" si="27"/>
        <v>0</v>
      </c>
      <c r="AP45" s="50">
        <f t="shared" si="27"/>
        <v>0</v>
      </c>
      <c r="AQ45" s="50">
        <f t="shared" si="27"/>
        <v>0</v>
      </c>
      <c r="AR45" s="50">
        <f t="shared" si="27"/>
        <v>0</v>
      </c>
      <c r="AS45" s="50">
        <f t="shared" si="27"/>
        <v>0</v>
      </c>
      <c r="AT45" s="50">
        <f t="shared" si="27"/>
        <v>0</v>
      </c>
      <c r="AU45" s="50">
        <f t="shared" si="27"/>
        <v>0</v>
      </c>
      <c r="AV45" s="50">
        <f t="shared" si="27"/>
        <v>0</v>
      </c>
      <c r="AW45" s="50">
        <f t="shared" si="27"/>
        <v>0</v>
      </c>
      <c r="AX45" s="50">
        <f t="shared" si="27"/>
        <v>0</v>
      </c>
      <c r="AY45" s="50">
        <f t="shared" si="27"/>
        <v>0</v>
      </c>
      <c r="AZ45" s="50">
        <f t="shared" si="27"/>
        <v>0</v>
      </c>
      <c r="BA45" s="50">
        <f t="shared" si="27"/>
        <v>0</v>
      </c>
      <c r="BB45" s="50">
        <f t="shared" si="27"/>
        <v>0</v>
      </c>
      <c r="BC45" s="443" t="e">
        <f>IF($B45&lt;&gt;"",VLOOKUP($B45,RESUMO!$A$11:$H$42,8),"")</f>
        <v>#REF!</v>
      </c>
      <c r="BD45" s="443" t="e">
        <f>IF($B45&lt;&gt;"",VLOOKUP($B45,RESUMO!$A$11:$H$42,6),"")</f>
        <v>#REF!</v>
      </c>
      <c r="BF45" s="424" t="e">
        <f t="shared" si="3"/>
        <v>#REF!</v>
      </c>
      <c r="BG45" s="441"/>
      <c r="BH45" s="297"/>
    </row>
    <row r="46" spans="1:60" s="295" customFormat="1">
      <c r="A46" s="295">
        <v>33</v>
      </c>
      <c r="B46" s="294"/>
      <c r="C46" s="141" t="s">
        <v>3051</v>
      </c>
      <c r="D46" s="139"/>
      <c r="E46" s="425"/>
      <c r="F46" s="425"/>
      <c r="G46" s="425"/>
      <c r="H46" s="425"/>
      <c r="I46" s="425"/>
      <c r="J46" s="425"/>
      <c r="K46" s="425"/>
      <c r="L46" s="425"/>
      <c r="M46" s="425"/>
      <c r="N46" s="425"/>
      <c r="O46" s="425"/>
      <c r="P46" s="425"/>
      <c r="Q46" s="425"/>
      <c r="R46" s="425"/>
      <c r="S46" s="425"/>
      <c r="T46" s="425"/>
      <c r="U46" s="425"/>
      <c r="V46" s="425"/>
      <c r="W46" s="425"/>
      <c r="X46" s="425"/>
      <c r="Y46" s="425"/>
      <c r="Z46" s="425"/>
      <c r="AA46" s="425"/>
      <c r="AB46" s="425"/>
      <c r="AC46" s="425"/>
      <c r="AD46" s="425"/>
      <c r="AE46" s="425"/>
      <c r="AF46" s="425"/>
      <c r="AG46" s="425"/>
      <c r="AH46" s="425"/>
      <c r="AI46" s="422"/>
      <c r="AJ46" s="422"/>
      <c r="AK46" s="425"/>
      <c r="AL46" s="425"/>
      <c r="AM46" s="425"/>
      <c r="AN46" s="425"/>
      <c r="AO46" s="425"/>
      <c r="AP46" s="425"/>
      <c r="AQ46" s="425"/>
      <c r="AR46" s="425"/>
      <c r="AS46" s="425"/>
      <c r="AT46" s="425"/>
      <c r="AU46" s="425"/>
      <c r="AV46" s="425"/>
      <c r="AW46" s="425"/>
      <c r="AX46" s="425"/>
      <c r="AY46" s="425"/>
      <c r="AZ46" s="425"/>
      <c r="BA46" s="425"/>
      <c r="BB46" s="425"/>
      <c r="BC46" s="140"/>
      <c r="BD46" s="140"/>
      <c r="BF46" s="424"/>
      <c r="BG46" s="442">
        <f>SUM(E46:BB46)</f>
        <v>0</v>
      </c>
      <c r="BH46" s="296"/>
    </row>
    <row r="47" spans="1:60" s="292" customFormat="1">
      <c r="A47" s="292">
        <v>34</v>
      </c>
      <c r="B47" s="291">
        <v>17</v>
      </c>
      <c r="C47" s="55" t="str">
        <f>IF($B47&lt;&gt;"",VLOOKUP($B47,ORC!$E:$N,4,0),"")</f>
        <v>PAVIMENTAÇÃO</v>
      </c>
      <c r="D47" s="49" t="e">
        <f>+BC47/BC$136</f>
        <v>#REF!</v>
      </c>
      <c r="E47" s="50">
        <f t="shared" ref="E47:AH47" si="28">IF(E48&lt;&gt;"",E48*$BC47,0)</f>
        <v>0</v>
      </c>
      <c r="F47" s="50">
        <f t="shared" si="28"/>
        <v>0</v>
      </c>
      <c r="G47" s="50">
        <f t="shared" si="28"/>
        <v>0</v>
      </c>
      <c r="H47" s="50">
        <f t="shared" si="28"/>
        <v>0</v>
      </c>
      <c r="I47" s="50">
        <f t="shared" si="28"/>
        <v>0</v>
      </c>
      <c r="J47" s="50">
        <f t="shared" si="28"/>
        <v>0</v>
      </c>
      <c r="K47" s="50">
        <f t="shared" si="28"/>
        <v>0</v>
      </c>
      <c r="L47" s="50">
        <f t="shared" si="28"/>
        <v>0</v>
      </c>
      <c r="M47" s="50">
        <f t="shared" si="28"/>
        <v>0</v>
      </c>
      <c r="N47" s="50">
        <f t="shared" si="28"/>
        <v>0</v>
      </c>
      <c r="O47" s="50">
        <f t="shared" si="28"/>
        <v>0</v>
      </c>
      <c r="P47" s="50">
        <f t="shared" si="28"/>
        <v>0</v>
      </c>
      <c r="Q47" s="50">
        <f t="shared" si="28"/>
        <v>0</v>
      </c>
      <c r="R47" s="50">
        <f t="shared" si="28"/>
        <v>0</v>
      </c>
      <c r="S47" s="50">
        <f t="shared" si="28"/>
        <v>0</v>
      </c>
      <c r="T47" s="50">
        <f t="shared" si="28"/>
        <v>0</v>
      </c>
      <c r="U47" s="50">
        <f t="shared" si="28"/>
        <v>0</v>
      </c>
      <c r="V47" s="50">
        <f t="shared" si="28"/>
        <v>0</v>
      </c>
      <c r="W47" s="50">
        <f t="shared" si="28"/>
        <v>0</v>
      </c>
      <c r="X47" s="50">
        <f t="shared" si="28"/>
        <v>0</v>
      </c>
      <c r="Y47" s="50">
        <f t="shared" si="28"/>
        <v>0</v>
      </c>
      <c r="Z47" s="50">
        <f t="shared" si="28"/>
        <v>0</v>
      </c>
      <c r="AA47" s="50">
        <f t="shared" si="28"/>
        <v>0</v>
      </c>
      <c r="AB47" s="50">
        <f t="shared" si="28"/>
        <v>0</v>
      </c>
      <c r="AC47" s="50">
        <f t="shared" si="28"/>
        <v>0</v>
      </c>
      <c r="AD47" s="50">
        <f t="shared" si="28"/>
        <v>0</v>
      </c>
      <c r="AE47" s="50">
        <f t="shared" si="28"/>
        <v>0</v>
      </c>
      <c r="AF47" s="50">
        <f t="shared" si="28"/>
        <v>0</v>
      </c>
      <c r="AG47" s="50">
        <f t="shared" si="28"/>
        <v>0</v>
      </c>
      <c r="AH47" s="50">
        <f t="shared" si="28"/>
        <v>0</v>
      </c>
      <c r="AI47" s="423"/>
      <c r="AJ47" s="423"/>
      <c r="AK47" s="50">
        <f t="shared" ref="AK47:BB47" si="29">IF(AK48&lt;&gt;"",AK48*$BC47,0)</f>
        <v>0</v>
      </c>
      <c r="AL47" s="50">
        <f t="shared" si="29"/>
        <v>0</v>
      </c>
      <c r="AM47" s="50">
        <f t="shared" si="29"/>
        <v>0</v>
      </c>
      <c r="AN47" s="50">
        <f t="shared" si="29"/>
        <v>0</v>
      </c>
      <c r="AO47" s="50">
        <f t="shared" si="29"/>
        <v>0</v>
      </c>
      <c r="AP47" s="50">
        <f t="shared" si="29"/>
        <v>0</v>
      </c>
      <c r="AQ47" s="50">
        <f t="shared" si="29"/>
        <v>0</v>
      </c>
      <c r="AR47" s="50">
        <f t="shared" si="29"/>
        <v>0</v>
      </c>
      <c r="AS47" s="50">
        <f t="shared" si="29"/>
        <v>0</v>
      </c>
      <c r="AT47" s="50">
        <f t="shared" si="29"/>
        <v>0</v>
      </c>
      <c r="AU47" s="50">
        <f t="shared" si="29"/>
        <v>0</v>
      </c>
      <c r="AV47" s="50">
        <f t="shared" si="29"/>
        <v>0</v>
      </c>
      <c r="AW47" s="50">
        <f t="shared" si="29"/>
        <v>0</v>
      </c>
      <c r="AX47" s="50">
        <f t="shared" si="29"/>
        <v>0</v>
      </c>
      <c r="AY47" s="50">
        <f t="shared" si="29"/>
        <v>0</v>
      </c>
      <c r="AZ47" s="50">
        <f t="shared" si="29"/>
        <v>0</v>
      </c>
      <c r="BA47" s="50">
        <f t="shared" si="29"/>
        <v>0</v>
      </c>
      <c r="BB47" s="50">
        <f t="shared" si="29"/>
        <v>0</v>
      </c>
      <c r="BC47" s="443" t="e">
        <f>IF($B47&lt;&gt;"",VLOOKUP($B47,RESUMO!$A$11:$H$42,8),"")</f>
        <v>#REF!</v>
      </c>
      <c r="BD47" s="443" t="e">
        <f>IF($B47&lt;&gt;"",VLOOKUP($B47,RESUMO!$A$11:$H$42,6),"")</f>
        <v>#REF!</v>
      </c>
      <c r="BF47" s="424" t="e">
        <f t="shared" si="3"/>
        <v>#REF!</v>
      </c>
      <c r="BG47" s="441"/>
      <c r="BH47" s="297"/>
    </row>
    <row r="48" spans="1:60" s="295" customFormat="1">
      <c r="A48" s="295">
        <v>35</v>
      </c>
      <c r="B48" s="294"/>
      <c r="C48" s="141" t="s">
        <v>3051</v>
      </c>
      <c r="D48" s="139"/>
      <c r="E48" s="425"/>
      <c r="F48" s="425"/>
      <c r="G48" s="425"/>
      <c r="H48" s="425"/>
      <c r="I48" s="425"/>
      <c r="J48" s="425"/>
      <c r="K48" s="425"/>
      <c r="L48" s="425"/>
      <c r="M48" s="425"/>
      <c r="N48" s="425"/>
      <c r="O48" s="425"/>
      <c r="P48" s="425"/>
      <c r="Q48" s="425"/>
      <c r="R48" s="425"/>
      <c r="S48" s="425"/>
      <c r="T48" s="425"/>
      <c r="U48" s="425"/>
      <c r="V48" s="425"/>
      <c r="W48" s="425"/>
      <c r="X48" s="425"/>
      <c r="Y48" s="425"/>
      <c r="Z48" s="425"/>
      <c r="AA48" s="425"/>
      <c r="AB48" s="425"/>
      <c r="AC48" s="425"/>
      <c r="AD48" s="425"/>
      <c r="AE48" s="425"/>
      <c r="AF48" s="425"/>
      <c r="AG48" s="425"/>
      <c r="AH48" s="425"/>
      <c r="AI48" s="422"/>
      <c r="AJ48" s="422"/>
      <c r="AK48" s="425"/>
      <c r="AL48" s="425"/>
      <c r="AM48" s="425"/>
      <c r="AN48" s="425"/>
      <c r="AO48" s="425"/>
      <c r="AP48" s="425"/>
      <c r="AQ48" s="425"/>
      <c r="AR48" s="425"/>
      <c r="AS48" s="425"/>
      <c r="AT48" s="425"/>
      <c r="AU48" s="425"/>
      <c r="AV48" s="425"/>
      <c r="AW48" s="425"/>
      <c r="AX48" s="425"/>
      <c r="AY48" s="425"/>
      <c r="AZ48" s="425"/>
      <c r="BA48" s="425"/>
      <c r="BB48" s="425"/>
      <c r="BC48" s="140"/>
      <c r="BD48" s="140"/>
      <c r="BF48" s="424"/>
      <c r="BG48" s="442">
        <f>SUM(E48:BB48)</f>
        <v>0</v>
      </c>
      <c r="BH48" s="296"/>
    </row>
    <row r="49" spans="1:60" s="292" customFormat="1">
      <c r="A49" s="292">
        <v>36</v>
      </c>
      <c r="B49" s="291">
        <v>18</v>
      </c>
      <c r="C49" s="55" t="str">
        <f>IF($B49&lt;&gt;"",VLOOKUP($B49,ORC!$E:$N,4,0),"")</f>
        <v xml:space="preserve">LIMPEZA FINAL DE OBRA </v>
      </c>
      <c r="D49" s="49" t="e">
        <f>+BC49/BC$136</f>
        <v>#REF!</v>
      </c>
      <c r="E49" s="50">
        <f t="shared" ref="E49:AH49" si="30">IF(E50&lt;&gt;"",E50*$BC49,0)</f>
        <v>0</v>
      </c>
      <c r="F49" s="50">
        <f t="shared" si="30"/>
        <v>0</v>
      </c>
      <c r="G49" s="50">
        <f t="shared" si="30"/>
        <v>0</v>
      </c>
      <c r="H49" s="50">
        <f t="shared" si="30"/>
        <v>0</v>
      </c>
      <c r="I49" s="50">
        <f t="shared" si="30"/>
        <v>0</v>
      </c>
      <c r="J49" s="50">
        <f t="shared" si="30"/>
        <v>0</v>
      </c>
      <c r="K49" s="50">
        <f t="shared" si="30"/>
        <v>0</v>
      </c>
      <c r="L49" s="50">
        <f t="shared" si="30"/>
        <v>0</v>
      </c>
      <c r="M49" s="50">
        <f t="shared" si="30"/>
        <v>0</v>
      </c>
      <c r="N49" s="50">
        <f t="shared" si="30"/>
        <v>0</v>
      </c>
      <c r="O49" s="50">
        <f t="shared" si="30"/>
        <v>0</v>
      </c>
      <c r="P49" s="50">
        <f t="shared" si="30"/>
        <v>0</v>
      </c>
      <c r="Q49" s="50">
        <f t="shared" si="30"/>
        <v>0</v>
      </c>
      <c r="R49" s="50">
        <f t="shared" si="30"/>
        <v>0</v>
      </c>
      <c r="S49" s="50">
        <f t="shared" si="30"/>
        <v>0</v>
      </c>
      <c r="T49" s="50">
        <f t="shared" si="30"/>
        <v>0</v>
      </c>
      <c r="U49" s="50">
        <f t="shared" si="30"/>
        <v>0</v>
      </c>
      <c r="V49" s="50">
        <f t="shared" si="30"/>
        <v>0</v>
      </c>
      <c r="W49" s="50">
        <f t="shared" si="30"/>
        <v>0</v>
      </c>
      <c r="X49" s="50">
        <f t="shared" si="30"/>
        <v>0</v>
      </c>
      <c r="Y49" s="50">
        <f t="shared" si="30"/>
        <v>0</v>
      </c>
      <c r="Z49" s="50">
        <f t="shared" si="30"/>
        <v>0</v>
      </c>
      <c r="AA49" s="50">
        <f t="shared" si="30"/>
        <v>0</v>
      </c>
      <c r="AB49" s="50">
        <f t="shared" si="30"/>
        <v>0</v>
      </c>
      <c r="AC49" s="50">
        <f t="shared" si="30"/>
        <v>0</v>
      </c>
      <c r="AD49" s="50">
        <f t="shared" si="30"/>
        <v>0</v>
      </c>
      <c r="AE49" s="50">
        <f t="shared" si="30"/>
        <v>0</v>
      </c>
      <c r="AF49" s="50">
        <f t="shared" si="30"/>
        <v>0</v>
      </c>
      <c r="AG49" s="50">
        <f t="shared" si="30"/>
        <v>0</v>
      </c>
      <c r="AH49" s="50">
        <f t="shared" si="30"/>
        <v>0</v>
      </c>
      <c r="AI49" s="423"/>
      <c r="AJ49" s="423"/>
      <c r="AK49" s="50">
        <f t="shared" ref="AK49:BB49" si="31">IF(AK50&lt;&gt;"",AK50*$BC49,0)</f>
        <v>0</v>
      </c>
      <c r="AL49" s="50">
        <f t="shared" si="31"/>
        <v>0</v>
      </c>
      <c r="AM49" s="50">
        <f t="shared" si="31"/>
        <v>0</v>
      </c>
      <c r="AN49" s="50">
        <f t="shared" si="31"/>
        <v>0</v>
      </c>
      <c r="AO49" s="50">
        <f t="shared" si="31"/>
        <v>0</v>
      </c>
      <c r="AP49" s="50">
        <f t="shared" si="31"/>
        <v>0</v>
      </c>
      <c r="AQ49" s="50">
        <f t="shared" si="31"/>
        <v>0</v>
      </c>
      <c r="AR49" s="50">
        <f t="shared" si="31"/>
        <v>0</v>
      </c>
      <c r="AS49" s="50">
        <f t="shared" si="31"/>
        <v>0</v>
      </c>
      <c r="AT49" s="50">
        <f t="shared" si="31"/>
        <v>0</v>
      </c>
      <c r="AU49" s="50">
        <f t="shared" si="31"/>
        <v>0</v>
      </c>
      <c r="AV49" s="50">
        <f t="shared" si="31"/>
        <v>0</v>
      </c>
      <c r="AW49" s="50">
        <f t="shared" si="31"/>
        <v>0</v>
      </c>
      <c r="AX49" s="50">
        <f t="shared" si="31"/>
        <v>0</v>
      </c>
      <c r="AY49" s="50">
        <f t="shared" si="31"/>
        <v>0</v>
      </c>
      <c r="AZ49" s="50">
        <f t="shared" si="31"/>
        <v>0</v>
      </c>
      <c r="BA49" s="50">
        <f t="shared" si="31"/>
        <v>0</v>
      </c>
      <c r="BB49" s="50">
        <f t="shared" si="31"/>
        <v>0</v>
      </c>
      <c r="BC49" s="443" t="e">
        <f>IF($B49&lt;&gt;"",VLOOKUP($B49,RESUMO!$A$11:$H$42,8),"")</f>
        <v>#REF!</v>
      </c>
      <c r="BD49" s="443" t="e">
        <f>IF($B49&lt;&gt;"",VLOOKUP($B49,RESUMO!$A$11:$H$42,6),"")</f>
        <v>#REF!</v>
      </c>
      <c r="BF49" s="424" t="e">
        <f t="shared" si="3"/>
        <v>#REF!</v>
      </c>
      <c r="BG49" s="441"/>
      <c r="BH49" s="297"/>
    </row>
    <row r="50" spans="1:60" s="295" customFormat="1">
      <c r="A50" s="295">
        <v>37</v>
      </c>
      <c r="B50" s="294"/>
      <c r="C50" s="141" t="s">
        <v>3051</v>
      </c>
      <c r="D50" s="139"/>
      <c r="E50" s="425"/>
      <c r="F50" s="425"/>
      <c r="G50" s="425"/>
      <c r="H50" s="425"/>
      <c r="I50" s="425"/>
      <c r="J50" s="425"/>
      <c r="K50" s="425"/>
      <c r="L50" s="425"/>
      <c r="M50" s="425"/>
      <c r="N50" s="425"/>
      <c r="O50" s="425"/>
      <c r="P50" s="425"/>
      <c r="Q50" s="425"/>
      <c r="R50" s="425"/>
      <c r="S50" s="425"/>
      <c r="T50" s="425"/>
      <c r="U50" s="425"/>
      <c r="V50" s="425"/>
      <c r="W50" s="425"/>
      <c r="X50" s="425"/>
      <c r="Y50" s="425"/>
      <c r="Z50" s="425"/>
      <c r="AA50" s="425"/>
      <c r="AB50" s="425"/>
      <c r="AC50" s="425"/>
      <c r="AD50" s="425"/>
      <c r="AE50" s="425"/>
      <c r="AF50" s="425"/>
      <c r="AG50" s="425"/>
      <c r="AH50" s="425"/>
      <c r="AI50" s="422"/>
      <c r="AJ50" s="422"/>
      <c r="AK50" s="425"/>
      <c r="AL50" s="425"/>
      <c r="AM50" s="425"/>
      <c r="AN50" s="425"/>
      <c r="AO50" s="425"/>
      <c r="AP50" s="425"/>
      <c r="AQ50" s="425"/>
      <c r="AR50" s="425"/>
      <c r="AS50" s="425"/>
      <c r="AT50" s="425"/>
      <c r="AU50" s="425"/>
      <c r="AV50" s="425"/>
      <c r="AW50" s="425"/>
      <c r="AX50" s="425"/>
      <c r="AY50" s="425"/>
      <c r="AZ50" s="425"/>
      <c r="BA50" s="425"/>
      <c r="BB50" s="425"/>
      <c r="BC50" s="140"/>
      <c r="BD50" s="140"/>
      <c r="BF50" s="424"/>
      <c r="BG50" s="442">
        <f>SUM(E50:BB50)</f>
        <v>0</v>
      </c>
      <c r="BH50" s="296"/>
    </row>
    <row r="51" spans="1:60" s="292" customFormat="1">
      <c r="A51" s="292">
        <v>38</v>
      </c>
      <c r="B51" s="291">
        <v>19</v>
      </c>
      <c r="C51" s="55" t="e">
        <f>IF($B51&lt;&gt;"",VLOOKUP($B51,ORC!$E:$N,4,0),"")</f>
        <v>#N/A</v>
      </c>
      <c r="D51" s="49" t="e">
        <f>+BC51/BC$136</f>
        <v>#REF!</v>
      </c>
      <c r="E51" s="50">
        <f>IF(E52&lt;&gt;"",E52*$BC51,0)</f>
        <v>0</v>
      </c>
      <c r="F51" s="50">
        <f t="shared" ref="F51:AH51" si="32">IF(F52&lt;&gt;"",F52*$BC51,0)</f>
        <v>0</v>
      </c>
      <c r="G51" s="50">
        <f t="shared" si="32"/>
        <v>0</v>
      </c>
      <c r="H51" s="50">
        <f t="shared" si="32"/>
        <v>0</v>
      </c>
      <c r="I51" s="50">
        <f t="shared" si="32"/>
        <v>0</v>
      </c>
      <c r="J51" s="50">
        <f t="shared" si="32"/>
        <v>0</v>
      </c>
      <c r="K51" s="50">
        <f t="shared" si="32"/>
        <v>0</v>
      </c>
      <c r="L51" s="50">
        <f t="shared" si="32"/>
        <v>0</v>
      </c>
      <c r="M51" s="50">
        <f t="shared" si="32"/>
        <v>0</v>
      </c>
      <c r="N51" s="50">
        <f t="shared" si="32"/>
        <v>0</v>
      </c>
      <c r="O51" s="50">
        <f t="shared" si="32"/>
        <v>0</v>
      </c>
      <c r="P51" s="50">
        <f t="shared" si="32"/>
        <v>0</v>
      </c>
      <c r="Q51" s="50">
        <f t="shared" si="32"/>
        <v>0</v>
      </c>
      <c r="R51" s="50">
        <f t="shared" si="32"/>
        <v>0</v>
      </c>
      <c r="S51" s="50">
        <f t="shared" si="32"/>
        <v>0</v>
      </c>
      <c r="T51" s="50">
        <f t="shared" si="32"/>
        <v>0</v>
      </c>
      <c r="U51" s="50">
        <f t="shared" si="32"/>
        <v>0</v>
      </c>
      <c r="V51" s="50">
        <f t="shared" si="32"/>
        <v>0</v>
      </c>
      <c r="W51" s="50">
        <f t="shared" si="32"/>
        <v>0</v>
      </c>
      <c r="X51" s="50">
        <f t="shared" si="32"/>
        <v>0</v>
      </c>
      <c r="Y51" s="50">
        <f t="shared" si="32"/>
        <v>0</v>
      </c>
      <c r="Z51" s="50">
        <f t="shared" si="32"/>
        <v>0</v>
      </c>
      <c r="AA51" s="50">
        <f t="shared" si="32"/>
        <v>0</v>
      </c>
      <c r="AB51" s="50">
        <f t="shared" si="32"/>
        <v>0</v>
      </c>
      <c r="AC51" s="50">
        <f t="shared" si="32"/>
        <v>0</v>
      </c>
      <c r="AD51" s="50">
        <f t="shared" si="32"/>
        <v>0</v>
      </c>
      <c r="AE51" s="50">
        <f t="shared" si="32"/>
        <v>0</v>
      </c>
      <c r="AF51" s="50">
        <f t="shared" si="32"/>
        <v>0</v>
      </c>
      <c r="AG51" s="50">
        <f t="shared" si="32"/>
        <v>0</v>
      </c>
      <c r="AH51" s="50">
        <f t="shared" si="32"/>
        <v>0</v>
      </c>
      <c r="AI51" s="423"/>
      <c r="AJ51" s="423"/>
      <c r="AK51" s="50">
        <f t="shared" ref="AK51:BB51" si="33">IF(AK52&lt;&gt;"",AK52*$BC51,0)</f>
        <v>0</v>
      </c>
      <c r="AL51" s="50">
        <f t="shared" si="33"/>
        <v>0</v>
      </c>
      <c r="AM51" s="50">
        <f t="shared" si="33"/>
        <v>0</v>
      </c>
      <c r="AN51" s="50">
        <f t="shared" si="33"/>
        <v>0</v>
      </c>
      <c r="AO51" s="50">
        <f t="shared" si="33"/>
        <v>0</v>
      </c>
      <c r="AP51" s="50">
        <f t="shared" si="33"/>
        <v>0</v>
      </c>
      <c r="AQ51" s="50">
        <f t="shared" si="33"/>
        <v>0</v>
      </c>
      <c r="AR51" s="50">
        <f t="shared" si="33"/>
        <v>0</v>
      </c>
      <c r="AS51" s="50">
        <f t="shared" si="33"/>
        <v>0</v>
      </c>
      <c r="AT51" s="50">
        <f t="shared" si="33"/>
        <v>0</v>
      </c>
      <c r="AU51" s="50">
        <f t="shared" si="33"/>
        <v>0</v>
      </c>
      <c r="AV51" s="50">
        <f t="shared" si="33"/>
        <v>0</v>
      </c>
      <c r="AW51" s="50">
        <f t="shared" si="33"/>
        <v>0</v>
      </c>
      <c r="AX51" s="50">
        <f t="shared" si="33"/>
        <v>0</v>
      </c>
      <c r="AY51" s="50">
        <f t="shared" si="33"/>
        <v>0</v>
      </c>
      <c r="AZ51" s="50">
        <f t="shared" si="33"/>
        <v>0</v>
      </c>
      <c r="BA51" s="50">
        <f t="shared" si="33"/>
        <v>0</v>
      </c>
      <c r="BB51" s="50">
        <f t="shared" si="33"/>
        <v>0</v>
      </c>
      <c r="BC51" s="443" t="e">
        <f>IF($B51&lt;&gt;"",VLOOKUP($B51,RESUMO!$A$11:$H$42,8),"")</f>
        <v>#REF!</v>
      </c>
      <c r="BD51" s="443" t="e">
        <f>IF($B51&lt;&gt;"",VLOOKUP($B51,RESUMO!$A$11:$H$42,6),"")</f>
        <v>#REF!</v>
      </c>
      <c r="BF51" s="424" t="e">
        <f t="shared" si="3"/>
        <v>#REF!</v>
      </c>
      <c r="BG51" s="441"/>
      <c r="BH51" s="297"/>
    </row>
    <row r="52" spans="1:60" s="295" customFormat="1">
      <c r="A52" s="295">
        <v>39</v>
      </c>
      <c r="B52" s="294"/>
      <c r="C52" s="141" t="s">
        <v>3051</v>
      </c>
      <c r="D52" s="139"/>
      <c r="E52" s="425"/>
      <c r="F52" s="425"/>
      <c r="G52" s="425"/>
      <c r="H52" s="425"/>
      <c r="I52" s="425"/>
      <c r="J52" s="425"/>
      <c r="K52" s="425"/>
      <c r="L52" s="425"/>
      <c r="M52" s="425"/>
      <c r="N52" s="425"/>
      <c r="O52" s="425"/>
      <c r="P52" s="425"/>
      <c r="Q52" s="425"/>
      <c r="R52" s="425"/>
      <c r="S52" s="425"/>
      <c r="T52" s="425"/>
      <c r="U52" s="425"/>
      <c r="V52" s="425"/>
      <c r="W52" s="425"/>
      <c r="X52" s="425"/>
      <c r="Y52" s="425"/>
      <c r="Z52" s="425"/>
      <c r="AA52" s="425"/>
      <c r="AB52" s="425"/>
      <c r="AC52" s="425"/>
      <c r="AD52" s="425"/>
      <c r="AE52" s="425"/>
      <c r="AF52" s="425"/>
      <c r="AG52" s="425"/>
      <c r="AH52" s="425"/>
      <c r="AI52" s="422"/>
      <c r="AJ52" s="422"/>
      <c r="AK52" s="425"/>
      <c r="AL52" s="425"/>
      <c r="AM52" s="425"/>
      <c r="AN52" s="425"/>
      <c r="AO52" s="425"/>
      <c r="AP52" s="425"/>
      <c r="AQ52" s="425"/>
      <c r="AR52" s="425"/>
      <c r="AS52" s="425"/>
      <c r="AT52" s="425"/>
      <c r="AU52" s="425"/>
      <c r="AV52" s="425"/>
      <c r="AW52" s="425"/>
      <c r="AX52" s="425"/>
      <c r="AY52" s="425"/>
      <c r="AZ52" s="425"/>
      <c r="BA52" s="425"/>
      <c r="BB52" s="425"/>
      <c r="BC52" s="140"/>
      <c r="BD52" s="140"/>
      <c r="BF52" s="424"/>
      <c r="BG52" s="442">
        <f>SUM(E52:BB52)</f>
        <v>0</v>
      </c>
      <c r="BH52" s="296"/>
    </row>
    <row r="53" spans="1:60" s="292" customFormat="1">
      <c r="A53" s="292">
        <v>40</v>
      </c>
      <c r="B53" s="291">
        <v>20</v>
      </c>
      <c r="C53" s="55" t="e">
        <f>IF($B53&lt;&gt;"",VLOOKUP($B53,ORC!$E:$N,4,0),"")</f>
        <v>#N/A</v>
      </c>
      <c r="D53" s="49" t="e">
        <f>+BC53/BC$136</f>
        <v>#REF!</v>
      </c>
      <c r="E53" s="50">
        <f t="shared" ref="E53:AH53" si="34">IF(E54&lt;&gt;"",E54*$BC53,0)</f>
        <v>0</v>
      </c>
      <c r="F53" s="50">
        <f t="shared" si="34"/>
        <v>0</v>
      </c>
      <c r="G53" s="50">
        <f t="shared" si="34"/>
        <v>0</v>
      </c>
      <c r="H53" s="50">
        <f t="shared" si="34"/>
        <v>0</v>
      </c>
      <c r="I53" s="50">
        <f t="shared" si="34"/>
        <v>0</v>
      </c>
      <c r="J53" s="50">
        <f t="shared" si="34"/>
        <v>0</v>
      </c>
      <c r="K53" s="50">
        <f t="shared" si="34"/>
        <v>0</v>
      </c>
      <c r="L53" s="50">
        <f t="shared" si="34"/>
        <v>0</v>
      </c>
      <c r="M53" s="50">
        <f t="shared" si="34"/>
        <v>0</v>
      </c>
      <c r="N53" s="50">
        <f t="shared" si="34"/>
        <v>0</v>
      </c>
      <c r="O53" s="50">
        <f t="shared" si="34"/>
        <v>0</v>
      </c>
      <c r="P53" s="50">
        <f t="shared" si="34"/>
        <v>0</v>
      </c>
      <c r="Q53" s="50">
        <f t="shared" si="34"/>
        <v>0</v>
      </c>
      <c r="R53" s="50">
        <f t="shared" si="34"/>
        <v>0</v>
      </c>
      <c r="S53" s="50">
        <f t="shared" si="34"/>
        <v>0</v>
      </c>
      <c r="T53" s="50">
        <f t="shared" si="34"/>
        <v>0</v>
      </c>
      <c r="U53" s="50">
        <f t="shared" si="34"/>
        <v>0</v>
      </c>
      <c r="V53" s="50">
        <f t="shared" si="34"/>
        <v>0</v>
      </c>
      <c r="W53" s="50">
        <f t="shared" si="34"/>
        <v>0</v>
      </c>
      <c r="X53" s="50">
        <f t="shared" si="34"/>
        <v>0</v>
      </c>
      <c r="Y53" s="50">
        <f t="shared" si="34"/>
        <v>0</v>
      </c>
      <c r="Z53" s="50">
        <f t="shared" si="34"/>
        <v>0</v>
      </c>
      <c r="AA53" s="50">
        <f t="shared" si="34"/>
        <v>0</v>
      </c>
      <c r="AB53" s="50">
        <f t="shared" si="34"/>
        <v>0</v>
      </c>
      <c r="AC53" s="50">
        <f t="shared" si="34"/>
        <v>0</v>
      </c>
      <c r="AD53" s="50">
        <f t="shared" si="34"/>
        <v>0</v>
      </c>
      <c r="AE53" s="50">
        <f t="shared" si="34"/>
        <v>0</v>
      </c>
      <c r="AF53" s="50">
        <f t="shared" si="34"/>
        <v>0</v>
      </c>
      <c r="AG53" s="50">
        <f t="shared" si="34"/>
        <v>0</v>
      </c>
      <c r="AH53" s="50">
        <f t="shared" si="34"/>
        <v>0</v>
      </c>
      <c r="AI53" s="423"/>
      <c r="AJ53" s="423"/>
      <c r="AK53" s="50">
        <f t="shared" ref="AK53:BB53" si="35">IF(AK54&lt;&gt;"",AK54*$BC53,0)</f>
        <v>0</v>
      </c>
      <c r="AL53" s="50">
        <f t="shared" si="35"/>
        <v>0</v>
      </c>
      <c r="AM53" s="50">
        <f t="shared" si="35"/>
        <v>0</v>
      </c>
      <c r="AN53" s="50">
        <f t="shared" si="35"/>
        <v>0</v>
      </c>
      <c r="AO53" s="50">
        <f t="shared" si="35"/>
        <v>0</v>
      </c>
      <c r="AP53" s="50">
        <f t="shared" si="35"/>
        <v>0</v>
      </c>
      <c r="AQ53" s="50">
        <f t="shared" si="35"/>
        <v>0</v>
      </c>
      <c r="AR53" s="50">
        <f t="shared" si="35"/>
        <v>0</v>
      </c>
      <c r="AS53" s="50">
        <f t="shared" si="35"/>
        <v>0</v>
      </c>
      <c r="AT53" s="50">
        <f t="shared" si="35"/>
        <v>0</v>
      </c>
      <c r="AU53" s="50">
        <f t="shared" si="35"/>
        <v>0</v>
      </c>
      <c r="AV53" s="50">
        <f t="shared" si="35"/>
        <v>0</v>
      </c>
      <c r="AW53" s="50">
        <f t="shared" si="35"/>
        <v>0</v>
      </c>
      <c r="AX53" s="50">
        <f t="shared" si="35"/>
        <v>0</v>
      </c>
      <c r="AY53" s="50">
        <f t="shared" si="35"/>
        <v>0</v>
      </c>
      <c r="AZ53" s="50">
        <f t="shared" si="35"/>
        <v>0</v>
      </c>
      <c r="BA53" s="50">
        <f t="shared" si="35"/>
        <v>0</v>
      </c>
      <c r="BB53" s="50">
        <f t="shared" si="35"/>
        <v>0</v>
      </c>
      <c r="BC53" s="443" t="e">
        <f>IF($B53&lt;&gt;"",VLOOKUP($B53,RESUMO!$A$11:$H$42,8),"")</f>
        <v>#REF!</v>
      </c>
      <c r="BD53" s="443" t="e">
        <f>IF($B53&lt;&gt;"",VLOOKUP($B53,RESUMO!$A$11:$H$42,6),"")</f>
        <v>#REF!</v>
      </c>
      <c r="BF53" s="424" t="e">
        <f t="shared" si="3"/>
        <v>#REF!</v>
      </c>
      <c r="BG53" s="441"/>
      <c r="BH53" s="297"/>
    </row>
    <row r="54" spans="1:60" s="295" customFormat="1">
      <c r="A54" s="295">
        <v>41</v>
      </c>
      <c r="B54" s="294"/>
      <c r="C54" s="141" t="s">
        <v>3051</v>
      </c>
      <c r="D54" s="139"/>
      <c r="E54" s="425"/>
      <c r="F54" s="425"/>
      <c r="G54" s="425"/>
      <c r="H54" s="425"/>
      <c r="I54" s="425"/>
      <c r="J54" s="425"/>
      <c r="K54" s="425"/>
      <c r="L54" s="425"/>
      <c r="M54" s="425"/>
      <c r="N54" s="425"/>
      <c r="O54" s="425"/>
      <c r="P54" s="425"/>
      <c r="Q54" s="425"/>
      <c r="R54" s="425"/>
      <c r="S54" s="425"/>
      <c r="T54" s="425"/>
      <c r="U54" s="425"/>
      <c r="V54" s="425"/>
      <c r="W54" s="425"/>
      <c r="X54" s="425"/>
      <c r="Y54" s="425"/>
      <c r="Z54" s="425"/>
      <c r="AA54" s="425"/>
      <c r="AB54" s="425"/>
      <c r="AC54" s="425"/>
      <c r="AD54" s="425"/>
      <c r="AE54" s="425"/>
      <c r="AF54" s="425"/>
      <c r="AG54" s="425"/>
      <c r="AH54" s="425"/>
      <c r="AI54" s="422"/>
      <c r="AJ54" s="422"/>
      <c r="AK54" s="425"/>
      <c r="AL54" s="425"/>
      <c r="AM54" s="425"/>
      <c r="AN54" s="425"/>
      <c r="AO54" s="425"/>
      <c r="AP54" s="425"/>
      <c r="AQ54" s="425"/>
      <c r="AR54" s="425"/>
      <c r="AS54" s="425"/>
      <c r="AT54" s="425"/>
      <c r="AU54" s="425"/>
      <c r="AV54" s="425"/>
      <c r="AW54" s="425"/>
      <c r="AX54" s="425"/>
      <c r="AY54" s="425"/>
      <c r="AZ54" s="425"/>
      <c r="BA54" s="425"/>
      <c r="BB54" s="425"/>
      <c r="BC54" s="140"/>
      <c r="BD54" s="140"/>
      <c r="BF54" s="424"/>
      <c r="BG54" s="442">
        <f>SUM(E54:BB54)</f>
        <v>0</v>
      </c>
      <c r="BH54" s="296"/>
    </row>
    <row r="55" spans="1:60" s="292" customFormat="1">
      <c r="A55" s="292">
        <v>42</v>
      </c>
      <c r="B55" s="291">
        <v>21</v>
      </c>
      <c r="C55" s="55" t="e">
        <f>IF($B55&lt;&gt;"",VLOOKUP($B55,ORC!$E:$N,4,0),"")</f>
        <v>#N/A</v>
      </c>
      <c r="D55" s="49" t="e">
        <f>+BC55/BC$136</f>
        <v>#REF!</v>
      </c>
      <c r="E55" s="50">
        <f t="shared" ref="E55:AH55" si="36">IF(E56&lt;&gt;"",E56*$BC55,0)</f>
        <v>0</v>
      </c>
      <c r="F55" s="50">
        <f t="shared" si="36"/>
        <v>0</v>
      </c>
      <c r="G55" s="50">
        <f t="shared" si="36"/>
        <v>0</v>
      </c>
      <c r="H55" s="50">
        <f t="shared" si="36"/>
        <v>0</v>
      </c>
      <c r="I55" s="50">
        <f t="shared" si="36"/>
        <v>0</v>
      </c>
      <c r="J55" s="50">
        <f t="shared" si="36"/>
        <v>0</v>
      </c>
      <c r="K55" s="50">
        <f t="shared" si="36"/>
        <v>0</v>
      </c>
      <c r="L55" s="50">
        <f t="shared" si="36"/>
        <v>0</v>
      </c>
      <c r="M55" s="50">
        <f t="shared" si="36"/>
        <v>0</v>
      </c>
      <c r="N55" s="50">
        <f t="shared" si="36"/>
        <v>0</v>
      </c>
      <c r="O55" s="50">
        <f t="shared" si="36"/>
        <v>0</v>
      </c>
      <c r="P55" s="50">
        <f t="shared" si="36"/>
        <v>0</v>
      </c>
      <c r="Q55" s="50">
        <f t="shared" si="36"/>
        <v>0</v>
      </c>
      <c r="R55" s="50">
        <f t="shared" si="36"/>
        <v>0</v>
      </c>
      <c r="S55" s="50">
        <f t="shared" si="36"/>
        <v>0</v>
      </c>
      <c r="T55" s="50">
        <f t="shared" si="36"/>
        <v>0</v>
      </c>
      <c r="U55" s="50">
        <f t="shared" si="36"/>
        <v>0</v>
      </c>
      <c r="V55" s="50">
        <f t="shared" si="36"/>
        <v>0</v>
      </c>
      <c r="W55" s="50">
        <f t="shared" si="36"/>
        <v>0</v>
      </c>
      <c r="X55" s="50">
        <f t="shared" si="36"/>
        <v>0</v>
      </c>
      <c r="Y55" s="50">
        <f t="shared" si="36"/>
        <v>0</v>
      </c>
      <c r="Z55" s="50">
        <f t="shared" si="36"/>
        <v>0</v>
      </c>
      <c r="AA55" s="50">
        <f t="shared" si="36"/>
        <v>0</v>
      </c>
      <c r="AB55" s="50">
        <f t="shared" si="36"/>
        <v>0</v>
      </c>
      <c r="AC55" s="50">
        <f t="shared" si="36"/>
        <v>0</v>
      </c>
      <c r="AD55" s="50">
        <f t="shared" si="36"/>
        <v>0</v>
      </c>
      <c r="AE55" s="50">
        <f t="shared" si="36"/>
        <v>0</v>
      </c>
      <c r="AF55" s="50">
        <f t="shared" si="36"/>
        <v>0</v>
      </c>
      <c r="AG55" s="50">
        <f t="shared" si="36"/>
        <v>0</v>
      </c>
      <c r="AH55" s="50">
        <f t="shared" si="36"/>
        <v>0</v>
      </c>
      <c r="AI55" s="423"/>
      <c r="AJ55" s="423"/>
      <c r="AK55" s="50">
        <f t="shared" ref="AK55:BB55" si="37">IF(AK56&lt;&gt;"",AK56*$BC55,0)</f>
        <v>0</v>
      </c>
      <c r="AL55" s="50">
        <f t="shared" si="37"/>
        <v>0</v>
      </c>
      <c r="AM55" s="50">
        <f t="shared" si="37"/>
        <v>0</v>
      </c>
      <c r="AN55" s="50">
        <f t="shared" si="37"/>
        <v>0</v>
      </c>
      <c r="AO55" s="50">
        <f t="shared" si="37"/>
        <v>0</v>
      </c>
      <c r="AP55" s="50">
        <f t="shared" si="37"/>
        <v>0</v>
      </c>
      <c r="AQ55" s="50">
        <f t="shared" si="37"/>
        <v>0</v>
      </c>
      <c r="AR55" s="50">
        <f t="shared" si="37"/>
        <v>0</v>
      </c>
      <c r="AS55" s="50">
        <f t="shared" si="37"/>
        <v>0</v>
      </c>
      <c r="AT55" s="50">
        <f t="shared" si="37"/>
        <v>0</v>
      </c>
      <c r="AU55" s="50">
        <f t="shared" si="37"/>
        <v>0</v>
      </c>
      <c r="AV55" s="50">
        <f t="shared" si="37"/>
        <v>0</v>
      </c>
      <c r="AW55" s="50">
        <f t="shared" si="37"/>
        <v>0</v>
      </c>
      <c r="AX55" s="50">
        <f t="shared" si="37"/>
        <v>0</v>
      </c>
      <c r="AY55" s="50">
        <f t="shared" si="37"/>
        <v>0</v>
      </c>
      <c r="AZ55" s="50">
        <f t="shared" si="37"/>
        <v>0</v>
      </c>
      <c r="BA55" s="50">
        <f t="shared" si="37"/>
        <v>0</v>
      </c>
      <c r="BB55" s="50">
        <f t="shared" si="37"/>
        <v>0</v>
      </c>
      <c r="BC55" s="443" t="e">
        <f>IF($B55&lt;&gt;"",VLOOKUP($B55,RESUMO!$A$11:$H$42,8),"")</f>
        <v>#REF!</v>
      </c>
      <c r="BD55" s="443" t="e">
        <f>IF($B55&lt;&gt;"",VLOOKUP($B55,RESUMO!$A$11:$H$42,6),"")</f>
        <v>#REF!</v>
      </c>
      <c r="BF55" s="424" t="e">
        <f t="shared" si="3"/>
        <v>#REF!</v>
      </c>
      <c r="BG55" s="441"/>
      <c r="BH55" s="297"/>
    </row>
    <row r="56" spans="1:60" s="295" customFormat="1">
      <c r="A56" s="295">
        <v>43</v>
      </c>
      <c r="B56" s="294"/>
      <c r="C56" s="141" t="s">
        <v>3051</v>
      </c>
      <c r="D56" s="139"/>
      <c r="E56" s="425"/>
      <c r="F56" s="425"/>
      <c r="G56" s="425"/>
      <c r="H56" s="425"/>
      <c r="I56" s="425"/>
      <c r="J56" s="425"/>
      <c r="K56" s="425"/>
      <c r="L56" s="425"/>
      <c r="M56" s="425"/>
      <c r="N56" s="425"/>
      <c r="O56" s="425"/>
      <c r="P56" s="425"/>
      <c r="Q56" s="425"/>
      <c r="R56" s="425"/>
      <c r="S56" s="425"/>
      <c r="T56" s="425"/>
      <c r="U56" s="425"/>
      <c r="V56" s="425"/>
      <c r="W56" s="425"/>
      <c r="X56" s="425"/>
      <c r="Y56" s="425"/>
      <c r="Z56" s="425"/>
      <c r="AA56" s="425"/>
      <c r="AB56" s="425"/>
      <c r="AC56" s="425"/>
      <c r="AD56" s="425"/>
      <c r="AE56" s="425"/>
      <c r="AF56" s="425"/>
      <c r="AG56" s="425"/>
      <c r="AH56" s="425"/>
      <c r="AI56" s="422"/>
      <c r="AJ56" s="422"/>
      <c r="AK56" s="425"/>
      <c r="AL56" s="425"/>
      <c r="AM56" s="425"/>
      <c r="AN56" s="425"/>
      <c r="AO56" s="425"/>
      <c r="AP56" s="425"/>
      <c r="AQ56" s="425"/>
      <c r="AR56" s="425"/>
      <c r="AS56" s="425"/>
      <c r="AT56" s="425"/>
      <c r="AU56" s="425"/>
      <c r="AV56" s="425"/>
      <c r="AW56" s="425"/>
      <c r="AX56" s="425"/>
      <c r="AY56" s="425"/>
      <c r="AZ56" s="425"/>
      <c r="BA56" s="425"/>
      <c r="BB56" s="425"/>
      <c r="BC56" s="140"/>
      <c r="BD56" s="140"/>
      <c r="BF56" s="424"/>
      <c r="BG56" s="442">
        <f>SUM(E56:BB56)</f>
        <v>0</v>
      </c>
      <c r="BH56" s="296"/>
    </row>
    <row r="57" spans="1:60" s="292" customFormat="1">
      <c r="A57" s="292">
        <v>44</v>
      </c>
      <c r="B57" s="291">
        <v>22</v>
      </c>
      <c r="C57" s="55" t="e">
        <f>IF($B57&lt;&gt;"",VLOOKUP($B57,ORC!$E:$N,4,0),"")</f>
        <v>#N/A</v>
      </c>
      <c r="D57" s="49" t="e">
        <f>+BC57/BC$136</f>
        <v>#REF!</v>
      </c>
      <c r="E57" s="50">
        <f t="shared" ref="E57:AH57" si="38">IF(E58&lt;&gt;"",E58*$BC57,0)</f>
        <v>0</v>
      </c>
      <c r="F57" s="50">
        <f t="shared" si="38"/>
        <v>0</v>
      </c>
      <c r="G57" s="50">
        <f t="shared" si="38"/>
        <v>0</v>
      </c>
      <c r="H57" s="50">
        <f t="shared" si="38"/>
        <v>0</v>
      </c>
      <c r="I57" s="50">
        <f t="shared" si="38"/>
        <v>0</v>
      </c>
      <c r="J57" s="50">
        <f t="shared" si="38"/>
        <v>0</v>
      </c>
      <c r="K57" s="50">
        <f t="shared" si="38"/>
        <v>0</v>
      </c>
      <c r="L57" s="50">
        <f t="shared" si="38"/>
        <v>0</v>
      </c>
      <c r="M57" s="50">
        <f t="shared" si="38"/>
        <v>0</v>
      </c>
      <c r="N57" s="50">
        <f t="shared" si="38"/>
        <v>0</v>
      </c>
      <c r="O57" s="50">
        <f t="shared" si="38"/>
        <v>0</v>
      </c>
      <c r="P57" s="50">
        <f t="shared" si="38"/>
        <v>0</v>
      </c>
      <c r="Q57" s="50">
        <f t="shared" si="38"/>
        <v>0</v>
      </c>
      <c r="R57" s="50">
        <f t="shared" si="38"/>
        <v>0</v>
      </c>
      <c r="S57" s="50">
        <f t="shared" si="38"/>
        <v>0</v>
      </c>
      <c r="T57" s="50">
        <f t="shared" si="38"/>
        <v>0</v>
      </c>
      <c r="U57" s="50">
        <f t="shared" si="38"/>
        <v>0</v>
      </c>
      <c r="V57" s="50">
        <f t="shared" si="38"/>
        <v>0</v>
      </c>
      <c r="W57" s="50">
        <f t="shared" si="38"/>
        <v>0</v>
      </c>
      <c r="X57" s="50">
        <f t="shared" si="38"/>
        <v>0</v>
      </c>
      <c r="Y57" s="50">
        <f t="shared" si="38"/>
        <v>0</v>
      </c>
      <c r="Z57" s="50">
        <f t="shared" si="38"/>
        <v>0</v>
      </c>
      <c r="AA57" s="50">
        <f t="shared" si="38"/>
        <v>0</v>
      </c>
      <c r="AB57" s="50">
        <f t="shared" si="38"/>
        <v>0</v>
      </c>
      <c r="AC57" s="50">
        <f t="shared" si="38"/>
        <v>0</v>
      </c>
      <c r="AD57" s="50">
        <f t="shared" si="38"/>
        <v>0</v>
      </c>
      <c r="AE57" s="50">
        <f t="shared" si="38"/>
        <v>0</v>
      </c>
      <c r="AF57" s="50">
        <f t="shared" si="38"/>
        <v>0</v>
      </c>
      <c r="AG57" s="50">
        <f t="shared" si="38"/>
        <v>0</v>
      </c>
      <c r="AH57" s="50">
        <f t="shared" si="38"/>
        <v>0</v>
      </c>
      <c r="AI57" s="423"/>
      <c r="AJ57" s="423"/>
      <c r="AK57" s="50">
        <f t="shared" ref="AK57:BB57" si="39">IF(AK58&lt;&gt;"",AK58*$BC57,0)</f>
        <v>0</v>
      </c>
      <c r="AL57" s="50">
        <f t="shared" si="39"/>
        <v>0</v>
      </c>
      <c r="AM57" s="50">
        <f t="shared" si="39"/>
        <v>0</v>
      </c>
      <c r="AN57" s="50">
        <f t="shared" si="39"/>
        <v>0</v>
      </c>
      <c r="AO57" s="50">
        <f t="shared" si="39"/>
        <v>0</v>
      </c>
      <c r="AP57" s="50">
        <f t="shared" si="39"/>
        <v>0</v>
      </c>
      <c r="AQ57" s="50">
        <f t="shared" si="39"/>
        <v>0</v>
      </c>
      <c r="AR57" s="50">
        <f t="shared" si="39"/>
        <v>0</v>
      </c>
      <c r="AS57" s="50">
        <f t="shared" si="39"/>
        <v>0</v>
      </c>
      <c r="AT57" s="50">
        <f t="shared" si="39"/>
        <v>0</v>
      </c>
      <c r="AU57" s="50">
        <f t="shared" si="39"/>
        <v>0</v>
      </c>
      <c r="AV57" s="50">
        <f t="shared" si="39"/>
        <v>0</v>
      </c>
      <c r="AW57" s="50">
        <f t="shared" si="39"/>
        <v>0</v>
      </c>
      <c r="AX57" s="50">
        <f t="shared" si="39"/>
        <v>0</v>
      </c>
      <c r="AY57" s="50">
        <f t="shared" si="39"/>
        <v>0</v>
      </c>
      <c r="AZ57" s="50">
        <f t="shared" si="39"/>
        <v>0</v>
      </c>
      <c r="BA57" s="50">
        <f t="shared" si="39"/>
        <v>0</v>
      </c>
      <c r="BB57" s="50">
        <f t="shared" si="39"/>
        <v>0</v>
      </c>
      <c r="BC57" s="443" t="e">
        <f>IF($B57&lt;&gt;"",VLOOKUP($B57,RESUMO!$A$11:$H$42,8),"")</f>
        <v>#REF!</v>
      </c>
      <c r="BD57" s="443" t="e">
        <f>IF($B57&lt;&gt;"",VLOOKUP($B57,RESUMO!$A$11:$H$42,6),"")</f>
        <v>#REF!</v>
      </c>
      <c r="BF57" s="424" t="e">
        <f t="shared" si="3"/>
        <v>#REF!</v>
      </c>
      <c r="BG57" s="441"/>
      <c r="BH57" s="297"/>
    </row>
    <row r="58" spans="1:60" s="295" customFormat="1">
      <c r="A58" s="295">
        <v>45</v>
      </c>
      <c r="B58" s="294"/>
      <c r="C58" s="141" t="s">
        <v>3051</v>
      </c>
      <c r="D58" s="139"/>
      <c r="E58" s="425"/>
      <c r="F58" s="425"/>
      <c r="G58" s="425"/>
      <c r="H58" s="425"/>
      <c r="I58" s="425"/>
      <c r="J58" s="425"/>
      <c r="K58" s="425"/>
      <c r="L58" s="425"/>
      <c r="M58" s="425"/>
      <c r="N58" s="425"/>
      <c r="O58" s="425"/>
      <c r="P58" s="425"/>
      <c r="Q58" s="425"/>
      <c r="R58" s="425"/>
      <c r="S58" s="425"/>
      <c r="T58" s="425"/>
      <c r="U58" s="425"/>
      <c r="V58" s="425"/>
      <c r="W58" s="425"/>
      <c r="X58" s="425"/>
      <c r="Y58" s="425"/>
      <c r="Z58" s="425"/>
      <c r="AA58" s="425"/>
      <c r="AB58" s="425"/>
      <c r="AC58" s="425"/>
      <c r="AD58" s="425"/>
      <c r="AE58" s="425"/>
      <c r="AF58" s="425"/>
      <c r="AG58" s="425"/>
      <c r="AH58" s="425"/>
      <c r="AI58" s="422"/>
      <c r="AJ58" s="422"/>
      <c r="AK58" s="425"/>
      <c r="AL58" s="425"/>
      <c r="AM58" s="425"/>
      <c r="AN58" s="425"/>
      <c r="AO58" s="425"/>
      <c r="AP58" s="425"/>
      <c r="AQ58" s="425"/>
      <c r="AR58" s="425"/>
      <c r="AS58" s="425"/>
      <c r="AT58" s="425"/>
      <c r="AU58" s="425"/>
      <c r="AV58" s="425"/>
      <c r="AW58" s="425"/>
      <c r="AX58" s="425"/>
      <c r="AY58" s="425"/>
      <c r="AZ58" s="425"/>
      <c r="BA58" s="425"/>
      <c r="BB58" s="425"/>
      <c r="BC58" s="140"/>
      <c r="BD58" s="140"/>
      <c r="BF58" s="424"/>
      <c r="BG58" s="442">
        <f>SUM(E58:BB58)</f>
        <v>0</v>
      </c>
      <c r="BH58" s="296"/>
    </row>
    <row r="59" spans="1:60" s="292" customFormat="1">
      <c r="A59" s="292">
        <v>46</v>
      </c>
      <c r="B59" s="291">
        <v>23</v>
      </c>
      <c r="C59" s="55" t="e">
        <f>IF($B59&lt;&gt;"",VLOOKUP($B59,ORC!$E:$N,4,0),"")</f>
        <v>#N/A</v>
      </c>
      <c r="D59" s="49" t="e">
        <f>+BC59/BC$136</f>
        <v>#REF!</v>
      </c>
      <c r="E59" s="50">
        <f t="shared" ref="E59:AH59" si="40">IF(E60&lt;&gt;"",E60*$BC59,0)</f>
        <v>0</v>
      </c>
      <c r="F59" s="50">
        <f t="shared" si="40"/>
        <v>0</v>
      </c>
      <c r="G59" s="50">
        <f t="shared" si="40"/>
        <v>0</v>
      </c>
      <c r="H59" s="50">
        <f t="shared" si="40"/>
        <v>0</v>
      </c>
      <c r="I59" s="50">
        <f t="shared" si="40"/>
        <v>0</v>
      </c>
      <c r="J59" s="50">
        <f t="shared" si="40"/>
        <v>0</v>
      </c>
      <c r="K59" s="50">
        <f t="shared" si="40"/>
        <v>0</v>
      </c>
      <c r="L59" s="50">
        <f t="shared" si="40"/>
        <v>0</v>
      </c>
      <c r="M59" s="50">
        <f t="shared" si="40"/>
        <v>0</v>
      </c>
      <c r="N59" s="50">
        <f t="shared" si="40"/>
        <v>0</v>
      </c>
      <c r="O59" s="50">
        <f t="shared" si="40"/>
        <v>0</v>
      </c>
      <c r="P59" s="50">
        <f t="shared" si="40"/>
        <v>0</v>
      </c>
      <c r="Q59" s="50">
        <f t="shared" si="40"/>
        <v>0</v>
      </c>
      <c r="R59" s="50">
        <f t="shared" si="40"/>
        <v>0</v>
      </c>
      <c r="S59" s="50">
        <f t="shared" si="40"/>
        <v>0</v>
      </c>
      <c r="T59" s="50">
        <f t="shared" si="40"/>
        <v>0</v>
      </c>
      <c r="U59" s="50">
        <f t="shared" si="40"/>
        <v>0</v>
      </c>
      <c r="V59" s="50">
        <f t="shared" si="40"/>
        <v>0</v>
      </c>
      <c r="W59" s="50">
        <f t="shared" si="40"/>
        <v>0</v>
      </c>
      <c r="X59" s="50">
        <f t="shared" si="40"/>
        <v>0</v>
      </c>
      <c r="Y59" s="50">
        <f t="shared" si="40"/>
        <v>0</v>
      </c>
      <c r="Z59" s="50">
        <f t="shared" si="40"/>
        <v>0</v>
      </c>
      <c r="AA59" s="50">
        <f t="shared" si="40"/>
        <v>0</v>
      </c>
      <c r="AB59" s="50">
        <f t="shared" si="40"/>
        <v>0</v>
      </c>
      <c r="AC59" s="50">
        <f t="shared" si="40"/>
        <v>0</v>
      </c>
      <c r="AD59" s="50">
        <f t="shared" si="40"/>
        <v>0</v>
      </c>
      <c r="AE59" s="50">
        <f t="shared" si="40"/>
        <v>0</v>
      </c>
      <c r="AF59" s="50">
        <f t="shared" si="40"/>
        <v>0</v>
      </c>
      <c r="AG59" s="50">
        <f t="shared" si="40"/>
        <v>0</v>
      </c>
      <c r="AH59" s="50">
        <f t="shared" si="40"/>
        <v>0</v>
      </c>
      <c r="AI59" s="423"/>
      <c r="AJ59" s="423"/>
      <c r="AK59" s="50">
        <f t="shared" ref="AK59:BB59" si="41">IF(AK60&lt;&gt;"",AK60*$BC59,0)</f>
        <v>0</v>
      </c>
      <c r="AL59" s="50">
        <f t="shared" si="41"/>
        <v>0</v>
      </c>
      <c r="AM59" s="50">
        <f t="shared" si="41"/>
        <v>0</v>
      </c>
      <c r="AN59" s="50">
        <f t="shared" si="41"/>
        <v>0</v>
      </c>
      <c r="AO59" s="50">
        <f t="shared" si="41"/>
        <v>0</v>
      </c>
      <c r="AP59" s="50">
        <f t="shared" si="41"/>
        <v>0</v>
      </c>
      <c r="AQ59" s="50">
        <f t="shared" si="41"/>
        <v>0</v>
      </c>
      <c r="AR59" s="50">
        <f t="shared" si="41"/>
        <v>0</v>
      </c>
      <c r="AS59" s="50">
        <f t="shared" si="41"/>
        <v>0</v>
      </c>
      <c r="AT59" s="50">
        <f t="shared" si="41"/>
        <v>0</v>
      </c>
      <c r="AU59" s="50">
        <f t="shared" si="41"/>
        <v>0</v>
      </c>
      <c r="AV59" s="50">
        <f t="shared" si="41"/>
        <v>0</v>
      </c>
      <c r="AW59" s="50">
        <f t="shared" si="41"/>
        <v>0</v>
      </c>
      <c r="AX59" s="50">
        <f t="shared" si="41"/>
        <v>0</v>
      </c>
      <c r="AY59" s="50">
        <f t="shared" si="41"/>
        <v>0</v>
      </c>
      <c r="AZ59" s="50">
        <f t="shared" si="41"/>
        <v>0</v>
      </c>
      <c r="BA59" s="50">
        <f t="shared" si="41"/>
        <v>0</v>
      </c>
      <c r="BB59" s="50">
        <f t="shared" si="41"/>
        <v>0</v>
      </c>
      <c r="BC59" s="443" t="e">
        <f>IF($B59&lt;&gt;"",VLOOKUP($B59,RESUMO!$A$11:$H$42,8),"")</f>
        <v>#REF!</v>
      </c>
      <c r="BD59" s="443" t="e">
        <f>IF($B59&lt;&gt;"",VLOOKUP($B59,RESUMO!$A$11:$H$42,6),"")</f>
        <v>#REF!</v>
      </c>
      <c r="BF59" s="424" t="e">
        <f t="shared" si="3"/>
        <v>#REF!</v>
      </c>
      <c r="BG59" s="441"/>
      <c r="BH59" s="297"/>
    </row>
    <row r="60" spans="1:60" s="295" customFormat="1">
      <c r="A60" s="295">
        <v>47</v>
      </c>
      <c r="B60" s="294"/>
      <c r="C60" s="141" t="s">
        <v>3051</v>
      </c>
      <c r="D60" s="139"/>
      <c r="E60" s="425"/>
      <c r="F60" s="425"/>
      <c r="G60" s="425"/>
      <c r="H60" s="425"/>
      <c r="I60" s="425"/>
      <c r="J60" s="425"/>
      <c r="K60" s="425"/>
      <c r="L60" s="425"/>
      <c r="M60" s="425"/>
      <c r="N60" s="425"/>
      <c r="O60" s="425"/>
      <c r="P60" s="425"/>
      <c r="Q60" s="425"/>
      <c r="R60" s="425"/>
      <c r="S60" s="425"/>
      <c r="T60" s="425"/>
      <c r="U60" s="425"/>
      <c r="V60" s="425"/>
      <c r="W60" s="425"/>
      <c r="X60" s="425"/>
      <c r="Y60" s="425"/>
      <c r="Z60" s="425"/>
      <c r="AA60" s="425"/>
      <c r="AB60" s="425"/>
      <c r="AC60" s="425"/>
      <c r="AD60" s="425"/>
      <c r="AE60" s="425"/>
      <c r="AF60" s="425"/>
      <c r="AG60" s="425"/>
      <c r="AH60" s="425"/>
      <c r="AI60" s="422"/>
      <c r="AJ60" s="422"/>
      <c r="AK60" s="425"/>
      <c r="AL60" s="425"/>
      <c r="AM60" s="425"/>
      <c r="AN60" s="425"/>
      <c r="AO60" s="425"/>
      <c r="AP60" s="425"/>
      <c r="AQ60" s="425"/>
      <c r="AR60" s="425"/>
      <c r="AS60" s="425"/>
      <c r="AT60" s="425"/>
      <c r="AU60" s="425"/>
      <c r="AV60" s="425"/>
      <c r="AW60" s="425"/>
      <c r="AX60" s="425"/>
      <c r="AY60" s="425"/>
      <c r="AZ60" s="425"/>
      <c r="BA60" s="425"/>
      <c r="BB60" s="425"/>
      <c r="BC60" s="140"/>
      <c r="BD60" s="140"/>
      <c r="BF60" s="424"/>
      <c r="BG60" s="442">
        <f>SUM(E60:BB60)</f>
        <v>0</v>
      </c>
      <c r="BH60" s="296"/>
    </row>
    <row r="61" spans="1:60" s="292" customFormat="1">
      <c r="A61" s="292">
        <v>48</v>
      </c>
      <c r="B61" s="291">
        <v>24</v>
      </c>
      <c r="C61" s="55" t="e">
        <f>IF($B61&lt;&gt;"",VLOOKUP($B61,ORC!$E:$N,4,0),"")</f>
        <v>#N/A</v>
      </c>
      <c r="D61" s="49" t="e">
        <f>+BC61/BC$136</f>
        <v>#REF!</v>
      </c>
      <c r="E61" s="50">
        <f t="shared" ref="E61:AH61" si="42">IF(E62&lt;&gt;"",E62*$BC61,0)</f>
        <v>0</v>
      </c>
      <c r="F61" s="50">
        <f t="shared" si="42"/>
        <v>0</v>
      </c>
      <c r="G61" s="50">
        <f t="shared" si="42"/>
        <v>0</v>
      </c>
      <c r="H61" s="50">
        <f t="shared" si="42"/>
        <v>0</v>
      </c>
      <c r="I61" s="50">
        <f t="shared" si="42"/>
        <v>0</v>
      </c>
      <c r="J61" s="50">
        <f t="shared" si="42"/>
        <v>0</v>
      </c>
      <c r="K61" s="50">
        <f t="shared" si="42"/>
        <v>0</v>
      </c>
      <c r="L61" s="50">
        <f t="shared" si="42"/>
        <v>0</v>
      </c>
      <c r="M61" s="50">
        <f t="shared" si="42"/>
        <v>0</v>
      </c>
      <c r="N61" s="50">
        <f t="shared" si="42"/>
        <v>0</v>
      </c>
      <c r="O61" s="50">
        <f t="shared" si="42"/>
        <v>0</v>
      </c>
      <c r="P61" s="50">
        <f t="shared" si="42"/>
        <v>0</v>
      </c>
      <c r="Q61" s="50">
        <f t="shared" si="42"/>
        <v>0</v>
      </c>
      <c r="R61" s="50">
        <f t="shared" si="42"/>
        <v>0</v>
      </c>
      <c r="S61" s="50">
        <f t="shared" si="42"/>
        <v>0</v>
      </c>
      <c r="T61" s="50">
        <f t="shared" si="42"/>
        <v>0</v>
      </c>
      <c r="U61" s="50">
        <f t="shared" si="42"/>
        <v>0</v>
      </c>
      <c r="V61" s="50">
        <f t="shared" si="42"/>
        <v>0</v>
      </c>
      <c r="W61" s="50">
        <f t="shared" si="42"/>
        <v>0</v>
      </c>
      <c r="X61" s="50">
        <f t="shared" si="42"/>
        <v>0</v>
      </c>
      <c r="Y61" s="50">
        <f t="shared" si="42"/>
        <v>0</v>
      </c>
      <c r="Z61" s="50">
        <f t="shared" si="42"/>
        <v>0</v>
      </c>
      <c r="AA61" s="50">
        <f t="shared" si="42"/>
        <v>0</v>
      </c>
      <c r="AB61" s="50">
        <f t="shared" si="42"/>
        <v>0</v>
      </c>
      <c r="AC61" s="50">
        <f t="shared" si="42"/>
        <v>0</v>
      </c>
      <c r="AD61" s="50">
        <f t="shared" si="42"/>
        <v>0</v>
      </c>
      <c r="AE61" s="50">
        <f t="shared" si="42"/>
        <v>0</v>
      </c>
      <c r="AF61" s="50">
        <f t="shared" si="42"/>
        <v>0</v>
      </c>
      <c r="AG61" s="50">
        <f t="shared" si="42"/>
        <v>0</v>
      </c>
      <c r="AH61" s="50">
        <f t="shared" si="42"/>
        <v>0</v>
      </c>
      <c r="AI61" s="423"/>
      <c r="AJ61" s="423"/>
      <c r="AK61" s="50">
        <f t="shared" ref="AK61:BB61" si="43">IF(AK62&lt;&gt;"",AK62*$BC61,0)</f>
        <v>0</v>
      </c>
      <c r="AL61" s="50">
        <f t="shared" si="43"/>
        <v>0</v>
      </c>
      <c r="AM61" s="50">
        <f t="shared" si="43"/>
        <v>0</v>
      </c>
      <c r="AN61" s="50">
        <f t="shared" si="43"/>
        <v>0</v>
      </c>
      <c r="AO61" s="50">
        <f t="shared" si="43"/>
        <v>0</v>
      </c>
      <c r="AP61" s="50">
        <f t="shared" si="43"/>
        <v>0</v>
      </c>
      <c r="AQ61" s="50">
        <f t="shared" si="43"/>
        <v>0</v>
      </c>
      <c r="AR61" s="50">
        <f t="shared" si="43"/>
        <v>0</v>
      </c>
      <c r="AS61" s="50">
        <f t="shared" si="43"/>
        <v>0</v>
      </c>
      <c r="AT61" s="50">
        <f t="shared" si="43"/>
        <v>0</v>
      </c>
      <c r="AU61" s="50">
        <f t="shared" si="43"/>
        <v>0</v>
      </c>
      <c r="AV61" s="50">
        <f t="shared" si="43"/>
        <v>0</v>
      </c>
      <c r="AW61" s="50">
        <f t="shared" si="43"/>
        <v>0</v>
      </c>
      <c r="AX61" s="50">
        <f t="shared" si="43"/>
        <v>0</v>
      </c>
      <c r="AY61" s="50">
        <f t="shared" si="43"/>
        <v>0</v>
      </c>
      <c r="AZ61" s="50">
        <f t="shared" si="43"/>
        <v>0</v>
      </c>
      <c r="BA61" s="50">
        <f t="shared" si="43"/>
        <v>0</v>
      </c>
      <c r="BB61" s="50">
        <f t="shared" si="43"/>
        <v>0</v>
      </c>
      <c r="BC61" s="443" t="e">
        <f>IF($B61&lt;&gt;"",VLOOKUP($B61,RESUMO!$A$11:$H$42,8),"")</f>
        <v>#REF!</v>
      </c>
      <c r="BD61" s="443" t="e">
        <f>IF($B61&lt;&gt;"",VLOOKUP($B61,RESUMO!$A$11:$H$42,6),"")</f>
        <v>#REF!</v>
      </c>
      <c r="BF61" s="424" t="e">
        <f t="shared" si="3"/>
        <v>#REF!</v>
      </c>
      <c r="BG61" s="441"/>
      <c r="BH61" s="297"/>
    </row>
    <row r="62" spans="1:60" s="295" customFormat="1">
      <c r="A62" s="295">
        <v>49</v>
      </c>
      <c r="B62" s="294"/>
      <c r="C62" s="141" t="s">
        <v>3051</v>
      </c>
      <c r="D62" s="139"/>
      <c r="E62" s="425"/>
      <c r="F62" s="425"/>
      <c r="G62" s="425"/>
      <c r="H62" s="425"/>
      <c r="I62" s="425"/>
      <c r="J62" s="425"/>
      <c r="K62" s="425"/>
      <c r="L62" s="425"/>
      <c r="M62" s="425"/>
      <c r="N62" s="425"/>
      <c r="O62" s="425"/>
      <c r="P62" s="425"/>
      <c r="Q62" s="425"/>
      <c r="R62" s="425"/>
      <c r="S62" s="425"/>
      <c r="T62" s="425"/>
      <c r="U62" s="425"/>
      <c r="V62" s="425"/>
      <c r="W62" s="425"/>
      <c r="X62" s="425"/>
      <c r="Y62" s="425"/>
      <c r="Z62" s="425"/>
      <c r="AA62" s="425"/>
      <c r="AB62" s="425"/>
      <c r="AC62" s="425"/>
      <c r="AD62" s="425"/>
      <c r="AE62" s="425"/>
      <c r="AF62" s="425"/>
      <c r="AG62" s="425"/>
      <c r="AH62" s="425"/>
      <c r="AI62" s="422"/>
      <c r="AJ62" s="422"/>
      <c r="AK62" s="425"/>
      <c r="AL62" s="425"/>
      <c r="AM62" s="425"/>
      <c r="AN62" s="425"/>
      <c r="AO62" s="425"/>
      <c r="AP62" s="425"/>
      <c r="AQ62" s="425"/>
      <c r="AR62" s="425"/>
      <c r="AS62" s="425"/>
      <c r="AT62" s="425"/>
      <c r="AU62" s="425"/>
      <c r="AV62" s="425"/>
      <c r="AW62" s="425"/>
      <c r="AX62" s="425"/>
      <c r="AY62" s="425"/>
      <c r="AZ62" s="425"/>
      <c r="BA62" s="425"/>
      <c r="BB62" s="425"/>
      <c r="BC62" s="140"/>
      <c r="BD62" s="140"/>
      <c r="BF62" s="424"/>
      <c r="BG62" s="442">
        <f>SUM(E62:BB62)</f>
        <v>0</v>
      </c>
      <c r="BH62" s="296"/>
    </row>
    <row r="63" spans="1:60" s="292" customFormat="1">
      <c r="A63" s="292">
        <v>50</v>
      </c>
      <c r="B63" s="291">
        <v>25</v>
      </c>
      <c r="C63" s="55" t="e">
        <f>IF($B63&lt;&gt;"",VLOOKUP($B63,ORC!$E:$N,4,0),"")</f>
        <v>#N/A</v>
      </c>
      <c r="D63" s="49" t="e">
        <f>+BC63/BC$136</f>
        <v>#REF!</v>
      </c>
      <c r="E63" s="50">
        <f t="shared" ref="E63:AH63" si="44">IF(E64&lt;&gt;"",E64*$BC63,0)</f>
        <v>0</v>
      </c>
      <c r="F63" s="50">
        <f t="shared" si="44"/>
        <v>0</v>
      </c>
      <c r="G63" s="50">
        <f t="shared" si="44"/>
        <v>0</v>
      </c>
      <c r="H63" s="50">
        <f t="shared" si="44"/>
        <v>0</v>
      </c>
      <c r="I63" s="50">
        <f t="shared" si="44"/>
        <v>0</v>
      </c>
      <c r="J63" s="50">
        <f t="shared" si="44"/>
        <v>0</v>
      </c>
      <c r="K63" s="50">
        <f t="shared" si="44"/>
        <v>0</v>
      </c>
      <c r="L63" s="50">
        <f t="shared" si="44"/>
        <v>0</v>
      </c>
      <c r="M63" s="50">
        <f t="shared" si="44"/>
        <v>0</v>
      </c>
      <c r="N63" s="50">
        <f t="shared" si="44"/>
        <v>0</v>
      </c>
      <c r="O63" s="50">
        <f t="shared" si="44"/>
        <v>0</v>
      </c>
      <c r="P63" s="50">
        <f t="shared" si="44"/>
        <v>0</v>
      </c>
      <c r="Q63" s="50">
        <f t="shared" si="44"/>
        <v>0</v>
      </c>
      <c r="R63" s="50">
        <f t="shared" si="44"/>
        <v>0</v>
      </c>
      <c r="S63" s="50">
        <f t="shared" si="44"/>
        <v>0</v>
      </c>
      <c r="T63" s="50">
        <f t="shared" si="44"/>
        <v>0</v>
      </c>
      <c r="U63" s="50">
        <f t="shared" si="44"/>
        <v>0</v>
      </c>
      <c r="V63" s="50">
        <f t="shared" si="44"/>
        <v>0</v>
      </c>
      <c r="W63" s="50">
        <f t="shared" si="44"/>
        <v>0</v>
      </c>
      <c r="X63" s="50">
        <f t="shared" si="44"/>
        <v>0</v>
      </c>
      <c r="Y63" s="50">
        <f t="shared" si="44"/>
        <v>0</v>
      </c>
      <c r="Z63" s="50">
        <f t="shared" si="44"/>
        <v>0</v>
      </c>
      <c r="AA63" s="50">
        <f t="shared" si="44"/>
        <v>0</v>
      </c>
      <c r="AB63" s="50">
        <f t="shared" si="44"/>
        <v>0</v>
      </c>
      <c r="AC63" s="50">
        <f t="shared" si="44"/>
        <v>0</v>
      </c>
      <c r="AD63" s="50">
        <f t="shared" si="44"/>
        <v>0</v>
      </c>
      <c r="AE63" s="50">
        <f t="shared" si="44"/>
        <v>0</v>
      </c>
      <c r="AF63" s="50">
        <f t="shared" si="44"/>
        <v>0</v>
      </c>
      <c r="AG63" s="50">
        <f t="shared" si="44"/>
        <v>0</v>
      </c>
      <c r="AH63" s="50">
        <f t="shared" si="44"/>
        <v>0</v>
      </c>
      <c r="AI63" s="423"/>
      <c r="AJ63" s="423"/>
      <c r="AK63" s="50">
        <f t="shared" ref="AK63:BB63" si="45">IF(AK64&lt;&gt;"",AK64*$BC63,0)</f>
        <v>0</v>
      </c>
      <c r="AL63" s="50">
        <f t="shared" si="45"/>
        <v>0</v>
      </c>
      <c r="AM63" s="50">
        <f t="shared" si="45"/>
        <v>0</v>
      </c>
      <c r="AN63" s="50">
        <f t="shared" si="45"/>
        <v>0</v>
      </c>
      <c r="AO63" s="50">
        <f t="shared" si="45"/>
        <v>0</v>
      </c>
      <c r="AP63" s="50">
        <f t="shared" si="45"/>
        <v>0</v>
      </c>
      <c r="AQ63" s="50">
        <f t="shared" si="45"/>
        <v>0</v>
      </c>
      <c r="AR63" s="50">
        <f t="shared" si="45"/>
        <v>0</v>
      </c>
      <c r="AS63" s="50">
        <f t="shared" si="45"/>
        <v>0</v>
      </c>
      <c r="AT63" s="50">
        <f t="shared" si="45"/>
        <v>0</v>
      </c>
      <c r="AU63" s="50">
        <f t="shared" si="45"/>
        <v>0</v>
      </c>
      <c r="AV63" s="50">
        <f t="shared" si="45"/>
        <v>0</v>
      </c>
      <c r="AW63" s="50">
        <f t="shared" si="45"/>
        <v>0</v>
      </c>
      <c r="AX63" s="50">
        <f t="shared" si="45"/>
        <v>0</v>
      </c>
      <c r="AY63" s="50">
        <f t="shared" si="45"/>
        <v>0</v>
      </c>
      <c r="AZ63" s="50">
        <f t="shared" si="45"/>
        <v>0</v>
      </c>
      <c r="BA63" s="50">
        <f t="shared" si="45"/>
        <v>0</v>
      </c>
      <c r="BB63" s="50">
        <f t="shared" si="45"/>
        <v>0</v>
      </c>
      <c r="BC63" s="443" t="e">
        <f>IF($B63&lt;&gt;"",VLOOKUP($B63,RESUMO!$A$11:$H$42,8),"")</f>
        <v>#REF!</v>
      </c>
      <c r="BD63" s="443" t="e">
        <f>IF($B63&lt;&gt;"",VLOOKUP($B63,RESUMO!$A$11:$H$42,6),"")</f>
        <v>#REF!</v>
      </c>
      <c r="BF63" s="424" t="e">
        <f t="shared" si="3"/>
        <v>#REF!</v>
      </c>
      <c r="BG63" s="441"/>
      <c r="BH63" s="297"/>
    </row>
    <row r="64" spans="1:60" s="295" customFormat="1">
      <c r="A64" s="295">
        <v>51</v>
      </c>
      <c r="B64" s="294"/>
      <c r="C64" s="141" t="s">
        <v>3051</v>
      </c>
      <c r="D64" s="139"/>
      <c r="E64" s="425"/>
      <c r="F64" s="425"/>
      <c r="G64" s="425"/>
      <c r="H64" s="425"/>
      <c r="I64" s="425"/>
      <c r="J64" s="425"/>
      <c r="K64" s="425"/>
      <c r="L64" s="425"/>
      <c r="M64" s="425"/>
      <c r="N64" s="425"/>
      <c r="O64" s="425"/>
      <c r="P64" s="425"/>
      <c r="Q64" s="425"/>
      <c r="R64" s="425"/>
      <c r="S64" s="425"/>
      <c r="T64" s="425"/>
      <c r="U64" s="425"/>
      <c r="V64" s="425"/>
      <c r="W64" s="425"/>
      <c r="X64" s="425"/>
      <c r="Y64" s="425"/>
      <c r="Z64" s="425"/>
      <c r="AA64" s="425"/>
      <c r="AB64" s="425"/>
      <c r="AC64" s="425"/>
      <c r="AD64" s="425"/>
      <c r="AE64" s="425"/>
      <c r="AF64" s="425"/>
      <c r="AG64" s="425"/>
      <c r="AH64" s="425"/>
      <c r="AI64" s="422"/>
      <c r="AJ64" s="422"/>
      <c r="AK64" s="425"/>
      <c r="AL64" s="425"/>
      <c r="AM64" s="425"/>
      <c r="AN64" s="425"/>
      <c r="AO64" s="425"/>
      <c r="AP64" s="425"/>
      <c r="AQ64" s="425"/>
      <c r="AR64" s="425"/>
      <c r="AS64" s="425"/>
      <c r="AT64" s="425"/>
      <c r="AU64" s="425"/>
      <c r="AV64" s="425"/>
      <c r="AW64" s="425"/>
      <c r="AX64" s="425"/>
      <c r="AY64" s="425"/>
      <c r="AZ64" s="425"/>
      <c r="BA64" s="425"/>
      <c r="BB64" s="425"/>
      <c r="BC64" s="140"/>
      <c r="BD64" s="140"/>
      <c r="BF64" s="424"/>
      <c r="BG64" s="442">
        <f>SUM(E64:BB64)</f>
        <v>0</v>
      </c>
      <c r="BH64" s="296"/>
    </row>
    <row r="65" spans="1:60" s="292" customFormat="1">
      <c r="A65" s="292">
        <v>52</v>
      </c>
      <c r="B65" s="291">
        <v>26</v>
      </c>
      <c r="C65" s="55" t="e">
        <f>IF($B65&lt;&gt;"",VLOOKUP($B65,ORC!$E:$N,4,0),"")</f>
        <v>#N/A</v>
      </c>
      <c r="D65" s="49" t="e">
        <f>+BC65/BC$136</f>
        <v>#REF!</v>
      </c>
      <c r="E65" s="50">
        <f t="shared" ref="E65:AH65" si="46">IF(E66&lt;&gt;"",E66*$BC65,0)</f>
        <v>0</v>
      </c>
      <c r="F65" s="50">
        <f t="shared" si="46"/>
        <v>0</v>
      </c>
      <c r="G65" s="50">
        <f t="shared" si="46"/>
        <v>0</v>
      </c>
      <c r="H65" s="50">
        <f t="shared" si="46"/>
        <v>0</v>
      </c>
      <c r="I65" s="50">
        <f t="shared" si="46"/>
        <v>0</v>
      </c>
      <c r="J65" s="50">
        <f t="shared" si="46"/>
        <v>0</v>
      </c>
      <c r="K65" s="50">
        <f t="shared" si="46"/>
        <v>0</v>
      </c>
      <c r="L65" s="50">
        <f t="shared" si="46"/>
        <v>0</v>
      </c>
      <c r="M65" s="50">
        <f t="shared" si="46"/>
        <v>0</v>
      </c>
      <c r="N65" s="50">
        <f t="shared" si="46"/>
        <v>0</v>
      </c>
      <c r="O65" s="50">
        <f t="shared" si="46"/>
        <v>0</v>
      </c>
      <c r="P65" s="50">
        <f t="shared" si="46"/>
        <v>0</v>
      </c>
      <c r="Q65" s="50">
        <f t="shared" si="46"/>
        <v>0</v>
      </c>
      <c r="R65" s="50">
        <f t="shared" si="46"/>
        <v>0</v>
      </c>
      <c r="S65" s="50">
        <f t="shared" si="46"/>
        <v>0</v>
      </c>
      <c r="T65" s="50">
        <f t="shared" si="46"/>
        <v>0</v>
      </c>
      <c r="U65" s="50">
        <f t="shared" si="46"/>
        <v>0</v>
      </c>
      <c r="V65" s="50">
        <f t="shared" si="46"/>
        <v>0</v>
      </c>
      <c r="W65" s="50">
        <f t="shared" si="46"/>
        <v>0</v>
      </c>
      <c r="X65" s="50">
        <f t="shared" si="46"/>
        <v>0</v>
      </c>
      <c r="Y65" s="50">
        <f t="shared" si="46"/>
        <v>0</v>
      </c>
      <c r="Z65" s="50">
        <f t="shared" si="46"/>
        <v>0</v>
      </c>
      <c r="AA65" s="50">
        <f t="shared" si="46"/>
        <v>0</v>
      </c>
      <c r="AB65" s="50">
        <f t="shared" si="46"/>
        <v>0</v>
      </c>
      <c r="AC65" s="50">
        <f t="shared" si="46"/>
        <v>0</v>
      </c>
      <c r="AD65" s="50">
        <f t="shared" si="46"/>
        <v>0</v>
      </c>
      <c r="AE65" s="50">
        <f t="shared" si="46"/>
        <v>0</v>
      </c>
      <c r="AF65" s="50">
        <f t="shared" si="46"/>
        <v>0</v>
      </c>
      <c r="AG65" s="50">
        <f t="shared" si="46"/>
        <v>0</v>
      </c>
      <c r="AH65" s="50">
        <f t="shared" si="46"/>
        <v>0</v>
      </c>
      <c r="AI65" s="423"/>
      <c r="AJ65" s="423"/>
      <c r="AK65" s="50">
        <f t="shared" ref="AK65:BB65" si="47">IF(AK66&lt;&gt;"",AK66*$BC65,0)</f>
        <v>0</v>
      </c>
      <c r="AL65" s="50">
        <f t="shared" si="47"/>
        <v>0</v>
      </c>
      <c r="AM65" s="50">
        <f t="shared" si="47"/>
        <v>0</v>
      </c>
      <c r="AN65" s="50">
        <f t="shared" si="47"/>
        <v>0</v>
      </c>
      <c r="AO65" s="50">
        <f t="shared" si="47"/>
        <v>0</v>
      </c>
      <c r="AP65" s="50">
        <f t="shared" si="47"/>
        <v>0</v>
      </c>
      <c r="AQ65" s="50">
        <f t="shared" si="47"/>
        <v>0</v>
      </c>
      <c r="AR65" s="50">
        <f t="shared" si="47"/>
        <v>0</v>
      </c>
      <c r="AS65" s="50">
        <f t="shared" si="47"/>
        <v>0</v>
      </c>
      <c r="AT65" s="50">
        <f t="shared" si="47"/>
        <v>0</v>
      </c>
      <c r="AU65" s="50">
        <f t="shared" si="47"/>
        <v>0</v>
      </c>
      <c r="AV65" s="50">
        <f t="shared" si="47"/>
        <v>0</v>
      </c>
      <c r="AW65" s="50">
        <f t="shared" si="47"/>
        <v>0</v>
      </c>
      <c r="AX65" s="50">
        <f t="shared" si="47"/>
        <v>0</v>
      </c>
      <c r="AY65" s="50">
        <f t="shared" si="47"/>
        <v>0</v>
      </c>
      <c r="AZ65" s="50">
        <f t="shared" si="47"/>
        <v>0</v>
      </c>
      <c r="BA65" s="50">
        <f t="shared" si="47"/>
        <v>0</v>
      </c>
      <c r="BB65" s="50">
        <f t="shared" si="47"/>
        <v>0</v>
      </c>
      <c r="BC65" s="443" t="e">
        <f>IF($B65&lt;&gt;"",VLOOKUP($B65,RESUMO!$A$11:$H$42,8),"")</f>
        <v>#REF!</v>
      </c>
      <c r="BD65" s="443" t="e">
        <f>IF($B65&lt;&gt;"",VLOOKUP($B65,RESUMO!$A$11:$H$42,6),"")</f>
        <v>#REF!</v>
      </c>
      <c r="BF65" s="424" t="e">
        <f t="shared" si="3"/>
        <v>#REF!</v>
      </c>
      <c r="BG65" s="441"/>
      <c r="BH65" s="297"/>
    </row>
    <row r="66" spans="1:60" s="295" customFormat="1">
      <c r="A66" s="295">
        <v>53</v>
      </c>
      <c r="B66" s="294"/>
      <c r="C66" s="141" t="s">
        <v>3051</v>
      </c>
      <c r="D66" s="139"/>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c r="AE66" s="425"/>
      <c r="AF66" s="425"/>
      <c r="AG66" s="425"/>
      <c r="AH66" s="425"/>
      <c r="AI66" s="423"/>
      <c r="AJ66" s="423"/>
      <c r="AK66" s="425"/>
      <c r="AL66" s="425"/>
      <c r="AM66" s="425"/>
      <c r="AN66" s="425"/>
      <c r="AO66" s="425"/>
      <c r="AP66" s="425"/>
      <c r="AQ66" s="425"/>
      <c r="AR66" s="425"/>
      <c r="AS66" s="425"/>
      <c r="AT66" s="425"/>
      <c r="AU66" s="425"/>
      <c r="AV66" s="425"/>
      <c r="AW66" s="425"/>
      <c r="AX66" s="425"/>
      <c r="AY66" s="425"/>
      <c r="AZ66" s="425"/>
      <c r="BA66" s="425"/>
      <c r="BB66" s="425"/>
      <c r="BC66" s="140"/>
      <c r="BD66" s="140"/>
      <c r="BF66" s="424"/>
      <c r="BG66" s="442">
        <f>SUM(E66:BB66)</f>
        <v>0</v>
      </c>
      <c r="BH66" s="296"/>
    </row>
    <row r="67" spans="1:60" s="292" customFormat="1">
      <c r="A67" s="292">
        <v>54</v>
      </c>
      <c r="B67" s="291">
        <v>27</v>
      </c>
      <c r="C67" s="55" t="e">
        <f>IF($B67&lt;&gt;"",VLOOKUP($B67,ORC!$E:$N,4,0),"")</f>
        <v>#N/A</v>
      </c>
      <c r="D67" s="49" t="e">
        <f>+BC67/BC$136</f>
        <v>#REF!</v>
      </c>
      <c r="E67" s="50">
        <f t="shared" ref="E67:AH67" si="48">IF(E68&lt;&gt;"",E68*$BC67,0)</f>
        <v>0</v>
      </c>
      <c r="F67" s="50">
        <f t="shared" si="48"/>
        <v>0</v>
      </c>
      <c r="G67" s="50">
        <f t="shared" si="48"/>
        <v>0</v>
      </c>
      <c r="H67" s="50">
        <f t="shared" si="48"/>
        <v>0</v>
      </c>
      <c r="I67" s="50">
        <f t="shared" si="48"/>
        <v>0</v>
      </c>
      <c r="J67" s="50">
        <f t="shared" si="48"/>
        <v>0</v>
      </c>
      <c r="K67" s="50">
        <f t="shared" si="48"/>
        <v>0</v>
      </c>
      <c r="L67" s="50">
        <f t="shared" si="48"/>
        <v>0</v>
      </c>
      <c r="M67" s="50">
        <f t="shared" si="48"/>
        <v>0</v>
      </c>
      <c r="N67" s="50">
        <f t="shared" si="48"/>
        <v>0</v>
      </c>
      <c r="O67" s="50">
        <f t="shared" si="48"/>
        <v>0</v>
      </c>
      <c r="P67" s="50">
        <f t="shared" si="48"/>
        <v>0</v>
      </c>
      <c r="Q67" s="50">
        <f t="shared" si="48"/>
        <v>0</v>
      </c>
      <c r="R67" s="50">
        <f t="shared" si="48"/>
        <v>0</v>
      </c>
      <c r="S67" s="50">
        <f t="shared" si="48"/>
        <v>0</v>
      </c>
      <c r="T67" s="50">
        <f t="shared" si="48"/>
        <v>0</v>
      </c>
      <c r="U67" s="50">
        <f t="shared" si="48"/>
        <v>0</v>
      </c>
      <c r="V67" s="50">
        <f t="shared" si="48"/>
        <v>0</v>
      </c>
      <c r="W67" s="50">
        <f t="shared" si="48"/>
        <v>0</v>
      </c>
      <c r="X67" s="50">
        <f t="shared" si="48"/>
        <v>0</v>
      </c>
      <c r="Y67" s="50">
        <f t="shared" si="48"/>
        <v>0</v>
      </c>
      <c r="Z67" s="50">
        <f t="shared" si="48"/>
        <v>0</v>
      </c>
      <c r="AA67" s="50">
        <f t="shared" si="48"/>
        <v>0</v>
      </c>
      <c r="AB67" s="50">
        <f t="shared" si="48"/>
        <v>0</v>
      </c>
      <c r="AC67" s="50">
        <f t="shared" si="48"/>
        <v>0</v>
      </c>
      <c r="AD67" s="50">
        <f t="shared" si="48"/>
        <v>0</v>
      </c>
      <c r="AE67" s="50">
        <f t="shared" si="48"/>
        <v>0</v>
      </c>
      <c r="AF67" s="50">
        <f t="shared" si="48"/>
        <v>0</v>
      </c>
      <c r="AG67" s="50">
        <f t="shared" si="48"/>
        <v>0</v>
      </c>
      <c r="AH67" s="50">
        <f t="shared" si="48"/>
        <v>0</v>
      </c>
      <c r="AI67" s="423"/>
      <c r="AJ67" s="423"/>
      <c r="AK67" s="50">
        <f t="shared" ref="AK67:BB67" si="49">IF(AK68&lt;&gt;"",AK68*$BC67,0)</f>
        <v>0</v>
      </c>
      <c r="AL67" s="50">
        <f t="shared" si="49"/>
        <v>0</v>
      </c>
      <c r="AM67" s="50">
        <f t="shared" si="49"/>
        <v>0</v>
      </c>
      <c r="AN67" s="50">
        <f t="shared" si="49"/>
        <v>0</v>
      </c>
      <c r="AO67" s="50">
        <f t="shared" si="49"/>
        <v>0</v>
      </c>
      <c r="AP67" s="50">
        <f t="shared" si="49"/>
        <v>0</v>
      </c>
      <c r="AQ67" s="50">
        <f t="shared" si="49"/>
        <v>0</v>
      </c>
      <c r="AR67" s="50">
        <f t="shared" si="49"/>
        <v>0</v>
      </c>
      <c r="AS67" s="50">
        <f t="shared" si="49"/>
        <v>0</v>
      </c>
      <c r="AT67" s="50">
        <f t="shared" si="49"/>
        <v>0</v>
      </c>
      <c r="AU67" s="50">
        <f t="shared" si="49"/>
        <v>0</v>
      </c>
      <c r="AV67" s="50">
        <f t="shared" si="49"/>
        <v>0</v>
      </c>
      <c r="AW67" s="50">
        <f t="shared" si="49"/>
        <v>0</v>
      </c>
      <c r="AX67" s="50">
        <f t="shared" si="49"/>
        <v>0</v>
      </c>
      <c r="AY67" s="50">
        <f t="shared" si="49"/>
        <v>0</v>
      </c>
      <c r="AZ67" s="50">
        <f t="shared" si="49"/>
        <v>0</v>
      </c>
      <c r="BA67" s="50">
        <f t="shared" si="49"/>
        <v>0</v>
      </c>
      <c r="BB67" s="50">
        <f t="shared" si="49"/>
        <v>0</v>
      </c>
      <c r="BC67" s="443" t="e">
        <f>IF($B67&lt;&gt;"",VLOOKUP($B67,RESUMO!$A$11:$H$42,8),"")</f>
        <v>#REF!</v>
      </c>
      <c r="BD67" s="443" t="e">
        <f>IF($B67&lt;&gt;"",VLOOKUP($B67,RESUMO!$A$11:$H$42,6),"")</f>
        <v>#REF!</v>
      </c>
      <c r="BF67" s="424" t="e">
        <f t="shared" si="3"/>
        <v>#REF!</v>
      </c>
      <c r="BG67" s="441"/>
      <c r="BH67" s="297"/>
    </row>
    <row r="68" spans="1:60" s="295" customFormat="1">
      <c r="A68" s="295">
        <v>55</v>
      </c>
      <c r="B68" s="294"/>
      <c r="C68" s="141" t="s">
        <v>3051</v>
      </c>
      <c r="D68" s="139"/>
      <c r="E68" s="425"/>
      <c r="F68" s="425"/>
      <c r="G68" s="425"/>
      <c r="H68" s="425"/>
      <c r="I68" s="425"/>
      <c r="J68" s="425"/>
      <c r="K68" s="425"/>
      <c r="L68" s="425"/>
      <c r="M68" s="425"/>
      <c r="N68" s="425"/>
      <c r="O68" s="425"/>
      <c r="P68" s="425"/>
      <c r="Q68" s="425"/>
      <c r="R68" s="425"/>
      <c r="S68" s="425"/>
      <c r="T68" s="425"/>
      <c r="U68" s="425"/>
      <c r="V68" s="425"/>
      <c r="W68" s="425"/>
      <c r="X68" s="425"/>
      <c r="Y68" s="425"/>
      <c r="Z68" s="425"/>
      <c r="AA68" s="425"/>
      <c r="AB68" s="425"/>
      <c r="AC68" s="425"/>
      <c r="AD68" s="425"/>
      <c r="AE68" s="425"/>
      <c r="AF68" s="425"/>
      <c r="AG68" s="425"/>
      <c r="AH68" s="425"/>
      <c r="AI68" s="423"/>
      <c r="AJ68" s="423"/>
      <c r="AK68" s="425"/>
      <c r="AL68" s="425"/>
      <c r="AM68" s="425"/>
      <c r="AN68" s="425"/>
      <c r="AO68" s="425"/>
      <c r="AP68" s="425"/>
      <c r="AQ68" s="425"/>
      <c r="AR68" s="425"/>
      <c r="AS68" s="425"/>
      <c r="AT68" s="425"/>
      <c r="AU68" s="425"/>
      <c r="AV68" s="425"/>
      <c r="AW68" s="425"/>
      <c r="AX68" s="425"/>
      <c r="AY68" s="425"/>
      <c r="AZ68" s="425"/>
      <c r="BA68" s="425"/>
      <c r="BB68" s="425"/>
      <c r="BC68" s="140"/>
      <c r="BD68" s="140"/>
      <c r="BF68" s="424"/>
      <c r="BG68" s="442">
        <f>SUM(E68:BB68)</f>
        <v>0</v>
      </c>
      <c r="BH68" s="296"/>
    </row>
    <row r="69" spans="1:60" s="292" customFormat="1">
      <c r="A69" s="292">
        <v>56</v>
      </c>
      <c r="B69" s="291">
        <v>28</v>
      </c>
      <c r="C69" s="55" t="e">
        <f>IF($B69&lt;&gt;"",VLOOKUP($B69,ORC!$E:$N,4,0),"")</f>
        <v>#N/A</v>
      </c>
      <c r="D69" s="49" t="e">
        <f>+BC69/BC$136</f>
        <v>#REF!</v>
      </c>
      <c r="E69" s="50">
        <f t="shared" ref="E69:AH69" si="50">IF(E70&lt;&gt;"",E70*$BC69,0)</f>
        <v>0</v>
      </c>
      <c r="F69" s="50">
        <f t="shared" si="50"/>
        <v>0</v>
      </c>
      <c r="G69" s="50">
        <f t="shared" si="50"/>
        <v>0</v>
      </c>
      <c r="H69" s="50">
        <f t="shared" si="50"/>
        <v>0</v>
      </c>
      <c r="I69" s="50">
        <f t="shared" si="50"/>
        <v>0</v>
      </c>
      <c r="J69" s="50">
        <f t="shared" si="50"/>
        <v>0</v>
      </c>
      <c r="K69" s="50">
        <f t="shared" si="50"/>
        <v>0</v>
      </c>
      <c r="L69" s="50">
        <f t="shared" si="50"/>
        <v>0</v>
      </c>
      <c r="M69" s="50">
        <f t="shared" si="50"/>
        <v>0</v>
      </c>
      <c r="N69" s="50">
        <f t="shared" si="50"/>
        <v>0</v>
      </c>
      <c r="O69" s="50">
        <f t="shared" si="50"/>
        <v>0</v>
      </c>
      <c r="P69" s="50">
        <f t="shared" si="50"/>
        <v>0</v>
      </c>
      <c r="Q69" s="50">
        <f t="shared" si="50"/>
        <v>0</v>
      </c>
      <c r="R69" s="50">
        <f t="shared" si="50"/>
        <v>0</v>
      </c>
      <c r="S69" s="50">
        <f t="shared" si="50"/>
        <v>0</v>
      </c>
      <c r="T69" s="50">
        <f t="shared" si="50"/>
        <v>0</v>
      </c>
      <c r="U69" s="50">
        <f t="shared" si="50"/>
        <v>0</v>
      </c>
      <c r="V69" s="50">
        <f t="shared" si="50"/>
        <v>0</v>
      </c>
      <c r="W69" s="50">
        <f t="shared" si="50"/>
        <v>0</v>
      </c>
      <c r="X69" s="50">
        <f t="shared" si="50"/>
        <v>0</v>
      </c>
      <c r="Y69" s="50">
        <f t="shared" si="50"/>
        <v>0</v>
      </c>
      <c r="Z69" s="50">
        <f t="shared" si="50"/>
        <v>0</v>
      </c>
      <c r="AA69" s="50">
        <f t="shared" si="50"/>
        <v>0</v>
      </c>
      <c r="AB69" s="50">
        <f t="shared" si="50"/>
        <v>0</v>
      </c>
      <c r="AC69" s="50">
        <f t="shared" si="50"/>
        <v>0</v>
      </c>
      <c r="AD69" s="50">
        <f t="shared" si="50"/>
        <v>0</v>
      </c>
      <c r="AE69" s="50">
        <f t="shared" si="50"/>
        <v>0</v>
      </c>
      <c r="AF69" s="50">
        <f t="shared" si="50"/>
        <v>0</v>
      </c>
      <c r="AG69" s="50">
        <f t="shared" si="50"/>
        <v>0</v>
      </c>
      <c r="AH69" s="50">
        <f t="shared" si="50"/>
        <v>0</v>
      </c>
      <c r="AI69" s="423"/>
      <c r="AJ69" s="423"/>
      <c r="AK69" s="50">
        <f t="shared" ref="AK69:BB69" si="51">IF(AK70&lt;&gt;"",AK70*$BC69,0)</f>
        <v>0</v>
      </c>
      <c r="AL69" s="50">
        <f t="shared" si="51"/>
        <v>0</v>
      </c>
      <c r="AM69" s="50">
        <f t="shared" si="51"/>
        <v>0</v>
      </c>
      <c r="AN69" s="50">
        <f t="shared" si="51"/>
        <v>0</v>
      </c>
      <c r="AO69" s="50">
        <f t="shared" si="51"/>
        <v>0</v>
      </c>
      <c r="AP69" s="50">
        <f t="shared" si="51"/>
        <v>0</v>
      </c>
      <c r="AQ69" s="50">
        <f t="shared" si="51"/>
        <v>0</v>
      </c>
      <c r="AR69" s="50">
        <f t="shared" si="51"/>
        <v>0</v>
      </c>
      <c r="AS69" s="50">
        <f t="shared" si="51"/>
        <v>0</v>
      </c>
      <c r="AT69" s="50">
        <f t="shared" si="51"/>
        <v>0</v>
      </c>
      <c r="AU69" s="50">
        <f t="shared" si="51"/>
        <v>0</v>
      </c>
      <c r="AV69" s="50">
        <f t="shared" si="51"/>
        <v>0</v>
      </c>
      <c r="AW69" s="50">
        <f t="shared" si="51"/>
        <v>0</v>
      </c>
      <c r="AX69" s="50">
        <f t="shared" si="51"/>
        <v>0</v>
      </c>
      <c r="AY69" s="50">
        <f t="shared" si="51"/>
        <v>0</v>
      </c>
      <c r="AZ69" s="50">
        <f t="shared" si="51"/>
        <v>0</v>
      </c>
      <c r="BA69" s="50">
        <f t="shared" si="51"/>
        <v>0</v>
      </c>
      <c r="BB69" s="50">
        <f t="shared" si="51"/>
        <v>0</v>
      </c>
      <c r="BC69" s="443" t="e">
        <f>IF($B69&lt;&gt;"",VLOOKUP($B69,RESUMO!$A$11:$H$42,8),"")</f>
        <v>#REF!</v>
      </c>
      <c r="BD69" s="443" t="e">
        <f>IF($B69&lt;&gt;"",VLOOKUP($B69,RESUMO!$A$11:$H$42,6),"")</f>
        <v>#REF!</v>
      </c>
      <c r="BF69" s="424" t="e">
        <f t="shared" si="3"/>
        <v>#REF!</v>
      </c>
      <c r="BG69" s="441"/>
      <c r="BH69" s="297"/>
    </row>
    <row r="70" spans="1:60" s="295" customFormat="1">
      <c r="A70" s="295">
        <v>57</v>
      </c>
      <c r="B70" s="294"/>
      <c r="C70" s="141" t="s">
        <v>3051</v>
      </c>
      <c r="D70" s="139"/>
      <c r="E70" s="425"/>
      <c r="F70" s="425"/>
      <c r="G70" s="425"/>
      <c r="H70" s="425"/>
      <c r="I70" s="425"/>
      <c r="J70" s="425"/>
      <c r="K70" s="425"/>
      <c r="L70" s="425"/>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423"/>
      <c r="AJ70" s="423"/>
      <c r="AK70" s="425"/>
      <c r="AL70" s="425"/>
      <c r="AM70" s="425"/>
      <c r="AN70" s="425"/>
      <c r="AO70" s="425"/>
      <c r="AP70" s="425"/>
      <c r="AQ70" s="425"/>
      <c r="AR70" s="425"/>
      <c r="AS70" s="425"/>
      <c r="AT70" s="425"/>
      <c r="AU70" s="425"/>
      <c r="AV70" s="425"/>
      <c r="AW70" s="425"/>
      <c r="AX70" s="425"/>
      <c r="AY70" s="425"/>
      <c r="AZ70" s="425"/>
      <c r="BA70" s="425"/>
      <c r="BB70" s="425"/>
      <c r="BC70" s="140"/>
      <c r="BD70" s="140"/>
      <c r="BF70" s="424"/>
      <c r="BG70" s="442">
        <f>SUM(E70:BB70)</f>
        <v>0</v>
      </c>
      <c r="BH70" s="296"/>
    </row>
    <row r="71" spans="1:60" s="292" customFormat="1">
      <c r="A71" s="292">
        <v>58</v>
      </c>
      <c r="B71" s="291">
        <v>29</v>
      </c>
      <c r="C71" s="55" t="e">
        <f>IF($B71&lt;&gt;"",VLOOKUP($B71,ORC!$E:$N,4,0),"")</f>
        <v>#N/A</v>
      </c>
      <c r="D71" s="49" t="e">
        <f>+BC71/BC$136</f>
        <v>#REF!</v>
      </c>
      <c r="E71" s="50">
        <f t="shared" ref="E71:AH71" si="52">IF(E72&lt;&gt;"",E72*$BC71,0)</f>
        <v>0</v>
      </c>
      <c r="F71" s="50">
        <f t="shared" si="52"/>
        <v>0</v>
      </c>
      <c r="G71" s="50">
        <f t="shared" si="52"/>
        <v>0</v>
      </c>
      <c r="H71" s="50">
        <f t="shared" si="52"/>
        <v>0</v>
      </c>
      <c r="I71" s="50">
        <f t="shared" si="52"/>
        <v>0</v>
      </c>
      <c r="J71" s="50">
        <f t="shared" si="52"/>
        <v>0</v>
      </c>
      <c r="K71" s="50">
        <f t="shared" si="52"/>
        <v>0</v>
      </c>
      <c r="L71" s="50">
        <f t="shared" si="52"/>
        <v>0</v>
      </c>
      <c r="M71" s="50">
        <f t="shared" si="52"/>
        <v>0</v>
      </c>
      <c r="N71" s="50">
        <f t="shared" si="52"/>
        <v>0</v>
      </c>
      <c r="O71" s="50">
        <f t="shared" si="52"/>
        <v>0</v>
      </c>
      <c r="P71" s="50">
        <f t="shared" si="52"/>
        <v>0</v>
      </c>
      <c r="Q71" s="50">
        <f t="shared" si="52"/>
        <v>0</v>
      </c>
      <c r="R71" s="50">
        <f t="shared" si="52"/>
        <v>0</v>
      </c>
      <c r="S71" s="50">
        <f t="shared" si="52"/>
        <v>0</v>
      </c>
      <c r="T71" s="50">
        <f t="shared" si="52"/>
        <v>0</v>
      </c>
      <c r="U71" s="50">
        <f t="shared" si="52"/>
        <v>0</v>
      </c>
      <c r="V71" s="50">
        <f t="shared" si="52"/>
        <v>0</v>
      </c>
      <c r="W71" s="50">
        <f t="shared" si="52"/>
        <v>0</v>
      </c>
      <c r="X71" s="50">
        <f t="shared" si="52"/>
        <v>0</v>
      </c>
      <c r="Y71" s="50">
        <f t="shared" si="52"/>
        <v>0</v>
      </c>
      <c r="Z71" s="50">
        <f t="shared" si="52"/>
        <v>0</v>
      </c>
      <c r="AA71" s="50">
        <f t="shared" si="52"/>
        <v>0</v>
      </c>
      <c r="AB71" s="50">
        <f t="shared" si="52"/>
        <v>0</v>
      </c>
      <c r="AC71" s="50">
        <f t="shared" si="52"/>
        <v>0</v>
      </c>
      <c r="AD71" s="50">
        <f t="shared" si="52"/>
        <v>0</v>
      </c>
      <c r="AE71" s="50">
        <f t="shared" si="52"/>
        <v>0</v>
      </c>
      <c r="AF71" s="50">
        <f t="shared" si="52"/>
        <v>0</v>
      </c>
      <c r="AG71" s="50">
        <f t="shared" si="52"/>
        <v>0</v>
      </c>
      <c r="AH71" s="50">
        <f t="shared" si="52"/>
        <v>0</v>
      </c>
      <c r="AI71" s="423"/>
      <c r="AJ71" s="423"/>
      <c r="AK71" s="50">
        <f t="shared" ref="AK71:BB71" si="53">IF(AK72&lt;&gt;"",AK72*$BC71,0)</f>
        <v>0</v>
      </c>
      <c r="AL71" s="50">
        <f t="shared" si="53"/>
        <v>0</v>
      </c>
      <c r="AM71" s="50">
        <f t="shared" si="53"/>
        <v>0</v>
      </c>
      <c r="AN71" s="50">
        <f t="shared" si="53"/>
        <v>0</v>
      </c>
      <c r="AO71" s="50">
        <f t="shared" si="53"/>
        <v>0</v>
      </c>
      <c r="AP71" s="50">
        <f t="shared" si="53"/>
        <v>0</v>
      </c>
      <c r="AQ71" s="50">
        <f t="shared" si="53"/>
        <v>0</v>
      </c>
      <c r="AR71" s="50">
        <f t="shared" si="53"/>
        <v>0</v>
      </c>
      <c r="AS71" s="50">
        <f t="shared" si="53"/>
        <v>0</v>
      </c>
      <c r="AT71" s="50">
        <f t="shared" si="53"/>
        <v>0</v>
      </c>
      <c r="AU71" s="50">
        <f t="shared" si="53"/>
        <v>0</v>
      </c>
      <c r="AV71" s="50">
        <f t="shared" si="53"/>
        <v>0</v>
      </c>
      <c r="AW71" s="50">
        <f t="shared" si="53"/>
        <v>0</v>
      </c>
      <c r="AX71" s="50">
        <f t="shared" si="53"/>
        <v>0</v>
      </c>
      <c r="AY71" s="50">
        <f t="shared" si="53"/>
        <v>0</v>
      </c>
      <c r="AZ71" s="50">
        <f t="shared" si="53"/>
        <v>0</v>
      </c>
      <c r="BA71" s="50">
        <f t="shared" si="53"/>
        <v>0</v>
      </c>
      <c r="BB71" s="50">
        <f t="shared" si="53"/>
        <v>0</v>
      </c>
      <c r="BC71" s="443" t="e">
        <f>IF($B71&lt;&gt;"",VLOOKUP($B71,RESUMO!$A$11:$H$42,8),"")</f>
        <v>#REF!</v>
      </c>
      <c r="BD71" s="443" t="e">
        <f>IF($B71&lt;&gt;"",VLOOKUP($B71,RESUMO!$A$11:$H$42,6),"")</f>
        <v>#REF!</v>
      </c>
      <c r="BF71" s="424" t="e">
        <f t="shared" si="3"/>
        <v>#REF!</v>
      </c>
      <c r="BG71" s="441"/>
      <c r="BH71" s="297"/>
    </row>
    <row r="72" spans="1:60" s="295" customFormat="1">
      <c r="A72" s="295">
        <v>59</v>
      </c>
      <c r="B72" s="294"/>
      <c r="C72" s="141" t="s">
        <v>3051</v>
      </c>
      <c r="D72" s="139"/>
      <c r="E72" s="425"/>
      <c r="F72" s="425"/>
      <c r="G72" s="425"/>
      <c r="H72" s="425"/>
      <c r="I72" s="425"/>
      <c r="J72" s="425"/>
      <c r="K72" s="425"/>
      <c r="L72" s="425"/>
      <c r="M72" s="425"/>
      <c r="N72" s="425"/>
      <c r="O72" s="425"/>
      <c r="P72" s="425"/>
      <c r="Q72" s="425"/>
      <c r="R72" s="425"/>
      <c r="S72" s="425"/>
      <c r="T72" s="425"/>
      <c r="U72" s="425"/>
      <c r="V72" s="425"/>
      <c r="W72" s="425"/>
      <c r="X72" s="425"/>
      <c r="Y72" s="425"/>
      <c r="Z72" s="425"/>
      <c r="AA72" s="425"/>
      <c r="AB72" s="425"/>
      <c r="AC72" s="425"/>
      <c r="AD72" s="425"/>
      <c r="AE72" s="425"/>
      <c r="AF72" s="425"/>
      <c r="AG72" s="425"/>
      <c r="AH72" s="425"/>
      <c r="AI72" s="423"/>
      <c r="AJ72" s="423"/>
      <c r="AK72" s="425"/>
      <c r="AL72" s="425"/>
      <c r="AM72" s="425"/>
      <c r="AN72" s="425"/>
      <c r="AO72" s="425"/>
      <c r="AP72" s="425"/>
      <c r="AQ72" s="425"/>
      <c r="AR72" s="425"/>
      <c r="AS72" s="425"/>
      <c r="AT72" s="425"/>
      <c r="AU72" s="425"/>
      <c r="AV72" s="425"/>
      <c r="AW72" s="425"/>
      <c r="AX72" s="425"/>
      <c r="AY72" s="425"/>
      <c r="AZ72" s="425"/>
      <c r="BA72" s="425"/>
      <c r="BB72" s="425"/>
      <c r="BC72" s="140"/>
      <c r="BD72" s="140"/>
      <c r="BF72" s="424"/>
      <c r="BG72" s="442">
        <f>SUM(E72:BB72)</f>
        <v>0</v>
      </c>
      <c r="BH72" s="296"/>
    </row>
    <row r="73" spans="1:60" s="292" customFormat="1">
      <c r="A73" s="292">
        <v>60</v>
      </c>
      <c r="B73" s="291">
        <v>30</v>
      </c>
      <c r="C73" s="55" t="e">
        <f>IF($B73&lt;&gt;"",VLOOKUP($B73,ORC!$E:$N,4,0),"")</f>
        <v>#N/A</v>
      </c>
      <c r="D73" s="49" t="e">
        <f>+BC73/BC$136</f>
        <v>#REF!</v>
      </c>
      <c r="E73" s="50">
        <f t="shared" ref="E73:AH73" si="54">IF(E74&lt;&gt;"",E74*$BC73,0)</f>
        <v>0</v>
      </c>
      <c r="F73" s="50">
        <f t="shared" si="54"/>
        <v>0</v>
      </c>
      <c r="G73" s="50">
        <f t="shared" si="54"/>
        <v>0</v>
      </c>
      <c r="H73" s="50">
        <f t="shared" si="54"/>
        <v>0</v>
      </c>
      <c r="I73" s="50">
        <f t="shared" si="54"/>
        <v>0</v>
      </c>
      <c r="J73" s="50">
        <f t="shared" si="54"/>
        <v>0</v>
      </c>
      <c r="K73" s="50">
        <f t="shared" si="54"/>
        <v>0</v>
      </c>
      <c r="L73" s="50">
        <f t="shared" si="54"/>
        <v>0</v>
      </c>
      <c r="M73" s="50">
        <f t="shared" si="54"/>
        <v>0</v>
      </c>
      <c r="N73" s="50">
        <f t="shared" si="54"/>
        <v>0</v>
      </c>
      <c r="O73" s="50">
        <f t="shared" si="54"/>
        <v>0</v>
      </c>
      <c r="P73" s="50">
        <f t="shared" si="54"/>
        <v>0</v>
      </c>
      <c r="Q73" s="50">
        <f t="shared" si="54"/>
        <v>0</v>
      </c>
      <c r="R73" s="50">
        <f t="shared" si="54"/>
        <v>0</v>
      </c>
      <c r="S73" s="50">
        <f t="shared" si="54"/>
        <v>0</v>
      </c>
      <c r="T73" s="50">
        <f t="shared" si="54"/>
        <v>0</v>
      </c>
      <c r="U73" s="50">
        <f t="shared" si="54"/>
        <v>0</v>
      </c>
      <c r="V73" s="50">
        <f t="shared" si="54"/>
        <v>0</v>
      </c>
      <c r="W73" s="50">
        <f t="shared" si="54"/>
        <v>0</v>
      </c>
      <c r="X73" s="50">
        <f t="shared" si="54"/>
        <v>0</v>
      </c>
      <c r="Y73" s="50">
        <f t="shared" si="54"/>
        <v>0</v>
      </c>
      <c r="Z73" s="50">
        <f t="shared" si="54"/>
        <v>0</v>
      </c>
      <c r="AA73" s="50">
        <f t="shared" si="54"/>
        <v>0</v>
      </c>
      <c r="AB73" s="50">
        <f t="shared" si="54"/>
        <v>0</v>
      </c>
      <c r="AC73" s="50">
        <f t="shared" si="54"/>
        <v>0</v>
      </c>
      <c r="AD73" s="50">
        <f t="shared" si="54"/>
        <v>0</v>
      </c>
      <c r="AE73" s="50">
        <f t="shared" si="54"/>
        <v>0</v>
      </c>
      <c r="AF73" s="50">
        <f t="shared" si="54"/>
        <v>0</v>
      </c>
      <c r="AG73" s="50">
        <f t="shared" si="54"/>
        <v>0</v>
      </c>
      <c r="AH73" s="50">
        <f t="shared" si="54"/>
        <v>0</v>
      </c>
      <c r="AI73" s="423"/>
      <c r="AJ73" s="423"/>
      <c r="AK73" s="50">
        <f t="shared" ref="AK73:BB73" si="55">IF(AK74&lt;&gt;"",AK74*$BC73,0)</f>
        <v>0</v>
      </c>
      <c r="AL73" s="50">
        <f t="shared" si="55"/>
        <v>0</v>
      </c>
      <c r="AM73" s="50">
        <f t="shared" si="55"/>
        <v>0</v>
      </c>
      <c r="AN73" s="50">
        <f t="shared" si="55"/>
        <v>0</v>
      </c>
      <c r="AO73" s="50">
        <f t="shared" si="55"/>
        <v>0</v>
      </c>
      <c r="AP73" s="50">
        <f t="shared" si="55"/>
        <v>0</v>
      </c>
      <c r="AQ73" s="50">
        <f t="shared" si="55"/>
        <v>0</v>
      </c>
      <c r="AR73" s="50">
        <f t="shared" si="55"/>
        <v>0</v>
      </c>
      <c r="AS73" s="50">
        <f t="shared" si="55"/>
        <v>0</v>
      </c>
      <c r="AT73" s="50">
        <f t="shared" si="55"/>
        <v>0</v>
      </c>
      <c r="AU73" s="50">
        <f t="shared" si="55"/>
        <v>0</v>
      </c>
      <c r="AV73" s="50">
        <f t="shared" si="55"/>
        <v>0</v>
      </c>
      <c r="AW73" s="50">
        <f t="shared" si="55"/>
        <v>0</v>
      </c>
      <c r="AX73" s="50">
        <f t="shared" si="55"/>
        <v>0</v>
      </c>
      <c r="AY73" s="50">
        <f t="shared" si="55"/>
        <v>0</v>
      </c>
      <c r="AZ73" s="50">
        <f t="shared" si="55"/>
        <v>0</v>
      </c>
      <c r="BA73" s="50">
        <f t="shared" si="55"/>
        <v>0</v>
      </c>
      <c r="BB73" s="50">
        <f t="shared" si="55"/>
        <v>0</v>
      </c>
      <c r="BC73" s="443" t="e">
        <f>IF($B73&lt;&gt;"",VLOOKUP($B73,RESUMO!$A$11:$H$42,8),"")</f>
        <v>#REF!</v>
      </c>
      <c r="BD73" s="443" t="e">
        <f>IF($B73&lt;&gt;"",VLOOKUP($B73,RESUMO!$A$11:$H$42,6),"")</f>
        <v>#REF!</v>
      </c>
      <c r="BF73" s="424" t="e">
        <f t="shared" si="3"/>
        <v>#REF!</v>
      </c>
      <c r="BG73" s="441"/>
      <c r="BH73" s="297"/>
    </row>
    <row r="74" spans="1:60" s="295" customFormat="1">
      <c r="A74" s="295">
        <v>61</v>
      </c>
      <c r="B74" s="294"/>
      <c r="C74" s="141" t="s">
        <v>3051</v>
      </c>
      <c r="D74" s="139"/>
      <c r="E74" s="425"/>
      <c r="F74" s="425"/>
      <c r="G74" s="425"/>
      <c r="H74" s="425"/>
      <c r="I74" s="425"/>
      <c r="J74" s="425"/>
      <c r="K74" s="425"/>
      <c r="L74" s="425"/>
      <c r="M74" s="425"/>
      <c r="N74" s="425"/>
      <c r="O74" s="425"/>
      <c r="P74" s="425"/>
      <c r="Q74" s="425"/>
      <c r="R74" s="425"/>
      <c r="S74" s="425"/>
      <c r="T74" s="425"/>
      <c r="U74" s="425"/>
      <c r="V74" s="425"/>
      <c r="W74" s="425"/>
      <c r="X74" s="425"/>
      <c r="Y74" s="425"/>
      <c r="Z74" s="425"/>
      <c r="AA74" s="425"/>
      <c r="AB74" s="425"/>
      <c r="AC74" s="425"/>
      <c r="AD74" s="425"/>
      <c r="AE74" s="425"/>
      <c r="AF74" s="425"/>
      <c r="AG74" s="425"/>
      <c r="AH74" s="425"/>
      <c r="AI74" s="423"/>
      <c r="AJ74" s="423"/>
      <c r="AK74" s="425"/>
      <c r="AL74" s="425"/>
      <c r="AM74" s="425"/>
      <c r="AN74" s="425"/>
      <c r="AO74" s="425"/>
      <c r="AP74" s="425"/>
      <c r="AQ74" s="425"/>
      <c r="AR74" s="425"/>
      <c r="AS74" s="425"/>
      <c r="AT74" s="425"/>
      <c r="AU74" s="425"/>
      <c r="AV74" s="425"/>
      <c r="AW74" s="425"/>
      <c r="AX74" s="425"/>
      <c r="AY74" s="425"/>
      <c r="AZ74" s="425"/>
      <c r="BA74" s="425"/>
      <c r="BB74" s="425"/>
      <c r="BC74" s="140"/>
      <c r="BD74" s="140"/>
      <c r="BF74" s="424"/>
      <c r="BG74" s="442">
        <f>SUM(E74:BB74)</f>
        <v>0</v>
      </c>
      <c r="BH74" s="296"/>
    </row>
    <row r="75" spans="1:60" s="295" customFormat="1">
      <c r="A75" s="292">
        <v>62</v>
      </c>
      <c r="B75" s="294"/>
      <c r="C75" s="418" t="s">
        <v>6517</v>
      </c>
      <c r="D75" s="416"/>
      <c r="E75" s="417"/>
      <c r="F75" s="417"/>
      <c r="G75" s="417"/>
      <c r="H75" s="417"/>
      <c r="I75" s="417"/>
      <c r="J75" s="417"/>
      <c r="K75" s="417"/>
      <c r="L75" s="417"/>
      <c r="M75" s="417"/>
      <c r="N75" s="417"/>
      <c r="O75" s="417"/>
      <c r="P75" s="417"/>
      <c r="Q75" s="417"/>
      <c r="R75" s="417"/>
      <c r="S75" s="417"/>
      <c r="T75" s="417"/>
      <c r="U75" s="417"/>
      <c r="V75" s="417"/>
      <c r="W75" s="417"/>
      <c r="X75" s="417"/>
      <c r="Y75" s="417"/>
      <c r="Z75" s="417"/>
      <c r="AA75" s="417"/>
      <c r="AB75" s="417"/>
      <c r="AC75" s="417"/>
      <c r="AD75" s="417"/>
      <c r="AE75" s="417"/>
      <c r="AF75" s="417"/>
      <c r="AG75" s="417"/>
      <c r="AH75" s="417"/>
      <c r="AI75" s="422"/>
      <c r="AJ75" s="422"/>
      <c r="AK75" s="417"/>
      <c r="AL75" s="417"/>
      <c r="AM75" s="417"/>
      <c r="AN75" s="417"/>
      <c r="AO75" s="417"/>
      <c r="AP75" s="417"/>
      <c r="AQ75" s="417"/>
      <c r="AR75" s="417"/>
      <c r="AS75" s="417"/>
      <c r="AT75" s="417"/>
      <c r="AU75" s="417"/>
      <c r="AV75" s="417"/>
      <c r="AW75" s="417"/>
      <c r="AX75" s="417"/>
      <c r="AY75" s="417"/>
      <c r="AZ75" s="417"/>
      <c r="BA75" s="417"/>
      <c r="BB75" s="417"/>
      <c r="BC75" s="417"/>
      <c r="BD75" s="417"/>
      <c r="BF75" s="424">
        <v>0</v>
      </c>
      <c r="BG75" s="442">
        <f>SUM(E75:P75)</f>
        <v>0</v>
      </c>
      <c r="BH75" s="296"/>
    </row>
    <row r="76" spans="1:60" s="292" customFormat="1">
      <c r="A76" s="295">
        <v>63</v>
      </c>
      <c r="B76" s="291">
        <v>1</v>
      </c>
      <c r="C76" s="55" t="str">
        <f>IF($B76&lt;&gt;"",VLOOKUP($B76,ORC!$E:$N,4,0),"")</f>
        <v>SERVIÇOS PRELIMINARES</v>
      </c>
      <c r="D76" s="49" t="e">
        <f>+BC76/BC$136</f>
        <v>#REF!</v>
      </c>
      <c r="E76" s="50">
        <f t="shared" ref="E76:AH76" si="56">IF(E77&lt;&gt;"",E77*$BC76,0)</f>
        <v>0</v>
      </c>
      <c r="F76" s="50">
        <f t="shared" si="56"/>
        <v>0</v>
      </c>
      <c r="G76" s="50">
        <f t="shared" si="56"/>
        <v>0</v>
      </c>
      <c r="H76" s="50">
        <f t="shared" si="56"/>
        <v>0</v>
      </c>
      <c r="I76" s="50">
        <f t="shared" si="56"/>
        <v>0</v>
      </c>
      <c r="J76" s="50">
        <f t="shared" si="56"/>
        <v>0</v>
      </c>
      <c r="K76" s="50">
        <f t="shared" si="56"/>
        <v>0</v>
      </c>
      <c r="L76" s="50">
        <f t="shared" si="56"/>
        <v>0</v>
      </c>
      <c r="M76" s="50">
        <f t="shared" si="56"/>
        <v>0</v>
      </c>
      <c r="N76" s="50">
        <f t="shared" si="56"/>
        <v>0</v>
      </c>
      <c r="O76" s="50">
        <f t="shared" si="56"/>
        <v>0</v>
      </c>
      <c r="P76" s="50">
        <f t="shared" si="56"/>
        <v>0</v>
      </c>
      <c r="Q76" s="50">
        <f t="shared" si="56"/>
        <v>0</v>
      </c>
      <c r="R76" s="50">
        <f t="shared" si="56"/>
        <v>0</v>
      </c>
      <c r="S76" s="50">
        <f t="shared" si="56"/>
        <v>0</v>
      </c>
      <c r="T76" s="50">
        <f t="shared" si="56"/>
        <v>0</v>
      </c>
      <c r="U76" s="50">
        <f t="shared" si="56"/>
        <v>0</v>
      </c>
      <c r="V76" s="50">
        <f t="shared" si="56"/>
        <v>0</v>
      </c>
      <c r="W76" s="50">
        <f t="shared" si="56"/>
        <v>0</v>
      </c>
      <c r="X76" s="50">
        <f t="shared" si="56"/>
        <v>0</v>
      </c>
      <c r="Y76" s="50">
        <f t="shared" si="56"/>
        <v>0</v>
      </c>
      <c r="Z76" s="50">
        <f t="shared" si="56"/>
        <v>0</v>
      </c>
      <c r="AA76" s="50">
        <f t="shared" si="56"/>
        <v>0</v>
      </c>
      <c r="AB76" s="50">
        <f t="shared" si="56"/>
        <v>0</v>
      </c>
      <c r="AC76" s="50">
        <f t="shared" si="56"/>
        <v>0</v>
      </c>
      <c r="AD76" s="50">
        <f t="shared" si="56"/>
        <v>0</v>
      </c>
      <c r="AE76" s="50">
        <f t="shared" si="56"/>
        <v>0</v>
      </c>
      <c r="AF76" s="50">
        <f t="shared" si="56"/>
        <v>0</v>
      </c>
      <c r="AG76" s="50">
        <f t="shared" si="56"/>
        <v>0</v>
      </c>
      <c r="AH76" s="50">
        <f t="shared" si="56"/>
        <v>0</v>
      </c>
      <c r="AI76" s="423"/>
      <c r="AJ76" s="423"/>
      <c r="AK76" s="50">
        <f t="shared" ref="AK76:BB76" si="57">IF(AK77&lt;&gt;"",AK77*$BC76,0)</f>
        <v>0</v>
      </c>
      <c r="AL76" s="50">
        <f t="shared" si="57"/>
        <v>0</v>
      </c>
      <c r="AM76" s="50">
        <f t="shared" si="57"/>
        <v>0</v>
      </c>
      <c r="AN76" s="50">
        <f t="shared" si="57"/>
        <v>0</v>
      </c>
      <c r="AO76" s="50">
        <f t="shared" si="57"/>
        <v>0</v>
      </c>
      <c r="AP76" s="50">
        <f t="shared" si="57"/>
        <v>0</v>
      </c>
      <c r="AQ76" s="50">
        <f t="shared" si="57"/>
        <v>0</v>
      </c>
      <c r="AR76" s="50">
        <f t="shared" si="57"/>
        <v>0</v>
      </c>
      <c r="AS76" s="50">
        <f t="shared" si="57"/>
        <v>0</v>
      </c>
      <c r="AT76" s="50">
        <f t="shared" si="57"/>
        <v>0</v>
      </c>
      <c r="AU76" s="50">
        <f t="shared" si="57"/>
        <v>0</v>
      </c>
      <c r="AV76" s="50">
        <f t="shared" si="57"/>
        <v>0</v>
      </c>
      <c r="AW76" s="50">
        <f t="shared" si="57"/>
        <v>0</v>
      </c>
      <c r="AX76" s="50">
        <f t="shared" si="57"/>
        <v>0</v>
      </c>
      <c r="AY76" s="50">
        <f t="shared" si="57"/>
        <v>0</v>
      </c>
      <c r="AZ76" s="50">
        <f t="shared" si="57"/>
        <v>0</v>
      </c>
      <c r="BA76" s="50">
        <f t="shared" si="57"/>
        <v>0</v>
      </c>
      <c r="BB76" s="50">
        <f t="shared" si="57"/>
        <v>0</v>
      </c>
      <c r="BC76" s="443" t="e">
        <f>IF($B76&lt;&gt;"",VLOOKUP($B76,RESUMO!$A$11:$H$42,8),"")</f>
        <v>#REF!</v>
      </c>
      <c r="BD76" s="443" t="e">
        <f>IF($B76&lt;&gt;"",VLOOKUP($B76,RESUMO!$A$11:$H$42,6),"")</f>
        <v>#REF!</v>
      </c>
      <c r="BF76" s="424" t="e">
        <f t="shared" si="3"/>
        <v>#REF!</v>
      </c>
      <c r="BG76" s="441"/>
      <c r="BH76" s="293"/>
    </row>
    <row r="77" spans="1:60" s="295" customFormat="1">
      <c r="A77" s="292">
        <v>64</v>
      </c>
      <c r="B77" s="294"/>
      <c r="C77" s="141" t="s">
        <v>3051</v>
      </c>
      <c r="D77" s="139"/>
      <c r="E77" s="425"/>
      <c r="F77" s="425"/>
      <c r="G77" s="425"/>
      <c r="H77" s="425"/>
      <c r="I77" s="425"/>
      <c r="J77" s="425"/>
      <c r="K77" s="425"/>
      <c r="L77" s="425"/>
      <c r="M77" s="425"/>
      <c r="N77" s="425"/>
      <c r="O77" s="425"/>
      <c r="P77" s="425"/>
      <c r="Q77" s="425"/>
      <c r="R77" s="425"/>
      <c r="S77" s="425"/>
      <c r="T77" s="425"/>
      <c r="U77" s="425"/>
      <c r="V77" s="425"/>
      <c r="W77" s="425"/>
      <c r="X77" s="425"/>
      <c r="Y77" s="425"/>
      <c r="Z77" s="425"/>
      <c r="AA77" s="425"/>
      <c r="AB77" s="425"/>
      <c r="AC77" s="425"/>
      <c r="AD77" s="425"/>
      <c r="AE77" s="425"/>
      <c r="AF77" s="425"/>
      <c r="AG77" s="425"/>
      <c r="AH77" s="425"/>
      <c r="AI77" s="422"/>
      <c r="AJ77" s="422"/>
      <c r="AK77" s="425"/>
      <c r="AL77" s="425"/>
      <c r="AM77" s="425"/>
      <c r="AN77" s="425"/>
      <c r="AO77" s="425"/>
      <c r="AP77" s="425"/>
      <c r="AQ77" s="425"/>
      <c r="AR77" s="425"/>
      <c r="AS77" s="425"/>
      <c r="AT77" s="425"/>
      <c r="AU77" s="425"/>
      <c r="AV77" s="425"/>
      <c r="AW77" s="425"/>
      <c r="AX77" s="425"/>
      <c r="AY77" s="425"/>
      <c r="AZ77" s="425"/>
      <c r="BA77" s="425"/>
      <c r="BB77" s="425"/>
      <c r="BC77" s="140"/>
      <c r="BD77" s="140"/>
      <c r="BF77" s="424"/>
      <c r="BG77" s="442">
        <f>SUM(E77:BB77)</f>
        <v>0</v>
      </c>
      <c r="BH77" s="296"/>
    </row>
    <row r="78" spans="1:60" s="292" customFormat="1">
      <c r="A78" s="295">
        <v>65</v>
      </c>
      <c r="B78" s="291">
        <v>2</v>
      </c>
      <c r="C78" s="55" t="str">
        <f>IF($B78&lt;&gt;"",VLOOKUP($B78,ORC!$E:$N,4,0),"")</f>
        <v>SERVIÇOS INICIAIS</v>
      </c>
      <c r="D78" s="49" t="e">
        <f>+BC78/BC$136</f>
        <v>#REF!</v>
      </c>
      <c r="E78" s="50">
        <f t="shared" ref="E78:AH78" si="58">IF(E79&lt;&gt;"",E79*$BC78,0)</f>
        <v>0</v>
      </c>
      <c r="F78" s="50">
        <f t="shared" si="58"/>
        <v>0</v>
      </c>
      <c r="G78" s="50">
        <f t="shared" si="58"/>
        <v>0</v>
      </c>
      <c r="H78" s="50">
        <f t="shared" si="58"/>
        <v>0</v>
      </c>
      <c r="I78" s="50">
        <f t="shared" si="58"/>
        <v>0</v>
      </c>
      <c r="J78" s="50">
        <f t="shared" si="58"/>
        <v>0</v>
      </c>
      <c r="K78" s="50">
        <f t="shared" si="58"/>
        <v>0</v>
      </c>
      <c r="L78" s="50">
        <f t="shared" si="58"/>
        <v>0</v>
      </c>
      <c r="M78" s="50">
        <f t="shared" si="58"/>
        <v>0</v>
      </c>
      <c r="N78" s="50">
        <f t="shared" si="58"/>
        <v>0</v>
      </c>
      <c r="O78" s="50">
        <f t="shared" si="58"/>
        <v>0</v>
      </c>
      <c r="P78" s="50">
        <f t="shared" si="58"/>
        <v>0</v>
      </c>
      <c r="Q78" s="50">
        <f t="shared" si="58"/>
        <v>0</v>
      </c>
      <c r="R78" s="50">
        <f t="shared" si="58"/>
        <v>0</v>
      </c>
      <c r="S78" s="50">
        <f t="shared" si="58"/>
        <v>0</v>
      </c>
      <c r="T78" s="50">
        <f t="shared" si="58"/>
        <v>0</v>
      </c>
      <c r="U78" s="50">
        <f t="shared" si="58"/>
        <v>0</v>
      </c>
      <c r="V78" s="50">
        <f t="shared" si="58"/>
        <v>0</v>
      </c>
      <c r="W78" s="50">
        <f t="shared" si="58"/>
        <v>0</v>
      </c>
      <c r="X78" s="50">
        <f t="shared" si="58"/>
        <v>0</v>
      </c>
      <c r="Y78" s="50">
        <f t="shared" si="58"/>
        <v>0</v>
      </c>
      <c r="Z78" s="50">
        <f t="shared" si="58"/>
        <v>0</v>
      </c>
      <c r="AA78" s="50">
        <f t="shared" si="58"/>
        <v>0</v>
      </c>
      <c r="AB78" s="50">
        <f t="shared" si="58"/>
        <v>0</v>
      </c>
      <c r="AC78" s="50">
        <f t="shared" si="58"/>
        <v>0</v>
      </c>
      <c r="AD78" s="50">
        <f t="shared" si="58"/>
        <v>0</v>
      </c>
      <c r="AE78" s="50">
        <f t="shared" si="58"/>
        <v>0</v>
      </c>
      <c r="AF78" s="50">
        <f t="shared" si="58"/>
        <v>0</v>
      </c>
      <c r="AG78" s="50">
        <f t="shared" si="58"/>
        <v>0</v>
      </c>
      <c r="AH78" s="50">
        <f t="shared" si="58"/>
        <v>0</v>
      </c>
      <c r="AI78" s="423"/>
      <c r="AJ78" s="423"/>
      <c r="AK78" s="50">
        <f t="shared" ref="AK78:BB78" si="59">IF(AK79&lt;&gt;"",AK79*$BC78,0)</f>
        <v>0</v>
      </c>
      <c r="AL78" s="50">
        <f t="shared" si="59"/>
        <v>0</v>
      </c>
      <c r="AM78" s="50">
        <f t="shared" si="59"/>
        <v>0</v>
      </c>
      <c r="AN78" s="50">
        <f t="shared" si="59"/>
        <v>0</v>
      </c>
      <c r="AO78" s="50">
        <f t="shared" si="59"/>
        <v>0</v>
      </c>
      <c r="AP78" s="50">
        <f t="shared" si="59"/>
        <v>0</v>
      </c>
      <c r="AQ78" s="50">
        <f t="shared" si="59"/>
        <v>0</v>
      </c>
      <c r="AR78" s="50">
        <f t="shared" si="59"/>
        <v>0</v>
      </c>
      <c r="AS78" s="50">
        <f t="shared" si="59"/>
        <v>0</v>
      </c>
      <c r="AT78" s="50">
        <f t="shared" si="59"/>
        <v>0</v>
      </c>
      <c r="AU78" s="50">
        <f t="shared" si="59"/>
        <v>0</v>
      </c>
      <c r="AV78" s="50">
        <f t="shared" si="59"/>
        <v>0</v>
      </c>
      <c r="AW78" s="50">
        <f t="shared" si="59"/>
        <v>0</v>
      </c>
      <c r="AX78" s="50">
        <f t="shared" si="59"/>
        <v>0</v>
      </c>
      <c r="AY78" s="50">
        <f t="shared" si="59"/>
        <v>0</v>
      </c>
      <c r="AZ78" s="50">
        <f t="shared" si="59"/>
        <v>0</v>
      </c>
      <c r="BA78" s="50">
        <f t="shared" si="59"/>
        <v>0</v>
      </c>
      <c r="BB78" s="50">
        <f t="shared" si="59"/>
        <v>0</v>
      </c>
      <c r="BC78" s="443" t="e">
        <f>IF($B78&lt;&gt;"",VLOOKUP($B78,RESUMO!$A$11:$H$42,8),"")</f>
        <v>#REF!</v>
      </c>
      <c r="BD78" s="443" t="e">
        <f>IF($B78&lt;&gt;"",VLOOKUP($B78,RESUMO!$A$11:$H$42,6),"")</f>
        <v>#REF!</v>
      </c>
      <c r="BF78" s="424" t="e">
        <f t="shared" si="3"/>
        <v>#REF!</v>
      </c>
      <c r="BG78" s="441"/>
      <c r="BH78" s="297"/>
    </row>
    <row r="79" spans="1:60" s="295" customFormat="1">
      <c r="A79" s="292">
        <v>66</v>
      </c>
      <c r="B79" s="294"/>
      <c r="C79" s="141" t="s">
        <v>3051</v>
      </c>
      <c r="D79" s="139"/>
      <c r="E79" s="425"/>
      <c r="F79" s="425"/>
      <c r="G79" s="425"/>
      <c r="H79" s="425"/>
      <c r="I79" s="425"/>
      <c r="J79" s="425"/>
      <c r="K79" s="425"/>
      <c r="L79" s="425"/>
      <c r="M79" s="425"/>
      <c r="N79" s="425"/>
      <c r="O79" s="425"/>
      <c r="P79" s="425"/>
      <c r="Q79" s="425"/>
      <c r="R79" s="425"/>
      <c r="S79" s="425"/>
      <c r="T79" s="425"/>
      <c r="U79" s="425"/>
      <c r="V79" s="425"/>
      <c r="W79" s="425"/>
      <c r="X79" s="425"/>
      <c r="Y79" s="425"/>
      <c r="Z79" s="425"/>
      <c r="AA79" s="425"/>
      <c r="AB79" s="425"/>
      <c r="AC79" s="425"/>
      <c r="AD79" s="425"/>
      <c r="AE79" s="425"/>
      <c r="AF79" s="425"/>
      <c r="AG79" s="425"/>
      <c r="AH79" s="425"/>
      <c r="AI79" s="425"/>
      <c r="AJ79" s="425"/>
      <c r="AK79" s="425"/>
      <c r="AL79" s="425"/>
      <c r="AM79" s="425"/>
      <c r="AN79" s="425"/>
      <c r="AO79" s="425"/>
      <c r="AP79" s="425"/>
      <c r="AQ79" s="425"/>
      <c r="AR79" s="425"/>
      <c r="AS79" s="425"/>
      <c r="AT79" s="425"/>
      <c r="AU79" s="425"/>
      <c r="AV79" s="425"/>
      <c r="AW79" s="425"/>
      <c r="AX79" s="425"/>
      <c r="AY79" s="425"/>
      <c r="AZ79" s="425"/>
      <c r="BA79" s="425"/>
      <c r="BB79" s="425"/>
      <c r="BC79" s="140"/>
      <c r="BD79" s="140"/>
      <c r="BF79" s="424"/>
      <c r="BG79" s="442">
        <f>SUM(E79:BB79)</f>
        <v>0</v>
      </c>
      <c r="BH79" s="296"/>
    </row>
    <row r="80" spans="1:60" s="292" customFormat="1">
      <c r="A80" s="295">
        <v>67</v>
      </c>
      <c r="B80" s="291">
        <v>3</v>
      </c>
      <c r="C80" s="55" t="str">
        <f>IF($B80&lt;&gt;"",VLOOKUP($B80,ORC!$E:$N,4,0),"")</f>
        <v>INFRA-ESTRUTURA</v>
      </c>
      <c r="D80" s="49" t="e">
        <f>+BC80/BC$136</f>
        <v>#REF!</v>
      </c>
      <c r="E80" s="50">
        <f t="shared" ref="E80:AH80" si="60">IF(E81&lt;&gt;"",E81*$BC80,0)</f>
        <v>0</v>
      </c>
      <c r="F80" s="50">
        <f t="shared" si="60"/>
        <v>0</v>
      </c>
      <c r="G80" s="50">
        <f t="shared" si="60"/>
        <v>0</v>
      </c>
      <c r="H80" s="50">
        <f t="shared" si="60"/>
        <v>0</v>
      </c>
      <c r="I80" s="50">
        <f t="shared" si="60"/>
        <v>0</v>
      </c>
      <c r="J80" s="50">
        <f t="shared" si="60"/>
        <v>0</v>
      </c>
      <c r="K80" s="50">
        <f t="shared" si="60"/>
        <v>0</v>
      </c>
      <c r="L80" s="50">
        <f t="shared" si="60"/>
        <v>0</v>
      </c>
      <c r="M80" s="50">
        <f t="shared" si="60"/>
        <v>0</v>
      </c>
      <c r="N80" s="50">
        <f t="shared" si="60"/>
        <v>0</v>
      </c>
      <c r="O80" s="50">
        <f t="shared" si="60"/>
        <v>0</v>
      </c>
      <c r="P80" s="50">
        <f t="shared" si="60"/>
        <v>0</v>
      </c>
      <c r="Q80" s="50">
        <f t="shared" si="60"/>
        <v>0</v>
      </c>
      <c r="R80" s="50">
        <f t="shared" si="60"/>
        <v>0</v>
      </c>
      <c r="S80" s="50">
        <f t="shared" si="60"/>
        <v>0</v>
      </c>
      <c r="T80" s="50">
        <f t="shared" si="60"/>
        <v>0</v>
      </c>
      <c r="U80" s="50">
        <f t="shared" si="60"/>
        <v>0</v>
      </c>
      <c r="V80" s="50">
        <f t="shared" si="60"/>
        <v>0</v>
      </c>
      <c r="W80" s="50">
        <f t="shared" si="60"/>
        <v>0</v>
      </c>
      <c r="X80" s="50">
        <f t="shared" si="60"/>
        <v>0</v>
      </c>
      <c r="Y80" s="50">
        <f t="shared" si="60"/>
        <v>0</v>
      </c>
      <c r="Z80" s="50">
        <f t="shared" si="60"/>
        <v>0</v>
      </c>
      <c r="AA80" s="50">
        <f t="shared" si="60"/>
        <v>0</v>
      </c>
      <c r="AB80" s="50">
        <f t="shared" si="60"/>
        <v>0</v>
      </c>
      <c r="AC80" s="50">
        <f t="shared" si="60"/>
        <v>0</v>
      </c>
      <c r="AD80" s="50">
        <f t="shared" si="60"/>
        <v>0</v>
      </c>
      <c r="AE80" s="50">
        <f t="shared" si="60"/>
        <v>0</v>
      </c>
      <c r="AF80" s="50">
        <f t="shared" si="60"/>
        <v>0</v>
      </c>
      <c r="AG80" s="50">
        <f t="shared" si="60"/>
        <v>0</v>
      </c>
      <c r="AH80" s="50">
        <f t="shared" si="60"/>
        <v>0</v>
      </c>
      <c r="AI80" s="423"/>
      <c r="AJ80" s="423"/>
      <c r="AK80" s="50">
        <f t="shared" ref="AK80:BB80" si="61">IF(AK81&lt;&gt;"",AK81*$BC80,0)</f>
        <v>0</v>
      </c>
      <c r="AL80" s="50">
        <f t="shared" si="61"/>
        <v>0</v>
      </c>
      <c r="AM80" s="50">
        <f t="shared" si="61"/>
        <v>0</v>
      </c>
      <c r="AN80" s="50">
        <f t="shared" si="61"/>
        <v>0</v>
      </c>
      <c r="AO80" s="50">
        <f t="shared" si="61"/>
        <v>0</v>
      </c>
      <c r="AP80" s="50">
        <f t="shared" si="61"/>
        <v>0</v>
      </c>
      <c r="AQ80" s="50">
        <f t="shared" si="61"/>
        <v>0</v>
      </c>
      <c r="AR80" s="50">
        <f t="shared" si="61"/>
        <v>0</v>
      </c>
      <c r="AS80" s="50">
        <f t="shared" si="61"/>
        <v>0</v>
      </c>
      <c r="AT80" s="50">
        <f t="shared" si="61"/>
        <v>0</v>
      </c>
      <c r="AU80" s="50">
        <f t="shared" si="61"/>
        <v>0</v>
      </c>
      <c r="AV80" s="50">
        <f t="shared" si="61"/>
        <v>0</v>
      </c>
      <c r="AW80" s="50">
        <f t="shared" si="61"/>
        <v>0</v>
      </c>
      <c r="AX80" s="50">
        <f t="shared" si="61"/>
        <v>0</v>
      </c>
      <c r="AY80" s="50">
        <f t="shared" si="61"/>
        <v>0</v>
      </c>
      <c r="AZ80" s="50">
        <f t="shared" si="61"/>
        <v>0</v>
      </c>
      <c r="BA80" s="50">
        <f t="shared" si="61"/>
        <v>0</v>
      </c>
      <c r="BB80" s="50">
        <f t="shared" si="61"/>
        <v>0</v>
      </c>
      <c r="BC80" s="443" t="e">
        <f>IF($B80&lt;&gt;"",VLOOKUP($B80,RESUMO!$A$11:$H$42,8),"")</f>
        <v>#REF!</v>
      </c>
      <c r="BD80" s="443" t="e">
        <f>IF($B80&lt;&gt;"",VLOOKUP($B80,RESUMO!$A$11:$H$42,6),"")</f>
        <v>#REF!</v>
      </c>
      <c r="BF80" s="424" t="e">
        <f t="shared" ref="BF80:BF134" si="62">SUM(E80:BB80)-BC80</f>
        <v>#REF!</v>
      </c>
      <c r="BG80" s="441"/>
      <c r="BH80" s="297"/>
    </row>
    <row r="81" spans="1:60" s="295" customFormat="1">
      <c r="A81" s="292">
        <v>68</v>
      </c>
      <c r="B81" s="294"/>
      <c r="C81" s="141" t="s">
        <v>3051</v>
      </c>
      <c r="D81" s="139"/>
      <c r="E81" s="425"/>
      <c r="F81" s="425"/>
      <c r="G81" s="425"/>
      <c r="H81" s="425"/>
      <c r="I81" s="425"/>
      <c r="J81" s="425"/>
      <c r="K81" s="425"/>
      <c r="L81" s="425"/>
      <c r="M81" s="425"/>
      <c r="N81" s="425"/>
      <c r="O81" s="425"/>
      <c r="P81" s="425"/>
      <c r="Q81" s="425"/>
      <c r="R81" s="425"/>
      <c r="S81" s="425"/>
      <c r="T81" s="425"/>
      <c r="U81" s="425"/>
      <c r="V81" s="425"/>
      <c r="W81" s="425"/>
      <c r="X81" s="425"/>
      <c r="Y81" s="425"/>
      <c r="Z81" s="425"/>
      <c r="AA81" s="425"/>
      <c r="AB81" s="425"/>
      <c r="AC81" s="425"/>
      <c r="AD81" s="425"/>
      <c r="AE81" s="425"/>
      <c r="AF81" s="425"/>
      <c r="AG81" s="425"/>
      <c r="AH81" s="425"/>
      <c r="AI81" s="422"/>
      <c r="AJ81" s="422"/>
      <c r="AK81" s="425"/>
      <c r="AL81" s="425"/>
      <c r="AM81" s="425"/>
      <c r="AN81" s="425"/>
      <c r="AO81" s="425"/>
      <c r="AP81" s="425"/>
      <c r="AQ81" s="425"/>
      <c r="AR81" s="425"/>
      <c r="AS81" s="425"/>
      <c r="AT81" s="425"/>
      <c r="AU81" s="425"/>
      <c r="AV81" s="425"/>
      <c r="AW81" s="425"/>
      <c r="AX81" s="425"/>
      <c r="AY81" s="425"/>
      <c r="AZ81" s="425"/>
      <c r="BA81" s="425"/>
      <c r="BB81" s="425"/>
      <c r="BC81" s="140"/>
      <c r="BD81" s="140"/>
      <c r="BF81" s="424"/>
      <c r="BG81" s="442">
        <f>SUM(E81:BB81)</f>
        <v>0</v>
      </c>
      <c r="BH81" s="296"/>
    </row>
    <row r="82" spans="1:60" s="292" customFormat="1">
      <c r="A82" s="295">
        <v>69</v>
      </c>
      <c r="B82" s="291">
        <v>4</v>
      </c>
      <c r="C82" s="55" t="str">
        <f>IF($B82&lt;&gt;"",VLOOKUP($B82,ORC!$E:$N,4,0),"")</f>
        <v>SUPRA ESTRUTURA</v>
      </c>
      <c r="D82" s="49" t="e">
        <f>+BC82/BC$136</f>
        <v>#REF!</v>
      </c>
      <c r="E82" s="50">
        <f t="shared" ref="E82:AH82" si="63">IF(E83&lt;&gt;"",E83*$BC82,0)</f>
        <v>0</v>
      </c>
      <c r="F82" s="50">
        <f t="shared" si="63"/>
        <v>0</v>
      </c>
      <c r="G82" s="50">
        <f t="shared" si="63"/>
        <v>0</v>
      </c>
      <c r="H82" s="50">
        <f t="shared" si="63"/>
        <v>0</v>
      </c>
      <c r="I82" s="50">
        <f t="shared" si="63"/>
        <v>0</v>
      </c>
      <c r="J82" s="50">
        <f t="shared" si="63"/>
        <v>0</v>
      </c>
      <c r="K82" s="50">
        <f t="shared" si="63"/>
        <v>0</v>
      </c>
      <c r="L82" s="50">
        <f t="shared" si="63"/>
        <v>0</v>
      </c>
      <c r="M82" s="50">
        <f t="shared" si="63"/>
        <v>0</v>
      </c>
      <c r="N82" s="50">
        <f t="shared" si="63"/>
        <v>0</v>
      </c>
      <c r="O82" s="50">
        <f t="shared" si="63"/>
        <v>0</v>
      </c>
      <c r="P82" s="50">
        <f t="shared" si="63"/>
        <v>0</v>
      </c>
      <c r="Q82" s="50">
        <f t="shared" si="63"/>
        <v>0</v>
      </c>
      <c r="R82" s="50">
        <f t="shared" si="63"/>
        <v>0</v>
      </c>
      <c r="S82" s="50">
        <f t="shared" si="63"/>
        <v>0</v>
      </c>
      <c r="T82" s="50">
        <f t="shared" si="63"/>
        <v>0</v>
      </c>
      <c r="U82" s="50">
        <f t="shared" si="63"/>
        <v>0</v>
      </c>
      <c r="V82" s="50">
        <f t="shared" si="63"/>
        <v>0</v>
      </c>
      <c r="W82" s="50">
        <f t="shared" si="63"/>
        <v>0</v>
      </c>
      <c r="X82" s="50">
        <f t="shared" si="63"/>
        <v>0</v>
      </c>
      <c r="Y82" s="50">
        <f t="shared" si="63"/>
        <v>0</v>
      </c>
      <c r="Z82" s="50">
        <f t="shared" si="63"/>
        <v>0</v>
      </c>
      <c r="AA82" s="50">
        <f t="shared" si="63"/>
        <v>0</v>
      </c>
      <c r="AB82" s="50">
        <f t="shared" si="63"/>
        <v>0</v>
      </c>
      <c r="AC82" s="50">
        <f t="shared" si="63"/>
        <v>0</v>
      </c>
      <c r="AD82" s="50">
        <f t="shared" si="63"/>
        <v>0</v>
      </c>
      <c r="AE82" s="50">
        <f t="shared" si="63"/>
        <v>0</v>
      </c>
      <c r="AF82" s="50">
        <f t="shared" si="63"/>
        <v>0</v>
      </c>
      <c r="AG82" s="50">
        <f t="shared" si="63"/>
        <v>0</v>
      </c>
      <c r="AH82" s="50">
        <f t="shared" si="63"/>
        <v>0</v>
      </c>
      <c r="AI82" s="423"/>
      <c r="AJ82" s="423"/>
      <c r="AK82" s="50">
        <f t="shared" ref="AK82:BB82" si="64">IF(AK83&lt;&gt;"",AK83*$BC82,0)</f>
        <v>0</v>
      </c>
      <c r="AL82" s="50">
        <f t="shared" si="64"/>
        <v>0</v>
      </c>
      <c r="AM82" s="50">
        <f t="shared" si="64"/>
        <v>0</v>
      </c>
      <c r="AN82" s="50">
        <f t="shared" si="64"/>
        <v>0</v>
      </c>
      <c r="AO82" s="50">
        <f t="shared" si="64"/>
        <v>0</v>
      </c>
      <c r="AP82" s="50">
        <f t="shared" si="64"/>
        <v>0</v>
      </c>
      <c r="AQ82" s="50">
        <f t="shared" si="64"/>
        <v>0</v>
      </c>
      <c r="AR82" s="50">
        <f t="shared" si="64"/>
        <v>0</v>
      </c>
      <c r="AS82" s="50">
        <f t="shared" si="64"/>
        <v>0</v>
      </c>
      <c r="AT82" s="50">
        <f t="shared" si="64"/>
        <v>0</v>
      </c>
      <c r="AU82" s="50">
        <f t="shared" si="64"/>
        <v>0</v>
      </c>
      <c r="AV82" s="50">
        <f t="shared" si="64"/>
        <v>0</v>
      </c>
      <c r="AW82" s="50">
        <f t="shared" si="64"/>
        <v>0</v>
      </c>
      <c r="AX82" s="50">
        <f t="shared" si="64"/>
        <v>0</v>
      </c>
      <c r="AY82" s="50">
        <f t="shared" si="64"/>
        <v>0</v>
      </c>
      <c r="AZ82" s="50">
        <f t="shared" si="64"/>
        <v>0</v>
      </c>
      <c r="BA82" s="50">
        <f t="shared" si="64"/>
        <v>0</v>
      </c>
      <c r="BB82" s="50">
        <f t="shared" si="64"/>
        <v>0</v>
      </c>
      <c r="BC82" s="443" t="e">
        <f>IF($B82&lt;&gt;"",VLOOKUP($B82,RESUMO!$A$11:$H$42,8),"")</f>
        <v>#REF!</v>
      </c>
      <c r="BD82" s="443" t="e">
        <f>IF($B82&lt;&gt;"",VLOOKUP($B82,RESUMO!$A$11:$H$42,6),"")</f>
        <v>#REF!</v>
      </c>
      <c r="BF82" s="424" t="e">
        <f t="shared" si="62"/>
        <v>#REF!</v>
      </c>
      <c r="BG82" s="441"/>
      <c r="BH82" s="297"/>
    </row>
    <row r="83" spans="1:60" s="295" customFormat="1">
      <c r="A83" s="292">
        <v>70</v>
      </c>
      <c r="B83" s="294"/>
      <c r="C83" s="141" t="s">
        <v>3051</v>
      </c>
      <c r="D83" s="139"/>
      <c r="E83" s="425"/>
      <c r="F83" s="425"/>
      <c r="G83" s="425"/>
      <c r="H83" s="425"/>
      <c r="I83" s="425"/>
      <c r="J83" s="425"/>
      <c r="K83" s="425"/>
      <c r="L83" s="425"/>
      <c r="M83" s="425"/>
      <c r="N83" s="425"/>
      <c r="O83" s="425"/>
      <c r="P83" s="425"/>
      <c r="Q83" s="425"/>
      <c r="R83" s="425"/>
      <c r="S83" s="425"/>
      <c r="T83" s="425"/>
      <c r="U83" s="425"/>
      <c r="V83" s="425"/>
      <c r="W83" s="425"/>
      <c r="X83" s="425"/>
      <c r="Y83" s="425"/>
      <c r="Z83" s="425"/>
      <c r="AA83" s="425"/>
      <c r="AB83" s="425"/>
      <c r="AC83" s="425"/>
      <c r="AD83" s="425"/>
      <c r="AE83" s="425"/>
      <c r="AF83" s="425"/>
      <c r="AG83" s="425"/>
      <c r="AH83" s="425"/>
      <c r="AI83" s="422"/>
      <c r="AJ83" s="422"/>
      <c r="AK83" s="425"/>
      <c r="AL83" s="425"/>
      <c r="AM83" s="425"/>
      <c r="AN83" s="425"/>
      <c r="AO83" s="425"/>
      <c r="AP83" s="425"/>
      <c r="AQ83" s="425"/>
      <c r="AR83" s="425"/>
      <c r="AS83" s="425"/>
      <c r="AT83" s="425"/>
      <c r="AU83" s="425"/>
      <c r="AV83" s="425"/>
      <c r="AW83" s="425"/>
      <c r="AX83" s="425"/>
      <c r="AY83" s="425"/>
      <c r="AZ83" s="425"/>
      <c r="BA83" s="425"/>
      <c r="BB83" s="425"/>
      <c r="BC83" s="140"/>
      <c r="BD83" s="140"/>
      <c r="BF83" s="424"/>
      <c r="BG83" s="442">
        <f>SUM(E83:BB83)</f>
        <v>0</v>
      </c>
      <c r="BH83" s="296"/>
    </row>
    <row r="84" spans="1:60" s="292" customFormat="1">
      <c r="A84" s="295">
        <v>71</v>
      </c>
      <c r="B84" s="291">
        <v>5</v>
      </c>
      <c r="C84" s="55" t="str">
        <f>IF($B84&lt;&gt;"",VLOOKUP($B84,ORC!$E:$N,4,0),"")</f>
        <v>PAREDES E PAINÉIS</v>
      </c>
      <c r="D84" s="49" t="e">
        <f>+BC84/BC$136</f>
        <v>#REF!</v>
      </c>
      <c r="E84" s="50">
        <f t="shared" ref="E84:AH84" si="65">IF(E85&lt;&gt;"",E85*$BC84,0)</f>
        <v>0</v>
      </c>
      <c r="F84" s="50">
        <f t="shared" si="65"/>
        <v>0</v>
      </c>
      <c r="G84" s="50">
        <f t="shared" si="65"/>
        <v>0</v>
      </c>
      <c r="H84" s="50">
        <f t="shared" si="65"/>
        <v>0</v>
      </c>
      <c r="I84" s="50">
        <f t="shared" si="65"/>
        <v>0</v>
      </c>
      <c r="J84" s="50">
        <f t="shared" si="65"/>
        <v>0</v>
      </c>
      <c r="K84" s="50">
        <f t="shared" si="65"/>
        <v>0</v>
      </c>
      <c r="L84" s="50">
        <f t="shared" si="65"/>
        <v>0</v>
      </c>
      <c r="M84" s="50">
        <f t="shared" si="65"/>
        <v>0</v>
      </c>
      <c r="N84" s="50">
        <f t="shared" si="65"/>
        <v>0</v>
      </c>
      <c r="O84" s="50">
        <f t="shared" si="65"/>
        <v>0</v>
      </c>
      <c r="P84" s="50">
        <f t="shared" si="65"/>
        <v>0</v>
      </c>
      <c r="Q84" s="50">
        <f t="shared" si="65"/>
        <v>0</v>
      </c>
      <c r="R84" s="50">
        <f t="shared" si="65"/>
        <v>0</v>
      </c>
      <c r="S84" s="50">
        <f t="shared" si="65"/>
        <v>0</v>
      </c>
      <c r="T84" s="50">
        <f t="shared" si="65"/>
        <v>0</v>
      </c>
      <c r="U84" s="50">
        <f t="shared" si="65"/>
        <v>0</v>
      </c>
      <c r="V84" s="50">
        <f t="shared" si="65"/>
        <v>0</v>
      </c>
      <c r="W84" s="50">
        <f t="shared" si="65"/>
        <v>0</v>
      </c>
      <c r="X84" s="50">
        <f t="shared" si="65"/>
        <v>0</v>
      </c>
      <c r="Y84" s="50">
        <f t="shared" si="65"/>
        <v>0</v>
      </c>
      <c r="Z84" s="50">
        <f t="shared" si="65"/>
        <v>0</v>
      </c>
      <c r="AA84" s="50">
        <f t="shared" si="65"/>
        <v>0</v>
      </c>
      <c r="AB84" s="50">
        <f t="shared" si="65"/>
        <v>0</v>
      </c>
      <c r="AC84" s="50">
        <f t="shared" si="65"/>
        <v>0</v>
      </c>
      <c r="AD84" s="50">
        <f t="shared" si="65"/>
        <v>0</v>
      </c>
      <c r="AE84" s="50">
        <f t="shared" si="65"/>
        <v>0</v>
      </c>
      <c r="AF84" s="50">
        <f t="shared" si="65"/>
        <v>0</v>
      </c>
      <c r="AG84" s="50">
        <f t="shared" si="65"/>
        <v>0</v>
      </c>
      <c r="AH84" s="50">
        <f t="shared" si="65"/>
        <v>0</v>
      </c>
      <c r="AI84" s="423"/>
      <c r="AJ84" s="423"/>
      <c r="AK84" s="50">
        <f t="shared" ref="AK84:BB84" si="66">IF(AK85&lt;&gt;"",AK85*$BC84,0)</f>
        <v>0</v>
      </c>
      <c r="AL84" s="50">
        <f t="shared" si="66"/>
        <v>0</v>
      </c>
      <c r="AM84" s="50">
        <f t="shared" si="66"/>
        <v>0</v>
      </c>
      <c r="AN84" s="50">
        <f t="shared" si="66"/>
        <v>0</v>
      </c>
      <c r="AO84" s="50">
        <f t="shared" si="66"/>
        <v>0</v>
      </c>
      <c r="AP84" s="50">
        <f t="shared" si="66"/>
        <v>0</v>
      </c>
      <c r="AQ84" s="50">
        <f t="shared" si="66"/>
        <v>0</v>
      </c>
      <c r="AR84" s="50">
        <f t="shared" si="66"/>
        <v>0</v>
      </c>
      <c r="AS84" s="50">
        <f t="shared" si="66"/>
        <v>0</v>
      </c>
      <c r="AT84" s="50">
        <f t="shared" si="66"/>
        <v>0</v>
      </c>
      <c r="AU84" s="50">
        <f t="shared" si="66"/>
        <v>0</v>
      </c>
      <c r="AV84" s="50">
        <f t="shared" si="66"/>
        <v>0</v>
      </c>
      <c r="AW84" s="50">
        <f t="shared" si="66"/>
        <v>0</v>
      </c>
      <c r="AX84" s="50">
        <f t="shared" si="66"/>
        <v>0</v>
      </c>
      <c r="AY84" s="50">
        <f t="shared" si="66"/>
        <v>0</v>
      </c>
      <c r="AZ84" s="50">
        <f t="shared" si="66"/>
        <v>0</v>
      </c>
      <c r="BA84" s="50">
        <f t="shared" si="66"/>
        <v>0</v>
      </c>
      <c r="BB84" s="50">
        <f t="shared" si="66"/>
        <v>0</v>
      </c>
      <c r="BC84" s="443" t="e">
        <f>IF($B84&lt;&gt;"",VLOOKUP($B84,RESUMO!$A$11:$H$42,8),"")</f>
        <v>#REF!</v>
      </c>
      <c r="BD84" s="443" t="e">
        <f>IF($B84&lt;&gt;"",VLOOKUP($B84,RESUMO!$A$11:$H$42,6),"")</f>
        <v>#REF!</v>
      </c>
      <c r="BF84" s="424" t="e">
        <f t="shared" si="62"/>
        <v>#REF!</v>
      </c>
      <c r="BG84" s="441"/>
      <c r="BH84" s="297"/>
    </row>
    <row r="85" spans="1:60" s="295" customFormat="1">
      <c r="A85" s="292">
        <v>72</v>
      </c>
      <c r="B85" s="294"/>
      <c r="C85" s="141" t="s">
        <v>3051</v>
      </c>
      <c r="D85" s="139"/>
      <c r="E85" s="425"/>
      <c r="F85" s="425"/>
      <c r="G85" s="425"/>
      <c r="H85" s="425"/>
      <c r="I85" s="425"/>
      <c r="J85" s="425"/>
      <c r="K85" s="425"/>
      <c r="L85" s="425"/>
      <c r="M85" s="425"/>
      <c r="N85" s="425"/>
      <c r="O85" s="425"/>
      <c r="P85" s="425"/>
      <c r="Q85" s="425"/>
      <c r="R85" s="425"/>
      <c r="S85" s="425"/>
      <c r="T85" s="425"/>
      <c r="U85" s="425"/>
      <c r="V85" s="425"/>
      <c r="W85" s="425"/>
      <c r="X85" s="425"/>
      <c r="Y85" s="425"/>
      <c r="Z85" s="425"/>
      <c r="AA85" s="425"/>
      <c r="AB85" s="425"/>
      <c r="AC85" s="425"/>
      <c r="AD85" s="425"/>
      <c r="AE85" s="425"/>
      <c r="AF85" s="425"/>
      <c r="AG85" s="425"/>
      <c r="AH85" s="425"/>
      <c r="AI85" s="422"/>
      <c r="AJ85" s="422"/>
      <c r="AK85" s="425"/>
      <c r="AL85" s="425"/>
      <c r="AM85" s="425"/>
      <c r="AN85" s="425"/>
      <c r="AO85" s="425"/>
      <c r="AP85" s="425"/>
      <c r="AQ85" s="425"/>
      <c r="AR85" s="425"/>
      <c r="AS85" s="425"/>
      <c r="AT85" s="425"/>
      <c r="AU85" s="425"/>
      <c r="AV85" s="425"/>
      <c r="AW85" s="425"/>
      <c r="AX85" s="425"/>
      <c r="AY85" s="425"/>
      <c r="AZ85" s="425"/>
      <c r="BA85" s="425"/>
      <c r="BB85" s="425"/>
      <c r="BC85" s="140"/>
      <c r="BD85" s="140"/>
      <c r="BF85" s="424"/>
      <c r="BG85" s="442">
        <f>SUM(E85:BB85)</f>
        <v>0</v>
      </c>
      <c r="BH85" s="296"/>
    </row>
    <row r="86" spans="1:60" s="292" customFormat="1">
      <c r="A86" s="295">
        <v>73</v>
      </c>
      <c r="B86" s="291">
        <v>6</v>
      </c>
      <c r="C86" s="55" t="str">
        <f>IF($B86&lt;&gt;"",VLOOKUP($B86,ORC!$E:$N,4,0),"")</f>
        <v>ESQUADRIAS, FERRAGENS E VIDROS</v>
      </c>
      <c r="D86" s="49" t="e">
        <f>+BC86/BC$136</f>
        <v>#REF!</v>
      </c>
      <c r="E86" s="50">
        <f t="shared" ref="E86:AH86" si="67">IF(E87&lt;&gt;"",E87*$BC86,0)</f>
        <v>0</v>
      </c>
      <c r="F86" s="50">
        <f t="shared" si="67"/>
        <v>0</v>
      </c>
      <c r="G86" s="50">
        <f t="shared" si="67"/>
        <v>0</v>
      </c>
      <c r="H86" s="50">
        <f t="shared" si="67"/>
        <v>0</v>
      </c>
      <c r="I86" s="50">
        <f t="shared" si="67"/>
        <v>0</v>
      </c>
      <c r="J86" s="50">
        <f t="shared" si="67"/>
        <v>0</v>
      </c>
      <c r="K86" s="50">
        <f t="shared" si="67"/>
        <v>0</v>
      </c>
      <c r="L86" s="50">
        <f t="shared" si="67"/>
        <v>0</v>
      </c>
      <c r="M86" s="50">
        <f t="shared" si="67"/>
        <v>0</v>
      </c>
      <c r="N86" s="50">
        <f t="shared" si="67"/>
        <v>0</v>
      </c>
      <c r="O86" s="50">
        <f t="shared" si="67"/>
        <v>0</v>
      </c>
      <c r="P86" s="50">
        <f t="shared" si="67"/>
        <v>0</v>
      </c>
      <c r="Q86" s="50">
        <f t="shared" si="67"/>
        <v>0</v>
      </c>
      <c r="R86" s="50">
        <f t="shared" si="67"/>
        <v>0</v>
      </c>
      <c r="S86" s="50">
        <f t="shared" si="67"/>
        <v>0</v>
      </c>
      <c r="T86" s="50">
        <f t="shared" si="67"/>
        <v>0</v>
      </c>
      <c r="U86" s="50">
        <f t="shared" si="67"/>
        <v>0</v>
      </c>
      <c r="V86" s="50">
        <f t="shared" si="67"/>
        <v>0</v>
      </c>
      <c r="W86" s="50">
        <f t="shared" si="67"/>
        <v>0</v>
      </c>
      <c r="X86" s="50">
        <f t="shared" si="67"/>
        <v>0</v>
      </c>
      <c r="Y86" s="50">
        <f t="shared" si="67"/>
        <v>0</v>
      </c>
      <c r="Z86" s="50">
        <f t="shared" si="67"/>
        <v>0</v>
      </c>
      <c r="AA86" s="50">
        <f t="shared" si="67"/>
        <v>0</v>
      </c>
      <c r="AB86" s="50">
        <f t="shared" si="67"/>
        <v>0</v>
      </c>
      <c r="AC86" s="50">
        <f t="shared" si="67"/>
        <v>0</v>
      </c>
      <c r="AD86" s="50">
        <f t="shared" si="67"/>
        <v>0</v>
      </c>
      <c r="AE86" s="50">
        <f t="shared" si="67"/>
        <v>0</v>
      </c>
      <c r="AF86" s="50">
        <f t="shared" si="67"/>
        <v>0</v>
      </c>
      <c r="AG86" s="50">
        <f t="shared" si="67"/>
        <v>0</v>
      </c>
      <c r="AH86" s="50">
        <f t="shared" si="67"/>
        <v>0</v>
      </c>
      <c r="AI86" s="423"/>
      <c r="AJ86" s="423"/>
      <c r="AK86" s="50">
        <f t="shared" ref="AK86:BB86" si="68">IF(AK87&lt;&gt;"",AK87*$BC86,0)</f>
        <v>0</v>
      </c>
      <c r="AL86" s="50">
        <f t="shared" si="68"/>
        <v>0</v>
      </c>
      <c r="AM86" s="50">
        <f t="shared" si="68"/>
        <v>0</v>
      </c>
      <c r="AN86" s="50">
        <f t="shared" si="68"/>
        <v>0</v>
      </c>
      <c r="AO86" s="50">
        <f t="shared" si="68"/>
        <v>0</v>
      </c>
      <c r="AP86" s="50">
        <f t="shared" si="68"/>
        <v>0</v>
      </c>
      <c r="AQ86" s="50">
        <f t="shared" si="68"/>
        <v>0</v>
      </c>
      <c r="AR86" s="50">
        <f t="shared" si="68"/>
        <v>0</v>
      </c>
      <c r="AS86" s="50">
        <f t="shared" si="68"/>
        <v>0</v>
      </c>
      <c r="AT86" s="50">
        <f t="shared" si="68"/>
        <v>0</v>
      </c>
      <c r="AU86" s="50">
        <f t="shared" si="68"/>
        <v>0</v>
      </c>
      <c r="AV86" s="50">
        <f t="shared" si="68"/>
        <v>0</v>
      </c>
      <c r="AW86" s="50">
        <f t="shared" si="68"/>
        <v>0</v>
      </c>
      <c r="AX86" s="50">
        <f t="shared" si="68"/>
        <v>0</v>
      </c>
      <c r="AY86" s="50">
        <f t="shared" si="68"/>
        <v>0</v>
      </c>
      <c r="AZ86" s="50">
        <f t="shared" si="68"/>
        <v>0</v>
      </c>
      <c r="BA86" s="50">
        <f t="shared" si="68"/>
        <v>0</v>
      </c>
      <c r="BB86" s="50">
        <f t="shared" si="68"/>
        <v>0</v>
      </c>
      <c r="BC86" s="443" t="e">
        <f>IF($B86&lt;&gt;"",VLOOKUP($B86,RESUMO!$A$11:$H$42,8),"")</f>
        <v>#REF!</v>
      </c>
      <c r="BD86" s="443" t="e">
        <f>IF($B86&lt;&gt;"",VLOOKUP($B86,RESUMO!$A$11:$H$42,6),"")</f>
        <v>#REF!</v>
      </c>
      <c r="BF86" s="424" t="e">
        <f t="shared" si="62"/>
        <v>#REF!</v>
      </c>
      <c r="BG86" s="441"/>
      <c r="BH86" s="297"/>
    </row>
    <row r="87" spans="1:60" s="295" customFormat="1">
      <c r="A87" s="292">
        <v>74</v>
      </c>
      <c r="B87" s="294"/>
      <c r="C87" s="141" t="s">
        <v>3051</v>
      </c>
      <c r="D87" s="139"/>
      <c r="E87" s="425"/>
      <c r="F87" s="425"/>
      <c r="G87" s="425"/>
      <c r="H87" s="425"/>
      <c r="I87" s="425"/>
      <c r="J87" s="425"/>
      <c r="K87" s="425"/>
      <c r="L87" s="425"/>
      <c r="M87" s="425"/>
      <c r="N87" s="425"/>
      <c r="O87" s="425"/>
      <c r="P87" s="425"/>
      <c r="Q87" s="425"/>
      <c r="R87" s="425"/>
      <c r="S87" s="425"/>
      <c r="T87" s="425"/>
      <c r="U87" s="425"/>
      <c r="V87" s="425"/>
      <c r="W87" s="425"/>
      <c r="X87" s="425"/>
      <c r="Y87" s="425"/>
      <c r="Z87" s="425"/>
      <c r="AA87" s="425"/>
      <c r="AB87" s="425"/>
      <c r="AC87" s="425"/>
      <c r="AD87" s="425"/>
      <c r="AE87" s="425"/>
      <c r="AF87" s="425"/>
      <c r="AG87" s="425"/>
      <c r="AH87" s="425"/>
      <c r="AI87" s="422"/>
      <c r="AJ87" s="422"/>
      <c r="AK87" s="425"/>
      <c r="AL87" s="425"/>
      <c r="AM87" s="425"/>
      <c r="AN87" s="425"/>
      <c r="AO87" s="425"/>
      <c r="AP87" s="425"/>
      <c r="AQ87" s="425"/>
      <c r="AR87" s="425"/>
      <c r="AS87" s="425"/>
      <c r="AT87" s="425"/>
      <c r="AU87" s="425"/>
      <c r="AV87" s="425"/>
      <c r="AW87" s="425"/>
      <c r="AX87" s="425"/>
      <c r="AY87" s="425"/>
      <c r="AZ87" s="425"/>
      <c r="BA87" s="425"/>
      <c r="BB87" s="425"/>
      <c r="BC87" s="140"/>
      <c r="BD87" s="140"/>
      <c r="BF87" s="424"/>
      <c r="BG87" s="442">
        <f>SUM(E87:BB87)</f>
        <v>0</v>
      </c>
      <c r="BH87" s="296"/>
    </row>
    <row r="88" spans="1:60" s="292" customFormat="1">
      <c r="A88" s="295">
        <v>75</v>
      </c>
      <c r="B88" s="291">
        <v>7</v>
      </c>
      <c r="C88" s="55" t="str">
        <f>IF($B88&lt;&gt;"",VLOOKUP($B88,ORC!$E:$N,4,0),"")</f>
        <v>COBERTURA</v>
      </c>
      <c r="D88" s="49" t="e">
        <f>+BC88/BC$136</f>
        <v>#REF!</v>
      </c>
      <c r="E88" s="50">
        <f t="shared" ref="E88:AH88" si="69">IF(E89&lt;&gt;"",E89*$BC88,0)</f>
        <v>0</v>
      </c>
      <c r="F88" s="50">
        <f t="shared" si="69"/>
        <v>0</v>
      </c>
      <c r="G88" s="50">
        <f t="shared" si="69"/>
        <v>0</v>
      </c>
      <c r="H88" s="50">
        <f t="shared" si="69"/>
        <v>0</v>
      </c>
      <c r="I88" s="50">
        <f t="shared" si="69"/>
        <v>0</v>
      </c>
      <c r="J88" s="50">
        <f t="shared" si="69"/>
        <v>0</v>
      </c>
      <c r="K88" s="50">
        <f t="shared" si="69"/>
        <v>0</v>
      </c>
      <c r="L88" s="50">
        <f t="shared" si="69"/>
        <v>0</v>
      </c>
      <c r="M88" s="50">
        <f t="shared" si="69"/>
        <v>0</v>
      </c>
      <c r="N88" s="50">
        <f t="shared" si="69"/>
        <v>0</v>
      </c>
      <c r="O88" s="50">
        <f t="shared" si="69"/>
        <v>0</v>
      </c>
      <c r="P88" s="50">
        <f t="shared" si="69"/>
        <v>0</v>
      </c>
      <c r="Q88" s="50">
        <f t="shared" si="69"/>
        <v>0</v>
      </c>
      <c r="R88" s="50">
        <f t="shared" si="69"/>
        <v>0</v>
      </c>
      <c r="S88" s="50">
        <f t="shared" si="69"/>
        <v>0</v>
      </c>
      <c r="T88" s="50">
        <f t="shared" si="69"/>
        <v>0</v>
      </c>
      <c r="U88" s="50">
        <f t="shared" si="69"/>
        <v>0</v>
      </c>
      <c r="V88" s="50">
        <f t="shared" si="69"/>
        <v>0</v>
      </c>
      <c r="W88" s="50">
        <f t="shared" si="69"/>
        <v>0</v>
      </c>
      <c r="X88" s="50">
        <f t="shared" si="69"/>
        <v>0</v>
      </c>
      <c r="Y88" s="50">
        <f t="shared" si="69"/>
        <v>0</v>
      </c>
      <c r="Z88" s="50">
        <f t="shared" si="69"/>
        <v>0</v>
      </c>
      <c r="AA88" s="50">
        <f t="shared" si="69"/>
        <v>0</v>
      </c>
      <c r="AB88" s="50">
        <f t="shared" si="69"/>
        <v>0</v>
      </c>
      <c r="AC88" s="50">
        <f t="shared" si="69"/>
        <v>0</v>
      </c>
      <c r="AD88" s="50">
        <f t="shared" si="69"/>
        <v>0</v>
      </c>
      <c r="AE88" s="50">
        <f t="shared" si="69"/>
        <v>0</v>
      </c>
      <c r="AF88" s="50">
        <f t="shared" si="69"/>
        <v>0</v>
      </c>
      <c r="AG88" s="50">
        <f t="shared" si="69"/>
        <v>0</v>
      </c>
      <c r="AH88" s="50">
        <f t="shared" si="69"/>
        <v>0</v>
      </c>
      <c r="AI88" s="423"/>
      <c r="AJ88" s="423"/>
      <c r="AK88" s="50">
        <f t="shared" ref="AK88:BB88" si="70">IF(AK89&lt;&gt;"",AK89*$BC88,0)</f>
        <v>0</v>
      </c>
      <c r="AL88" s="50">
        <f t="shared" si="70"/>
        <v>0</v>
      </c>
      <c r="AM88" s="50">
        <f t="shared" si="70"/>
        <v>0</v>
      </c>
      <c r="AN88" s="50">
        <f t="shared" si="70"/>
        <v>0</v>
      </c>
      <c r="AO88" s="50">
        <f t="shared" si="70"/>
        <v>0</v>
      </c>
      <c r="AP88" s="50">
        <f t="shared" si="70"/>
        <v>0</v>
      </c>
      <c r="AQ88" s="50">
        <f t="shared" si="70"/>
        <v>0</v>
      </c>
      <c r="AR88" s="50">
        <f t="shared" si="70"/>
        <v>0</v>
      </c>
      <c r="AS88" s="50">
        <f t="shared" si="70"/>
        <v>0</v>
      </c>
      <c r="AT88" s="50">
        <f t="shared" si="70"/>
        <v>0</v>
      </c>
      <c r="AU88" s="50">
        <f t="shared" si="70"/>
        <v>0</v>
      </c>
      <c r="AV88" s="50">
        <f t="shared" si="70"/>
        <v>0</v>
      </c>
      <c r="AW88" s="50">
        <f t="shared" si="70"/>
        <v>0</v>
      </c>
      <c r="AX88" s="50">
        <f t="shared" si="70"/>
        <v>0</v>
      </c>
      <c r="AY88" s="50">
        <f t="shared" si="70"/>
        <v>0</v>
      </c>
      <c r="AZ88" s="50">
        <f t="shared" si="70"/>
        <v>0</v>
      </c>
      <c r="BA88" s="50">
        <f t="shared" si="70"/>
        <v>0</v>
      </c>
      <c r="BB88" s="50">
        <f t="shared" si="70"/>
        <v>0</v>
      </c>
      <c r="BC88" s="443" t="e">
        <f>IF($B88&lt;&gt;"",VLOOKUP($B88,RESUMO!$A$11:$H$42,8),"")</f>
        <v>#REF!</v>
      </c>
      <c r="BD88" s="443" t="e">
        <f>IF($B88&lt;&gt;"",VLOOKUP($B88,RESUMO!$A$11:$H$42,6),"")</f>
        <v>#REF!</v>
      </c>
      <c r="BF88" s="424" t="e">
        <f t="shared" si="62"/>
        <v>#REF!</v>
      </c>
      <c r="BG88" s="441"/>
      <c r="BH88" s="297"/>
    </row>
    <row r="89" spans="1:60" s="295" customFormat="1">
      <c r="A89" s="292">
        <v>76</v>
      </c>
      <c r="B89" s="294"/>
      <c r="C89" s="141" t="s">
        <v>3051</v>
      </c>
      <c r="D89" s="139"/>
      <c r="E89" s="425"/>
      <c r="F89" s="425"/>
      <c r="G89" s="425"/>
      <c r="H89" s="425"/>
      <c r="I89" s="425"/>
      <c r="J89" s="425"/>
      <c r="K89" s="425"/>
      <c r="L89" s="425"/>
      <c r="M89" s="425"/>
      <c r="N89" s="425"/>
      <c r="O89" s="425"/>
      <c r="P89" s="425"/>
      <c r="Q89" s="425"/>
      <c r="R89" s="425"/>
      <c r="S89" s="425"/>
      <c r="T89" s="425"/>
      <c r="U89" s="425"/>
      <c r="V89" s="425"/>
      <c r="W89" s="425"/>
      <c r="X89" s="425"/>
      <c r="Y89" s="425"/>
      <c r="Z89" s="425"/>
      <c r="AA89" s="425"/>
      <c r="AB89" s="425"/>
      <c r="AC89" s="425"/>
      <c r="AD89" s="425"/>
      <c r="AE89" s="425"/>
      <c r="AF89" s="425"/>
      <c r="AG89" s="425"/>
      <c r="AH89" s="425"/>
      <c r="AI89" s="422"/>
      <c r="AJ89" s="422"/>
      <c r="AK89" s="425"/>
      <c r="AL89" s="425"/>
      <c r="AM89" s="425"/>
      <c r="AN89" s="425"/>
      <c r="AO89" s="425"/>
      <c r="AP89" s="425"/>
      <c r="AQ89" s="425"/>
      <c r="AR89" s="425"/>
      <c r="AS89" s="425"/>
      <c r="AT89" s="425"/>
      <c r="AU89" s="425"/>
      <c r="AV89" s="425"/>
      <c r="AW89" s="425"/>
      <c r="AX89" s="425"/>
      <c r="AY89" s="425"/>
      <c r="AZ89" s="425"/>
      <c r="BA89" s="425"/>
      <c r="BB89" s="425"/>
      <c r="BC89" s="140"/>
      <c r="BD89" s="140"/>
      <c r="BF89" s="424"/>
      <c r="BG89" s="442">
        <f>SUM(E89:BB89)</f>
        <v>0</v>
      </c>
      <c r="BH89" s="296"/>
    </row>
    <row r="90" spans="1:60" s="292" customFormat="1">
      <c r="A90" s="295">
        <v>77</v>
      </c>
      <c r="B90" s="291">
        <v>8</v>
      </c>
      <c r="C90" s="55" t="str">
        <f>IF($B90&lt;&gt;"",VLOOKUP($B90,ORC!$E:$N,4,0),"")</f>
        <v>REVESTIMENTOS EM TETO</v>
      </c>
      <c r="D90" s="49" t="e">
        <f>+BC90/BC$136</f>
        <v>#REF!</v>
      </c>
      <c r="E90" s="50">
        <f t="shared" ref="E90:AH90" si="71">IF(E91&lt;&gt;"",E91*$BC90,0)</f>
        <v>0</v>
      </c>
      <c r="F90" s="50">
        <f t="shared" si="71"/>
        <v>0</v>
      </c>
      <c r="G90" s="50">
        <f t="shared" si="71"/>
        <v>0</v>
      </c>
      <c r="H90" s="50">
        <f t="shared" si="71"/>
        <v>0</v>
      </c>
      <c r="I90" s="50">
        <f t="shared" si="71"/>
        <v>0</v>
      </c>
      <c r="J90" s="50">
        <f t="shared" si="71"/>
        <v>0</v>
      </c>
      <c r="K90" s="50">
        <f t="shared" si="71"/>
        <v>0</v>
      </c>
      <c r="L90" s="50">
        <f t="shared" si="71"/>
        <v>0</v>
      </c>
      <c r="M90" s="50">
        <f t="shared" si="71"/>
        <v>0</v>
      </c>
      <c r="N90" s="50">
        <f t="shared" si="71"/>
        <v>0</v>
      </c>
      <c r="O90" s="50">
        <f t="shared" si="71"/>
        <v>0</v>
      </c>
      <c r="P90" s="50">
        <f t="shared" si="71"/>
        <v>0</v>
      </c>
      <c r="Q90" s="50">
        <f t="shared" si="71"/>
        <v>0</v>
      </c>
      <c r="R90" s="50">
        <f t="shared" si="71"/>
        <v>0</v>
      </c>
      <c r="S90" s="50">
        <f t="shared" si="71"/>
        <v>0</v>
      </c>
      <c r="T90" s="50">
        <f t="shared" si="71"/>
        <v>0</v>
      </c>
      <c r="U90" s="50">
        <f t="shared" si="71"/>
        <v>0</v>
      </c>
      <c r="V90" s="50">
        <f t="shared" si="71"/>
        <v>0</v>
      </c>
      <c r="W90" s="50">
        <f t="shared" si="71"/>
        <v>0</v>
      </c>
      <c r="X90" s="50">
        <f t="shared" si="71"/>
        <v>0</v>
      </c>
      <c r="Y90" s="50">
        <f t="shared" si="71"/>
        <v>0</v>
      </c>
      <c r="Z90" s="50">
        <f t="shared" si="71"/>
        <v>0</v>
      </c>
      <c r="AA90" s="50">
        <f t="shared" si="71"/>
        <v>0</v>
      </c>
      <c r="AB90" s="50">
        <f t="shared" si="71"/>
        <v>0</v>
      </c>
      <c r="AC90" s="50">
        <f t="shared" si="71"/>
        <v>0</v>
      </c>
      <c r="AD90" s="50">
        <f t="shared" si="71"/>
        <v>0</v>
      </c>
      <c r="AE90" s="50">
        <f t="shared" si="71"/>
        <v>0</v>
      </c>
      <c r="AF90" s="50">
        <f t="shared" si="71"/>
        <v>0</v>
      </c>
      <c r="AG90" s="50">
        <f t="shared" si="71"/>
        <v>0</v>
      </c>
      <c r="AH90" s="50">
        <f t="shared" si="71"/>
        <v>0</v>
      </c>
      <c r="AI90" s="423"/>
      <c r="AJ90" s="423"/>
      <c r="AK90" s="50">
        <f t="shared" ref="AK90:BB90" si="72">IF(AK91&lt;&gt;"",AK91*$BC90,0)</f>
        <v>0</v>
      </c>
      <c r="AL90" s="50">
        <f t="shared" si="72"/>
        <v>0</v>
      </c>
      <c r="AM90" s="50">
        <f t="shared" si="72"/>
        <v>0</v>
      </c>
      <c r="AN90" s="50">
        <f t="shared" si="72"/>
        <v>0</v>
      </c>
      <c r="AO90" s="50">
        <f t="shared" si="72"/>
        <v>0</v>
      </c>
      <c r="AP90" s="50">
        <f t="shared" si="72"/>
        <v>0</v>
      </c>
      <c r="AQ90" s="50">
        <f t="shared" si="72"/>
        <v>0</v>
      </c>
      <c r="AR90" s="50">
        <f t="shared" si="72"/>
        <v>0</v>
      </c>
      <c r="AS90" s="50">
        <f t="shared" si="72"/>
        <v>0</v>
      </c>
      <c r="AT90" s="50">
        <f t="shared" si="72"/>
        <v>0</v>
      </c>
      <c r="AU90" s="50">
        <f t="shared" si="72"/>
        <v>0</v>
      </c>
      <c r="AV90" s="50">
        <f t="shared" si="72"/>
        <v>0</v>
      </c>
      <c r="AW90" s="50">
        <f t="shared" si="72"/>
        <v>0</v>
      </c>
      <c r="AX90" s="50">
        <f t="shared" si="72"/>
        <v>0</v>
      </c>
      <c r="AY90" s="50">
        <f t="shared" si="72"/>
        <v>0</v>
      </c>
      <c r="AZ90" s="50">
        <f t="shared" si="72"/>
        <v>0</v>
      </c>
      <c r="BA90" s="50">
        <f t="shared" si="72"/>
        <v>0</v>
      </c>
      <c r="BB90" s="50">
        <f t="shared" si="72"/>
        <v>0</v>
      </c>
      <c r="BC90" s="443" t="e">
        <f>IF($B90&lt;&gt;"",VLOOKUP($B90,RESUMO!$A$11:$H$42,8),"")</f>
        <v>#REF!</v>
      </c>
      <c r="BD90" s="443" t="e">
        <f>IF($B90&lt;&gt;"",VLOOKUP($B90,RESUMO!$A$11:$H$42,6),"")</f>
        <v>#REF!</v>
      </c>
      <c r="BF90" s="424" t="e">
        <f t="shared" si="62"/>
        <v>#REF!</v>
      </c>
      <c r="BG90" s="441"/>
      <c r="BH90" s="297"/>
    </row>
    <row r="91" spans="1:60" s="295" customFormat="1">
      <c r="A91" s="292">
        <v>78</v>
      </c>
      <c r="B91" s="294"/>
      <c r="C91" s="141" t="s">
        <v>3051</v>
      </c>
      <c r="D91" s="139"/>
      <c r="E91" s="425"/>
      <c r="F91" s="425"/>
      <c r="G91" s="425"/>
      <c r="H91" s="425"/>
      <c r="I91" s="425"/>
      <c r="J91" s="425"/>
      <c r="K91" s="425"/>
      <c r="L91" s="425"/>
      <c r="M91" s="425"/>
      <c r="N91" s="425"/>
      <c r="O91" s="425"/>
      <c r="P91" s="425"/>
      <c r="Q91" s="425"/>
      <c r="R91" s="425"/>
      <c r="S91" s="425"/>
      <c r="T91" s="425"/>
      <c r="U91" s="425"/>
      <c r="V91" s="425"/>
      <c r="W91" s="425"/>
      <c r="X91" s="425"/>
      <c r="Y91" s="425"/>
      <c r="Z91" s="425"/>
      <c r="AA91" s="425"/>
      <c r="AB91" s="425"/>
      <c r="AC91" s="425"/>
      <c r="AD91" s="425"/>
      <c r="AE91" s="425"/>
      <c r="AF91" s="425"/>
      <c r="AG91" s="425"/>
      <c r="AH91" s="425"/>
      <c r="AI91" s="422"/>
      <c r="AJ91" s="422"/>
      <c r="AK91" s="425"/>
      <c r="AL91" s="425"/>
      <c r="AM91" s="425"/>
      <c r="AN91" s="425"/>
      <c r="AO91" s="425"/>
      <c r="AP91" s="425"/>
      <c r="AQ91" s="425"/>
      <c r="AR91" s="425"/>
      <c r="AS91" s="425"/>
      <c r="AT91" s="425"/>
      <c r="AU91" s="425"/>
      <c r="AV91" s="425"/>
      <c r="AW91" s="425"/>
      <c r="AX91" s="425"/>
      <c r="AY91" s="425"/>
      <c r="AZ91" s="425"/>
      <c r="BA91" s="425"/>
      <c r="BB91" s="425"/>
      <c r="BC91" s="140"/>
      <c r="BD91" s="140"/>
      <c r="BF91" s="424"/>
      <c r="BG91" s="442">
        <f>SUM(E91:BB91)</f>
        <v>0</v>
      </c>
      <c r="BH91" s="296"/>
    </row>
    <row r="92" spans="1:60" s="292" customFormat="1">
      <c r="A92" s="295">
        <v>79</v>
      </c>
      <c r="B92" s="291">
        <v>9</v>
      </c>
      <c r="C92" s="55" t="str">
        <f>IF($B92&lt;&gt;"",VLOOKUP($B92,ORC!$E:$N,4,0),"")</f>
        <v>REVESTIMENTOS EM PAREDES</v>
      </c>
      <c r="D92" s="49" t="e">
        <f>+BC92/BC$136</f>
        <v>#REF!</v>
      </c>
      <c r="E92" s="50">
        <f t="shared" ref="E92:AH92" si="73">IF(E93&lt;&gt;"",E93*$BC92,0)</f>
        <v>0</v>
      </c>
      <c r="F92" s="50">
        <f t="shared" si="73"/>
        <v>0</v>
      </c>
      <c r="G92" s="50">
        <f t="shared" si="73"/>
        <v>0</v>
      </c>
      <c r="H92" s="50">
        <f t="shared" si="73"/>
        <v>0</v>
      </c>
      <c r="I92" s="50">
        <f t="shared" si="73"/>
        <v>0</v>
      </c>
      <c r="J92" s="50">
        <f t="shared" si="73"/>
        <v>0</v>
      </c>
      <c r="K92" s="50">
        <f t="shared" si="73"/>
        <v>0</v>
      </c>
      <c r="L92" s="50">
        <f t="shared" si="73"/>
        <v>0</v>
      </c>
      <c r="M92" s="50">
        <f t="shared" si="73"/>
        <v>0</v>
      </c>
      <c r="N92" s="50">
        <f t="shared" si="73"/>
        <v>0</v>
      </c>
      <c r="O92" s="50">
        <f t="shared" si="73"/>
        <v>0</v>
      </c>
      <c r="P92" s="50">
        <f t="shared" si="73"/>
        <v>0</v>
      </c>
      <c r="Q92" s="50">
        <f t="shared" si="73"/>
        <v>0</v>
      </c>
      <c r="R92" s="50">
        <f t="shared" si="73"/>
        <v>0</v>
      </c>
      <c r="S92" s="50">
        <f t="shared" si="73"/>
        <v>0</v>
      </c>
      <c r="T92" s="50">
        <f t="shared" si="73"/>
        <v>0</v>
      </c>
      <c r="U92" s="50">
        <f t="shared" si="73"/>
        <v>0</v>
      </c>
      <c r="V92" s="50">
        <f t="shared" si="73"/>
        <v>0</v>
      </c>
      <c r="W92" s="50">
        <f t="shared" si="73"/>
        <v>0</v>
      </c>
      <c r="X92" s="50">
        <f t="shared" si="73"/>
        <v>0</v>
      </c>
      <c r="Y92" s="50">
        <f t="shared" si="73"/>
        <v>0</v>
      </c>
      <c r="Z92" s="50">
        <f t="shared" si="73"/>
        <v>0</v>
      </c>
      <c r="AA92" s="50">
        <f t="shared" si="73"/>
        <v>0</v>
      </c>
      <c r="AB92" s="50">
        <f t="shared" si="73"/>
        <v>0</v>
      </c>
      <c r="AC92" s="50">
        <f t="shared" si="73"/>
        <v>0</v>
      </c>
      <c r="AD92" s="50">
        <f t="shared" si="73"/>
        <v>0</v>
      </c>
      <c r="AE92" s="50">
        <f t="shared" si="73"/>
        <v>0</v>
      </c>
      <c r="AF92" s="50">
        <f t="shared" si="73"/>
        <v>0</v>
      </c>
      <c r="AG92" s="50">
        <f t="shared" si="73"/>
        <v>0</v>
      </c>
      <c r="AH92" s="50">
        <f t="shared" si="73"/>
        <v>0</v>
      </c>
      <c r="AI92" s="423"/>
      <c r="AJ92" s="423"/>
      <c r="AK92" s="50">
        <f t="shared" ref="AK92:BB92" si="74">IF(AK93&lt;&gt;"",AK93*$BC92,0)</f>
        <v>0</v>
      </c>
      <c r="AL92" s="50">
        <f t="shared" si="74"/>
        <v>0</v>
      </c>
      <c r="AM92" s="50">
        <f t="shared" si="74"/>
        <v>0</v>
      </c>
      <c r="AN92" s="50">
        <f t="shared" si="74"/>
        <v>0</v>
      </c>
      <c r="AO92" s="50">
        <f t="shared" si="74"/>
        <v>0</v>
      </c>
      <c r="AP92" s="50">
        <f t="shared" si="74"/>
        <v>0</v>
      </c>
      <c r="AQ92" s="50">
        <f t="shared" si="74"/>
        <v>0</v>
      </c>
      <c r="AR92" s="50">
        <f t="shared" si="74"/>
        <v>0</v>
      </c>
      <c r="AS92" s="50">
        <f t="shared" si="74"/>
        <v>0</v>
      </c>
      <c r="AT92" s="50">
        <f t="shared" si="74"/>
        <v>0</v>
      </c>
      <c r="AU92" s="50">
        <f t="shared" si="74"/>
        <v>0</v>
      </c>
      <c r="AV92" s="50">
        <f t="shared" si="74"/>
        <v>0</v>
      </c>
      <c r="AW92" s="50">
        <f t="shared" si="74"/>
        <v>0</v>
      </c>
      <c r="AX92" s="50">
        <f t="shared" si="74"/>
        <v>0</v>
      </c>
      <c r="AY92" s="50">
        <f t="shared" si="74"/>
        <v>0</v>
      </c>
      <c r="AZ92" s="50">
        <f t="shared" si="74"/>
        <v>0</v>
      </c>
      <c r="BA92" s="50">
        <f t="shared" si="74"/>
        <v>0</v>
      </c>
      <c r="BB92" s="50">
        <f t="shared" si="74"/>
        <v>0</v>
      </c>
      <c r="BC92" s="443" t="e">
        <f>IF($B92&lt;&gt;"",VLOOKUP($B92,RESUMO!$A$11:$H$42,8),"")</f>
        <v>#REF!</v>
      </c>
      <c r="BD92" s="443" t="e">
        <f>IF($B92&lt;&gt;"",VLOOKUP($B92,RESUMO!$A$11:$H$42,6),"")</f>
        <v>#REF!</v>
      </c>
      <c r="BF92" s="424" t="e">
        <f t="shared" si="62"/>
        <v>#REF!</v>
      </c>
      <c r="BG92" s="441"/>
      <c r="BH92" s="297"/>
    </row>
    <row r="93" spans="1:60" s="295" customFormat="1">
      <c r="A93" s="292">
        <v>80</v>
      </c>
      <c r="B93" s="294"/>
      <c r="C93" s="141" t="s">
        <v>3051</v>
      </c>
      <c r="D93" s="139"/>
      <c r="E93" s="425"/>
      <c r="F93" s="425"/>
      <c r="G93" s="425"/>
      <c r="H93" s="425"/>
      <c r="I93" s="425"/>
      <c r="J93" s="425"/>
      <c r="K93" s="425"/>
      <c r="L93" s="425"/>
      <c r="M93" s="425"/>
      <c r="N93" s="425"/>
      <c r="O93" s="425"/>
      <c r="P93" s="425"/>
      <c r="Q93" s="425"/>
      <c r="R93" s="425"/>
      <c r="S93" s="425"/>
      <c r="T93" s="425"/>
      <c r="U93" s="425"/>
      <c r="V93" s="425"/>
      <c r="W93" s="425"/>
      <c r="X93" s="425"/>
      <c r="Y93" s="425"/>
      <c r="Z93" s="425"/>
      <c r="AA93" s="425"/>
      <c r="AB93" s="425"/>
      <c r="AC93" s="425"/>
      <c r="AD93" s="425"/>
      <c r="AE93" s="425"/>
      <c r="AF93" s="425"/>
      <c r="AG93" s="425"/>
      <c r="AH93" s="425"/>
      <c r="AI93" s="422"/>
      <c r="AJ93" s="422"/>
      <c r="AK93" s="425"/>
      <c r="AL93" s="425"/>
      <c r="AM93" s="425"/>
      <c r="AN93" s="425"/>
      <c r="AO93" s="425"/>
      <c r="AP93" s="425"/>
      <c r="AQ93" s="425"/>
      <c r="AR93" s="425"/>
      <c r="AS93" s="425"/>
      <c r="AT93" s="425"/>
      <c r="AU93" s="425"/>
      <c r="AV93" s="425"/>
      <c r="AW93" s="425"/>
      <c r="AX93" s="425"/>
      <c r="AY93" s="425"/>
      <c r="AZ93" s="425"/>
      <c r="BA93" s="425"/>
      <c r="BB93" s="425"/>
      <c r="BC93" s="140"/>
      <c r="BD93" s="140"/>
      <c r="BF93" s="424"/>
      <c r="BG93" s="442">
        <f>SUM(E93:BB93)</f>
        <v>0</v>
      </c>
      <c r="BH93" s="296"/>
    </row>
    <row r="94" spans="1:60" s="292" customFormat="1">
      <c r="A94" s="295">
        <v>81</v>
      </c>
      <c r="B94" s="291">
        <v>10</v>
      </c>
      <c r="C94" s="55" t="str">
        <f>IF($B94&lt;&gt;"",VLOOKUP($B94,ORC!$E:$N,4,0),"")</f>
        <v>PISOS</v>
      </c>
      <c r="D94" s="49" t="e">
        <f>+BC94/BC$136</f>
        <v>#REF!</v>
      </c>
      <c r="E94" s="50">
        <f t="shared" ref="E94:AH94" si="75">IF(E95&lt;&gt;"",E95*$BC94,0)</f>
        <v>0</v>
      </c>
      <c r="F94" s="50">
        <f t="shared" si="75"/>
        <v>0</v>
      </c>
      <c r="G94" s="50">
        <f t="shared" si="75"/>
        <v>0</v>
      </c>
      <c r="H94" s="50">
        <f t="shared" si="75"/>
        <v>0</v>
      </c>
      <c r="I94" s="50">
        <f t="shared" si="75"/>
        <v>0</v>
      </c>
      <c r="J94" s="50">
        <f t="shared" si="75"/>
        <v>0</v>
      </c>
      <c r="K94" s="50">
        <f t="shared" si="75"/>
        <v>0</v>
      </c>
      <c r="L94" s="50">
        <f t="shared" si="75"/>
        <v>0</v>
      </c>
      <c r="M94" s="50">
        <f t="shared" si="75"/>
        <v>0</v>
      </c>
      <c r="N94" s="50">
        <f t="shared" si="75"/>
        <v>0</v>
      </c>
      <c r="O94" s="50">
        <f t="shared" si="75"/>
        <v>0</v>
      </c>
      <c r="P94" s="50">
        <f t="shared" si="75"/>
        <v>0</v>
      </c>
      <c r="Q94" s="50">
        <f t="shared" si="75"/>
        <v>0</v>
      </c>
      <c r="R94" s="50">
        <f t="shared" si="75"/>
        <v>0</v>
      </c>
      <c r="S94" s="50">
        <f t="shared" si="75"/>
        <v>0</v>
      </c>
      <c r="T94" s="50">
        <f t="shared" si="75"/>
        <v>0</v>
      </c>
      <c r="U94" s="50">
        <f t="shared" si="75"/>
        <v>0</v>
      </c>
      <c r="V94" s="50">
        <f t="shared" si="75"/>
        <v>0</v>
      </c>
      <c r="W94" s="50">
        <f t="shared" si="75"/>
        <v>0</v>
      </c>
      <c r="X94" s="50">
        <f t="shared" si="75"/>
        <v>0</v>
      </c>
      <c r="Y94" s="50">
        <f t="shared" si="75"/>
        <v>0</v>
      </c>
      <c r="Z94" s="50">
        <f t="shared" si="75"/>
        <v>0</v>
      </c>
      <c r="AA94" s="50">
        <f t="shared" si="75"/>
        <v>0</v>
      </c>
      <c r="AB94" s="50">
        <f t="shared" si="75"/>
        <v>0</v>
      </c>
      <c r="AC94" s="50">
        <f t="shared" si="75"/>
        <v>0</v>
      </c>
      <c r="AD94" s="50">
        <f t="shared" si="75"/>
        <v>0</v>
      </c>
      <c r="AE94" s="50">
        <f t="shared" si="75"/>
        <v>0</v>
      </c>
      <c r="AF94" s="50">
        <f t="shared" si="75"/>
        <v>0</v>
      </c>
      <c r="AG94" s="50">
        <f t="shared" si="75"/>
        <v>0</v>
      </c>
      <c r="AH94" s="50">
        <f t="shared" si="75"/>
        <v>0</v>
      </c>
      <c r="AI94" s="423"/>
      <c r="AJ94" s="423"/>
      <c r="AK94" s="50">
        <f t="shared" ref="AK94:BB94" si="76">IF(AK95&lt;&gt;"",AK95*$BC94,0)</f>
        <v>0</v>
      </c>
      <c r="AL94" s="50">
        <f t="shared" si="76"/>
        <v>0</v>
      </c>
      <c r="AM94" s="50">
        <f t="shared" si="76"/>
        <v>0</v>
      </c>
      <c r="AN94" s="50">
        <f t="shared" si="76"/>
        <v>0</v>
      </c>
      <c r="AO94" s="50">
        <f t="shared" si="76"/>
        <v>0</v>
      </c>
      <c r="AP94" s="50">
        <f t="shared" si="76"/>
        <v>0</v>
      </c>
      <c r="AQ94" s="50">
        <f t="shared" si="76"/>
        <v>0</v>
      </c>
      <c r="AR94" s="50">
        <f t="shared" si="76"/>
        <v>0</v>
      </c>
      <c r="AS94" s="50">
        <f t="shared" si="76"/>
        <v>0</v>
      </c>
      <c r="AT94" s="50">
        <f t="shared" si="76"/>
        <v>0</v>
      </c>
      <c r="AU94" s="50">
        <f t="shared" si="76"/>
        <v>0</v>
      </c>
      <c r="AV94" s="50">
        <f t="shared" si="76"/>
        <v>0</v>
      </c>
      <c r="AW94" s="50">
        <f t="shared" si="76"/>
        <v>0</v>
      </c>
      <c r="AX94" s="50">
        <f t="shared" si="76"/>
        <v>0</v>
      </c>
      <c r="AY94" s="50">
        <f t="shared" si="76"/>
        <v>0</v>
      </c>
      <c r="AZ94" s="50">
        <f t="shared" si="76"/>
        <v>0</v>
      </c>
      <c r="BA94" s="50">
        <f t="shared" si="76"/>
        <v>0</v>
      </c>
      <c r="BB94" s="50">
        <f t="shared" si="76"/>
        <v>0</v>
      </c>
      <c r="BC94" s="443" t="e">
        <f>IF($B94&lt;&gt;"",VLOOKUP($B94,RESUMO!$A$11:$H$42,8),"")</f>
        <v>#REF!</v>
      </c>
      <c r="BD94" s="443" t="e">
        <f>IF($B94&lt;&gt;"",VLOOKUP($B94,RESUMO!$A$11:$H$42,6),"")</f>
        <v>#REF!</v>
      </c>
      <c r="BF94" s="424" t="e">
        <f t="shared" si="62"/>
        <v>#REF!</v>
      </c>
      <c r="BG94" s="441"/>
      <c r="BH94" s="297"/>
    </row>
    <row r="95" spans="1:60" s="295" customFormat="1">
      <c r="A95" s="292">
        <v>82</v>
      </c>
      <c r="B95" s="294"/>
      <c r="C95" s="141" t="s">
        <v>3051</v>
      </c>
      <c r="D95" s="139"/>
      <c r="E95" s="425"/>
      <c r="F95" s="425"/>
      <c r="G95" s="425"/>
      <c r="H95" s="425"/>
      <c r="I95" s="425"/>
      <c r="J95" s="425"/>
      <c r="K95" s="425"/>
      <c r="L95" s="425"/>
      <c r="M95" s="425"/>
      <c r="N95" s="425"/>
      <c r="O95" s="425"/>
      <c r="P95" s="425"/>
      <c r="Q95" s="425"/>
      <c r="R95" s="425"/>
      <c r="S95" s="425"/>
      <c r="T95" s="425"/>
      <c r="U95" s="425"/>
      <c r="V95" s="425"/>
      <c r="W95" s="425"/>
      <c r="X95" s="425"/>
      <c r="Y95" s="425"/>
      <c r="Z95" s="425"/>
      <c r="AA95" s="425"/>
      <c r="AB95" s="425"/>
      <c r="AC95" s="425"/>
      <c r="AD95" s="425"/>
      <c r="AE95" s="425"/>
      <c r="AF95" s="425"/>
      <c r="AG95" s="425"/>
      <c r="AH95" s="425"/>
      <c r="AI95" s="422"/>
      <c r="AJ95" s="422"/>
      <c r="AK95" s="425"/>
      <c r="AL95" s="425"/>
      <c r="AM95" s="425"/>
      <c r="AN95" s="425"/>
      <c r="AO95" s="425"/>
      <c r="AP95" s="425"/>
      <c r="AQ95" s="425"/>
      <c r="AR95" s="425"/>
      <c r="AS95" s="425"/>
      <c r="AT95" s="425"/>
      <c r="AU95" s="425"/>
      <c r="AV95" s="425"/>
      <c r="AW95" s="425"/>
      <c r="AX95" s="425"/>
      <c r="AY95" s="425"/>
      <c r="AZ95" s="425"/>
      <c r="BA95" s="425"/>
      <c r="BB95" s="425"/>
      <c r="BC95" s="140"/>
      <c r="BD95" s="140"/>
      <c r="BF95" s="424"/>
      <c r="BG95" s="442">
        <f>SUM(E95:BB95)</f>
        <v>0</v>
      </c>
      <c r="BH95" s="296"/>
    </row>
    <row r="96" spans="1:60" s="292" customFormat="1">
      <c r="A96" s="295">
        <v>83</v>
      </c>
      <c r="B96" s="291">
        <v>11</v>
      </c>
      <c r="C96" s="55" t="str">
        <f>IF($B96&lt;&gt;"",VLOOKUP($B96,ORC!$E:$N,4,0),"")</f>
        <v>INSTALAÇÕES HIDROSSANITÁRIAS</v>
      </c>
      <c r="D96" s="49" t="e">
        <f>+BC96/BC$136</f>
        <v>#REF!</v>
      </c>
      <c r="E96" s="50">
        <f t="shared" ref="E96:AH96" si="77">IF(E97&lt;&gt;"",E97*$BC96,0)</f>
        <v>0</v>
      </c>
      <c r="F96" s="50">
        <f t="shared" si="77"/>
        <v>0</v>
      </c>
      <c r="G96" s="50">
        <f t="shared" si="77"/>
        <v>0</v>
      </c>
      <c r="H96" s="50">
        <f t="shared" si="77"/>
        <v>0</v>
      </c>
      <c r="I96" s="50">
        <f t="shared" si="77"/>
        <v>0</v>
      </c>
      <c r="J96" s="50">
        <f t="shared" si="77"/>
        <v>0</v>
      </c>
      <c r="K96" s="50">
        <f t="shared" si="77"/>
        <v>0</v>
      </c>
      <c r="L96" s="50">
        <f t="shared" si="77"/>
        <v>0</v>
      </c>
      <c r="M96" s="50">
        <f t="shared" si="77"/>
        <v>0</v>
      </c>
      <c r="N96" s="50">
        <f t="shared" si="77"/>
        <v>0</v>
      </c>
      <c r="O96" s="50">
        <f t="shared" si="77"/>
        <v>0</v>
      </c>
      <c r="P96" s="50">
        <f t="shared" si="77"/>
        <v>0</v>
      </c>
      <c r="Q96" s="50">
        <f t="shared" si="77"/>
        <v>0</v>
      </c>
      <c r="R96" s="50">
        <f t="shared" si="77"/>
        <v>0</v>
      </c>
      <c r="S96" s="50">
        <f t="shared" si="77"/>
        <v>0</v>
      </c>
      <c r="T96" s="50">
        <f t="shared" si="77"/>
        <v>0</v>
      </c>
      <c r="U96" s="50">
        <f t="shared" si="77"/>
        <v>0</v>
      </c>
      <c r="V96" s="50">
        <f t="shared" si="77"/>
        <v>0</v>
      </c>
      <c r="W96" s="50">
        <f t="shared" si="77"/>
        <v>0</v>
      </c>
      <c r="X96" s="50">
        <f t="shared" si="77"/>
        <v>0</v>
      </c>
      <c r="Y96" s="50">
        <f t="shared" si="77"/>
        <v>0</v>
      </c>
      <c r="Z96" s="50">
        <f t="shared" si="77"/>
        <v>0</v>
      </c>
      <c r="AA96" s="50">
        <f t="shared" si="77"/>
        <v>0</v>
      </c>
      <c r="AB96" s="50">
        <f t="shared" si="77"/>
        <v>0</v>
      </c>
      <c r="AC96" s="50">
        <f t="shared" si="77"/>
        <v>0</v>
      </c>
      <c r="AD96" s="50">
        <f t="shared" si="77"/>
        <v>0</v>
      </c>
      <c r="AE96" s="50">
        <f t="shared" si="77"/>
        <v>0</v>
      </c>
      <c r="AF96" s="50">
        <f t="shared" si="77"/>
        <v>0</v>
      </c>
      <c r="AG96" s="50">
        <f t="shared" si="77"/>
        <v>0</v>
      </c>
      <c r="AH96" s="50">
        <f t="shared" si="77"/>
        <v>0</v>
      </c>
      <c r="AI96" s="423"/>
      <c r="AJ96" s="423"/>
      <c r="AK96" s="50">
        <f t="shared" ref="AK96:BB96" si="78">IF(AK97&lt;&gt;"",AK97*$BC96,0)</f>
        <v>0</v>
      </c>
      <c r="AL96" s="50">
        <f t="shared" si="78"/>
        <v>0</v>
      </c>
      <c r="AM96" s="50">
        <f t="shared" si="78"/>
        <v>0</v>
      </c>
      <c r="AN96" s="50">
        <f t="shared" si="78"/>
        <v>0</v>
      </c>
      <c r="AO96" s="50">
        <f t="shared" si="78"/>
        <v>0</v>
      </c>
      <c r="AP96" s="50">
        <f t="shared" si="78"/>
        <v>0</v>
      </c>
      <c r="AQ96" s="50">
        <f t="shared" si="78"/>
        <v>0</v>
      </c>
      <c r="AR96" s="50">
        <f t="shared" si="78"/>
        <v>0</v>
      </c>
      <c r="AS96" s="50">
        <f t="shared" si="78"/>
        <v>0</v>
      </c>
      <c r="AT96" s="50">
        <f t="shared" si="78"/>
        <v>0</v>
      </c>
      <c r="AU96" s="50">
        <f t="shared" si="78"/>
        <v>0</v>
      </c>
      <c r="AV96" s="50">
        <f t="shared" si="78"/>
        <v>0</v>
      </c>
      <c r="AW96" s="50">
        <f t="shared" si="78"/>
        <v>0</v>
      </c>
      <c r="AX96" s="50">
        <f t="shared" si="78"/>
        <v>0</v>
      </c>
      <c r="AY96" s="50">
        <f t="shared" si="78"/>
        <v>0</v>
      </c>
      <c r="AZ96" s="50">
        <f t="shared" si="78"/>
        <v>0</v>
      </c>
      <c r="BA96" s="50">
        <f t="shared" si="78"/>
        <v>0</v>
      </c>
      <c r="BB96" s="50">
        <f t="shared" si="78"/>
        <v>0</v>
      </c>
      <c r="BC96" s="443" t="e">
        <f>IF($B96&lt;&gt;"",VLOOKUP($B96,RESUMO!$A$11:$H$42,8),"")</f>
        <v>#REF!</v>
      </c>
      <c r="BD96" s="443" t="e">
        <f>IF($B96&lt;&gt;"",VLOOKUP($B96,RESUMO!$A$11:$H$42,6),"")</f>
        <v>#REF!</v>
      </c>
      <c r="BF96" s="424" t="e">
        <f t="shared" si="62"/>
        <v>#REF!</v>
      </c>
      <c r="BG96" s="441"/>
      <c r="BH96" s="297"/>
    </row>
    <row r="97" spans="1:60" s="295" customFormat="1">
      <c r="A97" s="292">
        <v>84</v>
      </c>
      <c r="B97" s="294"/>
      <c r="C97" s="141" t="s">
        <v>3051</v>
      </c>
      <c r="D97" s="139"/>
      <c r="E97" s="425"/>
      <c r="F97" s="425"/>
      <c r="G97" s="425"/>
      <c r="H97" s="425"/>
      <c r="I97" s="425"/>
      <c r="J97" s="425"/>
      <c r="K97" s="425"/>
      <c r="L97" s="425"/>
      <c r="M97" s="425"/>
      <c r="N97" s="425"/>
      <c r="O97" s="425"/>
      <c r="P97" s="425"/>
      <c r="Q97" s="425"/>
      <c r="R97" s="425"/>
      <c r="S97" s="425"/>
      <c r="T97" s="425"/>
      <c r="U97" s="425"/>
      <c r="V97" s="425"/>
      <c r="W97" s="425"/>
      <c r="X97" s="425"/>
      <c r="Y97" s="425"/>
      <c r="Z97" s="425"/>
      <c r="AA97" s="425"/>
      <c r="AB97" s="425"/>
      <c r="AC97" s="425"/>
      <c r="AD97" s="425"/>
      <c r="AE97" s="425"/>
      <c r="AF97" s="425"/>
      <c r="AG97" s="425"/>
      <c r="AH97" s="425"/>
      <c r="AI97" s="422"/>
      <c r="AJ97" s="422"/>
      <c r="AK97" s="425"/>
      <c r="AL97" s="425"/>
      <c r="AM97" s="425"/>
      <c r="AN97" s="425"/>
      <c r="AO97" s="425"/>
      <c r="AP97" s="425"/>
      <c r="AQ97" s="425"/>
      <c r="AR97" s="425"/>
      <c r="AS97" s="425"/>
      <c r="AT97" s="425"/>
      <c r="AU97" s="425"/>
      <c r="AV97" s="425"/>
      <c r="AW97" s="425"/>
      <c r="AX97" s="425"/>
      <c r="AY97" s="425"/>
      <c r="AZ97" s="425"/>
      <c r="BA97" s="425"/>
      <c r="BB97" s="425"/>
      <c r="BC97" s="140"/>
      <c r="BD97" s="140"/>
      <c r="BF97" s="424"/>
      <c r="BG97" s="442">
        <f>SUM(E97:BB97)</f>
        <v>0</v>
      </c>
      <c r="BH97" s="296"/>
    </row>
    <row r="98" spans="1:60" s="292" customFormat="1">
      <c r="A98" s="295">
        <v>85</v>
      </c>
      <c r="B98" s="291">
        <v>12</v>
      </c>
      <c r="C98" s="55" t="str">
        <f>IF($B98&lt;&gt;"",VLOOKUP($B98,ORC!$E:$N,4,0),"")</f>
        <v>PREVENÇÃO E COMBATE A INCÊNDIO</v>
      </c>
      <c r="D98" s="49" t="e">
        <f>+BC98/BC$136</f>
        <v>#REF!</v>
      </c>
      <c r="E98" s="50">
        <f t="shared" ref="E98:AH98" si="79">IF(E99&lt;&gt;"",E99*$BC98,0)</f>
        <v>0</v>
      </c>
      <c r="F98" s="50">
        <f t="shared" si="79"/>
        <v>0</v>
      </c>
      <c r="G98" s="50">
        <f t="shared" si="79"/>
        <v>0</v>
      </c>
      <c r="H98" s="50">
        <f t="shared" si="79"/>
        <v>0</v>
      </c>
      <c r="I98" s="50">
        <f t="shared" si="79"/>
        <v>0</v>
      </c>
      <c r="J98" s="50">
        <f t="shared" si="79"/>
        <v>0</v>
      </c>
      <c r="K98" s="50">
        <f t="shared" si="79"/>
        <v>0</v>
      </c>
      <c r="L98" s="50">
        <f t="shared" si="79"/>
        <v>0</v>
      </c>
      <c r="M98" s="50">
        <f t="shared" si="79"/>
        <v>0</v>
      </c>
      <c r="N98" s="50">
        <f t="shared" si="79"/>
        <v>0</v>
      </c>
      <c r="O98" s="50">
        <f t="shared" si="79"/>
        <v>0</v>
      </c>
      <c r="P98" s="50">
        <f t="shared" si="79"/>
        <v>0</v>
      </c>
      <c r="Q98" s="50">
        <f t="shared" si="79"/>
        <v>0</v>
      </c>
      <c r="R98" s="50">
        <f t="shared" si="79"/>
        <v>0</v>
      </c>
      <c r="S98" s="50">
        <f t="shared" si="79"/>
        <v>0</v>
      </c>
      <c r="T98" s="50">
        <f t="shared" si="79"/>
        <v>0</v>
      </c>
      <c r="U98" s="50">
        <f t="shared" si="79"/>
        <v>0</v>
      </c>
      <c r="V98" s="50">
        <f t="shared" si="79"/>
        <v>0</v>
      </c>
      <c r="W98" s="50">
        <f t="shared" si="79"/>
        <v>0</v>
      </c>
      <c r="X98" s="50">
        <f t="shared" si="79"/>
        <v>0</v>
      </c>
      <c r="Y98" s="50">
        <f t="shared" si="79"/>
        <v>0</v>
      </c>
      <c r="Z98" s="50">
        <f t="shared" si="79"/>
        <v>0</v>
      </c>
      <c r="AA98" s="50">
        <f t="shared" si="79"/>
        <v>0</v>
      </c>
      <c r="AB98" s="50">
        <f t="shared" si="79"/>
        <v>0</v>
      </c>
      <c r="AC98" s="50">
        <f t="shared" si="79"/>
        <v>0</v>
      </c>
      <c r="AD98" s="50">
        <f t="shared" si="79"/>
        <v>0</v>
      </c>
      <c r="AE98" s="50">
        <f t="shared" si="79"/>
        <v>0</v>
      </c>
      <c r="AF98" s="50">
        <f t="shared" si="79"/>
        <v>0</v>
      </c>
      <c r="AG98" s="50">
        <f t="shared" si="79"/>
        <v>0</v>
      </c>
      <c r="AH98" s="50">
        <f t="shared" si="79"/>
        <v>0</v>
      </c>
      <c r="AI98" s="423"/>
      <c r="AJ98" s="423"/>
      <c r="AK98" s="50">
        <f t="shared" ref="AK98:BB98" si="80">IF(AK99&lt;&gt;"",AK99*$BC98,0)</f>
        <v>0</v>
      </c>
      <c r="AL98" s="50">
        <f t="shared" si="80"/>
        <v>0</v>
      </c>
      <c r="AM98" s="50">
        <f t="shared" si="80"/>
        <v>0</v>
      </c>
      <c r="AN98" s="50">
        <f t="shared" si="80"/>
        <v>0</v>
      </c>
      <c r="AO98" s="50">
        <f t="shared" si="80"/>
        <v>0</v>
      </c>
      <c r="AP98" s="50">
        <f t="shared" si="80"/>
        <v>0</v>
      </c>
      <c r="AQ98" s="50">
        <f t="shared" si="80"/>
        <v>0</v>
      </c>
      <c r="AR98" s="50">
        <f t="shared" si="80"/>
        <v>0</v>
      </c>
      <c r="AS98" s="50">
        <f t="shared" si="80"/>
        <v>0</v>
      </c>
      <c r="AT98" s="50">
        <f t="shared" si="80"/>
        <v>0</v>
      </c>
      <c r="AU98" s="50">
        <f t="shared" si="80"/>
        <v>0</v>
      </c>
      <c r="AV98" s="50">
        <f t="shared" si="80"/>
        <v>0</v>
      </c>
      <c r="AW98" s="50">
        <f t="shared" si="80"/>
        <v>0</v>
      </c>
      <c r="AX98" s="50">
        <f t="shared" si="80"/>
        <v>0</v>
      </c>
      <c r="AY98" s="50">
        <f t="shared" si="80"/>
        <v>0</v>
      </c>
      <c r="AZ98" s="50">
        <f t="shared" si="80"/>
        <v>0</v>
      </c>
      <c r="BA98" s="50">
        <f t="shared" si="80"/>
        <v>0</v>
      </c>
      <c r="BB98" s="50">
        <f t="shared" si="80"/>
        <v>0</v>
      </c>
      <c r="BC98" s="443" t="e">
        <f>IF($B98&lt;&gt;"",VLOOKUP($B98,RESUMO!$A$11:$H$42,8),"")</f>
        <v>#REF!</v>
      </c>
      <c r="BD98" s="443" t="e">
        <f>IF($B98&lt;&gt;"",VLOOKUP($B98,RESUMO!$A$11:$H$42,6),"")</f>
        <v>#REF!</v>
      </c>
      <c r="BF98" s="424" t="e">
        <f t="shared" si="62"/>
        <v>#REF!</v>
      </c>
      <c r="BG98" s="441"/>
      <c r="BH98" s="297"/>
    </row>
    <row r="99" spans="1:60" s="295" customFormat="1">
      <c r="A99" s="292">
        <v>86</v>
      </c>
      <c r="B99" s="294"/>
      <c r="C99" s="141" t="s">
        <v>3051</v>
      </c>
      <c r="D99" s="139"/>
      <c r="E99" s="425"/>
      <c r="F99" s="425"/>
      <c r="G99" s="425"/>
      <c r="H99" s="425"/>
      <c r="I99" s="425"/>
      <c r="J99" s="425"/>
      <c r="K99" s="425"/>
      <c r="L99" s="425"/>
      <c r="M99" s="425"/>
      <c r="N99" s="425"/>
      <c r="O99" s="425"/>
      <c r="P99" s="425"/>
      <c r="Q99" s="425"/>
      <c r="R99" s="425"/>
      <c r="S99" s="425"/>
      <c r="T99" s="425"/>
      <c r="U99" s="425"/>
      <c r="V99" s="425"/>
      <c r="W99" s="425"/>
      <c r="X99" s="425"/>
      <c r="Y99" s="425"/>
      <c r="Z99" s="425"/>
      <c r="AA99" s="425"/>
      <c r="AB99" s="425"/>
      <c r="AC99" s="425"/>
      <c r="AD99" s="425"/>
      <c r="AE99" s="425"/>
      <c r="AF99" s="425"/>
      <c r="AG99" s="425"/>
      <c r="AH99" s="425"/>
      <c r="AI99" s="422"/>
      <c r="AJ99" s="422"/>
      <c r="AK99" s="425"/>
      <c r="AL99" s="425"/>
      <c r="AM99" s="425"/>
      <c r="AN99" s="425"/>
      <c r="AO99" s="425"/>
      <c r="AP99" s="425"/>
      <c r="AQ99" s="425"/>
      <c r="AR99" s="425"/>
      <c r="AS99" s="425"/>
      <c r="AT99" s="425"/>
      <c r="AU99" s="425"/>
      <c r="AV99" s="425"/>
      <c r="AW99" s="425"/>
      <c r="AX99" s="425"/>
      <c r="AY99" s="425"/>
      <c r="AZ99" s="425"/>
      <c r="BA99" s="425"/>
      <c r="BB99" s="425"/>
      <c r="BC99" s="140"/>
      <c r="BD99" s="140"/>
      <c r="BF99" s="424"/>
      <c r="BG99" s="442">
        <f>SUM(E99:BB99)</f>
        <v>0</v>
      </c>
      <c r="BH99" s="296"/>
    </row>
    <row r="100" spans="1:60" s="292" customFormat="1" ht="25.5">
      <c r="A100" s="295">
        <v>87</v>
      </c>
      <c r="B100" s="291">
        <v>13</v>
      </c>
      <c r="C100" s="55" t="str">
        <f>IF($B100&lt;&gt;"",VLOOKUP($B100,ORC!$E:$N,4,0),"")</f>
        <v>INSTALAÇÕES ELÉTRICAS / ELETRIFICAÇÃO E ILUMINAÇÃO EXTERNA</v>
      </c>
      <c r="D100" s="49" t="e">
        <f>+BC100/BC$136</f>
        <v>#REF!</v>
      </c>
      <c r="E100" s="50">
        <f t="shared" ref="E100:AH100" si="81">IF(E101&lt;&gt;"",E101*$BC100,0)</f>
        <v>0</v>
      </c>
      <c r="F100" s="50">
        <f t="shared" si="81"/>
        <v>0</v>
      </c>
      <c r="G100" s="50">
        <f t="shared" si="81"/>
        <v>0</v>
      </c>
      <c r="H100" s="50">
        <f t="shared" si="81"/>
        <v>0</v>
      </c>
      <c r="I100" s="50">
        <f t="shared" si="81"/>
        <v>0</v>
      </c>
      <c r="J100" s="50">
        <f t="shared" si="81"/>
        <v>0</v>
      </c>
      <c r="K100" s="50">
        <f t="shared" si="81"/>
        <v>0</v>
      </c>
      <c r="L100" s="50">
        <f t="shared" si="81"/>
        <v>0</v>
      </c>
      <c r="M100" s="50">
        <f t="shared" si="81"/>
        <v>0</v>
      </c>
      <c r="N100" s="50">
        <f t="shared" si="81"/>
        <v>0</v>
      </c>
      <c r="O100" s="50">
        <f t="shared" si="81"/>
        <v>0</v>
      </c>
      <c r="P100" s="50">
        <f t="shared" si="81"/>
        <v>0</v>
      </c>
      <c r="Q100" s="50">
        <f t="shared" si="81"/>
        <v>0</v>
      </c>
      <c r="R100" s="50">
        <f t="shared" si="81"/>
        <v>0</v>
      </c>
      <c r="S100" s="50">
        <f t="shared" si="81"/>
        <v>0</v>
      </c>
      <c r="T100" s="50">
        <f t="shared" si="81"/>
        <v>0</v>
      </c>
      <c r="U100" s="50">
        <f t="shared" si="81"/>
        <v>0</v>
      </c>
      <c r="V100" s="50">
        <f t="shared" si="81"/>
        <v>0</v>
      </c>
      <c r="W100" s="50">
        <f t="shared" si="81"/>
        <v>0</v>
      </c>
      <c r="X100" s="50">
        <f t="shared" si="81"/>
        <v>0</v>
      </c>
      <c r="Y100" s="50">
        <f t="shared" si="81"/>
        <v>0</v>
      </c>
      <c r="Z100" s="50">
        <f t="shared" si="81"/>
        <v>0</v>
      </c>
      <c r="AA100" s="50">
        <f t="shared" si="81"/>
        <v>0</v>
      </c>
      <c r="AB100" s="50">
        <f t="shared" si="81"/>
        <v>0</v>
      </c>
      <c r="AC100" s="50">
        <f t="shared" si="81"/>
        <v>0</v>
      </c>
      <c r="AD100" s="50">
        <f t="shared" si="81"/>
        <v>0</v>
      </c>
      <c r="AE100" s="50">
        <f t="shared" si="81"/>
        <v>0</v>
      </c>
      <c r="AF100" s="50">
        <f t="shared" si="81"/>
        <v>0</v>
      </c>
      <c r="AG100" s="50">
        <f t="shared" si="81"/>
        <v>0</v>
      </c>
      <c r="AH100" s="50">
        <f t="shared" si="81"/>
        <v>0</v>
      </c>
      <c r="AI100" s="423"/>
      <c r="AJ100" s="423"/>
      <c r="AK100" s="50">
        <f t="shared" ref="AK100:BB100" si="82">IF(AK101&lt;&gt;"",AK101*$BC100,0)</f>
        <v>0</v>
      </c>
      <c r="AL100" s="50">
        <f t="shared" si="82"/>
        <v>0</v>
      </c>
      <c r="AM100" s="50">
        <f t="shared" si="82"/>
        <v>0</v>
      </c>
      <c r="AN100" s="50">
        <f t="shared" si="82"/>
        <v>0</v>
      </c>
      <c r="AO100" s="50">
        <f t="shared" si="82"/>
        <v>0</v>
      </c>
      <c r="AP100" s="50">
        <f t="shared" si="82"/>
        <v>0</v>
      </c>
      <c r="AQ100" s="50">
        <f t="shared" si="82"/>
        <v>0</v>
      </c>
      <c r="AR100" s="50">
        <f t="shared" si="82"/>
        <v>0</v>
      </c>
      <c r="AS100" s="50">
        <f t="shared" si="82"/>
        <v>0</v>
      </c>
      <c r="AT100" s="50">
        <f t="shared" si="82"/>
        <v>0</v>
      </c>
      <c r="AU100" s="50">
        <f t="shared" si="82"/>
        <v>0</v>
      </c>
      <c r="AV100" s="50">
        <f t="shared" si="82"/>
        <v>0</v>
      </c>
      <c r="AW100" s="50">
        <f t="shared" si="82"/>
        <v>0</v>
      </c>
      <c r="AX100" s="50">
        <f t="shared" si="82"/>
        <v>0</v>
      </c>
      <c r="AY100" s="50">
        <f t="shared" si="82"/>
        <v>0</v>
      </c>
      <c r="AZ100" s="50">
        <f t="shared" si="82"/>
        <v>0</v>
      </c>
      <c r="BA100" s="50">
        <f t="shared" si="82"/>
        <v>0</v>
      </c>
      <c r="BB100" s="50">
        <f t="shared" si="82"/>
        <v>0</v>
      </c>
      <c r="BC100" s="443" t="e">
        <f>IF($B100&lt;&gt;"",VLOOKUP($B100,RESUMO!$A$11:$H$42,8),"")</f>
        <v>#REF!</v>
      </c>
      <c r="BD100" s="443" t="e">
        <f>IF($B100&lt;&gt;"",VLOOKUP($B100,RESUMO!$A$11:$H$42,6),"")</f>
        <v>#REF!</v>
      </c>
      <c r="BF100" s="424" t="e">
        <f t="shared" si="62"/>
        <v>#REF!</v>
      </c>
      <c r="BG100" s="441"/>
      <c r="BH100" s="297"/>
    </row>
    <row r="101" spans="1:60" s="295" customFormat="1">
      <c r="A101" s="292">
        <v>88</v>
      </c>
      <c r="B101" s="294"/>
      <c r="C101" s="141" t="s">
        <v>3051</v>
      </c>
      <c r="D101" s="139"/>
      <c r="E101" s="425"/>
      <c r="F101" s="425"/>
      <c r="G101" s="425"/>
      <c r="H101" s="425"/>
      <c r="I101" s="425"/>
      <c r="J101" s="425"/>
      <c r="K101" s="425"/>
      <c r="L101" s="425"/>
      <c r="M101" s="425"/>
      <c r="N101" s="425"/>
      <c r="O101" s="425"/>
      <c r="P101" s="425"/>
      <c r="Q101" s="425"/>
      <c r="R101" s="425"/>
      <c r="S101" s="425"/>
      <c r="T101" s="425"/>
      <c r="U101" s="425"/>
      <c r="V101" s="425"/>
      <c r="W101" s="425"/>
      <c r="X101" s="425"/>
      <c r="Y101" s="425"/>
      <c r="Z101" s="425"/>
      <c r="AA101" s="425"/>
      <c r="AB101" s="425"/>
      <c r="AC101" s="425"/>
      <c r="AD101" s="425"/>
      <c r="AE101" s="425"/>
      <c r="AF101" s="425"/>
      <c r="AG101" s="425"/>
      <c r="AH101" s="425"/>
      <c r="AI101" s="422"/>
      <c r="AJ101" s="422"/>
      <c r="AK101" s="425"/>
      <c r="AL101" s="425"/>
      <c r="AM101" s="425"/>
      <c r="AN101" s="425"/>
      <c r="AO101" s="425"/>
      <c r="AP101" s="425"/>
      <c r="AQ101" s="425"/>
      <c r="AR101" s="425"/>
      <c r="AS101" s="425"/>
      <c r="AT101" s="425"/>
      <c r="AU101" s="425"/>
      <c r="AV101" s="425"/>
      <c r="AW101" s="425"/>
      <c r="AX101" s="425"/>
      <c r="AY101" s="425"/>
      <c r="AZ101" s="425"/>
      <c r="BA101" s="425"/>
      <c r="BB101" s="425"/>
      <c r="BC101" s="140"/>
      <c r="BD101" s="140"/>
      <c r="BF101" s="424"/>
      <c r="BG101" s="442">
        <f>SUM(E101:BB101)</f>
        <v>0</v>
      </c>
      <c r="BH101" s="296"/>
    </row>
    <row r="102" spans="1:60" s="292" customFormat="1">
      <c r="A102" s="295">
        <v>89</v>
      </c>
      <c r="B102" s="291">
        <v>14</v>
      </c>
      <c r="C102" s="55" t="str">
        <f>IF($B102&lt;&gt;"",VLOOKUP($B102,ORC!$E:$N,4,0),"")</f>
        <v>AR CONDICIONADO E EXAUSTÃO</v>
      </c>
      <c r="D102" s="49" t="e">
        <f>+BC102/BC$136</f>
        <v>#REF!</v>
      </c>
      <c r="E102" s="50">
        <f t="shared" ref="E102:AH102" si="83">IF(E103&lt;&gt;"",E103*$BC102,0)</f>
        <v>0</v>
      </c>
      <c r="F102" s="50">
        <f t="shared" si="83"/>
        <v>0</v>
      </c>
      <c r="G102" s="50">
        <f t="shared" si="83"/>
        <v>0</v>
      </c>
      <c r="H102" s="50">
        <f t="shared" si="83"/>
        <v>0</v>
      </c>
      <c r="I102" s="50">
        <f t="shared" si="83"/>
        <v>0</v>
      </c>
      <c r="J102" s="50">
        <f t="shared" si="83"/>
        <v>0</v>
      </c>
      <c r="K102" s="50">
        <f t="shared" si="83"/>
        <v>0</v>
      </c>
      <c r="L102" s="50">
        <f t="shared" si="83"/>
        <v>0</v>
      </c>
      <c r="M102" s="50">
        <f t="shared" si="83"/>
        <v>0</v>
      </c>
      <c r="N102" s="50">
        <f t="shared" si="83"/>
        <v>0</v>
      </c>
      <c r="O102" s="50">
        <f t="shared" si="83"/>
        <v>0</v>
      </c>
      <c r="P102" s="50">
        <f t="shared" si="83"/>
        <v>0</v>
      </c>
      <c r="Q102" s="50">
        <f t="shared" si="83"/>
        <v>0</v>
      </c>
      <c r="R102" s="50">
        <f t="shared" si="83"/>
        <v>0</v>
      </c>
      <c r="S102" s="50">
        <f t="shared" si="83"/>
        <v>0</v>
      </c>
      <c r="T102" s="50">
        <f t="shared" si="83"/>
        <v>0</v>
      </c>
      <c r="U102" s="50">
        <f t="shared" si="83"/>
        <v>0</v>
      </c>
      <c r="V102" s="50">
        <f t="shared" si="83"/>
        <v>0</v>
      </c>
      <c r="W102" s="50">
        <f t="shared" si="83"/>
        <v>0</v>
      </c>
      <c r="X102" s="50">
        <f t="shared" si="83"/>
        <v>0</v>
      </c>
      <c r="Y102" s="50">
        <f t="shared" si="83"/>
        <v>0</v>
      </c>
      <c r="Z102" s="50">
        <f t="shared" si="83"/>
        <v>0</v>
      </c>
      <c r="AA102" s="50">
        <f t="shared" si="83"/>
        <v>0</v>
      </c>
      <c r="AB102" s="50">
        <f t="shared" si="83"/>
        <v>0</v>
      </c>
      <c r="AC102" s="50">
        <f t="shared" si="83"/>
        <v>0</v>
      </c>
      <c r="AD102" s="50">
        <f t="shared" si="83"/>
        <v>0</v>
      </c>
      <c r="AE102" s="50">
        <f t="shared" si="83"/>
        <v>0</v>
      </c>
      <c r="AF102" s="50">
        <f t="shared" si="83"/>
        <v>0</v>
      </c>
      <c r="AG102" s="50">
        <f t="shared" si="83"/>
        <v>0</v>
      </c>
      <c r="AH102" s="50">
        <f t="shared" si="83"/>
        <v>0</v>
      </c>
      <c r="AI102" s="423"/>
      <c r="AJ102" s="423"/>
      <c r="AK102" s="50">
        <f t="shared" ref="AK102:BB102" si="84">IF(AK103&lt;&gt;"",AK103*$BC102,0)</f>
        <v>0</v>
      </c>
      <c r="AL102" s="50">
        <f t="shared" si="84"/>
        <v>0</v>
      </c>
      <c r="AM102" s="50">
        <f t="shared" si="84"/>
        <v>0</v>
      </c>
      <c r="AN102" s="50">
        <f t="shared" si="84"/>
        <v>0</v>
      </c>
      <c r="AO102" s="50">
        <f t="shared" si="84"/>
        <v>0</v>
      </c>
      <c r="AP102" s="50">
        <f t="shared" si="84"/>
        <v>0</v>
      </c>
      <c r="AQ102" s="50">
        <f t="shared" si="84"/>
        <v>0</v>
      </c>
      <c r="AR102" s="50">
        <f t="shared" si="84"/>
        <v>0</v>
      </c>
      <c r="AS102" s="50">
        <f t="shared" si="84"/>
        <v>0</v>
      </c>
      <c r="AT102" s="50">
        <f t="shared" si="84"/>
        <v>0</v>
      </c>
      <c r="AU102" s="50">
        <f t="shared" si="84"/>
        <v>0</v>
      </c>
      <c r="AV102" s="50">
        <f t="shared" si="84"/>
        <v>0</v>
      </c>
      <c r="AW102" s="50">
        <f t="shared" si="84"/>
        <v>0</v>
      </c>
      <c r="AX102" s="50">
        <f t="shared" si="84"/>
        <v>0</v>
      </c>
      <c r="AY102" s="50">
        <f t="shared" si="84"/>
        <v>0</v>
      </c>
      <c r="AZ102" s="50">
        <f t="shared" si="84"/>
        <v>0</v>
      </c>
      <c r="BA102" s="50">
        <f t="shared" si="84"/>
        <v>0</v>
      </c>
      <c r="BB102" s="50">
        <f t="shared" si="84"/>
        <v>0</v>
      </c>
      <c r="BC102" s="443" t="e">
        <f>IF($B102&lt;&gt;"",VLOOKUP($B102,RESUMO!$A$11:$H$42,8),"")</f>
        <v>#REF!</v>
      </c>
      <c r="BD102" s="443" t="e">
        <f>IF($B102&lt;&gt;"",VLOOKUP($B102,RESUMO!$A$11:$H$42,6),"")</f>
        <v>#REF!</v>
      </c>
      <c r="BF102" s="424" t="e">
        <f t="shared" si="62"/>
        <v>#REF!</v>
      </c>
      <c r="BG102" s="441"/>
      <c r="BH102" s="297"/>
    </row>
    <row r="103" spans="1:60" s="295" customFormat="1">
      <c r="A103" s="292">
        <v>90</v>
      </c>
      <c r="B103" s="294"/>
      <c r="C103" s="141" t="s">
        <v>3051</v>
      </c>
      <c r="D103" s="139"/>
      <c r="E103" s="425"/>
      <c r="F103" s="425"/>
      <c r="G103" s="425"/>
      <c r="H103" s="425"/>
      <c r="I103" s="425"/>
      <c r="J103" s="425"/>
      <c r="K103" s="425"/>
      <c r="L103" s="425"/>
      <c r="M103" s="425"/>
      <c r="N103" s="425"/>
      <c r="O103" s="425"/>
      <c r="P103" s="425"/>
      <c r="Q103" s="425"/>
      <c r="R103" s="425"/>
      <c r="S103" s="425"/>
      <c r="T103" s="425"/>
      <c r="U103" s="425"/>
      <c r="V103" s="425"/>
      <c r="W103" s="425"/>
      <c r="X103" s="425"/>
      <c r="Y103" s="425"/>
      <c r="Z103" s="425"/>
      <c r="AA103" s="425"/>
      <c r="AB103" s="425"/>
      <c r="AC103" s="425"/>
      <c r="AD103" s="425"/>
      <c r="AE103" s="425"/>
      <c r="AF103" s="425"/>
      <c r="AG103" s="425"/>
      <c r="AH103" s="425"/>
      <c r="AI103" s="422"/>
      <c r="AJ103" s="422"/>
      <c r="AK103" s="425"/>
      <c r="AL103" s="425"/>
      <c r="AM103" s="425"/>
      <c r="AN103" s="425"/>
      <c r="AO103" s="425"/>
      <c r="AP103" s="425"/>
      <c r="AQ103" s="425"/>
      <c r="AR103" s="425"/>
      <c r="AS103" s="425"/>
      <c r="AT103" s="425"/>
      <c r="AU103" s="425"/>
      <c r="AV103" s="425"/>
      <c r="AW103" s="425"/>
      <c r="AX103" s="425"/>
      <c r="AY103" s="425"/>
      <c r="AZ103" s="425"/>
      <c r="BA103" s="425"/>
      <c r="BB103" s="425"/>
      <c r="BC103" s="140"/>
      <c r="BD103" s="140"/>
      <c r="BF103" s="424"/>
      <c r="BG103" s="442">
        <f>SUM(E103:BB103)</f>
        <v>0</v>
      </c>
      <c r="BH103" s="296"/>
    </row>
    <row r="104" spans="1:60" s="292" customFormat="1">
      <c r="A104" s="295">
        <v>91</v>
      </c>
      <c r="B104" s="291">
        <v>15</v>
      </c>
      <c r="C104" s="55" t="str">
        <f>IF($B104&lt;&gt;"",VLOOKUP($B104,ORC!$E:$N,4,0),"")</f>
        <v>PINTURA</v>
      </c>
      <c r="D104" s="49" t="e">
        <f>+BC104/BC$136</f>
        <v>#REF!</v>
      </c>
      <c r="E104" s="50">
        <f t="shared" ref="E104:AH104" si="85">IF(E105&lt;&gt;"",E105*$BC104,0)</f>
        <v>0</v>
      </c>
      <c r="F104" s="50">
        <f t="shared" si="85"/>
        <v>0</v>
      </c>
      <c r="G104" s="50">
        <f t="shared" si="85"/>
        <v>0</v>
      </c>
      <c r="H104" s="50">
        <f t="shared" si="85"/>
        <v>0</v>
      </c>
      <c r="I104" s="50">
        <f t="shared" si="85"/>
        <v>0</v>
      </c>
      <c r="J104" s="50">
        <f t="shared" si="85"/>
        <v>0</v>
      </c>
      <c r="K104" s="50">
        <f t="shared" si="85"/>
        <v>0</v>
      </c>
      <c r="L104" s="50">
        <f t="shared" si="85"/>
        <v>0</v>
      </c>
      <c r="M104" s="50">
        <f t="shared" si="85"/>
        <v>0</v>
      </c>
      <c r="N104" s="50">
        <f t="shared" si="85"/>
        <v>0</v>
      </c>
      <c r="O104" s="50">
        <f t="shared" si="85"/>
        <v>0</v>
      </c>
      <c r="P104" s="50">
        <f t="shared" si="85"/>
        <v>0</v>
      </c>
      <c r="Q104" s="50">
        <f t="shared" si="85"/>
        <v>0</v>
      </c>
      <c r="R104" s="50">
        <f t="shared" si="85"/>
        <v>0</v>
      </c>
      <c r="S104" s="50">
        <f t="shared" si="85"/>
        <v>0</v>
      </c>
      <c r="T104" s="50">
        <f t="shared" si="85"/>
        <v>0</v>
      </c>
      <c r="U104" s="50">
        <f t="shared" si="85"/>
        <v>0</v>
      </c>
      <c r="V104" s="50">
        <f t="shared" si="85"/>
        <v>0</v>
      </c>
      <c r="W104" s="50">
        <f t="shared" si="85"/>
        <v>0</v>
      </c>
      <c r="X104" s="50">
        <f t="shared" si="85"/>
        <v>0</v>
      </c>
      <c r="Y104" s="50">
        <f t="shared" si="85"/>
        <v>0</v>
      </c>
      <c r="Z104" s="50">
        <f t="shared" si="85"/>
        <v>0</v>
      </c>
      <c r="AA104" s="50">
        <f t="shared" si="85"/>
        <v>0</v>
      </c>
      <c r="AB104" s="50">
        <f t="shared" si="85"/>
        <v>0</v>
      </c>
      <c r="AC104" s="50">
        <f t="shared" si="85"/>
        <v>0</v>
      </c>
      <c r="AD104" s="50">
        <f t="shared" si="85"/>
        <v>0</v>
      </c>
      <c r="AE104" s="50">
        <f t="shared" si="85"/>
        <v>0</v>
      </c>
      <c r="AF104" s="50">
        <f t="shared" si="85"/>
        <v>0</v>
      </c>
      <c r="AG104" s="50">
        <f t="shared" si="85"/>
        <v>0</v>
      </c>
      <c r="AH104" s="50">
        <f t="shared" si="85"/>
        <v>0</v>
      </c>
      <c r="AI104" s="423"/>
      <c r="AJ104" s="423"/>
      <c r="AK104" s="50">
        <f t="shared" ref="AK104:BB104" si="86">IF(AK105&lt;&gt;"",AK105*$BC104,0)</f>
        <v>0</v>
      </c>
      <c r="AL104" s="50">
        <f t="shared" si="86"/>
        <v>0</v>
      </c>
      <c r="AM104" s="50">
        <f t="shared" si="86"/>
        <v>0</v>
      </c>
      <c r="AN104" s="50">
        <f t="shared" si="86"/>
        <v>0</v>
      </c>
      <c r="AO104" s="50">
        <f t="shared" si="86"/>
        <v>0</v>
      </c>
      <c r="AP104" s="50">
        <f t="shared" si="86"/>
        <v>0</v>
      </c>
      <c r="AQ104" s="50">
        <f t="shared" si="86"/>
        <v>0</v>
      </c>
      <c r="AR104" s="50">
        <f t="shared" si="86"/>
        <v>0</v>
      </c>
      <c r="AS104" s="50">
        <f t="shared" si="86"/>
        <v>0</v>
      </c>
      <c r="AT104" s="50">
        <f t="shared" si="86"/>
        <v>0</v>
      </c>
      <c r="AU104" s="50">
        <f t="shared" si="86"/>
        <v>0</v>
      </c>
      <c r="AV104" s="50">
        <f t="shared" si="86"/>
        <v>0</v>
      </c>
      <c r="AW104" s="50">
        <f t="shared" si="86"/>
        <v>0</v>
      </c>
      <c r="AX104" s="50">
        <f t="shared" si="86"/>
        <v>0</v>
      </c>
      <c r="AY104" s="50">
        <f t="shared" si="86"/>
        <v>0</v>
      </c>
      <c r="AZ104" s="50">
        <f t="shared" si="86"/>
        <v>0</v>
      </c>
      <c r="BA104" s="50">
        <f t="shared" si="86"/>
        <v>0</v>
      </c>
      <c r="BB104" s="50">
        <f t="shared" si="86"/>
        <v>0</v>
      </c>
      <c r="BC104" s="443" t="e">
        <f>IF($B104&lt;&gt;"",VLOOKUP($B104,RESUMO!$A$11:$H$42,8),"")</f>
        <v>#REF!</v>
      </c>
      <c r="BD104" s="443" t="e">
        <f>IF($B104&lt;&gt;"",VLOOKUP($B104,RESUMO!$A$11:$H$42,6),"")</f>
        <v>#REF!</v>
      </c>
      <c r="BF104" s="424" t="e">
        <f t="shared" si="62"/>
        <v>#REF!</v>
      </c>
      <c r="BG104" s="441"/>
      <c r="BH104" s="297"/>
    </row>
    <row r="105" spans="1:60" s="295" customFormat="1">
      <c r="A105" s="292">
        <v>92</v>
      </c>
      <c r="B105" s="294"/>
      <c r="C105" s="141" t="s">
        <v>3051</v>
      </c>
      <c r="D105" s="139"/>
      <c r="E105" s="425"/>
      <c r="F105" s="425"/>
      <c r="G105" s="425"/>
      <c r="H105" s="425"/>
      <c r="I105" s="425"/>
      <c r="J105" s="425"/>
      <c r="K105" s="425"/>
      <c r="L105" s="425"/>
      <c r="M105" s="425"/>
      <c r="N105" s="425"/>
      <c r="O105" s="425"/>
      <c r="P105" s="425"/>
      <c r="Q105" s="425"/>
      <c r="R105" s="425"/>
      <c r="S105" s="425"/>
      <c r="T105" s="425"/>
      <c r="U105" s="425"/>
      <c r="V105" s="425"/>
      <c r="W105" s="425"/>
      <c r="X105" s="425"/>
      <c r="Y105" s="425"/>
      <c r="Z105" s="425"/>
      <c r="AA105" s="425"/>
      <c r="AB105" s="425"/>
      <c r="AC105" s="425"/>
      <c r="AD105" s="425"/>
      <c r="AE105" s="425"/>
      <c r="AF105" s="425"/>
      <c r="AG105" s="425"/>
      <c r="AH105" s="425"/>
      <c r="AI105" s="422"/>
      <c r="AJ105" s="422"/>
      <c r="AK105" s="425"/>
      <c r="AL105" s="425"/>
      <c r="AM105" s="425"/>
      <c r="AN105" s="425"/>
      <c r="AO105" s="425"/>
      <c r="AP105" s="425"/>
      <c r="AQ105" s="425"/>
      <c r="AR105" s="425"/>
      <c r="AS105" s="425"/>
      <c r="AT105" s="425"/>
      <c r="AU105" s="425"/>
      <c r="AV105" s="425"/>
      <c r="AW105" s="425"/>
      <c r="AX105" s="425"/>
      <c r="AY105" s="425"/>
      <c r="AZ105" s="425"/>
      <c r="BA105" s="425"/>
      <c r="BB105" s="425"/>
      <c r="BC105" s="140"/>
      <c r="BD105" s="140"/>
      <c r="BF105" s="424"/>
      <c r="BG105" s="442">
        <f>SUM(E105:BB105)</f>
        <v>0</v>
      </c>
      <c r="BH105" s="296"/>
    </row>
    <row r="106" spans="1:60" s="292" customFormat="1">
      <c r="A106" s="295">
        <v>93</v>
      </c>
      <c r="B106" s="291">
        <v>16</v>
      </c>
      <c r="C106" s="55" t="str">
        <f>IF($B106&lt;&gt;"",VLOOKUP($B106,ORC!$E:$N,4,0),"")</f>
        <v>SERVIÇOS DIVERSOS</v>
      </c>
      <c r="D106" s="49" t="e">
        <f>+BC106/BC$136</f>
        <v>#REF!</v>
      </c>
      <c r="E106" s="50">
        <f t="shared" ref="E106:AH106" si="87">IF(E107&lt;&gt;"",E107*$BC106,0)</f>
        <v>0</v>
      </c>
      <c r="F106" s="50">
        <f t="shared" si="87"/>
        <v>0</v>
      </c>
      <c r="G106" s="50">
        <f t="shared" si="87"/>
        <v>0</v>
      </c>
      <c r="H106" s="50">
        <f t="shared" si="87"/>
        <v>0</v>
      </c>
      <c r="I106" s="50">
        <f t="shared" si="87"/>
        <v>0</v>
      </c>
      <c r="J106" s="50">
        <f t="shared" si="87"/>
        <v>0</v>
      </c>
      <c r="K106" s="50">
        <f t="shared" si="87"/>
        <v>0</v>
      </c>
      <c r="L106" s="50">
        <f t="shared" si="87"/>
        <v>0</v>
      </c>
      <c r="M106" s="50">
        <f t="shared" si="87"/>
        <v>0</v>
      </c>
      <c r="N106" s="50">
        <f t="shared" si="87"/>
        <v>0</v>
      </c>
      <c r="O106" s="50">
        <f t="shared" si="87"/>
        <v>0</v>
      </c>
      <c r="P106" s="50">
        <f t="shared" si="87"/>
        <v>0</v>
      </c>
      <c r="Q106" s="50">
        <f t="shared" si="87"/>
        <v>0</v>
      </c>
      <c r="R106" s="50">
        <f t="shared" si="87"/>
        <v>0</v>
      </c>
      <c r="S106" s="50">
        <f t="shared" si="87"/>
        <v>0</v>
      </c>
      <c r="T106" s="50">
        <f t="shared" si="87"/>
        <v>0</v>
      </c>
      <c r="U106" s="50">
        <f t="shared" si="87"/>
        <v>0</v>
      </c>
      <c r="V106" s="50">
        <f t="shared" si="87"/>
        <v>0</v>
      </c>
      <c r="W106" s="50">
        <f t="shared" si="87"/>
        <v>0</v>
      </c>
      <c r="X106" s="50">
        <f t="shared" si="87"/>
        <v>0</v>
      </c>
      <c r="Y106" s="50">
        <f t="shared" si="87"/>
        <v>0</v>
      </c>
      <c r="Z106" s="50">
        <f t="shared" si="87"/>
        <v>0</v>
      </c>
      <c r="AA106" s="50">
        <f t="shared" si="87"/>
        <v>0</v>
      </c>
      <c r="AB106" s="50">
        <f t="shared" si="87"/>
        <v>0</v>
      </c>
      <c r="AC106" s="50">
        <f t="shared" si="87"/>
        <v>0</v>
      </c>
      <c r="AD106" s="50">
        <f t="shared" si="87"/>
        <v>0</v>
      </c>
      <c r="AE106" s="50">
        <f t="shared" si="87"/>
        <v>0</v>
      </c>
      <c r="AF106" s="50">
        <f t="shared" si="87"/>
        <v>0</v>
      </c>
      <c r="AG106" s="50">
        <f t="shared" si="87"/>
        <v>0</v>
      </c>
      <c r="AH106" s="50">
        <f t="shared" si="87"/>
        <v>0</v>
      </c>
      <c r="AI106" s="423"/>
      <c r="AJ106" s="423"/>
      <c r="AK106" s="50">
        <f t="shared" ref="AK106:BB106" si="88">IF(AK107&lt;&gt;"",AK107*$BC106,0)</f>
        <v>0</v>
      </c>
      <c r="AL106" s="50">
        <f t="shared" si="88"/>
        <v>0</v>
      </c>
      <c r="AM106" s="50">
        <f t="shared" si="88"/>
        <v>0</v>
      </c>
      <c r="AN106" s="50">
        <f t="shared" si="88"/>
        <v>0</v>
      </c>
      <c r="AO106" s="50">
        <f t="shared" si="88"/>
        <v>0</v>
      </c>
      <c r="AP106" s="50">
        <f t="shared" si="88"/>
        <v>0</v>
      </c>
      <c r="AQ106" s="50">
        <f t="shared" si="88"/>
        <v>0</v>
      </c>
      <c r="AR106" s="50">
        <f t="shared" si="88"/>
        <v>0</v>
      </c>
      <c r="AS106" s="50">
        <f t="shared" si="88"/>
        <v>0</v>
      </c>
      <c r="AT106" s="50">
        <f t="shared" si="88"/>
        <v>0</v>
      </c>
      <c r="AU106" s="50">
        <f t="shared" si="88"/>
        <v>0</v>
      </c>
      <c r="AV106" s="50">
        <f t="shared" si="88"/>
        <v>0</v>
      </c>
      <c r="AW106" s="50">
        <f t="shared" si="88"/>
        <v>0</v>
      </c>
      <c r="AX106" s="50">
        <f t="shared" si="88"/>
        <v>0</v>
      </c>
      <c r="AY106" s="50">
        <f t="shared" si="88"/>
        <v>0</v>
      </c>
      <c r="AZ106" s="50">
        <f t="shared" si="88"/>
        <v>0</v>
      </c>
      <c r="BA106" s="50">
        <f t="shared" si="88"/>
        <v>0</v>
      </c>
      <c r="BB106" s="50">
        <f t="shared" si="88"/>
        <v>0</v>
      </c>
      <c r="BC106" s="443" t="e">
        <f>IF($B106&lt;&gt;"",VLOOKUP($B106,RESUMO!$A$11:$H$42,8),"")</f>
        <v>#REF!</v>
      </c>
      <c r="BD106" s="443" t="e">
        <f>IF($B106&lt;&gt;"",VLOOKUP($B106,RESUMO!$A$11:$H$42,6),"")</f>
        <v>#REF!</v>
      </c>
      <c r="BF106" s="424" t="e">
        <f t="shared" si="62"/>
        <v>#REF!</v>
      </c>
      <c r="BG106" s="441"/>
      <c r="BH106" s="297"/>
    </row>
    <row r="107" spans="1:60" s="295" customFormat="1">
      <c r="A107" s="292">
        <v>94</v>
      </c>
      <c r="B107" s="294"/>
      <c r="C107" s="141" t="s">
        <v>3051</v>
      </c>
      <c r="D107" s="139"/>
      <c r="E107" s="425"/>
      <c r="F107" s="425"/>
      <c r="G107" s="425"/>
      <c r="H107" s="425"/>
      <c r="I107" s="425"/>
      <c r="J107" s="425"/>
      <c r="K107" s="425"/>
      <c r="L107" s="425"/>
      <c r="M107" s="425"/>
      <c r="N107" s="425"/>
      <c r="O107" s="425"/>
      <c r="P107" s="425"/>
      <c r="Q107" s="425"/>
      <c r="R107" s="425"/>
      <c r="S107" s="425"/>
      <c r="T107" s="425"/>
      <c r="U107" s="425"/>
      <c r="V107" s="425"/>
      <c r="W107" s="425"/>
      <c r="X107" s="425"/>
      <c r="Y107" s="425"/>
      <c r="Z107" s="425"/>
      <c r="AA107" s="425"/>
      <c r="AB107" s="425"/>
      <c r="AC107" s="425"/>
      <c r="AD107" s="425"/>
      <c r="AE107" s="425"/>
      <c r="AF107" s="425"/>
      <c r="AG107" s="425"/>
      <c r="AH107" s="425"/>
      <c r="AI107" s="422"/>
      <c r="AJ107" s="422"/>
      <c r="AK107" s="425"/>
      <c r="AL107" s="425"/>
      <c r="AM107" s="425"/>
      <c r="AN107" s="425"/>
      <c r="AO107" s="425"/>
      <c r="AP107" s="425"/>
      <c r="AQ107" s="425"/>
      <c r="AR107" s="425"/>
      <c r="AS107" s="425"/>
      <c r="AT107" s="425"/>
      <c r="AU107" s="425"/>
      <c r="AV107" s="425"/>
      <c r="AW107" s="425"/>
      <c r="AX107" s="425"/>
      <c r="AY107" s="425"/>
      <c r="AZ107" s="425"/>
      <c r="BA107" s="425"/>
      <c r="BB107" s="425"/>
      <c r="BC107" s="140"/>
      <c r="BD107" s="140"/>
      <c r="BF107" s="424"/>
      <c r="BG107" s="442">
        <f>SUM(E107:BB107)</f>
        <v>0</v>
      </c>
      <c r="BH107" s="296"/>
    </row>
    <row r="108" spans="1:60" s="292" customFormat="1">
      <c r="A108" s="295">
        <v>95</v>
      </c>
      <c r="B108" s="291">
        <v>17</v>
      </c>
      <c r="C108" s="55" t="str">
        <f>IF($B108&lt;&gt;"",VLOOKUP($B108,ORC!$E:$N,4,0),"")</f>
        <v>PAVIMENTAÇÃO</v>
      </c>
      <c r="D108" s="49" t="e">
        <f>+BC108/BC$136</f>
        <v>#REF!</v>
      </c>
      <c r="E108" s="50">
        <f t="shared" ref="E108:AH108" si="89">IF(E109&lt;&gt;"",E109*$BC108,0)</f>
        <v>0</v>
      </c>
      <c r="F108" s="50">
        <f t="shared" si="89"/>
        <v>0</v>
      </c>
      <c r="G108" s="50">
        <f t="shared" si="89"/>
        <v>0</v>
      </c>
      <c r="H108" s="50">
        <f t="shared" si="89"/>
        <v>0</v>
      </c>
      <c r="I108" s="50">
        <f t="shared" si="89"/>
        <v>0</v>
      </c>
      <c r="J108" s="50">
        <f t="shared" si="89"/>
        <v>0</v>
      </c>
      <c r="K108" s="50">
        <f t="shared" si="89"/>
        <v>0</v>
      </c>
      <c r="L108" s="50">
        <f t="shared" si="89"/>
        <v>0</v>
      </c>
      <c r="M108" s="50">
        <f t="shared" si="89"/>
        <v>0</v>
      </c>
      <c r="N108" s="50">
        <f t="shared" si="89"/>
        <v>0</v>
      </c>
      <c r="O108" s="50">
        <f t="shared" si="89"/>
        <v>0</v>
      </c>
      <c r="P108" s="50">
        <f t="shared" si="89"/>
        <v>0</v>
      </c>
      <c r="Q108" s="50">
        <f t="shared" si="89"/>
        <v>0</v>
      </c>
      <c r="R108" s="50">
        <f t="shared" si="89"/>
        <v>0</v>
      </c>
      <c r="S108" s="50">
        <f t="shared" si="89"/>
        <v>0</v>
      </c>
      <c r="T108" s="50">
        <f t="shared" si="89"/>
        <v>0</v>
      </c>
      <c r="U108" s="50">
        <f t="shared" si="89"/>
        <v>0</v>
      </c>
      <c r="V108" s="50">
        <f t="shared" si="89"/>
        <v>0</v>
      </c>
      <c r="W108" s="50">
        <f t="shared" si="89"/>
        <v>0</v>
      </c>
      <c r="X108" s="50">
        <f t="shared" si="89"/>
        <v>0</v>
      </c>
      <c r="Y108" s="50">
        <f t="shared" si="89"/>
        <v>0</v>
      </c>
      <c r="Z108" s="50">
        <f t="shared" si="89"/>
        <v>0</v>
      </c>
      <c r="AA108" s="50">
        <f t="shared" si="89"/>
        <v>0</v>
      </c>
      <c r="AB108" s="50">
        <f t="shared" si="89"/>
        <v>0</v>
      </c>
      <c r="AC108" s="50">
        <f t="shared" si="89"/>
        <v>0</v>
      </c>
      <c r="AD108" s="50">
        <f t="shared" si="89"/>
        <v>0</v>
      </c>
      <c r="AE108" s="50">
        <f t="shared" si="89"/>
        <v>0</v>
      </c>
      <c r="AF108" s="50">
        <f t="shared" si="89"/>
        <v>0</v>
      </c>
      <c r="AG108" s="50">
        <f t="shared" si="89"/>
        <v>0</v>
      </c>
      <c r="AH108" s="50">
        <f t="shared" si="89"/>
        <v>0</v>
      </c>
      <c r="AI108" s="423"/>
      <c r="AJ108" s="423"/>
      <c r="AK108" s="50">
        <f t="shared" ref="AK108:BB108" si="90">IF(AK109&lt;&gt;"",AK109*$BC108,0)</f>
        <v>0</v>
      </c>
      <c r="AL108" s="50">
        <f t="shared" si="90"/>
        <v>0</v>
      </c>
      <c r="AM108" s="50">
        <f t="shared" si="90"/>
        <v>0</v>
      </c>
      <c r="AN108" s="50">
        <f t="shared" si="90"/>
        <v>0</v>
      </c>
      <c r="AO108" s="50">
        <f t="shared" si="90"/>
        <v>0</v>
      </c>
      <c r="AP108" s="50">
        <f t="shared" si="90"/>
        <v>0</v>
      </c>
      <c r="AQ108" s="50">
        <f t="shared" si="90"/>
        <v>0</v>
      </c>
      <c r="AR108" s="50">
        <f t="shared" si="90"/>
        <v>0</v>
      </c>
      <c r="AS108" s="50">
        <f t="shared" si="90"/>
        <v>0</v>
      </c>
      <c r="AT108" s="50">
        <f t="shared" si="90"/>
        <v>0</v>
      </c>
      <c r="AU108" s="50">
        <f t="shared" si="90"/>
        <v>0</v>
      </c>
      <c r="AV108" s="50">
        <f t="shared" si="90"/>
        <v>0</v>
      </c>
      <c r="AW108" s="50">
        <f t="shared" si="90"/>
        <v>0</v>
      </c>
      <c r="AX108" s="50">
        <f t="shared" si="90"/>
        <v>0</v>
      </c>
      <c r="AY108" s="50">
        <f t="shared" si="90"/>
        <v>0</v>
      </c>
      <c r="AZ108" s="50">
        <f t="shared" si="90"/>
        <v>0</v>
      </c>
      <c r="BA108" s="50">
        <f t="shared" si="90"/>
        <v>0</v>
      </c>
      <c r="BB108" s="50">
        <f t="shared" si="90"/>
        <v>0</v>
      </c>
      <c r="BC108" s="443" t="e">
        <f>IF($B108&lt;&gt;"",VLOOKUP($B108,RESUMO!$A$11:$H$42,8),"")</f>
        <v>#REF!</v>
      </c>
      <c r="BD108" s="443" t="e">
        <f>IF($B108&lt;&gt;"",VLOOKUP($B108,RESUMO!$A$11:$H$42,6),"")</f>
        <v>#REF!</v>
      </c>
      <c r="BF108" s="424" t="e">
        <f t="shared" si="62"/>
        <v>#REF!</v>
      </c>
      <c r="BG108" s="441"/>
      <c r="BH108" s="297"/>
    </row>
    <row r="109" spans="1:60" s="295" customFormat="1">
      <c r="A109" s="292">
        <v>96</v>
      </c>
      <c r="B109" s="294"/>
      <c r="C109" s="141" t="s">
        <v>3051</v>
      </c>
      <c r="D109" s="139"/>
      <c r="E109" s="425"/>
      <c r="F109" s="425"/>
      <c r="G109" s="425"/>
      <c r="H109" s="425"/>
      <c r="I109" s="425"/>
      <c r="J109" s="425"/>
      <c r="K109" s="425"/>
      <c r="L109" s="425"/>
      <c r="M109" s="425"/>
      <c r="N109" s="425"/>
      <c r="O109" s="425"/>
      <c r="P109" s="425"/>
      <c r="Q109" s="425"/>
      <c r="R109" s="425"/>
      <c r="S109" s="425"/>
      <c r="T109" s="425"/>
      <c r="U109" s="425"/>
      <c r="V109" s="425"/>
      <c r="W109" s="425"/>
      <c r="X109" s="425"/>
      <c r="Y109" s="425"/>
      <c r="Z109" s="425"/>
      <c r="AA109" s="425"/>
      <c r="AB109" s="425"/>
      <c r="AC109" s="425"/>
      <c r="AD109" s="425"/>
      <c r="AE109" s="425"/>
      <c r="AF109" s="425"/>
      <c r="AG109" s="425"/>
      <c r="AH109" s="425"/>
      <c r="AI109" s="422"/>
      <c r="AJ109" s="422"/>
      <c r="AK109" s="425"/>
      <c r="AL109" s="425"/>
      <c r="AM109" s="425"/>
      <c r="AN109" s="425"/>
      <c r="AO109" s="425"/>
      <c r="AP109" s="425"/>
      <c r="AQ109" s="425"/>
      <c r="AR109" s="425"/>
      <c r="AS109" s="425"/>
      <c r="AT109" s="425"/>
      <c r="AU109" s="425"/>
      <c r="AV109" s="425"/>
      <c r="AW109" s="425"/>
      <c r="AX109" s="425"/>
      <c r="AY109" s="425"/>
      <c r="AZ109" s="425"/>
      <c r="BA109" s="425"/>
      <c r="BB109" s="425"/>
      <c r="BC109" s="140"/>
      <c r="BD109" s="140"/>
      <c r="BF109" s="424"/>
      <c r="BG109" s="442">
        <f>SUM(E109:BB109)</f>
        <v>0</v>
      </c>
      <c r="BH109" s="296"/>
    </row>
    <row r="110" spans="1:60" s="292" customFormat="1">
      <c r="A110" s="295">
        <v>97</v>
      </c>
      <c r="B110" s="291">
        <v>18</v>
      </c>
      <c r="C110" s="55" t="str">
        <f>IF($B110&lt;&gt;"",VLOOKUP($B110,ORC!$E:$N,4,0),"")</f>
        <v xml:space="preserve">LIMPEZA FINAL DE OBRA </v>
      </c>
      <c r="D110" s="49" t="e">
        <f>+BC110/BC$136</f>
        <v>#REF!</v>
      </c>
      <c r="E110" s="50">
        <f t="shared" ref="E110:AH110" si="91">IF(E111&lt;&gt;"",E111*$BC110,0)</f>
        <v>0</v>
      </c>
      <c r="F110" s="50">
        <f t="shared" si="91"/>
        <v>0</v>
      </c>
      <c r="G110" s="50">
        <f t="shared" si="91"/>
        <v>0</v>
      </c>
      <c r="H110" s="50">
        <f t="shared" si="91"/>
        <v>0</v>
      </c>
      <c r="I110" s="50">
        <f t="shared" si="91"/>
        <v>0</v>
      </c>
      <c r="J110" s="50">
        <f t="shared" si="91"/>
        <v>0</v>
      </c>
      <c r="K110" s="50">
        <f t="shared" si="91"/>
        <v>0</v>
      </c>
      <c r="L110" s="50">
        <f t="shared" si="91"/>
        <v>0</v>
      </c>
      <c r="M110" s="50">
        <f t="shared" si="91"/>
        <v>0</v>
      </c>
      <c r="N110" s="50">
        <f t="shared" si="91"/>
        <v>0</v>
      </c>
      <c r="O110" s="50">
        <f t="shared" si="91"/>
        <v>0</v>
      </c>
      <c r="P110" s="50">
        <f t="shared" si="91"/>
        <v>0</v>
      </c>
      <c r="Q110" s="50">
        <f t="shared" si="91"/>
        <v>0</v>
      </c>
      <c r="R110" s="50">
        <f t="shared" si="91"/>
        <v>0</v>
      </c>
      <c r="S110" s="50">
        <f t="shared" si="91"/>
        <v>0</v>
      </c>
      <c r="T110" s="50">
        <f t="shared" si="91"/>
        <v>0</v>
      </c>
      <c r="U110" s="50">
        <f t="shared" si="91"/>
        <v>0</v>
      </c>
      <c r="V110" s="50">
        <f t="shared" si="91"/>
        <v>0</v>
      </c>
      <c r="W110" s="50">
        <f t="shared" si="91"/>
        <v>0</v>
      </c>
      <c r="X110" s="50">
        <f t="shared" si="91"/>
        <v>0</v>
      </c>
      <c r="Y110" s="50">
        <f t="shared" si="91"/>
        <v>0</v>
      </c>
      <c r="Z110" s="50">
        <f t="shared" si="91"/>
        <v>0</v>
      </c>
      <c r="AA110" s="50">
        <f t="shared" si="91"/>
        <v>0</v>
      </c>
      <c r="AB110" s="50">
        <f t="shared" si="91"/>
        <v>0</v>
      </c>
      <c r="AC110" s="50">
        <f t="shared" si="91"/>
        <v>0</v>
      </c>
      <c r="AD110" s="50">
        <f t="shared" si="91"/>
        <v>0</v>
      </c>
      <c r="AE110" s="50">
        <f t="shared" si="91"/>
        <v>0</v>
      </c>
      <c r="AF110" s="50">
        <f t="shared" si="91"/>
        <v>0</v>
      </c>
      <c r="AG110" s="50">
        <f t="shared" si="91"/>
        <v>0</v>
      </c>
      <c r="AH110" s="50">
        <f t="shared" si="91"/>
        <v>0</v>
      </c>
      <c r="AI110" s="423"/>
      <c r="AJ110" s="423"/>
      <c r="AK110" s="50">
        <f t="shared" ref="AK110:BB110" si="92">IF(AK111&lt;&gt;"",AK111*$BC110,0)</f>
        <v>0</v>
      </c>
      <c r="AL110" s="50">
        <f t="shared" si="92"/>
        <v>0</v>
      </c>
      <c r="AM110" s="50">
        <f t="shared" si="92"/>
        <v>0</v>
      </c>
      <c r="AN110" s="50">
        <f t="shared" si="92"/>
        <v>0</v>
      </c>
      <c r="AO110" s="50">
        <f t="shared" si="92"/>
        <v>0</v>
      </c>
      <c r="AP110" s="50">
        <f t="shared" si="92"/>
        <v>0</v>
      </c>
      <c r="AQ110" s="50">
        <f t="shared" si="92"/>
        <v>0</v>
      </c>
      <c r="AR110" s="50">
        <f t="shared" si="92"/>
        <v>0</v>
      </c>
      <c r="AS110" s="50">
        <f t="shared" si="92"/>
        <v>0</v>
      </c>
      <c r="AT110" s="50">
        <f t="shared" si="92"/>
        <v>0</v>
      </c>
      <c r="AU110" s="50">
        <f t="shared" si="92"/>
        <v>0</v>
      </c>
      <c r="AV110" s="50">
        <f t="shared" si="92"/>
        <v>0</v>
      </c>
      <c r="AW110" s="50">
        <f t="shared" si="92"/>
        <v>0</v>
      </c>
      <c r="AX110" s="50">
        <f t="shared" si="92"/>
        <v>0</v>
      </c>
      <c r="AY110" s="50">
        <f t="shared" si="92"/>
        <v>0</v>
      </c>
      <c r="AZ110" s="50">
        <f t="shared" si="92"/>
        <v>0</v>
      </c>
      <c r="BA110" s="50">
        <f t="shared" si="92"/>
        <v>0</v>
      </c>
      <c r="BB110" s="50">
        <f t="shared" si="92"/>
        <v>0</v>
      </c>
      <c r="BC110" s="443" t="e">
        <f>IF($B110&lt;&gt;"",VLOOKUP($B110,RESUMO!$A$11:$H$42,8),"")</f>
        <v>#REF!</v>
      </c>
      <c r="BD110" s="443" t="e">
        <f>IF($B110&lt;&gt;"",VLOOKUP($B110,RESUMO!$A$11:$H$42,6),"")</f>
        <v>#REF!</v>
      </c>
      <c r="BF110" s="424" t="e">
        <f t="shared" si="62"/>
        <v>#REF!</v>
      </c>
      <c r="BG110" s="441"/>
      <c r="BH110" s="297"/>
    </row>
    <row r="111" spans="1:60" s="295" customFormat="1">
      <c r="A111" s="292">
        <v>98</v>
      </c>
      <c r="B111" s="294"/>
      <c r="C111" s="141" t="s">
        <v>3051</v>
      </c>
      <c r="D111" s="139"/>
      <c r="E111" s="425"/>
      <c r="F111" s="425"/>
      <c r="G111" s="425"/>
      <c r="H111" s="425"/>
      <c r="I111" s="425"/>
      <c r="J111" s="425"/>
      <c r="K111" s="425"/>
      <c r="L111" s="425"/>
      <c r="M111" s="425"/>
      <c r="N111" s="425"/>
      <c r="O111" s="425"/>
      <c r="P111" s="425"/>
      <c r="Q111" s="425"/>
      <c r="R111" s="425"/>
      <c r="S111" s="425"/>
      <c r="T111" s="425"/>
      <c r="U111" s="425"/>
      <c r="V111" s="425"/>
      <c r="W111" s="425"/>
      <c r="X111" s="425"/>
      <c r="Y111" s="425"/>
      <c r="Z111" s="425"/>
      <c r="AA111" s="425"/>
      <c r="AB111" s="425"/>
      <c r="AC111" s="425"/>
      <c r="AD111" s="425"/>
      <c r="AE111" s="425"/>
      <c r="AF111" s="425"/>
      <c r="AG111" s="425"/>
      <c r="AH111" s="425"/>
      <c r="AI111" s="422"/>
      <c r="AJ111" s="422"/>
      <c r="AK111" s="425"/>
      <c r="AL111" s="425"/>
      <c r="AM111" s="425"/>
      <c r="AN111" s="425"/>
      <c r="AO111" s="425"/>
      <c r="AP111" s="425"/>
      <c r="AQ111" s="425"/>
      <c r="AR111" s="425"/>
      <c r="AS111" s="425"/>
      <c r="AT111" s="425"/>
      <c r="AU111" s="425"/>
      <c r="AV111" s="425"/>
      <c r="AW111" s="425"/>
      <c r="AX111" s="425"/>
      <c r="AY111" s="425"/>
      <c r="AZ111" s="425"/>
      <c r="BA111" s="425"/>
      <c r="BB111" s="425"/>
      <c r="BC111" s="140"/>
      <c r="BD111" s="140"/>
      <c r="BF111" s="424"/>
      <c r="BG111" s="442">
        <f>SUM(E111:BB111)</f>
        <v>0</v>
      </c>
      <c r="BH111" s="296"/>
    </row>
    <row r="112" spans="1:60" s="292" customFormat="1">
      <c r="A112" s="295">
        <v>99</v>
      </c>
      <c r="B112" s="291">
        <v>19</v>
      </c>
      <c r="C112" s="55" t="e">
        <f>IF($B112&lt;&gt;"",VLOOKUP($B112,ORC!$E:$N,4,0),"")</f>
        <v>#N/A</v>
      </c>
      <c r="D112" s="49" t="e">
        <f>+BC112/BC$136</f>
        <v>#REF!</v>
      </c>
      <c r="E112" s="50">
        <f t="shared" ref="E112:AH112" si="93">IF(E113&lt;&gt;"",E113*$BC112,0)</f>
        <v>0</v>
      </c>
      <c r="F112" s="50">
        <f t="shared" si="93"/>
        <v>0</v>
      </c>
      <c r="G112" s="50">
        <f t="shared" si="93"/>
        <v>0</v>
      </c>
      <c r="H112" s="50">
        <f t="shared" si="93"/>
        <v>0</v>
      </c>
      <c r="I112" s="50">
        <f t="shared" si="93"/>
        <v>0</v>
      </c>
      <c r="J112" s="50">
        <f t="shared" si="93"/>
        <v>0</v>
      </c>
      <c r="K112" s="50">
        <f t="shared" si="93"/>
        <v>0</v>
      </c>
      <c r="L112" s="50">
        <f t="shared" si="93"/>
        <v>0</v>
      </c>
      <c r="M112" s="50">
        <f t="shared" si="93"/>
        <v>0</v>
      </c>
      <c r="N112" s="50">
        <f t="shared" si="93"/>
        <v>0</v>
      </c>
      <c r="O112" s="50">
        <f t="shared" si="93"/>
        <v>0</v>
      </c>
      <c r="P112" s="50">
        <f t="shared" si="93"/>
        <v>0</v>
      </c>
      <c r="Q112" s="50">
        <f t="shared" si="93"/>
        <v>0</v>
      </c>
      <c r="R112" s="50">
        <f t="shared" si="93"/>
        <v>0</v>
      </c>
      <c r="S112" s="50">
        <f t="shared" si="93"/>
        <v>0</v>
      </c>
      <c r="T112" s="50">
        <f t="shared" si="93"/>
        <v>0</v>
      </c>
      <c r="U112" s="50">
        <f t="shared" si="93"/>
        <v>0</v>
      </c>
      <c r="V112" s="50">
        <f t="shared" si="93"/>
        <v>0</v>
      </c>
      <c r="W112" s="50">
        <f t="shared" si="93"/>
        <v>0</v>
      </c>
      <c r="X112" s="50">
        <f t="shared" si="93"/>
        <v>0</v>
      </c>
      <c r="Y112" s="50">
        <f t="shared" si="93"/>
        <v>0</v>
      </c>
      <c r="Z112" s="50">
        <f t="shared" si="93"/>
        <v>0</v>
      </c>
      <c r="AA112" s="50">
        <f t="shared" si="93"/>
        <v>0</v>
      </c>
      <c r="AB112" s="50">
        <f t="shared" si="93"/>
        <v>0</v>
      </c>
      <c r="AC112" s="50">
        <f t="shared" si="93"/>
        <v>0</v>
      </c>
      <c r="AD112" s="50">
        <f t="shared" si="93"/>
        <v>0</v>
      </c>
      <c r="AE112" s="50">
        <f t="shared" si="93"/>
        <v>0</v>
      </c>
      <c r="AF112" s="50">
        <f t="shared" si="93"/>
        <v>0</v>
      </c>
      <c r="AG112" s="50">
        <f t="shared" si="93"/>
        <v>0</v>
      </c>
      <c r="AH112" s="50">
        <f t="shared" si="93"/>
        <v>0</v>
      </c>
      <c r="AI112" s="423"/>
      <c r="AJ112" s="423"/>
      <c r="AK112" s="50">
        <f t="shared" ref="AK112:BB112" si="94">IF(AK113&lt;&gt;"",AK113*$BC112,0)</f>
        <v>0</v>
      </c>
      <c r="AL112" s="50">
        <f t="shared" si="94"/>
        <v>0</v>
      </c>
      <c r="AM112" s="50">
        <f t="shared" si="94"/>
        <v>0</v>
      </c>
      <c r="AN112" s="50">
        <f t="shared" si="94"/>
        <v>0</v>
      </c>
      <c r="AO112" s="50">
        <f t="shared" si="94"/>
        <v>0</v>
      </c>
      <c r="AP112" s="50">
        <f t="shared" si="94"/>
        <v>0</v>
      </c>
      <c r="AQ112" s="50">
        <f t="shared" si="94"/>
        <v>0</v>
      </c>
      <c r="AR112" s="50">
        <f t="shared" si="94"/>
        <v>0</v>
      </c>
      <c r="AS112" s="50">
        <f t="shared" si="94"/>
        <v>0</v>
      </c>
      <c r="AT112" s="50">
        <f t="shared" si="94"/>
        <v>0</v>
      </c>
      <c r="AU112" s="50">
        <f t="shared" si="94"/>
        <v>0</v>
      </c>
      <c r="AV112" s="50">
        <f t="shared" si="94"/>
        <v>0</v>
      </c>
      <c r="AW112" s="50">
        <f t="shared" si="94"/>
        <v>0</v>
      </c>
      <c r="AX112" s="50">
        <f t="shared" si="94"/>
        <v>0</v>
      </c>
      <c r="AY112" s="50">
        <f t="shared" si="94"/>
        <v>0</v>
      </c>
      <c r="AZ112" s="50">
        <f t="shared" si="94"/>
        <v>0</v>
      </c>
      <c r="BA112" s="50">
        <f t="shared" si="94"/>
        <v>0</v>
      </c>
      <c r="BB112" s="50">
        <f t="shared" si="94"/>
        <v>0</v>
      </c>
      <c r="BC112" s="443" t="e">
        <f>IF($B112&lt;&gt;"",VLOOKUP($B112,RESUMO!$A$11:$H$42,8),"")</f>
        <v>#REF!</v>
      </c>
      <c r="BD112" s="443" t="e">
        <f>IF($B112&lt;&gt;"",VLOOKUP($B112,RESUMO!$A$11:$H$42,6),"")</f>
        <v>#REF!</v>
      </c>
      <c r="BF112" s="424" t="e">
        <f t="shared" si="62"/>
        <v>#REF!</v>
      </c>
      <c r="BG112" s="441"/>
      <c r="BH112" s="297"/>
    </row>
    <row r="113" spans="1:60" s="295" customFormat="1">
      <c r="A113" s="292">
        <v>100</v>
      </c>
      <c r="B113" s="294"/>
      <c r="C113" s="141" t="s">
        <v>3051</v>
      </c>
      <c r="D113" s="139"/>
      <c r="E113" s="425"/>
      <c r="F113" s="425"/>
      <c r="G113" s="425"/>
      <c r="H113" s="425"/>
      <c r="I113" s="425"/>
      <c r="J113" s="425"/>
      <c r="K113" s="425"/>
      <c r="L113" s="425"/>
      <c r="M113" s="425"/>
      <c r="N113" s="425"/>
      <c r="O113" s="425"/>
      <c r="P113" s="425"/>
      <c r="Q113" s="425"/>
      <c r="R113" s="425"/>
      <c r="S113" s="425"/>
      <c r="T113" s="425"/>
      <c r="U113" s="425"/>
      <c r="V113" s="425"/>
      <c r="W113" s="425"/>
      <c r="X113" s="425"/>
      <c r="Y113" s="425"/>
      <c r="Z113" s="425"/>
      <c r="AA113" s="425"/>
      <c r="AB113" s="425"/>
      <c r="AC113" s="425"/>
      <c r="AD113" s="425"/>
      <c r="AE113" s="425"/>
      <c r="AF113" s="425"/>
      <c r="AG113" s="425"/>
      <c r="AH113" s="425"/>
      <c r="AI113" s="422"/>
      <c r="AJ113" s="422"/>
      <c r="AK113" s="425"/>
      <c r="AL113" s="425"/>
      <c r="AM113" s="425"/>
      <c r="AN113" s="425"/>
      <c r="AO113" s="425"/>
      <c r="AP113" s="425"/>
      <c r="AQ113" s="425"/>
      <c r="AR113" s="425"/>
      <c r="AS113" s="425"/>
      <c r="AT113" s="425"/>
      <c r="AU113" s="425"/>
      <c r="AV113" s="425"/>
      <c r="AW113" s="425"/>
      <c r="AX113" s="425"/>
      <c r="AY113" s="425"/>
      <c r="AZ113" s="425"/>
      <c r="BA113" s="425"/>
      <c r="BB113" s="425"/>
      <c r="BC113" s="140"/>
      <c r="BD113" s="140"/>
      <c r="BF113" s="424"/>
      <c r="BG113" s="442">
        <f>SUM(E113:BB113)</f>
        <v>0</v>
      </c>
      <c r="BH113" s="296"/>
    </row>
    <row r="114" spans="1:60" s="292" customFormat="1">
      <c r="A114" s="295">
        <v>101</v>
      </c>
      <c r="B114" s="291">
        <v>20</v>
      </c>
      <c r="C114" s="55" t="e">
        <f>IF($B114&lt;&gt;"",VLOOKUP($B114,ORC!$E:$N,4,0),"")</f>
        <v>#N/A</v>
      </c>
      <c r="D114" s="49" t="e">
        <f>+BC114/BC$136</f>
        <v>#REF!</v>
      </c>
      <c r="E114" s="50">
        <f t="shared" ref="E114:AH114" si="95">IF(E115&lt;&gt;"",E115*$BC114,0)</f>
        <v>0</v>
      </c>
      <c r="F114" s="50">
        <f t="shared" si="95"/>
        <v>0</v>
      </c>
      <c r="G114" s="50">
        <f t="shared" si="95"/>
        <v>0</v>
      </c>
      <c r="H114" s="50">
        <f t="shared" si="95"/>
        <v>0</v>
      </c>
      <c r="I114" s="50">
        <f t="shared" si="95"/>
        <v>0</v>
      </c>
      <c r="J114" s="50">
        <f t="shared" si="95"/>
        <v>0</v>
      </c>
      <c r="K114" s="50">
        <f t="shared" si="95"/>
        <v>0</v>
      </c>
      <c r="L114" s="50">
        <f t="shared" si="95"/>
        <v>0</v>
      </c>
      <c r="M114" s="50">
        <f t="shared" si="95"/>
        <v>0</v>
      </c>
      <c r="N114" s="50">
        <f t="shared" si="95"/>
        <v>0</v>
      </c>
      <c r="O114" s="50">
        <f t="shared" si="95"/>
        <v>0</v>
      </c>
      <c r="P114" s="50">
        <f t="shared" si="95"/>
        <v>0</v>
      </c>
      <c r="Q114" s="50">
        <f t="shared" si="95"/>
        <v>0</v>
      </c>
      <c r="R114" s="50">
        <f t="shared" si="95"/>
        <v>0</v>
      </c>
      <c r="S114" s="50">
        <f t="shared" si="95"/>
        <v>0</v>
      </c>
      <c r="T114" s="50">
        <f t="shared" si="95"/>
        <v>0</v>
      </c>
      <c r="U114" s="50">
        <f t="shared" si="95"/>
        <v>0</v>
      </c>
      <c r="V114" s="50">
        <f t="shared" si="95"/>
        <v>0</v>
      </c>
      <c r="W114" s="50">
        <f t="shared" si="95"/>
        <v>0</v>
      </c>
      <c r="X114" s="50">
        <f t="shared" si="95"/>
        <v>0</v>
      </c>
      <c r="Y114" s="50">
        <f t="shared" si="95"/>
        <v>0</v>
      </c>
      <c r="Z114" s="50">
        <f t="shared" si="95"/>
        <v>0</v>
      </c>
      <c r="AA114" s="50">
        <f t="shared" si="95"/>
        <v>0</v>
      </c>
      <c r="AB114" s="50">
        <f t="shared" si="95"/>
        <v>0</v>
      </c>
      <c r="AC114" s="50">
        <f t="shared" si="95"/>
        <v>0</v>
      </c>
      <c r="AD114" s="50">
        <f t="shared" si="95"/>
        <v>0</v>
      </c>
      <c r="AE114" s="50">
        <f t="shared" si="95"/>
        <v>0</v>
      </c>
      <c r="AF114" s="50">
        <f t="shared" si="95"/>
        <v>0</v>
      </c>
      <c r="AG114" s="50">
        <f t="shared" si="95"/>
        <v>0</v>
      </c>
      <c r="AH114" s="50">
        <f t="shared" si="95"/>
        <v>0</v>
      </c>
      <c r="AI114" s="423"/>
      <c r="AJ114" s="423"/>
      <c r="AK114" s="50">
        <f t="shared" ref="AK114:BB114" si="96">IF(AK115&lt;&gt;"",AK115*$BC114,0)</f>
        <v>0</v>
      </c>
      <c r="AL114" s="50">
        <f t="shared" si="96"/>
        <v>0</v>
      </c>
      <c r="AM114" s="50">
        <f t="shared" si="96"/>
        <v>0</v>
      </c>
      <c r="AN114" s="50">
        <f t="shared" si="96"/>
        <v>0</v>
      </c>
      <c r="AO114" s="50">
        <f t="shared" si="96"/>
        <v>0</v>
      </c>
      <c r="AP114" s="50">
        <f t="shared" si="96"/>
        <v>0</v>
      </c>
      <c r="AQ114" s="50">
        <f t="shared" si="96"/>
        <v>0</v>
      </c>
      <c r="AR114" s="50">
        <f t="shared" si="96"/>
        <v>0</v>
      </c>
      <c r="AS114" s="50">
        <f t="shared" si="96"/>
        <v>0</v>
      </c>
      <c r="AT114" s="50">
        <f t="shared" si="96"/>
        <v>0</v>
      </c>
      <c r="AU114" s="50">
        <f t="shared" si="96"/>
        <v>0</v>
      </c>
      <c r="AV114" s="50">
        <f t="shared" si="96"/>
        <v>0</v>
      </c>
      <c r="AW114" s="50">
        <f t="shared" si="96"/>
        <v>0</v>
      </c>
      <c r="AX114" s="50">
        <f t="shared" si="96"/>
        <v>0</v>
      </c>
      <c r="AY114" s="50">
        <f t="shared" si="96"/>
        <v>0</v>
      </c>
      <c r="AZ114" s="50">
        <f t="shared" si="96"/>
        <v>0</v>
      </c>
      <c r="BA114" s="50">
        <f t="shared" si="96"/>
        <v>0</v>
      </c>
      <c r="BB114" s="50">
        <f t="shared" si="96"/>
        <v>0</v>
      </c>
      <c r="BC114" s="443" t="e">
        <f>IF($B114&lt;&gt;"",VLOOKUP($B114,RESUMO!$A$11:$H$42,8),"")</f>
        <v>#REF!</v>
      </c>
      <c r="BD114" s="443" t="e">
        <f>IF($B114&lt;&gt;"",VLOOKUP($B114,RESUMO!$A$11:$H$42,6),"")</f>
        <v>#REF!</v>
      </c>
      <c r="BF114" s="424" t="e">
        <f t="shared" si="62"/>
        <v>#REF!</v>
      </c>
      <c r="BG114" s="441"/>
      <c r="BH114" s="297"/>
    </row>
    <row r="115" spans="1:60" s="295" customFormat="1">
      <c r="A115" s="292">
        <v>102</v>
      </c>
      <c r="B115" s="294"/>
      <c r="C115" s="141" t="s">
        <v>3051</v>
      </c>
      <c r="D115" s="139"/>
      <c r="E115" s="425"/>
      <c r="F115" s="425"/>
      <c r="G115" s="425"/>
      <c r="H115" s="425"/>
      <c r="I115" s="425"/>
      <c r="J115" s="425"/>
      <c r="K115" s="425"/>
      <c r="L115" s="425"/>
      <c r="M115" s="425"/>
      <c r="N115" s="425"/>
      <c r="O115" s="425"/>
      <c r="P115" s="425"/>
      <c r="Q115" s="425"/>
      <c r="R115" s="425"/>
      <c r="S115" s="425"/>
      <c r="T115" s="425"/>
      <c r="U115" s="425"/>
      <c r="V115" s="425"/>
      <c r="W115" s="425"/>
      <c r="X115" s="425"/>
      <c r="Y115" s="425"/>
      <c r="Z115" s="425"/>
      <c r="AA115" s="425"/>
      <c r="AB115" s="425"/>
      <c r="AC115" s="425"/>
      <c r="AD115" s="425"/>
      <c r="AE115" s="425"/>
      <c r="AF115" s="425"/>
      <c r="AG115" s="425"/>
      <c r="AH115" s="425"/>
      <c r="AI115" s="422"/>
      <c r="AJ115" s="422"/>
      <c r="AK115" s="425"/>
      <c r="AL115" s="425"/>
      <c r="AM115" s="425"/>
      <c r="AN115" s="425"/>
      <c r="AO115" s="425"/>
      <c r="AP115" s="425"/>
      <c r="AQ115" s="425"/>
      <c r="AR115" s="425"/>
      <c r="AS115" s="425"/>
      <c r="AT115" s="425"/>
      <c r="AU115" s="425"/>
      <c r="AV115" s="425"/>
      <c r="AW115" s="425"/>
      <c r="AX115" s="425"/>
      <c r="AY115" s="425"/>
      <c r="AZ115" s="425"/>
      <c r="BA115" s="425"/>
      <c r="BB115" s="425"/>
      <c r="BC115" s="140"/>
      <c r="BD115" s="140"/>
      <c r="BF115" s="424"/>
      <c r="BG115" s="442">
        <f>SUM(E115:BB115)</f>
        <v>0</v>
      </c>
      <c r="BH115" s="296"/>
    </row>
    <row r="116" spans="1:60" s="292" customFormat="1">
      <c r="A116" s="295">
        <v>103</v>
      </c>
      <c r="B116" s="291">
        <v>21</v>
      </c>
      <c r="C116" s="55" t="e">
        <f>IF($B116&lt;&gt;"",VLOOKUP($B116,ORC!$E:$N,4,0),"")</f>
        <v>#N/A</v>
      </c>
      <c r="D116" s="49" t="e">
        <f>+BC116/BC$136</f>
        <v>#REF!</v>
      </c>
      <c r="E116" s="50">
        <f t="shared" ref="E116:AH116" si="97">IF(E117&lt;&gt;"",E117*$BC116,0)</f>
        <v>0</v>
      </c>
      <c r="F116" s="50">
        <f t="shared" si="97"/>
        <v>0</v>
      </c>
      <c r="G116" s="50">
        <f t="shared" si="97"/>
        <v>0</v>
      </c>
      <c r="H116" s="50">
        <f t="shared" si="97"/>
        <v>0</v>
      </c>
      <c r="I116" s="50">
        <f t="shared" si="97"/>
        <v>0</v>
      </c>
      <c r="J116" s="50">
        <f t="shared" si="97"/>
        <v>0</v>
      </c>
      <c r="K116" s="50">
        <f t="shared" si="97"/>
        <v>0</v>
      </c>
      <c r="L116" s="50">
        <f t="shared" si="97"/>
        <v>0</v>
      </c>
      <c r="M116" s="50">
        <f t="shared" si="97"/>
        <v>0</v>
      </c>
      <c r="N116" s="50">
        <f t="shared" si="97"/>
        <v>0</v>
      </c>
      <c r="O116" s="50">
        <f t="shared" si="97"/>
        <v>0</v>
      </c>
      <c r="P116" s="50">
        <f t="shared" si="97"/>
        <v>0</v>
      </c>
      <c r="Q116" s="50">
        <f t="shared" si="97"/>
        <v>0</v>
      </c>
      <c r="R116" s="50">
        <f t="shared" si="97"/>
        <v>0</v>
      </c>
      <c r="S116" s="50">
        <f t="shared" si="97"/>
        <v>0</v>
      </c>
      <c r="T116" s="50">
        <f t="shared" si="97"/>
        <v>0</v>
      </c>
      <c r="U116" s="50">
        <f t="shared" si="97"/>
        <v>0</v>
      </c>
      <c r="V116" s="50">
        <f t="shared" si="97"/>
        <v>0</v>
      </c>
      <c r="W116" s="50">
        <f t="shared" si="97"/>
        <v>0</v>
      </c>
      <c r="X116" s="50">
        <f t="shared" si="97"/>
        <v>0</v>
      </c>
      <c r="Y116" s="50">
        <f t="shared" si="97"/>
        <v>0</v>
      </c>
      <c r="Z116" s="50">
        <f t="shared" si="97"/>
        <v>0</v>
      </c>
      <c r="AA116" s="50">
        <f t="shared" si="97"/>
        <v>0</v>
      </c>
      <c r="AB116" s="50">
        <f t="shared" si="97"/>
        <v>0</v>
      </c>
      <c r="AC116" s="50">
        <f t="shared" si="97"/>
        <v>0</v>
      </c>
      <c r="AD116" s="50">
        <f t="shared" si="97"/>
        <v>0</v>
      </c>
      <c r="AE116" s="50">
        <f t="shared" si="97"/>
        <v>0</v>
      </c>
      <c r="AF116" s="50">
        <f t="shared" si="97"/>
        <v>0</v>
      </c>
      <c r="AG116" s="50">
        <f t="shared" si="97"/>
        <v>0</v>
      </c>
      <c r="AH116" s="50">
        <f t="shared" si="97"/>
        <v>0</v>
      </c>
      <c r="AI116" s="423"/>
      <c r="AJ116" s="423"/>
      <c r="AK116" s="50">
        <f t="shared" ref="AK116:BB116" si="98">IF(AK117&lt;&gt;"",AK117*$BC116,0)</f>
        <v>0</v>
      </c>
      <c r="AL116" s="50">
        <f t="shared" si="98"/>
        <v>0</v>
      </c>
      <c r="AM116" s="50">
        <f t="shared" si="98"/>
        <v>0</v>
      </c>
      <c r="AN116" s="50">
        <f t="shared" si="98"/>
        <v>0</v>
      </c>
      <c r="AO116" s="50">
        <f t="shared" si="98"/>
        <v>0</v>
      </c>
      <c r="AP116" s="50">
        <f t="shared" si="98"/>
        <v>0</v>
      </c>
      <c r="AQ116" s="50">
        <f t="shared" si="98"/>
        <v>0</v>
      </c>
      <c r="AR116" s="50">
        <f t="shared" si="98"/>
        <v>0</v>
      </c>
      <c r="AS116" s="50">
        <f t="shared" si="98"/>
        <v>0</v>
      </c>
      <c r="AT116" s="50">
        <f t="shared" si="98"/>
        <v>0</v>
      </c>
      <c r="AU116" s="50">
        <f t="shared" si="98"/>
        <v>0</v>
      </c>
      <c r="AV116" s="50">
        <f t="shared" si="98"/>
        <v>0</v>
      </c>
      <c r="AW116" s="50">
        <f t="shared" si="98"/>
        <v>0</v>
      </c>
      <c r="AX116" s="50">
        <f t="shared" si="98"/>
        <v>0</v>
      </c>
      <c r="AY116" s="50">
        <f t="shared" si="98"/>
        <v>0</v>
      </c>
      <c r="AZ116" s="50">
        <f t="shared" si="98"/>
        <v>0</v>
      </c>
      <c r="BA116" s="50">
        <f t="shared" si="98"/>
        <v>0</v>
      </c>
      <c r="BB116" s="50">
        <f t="shared" si="98"/>
        <v>0</v>
      </c>
      <c r="BC116" s="443" t="e">
        <f>IF($B116&lt;&gt;"",VLOOKUP($B116,RESUMO!$A$11:$H$42,8),"")</f>
        <v>#REF!</v>
      </c>
      <c r="BD116" s="443" t="e">
        <f>IF($B116&lt;&gt;"",VLOOKUP($B116,RESUMO!$A$11:$H$42,6),"")</f>
        <v>#REF!</v>
      </c>
      <c r="BF116" s="424" t="e">
        <f t="shared" si="62"/>
        <v>#REF!</v>
      </c>
      <c r="BG116" s="441"/>
      <c r="BH116" s="297"/>
    </row>
    <row r="117" spans="1:60" s="295" customFormat="1">
      <c r="A117" s="292">
        <v>104</v>
      </c>
      <c r="B117" s="294"/>
      <c r="C117" s="141" t="s">
        <v>3051</v>
      </c>
      <c r="D117" s="139"/>
      <c r="E117" s="425"/>
      <c r="F117" s="425"/>
      <c r="G117" s="425"/>
      <c r="H117" s="425"/>
      <c r="I117" s="425"/>
      <c r="J117" s="425"/>
      <c r="K117" s="425"/>
      <c r="L117" s="425"/>
      <c r="M117" s="425"/>
      <c r="N117" s="425"/>
      <c r="O117" s="425"/>
      <c r="P117" s="425"/>
      <c r="Q117" s="425"/>
      <c r="R117" s="425"/>
      <c r="S117" s="425"/>
      <c r="T117" s="425"/>
      <c r="U117" s="425"/>
      <c r="V117" s="425"/>
      <c r="W117" s="425"/>
      <c r="X117" s="425"/>
      <c r="Y117" s="425"/>
      <c r="Z117" s="425"/>
      <c r="AA117" s="425"/>
      <c r="AB117" s="425"/>
      <c r="AC117" s="425"/>
      <c r="AD117" s="425"/>
      <c r="AE117" s="425"/>
      <c r="AF117" s="425"/>
      <c r="AG117" s="425"/>
      <c r="AH117" s="425"/>
      <c r="AI117" s="422"/>
      <c r="AJ117" s="422"/>
      <c r="AK117" s="425"/>
      <c r="AL117" s="425"/>
      <c r="AM117" s="425"/>
      <c r="AN117" s="425"/>
      <c r="AO117" s="425"/>
      <c r="AP117" s="425"/>
      <c r="AQ117" s="425"/>
      <c r="AR117" s="425"/>
      <c r="AS117" s="425"/>
      <c r="AT117" s="425"/>
      <c r="AU117" s="425"/>
      <c r="AV117" s="425"/>
      <c r="AW117" s="425"/>
      <c r="AX117" s="425"/>
      <c r="AY117" s="425"/>
      <c r="AZ117" s="425"/>
      <c r="BA117" s="425"/>
      <c r="BB117" s="425"/>
      <c r="BC117" s="140"/>
      <c r="BD117" s="140"/>
      <c r="BF117" s="424"/>
      <c r="BG117" s="442">
        <f>SUM(E117:BB117)</f>
        <v>0</v>
      </c>
      <c r="BH117" s="296"/>
    </row>
    <row r="118" spans="1:60" s="292" customFormat="1">
      <c r="A118" s="295">
        <v>105</v>
      </c>
      <c r="B118" s="291">
        <v>22</v>
      </c>
      <c r="C118" s="55" t="e">
        <f>IF($B118&lt;&gt;"",VLOOKUP($B118,ORC!$E:$N,4,0),"")</f>
        <v>#N/A</v>
      </c>
      <c r="D118" s="49" t="e">
        <f>+BC118/BC$136</f>
        <v>#REF!</v>
      </c>
      <c r="E118" s="50">
        <f t="shared" ref="E118:AH118" si="99">IF(E119&lt;&gt;"",E119*$BC118,0)</f>
        <v>0</v>
      </c>
      <c r="F118" s="50">
        <f t="shared" si="99"/>
        <v>0</v>
      </c>
      <c r="G118" s="50">
        <f t="shared" si="99"/>
        <v>0</v>
      </c>
      <c r="H118" s="50">
        <f t="shared" si="99"/>
        <v>0</v>
      </c>
      <c r="I118" s="50">
        <f t="shared" si="99"/>
        <v>0</v>
      </c>
      <c r="J118" s="50">
        <f t="shared" si="99"/>
        <v>0</v>
      </c>
      <c r="K118" s="50">
        <f t="shared" si="99"/>
        <v>0</v>
      </c>
      <c r="L118" s="50">
        <f t="shared" si="99"/>
        <v>0</v>
      </c>
      <c r="M118" s="50">
        <f t="shared" si="99"/>
        <v>0</v>
      </c>
      <c r="N118" s="50">
        <f t="shared" si="99"/>
        <v>0</v>
      </c>
      <c r="O118" s="50">
        <f t="shared" si="99"/>
        <v>0</v>
      </c>
      <c r="P118" s="50">
        <f t="shared" si="99"/>
        <v>0</v>
      </c>
      <c r="Q118" s="50">
        <f t="shared" si="99"/>
        <v>0</v>
      </c>
      <c r="R118" s="50">
        <f t="shared" si="99"/>
        <v>0</v>
      </c>
      <c r="S118" s="50">
        <f t="shared" si="99"/>
        <v>0</v>
      </c>
      <c r="T118" s="50">
        <f t="shared" si="99"/>
        <v>0</v>
      </c>
      <c r="U118" s="50">
        <f t="shared" si="99"/>
        <v>0</v>
      </c>
      <c r="V118" s="50">
        <f t="shared" si="99"/>
        <v>0</v>
      </c>
      <c r="W118" s="50">
        <f t="shared" si="99"/>
        <v>0</v>
      </c>
      <c r="X118" s="50">
        <f t="shared" si="99"/>
        <v>0</v>
      </c>
      <c r="Y118" s="50">
        <f t="shared" si="99"/>
        <v>0</v>
      </c>
      <c r="Z118" s="50">
        <f t="shared" si="99"/>
        <v>0</v>
      </c>
      <c r="AA118" s="50">
        <f t="shared" si="99"/>
        <v>0</v>
      </c>
      <c r="AB118" s="50">
        <f t="shared" si="99"/>
        <v>0</v>
      </c>
      <c r="AC118" s="50">
        <f t="shared" si="99"/>
        <v>0</v>
      </c>
      <c r="AD118" s="50">
        <f t="shared" si="99"/>
        <v>0</v>
      </c>
      <c r="AE118" s="50">
        <f t="shared" si="99"/>
        <v>0</v>
      </c>
      <c r="AF118" s="50">
        <f t="shared" si="99"/>
        <v>0</v>
      </c>
      <c r="AG118" s="50">
        <f t="shared" si="99"/>
        <v>0</v>
      </c>
      <c r="AH118" s="50">
        <f t="shared" si="99"/>
        <v>0</v>
      </c>
      <c r="AI118" s="423"/>
      <c r="AJ118" s="423"/>
      <c r="AK118" s="50">
        <f t="shared" ref="AK118:BB118" si="100">IF(AK119&lt;&gt;"",AK119*$BC118,0)</f>
        <v>0</v>
      </c>
      <c r="AL118" s="50">
        <f t="shared" si="100"/>
        <v>0</v>
      </c>
      <c r="AM118" s="50">
        <f t="shared" si="100"/>
        <v>0</v>
      </c>
      <c r="AN118" s="50">
        <f t="shared" si="100"/>
        <v>0</v>
      </c>
      <c r="AO118" s="50">
        <f t="shared" si="100"/>
        <v>0</v>
      </c>
      <c r="AP118" s="50">
        <f t="shared" si="100"/>
        <v>0</v>
      </c>
      <c r="AQ118" s="50">
        <f t="shared" si="100"/>
        <v>0</v>
      </c>
      <c r="AR118" s="50">
        <f t="shared" si="100"/>
        <v>0</v>
      </c>
      <c r="AS118" s="50">
        <f t="shared" si="100"/>
        <v>0</v>
      </c>
      <c r="AT118" s="50">
        <f t="shared" si="100"/>
        <v>0</v>
      </c>
      <c r="AU118" s="50">
        <f t="shared" si="100"/>
        <v>0</v>
      </c>
      <c r="AV118" s="50">
        <f t="shared" si="100"/>
        <v>0</v>
      </c>
      <c r="AW118" s="50">
        <f t="shared" si="100"/>
        <v>0</v>
      </c>
      <c r="AX118" s="50">
        <f t="shared" si="100"/>
        <v>0</v>
      </c>
      <c r="AY118" s="50">
        <f t="shared" si="100"/>
        <v>0</v>
      </c>
      <c r="AZ118" s="50">
        <f t="shared" si="100"/>
        <v>0</v>
      </c>
      <c r="BA118" s="50">
        <f t="shared" si="100"/>
        <v>0</v>
      </c>
      <c r="BB118" s="50">
        <f t="shared" si="100"/>
        <v>0</v>
      </c>
      <c r="BC118" s="443" t="e">
        <f>IF($B118&lt;&gt;"",VLOOKUP($B118,RESUMO!$A$11:$H$42,8),"")</f>
        <v>#REF!</v>
      </c>
      <c r="BD118" s="443" t="e">
        <f>IF($B118&lt;&gt;"",VLOOKUP($B118,RESUMO!$A$11:$H$42,6),"")</f>
        <v>#REF!</v>
      </c>
      <c r="BF118" s="424" t="e">
        <f t="shared" si="62"/>
        <v>#REF!</v>
      </c>
      <c r="BG118" s="441"/>
      <c r="BH118" s="297"/>
    </row>
    <row r="119" spans="1:60" s="295" customFormat="1">
      <c r="A119" s="292">
        <v>106</v>
      </c>
      <c r="B119" s="294"/>
      <c r="C119" s="141" t="s">
        <v>3051</v>
      </c>
      <c r="D119" s="139"/>
      <c r="E119" s="425"/>
      <c r="F119" s="425"/>
      <c r="G119" s="425"/>
      <c r="H119" s="425"/>
      <c r="I119" s="425"/>
      <c r="J119" s="425"/>
      <c r="K119" s="425"/>
      <c r="L119" s="425"/>
      <c r="M119" s="425"/>
      <c r="N119" s="425"/>
      <c r="O119" s="425"/>
      <c r="P119" s="425"/>
      <c r="Q119" s="425"/>
      <c r="R119" s="425"/>
      <c r="S119" s="425"/>
      <c r="T119" s="425"/>
      <c r="U119" s="425"/>
      <c r="V119" s="425"/>
      <c r="W119" s="425"/>
      <c r="X119" s="425"/>
      <c r="Y119" s="425"/>
      <c r="Z119" s="425"/>
      <c r="AA119" s="425"/>
      <c r="AB119" s="425"/>
      <c r="AC119" s="425"/>
      <c r="AD119" s="425"/>
      <c r="AE119" s="425"/>
      <c r="AF119" s="425"/>
      <c r="AG119" s="425"/>
      <c r="AH119" s="425"/>
      <c r="AI119" s="422"/>
      <c r="AJ119" s="422"/>
      <c r="AK119" s="425"/>
      <c r="AL119" s="425"/>
      <c r="AM119" s="425"/>
      <c r="AN119" s="425"/>
      <c r="AO119" s="425"/>
      <c r="AP119" s="425"/>
      <c r="AQ119" s="425"/>
      <c r="AR119" s="425"/>
      <c r="AS119" s="425"/>
      <c r="AT119" s="425"/>
      <c r="AU119" s="425"/>
      <c r="AV119" s="425"/>
      <c r="AW119" s="425"/>
      <c r="AX119" s="425"/>
      <c r="AY119" s="425"/>
      <c r="AZ119" s="425"/>
      <c r="BA119" s="425"/>
      <c r="BB119" s="425"/>
      <c r="BC119" s="140"/>
      <c r="BD119" s="140"/>
      <c r="BF119" s="424"/>
      <c r="BG119" s="442">
        <f>SUM(E119:BB119)</f>
        <v>0</v>
      </c>
      <c r="BH119" s="296"/>
    </row>
    <row r="120" spans="1:60" s="292" customFormat="1">
      <c r="A120" s="295">
        <v>107</v>
      </c>
      <c r="B120" s="291">
        <v>23</v>
      </c>
      <c r="C120" s="55" t="e">
        <f>IF($B120&lt;&gt;"",VLOOKUP($B120,ORC!$E:$N,4,0),"")</f>
        <v>#N/A</v>
      </c>
      <c r="D120" s="49" t="e">
        <f>+BC120/BC$136</f>
        <v>#REF!</v>
      </c>
      <c r="E120" s="50">
        <f t="shared" ref="E120:AH120" si="101">IF(E121&lt;&gt;"",E121*$BC120,0)</f>
        <v>0</v>
      </c>
      <c r="F120" s="50">
        <f t="shared" si="101"/>
        <v>0</v>
      </c>
      <c r="G120" s="50">
        <f t="shared" si="101"/>
        <v>0</v>
      </c>
      <c r="H120" s="50">
        <f t="shared" si="101"/>
        <v>0</v>
      </c>
      <c r="I120" s="50">
        <f t="shared" si="101"/>
        <v>0</v>
      </c>
      <c r="J120" s="50">
        <f t="shared" si="101"/>
        <v>0</v>
      </c>
      <c r="K120" s="50">
        <f t="shared" si="101"/>
        <v>0</v>
      </c>
      <c r="L120" s="50">
        <f t="shared" si="101"/>
        <v>0</v>
      </c>
      <c r="M120" s="50">
        <f t="shared" si="101"/>
        <v>0</v>
      </c>
      <c r="N120" s="50">
        <f t="shared" si="101"/>
        <v>0</v>
      </c>
      <c r="O120" s="50">
        <f t="shared" si="101"/>
        <v>0</v>
      </c>
      <c r="P120" s="50">
        <f t="shared" si="101"/>
        <v>0</v>
      </c>
      <c r="Q120" s="50">
        <f t="shared" si="101"/>
        <v>0</v>
      </c>
      <c r="R120" s="50">
        <f t="shared" si="101"/>
        <v>0</v>
      </c>
      <c r="S120" s="50">
        <f t="shared" si="101"/>
        <v>0</v>
      </c>
      <c r="T120" s="50">
        <f t="shared" si="101"/>
        <v>0</v>
      </c>
      <c r="U120" s="50">
        <f t="shared" si="101"/>
        <v>0</v>
      </c>
      <c r="V120" s="50">
        <f t="shared" si="101"/>
        <v>0</v>
      </c>
      <c r="W120" s="50">
        <f t="shared" si="101"/>
        <v>0</v>
      </c>
      <c r="X120" s="50">
        <f t="shared" si="101"/>
        <v>0</v>
      </c>
      <c r="Y120" s="50">
        <f t="shared" si="101"/>
        <v>0</v>
      </c>
      <c r="Z120" s="50">
        <f t="shared" si="101"/>
        <v>0</v>
      </c>
      <c r="AA120" s="50">
        <f t="shared" si="101"/>
        <v>0</v>
      </c>
      <c r="AB120" s="50">
        <f t="shared" si="101"/>
        <v>0</v>
      </c>
      <c r="AC120" s="50">
        <f t="shared" si="101"/>
        <v>0</v>
      </c>
      <c r="AD120" s="50">
        <f t="shared" si="101"/>
        <v>0</v>
      </c>
      <c r="AE120" s="50">
        <f t="shared" si="101"/>
        <v>0</v>
      </c>
      <c r="AF120" s="50">
        <f t="shared" si="101"/>
        <v>0</v>
      </c>
      <c r="AG120" s="50">
        <f t="shared" si="101"/>
        <v>0</v>
      </c>
      <c r="AH120" s="50">
        <f t="shared" si="101"/>
        <v>0</v>
      </c>
      <c r="AI120" s="423"/>
      <c r="AJ120" s="423"/>
      <c r="AK120" s="50">
        <f t="shared" ref="AK120:BB120" si="102">IF(AK121&lt;&gt;"",AK121*$BC120,0)</f>
        <v>0</v>
      </c>
      <c r="AL120" s="50">
        <f t="shared" si="102"/>
        <v>0</v>
      </c>
      <c r="AM120" s="50">
        <f t="shared" si="102"/>
        <v>0</v>
      </c>
      <c r="AN120" s="50">
        <f t="shared" si="102"/>
        <v>0</v>
      </c>
      <c r="AO120" s="50">
        <f t="shared" si="102"/>
        <v>0</v>
      </c>
      <c r="AP120" s="50">
        <f t="shared" si="102"/>
        <v>0</v>
      </c>
      <c r="AQ120" s="50">
        <f t="shared" si="102"/>
        <v>0</v>
      </c>
      <c r="AR120" s="50">
        <f t="shared" si="102"/>
        <v>0</v>
      </c>
      <c r="AS120" s="50">
        <f t="shared" si="102"/>
        <v>0</v>
      </c>
      <c r="AT120" s="50">
        <f t="shared" si="102"/>
        <v>0</v>
      </c>
      <c r="AU120" s="50">
        <f t="shared" si="102"/>
        <v>0</v>
      </c>
      <c r="AV120" s="50">
        <f t="shared" si="102"/>
        <v>0</v>
      </c>
      <c r="AW120" s="50">
        <f t="shared" si="102"/>
        <v>0</v>
      </c>
      <c r="AX120" s="50">
        <f t="shared" si="102"/>
        <v>0</v>
      </c>
      <c r="AY120" s="50">
        <f t="shared" si="102"/>
        <v>0</v>
      </c>
      <c r="AZ120" s="50">
        <f t="shared" si="102"/>
        <v>0</v>
      </c>
      <c r="BA120" s="50">
        <f t="shared" si="102"/>
        <v>0</v>
      </c>
      <c r="BB120" s="50">
        <f t="shared" si="102"/>
        <v>0</v>
      </c>
      <c r="BC120" s="443" t="e">
        <f>IF($B120&lt;&gt;"",VLOOKUP($B120,RESUMO!$A$11:$H$42,8),"")</f>
        <v>#REF!</v>
      </c>
      <c r="BD120" s="443" t="e">
        <f>IF($B120&lt;&gt;"",VLOOKUP($B120,RESUMO!$A$11:$H$42,6),"")</f>
        <v>#REF!</v>
      </c>
      <c r="BF120" s="424" t="e">
        <f t="shared" si="62"/>
        <v>#REF!</v>
      </c>
      <c r="BG120" s="441"/>
      <c r="BH120" s="297"/>
    </row>
    <row r="121" spans="1:60" s="295" customFormat="1">
      <c r="A121" s="292">
        <v>108</v>
      </c>
      <c r="B121" s="294"/>
      <c r="C121" s="141" t="s">
        <v>3051</v>
      </c>
      <c r="D121" s="139"/>
      <c r="E121" s="425"/>
      <c r="F121" s="425"/>
      <c r="G121" s="425"/>
      <c r="H121" s="425"/>
      <c r="I121" s="425"/>
      <c r="J121" s="425"/>
      <c r="K121" s="425"/>
      <c r="L121" s="425"/>
      <c r="M121" s="425"/>
      <c r="N121" s="425"/>
      <c r="O121" s="425"/>
      <c r="P121" s="425"/>
      <c r="Q121" s="425"/>
      <c r="R121" s="425"/>
      <c r="S121" s="425"/>
      <c r="T121" s="425"/>
      <c r="U121" s="425"/>
      <c r="V121" s="425"/>
      <c r="W121" s="425"/>
      <c r="X121" s="425"/>
      <c r="Y121" s="425"/>
      <c r="Z121" s="425"/>
      <c r="AA121" s="425"/>
      <c r="AB121" s="425"/>
      <c r="AC121" s="425"/>
      <c r="AD121" s="425"/>
      <c r="AE121" s="425"/>
      <c r="AF121" s="425"/>
      <c r="AG121" s="425"/>
      <c r="AH121" s="425"/>
      <c r="AI121" s="422"/>
      <c r="AJ121" s="422"/>
      <c r="AK121" s="425"/>
      <c r="AL121" s="425"/>
      <c r="AM121" s="425"/>
      <c r="AN121" s="425"/>
      <c r="AO121" s="425"/>
      <c r="AP121" s="425"/>
      <c r="AQ121" s="425"/>
      <c r="AR121" s="425"/>
      <c r="AS121" s="425"/>
      <c r="AT121" s="425"/>
      <c r="AU121" s="425"/>
      <c r="AV121" s="425"/>
      <c r="AW121" s="425"/>
      <c r="AX121" s="425"/>
      <c r="AY121" s="425"/>
      <c r="AZ121" s="425"/>
      <c r="BA121" s="425"/>
      <c r="BB121" s="425"/>
      <c r="BC121" s="140"/>
      <c r="BD121" s="140"/>
      <c r="BF121" s="424"/>
      <c r="BG121" s="442">
        <f>SUM(E121:BB121)</f>
        <v>0</v>
      </c>
      <c r="BH121" s="296"/>
    </row>
    <row r="122" spans="1:60" s="292" customFormat="1">
      <c r="A122" s="295">
        <v>109</v>
      </c>
      <c r="B122" s="291">
        <v>24</v>
      </c>
      <c r="C122" s="55" t="e">
        <f>IF($B122&lt;&gt;"",VLOOKUP($B122,ORC!$E:$N,4,0),"")</f>
        <v>#N/A</v>
      </c>
      <c r="D122" s="49" t="e">
        <f>+BC122/BC$136</f>
        <v>#REF!</v>
      </c>
      <c r="E122" s="50">
        <f t="shared" ref="E122:AH122" si="103">IF(E123&lt;&gt;"",E123*$BC122,0)</f>
        <v>0</v>
      </c>
      <c r="F122" s="50">
        <f t="shared" si="103"/>
        <v>0</v>
      </c>
      <c r="G122" s="50">
        <f t="shared" si="103"/>
        <v>0</v>
      </c>
      <c r="H122" s="50">
        <f t="shared" si="103"/>
        <v>0</v>
      </c>
      <c r="I122" s="50">
        <f t="shared" si="103"/>
        <v>0</v>
      </c>
      <c r="J122" s="50">
        <f t="shared" si="103"/>
        <v>0</v>
      </c>
      <c r="K122" s="50">
        <f t="shared" si="103"/>
        <v>0</v>
      </c>
      <c r="L122" s="50">
        <f t="shared" si="103"/>
        <v>0</v>
      </c>
      <c r="M122" s="50">
        <f t="shared" si="103"/>
        <v>0</v>
      </c>
      <c r="N122" s="50">
        <f t="shared" si="103"/>
        <v>0</v>
      </c>
      <c r="O122" s="50">
        <f t="shared" si="103"/>
        <v>0</v>
      </c>
      <c r="P122" s="50">
        <f t="shared" si="103"/>
        <v>0</v>
      </c>
      <c r="Q122" s="50">
        <f t="shared" si="103"/>
        <v>0</v>
      </c>
      <c r="R122" s="50">
        <f t="shared" si="103"/>
        <v>0</v>
      </c>
      <c r="S122" s="50">
        <f t="shared" si="103"/>
        <v>0</v>
      </c>
      <c r="T122" s="50">
        <f t="shared" si="103"/>
        <v>0</v>
      </c>
      <c r="U122" s="50">
        <f t="shared" si="103"/>
        <v>0</v>
      </c>
      <c r="V122" s="50">
        <f t="shared" si="103"/>
        <v>0</v>
      </c>
      <c r="W122" s="50">
        <f t="shared" si="103"/>
        <v>0</v>
      </c>
      <c r="X122" s="50">
        <f t="shared" si="103"/>
        <v>0</v>
      </c>
      <c r="Y122" s="50">
        <f t="shared" si="103"/>
        <v>0</v>
      </c>
      <c r="Z122" s="50">
        <f t="shared" si="103"/>
        <v>0</v>
      </c>
      <c r="AA122" s="50">
        <f t="shared" si="103"/>
        <v>0</v>
      </c>
      <c r="AB122" s="50">
        <f t="shared" si="103"/>
        <v>0</v>
      </c>
      <c r="AC122" s="50">
        <f t="shared" si="103"/>
        <v>0</v>
      </c>
      <c r="AD122" s="50">
        <f t="shared" si="103"/>
        <v>0</v>
      </c>
      <c r="AE122" s="50">
        <f t="shared" si="103"/>
        <v>0</v>
      </c>
      <c r="AF122" s="50">
        <f t="shared" si="103"/>
        <v>0</v>
      </c>
      <c r="AG122" s="50">
        <f t="shared" si="103"/>
        <v>0</v>
      </c>
      <c r="AH122" s="50">
        <f t="shared" si="103"/>
        <v>0</v>
      </c>
      <c r="AI122" s="423"/>
      <c r="AJ122" s="423"/>
      <c r="AK122" s="50">
        <f t="shared" ref="AK122:BB122" si="104">IF(AK123&lt;&gt;"",AK123*$BC122,0)</f>
        <v>0</v>
      </c>
      <c r="AL122" s="50">
        <f t="shared" si="104"/>
        <v>0</v>
      </c>
      <c r="AM122" s="50">
        <f t="shared" si="104"/>
        <v>0</v>
      </c>
      <c r="AN122" s="50">
        <f t="shared" si="104"/>
        <v>0</v>
      </c>
      <c r="AO122" s="50">
        <f t="shared" si="104"/>
        <v>0</v>
      </c>
      <c r="AP122" s="50">
        <f t="shared" si="104"/>
        <v>0</v>
      </c>
      <c r="AQ122" s="50">
        <f t="shared" si="104"/>
        <v>0</v>
      </c>
      <c r="AR122" s="50">
        <f t="shared" si="104"/>
        <v>0</v>
      </c>
      <c r="AS122" s="50">
        <f t="shared" si="104"/>
        <v>0</v>
      </c>
      <c r="AT122" s="50">
        <f t="shared" si="104"/>
        <v>0</v>
      </c>
      <c r="AU122" s="50">
        <f t="shared" si="104"/>
        <v>0</v>
      </c>
      <c r="AV122" s="50">
        <f t="shared" si="104"/>
        <v>0</v>
      </c>
      <c r="AW122" s="50">
        <f t="shared" si="104"/>
        <v>0</v>
      </c>
      <c r="AX122" s="50">
        <f t="shared" si="104"/>
        <v>0</v>
      </c>
      <c r="AY122" s="50">
        <f t="shared" si="104"/>
        <v>0</v>
      </c>
      <c r="AZ122" s="50">
        <f t="shared" si="104"/>
        <v>0</v>
      </c>
      <c r="BA122" s="50">
        <f t="shared" si="104"/>
        <v>0</v>
      </c>
      <c r="BB122" s="50">
        <f t="shared" si="104"/>
        <v>0</v>
      </c>
      <c r="BC122" s="443" t="e">
        <f>IF($B122&lt;&gt;"",VLOOKUP($B122,RESUMO!$A$11:$H$42,8),"")</f>
        <v>#REF!</v>
      </c>
      <c r="BD122" s="443" t="e">
        <f>IF($B122&lt;&gt;"",VLOOKUP($B122,RESUMO!$A$11:$H$42,6),"")</f>
        <v>#REF!</v>
      </c>
      <c r="BF122" s="424" t="e">
        <f t="shared" si="62"/>
        <v>#REF!</v>
      </c>
      <c r="BG122" s="441"/>
      <c r="BH122" s="297"/>
    </row>
    <row r="123" spans="1:60" s="295" customFormat="1">
      <c r="A123" s="292">
        <v>110</v>
      </c>
      <c r="B123" s="294"/>
      <c r="C123" s="141" t="s">
        <v>3051</v>
      </c>
      <c r="D123" s="139"/>
      <c r="E123" s="425"/>
      <c r="F123" s="425"/>
      <c r="G123" s="425"/>
      <c r="H123" s="425"/>
      <c r="I123" s="425"/>
      <c r="J123" s="425"/>
      <c r="K123" s="425"/>
      <c r="L123" s="425"/>
      <c r="M123" s="425"/>
      <c r="N123" s="425"/>
      <c r="O123" s="425"/>
      <c r="P123" s="425"/>
      <c r="Q123" s="425"/>
      <c r="R123" s="425"/>
      <c r="S123" s="425"/>
      <c r="T123" s="425"/>
      <c r="U123" s="425"/>
      <c r="V123" s="425"/>
      <c r="W123" s="425"/>
      <c r="X123" s="425"/>
      <c r="Y123" s="425"/>
      <c r="Z123" s="425"/>
      <c r="AA123" s="425"/>
      <c r="AB123" s="425"/>
      <c r="AC123" s="425"/>
      <c r="AD123" s="425"/>
      <c r="AE123" s="425"/>
      <c r="AF123" s="425"/>
      <c r="AG123" s="425"/>
      <c r="AH123" s="425"/>
      <c r="AI123" s="422"/>
      <c r="AJ123" s="422"/>
      <c r="AK123" s="425"/>
      <c r="AL123" s="425"/>
      <c r="AM123" s="425"/>
      <c r="AN123" s="425"/>
      <c r="AO123" s="425"/>
      <c r="AP123" s="425"/>
      <c r="AQ123" s="425"/>
      <c r="AR123" s="425"/>
      <c r="AS123" s="425"/>
      <c r="AT123" s="425"/>
      <c r="AU123" s="425"/>
      <c r="AV123" s="425"/>
      <c r="AW123" s="425"/>
      <c r="AX123" s="425"/>
      <c r="AY123" s="425"/>
      <c r="AZ123" s="425"/>
      <c r="BA123" s="425"/>
      <c r="BB123" s="425"/>
      <c r="BC123" s="140"/>
      <c r="BD123" s="140"/>
      <c r="BF123" s="424"/>
      <c r="BG123" s="442">
        <f>SUM(E123:BB123)</f>
        <v>0</v>
      </c>
      <c r="BH123" s="296"/>
    </row>
    <row r="124" spans="1:60" s="292" customFormat="1">
      <c r="A124" s="295">
        <v>111</v>
      </c>
      <c r="B124" s="291">
        <v>25</v>
      </c>
      <c r="C124" s="55" t="e">
        <f>IF($B124&lt;&gt;"",VLOOKUP($B124,ORC!$E:$N,4,0),"")</f>
        <v>#N/A</v>
      </c>
      <c r="D124" s="49" t="e">
        <f>+BC124/BC$136</f>
        <v>#REF!</v>
      </c>
      <c r="E124" s="50">
        <f t="shared" ref="E124:AH124" si="105">IF(E125&lt;&gt;"",E125*$BC124,0)</f>
        <v>0</v>
      </c>
      <c r="F124" s="50">
        <f t="shared" si="105"/>
        <v>0</v>
      </c>
      <c r="G124" s="50">
        <f t="shared" si="105"/>
        <v>0</v>
      </c>
      <c r="H124" s="50">
        <f t="shared" si="105"/>
        <v>0</v>
      </c>
      <c r="I124" s="50">
        <f t="shared" si="105"/>
        <v>0</v>
      </c>
      <c r="J124" s="50">
        <f t="shared" si="105"/>
        <v>0</v>
      </c>
      <c r="K124" s="50">
        <f t="shared" si="105"/>
        <v>0</v>
      </c>
      <c r="L124" s="50">
        <f t="shared" si="105"/>
        <v>0</v>
      </c>
      <c r="M124" s="50">
        <f t="shared" si="105"/>
        <v>0</v>
      </c>
      <c r="N124" s="50">
        <f t="shared" si="105"/>
        <v>0</v>
      </c>
      <c r="O124" s="50">
        <f t="shared" si="105"/>
        <v>0</v>
      </c>
      <c r="P124" s="50">
        <f t="shared" si="105"/>
        <v>0</v>
      </c>
      <c r="Q124" s="50">
        <f t="shared" si="105"/>
        <v>0</v>
      </c>
      <c r="R124" s="50">
        <f t="shared" si="105"/>
        <v>0</v>
      </c>
      <c r="S124" s="50">
        <f t="shared" si="105"/>
        <v>0</v>
      </c>
      <c r="T124" s="50">
        <f t="shared" si="105"/>
        <v>0</v>
      </c>
      <c r="U124" s="50">
        <f t="shared" si="105"/>
        <v>0</v>
      </c>
      <c r="V124" s="50">
        <f t="shared" si="105"/>
        <v>0</v>
      </c>
      <c r="W124" s="50">
        <f t="shared" si="105"/>
        <v>0</v>
      </c>
      <c r="X124" s="50">
        <f t="shared" si="105"/>
        <v>0</v>
      </c>
      <c r="Y124" s="50">
        <f t="shared" si="105"/>
        <v>0</v>
      </c>
      <c r="Z124" s="50">
        <f t="shared" si="105"/>
        <v>0</v>
      </c>
      <c r="AA124" s="50">
        <f t="shared" si="105"/>
        <v>0</v>
      </c>
      <c r="AB124" s="50">
        <f t="shared" si="105"/>
        <v>0</v>
      </c>
      <c r="AC124" s="50">
        <f t="shared" si="105"/>
        <v>0</v>
      </c>
      <c r="AD124" s="50">
        <f t="shared" si="105"/>
        <v>0</v>
      </c>
      <c r="AE124" s="50">
        <f t="shared" si="105"/>
        <v>0</v>
      </c>
      <c r="AF124" s="50">
        <f t="shared" si="105"/>
        <v>0</v>
      </c>
      <c r="AG124" s="50">
        <f t="shared" si="105"/>
        <v>0</v>
      </c>
      <c r="AH124" s="50">
        <f t="shared" si="105"/>
        <v>0</v>
      </c>
      <c r="AI124" s="423"/>
      <c r="AJ124" s="423"/>
      <c r="AK124" s="50">
        <f t="shared" ref="AK124:BB124" si="106">IF(AK125&lt;&gt;"",AK125*$BC124,0)</f>
        <v>0</v>
      </c>
      <c r="AL124" s="50">
        <f t="shared" si="106"/>
        <v>0</v>
      </c>
      <c r="AM124" s="50">
        <f t="shared" si="106"/>
        <v>0</v>
      </c>
      <c r="AN124" s="50">
        <f t="shared" si="106"/>
        <v>0</v>
      </c>
      <c r="AO124" s="50">
        <f t="shared" si="106"/>
        <v>0</v>
      </c>
      <c r="AP124" s="50">
        <f t="shared" si="106"/>
        <v>0</v>
      </c>
      <c r="AQ124" s="50">
        <f t="shared" si="106"/>
        <v>0</v>
      </c>
      <c r="AR124" s="50">
        <f t="shared" si="106"/>
        <v>0</v>
      </c>
      <c r="AS124" s="50">
        <f t="shared" si="106"/>
        <v>0</v>
      </c>
      <c r="AT124" s="50">
        <f t="shared" si="106"/>
        <v>0</v>
      </c>
      <c r="AU124" s="50">
        <f t="shared" si="106"/>
        <v>0</v>
      </c>
      <c r="AV124" s="50">
        <f t="shared" si="106"/>
        <v>0</v>
      </c>
      <c r="AW124" s="50">
        <f t="shared" si="106"/>
        <v>0</v>
      </c>
      <c r="AX124" s="50">
        <f t="shared" si="106"/>
        <v>0</v>
      </c>
      <c r="AY124" s="50">
        <f t="shared" si="106"/>
        <v>0</v>
      </c>
      <c r="AZ124" s="50">
        <f t="shared" si="106"/>
        <v>0</v>
      </c>
      <c r="BA124" s="50">
        <f t="shared" si="106"/>
        <v>0</v>
      </c>
      <c r="BB124" s="50">
        <f t="shared" si="106"/>
        <v>0</v>
      </c>
      <c r="BC124" s="443" t="e">
        <f>IF($B124&lt;&gt;"",VLOOKUP($B124,RESUMO!$A$11:$H$42,8),"")</f>
        <v>#REF!</v>
      </c>
      <c r="BD124" s="443" t="e">
        <f>IF($B124&lt;&gt;"",VLOOKUP($B124,RESUMO!$A$11:$H$42,6),"")</f>
        <v>#REF!</v>
      </c>
      <c r="BF124" s="424" t="e">
        <f t="shared" si="62"/>
        <v>#REF!</v>
      </c>
      <c r="BG124" s="441"/>
      <c r="BH124" s="297"/>
    </row>
    <row r="125" spans="1:60" s="295" customFormat="1">
      <c r="A125" s="292">
        <v>112</v>
      </c>
      <c r="B125" s="294"/>
      <c r="C125" s="141" t="s">
        <v>3051</v>
      </c>
      <c r="D125" s="139"/>
      <c r="E125" s="425"/>
      <c r="F125" s="425"/>
      <c r="G125" s="425"/>
      <c r="H125" s="425"/>
      <c r="I125" s="425"/>
      <c r="J125" s="425"/>
      <c r="K125" s="425"/>
      <c r="L125" s="425"/>
      <c r="M125" s="425"/>
      <c r="N125" s="425"/>
      <c r="O125" s="425"/>
      <c r="P125" s="425"/>
      <c r="Q125" s="425"/>
      <c r="R125" s="425"/>
      <c r="S125" s="425"/>
      <c r="T125" s="425"/>
      <c r="U125" s="425"/>
      <c r="V125" s="425"/>
      <c r="W125" s="425"/>
      <c r="X125" s="425"/>
      <c r="Y125" s="425"/>
      <c r="Z125" s="425"/>
      <c r="AA125" s="425"/>
      <c r="AB125" s="425"/>
      <c r="AC125" s="425"/>
      <c r="AD125" s="425"/>
      <c r="AE125" s="425"/>
      <c r="AF125" s="425"/>
      <c r="AG125" s="425"/>
      <c r="AH125" s="425"/>
      <c r="AI125" s="422"/>
      <c r="AJ125" s="422"/>
      <c r="AK125" s="425"/>
      <c r="AL125" s="425"/>
      <c r="AM125" s="425"/>
      <c r="AN125" s="425"/>
      <c r="AO125" s="425"/>
      <c r="AP125" s="425"/>
      <c r="AQ125" s="425"/>
      <c r="AR125" s="425"/>
      <c r="AS125" s="425"/>
      <c r="AT125" s="425"/>
      <c r="AU125" s="425"/>
      <c r="AV125" s="425"/>
      <c r="AW125" s="425"/>
      <c r="AX125" s="425"/>
      <c r="AY125" s="425"/>
      <c r="AZ125" s="425"/>
      <c r="BA125" s="425"/>
      <c r="BB125" s="425"/>
      <c r="BC125" s="140"/>
      <c r="BD125" s="140"/>
      <c r="BF125" s="424"/>
      <c r="BG125" s="442">
        <f>SUM(E125:BB125)</f>
        <v>0</v>
      </c>
      <c r="BH125" s="296"/>
    </row>
    <row r="126" spans="1:60" s="292" customFormat="1">
      <c r="A126" s="295">
        <v>113</v>
      </c>
      <c r="B126" s="291">
        <v>26</v>
      </c>
      <c r="C126" s="55" t="e">
        <f>IF($B126&lt;&gt;"",VLOOKUP($B126,ORC!$E:$N,4,0),"")</f>
        <v>#N/A</v>
      </c>
      <c r="D126" s="49" t="e">
        <f>+BC126/BC$136</f>
        <v>#REF!</v>
      </c>
      <c r="E126" s="50">
        <f t="shared" ref="E126:AH126" si="107">IF(E127&lt;&gt;"",E127*$BC126,0)</f>
        <v>0</v>
      </c>
      <c r="F126" s="50">
        <f t="shared" si="107"/>
        <v>0</v>
      </c>
      <c r="G126" s="50">
        <f t="shared" si="107"/>
        <v>0</v>
      </c>
      <c r="H126" s="50">
        <f t="shared" si="107"/>
        <v>0</v>
      </c>
      <c r="I126" s="50">
        <f t="shared" si="107"/>
        <v>0</v>
      </c>
      <c r="J126" s="50">
        <f t="shared" si="107"/>
        <v>0</v>
      </c>
      <c r="K126" s="50">
        <f t="shared" si="107"/>
        <v>0</v>
      </c>
      <c r="L126" s="50">
        <f t="shared" si="107"/>
        <v>0</v>
      </c>
      <c r="M126" s="50">
        <f t="shared" si="107"/>
        <v>0</v>
      </c>
      <c r="N126" s="50">
        <f t="shared" si="107"/>
        <v>0</v>
      </c>
      <c r="O126" s="50">
        <f t="shared" si="107"/>
        <v>0</v>
      </c>
      <c r="P126" s="50">
        <f t="shared" si="107"/>
        <v>0</v>
      </c>
      <c r="Q126" s="50">
        <f t="shared" si="107"/>
        <v>0</v>
      </c>
      <c r="R126" s="50">
        <f t="shared" si="107"/>
        <v>0</v>
      </c>
      <c r="S126" s="50">
        <f t="shared" si="107"/>
        <v>0</v>
      </c>
      <c r="T126" s="50">
        <f t="shared" si="107"/>
        <v>0</v>
      </c>
      <c r="U126" s="50">
        <f t="shared" si="107"/>
        <v>0</v>
      </c>
      <c r="V126" s="50">
        <f t="shared" si="107"/>
        <v>0</v>
      </c>
      <c r="W126" s="50">
        <f t="shared" si="107"/>
        <v>0</v>
      </c>
      <c r="X126" s="50">
        <f t="shared" si="107"/>
        <v>0</v>
      </c>
      <c r="Y126" s="50">
        <f t="shared" si="107"/>
        <v>0</v>
      </c>
      <c r="Z126" s="50">
        <f t="shared" si="107"/>
        <v>0</v>
      </c>
      <c r="AA126" s="50">
        <f t="shared" si="107"/>
        <v>0</v>
      </c>
      <c r="AB126" s="50">
        <f t="shared" si="107"/>
        <v>0</v>
      </c>
      <c r="AC126" s="50">
        <f t="shared" si="107"/>
        <v>0</v>
      </c>
      <c r="AD126" s="50">
        <f t="shared" si="107"/>
        <v>0</v>
      </c>
      <c r="AE126" s="50">
        <f t="shared" si="107"/>
        <v>0</v>
      </c>
      <c r="AF126" s="50">
        <f t="shared" si="107"/>
        <v>0</v>
      </c>
      <c r="AG126" s="50">
        <f t="shared" si="107"/>
        <v>0</v>
      </c>
      <c r="AH126" s="50">
        <f t="shared" si="107"/>
        <v>0</v>
      </c>
      <c r="AI126" s="423"/>
      <c r="AJ126" s="423"/>
      <c r="AK126" s="50">
        <f t="shared" ref="AK126:BB126" si="108">IF(AK127&lt;&gt;"",AK127*$BC126,0)</f>
        <v>0</v>
      </c>
      <c r="AL126" s="50">
        <f t="shared" si="108"/>
        <v>0</v>
      </c>
      <c r="AM126" s="50">
        <f t="shared" si="108"/>
        <v>0</v>
      </c>
      <c r="AN126" s="50">
        <f t="shared" si="108"/>
        <v>0</v>
      </c>
      <c r="AO126" s="50">
        <f t="shared" si="108"/>
        <v>0</v>
      </c>
      <c r="AP126" s="50">
        <f t="shared" si="108"/>
        <v>0</v>
      </c>
      <c r="AQ126" s="50">
        <f t="shared" si="108"/>
        <v>0</v>
      </c>
      <c r="AR126" s="50">
        <f t="shared" si="108"/>
        <v>0</v>
      </c>
      <c r="AS126" s="50">
        <f t="shared" si="108"/>
        <v>0</v>
      </c>
      <c r="AT126" s="50">
        <f t="shared" si="108"/>
        <v>0</v>
      </c>
      <c r="AU126" s="50">
        <f t="shared" si="108"/>
        <v>0</v>
      </c>
      <c r="AV126" s="50">
        <f t="shared" si="108"/>
        <v>0</v>
      </c>
      <c r="AW126" s="50">
        <f t="shared" si="108"/>
        <v>0</v>
      </c>
      <c r="AX126" s="50">
        <f t="shared" si="108"/>
        <v>0</v>
      </c>
      <c r="AY126" s="50">
        <f t="shared" si="108"/>
        <v>0</v>
      </c>
      <c r="AZ126" s="50">
        <f t="shared" si="108"/>
        <v>0</v>
      </c>
      <c r="BA126" s="50">
        <f t="shared" si="108"/>
        <v>0</v>
      </c>
      <c r="BB126" s="50">
        <f t="shared" si="108"/>
        <v>0</v>
      </c>
      <c r="BC126" s="443" t="e">
        <f>IF($B126&lt;&gt;"",VLOOKUP($B126,RESUMO!$A$11:$H$42,8),"")</f>
        <v>#REF!</v>
      </c>
      <c r="BD126" s="443" t="e">
        <f>IF($B126&lt;&gt;"",VLOOKUP($B126,RESUMO!$A$11:$H$42,6),"")</f>
        <v>#REF!</v>
      </c>
      <c r="BF126" s="424" t="e">
        <f t="shared" si="62"/>
        <v>#REF!</v>
      </c>
      <c r="BG126" s="441"/>
      <c r="BH126" s="297"/>
    </row>
    <row r="127" spans="1:60" s="295" customFormat="1">
      <c r="A127" s="292">
        <v>114</v>
      </c>
      <c r="B127" s="294"/>
      <c r="C127" s="141" t="s">
        <v>3051</v>
      </c>
      <c r="D127" s="139"/>
      <c r="E127" s="425"/>
      <c r="F127" s="425"/>
      <c r="G127" s="425"/>
      <c r="H127" s="425"/>
      <c r="I127" s="425"/>
      <c r="J127" s="425"/>
      <c r="K127" s="425"/>
      <c r="L127" s="425"/>
      <c r="M127" s="425"/>
      <c r="N127" s="425"/>
      <c r="O127" s="425"/>
      <c r="P127" s="425"/>
      <c r="Q127" s="425"/>
      <c r="R127" s="425"/>
      <c r="S127" s="425"/>
      <c r="T127" s="425"/>
      <c r="U127" s="425"/>
      <c r="V127" s="425"/>
      <c r="W127" s="425"/>
      <c r="X127" s="425"/>
      <c r="Y127" s="425"/>
      <c r="Z127" s="425"/>
      <c r="AA127" s="425"/>
      <c r="AB127" s="425"/>
      <c r="AC127" s="425"/>
      <c r="AD127" s="425"/>
      <c r="AE127" s="425"/>
      <c r="AF127" s="425"/>
      <c r="AG127" s="425"/>
      <c r="AH127" s="425"/>
      <c r="AI127" s="423"/>
      <c r="AJ127" s="423"/>
      <c r="AK127" s="425"/>
      <c r="AL127" s="425"/>
      <c r="AM127" s="425"/>
      <c r="AN127" s="425"/>
      <c r="AO127" s="425"/>
      <c r="AP127" s="425"/>
      <c r="AQ127" s="425"/>
      <c r="AR127" s="425"/>
      <c r="AS127" s="425"/>
      <c r="AT127" s="425"/>
      <c r="AU127" s="425"/>
      <c r="AV127" s="425"/>
      <c r="AW127" s="425"/>
      <c r="AX127" s="425"/>
      <c r="AY127" s="425"/>
      <c r="AZ127" s="425"/>
      <c r="BA127" s="425"/>
      <c r="BB127" s="425"/>
      <c r="BC127" s="140"/>
      <c r="BD127" s="140"/>
      <c r="BF127" s="424"/>
      <c r="BG127" s="442">
        <f>SUM(E127:BB127)</f>
        <v>0</v>
      </c>
      <c r="BH127" s="296"/>
    </row>
    <row r="128" spans="1:60" s="292" customFormat="1">
      <c r="A128" s="295">
        <v>115</v>
      </c>
      <c r="B128" s="291">
        <v>27</v>
      </c>
      <c r="C128" s="55" t="e">
        <f>IF($B128&lt;&gt;"",VLOOKUP($B128,ORC!$E:$N,4,0),"")</f>
        <v>#N/A</v>
      </c>
      <c r="D128" s="49" t="e">
        <f>+BC128/BC$136</f>
        <v>#REF!</v>
      </c>
      <c r="E128" s="50">
        <f t="shared" ref="E128:AH128" si="109">IF(E129&lt;&gt;"",E129*$BC128,0)</f>
        <v>0</v>
      </c>
      <c r="F128" s="50">
        <f t="shared" si="109"/>
        <v>0</v>
      </c>
      <c r="G128" s="50">
        <f t="shared" si="109"/>
        <v>0</v>
      </c>
      <c r="H128" s="50">
        <f t="shared" si="109"/>
        <v>0</v>
      </c>
      <c r="I128" s="50">
        <f t="shared" si="109"/>
        <v>0</v>
      </c>
      <c r="J128" s="50">
        <f t="shared" si="109"/>
        <v>0</v>
      </c>
      <c r="K128" s="50">
        <f t="shared" si="109"/>
        <v>0</v>
      </c>
      <c r="L128" s="50">
        <f t="shared" si="109"/>
        <v>0</v>
      </c>
      <c r="M128" s="50">
        <f t="shared" si="109"/>
        <v>0</v>
      </c>
      <c r="N128" s="50">
        <f t="shared" si="109"/>
        <v>0</v>
      </c>
      <c r="O128" s="50">
        <f t="shared" si="109"/>
        <v>0</v>
      </c>
      <c r="P128" s="50">
        <f t="shared" si="109"/>
        <v>0</v>
      </c>
      <c r="Q128" s="50">
        <f t="shared" si="109"/>
        <v>0</v>
      </c>
      <c r="R128" s="50">
        <f t="shared" si="109"/>
        <v>0</v>
      </c>
      <c r="S128" s="50">
        <f t="shared" si="109"/>
        <v>0</v>
      </c>
      <c r="T128" s="50">
        <f t="shared" si="109"/>
        <v>0</v>
      </c>
      <c r="U128" s="50">
        <f t="shared" si="109"/>
        <v>0</v>
      </c>
      <c r="V128" s="50">
        <f t="shared" si="109"/>
        <v>0</v>
      </c>
      <c r="W128" s="50">
        <f t="shared" si="109"/>
        <v>0</v>
      </c>
      <c r="X128" s="50">
        <f t="shared" si="109"/>
        <v>0</v>
      </c>
      <c r="Y128" s="50">
        <f t="shared" si="109"/>
        <v>0</v>
      </c>
      <c r="Z128" s="50">
        <f t="shared" si="109"/>
        <v>0</v>
      </c>
      <c r="AA128" s="50">
        <f t="shared" si="109"/>
        <v>0</v>
      </c>
      <c r="AB128" s="50">
        <f t="shared" si="109"/>
        <v>0</v>
      </c>
      <c r="AC128" s="50">
        <f t="shared" si="109"/>
        <v>0</v>
      </c>
      <c r="AD128" s="50">
        <f t="shared" si="109"/>
        <v>0</v>
      </c>
      <c r="AE128" s="50">
        <f t="shared" si="109"/>
        <v>0</v>
      </c>
      <c r="AF128" s="50">
        <f t="shared" si="109"/>
        <v>0</v>
      </c>
      <c r="AG128" s="50">
        <f t="shared" si="109"/>
        <v>0</v>
      </c>
      <c r="AH128" s="50">
        <f t="shared" si="109"/>
        <v>0</v>
      </c>
      <c r="AI128" s="423"/>
      <c r="AJ128" s="423"/>
      <c r="AK128" s="50">
        <f t="shared" ref="AK128:BB128" si="110">IF(AK129&lt;&gt;"",AK129*$BC128,0)</f>
        <v>0</v>
      </c>
      <c r="AL128" s="50">
        <f t="shared" si="110"/>
        <v>0</v>
      </c>
      <c r="AM128" s="50">
        <f t="shared" si="110"/>
        <v>0</v>
      </c>
      <c r="AN128" s="50">
        <f t="shared" si="110"/>
        <v>0</v>
      </c>
      <c r="AO128" s="50">
        <f t="shared" si="110"/>
        <v>0</v>
      </c>
      <c r="AP128" s="50">
        <f t="shared" si="110"/>
        <v>0</v>
      </c>
      <c r="AQ128" s="50">
        <f t="shared" si="110"/>
        <v>0</v>
      </c>
      <c r="AR128" s="50">
        <f t="shared" si="110"/>
        <v>0</v>
      </c>
      <c r="AS128" s="50">
        <f t="shared" si="110"/>
        <v>0</v>
      </c>
      <c r="AT128" s="50">
        <f t="shared" si="110"/>
        <v>0</v>
      </c>
      <c r="AU128" s="50">
        <f t="shared" si="110"/>
        <v>0</v>
      </c>
      <c r="AV128" s="50">
        <f t="shared" si="110"/>
        <v>0</v>
      </c>
      <c r="AW128" s="50">
        <f t="shared" si="110"/>
        <v>0</v>
      </c>
      <c r="AX128" s="50">
        <f t="shared" si="110"/>
        <v>0</v>
      </c>
      <c r="AY128" s="50">
        <f t="shared" si="110"/>
        <v>0</v>
      </c>
      <c r="AZ128" s="50">
        <f t="shared" si="110"/>
        <v>0</v>
      </c>
      <c r="BA128" s="50">
        <f t="shared" si="110"/>
        <v>0</v>
      </c>
      <c r="BB128" s="50">
        <f t="shared" si="110"/>
        <v>0</v>
      </c>
      <c r="BC128" s="443" t="e">
        <f>IF($B128&lt;&gt;"",VLOOKUP($B128,RESUMO!$A$11:$H$42,8),"")</f>
        <v>#REF!</v>
      </c>
      <c r="BD128" s="443" t="e">
        <f>IF($B128&lt;&gt;"",VLOOKUP($B128,RESUMO!$A$11:$H$42,6),"")</f>
        <v>#REF!</v>
      </c>
      <c r="BF128" s="424" t="e">
        <f t="shared" si="62"/>
        <v>#REF!</v>
      </c>
      <c r="BG128" s="441"/>
      <c r="BH128" s="297"/>
    </row>
    <row r="129" spans="1:60" s="295" customFormat="1">
      <c r="A129" s="292">
        <v>116</v>
      </c>
      <c r="B129" s="294"/>
      <c r="C129" s="141" t="s">
        <v>3051</v>
      </c>
      <c r="D129" s="139"/>
      <c r="E129" s="425"/>
      <c r="F129" s="425"/>
      <c r="G129" s="425"/>
      <c r="H129" s="425"/>
      <c r="I129" s="425"/>
      <c r="J129" s="425"/>
      <c r="K129" s="425"/>
      <c r="L129" s="425"/>
      <c r="M129" s="425"/>
      <c r="N129" s="425"/>
      <c r="O129" s="425"/>
      <c r="P129" s="425"/>
      <c r="Q129" s="425"/>
      <c r="R129" s="425"/>
      <c r="S129" s="425"/>
      <c r="T129" s="425"/>
      <c r="U129" s="425"/>
      <c r="V129" s="425"/>
      <c r="W129" s="425"/>
      <c r="X129" s="425"/>
      <c r="Y129" s="425"/>
      <c r="Z129" s="425"/>
      <c r="AA129" s="425"/>
      <c r="AB129" s="425"/>
      <c r="AC129" s="425"/>
      <c r="AD129" s="425"/>
      <c r="AE129" s="425"/>
      <c r="AF129" s="425"/>
      <c r="AG129" s="425"/>
      <c r="AH129" s="425"/>
      <c r="AI129" s="423"/>
      <c r="AJ129" s="423"/>
      <c r="AK129" s="425"/>
      <c r="AL129" s="425"/>
      <c r="AM129" s="425"/>
      <c r="AN129" s="425"/>
      <c r="AO129" s="425"/>
      <c r="AP129" s="425"/>
      <c r="AQ129" s="425"/>
      <c r="AR129" s="425"/>
      <c r="AS129" s="425"/>
      <c r="AT129" s="425"/>
      <c r="AU129" s="425"/>
      <c r="AV129" s="425"/>
      <c r="AW129" s="425"/>
      <c r="AX129" s="425"/>
      <c r="AY129" s="425"/>
      <c r="AZ129" s="425"/>
      <c r="BA129" s="425"/>
      <c r="BB129" s="425"/>
      <c r="BC129" s="140"/>
      <c r="BD129" s="140"/>
      <c r="BF129" s="424"/>
      <c r="BG129" s="442">
        <f>SUM(E129:BB129)</f>
        <v>0</v>
      </c>
      <c r="BH129" s="296"/>
    </row>
    <row r="130" spans="1:60" s="292" customFormat="1">
      <c r="A130" s="295">
        <v>117</v>
      </c>
      <c r="B130" s="291">
        <v>28</v>
      </c>
      <c r="C130" s="55" t="e">
        <f>IF($B130&lt;&gt;"",VLOOKUP($B130,ORC!$E:$N,4,0),"")</f>
        <v>#N/A</v>
      </c>
      <c r="D130" s="49" t="e">
        <f>+BC130/BC$136</f>
        <v>#REF!</v>
      </c>
      <c r="E130" s="50">
        <f t="shared" ref="E130:AH130" si="111">IF(E131&lt;&gt;"",E131*$BC130,0)</f>
        <v>0</v>
      </c>
      <c r="F130" s="50">
        <f t="shared" si="111"/>
        <v>0</v>
      </c>
      <c r="G130" s="50">
        <f t="shared" si="111"/>
        <v>0</v>
      </c>
      <c r="H130" s="50">
        <f t="shared" si="111"/>
        <v>0</v>
      </c>
      <c r="I130" s="50">
        <f t="shared" si="111"/>
        <v>0</v>
      </c>
      <c r="J130" s="50">
        <f t="shared" si="111"/>
        <v>0</v>
      </c>
      <c r="K130" s="50">
        <f t="shared" si="111"/>
        <v>0</v>
      </c>
      <c r="L130" s="50">
        <f t="shared" si="111"/>
        <v>0</v>
      </c>
      <c r="M130" s="50">
        <f t="shared" si="111"/>
        <v>0</v>
      </c>
      <c r="N130" s="50">
        <f t="shared" si="111"/>
        <v>0</v>
      </c>
      <c r="O130" s="50">
        <f t="shared" si="111"/>
        <v>0</v>
      </c>
      <c r="P130" s="50">
        <f t="shared" si="111"/>
        <v>0</v>
      </c>
      <c r="Q130" s="50">
        <f t="shared" si="111"/>
        <v>0</v>
      </c>
      <c r="R130" s="50">
        <f t="shared" si="111"/>
        <v>0</v>
      </c>
      <c r="S130" s="50">
        <f t="shared" si="111"/>
        <v>0</v>
      </c>
      <c r="T130" s="50">
        <f t="shared" si="111"/>
        <v>0</v>
      </c>
      <c r="U130" s="50">
        <f t="shared" si="111"/>
        <v>0</v>
      </c>
      <c r="V130" s="50">
        <f t="shared" si="111"/>
        <v>0</v>
      </c>
      <c r="W130" s="50">
        <f t="shared" si="111"/>
        <v>0</v>
      </c>
      <c r="X130" s="50">
        <f t="shared" si="111"/>
        <v>0</v>
      </c>
      <c r="Y130" s="50">
        <f t="shared" si="111"/>
        <v>0</v>
      </c>
      <c r="Z130" s="50">
        <f t="shared" si="111"/>
        <v>0</v>
      </c>
      <c r="AA130" s="50">
        <f t="shared" si="111"/>
        <v>0</v>
      </c>
      <c r="AB130" s="50">
        <f t="shared" si="111"/>
        <v>0</v>
      </c>
      <c r="AC130" s="50">
        <f t="shared" si="111"/>
        <v>0</v>
      </c>
      <c r="AD130" s="50">
        <f t="shared" si="111"/>
        <v>0</v>
      </c>
      <c r="AE130" s="50">
        <f t="shared" si="111"/>
        <v>0</v>
      </c>
      <c r="AF130" s="50">
        <f t="shared" si="111"/>
        <v>0</v>
      </c>
      <c r="AG130" s="50">
        <f t="shared" si="111"/>
        <v>0</v>
      </c>
      <c r="AH130" s="50">
        <f t="shared" si="111"/>
        <v>0</v>
      </c>
      <c r="AI130" s="423"/>
      <c r="AJ130" s="423"/>
      <c r="AK130" s="50">
        <f t="shared" ref="AK130:BB130" si="112">IF(AK131&lt;&gt;"",AK131*$BC130,0)</f>
        <v>0</v>
      </c>
      <c r="AL130" s="50">
        <f t="shared" si="112"/>
        <v>0</v>
      </c>
      <c r="AM130" s="50">
        <f t="shared" si="112"/>
        <v>0</v>
      </c>
      <c r="AN130" s="50">
        <f t="shared" si="112"/>
        <v>0</v>
      </c>
      <c r="AO130" s="50">
        <f t="shared" si="112"/>
        <v>0</v>
      </c>
      <c r="AP130" s="50">
        <f t="shared" si="112"/>
        <v>0</v>
      </c>
      <c r="AQ130" s="50">
        <f t="shared" si="112"/>
        <v>0</v>
      </c>
      <c r="AR130" s="50">
        <f t="shared" si="112"/>
        <v>0</v>
      </c>
      <c r="AS130" s="50">
        <f t="shared" si="112"/>
        <v>0</v>
      </c>
      <c r="AT130" s="50">
        <f t="shared" si="112"/>
        <v>0</v>
      </c>
      <c r="AU130" s="50">
        <f t="shared" si="112"/>
        <v>0</v>
      </c>
      <c r="AV130" s="50">
        <f t="shared" si="112"/>
        <v>0</v>
      </c>
      <c r="AW130" s="50">
        <f t="shared" si="112"/>
        <v>0</v>
      </c>
      <c r="AX130" s="50">
        <f t="shared" si="112"/>
        <v>0</v>
      </c>
      <c r="AY130" s="50">
        <f t="shared" si="112"/>
        <v>0</v>
      </c>
      <c r="AZ130" s="50">
        <f t="shared" si="112"/>
        <v>0</v>
      </c>
      <c r="BA130" s="50">
        <f t="shared" si="112"/>
        <v>0</v>
      </c>
      <c r="BB130" s="50">
        <f t="shared" si="112"/>
        <v>0</v>
      </c>
      <c r="BC130" s="443" t="e">
        <f>IF($B130&lt;&gt;"",VLOOKUP($B130,RESUMO!$A$11:$H$42,8),"")</f>
        <v>#REF!</v>
      </c>
      <c r="BD130" s="443" t="e">
        <f>IF($B130&lt;&gt;"",VLOOKUP($B130,RESUMO!$A$11:$H$42,6),"")</f>
        <v>#REF!</v>
      </c>
      <c r="BF130" s="424" t="e">
        <f t="shared" si="62"/>
        <v>#REF!</v>
      </c>
      <c r="BG130" s="441"/>
      <c r="BH130" s="297"/>
    </row>
    <row r="131" spans="1:60" s="295" customFormat="1">
      <c r="A131" s="292">
        <v>118</v>
      </c>
      <c r="B131" s="294"/>
      <c r="C131" s="141" t="s">
        <v>3051</v>
      </c>
      <c r="D131" s="139"/>
      <c r="E131" s="425"/>
      <c r="F131" s="425"/>
      <c r="G131" s="425"/>
      <c r="H131" s="425"/>
      <c r="I131" s="425"/>
      <c r="J131" s="425"/>
      <c r="K131" s="425"/>
      <c r="L131" s="425"/>
      <c r="M131" s="425"/>
      <c r="N131" s="425"/>
      <c r="O131" s="425"/>
      <c r="P131" s="425"/>
      <c r="Q131" s="425"/>
      <c r="R131" s="425"/>
      <c r="S131" s="425"/>
      <c r="T131" s="425"/>
      <c r="U131" s="425"/>
      <c r="V131" s="425"/>
      <c r="W131" s="425"/>
      <c r="X131" s="425"/>
      <c r="Y131" s="425"/>
      <c r="Z131" s="425"/>
      <c r="AA131" s="425"/>
      <c r="AB131" s="425"/>
      <c r="AC131" s="425"/>
      <c r="AD131" s="425"/>
      <c r="AE131" s="425"/>
      <c r="AF131" s="425"/>
      <c r="AG131" s="425"/>
      <c r="AH131" s="425"/>
      <c r="AI131" s="423"/>
      <c r="AJ131" s="423"/>
      <c r="AK131" s="425"/>
      <c r="AL131" s="425"/>
      <c r="AM131" s="425"/>
      <c r="AN131" s="425"/>
      <c r="AO131" s="425"/>
      <c r="AP131" s="425"/>
      <c r="AQ131" s="425"/>
      <c r="AR131" s="425"/>
      <c r="AS131" s="425"/>
      <c r="AT131" s="425"/>
      <c r="AU131" s="425"/>
      <c r="AV131" s="425"/>
      <c r="AW131" s="425"/>
      <c r="AX131" s="425"/>
      <c r="AY131" s="425"/>
      <c r="AZ131" s="425"/>
      <c r="BA131" s="425"/>
      <c r="BB131" s="425"/>
      <c r="BC131" s="140"/>
      <c r="BD131" s="140"/>
      <c r="BF131" s="424"/>
      <c r="BG131" s="442">
        <f>SUM(E131:BB131)</f>
        <v>0</v>
      </c>
      <c r="BH131" s="296"/>
    </row>
    <row r="132" spans="1:60" s="292" customFormat="1">
      <c r="A132" s="295">
        <v>119</v>
      </c>
      <c r="B132" s="291">
        <v>29</v>
      </c>
      <c r="C132" s="55" t="e">
        <f>IF($B132&lt;&gt;"",VLOOKUP($B132,ORC!$E:$N,4,0),"")</f>
        <v>#N/A</v>
      </c>
      <c r="D132" s="49" t="e">
        <f>+BC132/BC$136</f>
        <v>#REF!</v>
      </c>
      <c r="E132" s="50">
        <f t="shared" ref="E132:AH132" si="113">IF(E133&lt;&gt;"",E133*$BC132,0)</f>
        <v>0</v>
      </c>
      <c r="F132" s="50">
        <f t="shared" si="113"/>
        <v>0</v>
      </c>
      <c r="G132" s="50">
        <f t="shared" si="113"/>
        <v>0</v>
      </c>
      <c r="H132" s="50">
        <f t="shared" si="113"/>
        <v>0</v>
      </c>
      <c r="I132" s="50">
        <f t="shared" si="113"/>
        <v>0</v>
      </c>
      <c r="J132" s="50">
        <f t="shared" si="113"/>
        <v>0</v>
      </c>
      <c r="K132" s="50">
        <f t="shared" si="113"/>
        <v>0</v>
      </c>
      <c r="L132" s="50">
        <f t="shared" si="113"/>
        <v>0</v>
      </c>
      <c r="M132" s="50">
        <f t="shared" si="113"/>
        <v>0</v>
      </c>
      <c r="N132" s="50">
        <f t="shared" si="113"/>
        <v>0</v>
      </c>
      <c r="O132" s="50">
        <f t="shared" si="113"/>
        <v>0</v>
      </c>
      <c r="P132" s="50">
        <f t="shared" si="113"/>
        <v>0</v>
      </c>
      <c r="Q132" s="50">
        <f t="shared" si="113"/>
        <v>0</v>
      </c>
      <c r="R132" s="50">
        <f t="shared" si="113"/>
        <v>0</v>
      </c>
      <c r="S132" s="50">
        <f t="shared" si="113"/>
        <v>0</v>
      </c>
      <c r="T132" s="50">
        <f t="shared" si="113"/>
        <v>0</v>
      </c>
      <c r="U132" s="50">
        <f t="shared" si="113"/>
        <v>0</v>
      </c>
      <c r="V132" s="50">
        <f t="shared" si="113"/>
        <v>0</v>
      </c>
      <c r="W132" s="50">
        <f t="shared" si="113"/>
        <v>0</v>
      </c>
      <c r="X132" s="50">
        <f t="shared" si="113"/>
        <v>0</v>
      </c>
      <c r="Y132" s="50">
        <f t="shared" si="113"/>
        <v>0</v>
      </c>
      <c r="Z132" s="50">
        <f t="shared" si="113"/>
        <v>0</v>
      </c>
      <c r="AA132" s="50">
        <f t="shared" si="113"/>
        <v>0</v>
      </c>
      <c r="AB132" s="50">
        <f t="shared" si="113"/>
        <v>0</v>
      </c>
      <c r="AC132" s="50">
        <f t="shared" si="113"/>
        <v>0</v>
      </c>
      <c r="AD132" s="50">
        <f t="shared" si="113"/>
        <v>0</v>
      </c>
      <c r="AE132" s="50">
        <f t="shared" si="113"/>
        <v>0</v>
      </c>
      <c r="AF132" s="50">
        <f t="shared" si="113"/>
        <v>0</v>
      </c>
      <c r="AG132" s="50">
        <f t="shared" si="113"/>
        <v>0</v>
      </c>
      <c r="AH132" s="50">
        <f t="shared" si="113"/>
        <v>0</v>
      </c>
      <c r="AI132" s="423"/>
      <c r="AJ132" s="423"/>
      <c r="AK132" s="50">
        <f t="shared" ref="AK132:BB132" si="114">IF(AK133&lt;&gt;"",AK133*$BC132,0)</f>
        <v>0</v>
      </c>
      <c r="AL132" s="50">
        <f t="shared" si="114"/>
        <v>0</v>
      </c>
      <c r="AM132" s="50">
        <f t="shared" si="114"/>
        <v>0</v>
      </c>
      <c r="AN132" s="50">
        <f t="shared" si="114"/>
        <v>0</v>
      </c>
      <c r="AO132" s="50">
        <f t="shared" si="114"/>
        <v>0</v>
      </c>
      <c r="AP132" s="50">
        <f t="shared" si="114"/>
        <v>0</v>
      </c>
      <c r="AQ132" s="50">
        <f t="shared" si="114"/>
        <v>0</v>
      </c>
      <c r="AR132" s="50">
        <f t="shared" si="114"/>
        <v>0</v>
      </c>
      <c r="AS132" s="50">
        <f t="shared" si="114"/>
        <v>0</v>
      </c>
      <c r="AT132" s="50">
        <f t="shared" si="114"/>
        <v>0</v>
      </c>
      <c r="AU132" s="50">
        <f t="shared" si="114"/>
        <v>0</v>
      </c>
      <c r="AV132" s="50">
        <f t="shared" si="114"/>
        <v>0</v>
      </c>
      <c r="AW132" s="50">
        <f t="shared" si="114"/>
        <v>0</v>
      </c>
      <c r="AX132" s="50">
        <f t="shared" si="114"/>
        <v>0</v>
      </c>
      <c r="AY132" s="50">
        <f t="shared" si="114"/>
        <v>0</v>
      </c>
      <c r="AZ132" s="50">
        <f t="shared" si="114"/>
        <v>0</v>
      </c>
      <c r="BA132" s="50">
        <f t="shared" si="114"/>
        <v>0</v>
      </c>
      <c r="BB132" s="50">
        <f t="shared" si="114"/>
        <v>0</v>
      </c>
      <c r="BC132" s="443" t="e">
        <f>IF($B132&lt;&gt;"",VLOOKUP($B132,RESUMO!$A$11:$H$42,8),"")</f>
        <v>#REF!</v>
      </c>
      <c r="BD132" s="443" t="e">
        <f>IF($B132&lt;&gt;"",VLOOKUP($B132,RESUMO!$A$11:$H$42,6),"")</f>
        <v>#REF!</v>
      </c>
      <c r="BF132" s="424" t="e">
        <f t="shared" si="62"/>
        <v>#REF!</v>
      </c>
      <c r="BG132" s="441"/>
      <c r="BH132" s="297"/>
    </row>
    <row r="133" spans="1:60" s="295" customFormat="1">
      <c r="A133" s="292">
        <v>120</v>
      </c>
      <c r="B133" s="294"/>
      <c r="C133" s="141" t="s">
        <v>3051</v>
      </c>
      <c r="D133" s="139"/>
      <c r="E133" s="425"/>
      <c r="F133" s="425"/>
      <c r="G133" s="425"/>
      <c r="H133" s="425"/>
      <c r="I133" s="425"/>
      <c r="J133" s="425"/>
      <c r="K133" s="425"/>
      <c r="L133" s="425"/>
      <c r="M133" s="425"/>
      <c r="N133" s="425"/>
      <c r="O133" s="425"/>
      <c r="P133" s="425"/>
      <c r="Q133" s="425"/>
      <c r="R133" s="425"/>
      <c r="S133" s="425"/>
      <c r="T133" s="425"/>
      <c r="U133" s="425"/>
      <c r="V133" s="425"/>
      <c r="W133" s="425"/>
      <c r="X133" s="425"/>
      <c r="Y133" s="425"/>
      <c r="Z133" s="425"/>
      <c r="AA133" s="425"/>
      <c r="AB133" s="425"/>
      <c r="AC133" s="425"/>
      <c r="AD133" s="425"/>
      <c r="AE133" s="425"/>
      <c r="AF133" s="425"/>
      <c r="AG133" s="425"/>
      <c r="AH133" s="425"/>
      <c r="AI133" s="423"/>
      <c r="AJ133" s="423"/>
      <c r="AK133" s="425"/>
      <c r="AL133" s="425"/>
      <c r="AM133" s="425"/>
      <c r="AN133" s="425"/>
      <c r="AO133" s="425"/>
      <c r="AP133" s="425"/>
      <c r="AQ133" s="425"/>
      <c r="AR133" s="425"/>
      <c r="AS133" s="425"/>
      <c r="AT133" s="425"/>
      <c r="AU133" s="425"/>
      <c r="AV133" s="425"/>
      <c r="AW133" s="425"/>
      <c r="AX133" s="425"/>
      <c r="AY133" s="425"/>
      <c r="AZ133" s="425"/>
      <c r="BA133" s="425"/>
      <c r="BB133" s="425"/>
      <c r="BC133" s="140"/>
      <c r="BD133" s="140"/>
      <c r="BF133" s="424"/>
      <c r="BG133" s="442">
        <f>SUM(E133:BB133)</f>
        <v>0</v>
      </c>
      <c r="BH133" s="296"/>
    </row>
    <row r="134" spans="1:60" s="292" customFormat="1">
      <c r="A134" s="295">
        <v>121</v>
      </c>
      <c r="B134" s="291">
        <v>30</v>
      </c>
      <c r="C134" s="55" t="e">
        <f>IF($B134&lt;&gt;"",VLOOKUP($B134,ORC!$E:$N,4,0),"")</f>
        <v>#N/A</v>
      </c>
      <c r="D134" s="49" t="e">
        <f>+BC134/BC$136</f>
        <v>#REF!</v>
      </c>
      <c r="E134" s="50">
        <f t="shared" ref="E134:AH134" si="115">IF(E135&lt;&gt;"",E135*$BC134,0)</f>
        <v>0</v>
      </c>
      <c r="F134" s="50">
        <f t="shared" si="115"/>
        <v>0</v>
      </c>
      <c r="G134" s="50">
        <f t="shared" si="115"/>
        <v>0</v>
      </c>
      <c r="H134" s="50">
        <f t="shared" si="115"/>
        <v>0</v>
      </c>
      <c r="I134" s="50">
        <f t="shared" si="115"/>
        <v>0</v>
      </c>
      <c r="J134" s="50">
        <f t="shared" si="115"/>
        <v>0</v>
      </c>
      <c r="K134" s="50">
        <f t="shared" si="115"/>
        <v>0</v>
      </c>
      <c r="L134" s="50">
        <f t="shared" si="115"/>
        <v>0</v>
      </c>
      <c r="M134" s="50">
        <f t="shared" si="115"/>
        <v>0</v>
      </c>
      <c r="N134" s="50">
        <f t="shared" si="115"/>
        <v>0</v>
      </c>
      <c r="O134" s="50">
        <f t="shared" si="115"/>
        <v>0</v>
      </c>
      <c r="P134" s="50">
        <f t="shared" si="115"/>
        <v>0</v>
      </c>
      <c r="Q134" s="50">
        <f t="shared" si="115"/>
        <v>0</v>
      </c>
      <c r="R134" s="50">
        <f t="shared" si="115"/>
        <v>0</v>
      </c>
      <c r="S134" s="50">
        <f t="shared" si="115"/>
        <v>0</v>
      </c>
      <c r="T134" s="50">
        <f t="shared" si="115"/>
        <v>0</v>
      </c>
      <c r="U134" s="50">
        <f t="shared" si="115"/>
        <v>0</v>
      </c>
      <c r="V134" s="50">
        <f t="shared" si="115"/>
        <v>0</v>
      </c>
      <c r="W134" s="50">
        <f t="shared" si="115"/>
        <v>0</v>
      </c>
      <c r="X134" s="50">
        <f t="shared" si="115"/>
        <v>0</v>
      </c>
      <c r="Y134" s="50">
        <f t="shared" si="115"/>
        <v>0</v>
      </c>
      <c r="Z134" s="50">
        <f t="shared" si="115"/>
        <v>0</v>
      </c>
      <c r="AA134" s="50">
        <f t="shared" si="115"/>
        <v>0</v>
      </c>
      <c r="AB134" s="50">
        <f t="shared" si="115"/>
        <v>0</v>
      </c>
      <c r="AC134" s="50">
        <f t="shared" si="115"/>
        <v>0</v>
      </c>
      <c r="AD134" s="50">
        <f t="shared" si="115"/>
        <v>0</v>
      </c>
      <c r="AE134" s="50">
        <f t="shared" si="115"/>
        <v>0</v>
      </c>
      <c r="AF134" s="50">
        <f t="shared" si="115"/>
        <v>0</v>
      </c>
      <c r="AG134" s="50">
        <f t="shared" si="115"/>
        <v>0</v>
      </c>
      <c r="AH134" s="50">
        <f t="shared" si="115"/>
        <v>0</v>
      </c>
      <c r="AI134" s="423"/>
      <c r="AJ134" s="423"/>
      <c r="AK134" s="50">
        <f t="shared" ref="AK134:BB134" si="116">IF(AK135&lt;&gt;"",AK135*$BC134,0)</f>
        <v>0</v>
      </c>
      <c r="AL134" s="50">
        <f t="shared" si="116"/>
        <v>0</v>
      </c>
      <c r="AM134" s="50">
        <f t="shared" si="116"/>
        <v>0</v>
      </c>
      <c r="AN134" s="50">
        <f t="shared" si="116"/>
        <v>0</v>
      </c>
      <c r="AO134" s="50">
        <f t="shared" si="116"/>
        <v>0</v>
      </c>
      <c r="AP134" s="50">
        <f t="shared" si="116"/>
        <v>0</v>
      </c>
      <c r="AQ134" s="50">
        <f t="shared" si="116"/>
        <v>0</v>
      </c>
      <c r="AR134" s="50">
        <f t="shared" si="116"/>
        <v>0</v>
      </c>
      <c r="AS134" s="50">
        <f t="shared" si="116"/>
        <v>0</v>
      </c>
      <c r="AT134" s="50">
        <f t="shared" si="116"/>
        <v>0</v>
      </c>
      <c r="AU134" s="50">
        <f t="shared" si="116"/>
        <v>0</v>
      </c>
      <c r="AV134" s="50">
        <f t="shared" si="116"/>
        <v>0</v>
      </c>
      <c r="AW134" s="50">
        <f t="shared" si="116"/>
        <v>0</v>
      </c>
      <c r="AX134" s="50">
        <f t="shared" si="116"/>
        <v>0</v>
      </c>
      <c r="AY134" s="50">
        <f t="shared" si="116"/>
        <v>0</v>
      </c>
      <c r="AZ134" s="50">
        <f t="shared" si="116"/>
        <v>0</v>
      </c>
      <c r="BA134" s="50">
        <f t="shared" si="116"/>
        <v>0</v>
      </c>
      <c r="BB134" s="50">
        <f t="shared" si="116"/>
        <v>0</v>
      </c>
      <c r="BC134" s="443" t="e">
        <f>IF($B134&lt;&gt;"",VLOOKUP($B134,RESUMO!$A$11:$H$42,8),"")</f>
        <v>#REF!</v>
      </c>
      <c r="BD134" s="443" t="e">
        <f>IF($B134&lt;&gt;"",VLOOKUP($B134,RESUMO!$A$11:$H$42,6),"")</f>
        <v>#REF!</v>
      </c>
      <c r="BF134" s="424" t="e">
        <f t="shared" si="62"/>
        <v>#REF!</v>
      </c>
      <c r="BG134" s="441"/>
      <c r="BH134" s="297"/>
    </row>
    <row r="135" spans="1:60" s="295" customFormat="1" ht="13.5" thickBot="1">
      <c r="A135" s="292">
        <v>122</v>
      </c>
      <c r="B135" s="294"/>
      <c r="C135" s="141" t="s">
        <v>3051</v>
      </c>
      <c r="D135" s="139"/>
      <c r="E135" s="425"/>
      <c r="F135" s="425"/>
      <c r="G135" s="425"/>
      <c r="H135" s="425"/>
      <c r="I135" s="425"/>
      <c r="J135" s="425"/>
      <c r="K135" s="425"/>
      <c r="L135" s="425"/>
      <c r="M135" s="425"/>
      <c r="N135" s="425"/>
      <c r="O135" s="425"/>
      <c r="P135" s="425"/>
      <c r="Q135" s="425"/>
      <c r="R135" s="425"/>
      <c r="S135" s="425"/>
      <c r="T135" s="425"/>
      <c r="U135" s="425"/>
      <c r="V135" s="425"/>
      <c r="W135" s="425"/>
      <c r="X135" s="425"/>
      <c r="Y135" s="425"/>
      <c r="Z135" s="425"/>
      <c r="AA135" s="425"/>
      <c r="AB135" s="425"/>
      <c r="AC135" s="425"/>
      <c r="AD135" s="425"/>
      <c r="AE135" s="425"/>
      <c r="AF135" s="425"/>
      <c r="AG135" s="425"/>
      <c r="AH135" s="425"/>
      <c r="AI135" s="423"/>
      <c r="AJ135" s="423"/>
      <c r="AK135" s="425"/>
      <c r="AL135" s="425"/>
      <c r="AM135" s="425"/>
      <c r="AN135" s="425"/>
      <c r="AO135" s="425"/>
      <c r="AP135" s="425"/>
      <c r="AQ135" s="425"/>
      <c r="AR135" s="425"/>
      <c r="AS135" s="425"/>
      <c r="AT135" s="425"/>
      <c r="AU135" s="425"/>
      <c r="AV135" s="425"/>
      <c r="AW135" s="425"/>
      <c r="AX135" s="425"/>
      <c r="AY135" s="425"/>
      <c r="AZ135" s="425"/>
      <c r="BA135" s="425"/>
      <c r="BB135" s="425"/>
      <c r="BC135" s="140"/>
      <c r="BD135" s="140"/>
      <c r="BF135" s="424"/>
      <c r="BG135" s="442">
        <f>SUM(E135:BB135)</f>
        <v>0</v>
      </c>
      <c r="BH135" s="296"/>
    </row>
    <row r="136" spans="1:60" ht="13.5" thickBot="1">
      <c r="A136" s="295">
        <v>123</v>
      </c>
      <c r="B136" s="1093" t="s">
        <v>5320</v>
      </c>
      <c r="C136" s="1094"/>
      <c r="D136" s="48" t="e">
        <f>SUM(D14:D135)</f>
        <v>#REF!</v>
      </c>
      <c r="E136" s="68">
        <f>SUM(E15,E17,E19,E21,E23,E25,E27,E29,E31,E33,E35,E37,E39,E41,E43,E45,E47,E49,E51,E53,E55,E57,E59,E61,E63,E65,E67,E69,E71,E73,E76,E78,E80,E82,E84,E86,E88,E90,E92,E94,E96,E98,E100,E102,E104,E106,E108,E110,E112,E114,E116,E118,E120,E122,E124,E126,E128,E130,E132,E134)</f>
        <v>0</v>
      </c>
      <c r="F136" s="68">
        <f t="shared" ref="F136:BD136" si="117">SUM(F15,F17,F19,F21,F23,F25,F27,F29,F31,F33,F35,F37,F39,F41,F43,F45,F47,F49,F51,F53,F55,F57,F59,F61,F63,F65,F67,F69,F71,F73,F76,F78,F80,F82,F84,F86,F88,F90,F92,F94,F96,F98,F100,F102,F104,F106,F108,F110,F112,F114,F116,F118,F120,F122,F124,F126,F128,F130,F132,F134)</f>
        <v>0</v>
      </c>
      <c r="G136" s="68">
        <f t="shared" si="117"/>
        <v>0</v>
      </c>
      <c r="H136" s="68">
        <f t="shared" si="117"/>
        <v>0</v>
      </c>
      <c r="I136" s="68">
        <f t="shared" si="117"/>
        <v>0</v>
      </c>
      <c r="J136" s="68">
        <f t="shared" si="117"/>
        <v>0</v>
      </c>
      <c r="K136" s="68">
        <f t="shared" si="117"/>
        <v>0</v>
      </c>
      <c r="L136" s="68">
        <f t="shared" si="117"/>
        <v>0</v>
      </c>
      <c r="M136" s="68">
        <f t="shared" si="117"/>
        <v>0</v>
      </c>
      <c r="N136" s="68">
        <f t="shared" si="117"/>
        <v>0</v>
      </c>
      <c r="O136" s="68">
        <f t="shared" si="117"/>
        <v>0</v>
      </c>
      <c r="P136" s="68">
        <f t="shared" si="117"/>
        <v>0</v>
      </c>
      <c r="Q136" s="68">
        <f t="shared" si="117"/>
        <v>0</v>
      </c>
      <c r="R136" s="68">
        <f t="shared" si="117"/>
        <v>0</v>
      </c>
      <c r="S136" s="68">
        <f t="shared" si="117"/>
        <v>0</v>
      </c>
      <c r="T136" s="68">
        <f t="shared" si="117"/>
        <v>0</v>
      </c>
      <c r="U136" s="68">
        <f t="shared" si="117"/>
        <v>0</v>
      </c>
      <c r="V136" s="68">
        <f t="shared" si="117"/>
        <v>0</v>
      </c>
      <c r="W136" s="68">
        <f t="shared" si="117"/>
        <v>0</v>
      </c>
      <c r="X136" s="68">
        <f t="shared" si="117"/>
        <v>0</v>
      </c>
      <c r="Y136" s="68">
        <f t="shared" si="117"/>
        <v>0</v>
      </c>
      <c r="Z136" s="68">
        <f t="shared" si="117"/>
        <v>0</v>
      </c>
      <c r="AA136" s="68">
        <f t="shared" si="117"/>
        <v>0</v>
      </c>
      <c r="AB136" s="68">
        <f t="shared" si="117"/>
        <v>0</v>
      </c>
      <c r="AC136" s="68">
        <f t="shared" si="117"/>
        <v>0</v>
      </c>
      <c r="AD136" s="68">
        <f t="shared" si="117"/>
        <v>0</v>
      </c>
      <c r="AE136" s="68">
        <f t="shared" si="117"/>
        <v>0</v>
      </c>
      <c r="AF136" s="68">
        <f t="shared" si="117"/>
        <v>0</v>
      </c>
      <c r="AG136" s="68">
        <f t="shared" si="117"/>
        <v>0</v>
      </c>
      <c r="AH136" s="68">
        <f t="shared" si="117"/>
        <v>0</v>
      </c>
      <c r="AI136" s="68">
        <f t="shared" si="117"/>
        <v>0</v>
      </c>
      <c r="AJ136" s="68">
        <f t="shared" si="117"/>
        <v>0</v>
      </c>
      <c r="AK136" s="68">
        <f t="shared" si="117"/>
        <v>0</v>
      </c>
      <c r="AL136" s="68">
        <f t="shared" si="117"/>
        <v>0</v>
      </c>
      <c r="AM136" s="68">
        <f t="shared" si="117"/>
        <v>0</v>
      </c>
      <c r="AN136" s="68">
        <f t="shared" si="117"/>
        <v>0</v>
      </c>
      <c r="AO136" s="68">
        <f t="shared" si="117"/>
        <v>0</v>
      </c>
      <c r="AP136" s="68">
        <f t="shared" si="117"/>
        <v>0</v>
      </c>
      <c r="AQ136" s="68">
        <f t="shared" si="117"/>
        <v>0</v>
      </c>
      <c r="AR136" s="68">
        <f t="shared" si="117"/>
        <v>0</v>
      </c>
      <c r="AS136" s="68">
        <f t="shared" si="117"/>
        <v>0</v>
      </c>
      <c r="AT136" s="68">
        <f t="shared" si="117"/>
        <v>0</v>
      </c>
      <c r="AU136" s="68">
        <f t="shared" si="117"/>
        <v>0</v>
      </c>
      <c r="AV136" s="68">
        <f t="shared" si="117"/>
        <v>0</v>
      </c>
      <c r="AW136" s="68">
        <f t="shared" si="117"/>
        <v>0</v>
      </c>
      <c r="AX136" s="68">
        <f t="shared" si="117"/>
        <v>0</v>
      </c>
      <c r="AY136" s="68">
        <f t="shared" si="117"/>
        <v>0</v>
      </c>
      <c r="AZ136" s="68">
        <f t="shared" si="117"/>
        <v>0</v>
      </c>
      <c r="BA136" s="68">
        <f t="shared" si="117"/>
        <v>0</v>
      </c>
      <c r="BB136" s="68">
        <f t="shared" si="117"/>
        <v>0</v>
      </c>
      <c r="BC136" s="68" t="e">
        <f t="shared" si="117"/>
        <v>#REF!</v>
      </c>
      <c r="BD136" s="68" t="e">
        <f t="shared" si="117"/>
        <v>#REF!</v>
      </c>
    </row>
    <row r="137" spans="1:60" ht="13.5" thickBot="1">
      <c r="A137" s="292">
        <v>124</v>
      </c>
      <c r="B137" s="1093" t="s">
        <v>5321</v>
      </c>
      <c r="C137" s="1094"/>
      <c r="D137" s="48"/>
      <c r="E137" s="426" t="e">
        <f>+E136/$BC136</f>
        <v>#REF!</v>
      </c>
      <c r="F137" s="426" t="e">
        <f>+F136/$BC136</f>
        <v>#REF!</v>
      </c>
      <c r="G137" s="426" t="e">
        <f t="shared" ref="G137:BC137" si="118">+G136/$BC136</f>
        <v>#REF!</v>
      </c>
      <c r="H137" s="426" t="e">
        <f t="shared" si="118"/>
        <v>#REF!</v>
      </c>
      <c r="I137" s="426" t="e">
        <f t="shared" si="118"/>
        <v>#REF!</v>
      </c>
      <c r="J137" s="426" t="e">
        <f t="shared" si="118"/>
        <v>#REF!</v>
      </c>
      <c r="K137" s="426" t="e">
        <f t="shared" si="118"/>
        <v>#REF!</v>
      </c>
      <c r="L137" s="426" t="e">
        <f t="shared" si="118"/>
        <v>#REF!</v>
      </c>
      <c r="M137" s="426" t="e">
        <f t="shared" si="118"/>
        <v>#REF!</v>
      </c>
      <c r="N137" s="426" t="e">
        <f t="shared" si="118"/>
        <v>#REF!</v>
      </c>
      <c r="O137" s="426" t="e">
        <f t="shared" si="118"/>
        <v>#REF!</v>
      </c>
      <c r="P137" s="426" t="e">
        <f t="shared" si="118"/>
        <v>#REF!</v>
      </c>
      <c r="Q137" s="426" t="e">
        <f t="shared" si="118"/>
        <v>#REF!</v>
      </c>
      <c r="R137" s="426" t="e">
        <f t="shared" si="118"/>
        <v>#REF!</v>
      </c>
      <c r="S137" s="426" t="e">
        <f t="shared" si="118"/>
        <v>#REF!</v>
      </c>
      <c r="T137" s="426" t="e">
        <f t="shared" si="118"/>
        <v>#REF!</v>
      </c>
      <c r="U137" s="426" t="e">
        <f t="shared" si="118"/>
        <v>#REF!</v>
      </c>
      <c r="V137" s="426" t="e">
        <f t="shared" si="118"/>
        <v>#REF!</v>
      </c>
      <c r="W137" s="426" t="e">
        <f t="shared" si="118"/>
        <v>#REF!</v>
      </c>
      <c r="X137" s="426" t="e">
        <f t="shared" si="118"/>
        <v>#REF!</v>
      </c>
      <c r="Y137" s="426" t="e">
        <f t="shared" si="118"/>
        <v>#REF!</v>
      </c>
      <c r="Z137" s="426" t="e">
        <f t="shared" si="118"/>
        <v>#REF!</v>
      </c>
      <c r="AA137" s="426" t="e">
        <f t="shared" si="118"/>
        <v>#REF!</v>
      </c>
      <c r="AB137" s="426" t="e">
        <f t="shared" si="118"/>
        <v>#REF!</v>
      </c>
      <c r="AC137" s="426" t="e">
        <f t="shared" si="118"/>
        <v>#REF!</v>
      </c>
      <c r="AD137" s="426" t="e">
        <f t="shared" si="118"/>
        <v>#REF!</v>
      </c>
      <c r="AE137" s="426" t="e">
        <f t="shared" si="118"/>
        <v>#REF!</v>
      </c>
      <c r="AF137" s="426" t="e">
        <f t="shared" si="118"/>
        <v>#REF!</v>
      </c>
      <c r="AG137" s="426" t="e">
        <f t="shared" si="118"/>
        <v>#REF!</v>
      </c>
      <c r="AH137" s="426" t="e">
        <f t="shared" si="118"/>
        <v>#REF!</v>
      </c>
      <c r="AI137" s="426" t="e">
        <f t="shared" si="118"/>
        <v>#REF!</v>
      </c>
      <c r="AJ137" s="426" t="e">
        <f t="shared" si="118"/>
        <v>#REF!</v>
      </c>
      <c r="AK137" s="426" t="e">
        <f t="shared" si="118"/>
        <v>#REF!</v>
      </c>
      <c r="AL137" s="426" t="e">
        <f t="shared" si="118"/>
        <v>#REF!</v>
      </c>
      <c r="AM137" s="426" t="e">
        <f t="shared" si="118"/>
        <v>#REF!</v>
      </c>
      <c r="AN137" s="426" t="e">
        <f t="shared" si="118"/>
        <v>#REF!</v>
      </c>
      <c r="AO137" s="426" t="e">
        <f t="shared" si="118"/>
        <v>#REF!</v>
      </c>
      <c r="AP137" s="426" t="e">
        <f t="shared" si="118"/>
        <v>#REF!</v>
      </c>
      <c r="AQ137" s="426" t="e">
        <f t="shared" si="118"/>
        <v>#REF!</v>
      </c>
      <c r="AR137" s="426" t="e">
        <f t="shared" si="118"/>
        <v>#REF!</v>
      </c>
      <c r="AS137" s="426" t="e">
        <f t="shared" si="118"/>
        <v>#REF!</v>
      </c>
      <c r="AT137" s="426" t="e">
        <f t="shared" si="118"/>
        <v>#REF!</v>
      </c>
      <c r="AU137" s="426" t="e">
        <f t="shared" si="118"/>
        <v>#REF!</v>
      </c>
      <c r="AV137" s="426" t="e">
        <f t="shared" si="118"/>
        <v>#REF!</v>
      </c>
      <c r="AW137" s="426" t="e">
        <f t="shared" si="118"/>
        <v>#REF!</v>
      </c>
      <c r="AX137" s="426" t="e">
        <f t="shared" si="118"/>
        <v>#REF!</v>
      </c>
      <c r="AY137" s="426" t="e">
        <f t="shared" si="118"/>
        <v>#REF!</v>
      </c>
      <c r="AZ137" s="426" t="e">
        <f t="shared" si="118"/>
        <v>#REF!</v>
      </c>
      <c r="BA137" s="426" t="e">
        <f t="shared" si="118"/>
        <v>#REF!</v>
      </c>
      <c r="BB137" s="426" t="e">
        <f t="shared" si="118"/>
        <v>#REF!</v>
      </c>
      <c r="BC137" s="426" t="e">
        <f t="shared" si="118"/>
        <v>#REF!</v>
      </c>
      <c r="BD137" s="68">
        <f>SUM(BD16,BD18,BD20,BD22,BD24,BD26,BD28,BD30,BD32,BD34,BD36,BD38,BD40,BD42,BD44,BD46,BD48,BD50,BD52,BD54,BD56,BD58,BD60,BD62,BD64,BD66,BD68,BD70,BD72,BD75,BD77,BD79,BD81,BD83,BD85,BD87,BD89,BD91,BD93,BD95,BD97,BD99,BD101,BD103,BD105,BD107,BD109,BD111,BD113,BD115,BD117,BD119,BD121,BD123,BD125,BD127,BD129,BD131,BD133,BD135)</f>
        <v>0</v>
      </c>
    </row>
    <row r="138" spans="1:60" ht="13.5" thickBot="1">
      <c r="A138" s="295">
        <v>125</v>
      </c>
      <c r="B138" s="1093" t="s">
        <v>5322</v>
      </c>
      <c r="C138" s="1094"/>
      <c r="D138" s="48"/>
      <c r="E138" s="68">
        <f>+E136</f>
        <v>0</v>
      </c>
      <c r="F138" s="68">
        <f>+F136+E138</f>
        <v>0</v>
      </c>
      <c r="G138" s="68">
        <f t="shared" ref="G138:BA138" si="119">+G136+F138</f>
        <v>0</v>
      </c>
      <c r="H138" s="68">
        <f t="shared" si="119"/>
        <v>0</v>
      </c>
      <c r="I138" s="68">
        <f t="shared" si="119"/>
        <v>0</v>
      </c>
      <c r="J138" s="68">
        <f t="shared" si="119"/>
        <v>0</v>
      </c>
      <c r="K138" s="68">
        <f t="shared" si="119"/>
        <v>0</v>
      </c>
      <c r="L138" s="68">
        <f t="shared" si="119"/>
        <v>0</v>
      </c>
      <c r="M138" s="68">
        <f t="shared" si="119"/>
        <v>0</v>
      </c>
      <c r="N138" s="68">
        <f t="shared" si="119"/>
        <v>0</v>
      </c>
      <c r="O138" s="68">
        <f t="shared" si="119"/>
        <v>0</v>
      </c>
      <c r="P138" s="68">
        <f t="shared" si="119"/>
        <v>0</v>
      </c>
      <c r="Q138" s="68">
        <f t="shared" si="119"/>
        <v>0</v>
      </c>
      <c r="R138" s="68">
        <f t="shared" si="119"/>
        <v>0</v>
      </c>
      <c r="S138" s="68">
        <f t="shared" si="119"/>
        <v>0</v>
      </c>
      <c r="T138" s="68">
        <f t="shared" si="119"/>
        <v>0</v>
      </c>
      <c r="U138" s="68">
        <f t="shared" si="119"/>
        <v>0</v>
      </c>
      <c r="V138" s="68">
        <f t="shared" si="119"/>
        <v>0</v>
      </c>
      <c r="W138" s="68">
        <f t="shared" si="119"/>
        <v>0</v>
      </c>
      <c r="X138" s="68">
        <f t="shared" si="119"/>
        <v>0</v>
      </c>
      <c r="Y138" s="68">
        <f t="shared" si="119"/>
        <v>0</v>
      </c>
      <c r="Z138" s="68">
        <f t="shared" si="119"/>
        <v>0</v>
      </c>
      <c r="AA138" s="68">
        <f t="shared" si="119"/>
        <v>0</v>
      </c>
      <c r="AB138" s="68">
        <f t="shared" si="119"/>
        <v>0</v>
      </c>
      <c r="AC138" s="68">
        <f t="shared" si="119"/>
        <v>0</v>
      </c>
      <c r="AD138" s="68">
        <f t="shared" si="119"/>
        <v>0</v>
      </c>
      <c r="AE138" s="68">
        <f t="shared" si="119"/>
        <v>0</v>
      </c>
      <c r="AF138" s="68">
        <f t="shared" si="119"/>
        <v>0</v>
      </c>
      <c r="AG138" s="68">
        <f t="shared" si="119"/>
        <v>0</v>
      </c>
      <c r="AH138" s="68">
        <f t="shared" si="119"/>
        <v>0</v>
      </c>
      <c r="AI138" s="68">
        <f t="shared" si="119"/>
        <v>0</v>
      </c>
      <c r="AJ138" s="68">
        <f t="shared" si="119"/>
        <v>0</v>
      </c>
      <c r="AK138" s="68">
        <f t="shared" si="119"/>
        <v>0</v>
      </c>
      <c r="AL138" s="68">
        <f t="shared" si="119"/>
        <v>0</v>
      </c>
      <c r="AM138" s="68">
        <f t="shared" si="119"/>
        <v>0</v>
      </c>
      <c r="AN138" s="68">
        <f t="shared" si="119"/>
        <v>0</v>
      </c>
      <c r="AO138" s="68">
        <f t="shared" si="119"/>
        <v>0</v>
      </c>
      <c r="AP138" s="68">
        <f t="shared" si="119"/>
        <v>0</v>
      </c>
      <c r="AQ138" s="68">
        <f t="shared" si="119"/>
        <v>0</v>
      </c>
      <c r="AR138" s="68">
        <f t="shared" si="119"/>
        <v>0</v>
      </c>
      <c r="AS138" s="68">
        <f t="shared" si="119"/>
        <v>0</v>
      </c>
      <c r="AT138" s="68">
        <f t="shared" si="119"/>
        <v>0</v>
      </c>
      <c r="AU138" s="68">
        <f t="shared" si="119"/>
        <v>0</v>
      </c>
      <c r="AV138" s="68">
        <f t="shared" si="119"/>
        <v>0</v>
      </c>
      <c r="AW138" s="68">
        <f t="shared" si="119"/>
        <v>0</v>
      </c>
      <c r="AX138" s="68">
        <f t="shared" si="119"/>
        <v>0</v>
      </c>
      <c r="AY138" s="68">
        <f t="shared" si="119"/>
        <v>0</v>
      </c>
      <c r="AZ138" s="68">
        <f t="shared" si="119"/>
        <v>0</v>
      </c>
      <c r="BA138" s="68">
        <f t="shared" si="119"/>
        <v>0</v>
      </c>
      <c r="BB138" s="68">
        <f>+BB136+BA138</f>
        <v>0</v>
      </c>
      <c r="BC138" s="68"/>
      <c r="BD138" s="68"/>
    </row>
    <row r="139" spans="1:60">
      <c r="A139" s="292">
        <v>126</v>
      </c>
      <c r="B139" s="1093" t="s">
        <v>5323</v>
      </c>
      <c r="C139" s="1094"/>
      <c r="D139" s="48"/>
      <c r="E139" s="426" t="e">
        <f>+E137</f>
        <v>#REF!</v>
      </c>
      <c r="F139" s="426" t="e">
        <f>+F137+E139</f>
        <v>#REF!</v>
      </c>
      <c r="G139" s="426" t="e">
        <f t="shared" ref="G139:BB139" si="120">+G137+F139</f>
        <v>#REF!</v>
      </c>
      <c r="H139" s="426" t="e">
        <f t="shared" si="120"/>
        <v>#REF!</v>
      </c>
      <c r="I139" s="426" t="e">
        <f t="shared" si="120"/>
        <v>#REF!</v>
      </c>
      <c r="J139" s="426" t="e">
        <f t="shared" si="120"/>
        <v>#REF!</v>
      </c>
      <c r="K139" s="426" t="e">
        <f t="shared" si="120"/>
        <v>#REF!</v>
      </c>
      <c r="L139" s="426" t="e">
        <f t="shared" si="120"/>
        <v>#REF!</v>
      </c>
      <c r="M139" s="426" t="e">
        <f t="shared" si="120"/>
        <v>#REF!</v>
      </c>
      <c r="N139" s="426" t="e">
        <f t="shared" si="120"/>
        <v>#REF!</v>
      </c>
      <c r="O139" s="426" t="e">
        <f t="shared" si="120"/>
        <v>#REF!</v>
      </c>
      <c r="P139" s="426" t="e">
        <f t="shared" si="120"/>
        <v>#REF!</v>
      </c>
      <c r="Q139" s="426" t="e">
        <f t="shared" si="120"/>
        <v>#REF!</v>
      </c>
      <c r="R139" s="426" t="e">
        <f t="shared" si="120"/>
        <v>#REF!</v>
      </c>
      <c r="S139" s="426" t="e">
        <f t="shared" si="120"/>
        <v>#REF!</v>
      </c>
      <c r="T139" s="426" t="e">
        <f t="shared" si="120"/>
        <v>#REF!</v>
      </c>
      <c r="U139" s="426" t="e">
        <f t="shared" si="120"/>
        <v>#REF!</v>
      </c>
      <c r="V139" s="426" t="e">
        <f t="shared" si="120"/>
        <v>#REF!</v>
      </c>
      <c r="W139" s="426" t="e">
        <f t="shared" si="120"/>
        <v>#REF!</v>
      </c>
      <c r="X139" s="426" t="e">
        <f t="shared" si="120"/>
        <v>#REF!</v>
      </c>
      <c r="Y139" s="426" t="e">
        <f t="shared" si="120"/>
        <v>#REF!</v>
      </c>
      <c r="Z139" s="426" t="e">
        <f t="shared" si="120"/>
        <v>#REF!</v>
      </c>
      <c r="AA139" s="426" t="e">
        <f t="shared" si="120"/>
        <v>#REF!</v>
      </c>
      <c r="AB139" s="426" t="e">
        <f t="shared" si="120"/>
        <v>#REF!</v>
      </c>
      <c r="AC139" s="426" t="e">
        <f t="shared" si="120"/>
        <v>#REF!</v>
      </c>
      <c r="AD139" s="426" t="e">
        <f t="shared" si="120"/>
        <v>#REF!</v>
      </c>
      <c r="AE139" s="426" t="e">
        <f t="shared" si="120"/>
        <v>#REF!</v>
      </c>
      <c r="AF139" s="426" t="e">
        <f t="shared" si="120"/>
        <v>#REF!</v>
      </c>
      <c r="AG139" s="426" t="e">
        <f t="shared" si="120"/>
        <v>#REF!</v>
      </c>
      <c r="AH139" s="426" t="e">
        <f t="shared" si="120"/>
        <v>#REF!</v>
      </c>
      <c r="AI139" s="426" t="e">
        <f t="shared" si="120"/>
        <v>#REF!</v>
      </c>
      <c r="AJ139" s="426" t="e">
        <f t="shared" si="120"/>
        <v>#REF!</v>
      </c>
      <c r="AK139" s="426" t="e">
        <f t="shared" si="120"/>
        <v>#REF!</v>
      </c>
      <c r="AL139" s="426" t="e">
        <f t="shared" si="120"/>
        <v>#REF!</v>
      </c>
      <c r="AM139" s="426" t="e">
        <f t="shared" si="120"/>
        <v>#REF!</v>
      </c>
      <c r="AN139" s="426" t="e">
        <f t="shared" si="120"/>
        <v>#REF!</v>
      </c>
      <c r="AO139" s="426" t="e">
        <f t="shared" si="120"/>
        <v>#REF!</v>
      </c>
      <c r="AP139" s="426" t="e">
        <f t="shared" si="120"/>
        <v>#REF!</v>
      </c>
      <c r="AQ139" s="426" t="e">
        <f t="shared" si="120"/>
        <v>#REF!</v>
      </c>
      <c r="AR139" s="426" t="e">
        <f t="shared" si="120"/>
        <v>#REF!</v>
      </c>
      <c r="AS139" s="426" t="e">
        <f t="shared" si="120"/>
        <v>#REF!</v>
      </c>
      <c r="AT139" s="426" t="e">
        <f t="shared" si="120"/>
        <v>#REF!</v>
      </c>
      <c r="AU139" s="426" t="e">
        <f t="shared" si="120"/>
        <v>#REF!</v>
      </c>
      <c r="AV139" s="426" t="e">
        <f t="shared" si="120"/>
        <v>#REF!</v>
      </c>
      <c r="AW139" s="426" t="e">
        <f t="shared" si="120"/>
        <v>#REF!</v>
      </c>
      <c r="AX139" s="426" t="e">
        <f t="shared" si="120"/>
        <v>#REF!</v>
      </c>
      <c r="AY139" s="426" t="e">
        <f t="shared" si="120"/>
        <v>#REF!</v>
      </c>
      <c r="AZ139" s="426" t="e">
        <f t="shared" si="120"/>
        <v>#REF!</v>
      </c>
      <c r="BA139" s="426" t="e">
        <f t="shared" si="120"/>
        <v>#REF!</v>
      </c>
      <c r="BB139" s="426" t="e">
        <f t="shared" si="120"/>
        <v>#REF!</v>
      </c>
      <c r="BC139" s="426"/>
      <c r="BD139" s="68">
        <f>SUM(BD18,BD20,BD22,BD24,BD26,BD28,BD30,BD32,BD34,BD36,BD38,BD40,BD42,BD44,BD46,BD48,BD50,BD52,BD54,BD56,BD58,BD60,BD62,BD64,BD66,BD68,BD70,BD72,BD75,BD77,BD79,BD81,BD83,BD85,BD87,BD89,BD91,BD93,BD95,BD97,BD99,BD101,BD103,BD105,BD107,BD109,BD111,BD113,BD115,BD117,BD119,BD121,BD123,BD125,BD127,BD129,BD131,BD133,BD135,BD137)</f>
        <v>0</v>
      </c>
    </row>
    <row r="140" spans="1:60">
      <c r="B140" s="298"/>
      <c r="C140" s="299"/>
      <c r="D140" s="300"/>
      <c r="E140" s="301"/>
      <c r="F140" s="301"/>
      <c r="G140" s="301"/>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302"/>
      <c r="AF140" s="302"/>
      <c r="AG140" s="302"/>
      <c r="AH140" s="302"/>
      <c r="AI140" s="302"/>
      <c r="AJ140" s="302"/>
      <c r="AK140" s="302"/>
      <c r="AL140" s="302"/>
      <c r="AM140" s="302"/>
      <c r="AN140" s="302"/>
      <c r="AO140" s="302"/>
      <c r="AP140" s="302"/>
      <c r="AQ140" s="302"/>
      <c r="AR140" s="302"/>
      <c r="AS140" s="302"/>
      <c r="AT140" s="302"/>
      <c r="AU140" s="302"/>
      <c r="AV140" s="302"/>
      <c r="AW140" s="302"/>
      <c r="AX140" s="302"/>
      <c r="AY140" s="302"/>
      <c r="AZ140" s="302"/>
      <c r="BA140" s="302"/>
      <c r="BB140" s="302"/>
    </row>
    <row r="141" spans="1:60" s="311" customFormat="1">
      <c r="B141" s="305"/>
      <c r="C141" s="306"/>
      <c r="D141" s="307"/>
      <c r="E141" s="308" t="e">
        <f>+BC136</f>
        <v>#REF!</v>
      </c>
      <c r="F141" s="308" t="e">
        <f t="shared" ref="F141:P141" si="121">+E141</f>
        <v>#REF!</v>
      </c>
      <c r="G141" s="308" t="e">
        <f t="shared" si="121"/>
        <v>#REF!</v>
      </c>
      <c r="H141" s="309" t="e">
        <f t="shared" si="121"/>
        <v>#REF!</v>
      </c>
      <c r="I141" s="309" t="e">
        <f t="shared" si="121"/>
        <v>#REF!</v>
      </c>
      <c r="J141" s="309" t="e">
        <f t="shared" si="121"/>
        <v>#REF!</v>
      </c>
      <c r="K141" s="309" t="e">
        <f t="shared" si="121"/>
        <v>#REF!</v>
      </c>
      <c r="L141" s="309" t="e">
        <f t="shared" si="121"/>
        <v>#REF!</v>
      </c>
      <c r="M141" s="309" t="e">
        <f t="shared" si="121"/>
        <v>#REF!</v>
      </c>
      <c r="N141" s="309" t="e">
        <f t="shared" si="121"/>
        <v>#REF!</v>
      </c>
      <c r="O141" s="309" t="e">
        <f t="shared" si="121"/>
        <v>#REF!</v>
      </c>
      <c r="P141" s="309" t="e">
        <f t="shared" si="121"/>
        <v>#REF!</v>
      </c>
      <c r="Q141" s="309"/>
      <c r="R141" s="309"/>
      <c r="S141" s="309"/>
      <c r="T141" s="309"/>
      <c r="U141" s="309"/>
      <c r="V141" s="309"/>
      <c r="W141" s="309"/>
      <c r="X141" s="309"/>
      <c r="Y141" s="309"/>
      <c r="Z141" s="309"/>
      <c r="AA141" s="309"/>
      <c r="AB141" s="309"/>
      <c r="AC141" s="309"/>
      <c r="AD141" s="309"/>
      <c r="AE141" s="309"/>
      <c r="AF141" s="309"/>
      <c r="AG141" s="309"/>
      <c r="AH141" s="309"/>
      <c r="AI141" s="309"/>
      <c r="AJ141" s="309"/>
      <c r="AK141" s="309"/>
      <c r="AL141" s="309"/>
      <c r="AM141" s="309"/>
      <c r="AN141" s="309"/>
      <c r="AO141" s="309"/>
      <c r="AP141" s="309"/>
      <c r="AQ141" s="309"/>
      <c r="AR141" s="309"/>
      <c r="AS141" s="309"/>
      <c r="AT141" s="309"/>
      <c r="AU141" s="309"/>
      <c r="AV141" s="309"/>
      <c r="AW141" s="309"/>
      <c r="AX141" s="309"/>
      <c r="AY141" s="309"/>
      <c r="AZ141" s="309"/>
      <c r="BA141" s="309"/>
      <c r="BB141" s="309"/>
      <c r="BC141" s="310"/>
      <c r="BD141" s="310"/>
      <c r="BG141" s="439"/>
    </row>
    <row r="142" spans="1:60" s="311" customFormat="1">
      <c r="B142" s="305"/>
      <c r="C142" s="312"/>
      <c r="D142" s="307"/>
      <c r="E142" s="307"/>
      <c r="F142" s="307"/>
      <c r="G142" s="307"/>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310"/>
      <c r="AE142" s="310"/>
      <c r="AF142" s="310"/>
      <c r="AG142" s="310"/>
      <c r="AH142" s="310"/>
      <c r="AI142" s="310"/>
      <c r="AJ142" s="310"/>
      <c r="AK142" s="310"/>
      <c r="AL142" s="310"/>
      <c r="AM142" s="310"/>
      <c r="AN142" s="310"/>
      <c r="AO142" s="310"/>
      <c r="AP142" s="310"/>
      <c r="AQ142" s="310"/>
      <c r="AR142" s="310"/>
      <c r="AS142" s="310"/>
      <c r="AT142" s="310"/>
      <c r="AU142" s="310"/>
      <c r="AV142" s="310"/>
      <c r="AW142" s="310"/>
      <c r="AX142" s="310"/>
      <c r="AY142" s="310"/>
      <c r="AZ142" s="310"/>
      <c r="BA142" s="310"/>
      <c r="BB142" s="310"/>
      <c r="BC142" s="310"/>
      <c r="BD142" s="310"/>
      <c r="BG142" s="439"/>
    </row>
    <row r="143" spans="1:60" s="311" customFormat="1">
      <c r="B143" s="305"/>
      <c r="C143" s="312"/>
      <c r="D143" s="307"/>
      <c r="E143" s="307"/>
      <c r="F143" s="307"/>
      <c r="G143" s="307"/>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c r="AJ143" s="310"/>
      <c r="AK143" s="310"/>
      <c r="AL143" s="310"/>
      <c r="AM143" s="310"/>
      <c r="AN143" s="310"/>
      <c r="AO143" s="310"/>
      <c r="AP143" s="310"/>
      <c r="AQ143" s="310"/>
      <c r="AR143" s="310"/>
      <c r="AS143" s="310"/>
      <c r="AT143" s="310"/>
      <c r="AU143" s="310"/>
      <c r="AV143" s="310"/>
      <c r="AW143" s="310"/>
      <c r="AX143" s="310"/>
      <c r="AY143" s="310"/>
      <c r="AZ143" s="310"/>
      <c r="BA143" s="310"/>
      <c r="BB143" s="310"/>
      <c r="BC143" s="310"/>
      <c r="BD143" s="310"/>
      <c r="BG143" s="439"/>
    </row>
    <row r="144" spans="1:60">
      <c r="B144" s="298"/>
      <c r="C144" s="313"/>
      <c r="D144" s="314"/>
      <c r="E144" s="314"/>
      <c r="F144" s="314"/>
      <c r="G144" s="314"/>
      <c r="I144" s="316"/>
      <c r="J144" s="316"/>
      <c r="K144" s="316"/>
      <c r="L144" s="316"/>
      <c r="M144" s="316"/>
      <c r="N144" s="316"/>
      <c r="O144" s="316"/>
      <c r="P144" s="316"/>
      <c r="Q144" s="316"/>
      <c r="R144" s="316"/>
      <c r="S144" s="316"/>
      <c r="T144" s="316"/>
      <c r="U144" s="316"/>
      <c r="V144" s="316"/>
      <c r="W144" s="316"/>
      <c r="X144" s="316"/>
      <c r="Y144" s="316"/>
      <c r="Z144" s="316"/>
      <c r="AA144" s="316"/>
      <c r="AB144" s="316"/>
      <c r="AC144" s="316"/>
      <c r="AD144" s="316"/>
      <c r="AE144" s="316"/>
      <c r="AF144" s="316"/>
      <c r="AG144" s="316"/>
      <c r="AH144" s="316"/>
      <c r="AI144" s="316"/>
      <c r="AJ144" s="316"/>
      <c r="AK144" s="316"/>
      <c r="AL144" s="316"/>
      <c r="AM144" s="316"/>
      <c r="AN144" s="316"/>
      <c r="AO144" s="316"/>
      <c r="AP144" s="316"/>
      <c r="AQ144" s="316"/>
      <c r="AR144" s="316"/>
      <c r="AS144" s="316"/>
      <c r="AT144" s="316"/>
      <c r="AU144" s="316"/>
      <c r="AV144" s="316"/>
      <c r="AW144" s="316"/>
      <c r="AX144" s="316"/>
      <c r="AY144" s="316"/>
      <c r="AZ144" s="316"/>
      <c r="BA144" s="316"/>
      <c r="BB144" s="316"/>
      <c r="BC144" s="316"/>
      <c r="BD144" s="316"/>
    </row>
    <row r="145" spans="2:56">
      <c r="B145" s="298"/>
      <c r="C145" s="313"/>
      <c r="D145" s="314"/>
      <c r="E145" s="314"/>
      <c r="F145" s="314"/>
      <c r="G145" s="314"/>
      <c r="I145" s="316"/>
      <c r="J145" s="316"/>
      <c r="K145" s="316"/>
      <c r="L145" s="316"/>
      <c r="M145" s="316"/>
      <c r="N145" s="316"/>
      <c r="O145" s="316"/>
      <c r="P145" s="316"/>
      <c r="Q145" s="316"/>
      <c r="R145" s="316"/>
      <c r="S145" s="316"/>
      <c r="T145" s="316"/>
      <c r="U145" s="316"/>
      <c r="V145" s="316"/>
      <c r="W145" s="316"/>
      <c r="X145" s="316"/>
      <c r="Y145" s="316"/>
      <c r="Z145" s="316"/>
      <c r="AA145" s="316"/>
      <c r="AB145" s="316"/>
      <c r="AC145" s="316"/>
      <c r="AD145" s="316"/>
      <c r="AE145" s="316"/>
      <c r="AF145" s="316"/>
      <c r="AG145" s="316"/>
      <c r="AH145" s="316"/>
      <c r="AI145" s="316"/>
      <c r="AJ145" s="316"/>
      <c r="AK145" s="316"/>
      <c r="AL145" s="316"/>
      <c r="AM145" s="316"/>
      <c r="AN145" s="316"/>
      <c r="AO145" s="316"/>
      <c r="AP145" s="316"/>
      <c r="AQ145" s="316"/>
      <c r="AR145" s="316"/>
      <c r="AS145" s="316"/>
      <c r="AT145" s="316"/>
      <c r="AU145" s="316"/>
      <c r="AV145" s="316"/>
      <c r="AW145" s="316"/>
      <c r="AX145" s="316"/>
      <c r="AY145" s="316"/>
      <c r="AZ145" s="316"/>
      <c r="BA145" s="316"/>
      <c r="BB145" s="316"/>
      <c r="BC145" s="316"/>
      <c r="BD145" s="316"/>
    </row>
    <row r="146" spans="2:56">
      <c r="B146" s="298"/>
      <c r="I146" s="316"/>
      <c r="J146" s="316"/>
      <c r="K146" s="316"/>
      <c r="L146" s="316"/>
      <c r="M146" s="316"/>
      <c r="N146" s="316"/>
      <c r="O146" s="316"/>
      <c r="P146" s="316"/>
      <c r="Q146" s="316"/>
      <c r="R146" s="316"/>
      <c r="S146" s="316"/>
      <c r="T146" s="316"/>
      <c r="U146" s="316"/>
      <c r="V146" s="316"/>
      <c r="W146" s="316"/>
      <c r="X146" s="316"/>
      <c r="Y146" s="316"/>
      <c r="Z146" s="316"/>
      <c r="AA146" s="316"/>
      <c r="AB146" s="316"/>
      <c r="AC146" s="316"/>
      <c r="AD146" s="316"/>
      <c r="AE146" s="316"/>
      <c r="AF146" s="316"/>
      <c r="AG146" s="316"/>
      <c r="AH146" s="316"/>
      <c r="AI146" s="316"/>
      <c r="AJ146" s="316"/>
      <c r="AK146" s="316"/>
      <c r="AL146" s="316"/>
      <c r="AM146" s="316"/>
      <c r="AN146" s="316"/>
      <c r="AO146" s="316"/>
      <c r="AP146" s="316"/>
      <c r="AQ146" s="316"/>
      <c r="AR146" s="316"/>
      <c r="AS146" s="316"/>
      <c r="AT146" s="316"/>
      <c r="AU146" s="316"/>
      <c r="AV146" s="316"/>
      <c r="AW146" s="316"/>
      <c r="AX146" s="316"/>
      <c r="AY146" s="316"/>
      <c r="AZ146" s="316"/>
      <c r="BA146" s="316"/>
      <c r="BB146" s="316"/>
      <c r="BC146" s="316"/>
      <c r="BD146" s="316"/>
    </row>
    <row r="147" spans="2:56">
      <c r="B147" s="298"/>
      <c r="H147" s="316"/>
      <c r="I147" s="316"/>
      <c r="J147" s="316"/>
      <c r="K147" s="316"/>
      <c r="L147" s="316"/>
      <c r="M147" s="316"/>
      <c r="N147" s="316"/>
      <c r="O147" s="316"/>
      <c r="P147" s="316"/>
      <c r="Q147" s="316"/>
      <c r="R147" s="316"/>
      <c r="S147" s="316"/>
      <c r="T147" s="316"/>
      <c r="U147" s="316"/>
      <c r="V147" s="316"/>
      <c r="W147" s="316"/>
      <c r="X147" s="316"/>
      <c r="Y147" s="316"/>
      <c r="Z147" s="316"/>
      <c r="AA147" s="316"/>
      <c r="AB147" s="316"/>
      <c r="AC147" s="316"/>
      <c r="AD147" s="316"/>
      <c r="AE147" s="316"/>
      <c r="AF147" s="316"/>
      <c r="AG147" s="316"/>
      <c r="AH147" s="316"/>
      <c r="AI147" s="316"/>
      <c r="AJ147" s="316"/>
      <c r="AK147" s="316"/>
      <c r="AL147" s="316"/>
      <c r="AM147" s="316"/>
      <c r="AN147" s="316"/>
      <c r="AO147" s="316"/>
      <c r="AP147" s="316"/>
      <c r="AQ147" s="316"/>
      <c r="AR147" s="316"/>
      <c r="AS147" s="316"/>
      <c r="AT147" s="316"/>
      <c r="AU147" s="316"/>
      <c r="AV147" s="316"/>
      <c r="AW147" s="316"/>
      <c r="AX147" s="316"/>
      <c r="AY147" s="316"/>
      <c r="AZ147" s="316"/>
      <c r="BA147" s="316"/>
      <c r="BB147" s="316"/>
      <c r="BC147" s="316"/>
      <c r="BD147" s="316"/>
    </row>
    <row r="148" spans="2:56">
      <c r="B148" s="29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318"/>
      <c r="AF148" s="318"/>
      <c r="AG148" s="318"/>
      <c r="AH148" s="318"/>
      <c r="AI148" s="318"/>
      <c r="AJ148" s="318"/>
      <c r="AK148" s="318"/>
      <c r="AL148" s="318"/>
      <c r="AM148" s="318"/>
      <c r="AN148" s="318"/>
      <c r="AO148" s="318"/>
      <c r="AP148" s="318"/>
      <c r="AQ148" s="318"/>
      <c r="AR148" s="318"/>
      <c r="AS148" s="318"/>
      <c r="AT148" s="318"/>
      <c r="AU148" s="318"/>
      <c r="AV148" s="318"/>
      <c r="AW148" s="318"/>
      <c r="AX148" s="318"/>
      <c r="AY148" s="318"/>
      <c r="AZ148" s="318"/>
      <c r="BA148" s="318"/>
      <c r="BB148" s="318"/>
    </row>
  </sheetData>
  <autoFilter ref="A14:BH139" xr:uid="{00000000-0009-0000-0000-000007000000}"/>
  <mergeCells count="62">
    <mergeCell ref="BG12:BG13"/>
    <mergeCell ref="B136:C136"/>
    <mergeCell ref="H11:H13"/>
    <mergeCell ref="K11:K13"/>
    <mergeCell ref="L11:L13"/>
    <mergeCell ref="M11:M13"/>
    <mergeCell ref="N11:N13"/>
    <mergeCell ref="O11:O13"/>
    <mergeCell ref="P11:P13"/>
    <mergeCell ref="Q11:Q13"/>
    <mergeCell ref="R11:R13"/>
    <mergeCell ref="S11:S13"/>
    <mergeCell ref="U11:U13"/>
    <mergeCell ref="V11:V13"/>
    <mergeCell ref="AU11:AU13"/>
    <mergeCell ref="AE11:AE13"/>
    <mergeCell ref="E10:P10"/>
    <mergeCell ref="B7:BD7"/>
    <mergeCell ref="J11:J13"/>
    <mergeCell ref="AY11:AY13"/>
    <mergeCell ref="AZ11:AZ13"/>
    <mergeCell ref="BA11:BA13"/>
    <mergeCell ref="BB11:BB13"/>
    <mergeCell ref="AT11:AT13"/>
    <mergeCell ref="T11:T13"/>
    <mergeCell ref="W11:W13"/>
    <mergeCell ref="X11:X13"/>
    <mergeCell ref="Y11:Y13"/>
    <mergeCell ref="Z11:Z13"/>
    <mergeCell ref="AA11:AA13"/>
    <mergeCell ref="AC11:AC13"/>
    <mergeCell ref="AD11:AD13"/>
    <mergeCell ref="AF11:AF13"/>
    <mergeCell ref="B138:C138"/>
    <mergeCell ref="I11:I13"/>
    <mergeCell ref="C11:C13"/>
    <mergeCell ref="E11:E13"/>
    <mergeCell ref="F11:F13"/>
    <mergeCell ref="G11:G13"/>
    <mergeCell ref="B137:C137"/>
    <mergeCell ref="BA10:BB10"/>
    <mergeCell ref="AQ11:AQ13"/>
    <mergeCell ref="AR11:AR13"/>
    <mergeCell ref="AS11:AS13"/>
    <mergeCell ref="AV11:AV13"/>
    <mergeCell ref="AW11:AW13"/>
    <mergeCell ref="B139:C139"/>
    <mergeCell ref="AX11:AX13"/>
    <mergeCell ref="Q10:AB10"/>
    <mergeCell ref="AC10:AN10"/>
    <mergeCell ref="AO10:AZ10"/>
    <mergeCell ref="AL11:AL13"/>
    <mergeCell ref="AM11:AM13"/>
    <mergeCell ref="AN11:AN13"/>
    <mergeCell ref="AO11:AO13"/>
    <mergeCell ref="AP11:AP13"/>
    <mergeCell ref="AG11:AG13"/>
    <mergeCell ref="AH11:AH13"/>
    <mergeCell ref="AI11:AI13"/>
    <mergeCell ref="AJ11:AJ13"/>
    <mergeCell ref="AK11:AK13"/>
    <mergeCell ref="AB11:AB13"/>
  </mergeCells>
  <phoneticPr fontId="108" type="noConversion"/>
  <printOptions horizontalCentered="1"/>
  <pageMargins left="0.19685039370078741" right="0.19685039370078741" top="1.1811023622047245" bottom="0.98425196850393704" header="0.59055118110236227" footer="0.19685039370078741"/>
  <pageSetup paperSize="9" scale="66" orientation="landscape" r:id="rId1"/>
  <headerFooter>
    <oddFooter>&amp;R&amp;P</oddFooter>
  </headerFooter>
  <colBreaks count="4" manualBreakCount="4">
    <brk id="16" max="138" man="1"/>
    <brk id="28" max="138" man="1"/>
    <brk id="40" max="138" man="1"/>
    <brk id="52" max="138" man="1"/>
  </colBreaks>
  <drawing r:id="rId2"/>
  <legacyDrawing r:id="rId3"/>
  <legacyDrawingHF r:id="rId4"/>
  <oleObjects>
    <mc:AlternateContent xmlns:mc="http://schemas.openxmlformats.org/markup-compatibility/2006">
      <mc:Choice Requires="x14">
        <oleObject progId="MSPhotoEd.3" shapeId="47105" r:id="rId5">
          <objectPr defaultSize="0" autoPict="0" r:id="rId6">
            <anchor moveWithCells="1" sizeWithCells="1">
              <from>
                <xdr:col>1</xdr:col>
                <xdr:colOff>228600</xdr:colOff>
                <xdr:row>1</xdr:row>
                <xdr:rowOff>0</xdr:rowOff>
              </from>
              <to>
                <xdr:col>2</xdr:col>
                <xdr:colOff>638175</xdr:colOff>
                <xdr:row>1</xdr:row>
                <xdr:rowOff>0</xdr:rowOff>
              </to>
            </anchor>
          </objectPr>
        </oleObject>
      </mc:Choice>
      <mc:Fallback>
        <oleObject progId="MSPhotoEd.3" shapeId="47105" r:id="rId5"/>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T54"/>
  <sheetViews>
    <sheetView view="pageBreakPreview" zoomScaleNormal="85" zoomScaleSheetLayoutView="100" zoomScalePageLayoutView="70" workbookViewId="0">
      <selection activeCell="B12" sqref="B12:E12"/>
    </sheetView>
  </sheetViews>
  <sheetFormatPr defaultColWidth="9.140625" defaultRowHeight="12.75"/>
  <cols>
    <col min="1" max="1" width="12" style="176" customWidth="1"/>
    <col min="2" max="2" width="7.5703125" style="176" customWidth="1"/>
    <col min="3" max="3" width="10.85546875" style="176" customWidth="1"/>
    <col min="4" max="4" width="12.140625" style="176" customWidth="1"/>
    <col min="5" max="5" width="9.28515625" style="176" customWidth="1"/>
    <col min="6" max="6" width="17.42578125" style="176" customWidth="1"/>
    <col min="7" max="7" width="10.42578125" style="176" customWidth="1"/>
    <col min="8" max="8" width="14.5703125" style="176" customWidth="1"/>
    <col min="9" max="9" width="10.5703125" style="199" customWidth="1"/>
    <col min="10" max="10" width="9.140625" style="162"/>
    <col min="11" max="11" width="18.42578125" style="162" customWidth="1"/>
    <col min="12" max="12" width="16.140625" style="162" customWidth="1"/>
    <col min="13" max="13" width="14.28515625" style="162" bestFit="1" customWidth="1"/>
    <col min="14" max="14" width="14.5703125" style="162" customWidth="1"/>
    <col min="15" max="15" width="14.28515625" style="162" bestFit="1" customWidth="1"/>
    <col min="16" max="16" width="17.28515625" style="162" customWidth="1"/>
    <col min="17" max="17" width="11.7109375" style="162" bestFit="1" customWidth="1"/>
    <col min="18" max="19" width="9.140625" style="162"/>
    <col min="20" max="20" width="11.42578125" style="163" customWidth="1"/>
    <col min="21" max="16384" width="9.140625" style="162"/>
  </cols>
  <sheetData>
    <row r="1" spans="1:20" s="167" customFormat="1">
      <c r="A1" s="145" t="s">
        <v>2690</v>
      </c>
      <c r="B1" s="213" t="str">
        <f>IF(DADOS!$D$9&lt;&gt;"",DADOS!$D$9,"")</f>
        <v>CÂMARA MUNICIPAL DE TAMARANA</v>
      </c>
      <c r="C1" s="212"/>
      <c r="D1" s="213"/>
      <c r="E1" s="213"/>
      <c r="F1" s="220"/>
      <c r="G1" s="224" t="s">
        <v>29</v>
      </c>
      <c r="H1" s="221"/>
      <c r="I1" s="396">
        <f>BDI!D24</f>
        <v>0.2354</v>
      </c>
      <c r="J1" s="207"/>
      <c r="T1" s="168"/>
    </row>
    <row r="2" spans="1:20" s="167" customFormat="1">
      <c r="A2" s="146" t="s">
        <v>3714</v>
      </c>
      <c r="B2" s="445">
        <f>IF(DADOS!N7&lt;&gt;"",DADOS!N7)</f>
        <v>81</v>
      </c>
      <c r="C2" s="212"/>
      <c r="D2" s="213"/>
      <c r="E2" s="215"/>
      <c r="F2" s="214"/>
      <c r="G2" s="241"/>
      <c r="H2" s="222"/>
      <c r="I2" s="396"/>
      <c r="J2" s="207"/>
      <c r="T2" s="168"/>
    </row>
    <row r="3" spans="1:20" s="167" customFormat="1">
      <c r="A3" s="224" t="s">
        <v>6943</v>
      </c>
      <c r="B3" s="395" t="str">
        <f>IF(DADOS!D13&lt;&gt;"",DADOS!D13)</f>
        <v>CÂMARA MUNICIPAL DE TAMARANA</v>
      </c>
      <c r="C3" s="212"/>
      <c r="D3" s="213"/>
      <c r="E3" s="215"/>
      <c r="F3" s="214"/>
      <c r="G3" s="224"/>
      <c r="H3" s="225"/>
      <c r="I3" s="397"/>
      <c r="J3" s="207"/>
      <c r="T3" s="168"/>
    </row>
    <row r="4" spans="1:20" s="164" customFormat="1">
      <c r="A4" s="146" t="s">
        <v>3716</v>
      </c>
      <c r="B4" s="213" t="str">
        <f>IF(DADOS!D11&lt;&gt;"",DADOS!D11,"")</f>
        <v>RUA UBALDINO DE SÁ BITERNCOURT, S/N. - PRAÇA "A-B-3"</v>
      </c>
      <c r="C4" s="212"/>
      <c r="D4" s="213"/>
      <c r="E4" s="216"/>
      <c r="F4" s="223"/>
      <c r="G4" s="209" t="s">
        <v>3721</v>
      </c>
      <c r="H4" s="222"/>
      <c r="I4" s="398">
        <f>DADOS!D17</f>
        <v>713.26</v>
      </c>
      <c r="K4" s="152"/>
      <c r="L4" s="152"/>
      <c r="M4" s="152"/>
      <c r="N4" s="152"/>
      <c r="O4" s="152"/>
      <c r="P4" s="152"/>
      <c r="Q4" s="152"/>
      <c r="R4" s="152"/>
      <c r="S4" s="152"/>
      <c r="T4" s="152"/>
    </row>
    <row r="5" spans="1:20" s="164" customFormat="1">
      <c r="A5" s="218" t="s">
        <v>4877</v>
      </c>
      <c r="B5" s="228" t="str">
        <f>IF(DADOS!D21&lt;&gt;"",DADOS!D21)</f>
        <v>SINAPI PR - JULHO 2022 - NÃO DESONERADO</v>
      </c>
      <c r="C5" s="212"/>
      <c r="D5" s="219"/>
      <c r="E5" s="216"/>
      <c r="F5" s="217"/>
      <c r="G5" s="224" t="s">
        <v>903</v>
      </c>
      <c r="H5" s="399"/>
      <c r="I5" s="226">
        <f ca="1">IF(DADOS!D19&lt;&gt;"",DADOS!D19,"")</f>
        <v>44860</v>
      </c>
      <c r="T5" s="165"/>
    </row>
    <row r="6" spans="1:20" s="164" customFormat="1">
      <c r="A6" s="201"/>
      <c r="B6" s="170"/>
      <c r="C6" s="166"/>
      <c r="D6" s="170"/>
      <c r="E6" s="150"/>
      <c r="F6" s="150"/>
      <c r="G6" s="150"/>
      <c r="H6" s="150"/>
      <c r="I6" s="169"/>
      <c r="T6" s="165"/>
    </row>
    <row r="7" spans="1:20" s="164" customFormat="1">
      <c r="A7" s="1075" t="s">
        <v>3720</v>
      </c>
      <c r="B7" s="1076"/>
      <c r="C7" s="1076"/>
      <c r="D7" s="1076"/>
      <c r="E7" s="1076"/>
      <c r="F7" s="1076"/>
      <c r="G7" s="1076"/>
      <c r="H7" s="1076"/>
      <c r="I7" s="1077"/>
      <c r="T7" s="165"/>
    </row>
    <row r="8" spans="1:20" s="164" customFormat="1" ht="13.5" thickBot="1">
      <c r="A8" s="171"/>
      <c r="F8" s="172"/>
      <c r="G8" s="172"/>
      <c r="H8" s="172"/>
      <c r="I8" s="173"/>
      <c r="T8" s="165"/>
    </row>
    <row r="9" spans="1:20" s="158" customFormat="1">
      <c r="A9" s="1081" t="s">
        <v>904</v>
      </c>
      <c r="B9" s="1085" t="s">
        <v>791</v>
      </c>
      <c r="C9" s="1085"/>
      <c r="D9" s="1085"/>
      <c r="E9" s="1086"/>
      <c r="F9" s="592"/>
      <c r="G9" s="1091" t="s">
        <v>543</v>
      </c>
      <c r="H9" s="1086" t="s">
        <v>4876</v>
      </c>
      <c r="I9" s="1083" t="s">
        <v>30</v>
      </c>
      <c r="J9" s="174"/>
      <c r="K9" s="174"/>
      <c r="L9" s="174"/>
      <c r="M9" s="174"/>
      <c r="N9" s="174"/>
      <c r="O9" s="174"/>
      <c r="P9" s="174"/>
      <c r="Q9" s="174"/>
      <c r="R9" s="174"/>
      <c r="S9" s="174"/>
    </row>
    <row r="10" spans="1:20" s="158" customFormat="1" ht="13.5" thickBot="1">
      <c r="A10" s="1082"/>
      <c r="B10" s="1087"/>
      <c r="C10" s="1087"/>
      <c r="D10" s="1087"/>
      <c r="E10" s="1088"/>
      <c r="F10" s="175"/>
      <c r="G10" s="1092"/>
      <c r="H10" s="1088"/>
      <c r="I10" s="1084"/>
    </row>
    <row r="11" spans="1:20" s="158" customFormat="1">
      <c r="A11" s="1021"/>
      <c r="B11" s="1022" t="s">
        <v>6516</v>
      </c>
      <c r="C11" s="1022"/>
      <c r="D11" s="1022"/>
      <c r="E11" s="1023"/>
      <c r="F11" s="1025"/>
      <c r="G11" s="1026"/>
      <c r="H11" s="1027"/>
      <c r="I11" s="1024"/>
    </row>
    <row r="12" spans="1:20" s="159" customFormat="1">
      <c r="A12" s="97">
        <v>1</v>
      </c>
      <c r="B12" s="1069" t="str">
        <f>IF($A12&lt;&gt;"",VLOOKUP($A12,ORC!$E$1:$N$1033,4,0),"")</f>
        <v>SERVIÇOS PRELIMINARES</v>
      </c>
      <c r="C12" s="1070"/>
      <c r="D12" s="1070"/>
      <c r="E12" s="1071"/>
      <c r="F12" s="79"/>
      <c r="G12" s="432">
        <f>I$1</f>
        <v>0.2354</v>
      </c>
      <c r="H12" s="79">
        <f>IF($A12&lt;&gt;"",VLOOKUP($A12,ORC!$E$1:$N$1033,10,0),"")</f>
        <v>184361.09</v>
      </c>
      <c r="I12" s="434">
        <f t="shared" ref="I12:I29" si="0">+H12/H$35</f>
        <v>8.7352580125807808E-2</v>
      </c>
      <c r="K12" s="676">
        <f>H12</f>
        <v>184361.09</v>
      </c>
      <c r="L12" s="132"/>
      <c r="M12" s="133"/>
      <c r="N12" s="134" t="s">
        <v>6990</v>
      </c>
      <c r="O12" s="759">
        <f>H35*0.0623</f>
        <v>131486.62455600002</v>
      </c>
      <c r="P12" s="760">
        <f>H12-O12</f>
        <v>52874.465443999972</v>
      </c>
      <c r="Q12" s="134"/>
      <c r="S12" s="435"/>
      <c r="T12" s="436"/>
    </row>
    <row r="13" spans="1:20" s="159" customFormat="1">
      <c r="A13" s="437">
        <v>2</v>
      </c>
      <c r="B13" s="1069" t="str">
        <f>IF($A13&lt;&gt;"",VLOOKUP($A13,ORC!$E$1:$N$1033,4,0),"")</f>
        <v>SERVIÇOS INICIAIS</v>
      </c>
      <c r="C13" s="1070"/>
      <c r="D13" s="1070"/>
      <c r="E13" s="1071"/>
      <c r="F13" s="79"/>
      <c r="G13" s="432">
        <f t="shared" ref="G13:G29" si="1">I$1</f>
        <v>0.2354</v>
      </c>
      <c r="H13" s="79">
        <f>IF($A13&lt;&gt;"",VLOOKUP($A13,ORC!$E$1:$N$1033,10,0),"")</f>
        <v>14565.449999999999</v>
      </c>
      <c r="I13" s="434">
        <f t="shared" si="0"/>
        <v>6.9012915805251925E-3</v>
      </c>
      <c r="K13" s="131"/>
      <c r="L13" s="132"/>
      <c r="M13" s="133"/>
      <c r="N13" s="134"/>
      <c r="O13" s="134"/>
      <c r="P13" s="134"/>
      <c r="Q13" s="134"/>
      <c r="S13" s="435"/>
      <c r="T13" s="436"/>
    </row>
    <row r="14" spans="1:20" s="159" customFormat="1">
      <c r="A14" s="97">
        <v>3</v>
      </c>
      <c r="B14" s="1069" t="str">
        <f>IF($A14&lt;&gt;"",VLOOKUP($A14,ORC!$E$1:$N$1033,4,0),"")</f>
        <v>INFRA-ESTRUTURA</v>
      </c>
      <c r="C14" s="1070"/>
      <c r="D14" s="1070"/>
      <c r="E14" s="1071"/>
      <c r="F14" s="79"/>
      <c r="G14" s="432">
        <f t="shared" si="1"/>
        <v>0.2354</v>
      </c>
      <c r="H14" s="79">
        <f>IF($A14&lt;&gt;"",VLOOKUP($A14,ORC!$E$1:$N$1033,10,0),"")</f>
        <v>46206.11</v>
      </c>
      <c r="I14" s="434">
        <f t="shared" si="0"/>
        <v>2.1893030281372766E-2</v>
      </c>
      <c r="K14" s="131"/>
      <c r="L14" s="132"/>
      <c r="M14" s="133"/>
      <c r="N14" s="134"/>
      <c r="O14" s="134"/>
      <c r="P14" s="134"/>
      <c r="Q14" s="134"/>
      <c r="S14" s="435"/>
      <c r="T14" s="436"/>
    </row>
    <row r="15" spans="1:20" s="159" customFormat="1">
      <c r="A15" s="97">
        <v>4</v>
      </c>
      <c r="B15" s="1069" t="str">
        <f>IF($A15&lt;&gt;"",VLOOKUP($A15,ORC!$E$1:$N$1033,4,0),"")</f>
        <v>SUPRA ESTRUTURA</v>
      </c>
      <c r="C15" s="1070"/>
      <c r="D15" s="1070"/>
      <c r="E15" s="1071"/>
      <c r="F15" s="79"/>
      <c r="G15" s="432">
        <f t="shared" si="1"/>
        <v>0.2354</v>
      </c>
      <c r="H15" s="79">
        <f>IF($A15&lt;&gt;"",VLOOKUP($A15,ORC!$E$1:$N$1033,10,0),"")</f>
        <v>61739.81</v>
      </c>
      <c r="I15" s="434">
        <f t="shared" si="0"/>
        <v>2.9253090768649449E-2</v>
      </c>
      <c r="K15" s="131"/>
      <c r="L15" s="687"/>
      <c r="M15" s="133"/>
      <c r="N15" s="134"/>
      <c r="O15" s="134"/>
      <c r="P15" s="134"/>
      <c r="Q15" s="134"/>
      <c r="S15" s="435"/>
      <c r="T15" s="436"/>
    </row>
    <row r="16" spans="1:20" s="159" customFormat="1">
      <c r="A16" s="437">
        <v>5</v>
      </c>
      <c r="B16" s="1069" t="str">
        <f>IF($A16&lt;&gt;"",VLOOKUP($A16,ORC!$E$1:$N$1033,4,0),"")</f>
        <v>PAREDES E PAINÉIS</v>
      </c>
      <c r="C16" s="1070"/>
      <c r="D16" s="1070"/>
      <c r="E16" s="1071"/>
      <c r="F16" s="79"/>
      <c r="G16" s="432">
        <f t="shared" si="1"/>
        <v>0.2354</v>
      </c>
      <c r="H16" s="79">
        <f>IF($A16&lt;&gt;"",VLOOKUP($A16,ORC!$E$1:$N$1033,10,0),"")</f>
        <v>23512.940000000002</v>
      </c>
      <c r="I16" s="434">
        <f t="shared" si="0"/>
        <v>1.1140723757617791E-2</v>
      </c>
      <c r="K16" s="131"/>
      <c r="L16" s="132"/>
      <c r="M16" s="133"/>
      <c r="N16" s="134"/>
      <c r="O16" s="134"/>
      <c r="P16" s="134"/>
      <c r="Q16" s="134"/>
      <c r="S16" s="435"/>
      <c r="T16" s="436"/>
    </row>
    <row r="17" spans="1:20" s="159" customFormat="1">
      <c r="A17" s="97">
        <v>6</v>
      </c>
      <c r="B17" s="1069" t="str">
        <f>IF($A17&lt;&gt;"",VLOOKUP($A17,ORC!$E$1:$N$1033,4,0),"")</f>
        <v>ESQUADRIAS, FERRAGENS E VIDROS</v>
      </c>
      <c r="C17" s="1070"/>
      <c r="D17" s="1070"/>
      <c r="E17" s="1071"/>
      <c r="F17" s="79"/>
      <c r="G17" s="432">
        <f t="shared" si="1"/>
        <v>0.2354</v>
      </c>
      <c r="H17" s="79">
        <f>IF($A17&lt;&gt;"",VLOOKUP($A17,ORC!$E$1:$N$1033,10,0),"")</f>
        <v>521266.24999999994</v>
      </c>
      <c r="I17" s="434">
        <f t="shared" si="0"/>
        <v>0.24698244011252243</v>
      </c>
      <c r="K17" s="131"/>
      <c r="L17" s="132"/>
      <c r="M17" s="133"/>
      <c r="N17" s="134"/>
      <c r="O17" s="134"/>
      <c r="P17" s="134"/>
      <c r="Q17" s="134"/>
      <c r="S17" s="435"/>
      <c r="T17" s="436"/>
    </row>
    <row r="18" spans="1:20" s="159" customFormat="1">
      <c r="A18" s="97">
        <v>7</v>
      </c>
      <c r="B18" s="1069" t="str">
        <f>IF($A18&lt;&gt;"",VLOOKUP($A18,ORC!$E$1:$N$1033,4,0),"")</f>
        <v>COBERTURA</v>
      </c>
      <c r="C18" s="1070"/>
      <c r="D18" s="1070"/>
      <c r="E18" s="1071"/>
      <c r="F18" s="79"/>
      <c r="G18" s="432">
        <f t="shared" si="1"/>
        <v>0.2354</v>
      </c>
      <c r="H18" s="79">
        <f>IF($A18&lt;&gt;"",VLOOKUP($A18,ORC!$E$1:$N$1033,10,0),"")</f>
        <v>31162.83</v>
      </c>
      <c r="I18" s="434">
        <f t="shared" si="0"/>
        <v>1.4765336896857833E-2</v>
      </c>
      <c r="K18" s="131"/>
      <c r="L18" s="132"/>
      <c r="M18" s="133"/>
      <c r="N18" s="134"/>
      <c r="O18" s="134"/>
      <c r="P18" s="134"/>
      <c r="Q18" s="134"/>
      <c r="S18" s="435"/>
      <c r="T18" s="436"/>
    </row>
    <row r="19" spans="1:20" s="159" customFormat="1">
      <c r="A19" s="437">
        <v>8</v>
      </c>
      <c r="B19" s="1069" t="str">
        <f>IF($A19&lt;&gt;"",VLOOKUP($A19,ORC!$E$1:$N$1033,4,0),"")</f>
        <v>REVESTIMENTOS EM TETO</v>
      </c>
      <c r="C19" s="1070"/>
      <c r="D19" s="1070"/>
      <c r="E19" s="1071"/>
      <c r="F19" s="79"/>
      <c r="G19" s="432">
        <f t="shared" si="1"/>
        <v>0.2354</v>
      </c>
      <c r="H19" s="79">
        <f>IF($A19&lt;&gt;"",VLOOKUP($A19,ORC!$E$1:$N$1033,10,0),"")</f>
        <v>138759.91</v>
      </c>
      <c r="I19" s="434">
        <f t="shared" si="0"/>
        <v>6.5746173211087444E-2</v>
      </c>
      <c r="K19" s="131"/>
      <c r="L19" s="132"/>
      <c r="M19" s="133"/>
      <c r="N19" s="134"/>
      <c r="O19" s="134"/>
      <c r="P19" s="134"/>
      <c r="Q19" s="134"/>
      <c r="S19" s="435"/>
      <c r="T19" s="436"/>
    </row>
    <row r="20" spans="1:20" s="159" customFormat="1">
      <c r="A20" s="97">
        <v>9</v>
      </c>
      <c r="B20" s="1069" t="str">
        <f>IF($A20&lt;&gt;"",VLOOKUP($A20,ORC!$E$1:$N$1033,4,0),"")</f>
        <v>REVESTIMENTOS EM PAREDES</v>
      </c>
      <c r="C20" s="1070"/>
      <c r="D20" s="1070"/>
      <c r="E20" s="1071"/>
      <c r="F20" s="79"/>
      <c r="G20" s="432">
        <f t="shared" si="1"/>
        <v>0.2354</v>
      </c>
      <c r="H20" s="79">
        <f>IF($A20&lt;&gt;"",VLOOKUP($A20,ORC!$E$1:$N$1033,10,0),"")</f>
        <v>83970.01</v>
      </c>
      <c r="I20" s="434">
        <f t="shared" si="0"/>
        <v>3.9786036341452974E-2</v>
      </c>
      <c r="K20" s="131"/>
      <c r="L20" s="132"/>
      <c r="M20" s="133"/>
      <c r="N20" s="134"/>
      <c r="O20" s="134"/>
      <c r="P20" s="134"/>
      <c r="Q20" s="134"/>
      <c r="S20" s="435"/>
      <c r="T20" s="436"/>
    </row>
    <row r="21" spans="1:20" s="159" customFormat="1">
      <c r="A21" s="97">
        <v>10</v>
      </c>
      <c r="B21" s="1069" t="str">
        <f>IF($A21&lt;&gt;"",VLOOKUP($A21,ORC!$E$1:$N$1033,4,0),"")</f>
        <v>PISOS</v>
      </c>
      <c r="C21" s="1070"/>
      <c r="D21" s="1070"/>
      <c r="E21" s="1071"/>
      <c r="F21" s="79"/>
      <c r="G21" s="432">
        <f t="shared" si="1"/>
        <v>0.2354</v>
      </c>
      <c r="H21" s="79">
        <f>IF($A21&lt;&gt;"",VLOOKUP($A21,ORC!$E$1:$N$1033,10,0),"")</f>
        <v>221098.00000000006</v>
      </c>
      <c r="I21" s="434">
        <f t="shared" si="0"/>
        <v>0.10475898553569986</v>
      </c>
      <c r="K21" s="131"/>
      <c r="L21" s="132"/>
      <c r="M21" s="133"/>
      <c r="N21" s="134"/>
      <c r="O21" s="134"/>
      <c r="P21" s="134"/>
      <c r="Q21" s="134"/>
      <c r="S21" s="435"/>
      <c r="T21" s="436"/>
    </row>
    <row r="22" spans="1:20" s="159" customFormat="1">
      <c r="A22" s="437">
        <v>11</v>
      </c>
      <c r="B22" s="1069" t="str">
        <f>IF($A22&lt;&gt;"",VLOOKUP($A22,ORC!$E$1:$N$1033,4,0),"")</f>
        <v>INSTALAÇÕES HIDROSSANITÁRIAS</v>
      </c>
      <c r="C22" s="1070"/>
      <c r="D22" s="1070"/>
      <c r="E22" s="1071"/>
      <c r="F22" s="79"/>
      <c r="G22" s="432">
        <f t="shared" si="1"/>
        <v>0.2354</v>
      </c>
      <c r="H22" s="79">
        <f>IF($A22&lt;&gt;"",VLOOKUP($A22,ORC!$E$1:$N$1033,10,0),"")</f>
        <v>91113.070000000022</v>
      </c>
      <c r="I22" s="434">
        <f t="shared" si="0"/>
        <v>4.317050711559222E-2</v>
      </c>
      <c r="K22" s="131"/>
      <c r="L22" s="132"/>
      <c r="M22" s="133"/>
      <c r="N22" s="134"/>
      <c r="O22" s="134"/>
      <c r="P22" s="134"/>
      <c r="Q22" s="134"/>
      <c r="S22" s="435"/>
      <c r="T22" s="436"/>
    </row>
    <row r="23" spans="1:20" s="159" customFormat="1">
      <c r="A23" s="97">
        <v>12</v>
      </c>
      <c r="B23" s="1069" t="str">
        <f>IF($A23&lt;&gt;"",VLOOKUP($A23,ORC!$E$1:$N$1033,4,0),"")</f>
        <v>PREVENÇÃO E COMBATE A INCÊNDIO</v>
      </c>
      <c r="C23" s="1070"/>
      <c r="D23" s="1070"/>
      <c r="E23" s="1071"/>
      <c r="F23" s="79"/>
      <c r="G23" s="432">
        <f t="shared" si="1"/>
        <v>0.2354</v>
      </c>
      <c r="H23" s="79">
        <f>IF($A23&lt;&gt;"",VLOOKUP($A23,ORC!$E$1:$N$1033,10,0),"")</f>
        <v>6038.61</v>
      </c>
      <c r="I23" s="434">
        <f t="shared" si="0"/>
        <v>2.8611686114109235E-3</v>
      </c>
      <c r="K23" s="131"/>
      <c r="L23" s="132"/>
      <c r="M23" s="133"/>
      <c r="N23" s="134"/>
      <c r="O23" s="134"/>
      <c r="P23" s="134"/>
      <c r="Q23" s="134"/>
      <c r="S23" s="435"/>
      <c r="T23" s="436"/>
    </row>
    <row r="24" spans="1:20" s="159" customFormat="1">
      <c r="A24" s="97">
        <v>13</v>
      </c>
      <c r="B24" s="1069" t="str">
        <f>IF($A24&lt;&gt;"",VLOOKUP($A24,ORC!$E$1:$N$1033,4,0),"")</f>
        <v>INSTALAÇÕES ELÉTRICAS / ELETRIFICAÇÃO E ILUMINAÇÃO EXTERNA</v>
      </c>
      <c r="C24" s="1070"/>
      <c r="D24" s="1070"/>
      <c r="E24" s="1071"/>
      <c r="F24" s="79"/>
      <c r="G24" s="432">
        <f t="shared" si="1"/>
        <v>0.2354</v>
      </c>
      <c r="H24" s="79">
        <f>IF($A24&lt;&gt;"",VLOOKUP($A24,ORC!$E$1:$N$1033,10,0),"")</f>
        <v>264525.75000000006</v>
      </c>
      <c r="I24" s="434">
        <f t="shared" si="0"/>
        <v>0.12533559425263982</v>
      </c>
      <c r="K24" s="131"/>
      <c r="L24" s="132"/>
      <c r="M24" s="133"/>
      <c r="N24" s="134"/>
      <c r="O24" s="134"/>
      <c r="P24" s="134"/>
      <c r="Q24" s="134"/>
      <c r="S24" s="435"/>
      <c r="T24" s="436"/>
    </row>
    <row r="25" spans="1:20" s="159" customFormat="1">
      <c r="A25" s="437">
        <v>14</v>
      </c>
      <c r="B25" s="1069" t="str">
        <f>IF($A25&lt;&gt;"",VLOOKUP($A25,ORC!$E$1:$N$1033,4,0),"")</f>
        <v>AR CONDICIONADO E EXAUSTÃO</v>
      </c>
      <c r="C25" s="1070"/>
      <c r="D25" s="1070"/>
      <c r="E25" s="1071"/>
      <c r="F25" s="79"/>
      <c r="G25" s="432">
        <f t="shared" si="1"/>
        <v>0.2354</v>
      </c>
      <c r="H25" s="79">
        <f>IF($A25&lt;&gt;"",VLOOKUP($A25,ORC!$E$1:$N$1033,10,0),"")</f>
        <v>76524.41</v>
      </c>
      <c r="I25" s="434">
        <f t="shared" si="0"/>
        <v>3.6258218348053643E-2</v>
      </c>
      <c r="K25" s="131"/>
      <c r="L25" s="132"/>
      <c r="M25" s="133"/>
      <c r="N25" s="134"/>
      <c r="O25" s="134"/>
      <c r="P25" s="134"/>
      <c r="Q25" s="134"/>
      <c r="S25" s="435"/>
      <c r="T25" s="436"/>
    </row>
    <row r="26" spans="1:20" s="159" customFormat="1">
      <c r="A26" s="97">
        <v>15</v>
      </c>
      <c r="B26" s="1069" t="str">
        <f>IF($A26&lt;&gt;"",VLOOKUP($A26,ORC!$E$1:$N$1033,4,0),"")</f>
        <v>PINTURA</v>
      </c>
      <c r="C26" s="1070"/>
      <c r="D26" s="1070"/>
      <c r="E26" s="1071"/>
      <c r="F26" s="79"/>
      <c r="G26" s="432">
        <f t="shared" si="1"/>
        <v>0.2354</v>
      </c>
      <c r="H26" s="79">
        <f>IF($A26&lt;&gt;"",VLOOKUP($A26,ORC!$E$1:$N$1033,10,0),"")</f>
        <v>129222.54</v>
      </c>
      <c r="I26" s="434">
        <f t="shared" si="0"/>
        <v>6.1227248544746642E-2</v>
      </c>
      <c r="K26" s="131"/>
      <c r="L26" s="132"/>
      <c r="M26" s="133"/>
      <c r="N26" s="134"/>
      <c r="O26" s="134"/>
      <c r="P26" s="134"/>
      <c r="Q26" s="134"/>
      <c r="S26" s="435"/>
      <c r="T26" s="436"/>
    </row>
    <row r="27" spans="1:20" s="159" customFormat="1">
      <c r="A27" s="97">
        <v>16</v>
      </c>
      <c r="B27" s="1069" t="str">
        <f>IF($A27&lt;&gt;"",VLOOKUP($A27,ORC!$E$1:$N$1033,4,0),"")</f>
        <v>SERVIÇOS DIVERSOS</v>
      </c>
      <c r="C27" s="1070"/>
      <c r="D27" s="1070"/>
      <c r="E27" s="1071"/>
      <c r="F27" s="79"/>
      <c r="G27" s="432">
        <f t="shared" si="1"/>
        <v>0.2354</v>
      </c>
      <c r="H27" s="79">
        <f>IF($A27&lt;&gt;"",VLOOKUP($A27,ORC!$E$1:$N$1033,10,0),"")</f>
        <v>129363.94999999997</v>
      </c>
      <c r="I27" s="434">
        <f t="shared" si="0"/>
        <v>6.1294250363598916E-2</v>
      </c>
      <c r="K27" s="131"/>
      <c r="L27" s="132"/>
      <c r="M27" s="133"/>
      <c r="N27" s="134"/>
      <c r="O27" s="134"/>
      <c r="P27" s="134"/>
      <c r="Q27" s="134"/>
      <c r="S27" s="435"/>
      <c r="T27" s="436"/>
    </row>
    <row r="28" spans="1:20" s="159" customFormat="1">
      <c r="A28" s="437">
        <v>17</v>
      </c>
      <c r="B28" s="1069" t="str">
        <f>IF($A28&lt;&gt;"",VLOOKUP($A28,ORC!$E$1:$N$1033,4,0),"")</f>
        <v>PAVIMENTAÇÃO</v>
      </c>
      <c r="C28" s="1070"/>
      <c r="D28" s="1070"/>
      <c r="E28" s="1071"/>
      <c r="F28" s="79"/>
      <c r="G28" s="432">
        <f t="shared" si="1"/>
        <v>0.2354</v>
      </c>
      <c r="H28" s="79">
        <f>IF($A28&lt;&gt;"",VLOOKUP($A28,ORC!$E$1:$N$1033,10,0),"")</f>
        <v>84191.760000000009</v>
      </c>
      <c r="I28" s="434">
        <f t="shared" si="0"/>
        <v>3.9891104252707456E-2</v>
      </c>
      <c r="K28" s="131"/>
      <c r="L28" s="132"/>
      <c r="M28" s="133"/>
      <c r="N28" s="134"/>
      <c r="O28" s="134"/>
      <c r="P28" s="134"/>
      <c r="Q28" s="134"/>
      <c r="S28" s="435"/>
      <c r="T28" s="436"/>
    </row>
    <row r="29" spans="1:20" s="159" customFormat="1">
      <c r="A29" s="97">
        <v>18</v>
      </c>
      <c r="B29" s="1069" t="str">
        <f>IF($A29&lt;&gt;"",VLOOKUP($A29,ORC!$E$1:$N$1033,4,0),"")</f>
        <v xml:space="preserve">LIMPEZA FINAL DE OBRA </v>
      </c>
      <c r="C29" s="1070"/>
      <c r="D29" s="1070"/>
      <c r="E29" s="1071"/>
      <c r="F29" s="79"/>
      <c r="G29" s="432">
        <f t="shared" si="1"/>
        <v>0.2354</v>
      </c>
      <c r="H29" s="79">
        <f>IF($A29&lt;&gt;"",VLOOKUP($A29,ORC!$E$1:$N$1033,10,0),"")</f>
        <v>2917.23</v>
      </c>
      <c r="I29" s="434">
        <f t="shared" si="0"/>
        <v>1.3822198996567569E-3</v>
      </c>
      <c r="K29" s="131"/>
      <c r="L29" s="132"/>
      <c r="M29" s="133"/>
      <c r="N29" s="134"/>
      <c r="O29" s="134"/>
      <c r="P29" s="134"/>
      <c r="Q29" s="134"/>
      <c r="S29" s="435"/>
      <c r="T29" s="436"/>
    </row>
    <row r="30" spans="1:20" s="176" customFormat="1">
      <c r="A30" s="97"/>
      <c r="B30" s="1069" t="str">
        <f>IF($A30&lt;&gt;"",VLOOKUP($A30,ORC!$E$1:$N$1033,4,0),"")</f>
        <v/>
      </c>
      <c r="C30" s="1070"/>
      <c r="D30" s="1070"/>
      <c r="E30" s="1071"/>
      <c r="F30" s="79"/>
      <c r="G30" s="432"/>
      <c r="H30" s="79" t="str">
        <f>IF($A30&lt;&gt;"",VLOOKUP($A30,ORC!$E$1:$N$1033,10,0),"")</f>
        <v/>
      </c>
      <c r="I30" s="434"/>
      <c r="K30" s="131"/>
      <c r="L30" s="132"/>
      <c r="M30" s="133"/>
      <c r="N30" s="134"/>
      <c r="O30" s="134"/>
      <c r="P30" s="134"/>
      <c r="Q30" s="134"/>
      <c r="S30" s="435"/>
      <c r="T30" s="436"/>
    </row>
    <row r="31" spans="1:20" s="176" customFormat="1">
      <c r="A31" s="97"/>
      <c r="B31" s="1069" t="str">
        <f>IF($A31&lt;&gt;"",VLOOKUP($A31,ORC!$E$1:$N$1033,4,0),"")</f>
        <v/>
      </c>
      <c r="C31" s="1070"/>
      <c r="D31" s="1070"/>
      <c r="E31" s="1071"/>
      <c r="F31" s="79"/>
      <c r="G31" s="432"/>
      <c r="H31" s="79" t="str">
        <f>IF($A31&lt;&gt;"",VLOOKUP($A31,ORC!$E$1:$N$1033,10,0),"")</f>
        <v/>
      </c>
      <c r="I31" s="434"/>
      <c r="K31" s="131"/>
      <c r="L31" s="132"/>
      <c r="M31" s="133"/>
      <c r="N31" s="134"/>
      <c r="O31" s="134"/>
      <c r="P31" s="134"/>
      <c r="Q31" s="134"/>
      <c r="S31" s="435"/>
      <c r="T31" s="436"/>
    </row>
    <row r="32" spans="1:20" s="159" customFormat="1">
      <c r="A32" s="97"/>
      <c r="B32" s="1069" t="str">
        <f>IF($A32&lt;&gt;"",VLOOKUP($A32,ORC!$E$1:$N$1033,4,0),"")</f>
        <v/>
      </c>
      <c r="C32" s="1070"/>
      <c r="D32" s="1070"/>
      <c r="E32" s="1071"/>
      <c r="F32" s="79"/>
      <c r="G32" s="432"/>
      <c r="H32" s="79" t="str">
        <f>IF($A32&lt;&gt;"",VLOOKUP($A32,ORC!$E$1:$N$1033,10,0),"")</f>
        <v/>
      </c>
      <c r="I32" s="434"/>
      <c r="K32" s="131"/>
      <c r="L32" s="132"/>
      <c r="M32" s="133"/>
      <c r="N32" s="134"/>
      <c r="O32" s="134"/>
      <c r="P32" s="134"/>
      <c r="Q32" s="134"/>
      <c r="S32" s="435"/>
      <c r="T32" s="436"/>
    </row>
    <row r="33" spans="1:20" s="176" customFormat="1">
      <c r="A33" s="97"/>
      <c r="B33" s="1069" t="str">
        <f>IF($A33&lt;&gt;"",VLOOKUP($A33,ORC!$E$1:$N$1033,4,0),"")</f>
        <v/>
      </c>
      <c r="C33" s="1070"/>
      <c r="D33" s="1070"/>
      <c r="E33" s="1071"/>
      <c r="F33" s="79"/>
      <c r="G33" s="432"/>
      <c r="H33" s="79" t="str">
        <f>IF($A33&lt;&gt;"",VLOOKUP($A33,ORC!$E$1:$N$1033,10,0),"")</f>
        <v/>
      </c>
      <c r="I33" s="434"/>
      <c r="K33" s="131"/>
      <c r="L33" s="132"/>
      <c r="M33" s="133"/>
      <c r="N33" s="134"/>
      <c r="O33" s="134"/>
      <c r="P33" s="134"/>
      <c r="Q33" s="134"/>
      <c r="S33" s="435"/>
      <c r="T33" s="436"/>
    </row>
    <row r="34" spans="1:20" s="159" customFormat="1">
      <c r="A34" s="97"/>
      <c r="B34" s="1069" t="str">
        <f>IF($A34&lt;&gt;"",VLOOKUP($A34,ORC!$E$1:$N$1033,4,0),"")</f>
        <v/>
      </c>
      <c r="C34" s="1070"/>
      <c r="D34" s="1070"/>
      <c r="E34" s="1071"/>
      <c r="F34" s="79"/>
      <c r="G34" s="432"/>
      <c r="H34" s="79"/>
      <c r="I34" s="434"/>
      <c r="K34" s="131"/>
      <c r="L34" s="132"/>
      <c r="M34" s="133"/>
      <c r="N34" s="134"/>
      <c r="O34" s="134"/>
      <c r="P34" s="134"/>
      <c r="Q34" s="134"/>
      <c r="S34" s="435"/>
      <c r="T34" s="436"/>
    </row>
    <row r="35" spans="1:20" s="159" customFormat="1" ht="15.75">
      <c r="A35" s="468" t="s">
        <v>31</v>
      </c>
      <c r="B35" s="469"/>
      <c r="C35" s="469"/>
      <c r="D35" s="469"/>
      <c r="E35" s="470"/>
      <c r="F35" s="177"/>
      <c r="G35" s="743"/>
      <c r="H35" s="177">
        <f>SUMIF(H12:H34,"&gt;0",H12:H34)</f>
        <v>2110539.7200000002</v>
      </c>
      <c r="I35" s="178">
        <f>SUM(I12:I34)</f>
        <v>1</v>
      </c>
      <c r="K35" s="131"/>
      <c r="L35" s="135"/>
      <c r="N35" s="137"/>
      <c r="O35" s="126"/>
      <c r="P35" s="126"/>
      <c r="Q35" s="126"/>
      <c r="T35" s="158"/>
    </row>
    <row r="36" spans="1:20">
      <c r="A36" s="179"/>
      <c r="B36" s="180"/>
      <c r="C36" s="180"/>
      <c r="D36" s="181"/>
      <c r="E36" s="181"/>
      <c r="F36" s="182"/>
      <c r="G36" s="182"/>
      <c r="H36" s="182"/>
      <c r="I36" s="183"/>
      <c r="K36" s="678"/>
    </row>
    <row r="37" spans="1:20">
      <c r="A37" s="202" t="s">
        <v>2706</v>
      </c>
      <c r="B37" s="203"/>
      <c r="C37" s="184">
        <f>CRONO_FASES!BC8</f>
        <v>300</v>
      </c>
      <c r="D37" s="185" t="s">
        <v>909</v>
      </c>
      <c r="E37" s="186"/>
      <c r="F37" s="187"/>
      <c r="G37" s="187"/>
      <c r="H37" s="187"/>
      <c r="I37" s="188"/>
    </row>
    <row r="38" spans="1:20">
      <c r="A38" s="189"/>
      <c r="B38" s="189"/>
      <c r="C38" s="190"/>
      <c r="D38" s="191"/>
      <c r="E38" s="192"/>
      <c r="F38" s="193"/>
      <c r="G38" s="193"/>
      <c r="H38" s="193"/>
      <c r="I38" s="194"/>
      <c r="K38" s="679"/>
    </row>
    <row r="39" spans="1:20" s="205" customFormat="1">
      <c r="A39" s="189"/>
      <c r="B39" s="189"/>
      <c r="C39" s="190"/>
      <c r="D39" s="191"/>
      <c r="E39" s="192"/>
      <c r="F39" s="193"/>
      <c r="G39" s="193"/>
      <c r="H39" s="193"/>
      <c r="I39" s="204"/>
      <c r="T39" s="206"/>
    </row>
    <row r="40" spans="1:20" s="205" customFormat="1">
      <c r="A40" s="189"/>
      <c r="B40" s="189"/>
      <c r="C40" s="190"/>
      <c r="D40" s="191"/>
      <c r="E40" s="192"/>
      <c r="F40" s="193"/>
      <c r="G40" s="193"/>
      <c r="H40" s="193"/>
      <c r="I40" s="204"/>
      <c r="T40" s="206"/>
    </row>
    <row r="41" spans="1:20" s="205" customFormat="1">
      <c r="A41" s="160"/>
      <c r="B41" s="160"/>
      <c r="C41" s="160"/>
      <c r="D41" s="160"/>
      <c r="E41" s="160"/>
      <c r="F41" s="160"/>
      <c r="G41" s="160"/>
      <c r="H41" s="160"/>
      <c r="I41" s="161"/>
      <c r="T41" s="206"/>
    </row>
    <row r="42" spans="1:20" s="205" customFormat="1">
      <c r="D42" s="160"/>
      <c r="E42" s="160"/>
      <c r="F42" s="160"/>
      <c r="G42" s="160"/>
      <c r="H42" s="160"/>
      <c r="I42" s="161"/>
      <c r="T42" s="206"/>
    </row>
    <row r="43" spans="1:20" s="205" customFormat="1">
      <c r="D43" s="196"/>
      <c r="E43" s="196"/>
      <c r="F43" s="197"/>
      <c r="G43" s="210"/>
      <c r="H43" s="210"/>
      <c r="I43" s="161"/>
      <c r="T43" s="206"/>
    </row>
    <row r="44" spans="1:20" s="205" customFormat="1">
      <c r="D44" s="1089" t="s">
        <v>2691</v>
      </c>
      <c r="E44" s="1090"/>
      <c r="F44" s="1089"/>
      <c r="G44" s="211"/>
      <c r="H44" s="211"/>
      <c r="I44" s="161"/>
      <c r="T44" s="206"/>
    </row>
    <row r="45" spans="1:20" s="205" customFormat="1">
      <c r="D45" s="1078" t="s">
        <v>2692</v>
      </c>
      <c r="E45" s="1078"/>
      <c r="F45" s="1078"/>
      <c r="G45" s="671"/>
      <c r="H45" s="671"/>
      <c r="I45" s="161"/>
      <c r="T45" s="206"/>
    </row>
    <row r="46" spans="1:20">
      <c r="A46" s="198"/>
      <c r="B46" s="198"/>
      <c r="C46" s="198"/>
      <c r="D46" s="198"/>
      <c r="E46" s="198"/>
      <c r="F46" s="198"/>
      <c r="G46" s="198"/>
      <c r="H46" s="198"/>
      <c r="I46" s="195"/>
    </row>
    <row r="47" spans="1:20">
      <c r="A47" s="198"/>
      <c r="B47" s="198"/>
      <c r="C47" s="198"/>
      <c r="D47" s="198"/>
      <c r="E47" s="198"/>
      <c r="F47" s="198"/>
      <c r="G47" s="198"/>
      <c r="H47" s="198"/>
      <c r="I47" s="195"/>
    </row>
    <row r="48" spans="1:20">
      <c r="A48" s="198"/>
      <c r="B48" s="198"/>
      <c r="C48" s="198"/>
      <c r="D48" s="198"/>
      <c r="E48" s="198"/>
      <c r="F48" s="198"/>
      <c r="G48" s="198"/>
      <c r="H48" s="198"/>
      <c r="I48" s="195"/>
    </row>
    <row r="49" spans="1:9">
      <c r="A49" s="198"/>
      <c r="B49" s="198"/>
      <c r="C49" s="198"/>
      <c r="D49" s="198"/>
      <c r="E49" s="198"/>
      <c r="F49" s="198"/>
      <c r="G49" s="198"/>
      <c r="H49" s="198"/>
      <c r="I49" s="195"/>
    </row>
    <row r="50" spans="1:9">
      <c r="A50" s="198"/>
      <c r="B50" s="198"/>
      <c r="C50" s="198"/>
      <c r="D50" s="198"/>
      <c r="E50" s="198"/>
      <c r="F50" s="198"/>
      <c r="G50" s="198"/>
      <c r="H50" s="198"/>
      <c r="I50" s="195"/>
    </row>
    <row r="51" spans="1:9">
      <c r="A51" s="198"/>
      <c r="B51" s="198"/>
      <c r="C51" s="198"/>
      <c r="D51" s="198"/>
      <c r="E51" s="198"/>
      <c r="F51" s="198"/>
      <c r="G51" s="198"/>
      <c r="H51" s="198"/>
      <c r="I51" s="195"/>
    </row>
    <row r="52" spans="1:9">
      <c r="A52" s="198"/>
      <c r="B52" s="198"/>
      <c r="C52" s="198"/>
      <c r="D52" s="198"/>
      <c r="E52" s="198"/>
      <c r="F52" s="198"/>
      <c r="G52" s="198"/>
      <c r="H52" s="198"/>
      <c r="I52" s="195"/>
    </row>
    <row r="53" spans="1:9">
      <c r="A53" s="198"/>
      <c r="B53" s="198"/>
      <c r="C53" s="198"/>
      <c r="D53" s="198"/>
      <c r="E53" s="198"/>
      <c r="F53" s="198"/>
      <c r="G53" s="198"/>
      <c r="H53" s="198"/>
      <c r="I53" s="195"/>
    </row>
    <row r="54" spans="1:9">
      <c r="A54" s="198"/>
      <c r="B54" s="198"/>
      <c r="C54" s="198"/>
      <c r="D54" s="198"/>
      <c r="E54" s="198"/>
      <c r="F54" s="198"/>
      <c r="G54" s="198"/>
      <c r="H54" s="198"/>
      <c r="I54" s="195"/>
    </row>
  </sheetData>
  <mergeCells count="31">
    <mergeCell ref="D45:F45"/>
    <mergeCell ref="B32:E32"/>
    <mergeCell ref="B33:E33"/>
    <mergeCell ref="B34:E34"/>
    <mergeCell ref="D44:F44"/>
    <mergeCell ref="B29:E29"/>
    <mergeCell ref="B30:E30"/>
    <mergeCell ref="B31:E31"/>
    <mergeCell ref="B28:E28"/>
    <mergeCell ref="B17:E17"/>
    <mergeCell ref="B18:E18"/>
    <mergeCell ref="B19:E19"/>
    <mergeCell ref="B20:E20"/>
    <mergeCell ref="B21:E21"/>
    <mergeCell ref="B22:E22"/>
    <mergeCell ref="B23:E23"/>
    <mergeCell ref="B24:E24"/>
    <mergeCell ref="B25:E25"/>
    <mergeCell ref="B26:E26"/>
    <mergeCell ref="B27:E27"/>
    <mergeCell ref="B16:E16"/>
    <mergeCell ref="A7:I7"/>
    <mergeCell ref="A9:A10"/>
    <mergeCell ref="B9:E10"/>
    <mergeCell ref="G9:G10"/>
    <mergeCell ref="H9:H10"/>
    <mergeCell ref="I9:I10"/>
    <mergeCell ref="B12:E12"/>
    <mergeCell ref="B13:E13"/>
    <mergeCell ref="B14:E14"/>
    <mergeCell ref="B15:E15"/>
  </mergeCells>
  <conditionalFormatting sqref="A37:A40">
    <cfRule type="cellIs" dxfId="2" priority="3" operator="equal">
      <formula>"PREENCHER PRAZO NA FOLHA DE FECHAMENTO!"</formula>
    </cfRule>
  </conditionalFormatting>
  <conditionalFormatting sqref="I35">
    <cfRule type="cellIs" dxfId="1" priority="1" operator="greaterThan">
      <formula>1</formula>
    </cfRule>
    <cfRule type="cellIs" dxfId="0" priority="2" operator="lessThan">
      <formula>1</formula>
    </cfRule>
  </conditionalFormatting>
  <printOptions horizontalCentered="1"/>
  <pageMargins left="0.98425196850393704" right="0.19685039370078741" top="1.1811023622047245" bottom="0.98425196850393704" header="0.19685039370078741" footer="0.19685039370078741"/>
  <pageSetup paperSize="9" scale="66" orientation="portrait" r:id="rId1"/>
  <headerFooter>
    <oddFooter>&amp;R&amp;P</oddFooter>
  </headerFooter>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18</vt:i4>
      </vt:variant>
      <vt:variant>
        <vt:lpstr>Intervalos Nomeados</vt:lpstr>
      </vt:variant>
      <vt:variant>
        <vt:i4>20</vt:i4>
      </vt:variant>
    </vt:vector>
  </HeadingPairs>
  <TitlesOfParts>
    <vt:vector size="38" baseType="lpstr">
      <vt:lpstr>Capa</vt:lpstr>
      <vt:lpstr>INDICE</vt:lpstr>
      <vt:lpstr>DADOS</vt:lpstr>
      <vt:lpstr>RRTS</vt:lpstr>
      <vt:lpstr>BDI</vt:lpstr>
      <vt:lpstr>BDI equip</vt:lpstr>
      <vt:lpstr>RESUMO</vt:lpstr>
      <vt:lpstr>CRONOGRAMA</vt:lpstr>
      <vt:lpstr>RESUMO_FASES</vt:lpstr>
      <vt:lpstr>CRONO_FASES</vt:lpstr>
      <vt:lpstr>ORC</vt:lpstr>
      <vt:lpstr>COMPOSICOES COMPLEMENTARES</vt:lpstr>
      <vt:lpstr>ENCARGOS SOCIAIS</vt:lpstr>
      <vt:lpstr>SERVIÇOS</vt:lpstr>
      <vt:lpstr>INSUMOS</vt:lpstr>
      <vt:lpstr>CURVA ABC</vt:lpstr>
      <vt:lpstr>CPU</vt:lpstr>
      <vt:lpstr>COTAÇÕES</vt:lpstr>
      <vt:lpstr>BDI!Area_de_impressao</vt:lpstr>
      <vt:lpstr>'BDI equip'!Area_de_impressao</vt:lpstr>
      <vt:lpstr>Capa!Area_de_impressao</vt:lpstr>
      <vt:lpstr>COTAÇÕES!Area_de_impressao</vt:lpstr>
      <vt:lpstr>CPU!Area_de_impressao</vt:lpstr>
      <vt:lpstr>CRONO_FASES!Area_de_impressao</vt:lpstr>
      <vt:lpstr>CRONOGRAMA!Area_de_impressao</vt:lpstr>
      <vt:lpstr>'CURVA ABC'!Area_de_impressao</vt:lpstr>
      <vt:lpstr>DADOS!Area_de_impressao</vt:lpstr>
      <vt:lpstr>'ENCARGOS SOCIAIS'!Area_de_impressao</vt:lpstr>
      <vt:lpstr>INDICE!Area_de_impressao</vt:lpstr>
      <vt:lpstr>ORC!Area_de_impressao</vt:lpstr>
      <vt:lpstr>RESUMO!Area_de_impressao</vt:lpstr>
      <vt:lpstr>RESUMO_FASES!Area_de_impressao</vt:lpstr>
      <vt:lpstr>RRTS!Area_de_impressao</vt:lpstr>
      <vt:lpstr>CPU!Titulos_de_impressao</vt:lpstr>
      <vt:lpstr>CRONO_FASES!Titulos_de_impressao</vt:lpstr>
      <vt:lpstr>CRONOGRAMA!Titulos_de_impressao</vt:lpstr>
      <vt:lpstr>'CURVA ABC'!Titulos_de_impressao</vt:lpstr>
      <vt:lpstr>ORC!Titulos_de_impressao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Wagner Deconto</dc:creator>
  <cp:lastModifiedBy>Usuario</cp:lastModifiedBy>
  <cp:revision>52</cp:revision>
  <cp:lastPrinted>2022-10-26T17:03:14Z</cp:lastPrinted>
  <dcterms:created xsi:type="dcterms:W3CDTF">2012-02-24T19:16:29Z</dcterms:created>
  <dcterms:modified xsi:type="dcterms:W3CDTF">2022-10-26T17:13:18Z</dcterms:modified>
</cp:coreProperties>
</file>